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marco\Google Drive\Twitter Investigations\"/>
    </mc:Choice>
  </mc:AlternateContent>
  <xr:revisionPtr revIDLastSave="0" documentId="8_{A675F9C9-1F16-481A-84DA-44C05F9AF1D8}" xr6:coauthVersionLast="45" xr6:coauthVersionMax="45" xr10:uidLastSave="{00000000-0000-0000-0000-000000000000}"/>
  <bookViews>
    <workbookView xWindow="-98" yWindow="-98" windowWidth="22695" windowHeight="14595" activeTab="1" xr2:uid="{00000000-000D-0000-FFFF-FFFF00000000}"/>
  </bookViews>
  <sheets>
    <sheet name="#TurkishArmy -filterretweets" sheetId="1" r:id="rId1"/>
    <sheet name="#JamalKhashoggi OR #خاشقجي -fil" sheetId="2" r:id="rId2"/>
    <sheet name="Twitter Archiver Logs" sheetId="3" r:id="rId3"/>
    <sheet name="Sheet1" sheetId="4" r:id="rId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2160" i="2" l="1"/>
  <c r="K2160" i="2"/>
  <c r="E2160" i="2"/>
  <c r="B2160" i="2"/>
  <c r="U2159" i="2"/>
  <c r="K2159" i="2"/>
  <c r="E2159" i="2"/>
  <c r="B2159" i="2"/>
  <c r="U2158" i="2"/>
  <c r="K2158" i="2"/>
  <c r="E2158" i="2"/>
  <c r="B2158" i="2"/>
  <c r="U2157" i="2"/>
  <c r="K2157" i="2"/>
  <c r="E2157" i="2"/>
  <c r="B2157" i="2"/>
  <c r="U2156" i="2"/>
  <c r="K2156" i="2"/>
  <c r="E2156" i="2"/>
  <c r="B2156" i="2"/>
  <c r="U2155" i="2"/>
  <c r="K2155" i="2"/>
  <c r="E2155" i="2"/>
  <c r="B2155" i="2"/>
  <c r="U2154" i="2"/>
  <c r="K2154" i="2"/>
  <c r="E2154" i="2"/>
  <c r="B2154" i="2"/>
  <c r="U2153" i="2"/>
  <c r="K2153" i="2"/>
  <c r="E2153" i="2"/>
  <c r="B2153" i="2"/>
  <c r="U2152" i="2"/>
  <c r="K2152" i="2"/>
  <c r="E2152" i="2"/>
  <c r="B2152" i="2"/>
  <c r="U2151" i="2"/>
  <c r="K2151" i="2"/>
  <c r="E2151" i="2"/>
  <c r="B2151" i="2"/>
  <c r="U2150" i="2"/>
  <c r="K2150" i="2"/>
  <c r="E2150" i="2"/>
  <c r="B2150" i="2"/>
  <c r="U2149" i="2"/>
  <c r="K2149" i="2"/>
  <c r="E2149" i="2"/>
  <c r="B2149" i="2"/>
  <c r="U2148" i="2"/>
  <c r="K2148" i="2"/>
  <c r="E2148" i="2"/>
  <c r="B2148" i="2"/>
  <c r="U2147" i="2"/>
  <c r="K2147" i="2"/>
  <c r="E2147" i="2"/>
  <c r="B2147" i="2"/>
  <c r="U2146" i="2"/>
  <c r="K2146" i="2"/>
  <c r="E2146" i="2"/>
  <c r="B2146" i="2"/>
  <c r="U2145" i="2"/>
  <c r="K2145" i="2"/>
  <c r="E2145" i="2"/>
  <c r="B2145" i="2"/>
  <c r="U2144" i="2"/>
  <c r="K2144" i="2"/>
  <c r="E2144" i="2"/>
  <c r="B2144" i="2"/>
  <c r="U2143" i="2"/>
  <c r="K2143" i="2"/>
  <c r="E2143" i="2"/>
  <c r="B2143" i="2"/>
  <c r="U2142" i="2"/>
  <c r="K2142" i="2"/>
  <c r="E2142" i="2"/>
  <c r="B2142" i="2"/>
  <c r="U2141" i="2"/>
  <c r="K2141" i="2"/>
  <c r="E2141" i="2"/>
  <c r="B2141" i="2"/>
  <c r="U2140" i="2"/>
  <c r="K2140" i="2"/>
  <c r="E2140" i="2"/>
  <c r="B2140" i="2"/>
  <c r="U2139" i="2"/>
  <c r="K2139" i="2"/>
  <c r="E2139" i="2"/>
  <c r="B2139" i="2"/>
  <c r="U2138" i="2"/>
  <c r="K2138" i="2"/>
  <c r="E2138" i="2"/>
  <c r="B2138" i="2"/>
  <c r="U2137" i="2"/>
  <c r="K2137" i="2"/>
  <c r="E2137" i="2"/>
  <c r="B2137" i="2"/>
  <c r="U2136" i="2"/>
  <c r="K2136" i="2"/>
  <c r="E2136" i="2"/>
  <c r="B2136" i="2"/>
  <c r="U2135" i="2"/>
  <c r="K2135" i="2"/>
  <c r="E2135" i="2"/>
  <c r="B2135" i="2"/>
  <c r="U2134" i="2"/>
  <c r="K2134" i="2"/>
  <c r="E2134" i="2"/>
  <c r="B2134" i="2"/>
  <c r="U2133" i="2"/>
  <c r="K2133" i="2"/>
  <c r="E2133" i="2"/>
  <c r="B2133" i="2"/>
  <c r="U2132" i="2"/>
  <c r="K2132" i="2"/>
  <c r="E2132" i="2"/>
  <c r="B2132" i="2"/>
  <c r="U2131" i="2"/>
  <c r="K2131" i="2"/>
  <c r="E2131" i="2"/>
  <c r="B2131" i="2"/>
  <c r="U2130" i="2"/>
  <c r="K2130" i="2"/>
  <c r="E2130" i="2"/>
  <c r="B2130" i="2"/>
  <c r="U2129" i="2"/>
  <c r="K2129" i="2"/>
  <c r="E2129" i="2"/>
  <c r="B2129" i="2"/>
  <c r="U2128" i="2"/>
  <c r="K2128" i="2"/>
  <c r="E2128" i="2"/>
  <c r="B2128" i="2"/>
  <c r="U2127" i="2"/>
  <c r="K2127" i="2"/>
  <c r="E2127" i="2"/>
  <c r="B2127" i="2"/>
  <c r="U2126" i="2"/>
  <c r="K2126" i="2"/>
  <c r="E2126" i="2"/>
  <c r="B2126" i="2"/>
  <c r="U2125" i="2"/>
  <c r="K2125" i="2"/>
  <c r="E2125" i="2"/>
  <c r="B2125" i="2"/>
  <c r="U2124" i="2"/>
  <c r="K2124" i="2"/>
  <c r="E2124" i="2"/>
  <c r="B2124" i="2"/>
  <c r="U2123" i="2"/>
  <c r="K2123" i="2"/>
  <c r="E2123" i="2"/>
  <c r="B2123" i="2"/>
  <c r="U2122" i="2"/>
  <c r="K2122" i="2"/>
  <c r="E2122" i="2"/>
  <c r="B2122" i="2"/>
  <c r="U2121" i="2"/>
  <c r="K2121" i="2"/>
  <c r="E2121" i="2"/>
  <c r="B2121" i="2"/>
  <c r="U2120" i="2"/>
  <c r="K2120" i="2"/>
  <c r="E2120" i="2"/>
  <c r="B2120" i="2"/>
  <c r="U2119" i="2"/>
  <c r="K2119" i="2"/>
  <c r="E2119" i="2"/>
  <c r="B2119" i="2"/>
  <c r="U2118" i="2"/>
  <c r="K2118" i="2"/>
  <c r="E2118" i="2"/>
  <c r="B2118" i="2"/>
  <c r="U2117" i="2"/>
  <c r="K2117" i="2"/>
  <c r="E2117" i="2"/>
  <c r="B2117" i="2"/>
  <c r="U2116" i="2"/>
  <c r="K2116" i="2"/>
  <c r="E2116" i="2"/>
  <c r="B2116" i="2"/>
  <c r="U2115" i="2"/>
  <c r="K2115" i="2"/>
  <c r="E2115" i="2"/>
  <c r="B2115" i="2"/>
  <c r="U2114" i="2"/>
  <c r="K2114" i="2"/>
  <c r="E2114" i="2"/>
  <c r="B2114" i="2"/>
  <c r="U2113" i="2"/>
  <c r="K2113" i="2"/>
  <c r="E2113" i="2"/>
  <c r="B2113" i="2"/>
  <c r="U2112" i="2"/>
  <c r="K2112" i="2"/>
  <c r="E2112" i="2"/>
  <c r="B2112" i="2"/>
  <c r="U2111" i="2"/>
  <c r="K2111" i="2"/>
  <c r="E2111" i="2"/>
  <c r="B2111" i="2"/>
  <c r="U2110" i="2"/>
  <c r="K2110" i="2"/>
  <c r="E2110" i="2"/>
  <c r="B2110" i="2"/>
  <c r="U2109" i="2"/>
  <c r="K2109" i="2"/>
  <c r="E2109" i="2"/>
  <c r="B2109" i="2"/>
  <c r="U2108" i="2"/>
  <c r="K2108" i="2"/>
  <c r="E2108" i="2"/>
  <c r="B2108" i="2"/>
  <c r="U2107" i="2"/>
  <c r="K2107" i="2"/>
  <c r="E2107" i="2"/>
  <c r="B2107" i="2"/>
  <c r="U2106" i="2"/>
  <c r="K2106" i="2"/>
  <c r="E2106" i="2"/>
  <c r="B2106" i="2"/>
  <c r="U2105" i="2"/>
  <c r="K2105" i="2"/>
  <c r="E2105" i="2"/>
  <c r="B2105" i="2"/>
  <c r="U2104" i="2"/>
  <c r="K2104" i="2"/>
  <c r="E2104" i="2"/>
  <c r="B2104" i="2"/>
  <c r="U2103" i="2"/>
  <c r="K2103" i="2"/>
  <c r="E2103" i="2"/>
  <c r="B2103" i="2"/>
  <c r="U2102" i="2"/>
  <c r="K2102" i="2"/>
  <c r="E2102" i="2"/>
  <c r="B2102" i="2"/>
  <c r="U2101" i="2"/>
  <c r="K2101" i="2"/>
  <c r="E2101" i="2"/>
  <c r="B2101" i="2"/>
  <c r="U2100" i="2"/>
  <c r="K2100" i="2"/>
  <c r="E2100" i="2"/>
  <c r="B2100" i="2"/>
  <c r="U2099" i="2"/>
  <c r="K2099" i="2"/>
  <c r="E2099" i="2"/>
  <c r="B2099" i="2"/>
  <c r="U2098" i="2"/>
  <c r="K2098" i="2"/>
  <c r="E2098" i="2"/>
  <c r="B2098" i="2"/>
  <c r="U2097" i="2"/>
  <c r="K2097" i="2"/>
  <c r="E2097" i="2"/>
  <c r="B2097" i="2"/>
  <c r="U2096" i="2"/>
  <c r="K2096" i="2"/>
  <c r="E2096" i="2"/>
  <c r="B2096" i="2"/>
  <c r="U2095" i="2"/>
  <c r="K2095" i="2"/>
  <c r="E2095" i="2"/>
  <c r="B2095" i="2"/>
  <c r="U2094" i="2"/>
  <c r="K2094" i="2"/>
  <c r="E2094" i="2"/>
  <c r="B2094" i="2"/>
  <c r="U2093" i="2"/>
  <c r="K2093" i="2"/>
  <c r="E2093" i="2"/>
  <c r="B2093" i="2"/>
  <c r="U2092" i="2"/>
  <c r="K2092" i="2"/>
  <c r="E2092" i="2"/>
  <c r="B2092" i="2"/>
  <c r="U2091" i="2"/>
  <c r="K2091" i="2"/>
  <c r="E2091" i="2"/>
  <c r="B2091" i="2"/>
  <c r="U2090" i="2"/>
  <c r="K2090" i="2"/>
  <c r="E2090" i="2"/>
  <c r="B2090" i="2"/>
  <c r="U2089" i="2"/>
  <c r="K2089" i="2"/>
  <c r="E2089" i="2"/>
  <c r="B2089" i="2"/>
  <c r="U2088" i="2"/>
  <c r="K2088" i="2"/>
  <c r="E2088" i="2"/>
  <c r="B2088" i="2"/>
  <c r="U2087" i="2"/>
  <c r="K2087" i="2"/>
  <c r="E2087" i="2"/>
  <c r="B2087" i="2"/>
  <c r="U2086" i="2"/>
  <c r="K2086" i="2"/>
  <c r="E2086" i="2"/>
  <c r="B2086" i="2"/>
  <c r="U2085" i="2"/>
  <c r="K2085" i="2"/>
  <c r="E2085" i="2"/>
  <c r="B2085" i="2"/>
  <c r="U2084" i="2"/>
  <c r="K2084" i="2"/>
  <c r="E2084" i="2"/>
  <c r="B2084" i="2"/>
  <c r="U2083" i="2"/>
  <c r="K2083" i="2"/>
  <c r="E2083" i="2"/>
  <c r="B2083" i="2"/>
  <c r="U2082" i="2"/>
  <c r="K2082" i="2"/>
  <c r="E2082" i="2"/>
  <c r="B2082" i="2"/>
  <c r="U2081" i="2"/>
  <c r="K2081" i="2"/>
  <c r="E2081" i="2"/>
  <c r="B2081" i="2"/>
  <c r="U2080" i="2"/>
  <c r="K2080" i="2"/>
  <c r="E2080" i="2"/>
  <c r="B2080" i="2"/>
  <c r="U2079" i="2"/>
  <c r="K2079" i="2"/>
  <c r="E2079" i="2"/>
  <c r="B2079" i="2"/>
  <c r="U2078" i="2"/>
  <c r="K2078" i="2"/>
  <c r="E2078" i="2"/>
  <c r="B2078" i="2"/>
  <c r="U2077" i="2"/>
  <c r="K2077" i="2"/>
  <c r="E2077" i="2"/>
  <c r="B2077" i="2"/>
  <c r="U2076" i="2"/>
  <c r="K2076" i="2"/>
  <c r="E2076" i="2"/>
  <c r="B2076" i="2"/>
  <c r="U2075" i="2"/>
  <c r="K2075" i="2"/>
  <c r="E2075" i="2"/>
  <c r="B2075" i="2"/>
  <c r="U2074" i="2"/>
  <c r="K2074" i="2"/>
  <c r="E2074" i="2"/>
  <c r="B2074" i="2"/>
  <c r="U2073" i="2"/>
  <c r="K2073" i="2"/>
  <c r="E2073" i="2"/>
  <c r="B2073" i="2"/>
  <c r="U2072" i="2"/>
  <c r="K2072" i="2"/>
  <c r="E2072" i="2"/>
  <c r="B2072" i="2"/>
  <c r="U2071" i="2"/>
  <c r="K2071" i="2"/>
  <c r="E2071" i="2"/>
  <c r="B2071" i="2"/>
  <c r="U2070" i="2"/>
  <c r="K2070" i="2"/>
  <c r="E2070" i="2"/>
  <c r="B2070" i="2"/>
  <c r="U2069" i="2"/>
  <c r="K2069" i="2"/>
  <c r="E2069" i="2"/>
  <c r="B2069" i="2"/>
  <c r="U2068" i="2"/>
  <c r="K2068" i="2"/>
  <c r="E2068" i="2"/>
  <c r="B2068" i="2"/>
  <c r="U2067" i="2"/>
  <c r="K2067" i="2"/>
  <c r="E2067" i="2"/>
  <c r="B2067" i="2"/>
  <c r="U2066" i="2"/>
  <c r="K2066" i="2"/>
  <c r="E2066" i="2"/>
  <c r="B2066" i="2"/>
  <c r="U2065" i="2"/>
  <c r="K2065" i="2"/>
  <c r="E2065" i="2"/>
  <c r="B2065" i="2"/>
  <c r="U2064" i="2"/>
  <c r="K2064" i="2"/>
  <c r="E2064" i="2"/>
  <c r="B2064" i="2"/>
  <c r="U2063" i="2"/>
  <c r="K2063" i="2"/>
  <c r="E2063" i="2"/>
  <c r="B2063" i="2"/>
  <c r="U2062" i="2"/>
  <c r="K2062" i="2"/>
  <c r="E2062" i="2"/>
  <c r="B2062" i="2"/>
  <c r="U2061" i="2"/>
  <c r="K2061" i="2"/>
  <c r="E2061" i="2"/>
  <c r="B2061" i="2"/>
  <c r="U2060" i="2"/>
  <c r="K2060" i="2"/>
  <c r="E2060" i="2"/>
  <c r="B2060" i="2"/>
  <c r="U2059" i="2"/>
  <c r="K2059" i="2"/>
  <c r="E2059" i="2"/>
  <c r="B2059" i="2"/>
  <c r="U2058" i="2"/>
  <c r="K2058" i="2"/>
  <c r="E2058" i="2"/>
  <c r="B2058" i="2"/>
  <c r="U2057" i="2"/>
  <c r="K2057" i="2"/>
  <c r="E2057" i="2"/>
  <c r="B2057" i="2"/>
  <c r="U2056" i="2"/>
  <c r="K2056" i="2"/>
  <c r="E2056" i="2"/>
  <c r="B2056" i="2"/>
  <c r="U2055" i="2"/>
  <c r="K2055" i="2"/>
  <c r="E2055" i="2"/>
  <c r="B2055" i="2"/>
  <c r="U2054" i="2"/>
  <c r="K2054" i="2"/>
  <c r="E2054" i="2"/>
  <c r="B2054" i="2"/>
  <c r="U2053" i="2"/>
  <c r="K2053" i="2"/>
  <c r="E2053" i="2"/>
  <c r="B2053" i="2"/>
  <c r="U2052" i="2"/>
  <c r="K2052" i="2"/>
  <c r="E2052" i="2"/>
  <c r="B2052" i="2"/>
  <c r="U2051" i="2"/>
  <c r="K2051" i="2"/>
  <c r="E2051" i="2"/>
  <c r="B2051" i="2"/>
  <c r="U2050" i="2"/>
  <c r="K2050" i="2"/>
  <c r="E2050" i="2"/>
  <c r="B2050" i="2"/>
  <c r="U2049" i="2"/>
  <c r="K2049" i="2"/>
  <c r="E2049" i="2"/>
  <c r="B2049" i="2"/>
  <c r="U2048" i="2"/>
  <c r="K2048" i="2"/>
  <c r="E2048" i="2"/>
  <c r="B2048" i="2"/>
  <c r="U2047" i="2"/>
  <c r="K2047" i="2"/>
  <c r="E2047" i="2"/>
  <c r="B2047" i="2"/>
  <c r="U2046" i="2"/>
  <c r="K2046" i="2"/>
  <c r="E2046" i="2"/>
  <c r="B2046" i="2"/>
  <c r="U2045" i="2"/>
  <c r="K2045" i="2"/>
  <c r="E2045" i="2"/>
  <c r="B2045" i="2"/>
  <c r="U2044" i="2"/>
  <c r="K2044" i="2"/>
  <c r="E2044" i="2"/>
  <c r="B2044" i="2"/>
  <c r="U2043" i="2"/>
  <c r="K2043" i="2"/>
  <c r="E2043" i="2"/>
  <c r="B2043" i="2"/>
  <c r="U2042" i="2"/>
  <c r="K2042" i="2"/>
  <c r="E2042" i="2"/>
  <c r="B2042" i="2"/>
  <c r="U2041" i="2"/>
  <c r="K2041" i="2"/>
  <c r="E2041" i="2"/>
  <c r="B2041" i="2"/>
  <c r="U2040" i="2"/>
  <c r="K2040" i="2"/>
  <c r="E2040" i="2"/>
  <c r="B2040" i="2"/>
  <c r="U2039" i="2"/>
  <c r="K2039" i="2"/>
  <c r="E2039" i="2"/>
  <c r="B2039" i="2"/>
  <c r="U2038" i="2"/>
  <c r="K2038" i="2"/>
  <c r="E2038" i="2"/>
  <c r="B2038" i="2"/>
  <c r="U2037" i="2"/>
  <c r="K2037" i="2"/>
  <c r="E2037" i="2"/>
  <c r="B2037" i="2"/>
  <c r="U2036" i="2"/>
  <c r="K2036" i="2"/>
  <c r="E2036" i="2"/>
  <c r="B2036" i="2"/>
  <c r="U2035" i="2"/>
  <c r="K2035" i="2"/>
  <c r="E2035" i="2"/>
  <c r="B2035" i="2"/>
  <c r="U2034" i="2"/>
  <c r="K2034" i="2"/>
  <c r="E2034" i="2"/>
  <c r="B2034" i="2"/>
  <c r="U2033" i="2"/>
  <c r="K2033" i="2"/>
  <c r="E2033" i="2"/>
  <c r="B2033" i="2"/>
  <c r="U2032" i="2"/>
  <c r="K2032" i="2"/>
  <c r="E2032" i="2"/>
  <c r="B2032" i="2"/>
  <c r="U2031" i="2"/>
  <c r="K2031" i="2"/>
  <c r="E2031" i="2"/>
  <c r="B2031" i="2"/>
  <c r="U2030" i="2"/>
  <c r="K2030" i="2"/>
  <c r="E2030" i="2"/>
  <c r="B2030" i="2"/>
  <c r="U2029" i="2"/>
  <c r="K2029" i="2"/>
  <c r="E2029" i="2"/>
  <c r="B2029" i="2"/>
  <c r="U2028" i="2"/>
  <c r="K2028" i="2"/>
  <c r="E2028" i="2"/>
  <c r="B2028" i="2"/>
  <c r="U2027" i="2"/>
  <c r="K2027" i="2"/>
  <c r="E2027" i="2"/>
  <c r="B2027" i="2"/>
  <c r="U2026" i="2"/>
  <c r="K2026" i="2"/>
  <c r="E2026" i="2"/>
  <c r="B2026" i="2"/>
  <c r="U2025" i="2"/>
  <c r="K2025" i="2"/>
  <c r="E2025" i="2"/>
  <c r="B2025" i="2"/>
  <c r="U2024" i="2"/>
  <c r="K2024" i="2"/>
  <c r="E2024" i="2"/>
  <c r="B2024" i="2"/>
  <c r="U2023" i="2"/>
  <c r="K2023" i="2"/>
  <c r="E2023" i="2"/>
  <c r="B2023" i="2"/>
  <c r="U2022" i="2"/>
  <c r="K2022" i="2"/>
  <c r="E2022" i="2"/>
  <c r="B2022" i="2"/>
  <c r="U2021" i="2"/>
  <c r="K2021" i="2"/>
  <c r="E2021" i="2"/>
  <c r="B2021" i="2"/>
  <c r="U2020" i="2"/>
  <c r="K2020" i="2"/>
  <c r="E2020" i="2"/>
  <c r="B2020" i="2"/>
  <c r="U2019" i="2"/>
  <c r="K2019" i="2"/>
  <c r="E2019" i="2"/>
  <c r="B2019" i="2"/>
  <c r="U2018" i="2"/>
  <c r="K2018" i="2"/>
  <c r="E2018" i="2"/>
  <c r="B2018" i="2"/>
  <c r="U2017" i="2"/>
  <c r="K2017" i="2"/>
  <c r="E2017" i="2"/>
  <c r="B2017" i="2"/>
  <c r="U2016" i="2"/>
  <c r="K2016" i="2"/>
  <c r="E2016" i="2"/>
  <c r="B2016" i="2"/>
  <c r="U2015" i="2"/>
  <c r="K2015" i="2"/>
  <c r="E2015" i="2"/>
  <c r="B2015" i="2"/>
  <c r="U2014" i="2"/>
  <c r="K2014" i="2"/>
  <c r="E2014" i="2"/>
  <c r="B2014" i="2"/>
  <c r="U2013" i="2"/>
  <c r="K2013" i="2"/>
  <c r="E2013" i="2"/>
  <c r="B2013" i="2"/>
  <c r="U2012" i="2"/>
  <c r="K2012" i="2"/>
  <c r="E2012" i="2"/>
  <c r="B2012" i="2"/>
  <c r="U2011" i="2"/>
  <c r="K2011" i="2"/>
  <c r="E2011" i="2"/>
  <c r="B2011" i="2"/>
  <c r="U2010" i="2"/>
  <c r="K2010" i="2"/>
  <c r="E2010" i="2"/>
  <c r="B2010" i="2"/>
  <c r="U2009" i="2"/>
  <c r="K2009" i="2"/>
  <c r="E2009" i="2"/>
  <c r="B2009" i="2"/>
  <c r="U2008" i="2"/>
  <c r="K2008" i="2"/>
  <c r="E2008" i="2"/>
  <c r="B2008" i="2"/>
  <c r="U2007" i="2"/>
  <c r="K2007" i="2"/>
  <c r="E2007" i="2"/>
  <c r="B2007" i="2"/>
  <c r="U2006" i="2"/>
  <c r="K2006" i="2"/>
  <c r="E2006" i="2"/>
  <c r="B2006" i="2"/>
  <c r="U2005" i="2"/>
  <c r="K2005" i="2"/>
  <c r="E2005" i="2"/>
  <c r="B2005" i="2"/>
  <c r="U2004" i="2"/>
  <c r="K2004" i="2"/>
  <c r="E2004" i="2"/>
  <c r="B2004" i="2"/>
  <c r="U2003" i="2"/>
  <c r="K2003" i="2"/>
  <c r="E2003" i="2"/>
  <c r="B2003" i="2"/>
  <c r="U2002" i="2"/>
  <c r="K2002" i="2"/>
  <c r="E2002" i="2"/>
  <c r="B2002" i="2"/>
  <c r="U2001" i="2"/>
  <c r="K2001" i="2"/>
  <c r="E2001" i="2"/>
  <c r="B2001" i="2"/>
  <c r="U2000" i="2"/>
  <c r="K2000" i="2"/>
  <c r="E2000" i="2"/>
  <c r="B2000" i="2"/>
  <c r="U1999" i="2"/>
  <c r="K1999" i="2"/>
  <c r="E1999" i="2"/>
  <c r="B1999" i="2"/>
  <c r="U1998" i="2"/>
  <c r="K1998" i="2"/>
  <c r="E1998" i="2"/>
  <c r="B1998" i="2"/>
  <c r="U1997" i="2"/>
  <c r="K1997" i="2"/>
  <c r="E1997" i="2"/>
  <c r="B1997" i="2"/>
  <c r="U1996" i="2"/>
  <c r="K1996" i="2"/>
  <c r="E1996" i="2"/>
  <c r="B1996" i="2"/>
  <c r="U1995" i="2"/>
  <c r="K1995" i="2"/>
  <c r="E1995" i="2"/>
  <c r="B1995" i="2"/>
  <c r="U1994" i="2"/>
  <c r="K1994" i="2"/>
  <c r="E1994" i="2"/>
  <c r="B1994" i="2"/>
  <c r="U1993" i="2"/>
  <c r="K1993" i="2"/>
  <c r="E1993" i="2"/>
  <c r="B1993" i="2"/>
  <c r="U1992" i="2"/>
  <c r="K1992" i="2"/>
  <c r="E1992" i="2"/>
  <c r="B1992" i="2"/>
  <c r="U1991" i="2"/>
  <c r="K1991" i="2"/>
  <c r="E1991" i="2"/>
  <c r="B1991" i="2"/>
  <c r="U1990" i="2"/>
  <c r="K1990" i="2"/>
  <c r="E1990" i="2"/>
  <c r="B1990" i="2"/>
  <c r="U1989" i="2"/>
  <c r="K1989" i="2"/>
  <c r="E1989" i="2"/>
  <c r="B1989" i="2"/>
  <c r="U1988" i="2"/>
  <c r="K1988" i="2"/>
  <c r="E1988" i="2"/>
  <c r="B1988" i="2"/>
  <c r="U1987" i="2"/>
  <c r="K1987" i="2"/>
  <c r="E1987" i="2"/>
  <c r="B1987" i="2"/>
  <c r="U1986" i="2"/>
  <c r="K1986" i="2"/>
  <c r="E1986" i="2"/>
  <c r="B1986" i="2"/>
  <c r="U1985" i="2"/>
  <c r="K1985" i="2"/>
  <c r="E1985" i="2"/>
  <c r="B1985" i="2"/>
  <c r="U1984" i="2"/>
  <c r="K1984" i="2"/>
  <c r="E1984" i="2"/>
  <c r="B1984" i="2"/>
  <c r="U1983" i="2"/>
  <c r="K1983" i="2"/>
  <c r="E1983" i="2"/>
  <c r="B1983" i="2"/>
  <c r="U1982" i="2"/>
  <c r="K1982" i="2"/>
  <c r="E1982" i="2"/>
  <c r="B1982" i="2"/>
  <c r="U1981" i="2"/>
  <c r="K1981" i="2"/>
  <c r="E1981" i="2"/>
  <c r="B1981" i="2"/>
  <c r="U1980" i="2"/>
  <c r="K1980" i="2"/>
  <c r="E1980" i="2"/>
  <c r="B1980" i="2"/>
  <c r="U1979" i="2"/>
  <c r="K1979" i="2"/>
  <c r="E1979" i="2"/>
  <c r="B1979" i="2"/>
  <c r="U1978" i="2"/>
  <c r="K1978" i="2"/>
  <c r="E1978" i="2"/>
  <c r="B1978" i="2"/>
  <c r="U1977" i="2"/>
  <c r="K1977" i="2"/>
  <c r="E1977" i="2"/>
  <c r="B1977" i="2"/>
  <c r="U1976" i="2"/>
  <c r="K1976" i="2"/>
  <c r="E1976" i="2"/>
  <c r="B1976" i="2"/>
  <c r="U1975" i="2"/>
  <c r="K1975" i="2"/>
  <c r="E1975" i="2"/>
  <c r="B1975" i="2"/>
  <c r="U1974" i="2"/>
  <c r="K1974" i="2"/>
  <c r="E1974" i="2"/>
  <c r="B1974" i="2"/>
  <c r="U1973" i="2"/>
  <c r="K1973" i="2"/>
  <c r="E1973" i="2"/>
  <c r="B1973" i="2"/>
  <c r="U1972" i="2"/>
  <c r="K1972" i="2"/>
  <c r="E1972" i="2"/>
  <c r="B1972" i="2"/>
  <c r="U1971" i="2"/>
  <c r="K1971" i="2"/>
  <c r="E1971" i="2"/>
  <c r="B1971" i="2"/>
  <c r="U1970" i="2"/>
  <c r="K1970" i="2"/>
  <c r="E1970" i="2"/>
  <c r="B1970" i="2"/>
  <c r="U1969" i="2"/>
  <c r="K1969" i="2"/>
  <c r="E1969" i="2"/>
  <c r="B1969" i="2"/>
  <c r="U1968" i="2"/>
  <c r="K1968" i="2"/>
  <c r="E1968" i="2"/>
  <c r="B1968" i="2"/>
  <c r="U1967" i="2"/>
  <c r="K1967" i="2"/>
  <c r="E1967" i="2"/>
  <c r="B1967" i="2"/>
  <c r="U1966" i="2"/>
  <c r="K1966" i="2"/>
  <c r="E1966" i="2"/>
  <c r="B1966" i="2"/>
  <c r="U1965" i="2"/>
  <c r="K1965" i="2"/>
  <c r="E1965" i="2"/>
  <c r="B1965" i="2"/>
  <c r="U1964" i="2"/>
  <c r="K1964" i="2"/>
  <c r="E1964" i="2"/>
  <c r="B1964" i="2"/>
  <c r="U1963" i="2"/>
  <c r="K1963" i="2"/>
  <c r="E1963" i="2"/>
  <c r="B1963" i="2"/>
  <c r="U1962" i="2"/>
  <c r="K1962" i="2"/>
  <c r="E1962" i="2"/>
  <c r="B1962" i="2"/>
  <c r="U1961" i="2"/>
  <c r="K1961" i="2"/>
  <c r="E1961" i="2"/>
  <c r="B1961" i="2"/>
  <c r="U1960" i="2"/>
  <c r="K1960" i="2"/>
  <c r="E1960" i="2"/>
  <c r="B1960" i="2"/>
  <c r="U1959" i="2"/>
  <c r="K1959" i="2"/>
  <c r="E1959" i="2"/>
  <c r="B1959" i="2"/>
  <c r="U1958" i="2"/>
  <c r="K1958" i="2"/>
  <c r="E1958" i="2"/>
  <c r="B1958" i="2"/>
  <c r="U1957" i="2"/>
  <c r="K1957" i="2"/>
  <c r="E1957" i="2"/>
  <c r="B1957" i="2"/>
  <c r="U1956" i="2"/>
  <c r="K1956" i="2"/>
  <c r="E1956" i="2"/>
  <c r="B1956" i="2"/>
  <c r="U1955" i="2"/>
  <c r="K1955" i="2"/>
  <c r="E1955" i="2"/>
  <c r="B1955" i="2"/>
  <c r="U1954" i="2"/>
  <c r="K1954" i="2"/>
  <c r="E1954" i="2"/>
  <c r="B1954" i="2"/>
  <c r="U1953" i="2"/>
  <c r="K1953" i="2"/>
  <c r="E1953" i="2"/>
  <c r="B1953" i="2"/>
  <c r="U1952" i="2"/>
  <c r="K1952" i="2"/>
  <c r="E1952" i="2"/>
  <c r="B1952" i="2"/>
  <c r="U1951" i="2"/>
  <c r="K1951" i="2"/>
  <c r="E1951" i="2"/>
  <c r="B1951" i="2"/>
  <c r="U1950" i="2"/>
  <c r="K1950" i="2"/>
  <c r="E1950" i="2"/>
  <c r="B1950" i="2"/>
  <c r="U1949" i="2"/>
  <c r="K1949" i="2"/>
  <c r="E1949" i="2"/>
  <c r="B1949" i="2"/>
  <c r="U1948" i="2"/>
  <c r="K1948" i="2"/>
  <c r="E1948" i="2"/>
  <c r="B1948" i="2"/>
  <c r="U1947" i="2"/>
  <c r="K1947" i="2"/>
  <c r="E1947" i="2"/>
  <c r="B1947" i="2"/>
  <c r="U1946" i="2"/>
  <c r="K1946" i="2"/>
  <c r="E1946" i="2"/>
  <c r="B1946" i="2"/>
  <c r="U1945" i="2"/>
  <c r="K1945" i="2"/>
  <c r="E1945" i="2"/>
  <c r="B1945" i="2"/>
  <c r="U1944" i="2"/>
  <c r="K1944" i="2"/>
  <c r="E1944" i="2"/>
  <c r="B1944" i="2"/>
  <c r="U1943" i="2"/>
  <c r="K1943" i="2"/>
  <c r="E1943" i="2"/>
  <c r="B1943" i="2"/>
  <c r="U1942" i="2"/>
  <c r="K1942" i="2"/>
  <c r="E1942" i="2"/>
  <c r="B1942" i="2"/>
  <c r="U1941" i="2"/>
  <c r="K1941" i="2"/>
  <c r="E1941" i="2"/>
  <c r="B1941" i="2"/>
  <c r="U1940" i="2"/>
  <c r="K1940" i="2"/>
  <c r="E1940" i="2"/>
  <c r="B1940" i="2"/>
  <c r="U1939" i="2"/>
  <c r="K1939" i="2"/>
  <c r="E1939" i="2"/>
  <c r="B1939" i="2"/>
  <c r="U1938" i="2"/>
  <c r="K1938" i="2"/>
  <c r="E1938" i="2"/>
  <c r="B1938" i="2"/>
  <c r="U1937" i="2"/>
  <c r="K1937" i="2"/>
  <c r="E1937" i="2"/>
  <c r="B1937" i="2"/>
  <c r="U1936" i="2"/>
  <c r="K1936" i="2"/>
  <c r="E1936" i="2"/>
  <c r="B1936" i="2"/>
  <c r="U1935" i="2"/>
  <c r="K1935" i="2"/>
  <c r="E1935" i="2"/>
  <c r="B1935" i="2"/>
  <c r="U1934" i="2"/>
  <c r="K1934" i="2"/>
  <c r="E1934" i="2"/>
  <c r="B1934" i="2"/>
  <c r="U1933" i="2"/>
  <c r="K1933" i="2"/>
  <c r="E1933" i="2"/>
  <c r="B1933" i="2"/>
  <c r="U1932" i="2"/>
  <c r="K1932" i="2"/>
  <c r="E1932" i="2"/>
  <c r="B1932" i="2"/>
  <c r="U1931" i="2"/>
  <c r="K1931" i="2"/>
  <c r="E1931" i="2"/>
  <c r="B1931" i="2"/>
  <c r="U1930" i="2"/>
  <c r="K1930" i="2"/>
  <c r="E1930" i="2"/>
  <c r="B1930" i="2"/>
  <c r="U1929" i="2"/>
  <c r="K1929" i="2"/>
  <c r="E1929" i="2"/>
  <c r="B1929" i="2"/>
  <c r="U1928" i="2"/>
  <c r="K1928" i="2"/>
  <c r="E1928" i="2"/>
  <c r="B1928" i="2"/>
  <c r="U1927" i="2"/>
  <c r="K1927" i="2"/>
  <c r="E1927" i="2"/>
  <c r="B1927" i="2"/>
  <c r="U1926" i="2"/>
  <c r="K1926" i="2"/>
  <c r="E1926" i="2"/>
  <c r="B1926" i="2"/>
  <c r="U1925" i="2"/>
  <c r="K1925" i="2"/>
  <c r="E1925" i="2"/>
  <c r="B1925" i="2"/>
  <c r="U1924" i="2"/>
  <c r="K1924" i="2"/>
  <c r="E1924" i="2"/>
  <c r="B1924" i="2"/>
  <c r="U1923" i="2"/>
  <c r="K1923" i="2"/>
  <c r="E1923" i="2"/>
  <c r="B1923" i="2"/>
  <c r="U1922" i="2"/>
  <c r="K1922" i="2"/>
  <c r="E1922" i="2"/>
  <c r="B1922" i="2"/>
  <c r="U1921" i="2"/>
  <c r="K1921" i="2"/>
  <c r="E1921" i="2"/>
  <c r="B1921" i="2"/>
  <c r="U1920" i="2"/>
  <c r="K1920" i="2"/>
  <c r="E1920" i="2"/>
  <c r="B1920" i="2"/>
  <c r="U1919" i="2"/>
  <c r="K1919" i="2"/>
  <c r="E1919" i="2"/>
  <c r="B1919" i="2"/>
  <c r="U1918" i="2"/>
  <c r="K1918" i="2"/>
  <c r="E1918" i="2"/>
  <c r="B1918" i="2"/>
  <c r="U1917" i="2"/>
  <c r="K1917" i="2"/>
  <c r="E1917" i="2"/>
  <c r="B1917" i="2"/>
  <c r="U1916" i="2"/>
  <c r="K1916" i="2"/>
  <c r="E1916" i="2"/>
  <c r="B1916" i="2"/>
  <c r="U1915" i="2"/>
  <c r="K1915" i="2"/>
  <c r="E1915" i="2"/>
  <c r="B1915" i="2"/>
  <c r="U1914" i="2"/>
  <c r="K1914" i="2"/>
  <c r="E1914" i="2"/>
  <c r="B1914" i="2"/>
  <c r="U1913" i="2"/>
  <c r="K1913" i="2"/>
  <c r="E1913" i="2"/>
  <c r="B1913" i="2"/>
  <c r="U1912" i="2"/>
  <c r="K1912" i="2"/>
  <c r="E1912" i="2"/>
  <c r="B1912" i="2"/>
  <c r="U1911" i="2"/>
  <c r="K1911" i="2"/>
  <c r="E1911" i="2"/>
  <c r="B1911" i="2"/>
  <c r="U1910" i="2"/>
  <c r="K1910" i="2"/>
  <c r="E1910" i="2"/>
  <c r="B1910" i="2"/>
  <c r="U1909" i="2"/>
  <c r="K1909" i="2"/>
  <c r="E1909" i="2"/>
  <c r="B1909" i="2"/>
  <c r="U1908" i="2"/>
  <c r="K1908" i="2"/>
  <c r="E1908" i="2"/>
  <c r="B1908" i="2"/>
  <c r="U1907" i="2"/>
  <c r="K1907" i="2"/>
  <c r="E1907" i="2"/>
  <c r="B1907" i="2"/>
  <c r="U1906" i="2"/>
  <c r="K1906" i="2"/>
  <c r="E1906" i="2"/>
  <c r="B1906" i="2"/>
  <c r="U1905" i="2"/>
  <c r="K1905" i="2"/>
  <c r="E1905" i="2"/>
  <c r="B1905" i="2"/>
  <c r="U1904" i="2"/>
  <c r="K1904" i="2"/>
  <c r="E1904" i="2"/>
  <c r="B1904" i="2"/>
  <c r="U1903" i="2"/>
  <c r="K1903" i="2"/>
  <c r="E1903" i="2"/>
  <c r="B1903" i="2"/>
  <c r="U1902" i="2"/>
  <c r="K1902" i="2"/>
  <c r="E1902" i="2"/>
  <c r="B1902" i="2"/>
  <c r="U1901" i="2"/>
  <c r="K1901" i="2"/>
  <c r="E1901" i="2"/>
  <c r="B1901" i="2"/>
  <c r="U1900" i="2"/>
  <c r="K1900" i="2"/>
  <c r="E1900" i="2"/>
  <c r="B1900" i="2"/>
  <c r="U1899" i="2"/>
  <c r="K1899" i="2"/>
  <c r="E1899" i="2"/>
  <c r="B1899" i="2"/>
  <c r="U1898" i="2"/>
  <c r="K1898" i="2"/>
  <c r="E1898" i="2"/>
  <c r="B1898" i="2"/>
  <c r="U1897" i="2"/>
  <c r="K1897" i="2"/>
  <c r="E1897" i="2"/>
  <c r="B1897" i="2"/>
  <c r="U1896" i="2"/>
  <c r="K1896" i="2"/>
  <c r="E1896" i="2"/>
  <c r="B1896" i="2"/>
  <c r="U1895" i="2"/>
  <c r="K1895" i="2"/>
  <c r="E1895" i="2"/>
  <c r="B1895" i="2"/>
  <c r="U1894" i="2"/>
  <c r="K1894" i="2"/>
  <c r="E1894" i="2"/>
  <c r="B1894" i="2"/>
  <c r="U1893" i="2"/>
  <c r="K1893" i="2"/>
  <c r="E1893" i="2"/>
  <c r="B1893" i="2"/>
  <c r="U1892" i="2"/>
  <c r="K1892" i="2"/>
  <c r="E1892" i="2"/>
  <c r="B1892" i="2"/>
  <c r="U1891" i="2"/>
  <c r="K1891" i="2"/>
  <c r="E1891" i="2"/>
  <c r="B1891" i="2"/>
  <c r="U1890" i="2"/>
  <c r="K1890" i="2"/>
  <c r="E1890" i="2"/>
  <c r="B1890" i="2"/>
  <c r="U1889" i="2"/>
  <c r="K1889" i="2"/>
  <c r="E1889" i="2"/>
  <c r="B1889" i="2"/>
  <c r="U1888" i="2"/>
  <c r="K1888" i="2"/>
  <c r="E1888" i="2"/>
  <c r="B1888" i="2"/>
  <c r="U1887" i="2"/>
  <c r="K1887" i="2"/>
  <c r="E1887" i="2"/>
  <c r="B1887" i="2"/>
  <c r="U1886" i="2"/>
  <c r="K1886" i="2"/>
  <c r="E1886" i="2"/>
  <c r="B1886" i="2"/>
  <c r="U1885" i="2"/>
  <c r="K1885" i="2"/>
  <c r="E1885" i="2"/>
  <c r="B1885" i="2"/>
  <c r="U1884" i="2"/>
  <c r="K1884" i="2"/>
  <c r="E1884" i="2"/>
  <c r="B1884" i="2"/>
  <c r="U1883" i="2"/>
  <c r="K1883" i="2"/>
  <c r="E1883" i="2"/>
  <c r="B1883" i="2"/>
  <c r="U1882" i="2"/>
  <c r="K1882" i="2"/>
  <c r="E1882" i="2"/>
  <c r="B1882" i="2"/>
  <c r="U1881" i="2"/>
  <c r="K1881" i="2"/>
  <c r="E1881" i="2"/>
  <c r="B1881" i="2"/>
  <c r="U1880" i="2"/>
  <c r="K1880" i="2"/>
  <c r="E1880" i="2"/>
  <c r="B1880" i="2"/>
  <c r="U1879" i="2"/>
  <c r="K1879" i="2"/>
  <c r="E1879" i="2"/>
  <c r="B1879" i="2"/>
  <c r="U1878" i="2"/>
  <c r="K1878" i="2"/>
  <c r="E1878" i="2"/>
  <c r="B1878" i="2"/>
  <c r="U1877" i="2"/>
  <c r="K1877" i="2"/>
  <c r="E1877" i="2"/>
  <c r="B1877" i="2"/>
  <c r="U1876" i="2"/>
  <c r="K1876" i="2"/>
  <c r="E1876" i="2"/>
  <c r="B1876" i="2"/>
  <c r="U1875" i="2"/>
  <c r="K1875" i="2"/>
  <c r="E1875" i="2"/>
  <c r="B1875" i="2"/>
  <c r="K1874" i="2"/>
  <c r="E1874" i="2"/>
  <c r="B1874" i="2"/>
  <c r="U1873" i="2"/>
  <c r="K1873" i="2"/>
  <c r="E1873" i="2"/>
  <c r="B1873" i="2"/>
  <c r="U1872" i="2"/>
  <c r="K1872" i="2"/>
  <c r="E1872" i="2"/>
  <c r="B1872" i="2"/>
  <c r="U1871" i="2"/>
  <c r="K1871" i="2"/>
  <c r="E1871" i="2"/>
  <c r="B1871" i="2"/>
  <c r="U1870" i="2"/>
  <c r="K1870" i="2"/>
  <c r="E1870" i="2"/>
  <c r="B1870" i="2"/>
  <c r="U1869" i="2"/>
  <c r="K1869" i="2"/>
  <c r="E1869" i="2"/>
  <c r="B1869" i="2"/>
  <c r="U1868" i="2"/>
  <c r="K1868" i="2"/>
  <c r="E1868" i="2"/>
  <c r="B1868" i="2"/>
  <c r="U1867" i="2"/>
  <c r="K1867" i="2"/>
  <c r="E1867" i="2"/>
  <c r="B1867" i="2"/>
  <c r="U1866" i="2"/>
  <c r="K1866" i="2"/>
  <c r="E1866" i="2"/>
  <c r="B1866" i="2"/>
  <c r="U1865" i="2"/>
  <c r="K1865" i="2"/>
  <c r="E1865" i="2"/>
  <c r="B1865" i="2"/>
  <c r="U1864" i="2"/>
  <c r="K1864" i="2"/>
  <c r="E1864" i="2"/>
  <c r="B1864" i="2"/>
  <c r="U1863" i="2"/>
  <c r="K1863" i="2"/>
  <c r="E1863" i="2"/>
  <c r="B1863" i="2"/>
  <c r="U1862" i="2"/>
  <c r="K1862" i="2"/>
  <c r="E1862" i="2"/>
  <c r="B1862" i="2"/>
  <c r="U1861" i="2"/>
  <c r="K1861" i="2"/>
  <c r="E1861" i="2"/>
  <c r="B1861" i="2"/>
  <c r="U1860" i="2"/>
  <c r="K1860" i="2"/>
  <c r="E1860" i="2"/>
  <c r="B1860" i="2"/>
  <c r="U1859" i="2"/>
  <c r="K1859" i="2"/>
  <c r="E1859" i="2"/>
  <c r="B1859" i="2"/>
  <c r="U1858" i="2"/>
  <c r="K1858" i="2"/>
  <c r="E1858" i="2"/>
  <c r="B1858" i="2"/>
  <c r="U1857" i="2"/>
  <c r="K1857" i="2"/>
  <c r="E1857" i="2"/>
  <c r="B1857" i="2"/>
  <c r="U1856" i="2"/>
  <c r="K1856" i="2"/>
  <c r="E1856" i="2"/>
  <c r="B1856" i="2"/>
  <c r="U1855" i="2"/>
  <c r="K1855" i="2"/>
  <c r="E1855" i="2"/>
  <c r="B1855" i="2"/>
  <c r="U1854" i="2"/>
  <c r="K1854" i="2"/>
  <c r="E1854" i="2"/>
  <c r="B1854" i="2"/>
  <c r="U1853" i="2"/>
  <c r="K1853" i="2"/>
  <c r="E1853" i="2"/>
  <c r="B1853" i="2"/>
  <c r="U1852" i="2"/>
  <c r="K1852" i="2"/>
  <c r="E1852" i="2"/>
  <c r="B1852" i="2"/>
  <c r="U1851" i="2"/>
  <c r="K1851" i="2"/>
  <c r="E1851" i="2"/>
  <c r="B1851" i="2"/>
  <c r="U1850" i="2"/>
  <c r="K1850" i="2"/>
  <c r="E1850" i="2"/>
  <c r="B1850" i="2"/>
  <c r="U1849" i="2"/>
  <c r="K1849" i="2"/>
  <c r="E1849" i="2"/>
  <c r="B1849" i="2"/>
  <c r="U1848" i="2"/>
  <c r="K1848" i="2"/>
  <c r="E1848" i="2"/>
  <c r="B1848" i="2"/>
  <c r="U1847" i="2"/>
  <c r="K1847" i="2"/>
  <c r="E1847" i="2"/>
  <c r="B1847" i="2"/>
  <c r="U1846" i="2"/>
  <c r="K1846" i="2"/>
  <c r="E1846" i="2"/>
  <c r="B1846" i="2"/>
  <c r="U1845" i="2"/>
  <c r="K1845" i="2"/>
  <c r="E1845" i="2"/>
  <c r="B1845" i="2"/>
  <c r="U1844" i="2"/>
  <c r="K1844" i="2"/>
  <c r="E1844" i="2"/>
  <c r="B1844" i="2"/>
  <c r="U1843" i="2"/>
  <c r="K1843" i="2"/>
  <c r="E1843" i="2"/>
  <c r="B1843" i="2"/>
  <c r="U1842" i="2"/>
  <c r="K1842" i="2"/>
  <c r="E1842" i="2"/>
  <c r="B1842" i="2"/>
  <c r="U1841" i="2"/>
  <c r="K1841" i="2"/>
  <c r="E1841" i="2"/>
  <c r="B1841" i="2"/>
  <c r="U1840" i="2"/>
  <c r="K1840" i="2"/>
  <c r="E1840" i="2"/>
  <c r="B1840" i="2"/>
  <c r="U1839" i="2"/>
  <c r="K1839" i="2"/>
  <c r="E1839" i="2"/>
  <c r="B1839" i="2"/>
  <c r="U1838" i="2"/>
  <c r="K1838" i="2"/>
  <c r="E1838" i="2"/>
  <c r="B1838" i="2"/>
  <c r="U1837" i="2"/>
  <c r="K1837" i="2"/>
  <c r="E1837" i="2"/>
  <c r="B1837" i="2"/>
  <c r="U1836" i="2"/>
  <c r="K1836" i="2"/>
  <c r="E1836" i="2"/>
  <c r="B1836" i="2"/>
  <c r="U1835" i="2"/>
  <c r="K1835" i="2"/>
  <c r="E1835" i="2"/>
  <c r="B1835" i="2"/>
  <c r="U1834" i="2"/>
  <c r="K1834" i="2"/>
  <c r="E1834" i="2"/>
  <c r="B1834" i="2"/>
  <c r="U1833" i="2"/>
  <c r="K1833" i="2"/>
  <c r="E1833" i="2"/>
  <c r="B1833" i="2"/>
  <c r="U1832" i="2"/>
  <c r="K1832" i="2"/>
  <c r="E1832" i="2"/>
  <c r="B1832" i="2"/>
  <c r="U1831" i="2"/>
  <c r="K1831" i="2"/>
  <c r="E1831" i="2"/>
  <c r="B1831" i="2"/>
  <c r="U1830" i="2"/>
  <c r="K1830" i="2"/>
  <c r="E1830" i="2"/>
  <c r="B1830" i="2"/>
  <c r="U1829" i="2"/>
  <c r="K1829" i="2"/>
  <c r="E1829" i="2"/>
  <c r="B1829" i="2"/>
  <c r="U1828" i="2"/>
  <c r="K1828" i="2"/>
  <c r="E1828" i="2"/>
  <c r="B1828" i="2"/>
  <c r="U1827" i="2"/>
  <c r="K1827" i="2"/>
  <c r="E1827" i="2"/>
  <c r="B1827" i="2"/>
  <c r="U1826" i="2"/>
  <c r="K1826" i="2"/>
  <c r="E1826" i="2"/>
  <c r="B1826" i="2"/>
  <c r="U1825" i="2"/>
  <c r="K1825" i="2"/>
  <c r="E1825" i="2"/>
  <c r="B1825" i="2"/>
  <c r="U1824" i="2"/>
  <c r="K1824" i="2"/>
  <c r="E1824" i="2"/>
  <c r="B1824" i="2"/>
  <c r="U1823" i="2"/>
  <c r="K1823" i="2"/>
  <c r="E1823" i="2"/>
  <c r="B1823" i="2"/>
  <c r="U1822" i="2"/>
  <c r="K1822" i="2"/>
  <c r="E1822" i="2"/>
  <c r="B1822" i="2"/>
  <c r="U1821" i="2"/>
  <c r="K1821" i="2"/>
  <c r="E1821" i="2"/>
  <c r="B1821" i="2"/>
  <c r="U1820" i="2"/>
  <c r="K1820" i="2"/>
  <c r="E1820" i="2"/>
  <c r="B1820" i="2"/>
  <c r="U1819" i="2"/>
  <c r="K1819" i="2"/>
  <c r="E1819" i="2"/>
  <c r="B1819" i="2"/>
  <c r="U1818" i="2"/>
  <c r="K1818" i="2"/>
  <c r="E1818" i="2"/>
  <c r="B1818" i="2"/>
  <c r="U1817" i="2"/>
  <c r="K1817" i="2"/>
  <c r="E1817" i="2"/>
  <c r="B1817" i="2"/>
  <c r="U1816" i="2"/>
  <c r="K1816" i="2"/>
  <c r="E1816" i="2"/>
  <c r="B1816" i="2"/>
  <c r="U1815" i="2"/>
  <c r="K1815" i="2"/>
  <c r="E1815" i="2"/>
  <c r="B1815" i="2"/>
  <c r="U1814" i="2"/>
  <c r="K1814" i="2"/>
  <c r="E1814" i="2"/>
  <c r="B1814" i="2"/>
  <c r="U1813" i="2"/>
  <c r="K1813" i="2"/>
  <c r="E1813" i="2"/>
  <c r="B1813" i="2"/>
  <c r="U1812" i="2"/>
  <c r="K1812" i="2"/>
  <c r="E1812" i="2"/>
  <c r="B1812" i="2"/>
  <c r="U1811" i="2"/>
  <c r="K1811" i="2"/>
  <c r="E1811" i="2"/>
  <c r="B1811" i="2"/>
  <c r="U1810" i="2"/>
  <c r="K1810" i="2"/>
  <c r="E1810" i="2"/>
  <c r="B1810" i="2"/>
  <c r="U1809" i="2"/>
  <c r="K1809" i="2"/>
  <c r="E1809" i="2"/>
  <c r="B1809" i="2"/>
  <c r="U1808" i="2"/>
  <c r="K1808" i="2"/>
  <c r="E1808" i="2"/>
  <c r="B1808" i="2"/>
  <c r="U1807" i="2"/>
  <c r="K1807" i="2"/>
  <c r="E1807" i="2"/>
  <c r="B1807" i="2"/>
  <c r="U1806" i="2"/>
  <c r="K1806" i="2"/>
  <c r="E1806" i="2"/>
  <c r="B1806" i="2"/>
  <c r="U1805" i="2"/>
  <c r="K1805" i="2"/>
  <c r="E1805" i="2"/>
  <c r="B1805" i="2"/>
  <c r="U1804" i="2"/>
  <c r="K1804" i="2"/>
  <c r="E1804" i="2"/>
  <c r="B1804" i="2"/>
  <c r="U1803" i="2"/>
  <c r="K1803" i="2"/>
  <c r="E1803" i="2"/>
  <c r="B1803" i="2"/>
  <c r="U1802" i="2"/>
  <c r="K1802" i="2"/>
  <c r="E1802" i="2"/>
  <c r="B1802" i="2"/>
  <c r="U1801" i="2"/>
  <c r="K1801" i="2"/>
  <c r="E1801" i="2"/>
  <c r="B1801" i="2"/>
  <c r="U1800" i="2"/>
  <c r="K1800" i="2"/>
  <c r="E1800" i="2"/>
  <c r="B1800" i="2"/>
  <c r="U1799" i="2"/>
  <c r="K1799" i="2"/>
  <c r="E1799" i="2"/>
  <c r="B1799" i="2"/>
  <c r="U1798" i="2"/>
  <c r="K1798" i="2"/>
  <c r="E1798" i="2"/>
  <c r="B1798" i="2"/>
  <c r="U1797" i="2"/>
  <c r="K1797" i="2"/>
  <c r="E1797" i="2"/>
  <c r="B1797" i="2"/>
  <c r="U1796" i="2"/>
  <c r="K1796" i="2"/>
  <c r="E1796" i="2"/>
  <c r="B1796" i="2"/>
  <c r="U1795" i="2"/>
  <c r="K1795" i="2"/>
  <c r="E1795" i="2"/>
  <c r="B1795" i="2"/>
  <c r="U1794" i="2"/>
  <c r="K1794" i="2"/>
  <c r="E1794" i="2"/>
  <c r="B1794" i="2"/>
  <c r="U1793" i="2"/>
  <c r="K1793" i="2"/>
  <c r="E1793" i="2"/>
  <c r="B1793" i="2"/>
  <c r="U1792" i="2"/>
  <c r="K1792" i="2"/>
  <c r="E1792" i="2"/>
  <c r="B1792" i="2"/>
  <c r="U1791" i="2"/>
  <c r="K1791" i="2"/>
  <c r="E1791" i="2"/>
  <c r="B1791" i="2"/>
  <c r="U1790" i="2"/>
  <c r="K1790" i="2"/>
  <c r="E1790" i="2"/>
  <c r="B1790" i="2"/>
  <c r="U1789" i="2"/>
  <c r="K1789" i="2"/>
  <c r="E1789" i="2"/>
  <c r="B1789" i="2"/>
  <c r="U1788" i="2"/>
  <c r="K1788" i="2"/>
  <c r="E1788" i="2"/>
  <c r="B1788" i="2"/>
  <c r="U1787" i="2"/>
  <c r="K1787" i="2"/>
  <c r="E1787" i="2"/>
  <c r="B1787" i="2"/>
  <c r="U1786" i="2"/>
  <c r="K1786" i="2"/>
  <c r="E1786" i="2"/>
  <c r="B1786" i="2"/>
  <c r="U1785" i="2"/>
  <c r="K1785" i="2"/>
  <c r="E1785" i="2"/>
  <c r="B1785" i="2"/>
  <c r="U1784" i="2"/>
  <c r="K1784" i="2"/>
  <c r="E1784" i="2"/>
  <c r="B1784" i="2"/>
  <c r="U1783" i="2"/>
  <c r="K1783" i="2"/>
  <c r="E1783" i="2"/>
  <c r="B1783" i="2"/>
  <c r="U1782" i="2"/>
  <c r="K1782" i="2"/>
  <c r="E1782" i="2"/>
  <c r="B1782" i="2"/>
  <c r="U1781" i="2"/>
  <c r="K1781" i="2"/>
  <c r="E1781" i="2"/>
  <c r="B1781" i="2"/>
  <c r="U1780" i="2"/>
  <c r="K1780" i="2"/>
  <c r="E1780" i="2"/>
  <c r="B1780" i="2"/>
  <c r="U1779" i="2"/>
  <c r="K1779" i="2"/>
  <c r="E1779" i="2"/>
  <c r="B1779" i="2"/>
  <c r="U1778" i="2"/>
  <c r="K1778" i="2"/>
  <c r="E1778" i="2"/>
  <c r="B1778" i="2"/>
  <c r="U1777" i="2"/>
  <c r="K1777" i="2"/>
  <c r="E1777" i="2"/>
  <c r="B1777" i="2"/>
  <c r="U1776" i="2"/>
  <c r="K1776" i="2"/>
  <c r="E1776" i="2"/>
  <c r="B1776" i="2"/>
  <c r="U1775" i="2"/>
  <c r="K1775" i="2"/>
  <c r="E1775" i="2"/>
  <c r="B1775" i="2"/>
  <c r="U1774" i="2"/>
  <c r="K1774" i="2"/>
  <c r="E1774" i="2"/>
  <c r="B1774" i="2"/>
  <c r="U1773" i="2"/>
  <c r="K1773" i="2"/>
  <c r="E1773" i="2"/>
  <c r="B1773" i="2"/>
  <c r="U1772" i="2"/>
  <c r="K1772" i="2"/>
  <c r="E1772" i="2"/>
  <c r="B1772" i="2"/>
  <c r="U1771" i="2"/>
  <c r="K1771" i="2"/>
  <c r="E1771" i="2"/>
  <c r="B1771" i="2"/>
  <c r="U1770" i="2"/>
  <c r="K1770" i="2"/>
  <c r="E1770" i="2"/>
  <c r="B1770" i="2"/>
  <c r="U1769" i="2"/>
  <c r="K1769" i="2"/>
  <c r="E1769" i="2"/>
  <c r="B1769" i="2"/>
  <c r="U1768" i="2"/>
  <c r="K1768" i="2"/>
  <c r="E1768" i="2"/>
  <c r="B1768" i="2"/>
  <c r="U1767" i="2"/>
  <c r="K1767" i="2"/>
  <c r="E1767" i="2"/>
  <c r="B1767" i="2"/>
  <c r="U1766" i="2"/>
  <c r="K1766" i="2"/>
  <c r="E1766" i="2"/>
  <c r="B1766" i="2"/>
  <c r="U1765" i="2"/>
  <c r="K1765" i="2"/>
  <c r="E1765" i="2"/>
  <c r="B1765" i="2"/>
  <c r="U1764" i="2"/>
  <c r="K1764" i="2"/>
  <c r="E1764" i="2"/>
  <c r="B1764" i="2"/>
  <c r="U1763" i="2"/>
  <c r="K1763" i="2"/>
  <c r="E1763" i="2"/>
  <c r="B1763" i="2"/>
  <c r="U1762" i="2"/>
  <c r="K1762" i="2"/>
  <c r="E1762" i="2"/>
  <c r="B1762" i="2"/>
  <c r="U1761" i="2"/>
  <c r="K1761" i="2"/>
  <c r="E1761" i="2"/>
  <c r="B1761" i="2"/>
  <c r="U1760" i="2"/>
  <c r="K1760" i="2"/>
  <c r="E1760" i="2"/>
  <c r="B1760" i="2"/>
  <c r="U1759" i="2"/>
  <c r="K1759" i="2"/>
  <c r="E1759" i="2"/>
  <c r="B1759" i="2"/>
  <c r="U1758" i="2"/>
  <c r="K1758" i="2"/>
  <c r="E1758" i="2"/>
  <c r="B1758" i="2"/>
  <c r="U1757" i="2"/>
  <c r="K1757" i="2"/>
  <c r="E1757" i="2"/>
  <c r="B1757" i="2"/>
  <c r="U1756" i="2"/>
  <c r="K1756" i="2"/>
  <c r="E1756" i="2"/>
  <c r="B1756" i="2"/>
  <c r="U1755" i="2"/>
  <c r="K1755" i="2"/>
  <c r="E1755" i="2"/>
  <c r="B1755" i="2"/>
  <c r="U1754" i="2"/>
  <c r="K1754" i="2"/>
  <c r="E1754" i="2"/>
  <c r="B1754" i="2"/>
  <c r="U1753" i="2"/>
  <c r="K1753" i="2"/>
  <c r="E1753" i="2"/>
  <c r="B1753" i="2"/>
  <c r="U1752" i="2"/>
  <c r="K1752" i="2"/>
  <c r="E1752" i="2"/>
  <c r="B1752" i="2"/>
  <c r="U1751" i="2"/>
  <c r="K1751" i="2"/>
  <c r="E1751" i="2"/>
  <c r="B1751" i="2"/>
  <c r="U1750" i="2"/>
  <c r="K1750" i="2"/>
  <c r="E1750" i="2"/>
  <c r="B1750" i="2"/>
  <c r="U1749" i="2"/>
  <c r="K1749" i="2"/>
  <c r="E1749" i="2"/>
  <c r="B1749" i="2"/>
  <c r="U1748" i="2"/>
  <c r="K1748" i="2"/>
  <c r="E1748" i="2"/>
  <c r="B1748" i="2"/>
  <c r="U1747" i="2"/>
  <c r="K1747" i="2"/>
  <c r="E1747" i="2"/>
  <c r="B1747" i="2"/>
  <c r="U1746" i="2"/>
  <c r="K1746" i="2"/>
  <c r="E1746" i="2"/>
  <c r="B1746" i="2"/>
  <c r="U1745" i="2"/>
  <c r="K1745" i="2"/>
  <c r="E1745" i="2"/>
  <c r="B1745" i="2"/>
  <c r="U1744" i="2"/>
  <c r="K1744" i="2"/>
  <c r="E1744" i="2"/>
  <c r="B1744" i="2"/>
  <c r="U1743" i="2"/>
  <c r="K1743" i="2"/>
  <c r="E1743" i="2"/>
  <c r="B1743" i="2"/>
  <c r="U1742" i="2"/>
  <c r="K1742" i="2"/>
  <c r="E1742" i="2"/>
  <c r="B1742" i="2"/>
  <c r="U1741" i="2"/>
  <c r="K1741" i="2"/>
  <c r="E1741" i="2"/>
  <c r="B1741" i="2"/>
  <c r="U1740" i="2"/>
  <c r="K1740" i="2"/>
  <c r="E1740" i="2"/>
  <c r="B1740" i="2"/>
  <c r="U1739" i="2"/>
  <c r="K1739" i="2"/>
  <c r="E1739" i="2"/>
  <c r="B1739" i="2"/>
  <c r="U1738" i="2"/>
  <c r="K1738" i="2"/>
  <c r="E1738" i="2"/>
  <c r="B1738" i="2"/>
  <c r="K1737" i="2"/>
  <c r="E1737" i="2"/>
  <c r="B1737" i="2"/>
  <c r="U1736" i="2"/>
  <c r="K1736" i="2"/>
  <c r="E1736" i="2"/>
  <c r="B1736" i="2"/>
  <c r="U1735" i="2"/>
  <c r="K1735" i="2"/>
  <c r="E1735" i="2"/>
  <c r="B1735" i="2"/>
  <c r="U1734" i="2"/>
  <c r="K1734" i="2"/>
  <c r="E1734" i="2"/>
  <c r="B1734" i="2"/>
  <c r="U1733" i="2"/>
  <c r="K1733" i="2"/>
  <c r="E1733" i="2"/>
  <c r="B1733" i="2"/>
  <c r="U1732" i="2"/>
  <c r="K1732" i="2"/>
  <c r="E1732" i="2"/>
  <c r="B1732" i="2"/>
  <c r="U1731" i="2"/>
  <c r="K1731" i="2"/>
  <c r="E1731" i="2"/>
  <c r="B1731" i="2"/>
  <c r="U1730" i="2"/>
  <c r="K1730" i="2"/>
  <c r="E1730" i="2"/>
  <c r="B1730" i="2"/>
  <c r="U1729" i="2"/>
  <c r="K1729" i="2"/>
  <c r="E1729" i="2"/>
  <c r="B1729" i="2"/>
  <c r="U1728" i="2"/>
  <c r="K1728" i="2"/>
  <c r="E1728" i="2"/>
  <c r="B1728" i="2"/>
  <c r="U1727" i="2"/>
  <c r="K1727" i="2"/>
  <c r="E1727" i="2"/>
  <c r="B1727" i="2"/>
  <c r="U1726" i="2"/>
  <c r="K1726" i="2"/>
  <c r="E1726" i="2"/>
  <c r="B1726" i="2"/>
  <c r="U1725" i="2"/>
  <c r="K1725" i="2"/>
  <c r="E1725" i="2"/>
  <c r="B1725" i="2"/>
  <c r="U1724" i="2"/>
  <c r="K1724" i="2"/>
  <c r="E1724" i="2"/>
  <c r="B1724" i="2"/>
  <c r="U1723" i="2"/>
  <c r="K1723" i="2"/>
  <c r="E1723" i="2"/>
  <c r="B1723" i="2"/>
  <c r="U1722" i="2"/>
  <c r="K1722" i="2"/>
  <c r="E1722" i="2"/>
  <c r="B1722" i="2"/>
  <c r="U1721" i="2"/>
  <c r="K1721" i="2"/>
  <c r="E1721" i="2"/>
  <c r="B1721" i="2"/>
  <c r="U1720" i="2"/>
  <c r="K1720" i="2"/>
  <c r="E1720" i="2"/>
  <c r="B1720" i="2"/>
  <c r="U1719" i="2"/>
  <c r="K1719" i="2"/>
  <c r="E1719" i="2"/>
  <c r="B1719" i="2"/>
  <c r="U1718" i="2"/>
  <c r="K1718" i="2"/>
  <c r="E1718" i="2"/>
  <c r="B1718" i="2"/>
  <c r="U1717" i="2"/>
  <c r="K1717" i="2"/>
  <c r="E1717" i="2"/>
  <c r="B1717" i="2"/>
  <c r="U1716" i="2"/>
  <c r="K1716" i="2"/>
  <c r="E1716" i="2"/>
  <c r="B1716" i="2"/>
  <c r="U1715" i="2"/>
  <c r="K1715" i="2"/>
  <c r="E1715" i="2"/>
  <c r="B1715" i="2"/>
  <c r="U1714" i="2"/>
  <c r="K1714" i="2"/>
  <c r="E1714" i="2"/>
  <c r="B1714" i="2"/>
  <c r="U1713" i="2"/>
  <c r="K1713" i="2"/>
  <c r="E1713" i="2"/>
  <c r="B1713" i="2"/>
  <c r="U1712" i="2"/>
  <c r="K1712" i="2"/>
  <c r="E1712" i="2"/>
  <c r="B1712" i="2"/>
  <c r="U1711" i="2"/>
  <c r="K1711" i="2"/>
  <c r="E1711" i="2"/>
  <c r="B1711" i="2"/>
  <c r="U1710" i="2"/>
  <c r="K1710" i="2"/>
  <c r="E1710" i="2"/>
  <c r="B1710" i="2"/>
  <c r="U1709" i="2"/>
  <c r="K1709" i="2"/>
  <c r="E1709" i="2"/>
  <c r="B1709" i="2"/>
  <c r="U1708" i="2"/>
  <c r="K1708" i="2"/>
  <c r="E1708" i="2"/>
  <c r="B1708" i="2"/>
  <c r="U1707" i="2"/>
  <c r="K1707" i="2"/>
  <c r="E1707" i="2"/>
  <c r="B1707" i="2"/>
  <c r="U1706" i="2"/>
  <c r="K1706" i="2"/>
  <c r="E1706" i="2"/>
  <c r="B1706" i="2"/>
  <c r="U1705" i="2"/>
  <c r="K1705" i="2"/>
  <c r="E1705" i="2"/>
  <c r="B1705" i="2"/>
  <c r="U1704" i="2"/>
  <c r="K1704" i="2"/>
  <c r="E1704" i="2"/>
  <c r="B1704" i="2"/>
  <c r="U1703" i="2"/>
  <c r="K1703" i="2"/>
  <c r="E1703" i="2"/>
  <c r="B1703" i="2"/>
  <c r="U1702" i="2"/>
  <c r="K1702" i="2"/>
  <c r="E1702" i="2"/>
  <c r="B1702" i="2"/>
  <c r="U1701" i="2"/>
  <c r="K1701" i="2"/>
  <c r="E1701" i="2"/>
  <c r="B1701" i="2"/>
  <c r="U1700" i="2"/>
  <c r="K1700" i="2"/>
  <c r="E1700" i="2"/>
  <c r="B1700" i="2"/>
  <c r="U1699" i="2"/>
  <c r="K1699" i="2"/>
  <c r="E1699" i="2"/>
  <c r="B1699" i="2"/>
  <c r="U1698" i="2"/>
  <c r="K1698" i="2"/>
  <c r="E1698" i="2"/>
  <c r="B1698" i="2"/>
  <c r="U1697" i="2"/>
  <c r="K1697" i="2"/>
  <c r="E1697" i="2"/>
  <c r="B1697" i="2"/>
  <c r="U1696" i="2"/>
  <c r="K1696" i="2"/>
  <c r="E1696" i="2"/>
  <c r="B1696" i="2"/>
  <c r="U1695" i="2"/>
  <c r="K1695" i="2"/>
  <c r="E1695" i="2"/>
  <c r="B1695" i="2"/>
  <c r="U1694" i="2"/>
  <c r="K1694" i="2"/>
  <c r="E1694" i="2"/>
  <c r="B1694" i="2"/>
  <c r="U1693" i="2"/>
  <c r="K1693" i="2"/>
  <c r="E1693" i="2"/>
  <c r="B1693" i="2"/>
  <c r="U1692" i="2"/>
  <c r="K1692" i="2"/>
  <c r="E1692" i="2"/>
  <c r="B1692" i="2"/>
  <c r="U1691" i="2"/>
  <c r="K1691" i="2"/>
  <c r="E1691" i="2"/>
  <c r="B1691" i="2"/>
  <c r="U1690" i="2"/>
  <c r="K1690" i="2"/>
  <c r="E1690" i="2"/>
  <c r="B1690" i="2"/>
  <c r="U1689" i="2"/>
  <c r="K1689" i="2"/>
  <c r="E1689" i="2"/>
  <c r="B1689" i="2"/>
  <c r="U1688" i="2"/>
  <c r="K1688" i="2"/>
  <c r="E1688" i="2"/>
  <c r="B1688" i="2"/>
  <c r="U1687" i="2"/>
  <c r="K1687" i="2"/>
  <c r="E1687" i="2"/>
  <c r="B1687" i="2"/>
  <c r="U1686" i="2"/>
  <c r="K1686" i="2"/>
  <c r="E1686" i="2"/>
  <c r="B1686" i="2"/>
  <c r="U1685" i="2"/>
  <c r="K1685" i="2"/>
  <c r="E1685" i="2"/>
  <c r="B1685" i="2"/>
  <c r="U1684" i="2"/>
  <c r="K1684" i="2"/>
  <c r="E1684" i="2"/>
  <c r="B1684" i="2"/>
  <c r="U1683" i="2"/>
  <c r="K1683" i="2"/>
  <c r="E1683" i="2"/>
  <c r="B1683" i="2"/>
  <c r="U1682" i="2"/>
  <c r="K1682" i="2"/>
  <c r="E1682" i="2"/>
  <c r="B1682" i="2"/>
  <c r="U1681" i="2"/>
  <c r="K1681" i="2"/>
  <c r="E1681" i="2"/>
  <c r="B1681" i="2"/>
  <c r="U1680" i="2"/>
  <c r="K1680" i="2"/>
  <c r="E1680" i="2"/>
  <c r="B1680" i="2"/>
  <c r="U1679" i="2"/>
  <c r="K1679" i="2"/>
  <c r="E1679" i="2"/>
  <c r="B1679" i="2"/>
  <c r="U1678" i="2"/>
  <c r="K1678" i="2"/>
  <c r="E1678" i="2"/>
  <c r="B1678" i="2"/>
  <c r="U1677" i="2"/>
  <c r="K1677" i="2"/>
  <c r="E1677" i="2"/>
  <c r="B1677" i="2"/>
  <c r="U1676" i="2"/>
  <c r="K1676" i="2"/>
  <c r="E1676" i="2"/>
  <c r="B1676" i="2"/>
  <c r="U1675" i="2"/>
  <c r="K1675" i="2"/>
  <c r="E1675" i="2"/>
  <c r="B1675" i="2"/>
  <c r="U1674" i="2"/>
  <c r="K1674" i="2"/>
  <c r="E1674" i="2"/>
  <c r="B1674" i="2"/>
  <c r="U1673" i="2"/>
  <c r="K1673" i="2"/>
  <c r="E1673" i="2"/>
  <c r="B1673" i="2"/>
  <c r="U1672" i="2"/>
  <c r="K1672" i="2"/>
  <c r="E1672" i="2"/>
  <c r="B1672" i="2"/>
  <c r="U1671" i="2"/>
  <c r="K1671" i="2"/>
  <c r="E1671" i="2"/>
  <c r="B1671" i="2"/>
  <c r="U1670" i="2"/>
  <c r="K1670" i="2"/>
  <c r="E1670" i="2"/>
  <c r="B1670" i="2"/>
  <c r="U1669" i="2"/>
  <c r="K1669" i="2"/>
  <c r="E1669" i="2"/>
  <c r="B1669" i="2"/>
  <c r="U1668" i="2"/>
  <c r="K1668" i="2"/>
  <c r="E1668" i="2"/>
  <c r="B1668" i="2"/>
  <c r="U1667" i="2"/>
  <c r="K1667" i="2"/>
  <c r="E1667" i="2"/>
  <c r="B1667" i="2"/>
  <c r="K1666" i="2"/>
  <c r="E1666" i="2"/>
  <c r="B1666" i="2"/>
  <c r="U1665" i="2"/>
  <c r="K1665" i="2"/>
  <c r="E1665" i="2"/>
  <c r="B1665" i="2"/>
  <c r="U1664" i="2"/>
  <c r="K1664" i="2"/>
  <c r="E1664" i="2"/>
  <c r="B1664" i="2"/>
  <c r="U1663" i="2"/>
  <c r="K1663" i="2"/>
  <c r="E1663" i="2"/>
  <c r="B1663" i="2"/>
  <c r="U1662" i="2"/>
  <c r="K1662" i="2"/>
  <c r="E1662" i="2"/>
  <c r="B1662" i="2"/>
  <c r="U1661" i="2"/>
  <c r="K1661" i="2"/>
  <c r="E1661" i="2"/>
  <c r="B1661" i="2"/>
  <c r="U1660" i="2"/>
  <c r="K1660" i="2"/>
  <c r="E1660" i="2"/>
  <c r="B1660" i="2"/>
  <c r="U1659" i="2"/>
  <c r="K1659" i="2"/>
  <c r="E1659" i="2"/>
  <c r="B1659" i="2"/>
  <c r="U1658" i="2"/>
  <c r="K1658" i="2"/>
  <c r="E1658" i="2"/>
  <c r="B1658" i="2"/>
  <c r="U1657" i="2"/>
  <c r="K1657" i="2"/>
  <c r="E1657" i="2"/>
  <c r="B1657" i="2"/>
  <c r="U1656" i="2"/>
  <c r="K1656" i="2"/>
  <c r="E1656" i="2"/>
  <c r="B1656" i="2"/>
  <c r="U1655" i="2"/>
  <c r="K1655" i="2"/>
  <c r="E1655" i="2"/>
  <c r="B1655" i="2"/>
  <c r="U1654" i="2"/>
  <c r="K1654" i="2"/>
  <c r="E1654" i="2"/>
  <c r="B1654" i="2"/>
  <c r="U1653" i="2"/>
  <c r="K1653" i="2"/>
  <c r="E1653" i="2"/>
  <c r="B1653" i="2"/>
  <c r="U1652" i="2"/>
  <c r="K1652" i="2"/>
  <c r="E1652" i="2"/>
  <c r="B1652" i="2"/>
  <c r="U1651" i="2"/>
  <c r="K1651" i="2"/>
  <c r="E1651" i="2"/>
  <c r="B1651" i="2"/>
  <c r="U1650" i="2"/>
  <c r="K1650" i="2"/>
  <c r="E1650" i="2"/>
  <c r="B1650" i="2"/>
  <c r="U1649" i="2"/>
  <c r="K1649" i="2"/>
  <c r="E1649" i="2"/>
  <c r="B1649" i="2"/>
  <c r="K1648" i="2"/>
  <c r="E1648" i="2"/>
  <c r="B1648" i="2"/>
  <c r="U1647" i="2"/>
  <c r="K1647" i="2"/>
  <c r="E1647" i="2"/>
  <c r="B1647" i="2"/>
  <c r="U1646" i="2"/>
  <c r="K1646" i="2"/>
  <c r="E1646" i="2"/>
  <c r="B1646" i="2"/>
  <c r="U1645" i="2"/>
  <c r="K1645" i="2"/>
  <c r="E1645" i="2"/>
  <c r="B1645" i="2"/>
  <c r="U1644" i="2"/>
  <c r="K1644" i="2"/>
  <c r="E1644" i="2"/>
  <c r="B1644" i="2"/>
  <c r="U1643" i="2"/>
  <c r="K1643" i="2"/>
  <c r="E1643" i="2"/>
  <c r="B1643" i="2"/>
  <c r="U1642" i="2"/>
  <c r="K1642" i="2"/>
  <c r="E1642" i="2"/>
  <c r="B1642" i="2"/>
  <c r="U1641" i="2"/>
  <c r="K1641" i="2"/>
  <c r="E1641" i="2"/>
  <c r="B1641" i="2"/>
  <c r="U1640" i="2"/>
  <c r="K1640" i="2"/>
  <c r="E1640" i="2"/>
  <c r="B1640" i="2"/>
  <c r="U1639" i="2"/>
  <c r="K1639" i="2"/>
  <c r="E1639" i="2"/>
  <c r="B1639" i="2"/>
  <c r="U1638" i="2"/>
  <c r="K1638" i="2"/>
  <c r="E1638" i="2"/>
  <c r="B1638" i="2"/>
  <c r="U1637" i="2"/>
  <c r="K1637" i="2"/>
  <c r="E1637" i="2"/>
  <c r="B1637" i="2"/>
  <c r="U1636" i="2"/>
  <c r="K1636" i="2"/>
  <c r="E1636" i="2"/>
  <c r="B1636" i="2"/>
  <c r="U1635" i="2"/>
  <c r="K1635" i="2"/>
  <c r="E1635" i="2"/>
  <c r="B1635" i="2"/>
  <c r="U1634" i="2"/>
  <c r="K1634" i="2"/>
  <c r="E1634" i="2"/>
  <c r="B1634" i="2"/>
  <c r="U1633" i="2"/>
  <c r="K1633" i="2"/>
  <c r="E1633" i="2"/>
  <c r="B1633" i="2"/>
  <c r="U1632" i="2"/>
  <c r="K1632" i="2"/>
  <c r="E1632" i="2"/>
  <c r="B1632" i="2"/>
  <c r="U1631" i="2"/>
  <c r="K1631" i="2"/>
  <c r="E1631" i="2"/>
  <c r="B1631" i="2"/>
  <c r="U1630" i="2"/>
  <c r="K1630" i="2"/>
  <c r="E1630" i="2"/>
  <c r="B1630" i="2"/>
  <c r="U1629" i="2"/>
  <c r="K1629" i="2"/>
  <c r="E1629" i="2"/>
  <c r="B1629" i="2"/>
  <c r="U1628" i="2"/>
  <c r="K1628" i="2"/>
  <c r="E1628" i="2"/>
  <c r="B1628" i="2"/>
  <c r="U1627" i="2"/>
  <c r="K1627" i="2"/>
  <c r="E1627" i="2"/>
  <c r="B1627" i="2"/>
  <c r="U1626" i="2"/>
  <c r="K1626" i="2"/>
  <c r="E1626" i="2"/>
  <c r="B1626" i="2"/>
  <c r="U1625" i="2"/>
  <c r="K1625" i="2"/>
  <c r="E1625" i="2"/>
  <c r="B1625" i="2"/>
  <c r="U1624" i="2"/>
  <c r="K1624" i="2"/>
  <c r="E1624" i="2"/>
  <c r="B1624" i="2"/>
  <c r="U1623" i="2"/>
  <c r="K1623" i="2"/>
  <c r="E1623" i="2"/>
  <c r="B1623" i="2"/>
  <c r="U1622" i="2"/>
  <c r="K1622" i="2"/>
  <c r="E1622" i="2"/>
  <c r="B1622" i="2"/>
  <c r="U1621" i="2"/>
  <c r="K1621" i="2"/>
  <c r="E1621" i="2"/>
  <c r="B1621" i="2"/>
  <c r="U1620" i="2"/>
  <c r="K1620" i="2"/>
  <c r="E1620" i="2"/>
  <c r="B1620" i="2"/>
  <c r="U1619" i="2"/>
  <c r="K1619" i="2"/>
  <c r="E1619" i="2"/>
  <c r="B1619" i="2"/>
  <c r="U1618" i="2"/>
  <c r="K1618" i="2"/>
  <c r="E1618" i="2"/>
  <c r="B1618" i="2"/>
  <c r="U1617" i="2"/>
  <c r="K1617" i="2"/>
  <c r="E1617" i="2"/>
  <c r="B1617" i="2"/>
  <c r="U1616" i="2"/>
  <c r="K1616" i="2"/>
  <c r="E1616" i="2"/>
  <c r="B1616" i="2"/>
  <c r="U1615" i="2"/>
  <c r="K1615" i="2"/>
  <c r="E1615" i="2"/>
  <c r="B1615" i="2"/>
  <c r="U1614" i="2"/>
  <c r="K1614" i="2"/>
  <c r="E1614" i="2"/>
  <c r="B1614" i="2"/>
  <c r="U1613" i="2"/>
  <c r="K1613" i="2"/>
  <c r="E1613" i="2"/>
  <c r="B1613" i="2"/>
  <c r="U1612" i="2"/>
  <c r="K1612" i="2"/>
  <c r="E1612" i="2"/>
  <c r="B1612" i="2"/>
  <c r="U1611" i="2"/>
  <c r="K1611" i="2"/>
  <c r="E1611" i="2"/>
  <c r="B1611" i="2"/>
  <c r="U1610" i="2"/>
  <c r="K1610" i="2"/>
  <c r="E1610" i="2"/>
  <c r="B1610" i="2"/>
  <c r="U1609" i="2"/>
  <c r="K1609" i="2"/>
  <c r="E1609" i="2"/>
  <c r="B1609" i="2"/>
  <c r="U1608" i="2"/>
  <c r="K1608" i="2"/>
  <c r="E1608" i="2"/>
  <c r="B1608" i="2"/>
  <c r="U1607" i="2"/>
  <c r="K1607" i="2"/>
  <c r="E1607" i="2"/>
  <c r="B1607" i="2"/>
  <c r="U1606" i="2"/>
  <c r="K1606" i="2"/>
  <c r="E1606" i="2"/>
  <c r="B1606" i="2"/>
  <c r="U1605" i="2"/>
  <c r="K1605" i="2"/>
  <c r="E1605" i="2"/>
  <c r="B1605" i="2"/>
  <c r="U1604" i="2"/>
  <c r="K1604" i="2"/>
  <c r="E1604" i="2"/>
  <c r="B1604" i="2"/>
  <c r="U1603" i="2"/>
  <c r="K1603" i="2"/>
  <c r="E1603" i="2"/>
  <c r="B1603" i="2"/>
  <c r="U1602" i="2"/>
  <c r="K1602" i="2"/>
  <c r="E1602" i="2"/>
  <c r="B1602" i="2"/>
  <c r="U1601" i="2"/>
  <c r="K1601" i="2"/>
  <c r="E1601" i="2"/>
  <c r="B1601" i="2"/>
  <c r="U1600" i="2"/>
  <c r="K1600" i="2"/>
  <c r="E1600" i="2"/>
  <c r="B1600" i="2"/>
  <c r="U1599" i="2"/>
  <c r="K1599" i="2"/>
  <c r="E1599" i="2"/>
  <c r="B1599" i="2"/>
  <c r="U1598" i="2"/>
  <c r="K1598" i="2"/>
  <c r="E1598" i="2"/>
  <c r="B1598" i="2"/>
  <c r="U1597" i="2"/>
  <c r="K1597" i="2"/>
  <c r="E1597" i="2"/>
  <c r="B1597" i="2"/>
  <c r="U1596" i="2"/>
  <c r="K1596" i="2"/>
  <c r="E1596" i="2"/>
  <c r="B1596" i="2"/>
  <c r="U1595" i="2"/>
  <c r="K1595" i="2"/>
  <c r="E1595" i="2"/>
  <c r="B1595" i="2"/>
  <c r="U1594" i="2"/>
  <c r="K1594" i="2"/>
  <c r="E1594" i="2"/>
  <c r="B1594" i="2"/>
  <c r="U1593" i="2"/>
  <c r="K1593" i="2"/>
  <c r="E1593" i="2"/>
  <c r="B1593" i="2"/>
  <c r="U1592" i="2"/>
  <c r="K1592" i="2"/>
  <c r="E1592" i="2"/>
  <c r="B1592" i="2"/>
  <c r="U1591" i="2"/>
  <c r="K1591" i="2"/>
  <c r="E1591" i="2"/>
  <c r="B1591" i="2"/>
  <c r="U1590" i="2"/>
  <c r="K1590" i="2"/>
  <c r="E1590" i="2"/>
  <c r="B1590" i="2"/>
  <c r="U1589" i="2"/>
  <c r="K1589" i="2"/>
  <c r="E1589" i="2"/>
  <c r="B1589" i="2"/>
  <c r="U1588" i="2"/>
  <c r="K1588" i="2"/>
  <c r="E1588" i="2"/>
  <c r="B1588" i="2"/>
  <c r="U1587" i="2"/>
  <c r="K1587" i="2"/>
  <c r="E1587" i="2"/>
  <c r="B1587" i="2"/>
  <c r="U1586" i="2"/>
  <c r="K1586" i="2"/>
  <c r="E1586" i="2"/>
  <c r="B1586" i="2"/>
  <c r="U1585" i="2"/>
  <c r="K1585" i="2"/>
  <c r="E1585" i="2"/>
  <c r="B1585" i="2"/>
  <c r="U1584" i="2"/>
  <c r="K1584" i="2"/>
  <c r="E1584" i="2"/>
  <c r="B1584" i="2"/>
  <c r="U1583" i="2"/>
  <c r="K1583" i="2"/>
  <c r="E1583" i="2"/>
  <c r="B1583" i="2"/>
  <c r="U1582" i="2"/>
  <c r="K1582" i="2"/>
  <c r="E1582" i="2"/>
  <c r="B1582" i="2"/>
  <c r="U1581" i="2"/>
  <c r="K1581" i="2"/>
  <c r="E1581" i="2"/>
  <c r="B1581" i="2"/>
  <c r="K1580" i="2"/>
  <c r="E1580" i="2"/>
  <c r="B1580" i="2"/>
  <c r="U1579" i="2"/>
  <c r="K1579" i="2"/>
  <c r="E1579" i="2"/>
  <c r="B1579" i="2"/>
  <c r="U1578" i="2"/>
  <c r="K1578" i="2"/>
  <c r="E1578" i="2"/>
  <c r="B1578" i="2"/>
  <c r="U1577" i="2"/>
  <c r="K1577" i="2"/>
  <c r="E1577" i="2"/>
  <c r="B1577" i="2"/>
  <c r="U1576" i="2"/>
  <c r="K1576" i="2"/>
  <c r="E1576" i="2"/>
  <c r="B1576" i="2"/>
  <c r="U1575" i="2"/>
  <c r="K1575" i="2"/>
  <c r="E1575" i="2"/>
  <c r="B1575" i="2"/>
  <c r="U1574" i="2"/>
  <c r="K1574" i="2"/>
  <c r="E1574" i="2"/>
  <c r="B1574" i="2"/>
  <c r="U1573" i="2"/>
  <c r="K1573" i="2"/>
  <c r="E1573" i="2"/>
  <c r="B1573" i="2"/>
  <c r="U1572" i="2"/>
  <c r="K1572" i="2"/>
  <c r="E1572" i="2"/>
  <c r="B1572" i="2"/>
  <c r="U1571" i="2"/>
  <c r="K1571" i="2"/>
  <c r="E1571" i="2"/>
  <c r="B1571" i="2"/>
  <c r="U1570" i="2"/>
  <c r="K1570" i="2"/>
  <c r="E1570" i="2"/>
  <c r="B1570" i="2"/>
  <c r="U1569" i="2"/>
  <c r="K1569" i="2"/>
  <c r="E1569" i="2"/>
  <c r="B1569" i="2"/>
  <c r="U1568" i="2"/>
  <c r="K1568" i="2"/>
  <c r="E1568" i="2"/>
  <c r="B1568" i="2"/>
  <c r="U1567" i="2"/>
  <c r="K1567" i="2"/>
  <c r="E1567" i="2"/>
  <c r="B1567" i="2"/>
  <c r="U1566" i="2"/>
  <c r="K1566" i="2"/>
  <c r="E1566" i="2"/>
  <c r="B1566" i="2"/>
  <c r="U1565" i="2"/>
  <c r="K1565" i="2"/>
  <c r="E1565" i="2"/>
  <c r="B1565" i="2"/>
  <c r="U1564" i="2"/>
  <c r="K1564" i="2"/>
  <c r="E1564" i="2"/>
  <c r="B1564" i="2"/>
  <c r="U1563" i="2"/>
  <c r="K1563" i="2"/>
  <c r="E1563" i="2"/>
  <c r="B1563" i="2"/>
  <c r="U1562" i="2"/>
  <c r="K1562" i="2"/>
  <c r="E1562" i="2"/>
  <c r="B1562" i="2"/>
  <c r="U1561" i="2"/>
  <c r="K1561" i="2"/>
  <c r="E1561" i="2"/>
  <c r="B1561" i="2"/>
  <c r="U1560" i="2"/>
  <c r="K1560" i="2"/>
  <c r="E1560" i="2"/>
  <c r="B1560" i="2"/>
  <c r="U1559" i="2"/>
  <c r="K1559" i="2"/>
  <c r="E1559" i="2"/>
  <c r="B1559" i="2"/>
  <c r="U1558" i="2"/>
  <c r="K1558" i="2"/>
  <c r="E1558" i="2"/>
  <c r="B1558" i="2"/>
  <c r="U1557" i="2"/>
  <c r="K1557" i="2"/>
  <c r="E1557" i="2"/>
  <c r="B1557" i="2"/>
  <c r="U1556" i="2"/>
  <c r="K1556" i="2"/>
  <c r="E1556" i="2"/>
  <c r="B1556" i="2"/>
  <c r="U1555" i="2"/>
  <c r="K1555" i="2"/>
  <c r="E1555" i="2"/>
  <c r="B1555" i="2"/>
  <c r="U1554" i="2"/>
  <c r="K1554" i="2"/>
  <c r="E1554" i="2"/>
  <c r="B1554" i="2"/>
  <c r="U1553" i="2"/>
  <c r="K1553" i="2"/>
  <c r="E1553" i="2"/>
  <c r="B1553" i="2"/>
  <c r="U1552" i="2"/>
  <c r="K1552" i="2"/>
  <c r="E1552" i="2"/>
  <c r="B1552" i="2"/>
  <c r="U1551" i="2"/>
  <c r="K1551" i="2"/>
  <c r="E1551" i="2"/>
  <c r="B1551" i="2"/>
  <c r="U1550" i="2"/>
  <c r="K1550" i="2"/>
  <c r="E1550" i="2"/>
  <c r="B1550" i="2"/>
  <c r="U1549" i="2"/>
  <c r="K1549" i="2"/>
  <c r="E1549" i="2"/>
  <c r="B1549" i="2"/>
  <c r="U1548" i="2"/>
  <c r="K1548" i="2"/>
  <c r="E1548" i="2"/>
  <c r="B1548" i="2"/>
  <c r="U1547" i="2"/>
  <c r="K1547" i="2"/>
  <c r="E1547" i="2"/>
  <c r="B1547" i="2"/>
  <c r="U1546" i="2"/>
  <c r="K1546" i="2"/>
  <c r="E1546" i="2"/>
  <c r="B1546" i="2"/>
  <c r="U1545" i="2"/>
  <c r="K1545" i="2"/>
  <c r="E1545" i="2"/>
  <c r="B1545" i="2"/>
  <c r="U1544" i="2"/>
  <c r="K1544" i="2"/>
  <c r="E1544" i="2"/>
  <c r="B1544" i="2"/>
  <c r="U1543" i="2"/>
  <c r="K1543" i="2"/>
  <c r="E1543" i="2"/>
  <c r="B1543" i="2"/>
  <c r="U1542" i="2"/>
  <c r="K1542" i="2"/>
  <c r="E1542" i="2"/>
  <c r="B1542" i="2"/>
  <c r="U1541" i="2"/>
  <c r="K1541" i="2"/>
  <c r="E1541" i="2"/>
  <c r="B1541" i="2"/>
  <c r="U1540" i="2"/>
  <c r="K1540" i="2"/>
  <c r="E1540" i="2"/>
  <c r="B1540" i="2"/>
  <c r="U1539" i="2"/>
  <c r="K1539" i="2"/>
  <c r="E1539" i="2"/>
  <c r="B1539" i="2"/>
  <c r="U1538" i="2"/>
  <c r="K1538" i="2"/>
  <c r="E1538" i="2"/>
  <c r="B1538" i="2"/>
  <c r="U1537" i="2"/>
  <c r="K1537" i="2"/>
  <c r="E1537" i="2"/>
  <c r="B1537" i="2"/>
  <c r="U1536" i="2"/>
  <c r="K1536" i="2"/>
  <c r="E1536" i="2"/>
  <c r="B1536" i="2"/>
  <c r="U1535" i="2"/>
  <c r="K1535" i="2"/>
  <c r="E1535" i="2"/>
  <c r="B1535" i="2"/>
  <c r="U1534" i="2"/>
  <c r="K1534" i="2"/>
  <c r="E1534" i="2"/>
  <c r="B1534" i="2"/>
  <c r="U1533" i="2"/>
  <c r="K1533" i="2"/>
  <c r="E1533" i="2"/>
  <c r="B1533" i="2"/>
  <c r="U1532" i="2"/>
  <c r="K1532" i="2"/>
  <c r="E1532" i="2"/>
  <c r="B1532" i="2"/>
  <c r="U1531" i="2"/>
  <c r="K1531" i="2"/>
  <c r="E1531" i="2"/>
  <c r="B1531" i="2"/>
  <c r="U1530" i="2"/>
  <c r="K1530" i="2"/>
  <c r="E1530" i="2"/>
  <c r="B1530" i="2"/>
  <c r="U1529" i="2"/>
  <c r="K1529" i="2"/>
  <c r="E1529" i="2"/>
  <c r="B1529" i="2"/>
  <c r="U1528" i="2"/>
  <c r="K1528" i="2"/>
  <c r="E1528" i="2"/>
  <c r="B1528" i="2"/>
  <c r="U1527" i="2"/>
  <c r="K1527" i="2"/>
  <c r="E1527" i="2"/>
  <c r="B1527" i="2"/>
  <c r="U1526" i="2"/>
  <c r="K1526" i="2"/>
  <c r="E1526" i="2"/>
  <c r="B1526" i="2"/>
  <c r="U1525" i="2"/>
  <c r="K1525" i="2"/>
  <c r="E1525" i="2"/>
  <c r="B1525" i="2"/>
  <c r="U1524" i="2"/>
  <c r="K1524" i="2"/>
  <c r="E1524" i="2"/>
  <c r="B1524" i="2"/>
  <c r="U1523" i="2"/>
  <c r="K1523" i="2"/>
  <c r="E1523" i="2"/>
  <c r="B1523" i="2"/>
  <c r="U1522" i="2"/>
  <c r="K1522" i="2"/>
  <c r="E1522" i="2"/>
  <c r="B1522" i="2"/>
  <c r="U1521" i="2"/>
  <c r="K1521" i="2"/>
  <c r="E1521" i="2"/>
  <c r="B1521" i="2"/>
  <c r="U1520" i="2"/>
  <c r="K1520" i="2"/>
  <c r="E1520" i="2"/>
  <c r="B1520" i="2"/>
  <c r="U1519" i="2"/>
  <c r="K1519" i="2"/>
  <c r="E1519" i="2"/>
  <c r="B1519" i="2"/>
  <c r="U1518" i="2"/>
  <c r="K1518" i="2"/>
  <c r="E1518" i="2"/>
  <c r="B1518" i="2"/>
  <c r="U1517" i="2"/>
  <c r="K1517" i="2"/>
  <c r="E1517" i="2"/>
  <c r="B1517" i="2"/>
  <c r="U1516" i="2"/>
  <c r="K1516" i="2"/>
  <c r="E1516" i="2"/>
  <c r="B1516" i="2"/>
  <c r="U1515" i="2"/>
  <c r="K1515" i="2"/>
  <c r="E1515" i="2"/>
  <c r="B1515" i="2"/>
  <c r="U1514" i="2"/>
  <c r="K1514" i="2"/>
  <c r="E1514" i="2"/>
  <c r="B1514" i="2"/>
  <c r="U1513" i="2"/>
  <c r="K1513" i="2"/>
  <c r="E1513" i="2"/>
  <c r="B1513" i="2"/>
  <c r="U1512" i="2"/>
  <c r="K1512" i="2"/>
  <c r="E1512" i="2"/>
  <c r="B1512" i="2"/>
  <c r="U1511" i="2"/>
  <c r="K1511" i="2"/>
  <c r="E1511" i="2"/>
  <c r="B1511" i="2"/>
  <c r="U1510" i="2"/>
  <c r="K1510" i="2"/>
  <c r="E1510" i="2"/>
  <c r="B1510" i="2"/>
  <c r="U1509" i="2"/>
  <c r="K1509" i="2"/>
  <c r="E1509" i="2"/>
  <c r="B1509" i="2"/>
  <c r="U1508" i="2"/>
  <c r="K1508" i="2"/>
  <c r="E1508" i="2"/>
  <c r="B1508" i="2"/>
  <c r="U1507" i="2"/>
  <c r="K1507" i="2"/>
  <c r="E1507" i="2"/>
  <c r="B1507" i="2"/>
  <c r="U1506" i="2"/>
  <c r="K1506" i="2"/>
  <c r="E1506" i="2"/>
  <c r="B1506" i="2"/>
  <c r="U1505" i="2"/>
  <c r="K1505" i="2"/>
  <c r="E1505" i="2"/>
  <c r="B1505" i="2"/>
  <c r="U1504" i="2"/>
  <c r="K1504" i="2"/>
  <c r="E1504" i="2"/>
  <c r="B1504" i="2"/>
  <c r="U1503" i="2"/>
  <c r="K1503" i="2"/>
  <c r="E1503" i="2"/>
  <c r="B1503" i="2"/>
  <c r="U1502" i="2"/>
  <c r="K1502" i="2"/>
  <c r="E1502" i="2"/>
  <c r="B1502" i="2"/>
  <c r="U1501" i="2"/>
  <c r="K1501" i="2"/>
  <c r="E1501" i="2"/>
  <c r="B1501" i="2"/>
  <c r="U1500" i="2"/>
  <c r="K1500" i="2"/>
  <c r="E1500" i="2"/>
  <c r="B1500" i="2"/>
  <c r="U1499" i="2"/>
  <c r="K1499" i="2"/>
  <c r="E1499" i="2"/>
  <c r="B1499" i="2"/>
  <c r="U1498" i="2"/>
  <c r="K1498" i="2"/>
  <c r="E1498" i="2"/>
  <c r="B1498" i="2"/>
  <c r="U1497" i="2"/>
  <c r="K1497" i="2"/>
  <c r="E1497" i="2"/>
  <c r="B1497" i="2"/>
  <c r="U1496" i="2"/>
  <c r="K1496" i="2"/>
  <c r="E1496" i="2"/>
  <c r="B1496" i="2"/>
  <c r="U1495" i="2"/>
  <c r="K1495" i="2"/>
  <c r="E1495" i="2"/>
  <c r="B1495" i="2"/>
  <c r="U1494" i="2"/>
  <c r="K1494" i="2"/>
  <c r="E1494" i="2"/>
  <c r="B1494" i="2"/>
  <c r="U1493" i="2"/>
  <c r="K1493" i="2"/>
  <c r="E1493" i="2"/>
  <c r="B1493" i="2"/>
  <c r="U1492" i="2"/>
  <c r="K1492" i="2"/>
  <c r="E1492" i="2"/>
  <c r="B1492" i="2"/>
  <c r="U1491" i="2"/>
  <c r="K1491" i="2"/>
  <c r="E1491" i="2"/>
  <c r="B1491" i="2"/>
  <c r="U1490" i="2"/>
  <c r="K1490" i="2"/>
  <c r="E1490" i="2"/>
  <c r="B1490" i="2"/>
  <c r="U1489" i="2"/>
  <c r="K1489" i="2"/>
  <c r="E1489" i="2"/>
  <c r="B1489" i="2"/>
  <c r="U1488" i="2"/>
  <c r="K1488" i="2"/>
  <c r="E1488" i="2"/>
  <c r="B1488" i="2"/>
  <c r="U1487" i="2"/>
  <c r="K1487" i="2"/>
  <c r="E1487" i="2"/>
  <c r="B1487" i="2"/>
  <c r="U1486" i="2"/>
  <c r="K1486" i="2"/>
  <c r="E1486" i="2"/>
  <c r="B1486" i="2"/>
  <c r="U1485" i="2"/>
  <c r="K1485" i="2"/>
  <c r="E1485" i="2"/>
  <c r="B1485" i="2"/>
  <c r="U1484" i="2"/>
  <c r="K1484" i="2"/>
  <c r="E1484" i="2"/>
  <c r="B1484" i="2"/>
  <c r="U1483" i="2"/>
  <c r="K1483" i="2"/>
  <c r="E1483" i="2"/>
  <c r="B1483" i="2"/>
  <c r="U1482" i="2"/>
  <c r="K1482" i="2"/>
  <c r="E1482" i="2"/>
  <c r="B1482" i="2"/>
  <c r="U1481" i="2"/>
  <c r="K1481" i="2"/>
  <c r="E1481" i="2"/>
  <c r="B1481" i="2"/>
  <c r="U1480" i="2"/>
  <c r="K1480" i="2"/>
  <c r="E1480" i="2"/>
  <c r="B1480" i="2"/>
  <c r="U1479" i="2"/>
  <c r="K1479" i="2"/>
  <c r="E1479" i="2"/>
  <c r="B1479" i="2"/>
  <c r="U1478" i="2"/>
  <c r="K1478" i="2"/>
  <c r="E1478" i="2"/>
  <c r="B1478" i="2"/>
  <c r="U1477" i="2"/>
  <c r="K1477" i="2"/>
  <c r="E1477" i="2"/>
  <c r="B1477" i="2"/>
  <c r="U1476" i="2"/>
  <c r="K1476" i="2"/>
  <c r="E1476" i="2"/>
  <c r="B1476" i="2"/>
  <c r="U1475" i="2"/>
  <c r="K1475" i="2"/>
  <c r="E1475" i="2"/>
  <c r="B1475" i="2"/>
  <c r="U1474" i="2"/>
  <c r="K1474" i="2"/>
  <c r="E1474" i="2"/>
  <c r="B1474" i="2"/>
  <c r="U1473" i="2"/>
  <c r="K1473" i="2"/>
  <c r="E1473" i="2"/>
  <c r="B1473" i="2"/>
  <c r="U1472" i="2"/>
  <c r="K1472" i="2"/>
  <c r="E1472" i="2"/>
  <c r="B1472" i="2"/>
  <c r="U1471" i="2"/>
  <c r="K1471" i="2"/>
  <c r="E1471" i="2"/>
  <c r="B1471" i="2"/>
  <c r="U1470" i="2"/>
  <c r="K1470" i="2"/>
  <c r="E1470" i="2"/>
  <c r="B1470" i="2"/>
  <c r="U1469" i="2"/>
  <c r="K1469" i="2"/>
  <c r="E1469" i="2"/>
  <c r="B1469" i="2"/>
  <c r="U1468" i="2"/>
  <c r="K1468" i="2"/>
  <c r="E1468" i="2"/>
  <c r="B1468" i="2"/>
  <c r="U1467" i="2"/>
  <c r="K1467" i="2"/>
  <c r="E1467" i="2"/>
  <c r="B1467" i="2"/>
  <c r="U1466" i="2"/>
  <c r="K1466" i="2"/>
  <c r="E1466" i="2"/>
  <c r="B1466" i="2"/>
  <c r="U1465" i="2"/>
  <c r="K1465" i="2"/>
  <c r="E1465" i="2"/>
  <c r="B1465" i="2"/>
  <c r="U1464" i="2"/>
  <c r="K1464" i="2"/>
  <c r="E1464" i="2"/>
  <c r="B1464" i="2"/>
  <c r="U1463" i="2"/>
  <c r="K1463" i="2"/>
  <c r="E1463" i="2"/>
  <c r="B1463" i="2"/>
  <c r="U1462" i="2"/>
  <c r="K1462" i="2"/>
  <c r="E1462" i="2"/>
  <c r="B1462" i="2"/>
  <c r="U1461" i="2"/>
  <c r="K1461" i="2"/>
  <c r="E1461" i="2"/>
  <c r="B1461" i="2"/>
  <c r="U1460" i="2"/>
  <c r="K1460" i="2"/>
  <c r="E1460" i="2"/>
  <c r="B1460" i="2"/>
  <c r="U1459" i="2"/>
  <c r="K1459" i="2"/>
  <c r="E1459" i="2"/>
  <c r="B1459" i="2"/>
  <c r="U1458" i="2"/>
  <c r="K1458" i="2"/>
  <c r="E1458" i="2"/>
  <c r="B1458" i="2"/>
  <c r="U1457" i="2"/>
  <c r="K1457" i="2"/>
  <c r="E1457" i="2"/>
  <c r="B1457" i="2"/>
  <c r="U1456" i="2"/>
  <c r="K1456" i="2"/>
  <c r="E1456" i="2"/>
  <c r="B1456" i="2"/>
  <c r="U1455" i="2"/>
  <c r="K1455" i="2"/>
  <c r="E1455" i="2"/>
  <c r="B1455" i="2"/>
  <c r="U1454" i="2"/>
  <c r="K1454" i="2"/>
  <c r="E1454" i="2"/>
  <c r="B1454" i="2"/>
  <c r="U1453" i="2"/>
  <c r="K1453" i="2"/>
  <c r="E1453" i="2"/>
  <c r="B1453" i="2"/>
  <c r="U1452" i="2"/>
  <c r="K1452" i="2"/>
  <c r="E1452" i="2"/>
  <c r="B1452" i="2"/>
  <c r="U1451" i="2"/>
  <c r="K1451" i="2"/>
  <c r="E1451" i="2"/>
  <c r="B1451" i="2"/>
  <c r="U1450" i="2"/>
  <c r="K1450" i="2"/>
  <c r="E1450" i="2"/>
  <c r="B1450" i="2"/>
  <c r="U1449" i="2"/>
  <c r="K1449" i="2"/>
  <c r="E1449" i="2"/>
  <c r="B1449" i="2"/>
  <c r="U1448" i="2"/>
  <c r="K1448" i="2"/>
  <c r="E1448" i="2"/>
  <c r="B1448" i="2"/>
  <c r="U1447" i="2"/>
  <c r="K1447" i="2"/>
  <c r="E1447" i="2"/>
  <c r="B1447" i="2"/>
  <c r="U1446" i="2"/>
  <c r="K1446" i="2"/>
  <c r="E1446" i="2"/>
  <c r="B1446" i="2"/>
  <c r="U1445" i="2"/>
  <c r="K1445" i="2"/>
  <c r="E1445" i="2"/>
  <c r="B1445" i="2"/>
  <c r="U1444" i="2"/>
  <c r="K1444" i="2"/>
  <c r="E1444" i="2"/>
  <c r="B1444" i="2"/>
  <c r="U1443" i="2"/>
  <c r="K1443" i="2"/>
  <c r="E1443" i="2"/>
  <c r="B1443" i="2"/>
  <c r="U1442" i="2"/>
  <c r="K1442" i="2"/>
  <c r="E1442" i="2"/>
  <c r="B1442" i="2"/>
  <c r="U1441" i="2"/>
  <c r="K1441" i="2"/>
  <c r="E1441" i="2"/>
  <c r="B1441" i="2"/>
  <c r="U1440" i="2"/>
  <c r="K1440" i="2"/>
  <c r="E1440" i="2"/>
  <c r="B1440" i="2"/>
  <c r="U1439" i="2"/>
  <c r="K1439" i="2"/>
  <c r="E1439" i="2"/>
  <c r="B1439" i="2"/>
  <c r="U1438" i="2"/>
  <c r="K1438" i="2"/>
  <c r="E1438" i="2"/>
  <c r="B1438" i="2"/>
  <c r="U1437" i="2"/>
  <c r="K1437" i="2"/>
  <c r="E1437" i="2"/>
  <c r="B1437" i="2"/>
  <c r="U1436" i="2"/>
  <c r="K1436" i="2"/>
  <c r="E1436" i="2"/>
  <c r="B1436" i="2"/>
  <c r="U1435" i="2"/>
  <c r="K1435" i="2"/>
  <c r="E1435" i="2"/>
  <c r="B1435" i="2"/>
  <c r="U1434" i="2"/>
  <c r="K1434" i="2"/>
  <c r="E1434" i="2"/>
  <c r="B1434" i="2"/>
  <c r="U1433" i="2"/>
  <c r="K1433" i="2"/>
  <c r="E1433" i="2"/>
  <c r="B1433" i="2"/>
  <c r="U1432" i="2"/>
  <c r="K1432" i="2"/>
  <c r="E1432" i="2"/>
  <c r="B1432" i="2"/>
  <c r="U1431" i="2"/>
  <c r="K1431" i="2"/>
  <c r="E1431" i="2"/>
  <c r="B1431" i="2"/>
  <c r="U1430" i="2"/>
  <c r="K1430" i="2"/>
  <c r="E1430" i="2"/>
  <c r="B1430" i="2"/>
  <c r="U1429" i="2"/>
  <c r="K1429" i="2"/>
  <c r="E1429" i="2"/>
  <c r="B1429" i="2"/>
  <c r="U1428" i="2"/>
  <c r="K1428" i="2"/>
  <c r="E1428" i="2"/>
  <c r="B1428" i="2"/>
  <c r="U1427" i="2"/>
  <c r="K1427" i="2"/>
  <c r="E1427" i="2"/>
  <c r="B1427" i="2"/>
  <c r="U1426" i="2"/>
  <c r="K1426" i="2"/>
  <c r="E1426" i="2"/>
  <c r="B1426" i="2"/>
  <c r="U1425" i="2"/>
  <c r="K1425" i="2"/>
  <c r="E1425" i="2"/>
  <c r="B1425" i="2"/>
  <c r="U1424" i="2"/>
  <c r="K1424" i="2"/>
  <c r="E1424" i="2"/>
  <c r="B1424" i="2"/>
  <c r="U1423" i="2"/>
  <c r="K1423" i="2"/>
  <c r="E1423" i="2"/>
  <c r="B1423" i="2"/>
  <c r="U1422" i="2"/>
  <c r="K1422" i="2"/>
  <c r="E1422" i="2"/>
  <c r="B1422" i="2"/>
  <c r="U1421" i="2"/>
  <c r="K1421" i="2"/>
  <c r="E1421" i="2"/>
  <c r="B1421" i="2"/>
  <c r="U1420" i="2"/>
  <c r="K1420" i="2"/>
  <c r="E1420" i="2"/>
  <c r="B1420" i="2"/>
  <c r="U1419" i="2"/>
  <c r="K1419" i="2"/>
  <c r="E1419" i="2"/>
  <c r="B1419" i="2"/>
  <c r="U1418" i="2"/>
  <c r="K1418" i="2"/>
  <c r="E1418" i="2"/>
  <c r="B1418" i="2"/>
  <c r="U1417" i="2"/>
  <c r="K1417" i="2"/>
  <c r="E1417" i="2"/>
  <c r="B1417" i="2"/>
  <c r="U1416" i="2"/>
  <c r="K1416" i="2"/>
  <c r="E1416" i="2"/>
  <c r="B1416" i="2"/>
  <c r="U1415" i="2"/>
  <c r="K1415" i="2"/>
  <c r="E1415" i="2"/>
  <c r="B1415" i="2"/>
  <c r="U1414" i="2"/>
  <c r="K1414" i="2"/>
  <c r="E1414" i="2"/>
  <c r="B1414" i="2"/>
  <c r="U1413" i="2"/>
  <c r="K1413" i="2"/>
  <c r="E1413" i="2"/>
  <c r="B1413" i="2"/>
  <c r="U1412" i="2"/>
  <c r="K1412" i="2"/>
  <c r="E1412" i="2"/>
  <c r="B1412" i="2"/>
  <c r="U1411" i="2"/>
  <c r="K1411" i="2"/>
  <c r="E1411" i="2"/>
  <c r="B1411" i="2"/>
  <c r="U1410" i="2"/>
  <c r="K1410" i="2"/>
  <c r="E1410" i="2"/>
  <c r="B1410" i="2"/>
  <c r="U1409" i="2"/>
  <c r="K1409" i="2"/>
  <c r="E1409" i="2"/>
  <c r="B1409" i="2"/>
  <c r="U1408" i="2"/>
  <c r="K1408" i="2"/>
  <c r="E1408" i="2"/>
  <c r="B1408" i="2"/>
  <c r="U1407" i="2"/>
  <c r="K1407" i="2"/>
  <c r="E1407" i="2"/>
  <c r="B1407" i="2"/>
  <c r="U1406" i="2"/>
  <c r="K1406" i="2"/>
  <c r="E1406" i="2"/>
  <c r="B1406" i="2"/>
  <c r="U1405" i="2"/>
  <c r="K1405" i="2"/>
  <c r="E1405" i="2"/>
  <c r="B1405" i="2"/>
  <c r="U1404" i="2"/>
  <c r="K1404" i="2"/>
  <c r="E1404" i="2"/>
  <c r="B1404" i="2"/>
  <c r="U1403" i="2"/>
  <c r="K1403" i="2"/>
  <c r="E1403" i="2"/>
  <c r="B1403" i="2"/>
  <c r="U1402" i="2"/>
  <c r="K1402" i="2"/>
  <c r="E1402" i="2"/>
  <c r="B1402" i="2"/>
  <c r="U1401" i="2"/>
  <c r="K1401" i="2"/>
  <c r="E1401" i="2"/>
  <c r="B1401" i="2"/>
  <c r="U1400" i="2"/>
  <c r="K1400" i="2"/>
  <c r="E1400" i="2"/>
  <c r="B1400" i="2"/>
  <c r="U1399" i="2"/>
  <c r="K1399" i="2"/>
  <c r="E1399" i="2"/>
  <c r="B1399" i="2"/>
  <c r="U1398" i="2"/>
  <c r="K1398" i="2"/>
  <c r="E1398" i="2"/>
  <c r="B1398" i="2"/>
  <c r="U1397" i="2"/>
  <c r="K1397" i="2"/>
  <c r="E1397" i="2"/>
  <c r="B1397" i="2"/>
  <c r="U1396" i="2"/>
  <c r="K1396" i="2"/>
  <c r="E1396" i="2"/>
  <c r="B1396" i="2"/>
  <c r="U1395" i="2"/>
  <c r="K1395" i="2"/>
  <c r="E1395" i="2"/>
  <c r="B1395" i="2"/>
  <c r="U1394" i="2"/>
  <c r="K1394" i="2"/>
  <c r="E1394" i="2"/>
  <c r="B1394" i="2"/>
  <c r="U1393" i="2"/>
  <c r="K1393" i="2"/>
  <c r="E1393" i="2"/>
  <c r="B1393" i="2"/>
  <c r="U1392" i="2"/>
  <c r="K1392" i="2"/>
  <c r="E1392" i="2"/>
  <c r="B1392" i="2"/>
  <c r="U1391" i="2"/>
  <c r="K1391" i="2"/>
  <c r="E1391" i="2"/>
  <c r="B1391" i="2"/>
  <c r="U1390" i="2"/>
  <c r="K1390" i="2"/>
  <c r="E1390" i="2"/>
  <c r="B1390" i="2"/>
  <c r="U1389" i="2"/>
  <c r="K1389" i="2"/>
  <c r="E1389" i="2"/>
  <c r="B1389" i="2"/>
  <c r="U1388" i="2"/>
  <c r="K1388" i="2"/>
  <c r="E1388" i="2"/>
  <c r="B1388" i="2"/>
  <c r="U1387" i="2"/>
  <c r="K1387" i="2"/>
  <c r="E1387" i="2"/>
  <c r="B1387" i="2"/>
  <c r="U1386" i="2"/>
  <c r="K1386" i="2"/>
  <c r="E1386" i="2"/>
  <c r="B1386" i="2"/>
  <c r="U1385" i="2"/>
  <c r="K1385" i="2"/>
  <c r="E1385" i="2"/>
  <c r="B1385" i="2"/>
  <c r="U1384" i="2"/>
  <c r="K1384" i="2"/>
  <c r="E1384" i="2"/>
  <c r="B1384" i="2"/>
  <c r="U1383" i="2"/>
  <c r="K1383" i="2"/>
  <c r="E1383" i="2"/>
  <c r="B1383" i="2"/>
  <c r="U1382" i="2"/>
  <c r="K1382" i="2"/>
  <c r="E1382" i="2"/>
  <c r="B1382" i="2"/>
  <c r="U1381" i="2"/>
  <c r="K1381" i="2"/>
  <c r="E1381" i="2"/>
  <c r="B1381" i="2"/>
  <c r="U1380" i="2"/>
  <c r="K1380" i="2"/>
  <c r="E1380" i="2"/>
  <c r="B1380" i="2"/>
  <c r="U1379" i="2"/>
  <c r="K1379" i="2"/>
  <c r="E1379" i="2"/>
  <c r="B1379" i="2"/>
  <c r="U1378" i="2"/>
  <c r="K1378" i="2"/>
  <c r="E1378" i="2"/>
  <c r="B1378" i="2"/>
  <c r="U1377" i="2"/>
  <c r="K1377" i="2"/>
  <c r="E1377" i="2"/>
  <c r="B1377" i="2"/>
  <c r="U1376" i="2"/>
  <c r="K1376" i="2"/>
  <c r="E1376" i="2"/>
  <c r="B1376" i="2"/>
  <c r="K1375" i="2"/>
  <c r="E1375" i="2"/>
  <c r="B1375" i="2"/>
  <c r="U1374" i="2"/>
  <c r="K1374" i="2"/>
  <c r="E1374" i="2"/>
  <c r="B1374" i="2"/>
  <c r="U1373" i="2"/>
  <c r="K1373" i="2"/>
  <c r="E1373" i="2"/>
  <c r="B1373" i="2"/>
  <c r="U1372" i="2"/>
  <c r="K1372" i="2"/>
  <c r="E1372" i="2"/>
  <c r="B1372" i="2"/>
  <c r="U1371" i="2"/>
  <c r="K1371" i="2"/>
  <c r="E1371" i="2"/>
  <c r="B1371" i="2"/>
  <c r="U1370" i="2"/>
  <c r="K1370" i="2"/>
  <c r="E1370" i="2"/>
  <c r="B1370" i="2"/>
  <c r="U1369" i="2"/>
  <c r="K1369" i="2"/>
  <c r="E1369" i="2"/>
  <c r="B1369" i="2"/>
  <c r="U1368" i="2"/>
  <c r="K1368" i="2"/>
  <c r="E1368" i="2"/>
  <c r="B1368" i="2"/>
  <c r="U1367" i="2"/>
  <c r="K1367" i="2"/>
  <c r="E1367" i="2"/>
  <c r="B1367" i="2"/>
  <c r="U1366" i="2"/>
  <c r="K1366" i="2"/>
  <c r="E1366" i="2"/>
  <c r="B1366" i="2"/>
  <c r="U1365" i="2"/>
  <c r="K1365" i="2"/>
  <c r="E1365" i="2"/>
  <c r="B1365" i="2"/>
  <c r="U1364" i="2"/>
  <c r="K1364" i="2"/>
  <c r="E1364" i="2"/>
  <c r="B1364" i="2"/>
  <c r="U1363" i="2"/>
  <c r="K1363" i="2"/>
  <c r="E1363" i="2"/>
  <c r="B1363" i="2"/>
  <c r="U1362" i="2"/>
  <c r="K1362" i="2"/>
  <c r="E1362" i="2"/>
  <c r="B1362" i="2"/>
  <c r="U1361" i="2"/>
  <c r="K1361" i="2"/>
  <c r="E1361" i="2"/>
  <c r="B1361" i="2"/>
  <c r="U1360" i="2"/>
  <c r="K1360" i="2"/>
  <c r="E1360" i="2"/>
  <c r="B1360" i="2"/>
  <c r="U1359" i="2"/>
  <c r="K1359" i="2"/>
  <c r="E1359" i="2"/>
  <c r="B1359" i="2"/>
  <c r="U1358" i="2"/>
  <c r="K1358" i="2"/>
  <c r="E1358" i="2"/>
  <c r="B1358" i="2"/>
  <c r="U1357" i="2"/>
  <c r="K1357" i="2"/>
  <c r="E1357" i="2"/>
  <c r="B1357" i="2"/>
  <c r="U1356" i="2"/>
  <c r="K1356" i="2"/>
  <c r="E1356" i="2"/>
  <c r="B1356" i="2"/>
  <c r="U1355" i="2"/>
  <c r="K1355" i="2"/>
  <c r="E1355" i="2"/>
  <c r="B1355" i="2"/>
  <c r="U1354" i="2"/>
  <c r="K1354" i="2"/>
  <c r="E1354" i="2"/>
  <c r="B1354" i="2"/>
  <c r="U1353" i="2"/>
  <c r="K1353" i="2"/>
  <c r="E1353" i="2"/>
  <c r="B1353" i="2"/>
  <c r="U1352" i="2"/>
  <c r="K1352" i="2"/>
  <c r="E1352" i="2"/>
  <c r="B1352" i="2"/>
  <c r="U1351" i="2"/>
  <c r="K1351" i="2"/>
  <c r="E1351" i="2"/>
  <c r="B1351" i="2"/>
  <c r="U1350" i="2"/>
  <c r="K1350" i="2"/>
  <c r="E1350" i="2"/>
  <c r="B1350" i="2"/>
  <c r="U1349" i="2"/>
  <c r="K1349" i="2"/>
  <c r="E1349" i="2"/>
  <c r="B1349" i="2"/>
  <c r="U1348" i="2"/>
  <c r="K1348" i="2"/>
  <c r="E1348" i="2"/>
  <c r="B1348" i="2"/>
  <c r="U1347" i="2"/>
  <c r="K1347" i="2"/>
  <c r="E1347" i="2"/>
  <c r="B1347" i="2"/>
  <c r="U1346" i="2"/>
  <c r="K1346" i="2"/>
  <c r="E1346" i="2"/>
  <c r="B1346" i="2"/>
  <c r="U1345" i="2"/>
  <c r="K1345" i="2"/>
  <c r="E1345" i="2"/>
  <c r="B1345" i="2"/>
  <c r="U1344" i="2"/>
  <c r="K1344" i="2"/>
  <c r="E1344" i="2"/>
  <c r="B1344" i="2"/>
  <c r="U1343" i="2"/>
  <c r="K1343" i="2"/>
  <c r="E1343" i="2"/>
  <c r="B1343" i="2"/>
  <c r="U1342" i="2"/>
  <c r="K1342" i="2"/>
  <c r="E1342" i="2"/>
  <c r="B1342" i="2"/>
  <c r="U1341" i="2"/>
  <c r="K1341" i="2"/>
  <c r="E1341" i="2"/>
  <c r="B1341" i="2"/>
  <c r="U1340" i="2"/>
  <c r="K1340" i="2"/>
  <c r="E1340" i="2"/>
  <c r="B1340" i="2"/>
  <c r="U1339" i="2"/>
  <c r="K1339" i="2"/>
  <c r="E1339" i="2"/>
  <c r="B1339" i="2"/>
  <c r="U1338" i="2"/>
  <c r="K1338" i="2"/>
  <c r="E1338" i="2"/>
  <c r="B1338" i="2"/>
  <c r="U1337" i="2"/>
  <c r="K1337" i="2"/>
  <c r="E1337" i="2"/>
  <c r="B1337" i="2"/>
  <c r="U1336" i="2"/>
  <c r="K1336" i="2"/>
  <c r="E1336" i="2"/>
  <c r="B1336" i="2"/>
  <c r="U1335" i="2"/>
  <c r="K1335" i="2"/>
  <c r="E1335" i="2"/>
  <c r="B1335" i="2"/>
  <c r="U1334" i="2"/>
  <c r="K1334" i="2"/>
  <c r="E1334" i="2"/>
  <c r="B1334" i="2"/>
  <c r="U1333" i="2"/>
  <c r="K1333" i="2"/>
  <c r="E1333" i="2"/>
  <c r="B1333" i="2"/>
  <c r="U1332" i="2"/>
  <c r="K1332" i="2"/>
  <c r="E1332" i="2"/>
  <c r="B1332" i="2"/>
  <c r="U1331" i="2"/>
  <c r="K1331" i="2"/>
  <c r="E1331" i="2"/>
  <c r="B1331" i="2"/>
  <c r="U1330" i="2"/>
  <c r="K1330" i="2"/>
  <c r="E1330" i="2"/>
  <c r="B1330" i="2"/>
  <c r="U1329" i="2"/>
  <c r="K1329" i="2"/>
  <c r="E1329" i="2"/>
  <c r="B1329" i="2"/>
  <c r="U1328" i="2"/>
  <c r="K1328" i="2"/>
  <c r="E1328" i="2"/>
  <c r="B1328" i="2"/>
  <c r="U1327" i="2"/>
  <c r="K1327" i="2"/>
  <c r="E1327" i="2"/>
  <c r="B1327" i="2"/>
  <c r="U1326" i="2"/>
  <c r="K1326" i="2"/>
  <c r="E1326" i="2"/>
  <c r="B1326" i="2"/>
  <c r="U1325" i="2"/>
  <c r="K1325" i="2"/>
  <c r="E1325" i="2"/>
  <c r="B1325" i="2"/>
  <c r="U1324" i="2"/>
  <c r="K1324" i="2"/>
  <c r="E1324" i="2"/>
  <c r="B1324" i="2"/>
  <c r="U1323" i="2"/>
  <c r="K1323" i="2"/>
  <c r="E1323" i="2"/>
  <c r="B1323" i="2"/>
  <c r="U1322" i="2"/>
  <c r="K1322" i="2"/>
  <c r="E1322" i="2"/>
  <c r="B1322" i="2"/>
  <c r="U1321" i="2"/>
  <c r="K1321" i="2"/>
  <c r="E1321" i="2"/>
  <c r="B1321" i="2"/>
  <c r="U1320" i="2"/>
  <c r="K1320" i="2"/>
  <c r="E1320" i="2"/>
  <c r="B1320" i="2"/>
  <c r="U1319" i="2"/>
  <c r="K1319" i="2"/>
  <c r="E1319" i="2"/>
  <c r="B1319" i="2"/>
  <c r="U1318" i="2"/>
  <c r="K1318" i="2"/>
  <c r="E1318" i="2"/>
  <c r="B1318" i="2"/>
  <c r="U1317" i="2"/>
  <c r="K1317" i="2"/>
  <c r="E1317" i="2"/>
  <c r="B1317" i="2"/>
  <c r="U1316" i="2"/>
  <c r="K1316" i="2"/>
  <c r="E1316" i="2"/>
  <c r="B1316" i="2"/>
  <c r="U1315" i="2"/>
  <c r="K1315" i="2"/>
  <c r="E1315" i="2"/>
  <c r="B1315" i="2"/>
  <c r="U1314" i="2"/>
  <c r="K1314" i="2"/>
  <c r="E1314" i="2"/>
  <c r="B1314" i="2"/>
  <c r="U1313" i="2"/>
  <c r="K1313" i="2"/>
  <c r="E1313" i="2"/>
  <c r="B1313" i="2"/>
  <c r="U1312" i="2"/>
  <c r="K1312" i="2"/>
  <c r="E1312" i="2"/>
  <c r="B1312" i="2"/>
  <c r="U1311" i="2"/>
  <c r="K1311" i="2"/>
  <c r="E1311" i="2"/>
  <c r="B1311" i="2"/>
  <c r="U1310" i="2"/>
  <c r="K1310" i="2"/>
  <c r="E1310" i="2"/>
  <c r="B1310" i="2"/>
  <c r="U1309" i="2"/>
  <c r="K1309" i="2"/>
  <c r="E1309" i="2"/>
  <c r="B1309" i="2"/>
  <c r="U1308" i="2"/>
  <c r="K1308" i="2"/>
  <c r="E1308" i="2"/>
  <c r="B1308" i="2"/>
  <c r="U1307" i="2"/>
  <c r="K1307" i="2"/>
  <c r="E1307" i="2"/>
  <c r="B1307" i="2"/>
  <c r="U1306" i="2"/>
  <c r="K1306" i="2"/>
  <c r="E1306" i="2"/>
  <c r="B1306" i="2"/>
  <c r="U1305" i="2"/>
  <c r="K1305" i="2"/>
  <c r="E1305" i="2"/>
  <c r="B1305" i="2"/>
  <c r="U1304" i="2"/>
  <c r="K1304" i="2"/>
  <c r="E1304" i="2"/>
  <c r="B1304" i="2"/>
  <c r="U1303" i="2"/>
  <c r="K1303" i="2"/>
  <c r="E1303" i="2"/>
  <c r="B1303" i="2"/>
  <c r="K1302" i="2"/>
  <c r="E1302" i="2"/>
  <c r="B1302" i="2"/>
  <c r="U1301" i="2"/>
  <c r="K1301" i="2"/>
  <c r="E1301" i="2"/>
  <c r="B1301" i="2"/>
  <c r="U1300" i="2"/>
  <c r="K1300" i="2"/>
  <c r="E1300" i="2"/>
  <c r="B1300" i="2"/>
  <c r="U1299" i="2"/>
  <c r="K1299" i="2"/>
  <c r="E1299" i="2"/>
  <c r="B1299" i="2"/>
  <c r="U1298" i="2"/>
  <c r="K1298" i="2"/>
  <c r="E1298" i="2"/>
  <c r="B1298" i="2"/>
  <c r="U1297" i="2"/>
  <c r="K1297" i="2"/>
  <c r="E1297" i="2"/>
  <c r="B1297" i="2"/>
  <c r="U1296" i="2"/>
  <c r="K1296" i="2"/>
  <c r="E1296" i="2"/>
  <c r="B1296" i="2"/>
  <c r="U1295" i="2"/>
  <c r="K1295" i="2"/>
  <c r="E1295" i="2"/>
  <c r="B1295" i="2"/>
  <c r="U1294" i="2"/>
  <c r="K1294" i="2"/>
  <c r="E1294" i="2"/>
  <c r="B1294" i="2"/>
  <c r="U1293" i="2"/>
  <c r="K1293" i="2"/>
  <c r="E1293" i="2"/>
  <c r="B1293" i="2"/>
  <c r="U1292" i="2"/>
  <c r="K1292" i="2"/>
  <c r="E1292" i="2"/>
  <c r="B1292" i="2"/>
  <c r="U1291" i="2"/>
  <c r="K1291" i="2"/>
  <c r="E1291" i="2"/>
  <c r="B1291" i="2"/>
  <c r="U1290" i="2"/>
  <c r="K1290" i="2"/>
  <c r="E1290" i="2"/>
  <c r="B1290" i="2"/>
  <c r="K1289" i="2"/>
  <c r="E1289" i="2"/>
  <c r="B1289" i="2"/>
  <c r="U1288" i="2"/>
  <c r="K1288" i="2"/>
  <c r="E1288" i="2"/>
  <c r="B1288" i="2"/>
  <c r="U1287" i="2"/>
  <c r="K1287" i="2"/>
  <c r="E1287" i="2"/>
  <c r="B1287" i="2"/>
  <c r="U1286" i="2"/>
  <c r="K1286" i="2"/>
  <c r="E1286" i="2"/>
  <c r="B1286" i="2"/>
  <c r="U1285" i="2"/>
  <c r="K1285" i="2"/>
  <c r="E1285" i="2"/>
  <c r="B1285" i="2"/>
  <c r="U1284" i="2"/>
  <c r="K1284" i="2"/>
  <c r="E1284" i="2"/>
  <c r="B1284" i="2"/>
  <c r="U1283" i="2"/>
  <c r="K1283" i="2"/>
  <c r="E1283" i="2"/>
  <c r="B1283" i="2"/>
  <c r="U1282" i="2"/>
  <c r="K1282" i="2"/>
  <c r="E1282" i="2"/>
  <c r="B1282" i="2"/>
  <c r="U1281" i="2"/>
  <c r="K1281" i="2"/>
  <c r="E1281" i="2"/>
  <c r="B1281" i="2"/>
  <c r="U1280" i="2"/>
  <c r="K1280" i="2"/>
  <c r="E1280" i="2"/>
  <c r="B1280" i="2"/>
  <c r="U1279" i="2"/>
  <c r="K1279" i="2"/>
  <c r="E1279" i="2"/>
  <c r="B1279" i="2"/>
  <c r="U1278" i="2"/>
  <c r="K1278" i="2"/>
  <c r="E1278" i="2"/>
  <c r="B1278" i="2"/>
  <c r="U1277" i="2"/>
  <c r="K1277" i="2"/>
  <c r="E1277" i="2"/>
  <c r="B1277" i="2"/>
  <c r="U1276" i="2"/>
  <c r="K1276" i="2"/>
  <c r="E1276" i="2"/>
  <c r="B1276" i="2"/>
  <c r="U1275" i="2"/>
  <c r="K1275" i="2"/>
  <c r="E1275" i="2"/>
  <c r="B1275" i="2"/>
  <c r="U1274" i="2"/>
  <c r="K1274" i="2"/>
  <c r="E1274" i="2"/>
  <c r="B1274" i="2"/>
  <c r="U1273" i="2"/>
  <c r="K1273" i="2"/>
  <c r="E1273" i="2"/>
  <c r="B1273" i="2"/>
  <c r="U1272" i="2"/>
  <c r="K1272" i="2"/>
  <c r="E1272" i="2"/>
  <c r="B1272" i="2"/>
  <c r="U1271" i="2"/>
  <c r="K1271" i="2"/>
  <c r="E1271" i="2"/>
  <c r="B1271" i="2"/>
  <c r="U1270" i="2"/>
  <c r="K1270" i="2"/>
  <c r="E1270" i="2"/>
  <c r="B1270" i="2"/>
  <c r="U1269" i="2"/>
  <c r="K1269" i="2"/>
  <c r="E1269" i="2"/>
  <c r="B1269" i="2"/>
  <c r="U1268" i="2"/>
  <c r="K1268" i="2"/>
  <c r="E1268" i="2"/>
  <c r="B1268" i="2"/>
  <c r="U1267" i="2"/>
  <c r="K1267" i="2"/>
  <c r="E1267" i="2"/>
  <c r="B1267" i="2"/>
  <c r="U1266" i="2"/>
  <c r="K1266" i="2"/>
  <c r="E1266" i="2"/>
  <c r="B1266" i="2"/>
  <c r="U1265" i="2"/>
  <c r="K1265" i="2"/>
  <c r="E1265" i="2"/>
  <c r="B1265" i="2"/>
  <c r="U1264" i="2"/>
  <c r="K1264" i="2"/>
  <c r="E1264" i="2"/>
  <c r="B1264" i="2"/>
  <c r="U1263" i="2"/>
  <c r="K1263" i="2"/>
  <c r="E1263" i="2"/>
  <c r="B1263" i="2"/>
  <c r="U1262" i="2"/>
  <c r="K1262" i="2"/>
  <c r="E1262" i="2"/>
  <c r="B1262" i="2"/>
  <c r="U1261" i="2"/>
  <c r="K1261" i="2"/>
  <c r="E1261" i="2"/>
  <c r="B1261" i="2"/>
  <c r="U1260" i="2"/>
  <c r="K1260" i="2"/>
  <c r="E1260" i="2"/>
  <c r="B1260" i="2"/>
  <c r="U1259" i="2"/>
  <c r="K1259" i="2"/>
  <c r="E1259" i="2"/>
  <c r="B1259" i="2"/>
  <c r="U1258" i="2"/>
  <c r="K1258" i="2"/>
  <c r="E1258" i="2"/>
  <c r="B1258" i="2"/>
  <c r="U1257" i="2"/>
  <c r="K1257" i="2"/>
  <c r="E1257" i="2"/>
  <c r="B1257" i="2"/>
  <c r="U1256" i="2"/>
  <c r="K1256" i="2"/>
  <c r="E1256" i="2"/>
  <c r="B1256" i="2"/>
  <c r="U1255" i="2"/>
  <c r="K1255" i="2"/>
  <c r="E1255" i="2"/>
  <c r="B1255" i="2"/>
  <c r="U1254" i="2"/>
  <c r="K1254" i="2"/>
  <c r="E1254" i="2"/>
  <c r="B1254" i="2"/>
  <c r="U1253" i="2"/>
  <c r="K1253" i="2"/>
  <c r="E1253" i="2"/>
  <c r="B1253" i="2"/>
  <c r="U1252" i="2"/>
  <c r="K1252" i="2"/>
  <c r="E1252" i="2"/>
  <c r="B1252" i="2"/>
  <c r="U1251" i="2"/>
  <c r="K1251" i="2"/>
  <c r="E1251" i="2"/>
  <c r="B1251" i="2"/>
  <c r="U1250" i="2"/>
  <c r="K1250" i="2"/>
  <c r="E1250" i="2"/>
  <c r="B1250" i="2"/>
  <c r="U1249" i="2"/>
  <c r="K1249" i="2"/>
  <c r="E1249" i="2"/>
  <c r="B1249" i="2"/>
  <c r="U1248" i="2"/>
  <c r="K1248" i="2"/>
  <c r="E1248" i="2"/>
  <c r="B1248" i="2"/>
  <c r="U1247" i="2"/>
  <c r="K1247" i="2"/>
  <c r="E1247" i="2"/>
  <c r="B1247" i="2"/>
  <c r="U1246" i="2"/>
  <c r="K1246" i="2"/>
  <c r="E1246" i="2"/>
  <c r="B1246" i="2"/>
  <c r="U1245" i="2"/>
  <c r="K1245" i="2"/>
  <c r="E1245" i="2"/>
  <c r="B1245" i="2"/>
  <c r="U1244" i="2"/>
  <c r="K1244" i="2"/>
  <c r="E1244" i="2"/>
  <c r="B1244" i="2"/>
  <c r="U1243" i="2"/>
  <c r="K1243" i="2"/>
  <c r="E1243" i="2"/>
  <c r="B1243" i="2"/>
  <c r="U1242" i="2"/>
  <c r="K1242" i="2"/>
  <c r="E1242" i="2"/>
  <c r="B1242" i="2"/>
  <c r="U1241" i="2"/>
  <c r="K1241" i="2"/>
  <c r="E1241" i="2"/>
  <c r="B1241" i="2"/>
  <c r="U1240" i="2"/>
  <c r="K1240" i="2"/>
  <c r="E1240" i="2"/>
  <c r="B1240" i="2"/>
  <c r="U1239" i="2"/>
  <c r="K1239" i="2"/>
  <c r="E1239" i="2"/>
  <c r="B1239" i="2"/>
  <c r="U1238" i="2"/>
  <c r="K1238" i="2"/>
  <c r="E1238" i="2"/>
  <c r="B1238" i="2"/>
  <c r="U1237" i="2"/>
  <c r="K1237" i="2"/>
  <c r="E1237" i="2"/>
  <c r="B1237" i="2"/>
  <c r="U1236" i="2"/>
  <c r="K1236" i="2"/>
  <c r="E1236" i="2"/>
  <c r="B1236" i="2"/>
  <c r="U1235" i="2"/>
  <c r="K1235" i="2"/>
  <c r="E1235" i="2"/>
  <c r="B1235" i="2"/>
  <c r="U1234" i="2"/>
  <c r="K1234" i="2"/>
  <c r="E1234" i="2"/>
  <c r="B1234" i="2"/>
  <c r="U1233" i="2"/>
  <c r="K1233" i="2"/>
  <c r="E1233" i="2"/>
  <c r="B1233" i="2"/>
  <c r="U1232" i="2"/>
  <c r="K1232" i="2"/>
  <c r="E1232" i="2"/>
  <c r="B1232" i="2"/>
  <c r="U1231" i="2"/>
  <c r="K1231" i="2"/>
  <c r="E1231" i="2"/>
  <c r="B1231" i="2"/>
  <c r="U1230" i="2"/>
  <c r="K1230" i="2"/>
  <c r="E1230" i="2"/>
  <c r="B1230" i="2"/>
  <c r="U1229" i="2"/>
  <c r="K1229" i="2"/>
  <c r="E1229" i="2"/>
  <c r="B1229" i="2"/>
  <c r="U1228" i="2"/>
  <c r="K1228" i="2"/>
  <c r="E1228" i="2"/>
  <c r="B1228" i="2"/>
  <c r="U1227" i="2"/>
  <c r="K1227" i="2"/>
  <c r="E1227" i="2"/>
  <c r="B1227" i="2"/>
  <c r="U1226" i="2"/>
  <c r="K1226" i="2"/>
  <c r="E1226" i="2"/>
  <c r="B1226" i="2"/>
  <c r="U1225" i="2"/>
  <c r="K1225" i="2"/>
  <c r="E1225" i="2"/>
  <c r="B1225" i="2"/>
  <c r="U1224" i="2"/>
  <c r="K1224" i="2"/>
  <c r="E1224" i="2"/>
  <c r="B1224" i="2"/>
  <c r="U1223" i="2"/>
  <c r="K1223" i="2"/>
  <c r="E1223" i="2"/>
  <c r="B1223" i="2"/>
  <c r="U1222" i="2"/>
  <c r="K1222" i="2"/>
  <c r="E1222" i="2"/>
  <c r="B1222" i="2"/>
  <c r="U1221" i="2"/>
  <c r="K1221" i="2"/>
  <c r="E1221" i="2"/>
  <c r="B1221" i="2"/>
  <c r="U1220" i="2"/>
  <c r="K1220" i="2"/>
  <c r="E1220" i="2"/>
  <c r="B1220" i="2"/>
  <c r="U1219" i="2"/>
  <c r="K1219" i="2"/>
  <c r="E1219" i="2"/>
  <c r="B1219" i="2"/>
  <c r="U1218" i="2"/>
  <c r="K1218" i="2"/>
  <c r="E1218" i="2"/>
  <c r="B1218" i="2"/>
  <c r="U1217" i="2"/>
  <c r="K1217" i="2"/>
  <c r="E1217" i="2"/>
  <c r="B1217" i="2"/>
  <c r="U1216" i="2"/>
  <c r="K1216" i="2"/>
  <c r="E1216" i="2"/>
  <c r="B1216" i="2"/>
  <c r="U1215" i="2"/>
  <c r="K1215" i="2"/>
  <c r="E1215" i="2"/>
  <c r="B1215" i="2"/>
  <c r="U1214" i="2"/>
  <c r="K1214" i="2"/>
  <c r="E1214" i="2"/>
  <c r="B1214" i="2"/>
  <c r="U1213" i="2"/>
  <c r="K1213" i="2"/>
  <c r="E1213" i="2"/>
  <c r="B1213" i="2"/>
  <c r="K1212" i="2"/>
  <c r="E1212" i="2"/>
  <c r="B1212" i="2"/>
  <c r="K1211" i="2"/>
  <c r="E1211" i="2"/>
  <c r="B1211" i="2"/>
  <c r="U1210" i="2"/>
  <c r="K1210" i="2"/>
  <c r="E1210" i="2"/>
  <c r="B1210" i="2"/>
  <c r="U1209" i="2"/>
  <c r="K1209" i="2"/>
  <c r="E1209" i="2"/>
  <c r="B1209" i="2"/>
  <c r="U1208" i="2"/>
  <c r="K1208" i="2"/>
  <c r="E1208" i="2"/>
  <c r="B1208" i="2"/>
  <c r="U1207" i="2"/>
  <c r="K1207" i="2"/>
  <c r="E1207" i="2"/>
  <c r="B1207" i="2"/>
  <c r="U1206" i="2"/>
  <c r="K1206" i="2"/>
  <c r="E1206" i="2"/>
  <c r="B1206" i="2"/>
  <c r="U1205" i="2"/>
  <c r="K1205" i="2"/>
  <c r="E1205" i="2"/>
  <c r="B1205" i="2"/>
  <c r="U1204" i="2"/>
  <c r="K1204" i="2"/>
  <c r="E1204" i="2"/>
  <c r="B1204" i="2"/>
  <c r="U1203" i="2"/>
  <c r="K1203" i="2"/>
  <c r="E1203" i="2"/>
  <c r="B1203" i="2"/>
  <c r="U1202" i="2"/>
  <c r="K1202" i="2"/>
  <c r="E1202" i="2"/>
  <c r="B1202" i="2"/>
  <c r="U1201" i="2"/>
  <c r="K1201" i="2"/>
  <c r="E1201" i="2"/>
  <c r="B1201" i="2"/>
  <c r="U1200" i="2"/>
  <c r="K1200" i="2"/>
  <c r="E1200" i="2"/>
  <c r="B1200" i="2"/>
  <c r="U1199" i="2"/>
  <c r="K1199" i="2"/>
  <c r="E1199" i="2"/>
  <c r="B1199" i="2"/>
  <c r="U1198" i="2"/>
  <c r="K1198" i="2"/>
  <c r="E1198" i="2"/>
  <c r="B1198" i="2"/>
  <c r="U1197" i="2"/>
  <c r="K1197" i="2"/>
  <c r="E1197" i="2"/>
  <c r="B1197" i="2"/>
  <c r="U1196" i="2"/>
  <c r="K1196" i="2"/>
  <c r="E1196" i="2"/>
  <c r="B1196" i="2"/>
  <c r="U1195" i="2"/>
  <c r="K1195" i="2"/>
  <c r="E1195" i="2"/>
  <c r="B1195" i="2"/>
  <c r="U1194" i="2"/>
  <c r="K1194" i="2"/>
  <c r="E1194" i="2"/>
  <c r="B1194" i="2"/>
  <c r="U1193" i="2"/>
  <c r="K1193" i="2"/>
  <c r="E1193" i="2"/>
  <c r="B1193" i="2"/>
  <c r="K1192" i="2"/>
  <c r="E1192" i="2"/>
  <c r="B1192" i="2"/>
  <c r="U1191" i="2"/>
  <c r="K1191" i="2"/>
  <c r="E1191" i="2"/>
  <c r="B1191" i="2"/>
  <c r="U1190" i="2"/>
  <c r="K1190" i="2"/>
  <c r="E1190" i="2"/>
  <c r="B1190" i="2"/>
  <c r="U1189" i="2"/>
  <c r="K1189" i="2"/>
  <c r="E1189" i="2"/>
  <c r="B1189" i="2"/>
  <c r="U1188" i="2"/>
  <c r="K1188" i="2"/>
  <c r="E1188" i="2"/>
  <c r="B1188" i="2"/>
  <c r="U1187" i="2"/>
  <c r="K1187" i="2"/>
  <c r="E1187" i="2"/>
  <c r="B1187" i="2"/>
  <c r="U1186" i="2"/>
  <c r="K1186" i="2"/>
  <c r="E1186" i="2"/>
  <c r="B1186" i="2"/>
  <c r="U1185" i="2"/>
  <c r="K1185" i="2"/>
  <c r="E1185" i="2"/>
  <c r="B1185" i="2"/>
  <c r="U1184" i="2"/>
  <c r="K1184" i="2"/>
  <c r="E1184" i="2"/>
  <c r="B1184" i="2"/>
  <c r="U1183" i="2"/>
  <c r="K1183" i="2"/>
  <c r="E1183" i="2"/>
  <c r="B1183" i="2"/>
  <c r="U1182" i="2"/>
  <c r="K1182" i="2"/>
  <c r="E1182" i="2"/>
  <c r="B1182" i="2"/>
  <c r="U1181" i="2"/>
  <c r="K1181" i="2"/>
  <c r="E1181" i="2"/>
  <c r="B1181" i="2"/>
  <c r="U1180" i="2"/>
  <c r="K1180" i="2"/>
  <c r="E1180" i="2"/>
  <c r="B1180" i="2"/>
  <c r="U1179" i="2"/>
  <c r="K1179" i="2"/>
  <c r="E1179" i="2"/>
  <c r="B1179" i="2"/>
  <c r="U1178" i="2"/>
  <c r="K1178" i="2"/>
  <c r="E1178" i="2"/>
  <c r="B1178" i="2"/>
  <c r="U1177" i="2"/>
  <c r="K1177" i="2"/>
  <c r="E1177" i="2"/>
  <c r="B1177" i="2"/>
  <c r="U1176" i="2"/>
  <c r="K1176" i="2"/>
  <c r="E1176" i="2"/>
  <c r="B1176" i="2"/>
  <c r="U1175" i="2"/>
  <c r="K1175" i="2"/>
  <c r="E1175" i="2"/>
  <c r="B1175" i="2"/>
  <c r="U1174" i="2"/>
  <c r="K1174" i="2"/>
  <c r="E1174" i="2"/>
  <c r="B1174" i="2"/>
  <c r="U1173" i="2"/>
  <c r="K1173" i="2"/>
  <c r="E1173" i="2"/>
  <c r="B1173" i="2"/>
  <c r="U1172" i="2"/>
  <c r="K1172" i="2"/>
  <c r="E1172" i="2"/>
  <c r="B1172" i="2"/>
  <c r="U1171" i="2"/>
  <c r="K1171" i="2"/>
  <c r="E1171" i="2"/>
  <c r="B1171" i="2"/>
  <c r="U1170" i="2"/>
  <c r="K1170" i="2"/>
  <c r="E1170" i="2"/>
  <c r="B1170" i="2"/>
  <c r="U1169" i="2"/>
  <c r="K1169" i="2"/>
  <c r="E1169" i="2"/>
  <c r="B1169" i="2"/>
  <c r="U1168" i="2"/>
  <c r="K1168" i="2"/>
  <c r="E1168" i="2"/>
  <c r="B1168" i="2"/>
  <c r="U1167" i="2"/>
  <c r="K1167" i="2"/>
  <c r="E1167" i="2"/>
  <c r="B1167" i="2"/>
  <c r="U1166" i="2"/>
  <c r="K1166" i="2"/>
  <c r="E1166" i="2"/>
  <c r="B1166" i="2"/>
  <c r="U1165" i="2"/>
  <c r="K1165" i="2"/>
  <c r="E1165" i="2"/>
  <c r="B1165" i="2"/>
  <c r="U1164" i="2"/>
  <c r="K1164" i="2"/>
  <c r="E1164" i="2"/>
  <c r="B1164" i="2"/>
  <c r="U1163" i="2"/>
  <c r="K1163" i="2"/>
  <c r="E1163" i="2"/>
  <c r="B1163" i="2"/>
  <c r="U1162" i="2"/>
  <c r="K1162" i="2"/>
  <c r="E1162" i="2"/>
  <c r="B1162" i="2"/>
  <c r="U1161" i="2"/>
  <c r="K1161" i="2"/>
  <c r="E1161" i="2"/>
  <c r="B1161" i="2"/>
  <c r="U1160" i="2"/>
  <c r="K1160" i="2"/>
  <c r="E1160" i="2"/>
  <c r="B1160" i="2"/>
  <c r="U1159" i="2"/>
  <c r="K1159" i="2"/>
  <c r="E1159" i="2"/>
  <c r="B1159" i="2"/>
  <c r="U1158" i="2"/>
  <c r="K1158" i="2"/>
  <c r="E1158" i="2"/>
  <c r="B1158" i="2"/>
  <c r="K1157" i="2"/>
  <c r="E1157" i="2"/>
  <c r="B1157" i="2"/>
  <c r="U1156" i="2"/>
  <c r="K1156" i="2"/>
  <c r="E1156" i="2"/>
  <c r="B1156" i="2"/>
  <c r="U1155" i="2"/>
  <c r="K1155" i="2"/>
  <c r="E1155" i="2"/>
  <c r="B1155" i="2"/>
  <c r="U1154" i="2"/>
  <c r="K1154" i="2"/>
  <c r="E1154" i="2"/>
  <c r="B1154" i="2"/>
  <c r="U1153" i="2"/>
  <c r="K1153" i="2"/>
  <c r="E1153" i="2"/>
  <c r="B1153" i="2"/>
  <c r="U1152" i="2"/>
  <c r="K1152" i="2"/>
  <c r="E1152" i="2"/>
  <c r="B1152" i="2"/>
  <c r="U1151" i="2"/>
  <c r="K1151" i="2"/>
  <c r="E1151" i="2"/>
  <c r="B1151" i="2"/>
  <c r="U1150" i="2"/>
  <c r="K1150" i="2"/>
  <c r="E1150" i="2"/>
  <c r="B1150" i="2"/>
  <c r="U1149" i="2"/>
  <c r="K1149" i="2"/>
  <c r="E1149" i="2"/>
  <c r="B1149" i="2"/>
  <c r="U1148" i="2"/>
  <c r="K1148" i="2"/>
  <c r="E1148" i="2"/>
  <c r="B1148" i="2"/>
  <c r="U1147" i="2"/>
  <c r="K1147" i="2"/>
  <c r="E1147" i="2"/>
  <c r="B1147" i="2"/>
  <c r="U1146" i="2"/>
  <c r="K1146" i="2"/>
  <c r="E1146" i="2"/>
  <c r="B1146" i="2"/>
  <c r="U1145" i="2"/>
  <c r="K1145" i="2"/>
  <c r="E1145" i="2"/>
  <c r="B1145" i="2"/>
  <c r="U1144" i="2"/>
  <c r="K1144" i="2"/>
  <c r="E1144" i="2"/>
  <c r="B1144" i="2"/>
  <c r="U1143" i="2"/>
  <c r="K1143" i="2"/>
  <c r="E1143" i="2"/>
  <c r="B1143" i="2"/>
  <c r="U1142" i="2"/>
  <c r="K1142" i="2"/>
  <c r="E1142" i="2"/>
  <c r="B1142" i="2"/>
  <c r="U1141" i="2"/>
  <c r="K1141" i="2"/>
  <c r="E1141" i="2"/>
  <c r="B1141" i="2"/>
  <c r="U1140" i="2"/>
  <c r="K1140" i="2"/>
  <c r="E1140" i="2"/>
  <c r="B1140" i="2"/>
  <c r="U1139" i="2"/>
  <c r="K1139" i="2"/>
  <c r="E1139" i="2"/>
  <c r="B1139" i="2"/>
  <c r="U1138" i="2"/>
  <c r="K1138" i="2"/>
  <c r="E1138" i="2"/>
  <c r="B1138" i="2"/>
  <c r="U1137" i="2"/>
  <c r="K1137" i="2"/>
  <c r="E1137" i="2"/>
  <c r="B1137" i="2"/>
  <c r="U1136" i="2"/>
  <c r="K1136" i="2"/>
  <c r="E1136" i="2"/>
  <c r="B1136" i="2"/>
  <c r="U1135" i="2"/>
  <c r="K1135" i="2"/>
  <c r="E1135" i="2"/>
  <c r="B1135" i="2"/>
  <c r="U1134" i="2"/>
  <c r="K1134" i="2"/>
  <c r="E1134" i="2"/>
  <c r="B1134" i="2"/>
  <c r="U1133" i="2"/>
  <c r="K1133" i="2"/>
  <c r="E1133" i="2"/>
  <c r="B1133" i="2"/>
  <c r="U1132" i="2"/>
  <c r="K1132" i="2"/>
  <c r="E1132" i="2"/>
  <c r="B1132" i="2"/>
  <c r="U1131" i="2"/>
  <c r="K1131" i="2"/>
  <c r="E1131" i="2"/>
  <c r="B1131" i="2"/>
  <c r="U1130" i="2"/>
  <c r="K1130" i="2"/>
  <c r="E1130" i="2"/>
  <c r="B1130" i="2"/>
  <c r="U1129" i="2"/>
  <c r="K1129" i="2"/>
  <c r="E1129" i="2"/>
  <c r="B1129" i="2"/>
  <c r="U1128" i="2"/>
  <c r="K1128" i="2"/>
  <c r="E1128" i="2"/>
  <c r="B1128" i="2"/>
  <c r="U1127" i="2"/>
  <c r="K1127" i="2"/>
  <c r="E1127" i="2"/>
  <c r="B1127" i="2"/>
  <c r="U1126" i="2"/>
  <c r="K1126" i="2"/>
  <c r="E1126" i="2"/>
  <c r="B1126" i="2"/>
  <c r="U1125" i="2"/>
  <c r="K1125" i="2"/>
  <c r="E1125" i="2"/>
  <c r="B1125" i="2"/>
  <c r="U1124" i="2"/>
  <c r="K1124" i="2"/>
  <c r="E1124" i="2"/>
  <c r="B1124" i="2"/>
  <c r="U1123" i="2"/>
  <c r="K1123" i="2"/>
  <c r="E1123" i="2"/>
  <c r="B1123" i="2"/>
  <c r="U1122" i="2"/>
  <c r="K1122" i="2"/>
  <c r="E1122" i="2"/>
  <c r="B1122" i="2"/>
  <c r="U1121" i="2"/>
  <c r="K1121" i="2"/>
  <c r="E1121" i="2"/>
  <c r="B1121" i="2"/>
  <c r="U1120" i="2"/>
  <c r="K1120" i="2"/>
  <c r="E1120" i="2"/>
  <c r="B1120" i="2"/>
  <c r="U1119" i="2"/>
  <c r="K1119" i="2"/>
  <c r="E1119" i="2"/>
  <c r="B1119" i="2"/>
  <c r="U1118" i="2"/>
  <c r="K1118" i="2"/>
  <c r="E1118" i="2"/>
  <c r="B1118" i="2"/>
  <c r="U1117" i="2"/>
  <c r="K1117" i="2"/>
  <c r="E1117" i="2"/>
  <c r="B1117" i="2"/>
  <c r="U1116" i="2"/>
  <c r="K1116" i="2"/>
  <c r="E1116" i="2"/>
  <c r="B1116" i="2"/>
  <c r="U1115" i="2"/>
  <c r="K1115" i="2"/>
  <c r="E1115" i="2"/>
  <c r="B1115" i="2"/>
  <c r="U1114" i="2"/>
  <c r="K1114" i="2"/>
  <c r="E1114" i="2"/>
  <c r="B1114" i="2"/>
  <c r="U1113" i="2"/>
  <c r="K1113" i="2"/>
  <c r="E1113" i="2"/>
  <c r="B1113" i="2"/>
  <c r="U1112" i="2"/>
  <c r="K1112" i="2"/>
  <c r="E1112" i="2"/>
  <c r="B1112" i="2"/>
  <c r="U1111" i="2"/>
  <c r="K1111" i="2"/>
  <c r="E1111" i="2"/>
  <c r="B1111" i="2"/>
  <c r="U1110" i="2"/>
  <c r="K1110" i="2"/>
  <c r="E1110" i="2"/>
  <c r="B1110" i="2"/>
  <c r="U1109" i="2"/>
  <c r="K1109" i="2"/>
  <c r="E1109" i="2"/>
  <c r="B1109" i="2"/>
  <c r="U1108" i="2"/>
  <c r="K1108" i="2"/>
  <c r="E1108" i="2"/>
  <c r="B1108" i="2"/>
  <c r="U1107" i="2"/>
  <c r="K1107" i="2"/>
  <c r="E1107" i="2"/>
  <c r="B1107" i="2"/>
  <c r="U1106" i="2"/>
  <c r="K1106" i="2"/>
  <c r="E1106" i="2"/>
  <c r="B1106" i="2"/>
  <c r="U1105" i="2"/>
  <c r="K1105" i="2"/>
  <c r="E1105" i="2"/>
  <c r="B1105" i="2"/>
  <c r="U1104" i="2"/>
  <c r="K1104" i="2"/>
  <c r="E1104" i="2"/>
  <c r="B1104" i="2"/>
  <c r="U1103" i="2"/>
  <c r="K1103" i="2"/>
  <c r="E1103" i="2"/>
  <c r="B1103" i="2"/>
  <c r="U1102" i="2"/>
  <c r="K1102" i="2"/>
  <c r="E1102" i="2"/>
  <c r="B1102" i="2"/>
  <c r="U1101" i="2"/>
  <c r="K1101" i="2"/>
  <c r="E1101" i="2"/>
  <c r="B1101" i="2"/>
  <c r="U1100" i="2"/>
  <c r="K1100" i="2"/>
  <c r="E1100" i="2"/>
  <c r="B1100" i="2"/>
  <c r="U1099" i="2"/>
  <c r="K1099" i="2"/>
  <c r="E1099" i="2"/>
  <c r="B1099" i="2"/>
  <c r="U1098" i="2"/>
  <c r="K1098" i="2"/>
  <c r="E1098" i="2"/>
  <c r="B1098" i="2"/>
  <c r="U1097" i="2"/>
  <c r="K1097" i="2"/>
  <c r="E1097" i="2"/>
  <c r="B1097" i="2"/>
  <c r="U1096" i="2"/>
  <c r="K1096" i="2"/>
  <c r="E1096" i="2"/>
  <c r="B1096" i="2"/>
  <c r="U1095" i="2"/>
  <c r="K1095" i="2"/>
  <c r="E1095" i="2"/>
  <c r="B1095" i="2"/>
  <c r="U1094" i="2"/>
  <c r="K1094" i="2"/>
  <c r="E1094" i="2"/>
  <c r="B1094" i="2"/>
  <c r="U1093" i="2"/>
  <c r="K1093" i="2"/>
  <c r="E1093" i="2"/>
  <c r="B1093" i="2"/>
  <c r="U1092" i="2"/>
  <c r="K1092" i="2"/>
  <c r="E1092" i="2"/>
  <c r="B1092" i="2"/>
  <c r="U1091" i="2"/>
  <c r="K1091" i="2"/>
  <c r="E1091" i="2"/>
  <c r="B1091" i="2"/>
  <c r="U1090" i="2"/>
  <c r="K1090" i="2"/>
  <c r="E1090" i="2"/>
  <c r="B1090" i="2"/>
  <c r="U1089" i="2"/>
  <c r="K1089" i="2"/>
  <c r="E1089" i="2"/>
  <c r="B1089" i="2"/>
  <c r="U1088" i="2"/>
  <c r="K1088" i="2"/>
  <c r="E1088" i="2"/>
  <c r="B1088" i="2"/>
  <c r="U1087" i="2"/>
  <c r="K1087" i="2"/>
  <c r="E1087" i="2"/>
  <c r="B1087" i="2"/>
  <c r="U1086" i="2"/>
  <c r="K1086" i="2"/>
  <c r="E1086" i="2"/>
  <c r="B1086" i="2"/>
  <c r="U1085" i="2"/>
  <c r="K1085" i="2"/>
  <c r="E1085" i="2"/>
  <c r="B1085" i="2"/>
  <c r="U1084" i="2"/>
  <c r="K1084" i="2"/>
  <c r="E1084" i="2"/>
  <c r="B1084" i="2"/>
  <c r="U1083" i="2"/>
  <c r="K1083" i="2"/>
  <c r="E1083" i="2"/>
  <c r="B1083" i="2"/>
  <c r="U1082" i="2"/>
  <c r="K1082" i="2"/>
  <c r="E1082" i="2"/>
  <c r="B1082" i="2"/>
  <c r="U1081" i="2"/>
  <c r="K1081" i="2"/>
  <c r="E1081" i="2"/>
  <c r="B1081" i="2"/>
  <c r="U1080" i="2"/>
  <c r="K1080" i="2"/>
  <c r="E1080" i="2"/>
  <c r="B1080" i="2"/>
  <c r="U1079" i="2"/>
  <c r="K1079" i="2"/>
  <c r="E1079" i="2"/>
  <c r="B1079" i="2"/>
  <c r="U1078" i="2"/>
  <c r="K1078" i="2"/>
  <c r="E1078" i="2"/>
  <c r="B1078" i="2"/>
  <c r="U1077" i="2"/>
  <c r="K1077" i="2"/>
  <c r="E1077" i="2"/>
  <c r="B1077" i="2"/>
  <c r="U1076" i="2"/>
  <c r="K1076" i="2"/>
  <c r="E1076" i="2"/>
  <c r="B1076" i="2"/>
  <c r="U1075" i="2"/>
  <c r="K1075" i="2"/>
  <c r="E1075" i="2"/>
  <c r="B1075" i="2"/>
  <c r="U1074" i="2"/>
  <c r="K1074" i="2"/>
  <c r="E1074" i="2"/>
  <c r="B1074" i="2"/>
  <c r="U1073" i="2"/>
  <c r="K1073" i="2"/>
  <c r="E1073" i="2"/>
  <c r="B1073" i="2"/>
  <c r="U1072" i="2"/>
  <c r="K1072" i="2"/>
  <c r="E1072" i="2"/>
  <c r="B1072" i="2"/>
  <c r="U1071" i="2"/>
  <c r="K1071" i="2"/>
  <c r="E1071" i="2"/>
  <c r="B1071" i="2"/>
  <c r="U1070" i="2"/>
  <c r="K1070" i="2"/>
  <c r="E1070" i="2"/>
  <c r="B1070" i="2"/>
  <c r="U1069" i="2"/>
  <c r="K1069" i="2"/>
  <c r="E1069" i="2"/>
  <c r="B1069" i="2"/>
  <c r="U1068" i="2"/>
  <c r="K1068" i="2"/>
  <c r="E1068" i="2"/>
  <c r="B1068" i="2"/>
  <c r="U1067" i="2"/>
  <c r="K1067" i="2"/>
  <c r="E1067" i="2"/>
  <c r="B1067" i="2"/>
  <c r="U1066" i="2"/>
  <c r="K1066" i="2"/>
  <c r="E1066" i="2"/>
  <c r="B1066" i="2"/>
  <c r="U1065" i="2"/>
  <c r="K1065" i="2"/>
  <c r="E1065" i="2"/>
  <c r="B1065" i="2"/>
  <c r="U1064" i="2"/>
  <c r="K1064" i="2"/>
  <c r="E1064" i="2"/>
  <c r="B1064" i="2"/>
  <c r="U1063" i="2"/>
  <c r="K1063" i="2"/>
  <c r="E1063" i="2"/>
  <c r="B1063" i="2"/>
  <c r="U1062" i="2"/>
  <c r="K1062" i="2"/>
  <c r="E1062" i="2"/>
  <c r="B1062" i="2"/>
  <c r="U1061" i="2"/>
  <c r="K1061" i="2"/>
  <c r="E1061" i="2"/>
  <c r="B1061" i="2"/>
  <c r="U1060" i="2"/>
  <c r="K1060" i="2"/>
  <c r="E1060" i="2"/>
  <c r="B1060" i="2"/>
  <c r="U1059" i="2"/>
  <c r="K1059" i="2"/>
  <c r="E1059" i="2"/>
  <c r="B1059" i="2"/>
  <c r="U1058" i="2"/>
  <c r="K1058" i="2"/>
  <c r="E1058" i="2"/>
  <c r="B1058" i="2"/>
  <c r="U1057" i="2"/>
  <c r="K1057" i="2"/>
  <c r="E1057" i="2"/>
  <c r="B1057" i="2"/>
  <c r="U1056" i="2"/>
  <c r="K1056" i="2"/>
  <c r="E1056" i="2"/>
  <c r="B1056" i="2"/>
  <c r="U1055" i="2"/>
  <c r="K1055" i="2"/>
  <c r="E1055" i="2"/>
  <c r="B1055" i="2"/>
  <c r="U1054" i="2"/>
  <c r="K1054" i="2"/>
  <c r="E1054" i="2"/>
  <c r="B1054" i="2"/>
  <c r="U1053" i="2"/>
  <c r="K1053" i="2"/>
  <c r="E1053" i="2"/>
  <c r="B1053" i="2"/>
  <c r="U1052" i="2"/>
  <c r="K1052" i="2"/>
  <c r="E1052" i="2"/>
  <c r="B1052" i="2"/>
  <c r="U1051" i="2"/>
  <c r="K1051" i="2"/>
  <c r="E1051" i="2"/>
  <c r="B1051" i="2"/>
  <c r="U1050" i="2"/>
  <c r="K1050" i="2"/>
  <c r="E1050" i="2"/>
  <c r="B1050" i="2"/>
  <c r="U1049" i="2"/>
  <c r="K1049" i="2"/>
  <c r="E1049" i="2"/>
  <c r="B1049" i="2"/>
  <c r="U1048" i="2"/>
  <c r="K1048" i="2"/>
  <c r="E1048" i="2"/>
  <c r="B1048" i="2"/>
  <c r="U1047" i="2"/>
  <c r="K1047" i="2"/>
  <c r="E1047" i="2"/>
  <c r="B1047" i="2"/>
  <c r="U1046" i="2"/>
  <c r="K1046" i="2"/>
  <c r="E1046" i="2"/>
  <c r="B1046" i="2"/>
  <c r="U1045" i="2"/>
  <c r="K1045" i="2"/>
  <c r="E1045" i="2"/>
  <c r="B1045" i="2"/>
  <c r="U1044" i="2"/>
  <c r="K1044" i="2"/>
  <c r="E1044" i="2"/>
  <c r="B1044" i="2"/>
  <c r="U1043" i="2"/>
  <c r="K1043" i="2"/>
  <c r="E1043" i="2"/>
  <c r="B1043" i="2"/>
  <c r="U1042" i="2"/>
  <c r="K1042" i="2"/>
  <c r="E1042" i="2"/>
  <c r="B1042" i="2"/>
  <c r="U1041" i="2"/>
  <c r="K1041" i="2"/>
  <c r="E1041" i="2"/>
  <c r="B1041" i="2"/>
  <c r="U1040" i="2"/>
  <c r="K1040" i="2"/>
  <c r="E1040" i="2"/>
  <c r="B1040" i="2"/>
  <c r="U1039" i="2"/>
  <c r="K1039" i="2"/>
  <c r="E1039" i="2"/>
  <c r="B1039" i="2"/>
  <c r="U1038" i="2"/>
  <c r="K1038" i="2"/>
  <c r="E1038" i="2"/>
  <c r="B1038" i="2"/>
  <c r="U1037" i="2"/>
  <c r="K1037" i="2"/>
  <c r="E1037" i="2"/>
  <c r="B1037" i="2"/>
  <c r="U1036" i="2"/>
  <c r="K1036" i="2"/>
  <c r="E1036" i="2"/>
  <c r="B1036" i="2"/>
  <c r="U1035" i="2"/>
  <c r="K1035" i="2"/>
  <c r="E1035" i="2"/>
  <c r="B1035" i="2"/>
  <c r="U1034" i="2"/>
  <c r="K1034" i="2"/>
  <c r="E1034" i="2"/>
  <c r="B1034" i="2"/>
  <c r="U1033" i="2"/>
  <c r="K1033" i="2"/>
  <c r="E1033" i="2"/>
  <c r="B1033" i="2"/>
  <c r="U1032" i="2"/>
  <c r="K1032" i="2"/>
  <c r="E1032" i="2"/>
  <c r="B1032" i="2"/>
  <c r="U1031" i="2"/>
  <c r="K1031" i="2"/>
  <c r="E1031" i="2"/>
  <c r="B1031" i="2"/>
  <c r="U1030" i="2"/>
  <c r="K1030" i="2"/>
  <c r="E1030" i="2"/>
  <c r="B1030" i="2"/>
  <c r="U1029" i="2"/>
  <c r="K1029" i="2"/>
  <c r="E1029" i="2"/>
  <c r="B1029" i="2"/>
  <c r="U1028" i="2"/>
  <c r="K1028" i="2"/>
  <c r="E1028" i="2"/>
  <c r="B1028" i="2"/>
  <c r="U1027" i="2"/>
  <c r="K1027" i="2"/>
  <c r="E1027" i="2"/>
  <c r="B1027" i="2"/>
  <c r="U1026" i="2"/>
  <c r="K1026" i="2"/>
  <c r="E1026" i="2"/>
  <c r="B1026" i="2"/>
  <c r="U1025" i="2"/>
  <c r="K1025" i="2"/>
  <c r="E1025" i="2"/>
  <c r="B1025" i="2"/>
  <c r="U1024" i="2"/>
  <c r="K1024" i="2"/>
  <c r="E1024" i="2"/>
  <c r="B1024" i="2"/>
  <c r="U1023" i="2"/>
  <c r="K1023" i="2"/>
  <c r="E1023" i="2"/>
  <c r="B1023" i="2"/>
  <c r="U1022" i="2"/>
  <c r="K1022" i="2"/>
  <c r="E1022" i="2"/>
  <c r="B1022" i="2"/>
  <c r="U1021" i="2"/>
  <c r="K1021" i="2"/>
  <c r="E1021" i="2"/>
  <c r="B1021" i="2"/>
  <c r="U1020" i="2"/>
  <c r="K1020" i="2"/>
  <c r="E1020" i="2"/>
  <c r="B1020" i="2"/>
  <c r="U1019" i="2"/>
  <c r="K1019" i="2"/>
  <c r="E1019" i="2"/>
  <c r="B1019" i="2"/>
  <c r="U1018" i="2"/>
  <c r="K1018" i="2"/>
  <c r="E1018" i="2"/>
  <c r="B1018" i="2"/>
  <c r="U1017" i="2"/>
  <c r="K1017" i="2"/>
  <c r="E1017" i="2"/>
  <c r="B1017" i="2"/>
  <c r="U1016" i="2"/>
  <c r="K1016" i="2"/>
  <c r="E1016" i="2"/>
  <c r="B1016" i="2"/>
  <c r="U1015" i="2"/>
  <c r="K1015" i="2"/>
  <c r="E1015" i="2"/>
  <c r="B1015" i="2"/>
  <c r="U1014" i="2"/>
  <c r="K1014" i="2"/>
  <c r="E1014" i="2"/>
  <c r="B1014" i="2"/>
  <c r="U1013" i="2"/>
  <c r="K1013" i="2"/>
  <c r="E1013" i="2"/>
  <c r="B1013" i="2"/>
  <c r="U1012" i="2"/>
  <c r="K1012" i="2"/>
  <c r="E1012" i="2"/>
  <c r="B1012" i="2"/>
  <c r="U1011" i="2"/>
  <c r="K1011" i="2"/>
  <c r="E1011" i="2"/>
  <c r="B1011" i="2"/>
  <c r="U1010" i="2"/>
  <c r="K1010" i="2"/>
  <c r="E1010" i="2"/>
  <c r="B1010" i="2"/>
  <c r="U1009" i="2"/>
  <c r="K1009" i="2"/>
  <c r="E1009" i="2"/>
  <c r="B1009" i="2"/>
  <c r="U1008" i="2"/>
  <c r="K1008" i="2"/>
  <c r="E1008" i="2"/>
  <c r="B1008" i="2"/>
  <c r="U1007" i="2"/>
  <c r="K1007" i="2"/>
  <c r="E1007" i="2"/>
  <c r="B1007" i="2"/>
  <c r="U1006" i="2"/>
  <c r="K1006" i="2"/>
  <c r="E1006" i="2"/>
  <c r="B1006" i="2"/>
  <c r="U1005" i="2"/>
  <c r="K1005" i="2"/>
  <c r="E1005" i="2"/>
  <c r="B1005" i="2"/>
  <c r="U1004" i="2"/>
  <c r="K1004" i="2"/>
  <c r="E1004" i="2"/>
  <c r="B1004" i="2"/>
  <c r="U1003" i="2"/>
  <c r="K1003" i="2"/>
  <c r="E1003" i="2"/>
  <c r="B1003" i="2"/>
  <c r="U1002" i="2"/>
  <c r="K1002" i="2"/>
  <c r="E1002" i="2"/>
  <c r="B1002" i="2"/>
  <c r="U1001" i="2"/>
  <c r="K1001" i="2"/>
  <c r="E1001" i="2"/>
  <c r="B1001" i="2"/>
  <c r="U1000" i="2"/>
  <c r="K1000" i="2"/>
  <c r="E1000" i="2"/>
  <c r="B1000" i="2"/>
  <c r="U999" i="2"/>
  <c r="K999" i="2"/>
  <c r="E999" i="2"/>
  <c r="B999" i="2"/>
  <c r="U998" i="2"/>
  <c r="K998" i="2"/>
  <c r="E998" i="2"/>
  <c r="B998" i="2"/>
  <c r="U997" i="2"/>
  <c r="K997" i="2"/>
  <c r="E997" i="2"/>
  <c r="B997" i="2"/>
  <c r="U996" i="2"/>
  <c r="K996" i="2"/>
  <c r="E996" i="2"/>
  <c r="B996" i="2"/>
  <c r="U995" i="2"/>
  <c r="K995" i="2"/>
  <c r="E995" i="2"/>
  <c r="B995" i="2"/>
  <c r="U994" i="2"/>
  <c r="K994" i="2"/>
  <c r="E994" i="2"/>
  <c r="B994" i="2"/>
  <c r="U993" i="2"/>
  <c r="K993" i="2"/>
  <c r="E993" i="2"/>
  <c r="B993" i="2"/>
  <c r="U992" i="2"/>
  <c r="K992" i="2"/>
  <c r="E992" i="2"/>
  <c r="B992" i="2"/>
  <c r="U991" i="2"/>
  <c r="K991" i="2"/>
  <c r="E991" i="2"/>
  <c r="B991" i="2"/>
  <c r="U990" i="2"/>
  <c r="K990" i="2"/>
  <c r="E990" i="2"/>
  <c r="B990" i="2"/>
  <c r="U989" i="2"/>
  <c r="K989" i="2"/>
  <c r="E989" i="2"/>
  <c r="B989" i="2"/>
  <c r="U988" i="2"/>
  <c r="K988" i="2"/>
  <c r="E988" i="2"/>
  <c r="B988" i="2"/>
  <c r="U987" i="2"/>
  <c r="K987" i="2"/>
  <c r="E987" i="2"/>
  <c r="B987" i="2"/>
  <c r="U986" i="2"/>
  <c r="K986" i="2"/>
  <c r="E986" i="2"/>
  <c r="B986" i="2"/>
  <c r="U985" i="2"/>
  <c r="K985" i="2"/>
  <c r="E985" i="2"/>
  <c r="B985" i="2"/>
  <c r="U984" i="2"/>
  <c r="K984" i="2"/>
  <c r="E984" i="2"/>
  <c r="B984" i="2"/>
  <c r="U983" i="2"/>
  <c r="K983" i="2"/>
  <c r="E983" i="2"/>
  <c r="B983" i="2"/>
  <c r="U982" i="2"/>
  <c r="K982" i="2"/>
  <c r="E982" i="2"/>
  <c r="B982" i="2"/>
  <c r="U981" i="2"/>
  <c r="K981" i="2"/>
  <c r="E981" i="2"/>
  <c r="B981" i="2"/>
  <c r="U980" i="2"/>
  <c r="K980" i="2"/>
  <c r="E980" i="2"/>
  <c r="B980" i="2"/>
  <c r="U979" i="2"/>
  <c r="K979" i="2"/>
  <c r="E979" i="2"/>
  <c r="B979" i="2"/>
  <c r="U978" i="2"/>
  <c r="K978" i="2"/>
  <c r="E978" i="2"/>
  <c r="B978" i="2"/>
  <c r="U977" i="2"/>
  <c r="K977" i="2"/>
  <c r="E977" i="2"/>
  <c r="B977" i="2"/>
  <c r="U976" i="2"/>
  <c r="K976" i="2"/>
  <c r="E976" i="2"/>
  <c r="B976" i="2"/>
  <c r="U975" i="2"/>
  <c r="K975" i="2"/>
  <c r="E975" i="2"/>
  <c r="B975" i="2"/>
  <c r="U974" i="2"/>
  <c r="K974" i="2"/>
  <c r="E974" i="2"/>
  <c r="B974" i="2"/>
  <c r="U973" i="2"/>
  <c r="K973" i="2"/>
  <c r="E973" i="2"/>
  <c r="B973" i="2"/>
  <c r="U972" i="2"/>
  <c r="K972" i="2"/>
  <c r="E972" i="2"/>
  <c r="B972" i="2"/>
  <c r="U971" i="2"/>
  <c r="K971" i="2"/>
  <c r="E971" i="2"/>
  <c r="B971" i="2"/>
  <c r="U970" i="2"/>
  <c r="K970" i="2"/>
  <c r="E970" i="2"/>
  <c r="B970" i="2"/>
  <c r="U969" i="2"/>
  <c r="K969" i="2"/>
  <c r="E969" i="2"/>
  <c r="B969" i="2"/>
  <c r="U968" i="2"/>
  <c r="K968" i="2"/>
  <c r="E968" i="2"/>
  <c r="B968" i="2"/>
  <c r="U967" i="2"/>
  <c r="K967" i="2"/>
  <c r="E967" i="2"/>
  <c r="B967" i="2"/>
  <c r="U966" i="2"/>
  <c r="K966" i="2"/>
  <c r="E966" i="2"/>
  <c r="B966" i="2"/>
  <c r="U965" i="2"/>
  <c r="K965" i="2"/>
  <c r="E965" i="2"/>
  <c r="B965" i="2"/>
  <c r="U964" i="2"/>
  <c r="K964" i="2"/>
  <c r="E964" i="2"/>
  <c r="B964" i="2"/>
  <c r="U963" i="2"/>
  <c r="K963" i="2"/>
  <c r="E963" i="2"/>
  <c r="B963" i="2"/>
  <c r="U962" i="2"/>
  <c r="K962" i="2"/>
  <c r="E962" i="2"/>
  <c r="B962" i="2"/>
  <c r="U961" i="2"/>
  <c r="K961" i="2"/>
  <c r="E961" i="2"/>
  <c r="B961" i="2"/>
  <c r="U960" i="2"/>
  <c r="K960" i="2"/>
  <c r="E960" i="2"/>
  <c r="B960" i="2"/>
  <c r="U959" i="2"/>
  <c r="K959" i="2"/>
  <c r="E959" i="2"/>
  <c r="B959" i="2"/>
  <c r="U958" i="2"/>
  <c r="K958" i="2"/>
  <c r="E958" i="2"/>
  <c r="B958" i="2"/>
  <c r="U957" i="2"/>
  <c r="K957" i="2"/>
  <c r="E957" i="2"/>
  <c r="B957" i="2"/>
  <c r="U956" i="2"/>
  <c r="K956" i="2"/>
  <c r="E956" i="2"/>
  <c r="B956" i="2"/>
  <c r="U955" i="2"/>
  <c r="K955" i="2"/>
  <c r="E955" i="2"/>
  <c r="B955" i="2"/>
  <c r="U954" i="2"/>
  <c r="K954" i="2"/>
  <c r="E954" i="2"/>
  <c r="B954" i="2"/>
  <c r="U953" i="2"/>
  <c r="K953" i="2"/>
  <c r="E953" i="2"/>
  <c r="B953" i="2"/>
  <c r="U952" i="2"/>
  <c r="K952" i="2"/>
  <c r="E952" i="2"/>
  <c r="B952" i="2"/>
  <c r="U951" i="2"/>
  <c r="K951" i="2"/>
  <c r="E951" i="2"/>
  <c r="B951" i="2"/>
  <c r="U950" i="2"/>
  <c r="K950" i="2"/>
  <c r="E950" i="2"/>
  <c r="B950" i="2"/>
  <c r="U949" i="2"/>
  <c r="K949" i="2"/>
  <c r="E949" i="2"/>
  <c r="B949" i="2"/>
  <c r="U948" i="2"/>
  <c r="K948" i="2"/>
  <c r="E948" i="2"/>
  <c r="B948" i="2"/>
  <c r="U947" i="2"/>
  <c r="K947" i="2"/>
  <c r="E947" i="2"/>
  <c r="B947" i="2"/>
  <c r="U946" i="2"/>
  <c r="K946" i="2"/>
  <c r="E946" i="2"/>
  <c r="B946" i="2"/>
  <c r="U945" i="2"/>
  <c r="K945" i="2"/>
  <c r="E945" i="2"/>
  <c r="B945" i="2"/>
  <c r="U944" i="2"/>
  <c r="K944" i="2"/>
  <c r="E944" i="2"/>
  <c r="B944" i="2"/>
  <c r="U943" i="2"/>
  <c r="K943" i="2"/>
  <c r="E943" i="2"/>
  <c r="B943" i="2"/>
  <c r="U942" i="2"/>
  <c r="K942" i="2"/>
  <c r="E942" i="2"/>
  <c r="B942" i="2"/>
  <c r="U941" i="2"/>
  <c r="K941" i="2"/>
  <c r="E941" i="2"/>
  <c r="B941" i="2"/>
  <c r="U940" i="2"/>
  <c r="K940" i="2"/>
  <c r="E940" i="2"/>
  <c r="B940" i="2"/>
  <c r="U939" i="2"/>
  <c r="K939" i="2"/>
  <c r="E939" i="2"/>
  <c r="B939" i="2"/>
  <c r="U938" i="2"/>
  <c r="K938" i="2"/>
  <c r="E938" i="2"/>
  <c r="B938" i="2"/>
  <c r="U937" i="2"/>
  <c r="K937" i="2"/>
  <c r="E937" i="2"/>
  <c r="B937" i="2"/>
  <c r="U936" i="2"/>
  <c r="K936" i="2"/>
  <c r="E936" i="2"/>
  <c r="B936" i="2"/>
  <c r="U935" i="2"/>
  <c r="K935" i="2"/>
  <c r="E935" i="2"/>
  <c r="B935" i="2"/>
  <c r="U934" i="2"/>
  <c r="K934" i="2"/>
  <c r="E934" i="2"/>
  <c r="B934" i="2"/>
  <c r="U933" i="2"/>
  <c r="K933" i="2"/>
  <c r="E933" i="2"/>
  <c r="B933" i="2"/>
  <c r="U932" i="2"/>
  <c r="K932" i="2"/>
  <c r="E932" i="2"/>
  <c r="B932" i="2"/>
  <c r="U931" i="2"/>
  <c r="K931" i="2"/>
  <c r="E931" i="2"/>
  <c r="B931" i="2"/>
  <c r="U930" i="2"/>
  <c r="K930" i="2"/>
  <c r="E930" i="2"/>
  <c r="B930" i="2"/>
  <c r="U929" i="2"/>
  <c r="K929" i="2"/>
  <c r="E929" i="2"/>
  <c r="B929" i="2"/>
  <c r="U928" i="2"/>
  <c r="K928" i="2"/>
  <c r="E928" i="2"/>
  <c r="B928" i="2"/>
  <c r="U927" i="2"/>
  <c r="K927" i="2"/>
  <c r="E927" i="2"/>
  <c r="B927" i="2"/>
  <c r="U926" i="2"/>
  <c r="K926" i="2"/>
  <c r="E926" i="2"/>
  <c r="B926" i="2"/>
  <c r="U925" i="2"/>
  <c r="K925" i="2"/>
  <c r="E925" i="2"/>
  <c r="B925" i="2"/>
  <c r="U924" i="2"/>
  <c r="K924" i="2"/>
  <c r="E924" i="2"/>
  <c r="B924" i="2"/>
  <c r="U923" i="2"/>
  <c r="K923" i="2"/>
  <c r="E923" i="2"/>
  <c r="B923" i="2"/>
  <c r="U922" i="2"/>
  <c r="K922" i="2"/>
  <c r="E922" i="2"/>
  <c r="B922" i="2"/>
  <c r="U921" i="2"/>
  <c r="K921" i="2"/>
  <c r="E921" i="2"/>
  <c r="B921" i="2"/>
  <c r="U920" i="2"/>
  <c r="K920" i="2"/>
  <c r="E920" i="2"/>
  <c r="B920" i="2"/>
  <c r="U919" i="2"/>
  <c r="K919" i="2"/>
  <c r="E919" i="2"/>
  <c r="B919" i="2"/>
  <c r="U918" i="2"/>
  <c r="K918" i="2"/>
  <c r="E918" i="2"/>
  <c r="B918" i="2"/>
  <c r="U917" i="2"/>
  <c r="K917" i="2"/>
  <c r="E917" i="2"/>
  <c r="B917" i="2"/>
  <c r="U916" i="2"/>
  <c r="K916" i="2"/>
  <c r="E916" i="2"/>
  <c r="B916" i="2"/>
  <c r="U915" i="2"/>
  <c r="K915" i="2"/>
  <c r="E915" i="2"/>
  <c r="B915" i="2"/>
  <c r="U914" i="2"/>
  <c r="K914" i="2"/>
  <c r="E914" i="2"/>
  <c r="B914" i="2"/>
  <c r="U913" i="2"/>
  <c r="K913" i="2"/>
  <c r="E913" i="2"/>
  <c r="B913" i="2"/>
  <c r="U912" i="2"/>
  <c r="K912" i="2"/>
  <c r="E912" i="2"/>
  <c r="B912" i="2"/>
  <c r="U911" i="2"/>
  <c r="K911" i="2"/>
  <c r="E911" i="2"/>
  <c r="B911" i="2"/>
  <c r="U910" i="2"/>
  <c r="K910" i="2"/>
  <c r="E910" i="2"/>
  <c r="B910" i="2"/>
  <c r="U909" i="2"/>
  <c r="K909" i="2"/>
  <c r="E909" i="2"/>
  <c r="B909" i="2"/>
  <c r="U908" i="2"/>
  <c r="K908" i="2"/>
  <c r="E908" i="2"/>
  <c r="B908" i="2"/>
  <c r="U907" i="2"/>
  <c r="K907" i="2"/>
  <c r="E907" i="2"/>
  <c r="B907" i="2"/>
  <c r="U906" i="2"/>
  <c r="K906" i="2"/>
  <c r="E906" i="2"/>
  <c r="B906" i="2"/>
  <c r="U905" i="2"/>
  <c r="K905" i="2"/>
  <c r="E905" i="2"/>
  <c r="B905" i="2"/>
  <c r="U904" i="2"/>
  <c r="K904" i="2"/>
  <c r="E904" i="2"/>
  <c r="B904" i="2"/>
  <c r="U903" i="2"/>
  <c r="K903" i="2"/>
  <c r="E903" i="2"/>
  <c r="B903" i="2"/>
  <c r="U902" i="2"/>
  <c r="K902" i="2"/>
  <c r="E902" i="2"/>
  <c r="B902" i="2"/>
  <c r="U901" i="2"/>
  <c r="K901" i="2"/>
  <c r="E901" i="2"/>
  <c r="B901" i="2"/>
  <c r="U900" i="2"/>
  <c r="K900" i="2"/>
  <c r="E900" i="2"/>
  <c r="B900" i="2"/>
  <c r="U899" i="2"/>
  <c r="K899" i="2"/>
  <c r="E899" i="2"/>
  <c r="B899" i="2"/>
  <c r="U898" i="2"/>
  <c r="K898" i="2"/>
  <c r="E898" i="2"/>
  <c r="B898" i="2"/>
  <c r="U897" i="2"/>
  <c r="K897" i="2"/>
  <c r="E897" i="2"/>
  <c r="B897" i="2"/>
  <c r="U896" i="2"/>
  <c r="K896" i="2"/>
  <c r="E896" i="2"/>
  <c r="B896" i="2"/>
  <c r="U895" i="2"/>
  <c r="K895" i="2"/>
  <c r="E895" i="2"/>
  <c r="B895" i="2"/>
  <c r="U894" i="2"/>
  <c r="K894" i="2"/>
  <c r="E894" i="2"/>
  <c r="B894" i="2"/>
  <c r="U893" i="2"/>
  <c r="K893" i="2"/>
  <c r="E893" i="2"/>
  <c r="B893" i="2"/>
  <c r="U892" i="2"/>
  <c r="K892" i="2"/>
  <c r="E892" i="2"/>
  <c r="B892" i="2"/>
  <c r="U891" i="2"/>
  <c r="K891" i="2"/>
  <c r="E891" i="2"/>
  <c r="B891" i="2"/>
  <c r="U890" i="2"/>
  <c r="K890" i="2"/>
  <c r="E890" i="2"/>
  <c r="B890" i="2"/>
  <c r="U889" i="2"/>
  <c r="K889" i="2"/>
  <c r="E889" i="2"/>
  <c r="B889" i="2"/>
  <c r="U888" i="2"/>
  <c r="K888" i="2"/>
  <c r="E888" i="2"/>
  <c r="B888" i="2"/>
  <c r="U887" i="2"/>
  <c r="K887" i="2"/>
  <c r="E887" i="2"/>
  <c r="B887" i="2"/>
  <c r="U886" i="2"/>
  <c r="K886" i="2"/>
  <c r="E886" i="2"/>
  <c r="B886" i="2"/>
  <c r="U885" i="2"/>
  <c r="K885" i="2"/>
  <c r="E885" i="2"/>
  <c r="B885" i="2"/>
  <c r="U884" i="2"/>
  <c r="K884" i="2"/>
  <c r="E884" i="2"/>
  <c r="B884" i="2"/>
  <c r="U883" i="2"/>
  <c r="K883" i="2"/>
  <c r="E883" i="2"/>
  <c r="B883" i="2"/>
  <c r="U882" i="2"/>
  <c r="K882" i="2"/>
  <c r="E882" i="2"/>
  <c r="B882" i="2"/>
  <c r="U881" i="2"/>
  <c r="K881" i="2"/>
  <c r="E881" i="2"/>
  <c r="B881" i="2"/>
  <c r="U880" i="2"/>
  <c r="K880" i="2"/>
  <c r="E880" i="2"/>
  <c r="B880" i="2"/>
  <c r="U879" i="2"/>
  <c r="K879" i="2"/>
  <c r="E879" i="2"/>
  <c r="B879" i="2"/>
  <c r="U878" i="2"/>
  <c r="K878" i="2"/>
  <c r="E878" i="2"/>
  <c r="B878" i="2"/>
  <c r="U877" i="2"/>
  <c r="K877" i="2"/>
  <c r="E877" i="2"/>
  <c r="B877" i="2"/>
  <c r="U876" i="2"/>
  <c r="K876" i="2"/>
  <c r="E876" i="2"/>
  <c r="B876" i="2"/>
  <c r="U875" i="2"/>
  <c r="K875" i="2"/>
  <c r="E875" i="2"/>
  <c r="B875" i="2"/>
  <c r="U874" i="2"/>
  <c r="K874" i="2"/>
  <c r="E874" i="2"/>
  <c r="B874" i="2"/>
  <c r="U873" i="2"/>
  <c r="K873" i="2"/>
  <c r="E873" i="2"/>
  <c r="B873" i="2"/>
  <c r="U872" i="2"/>
  <c r="K872" i="2"/>
  <c r="E872" i="2"/>
  <c r="B872" i="2"/>
  <c r="U871" i="2"/>
  <c r="K871" i="2"/>
  <c r="E871" i="2"/>
  <c r="B871" i="2"/>
  <c r="U870" i="2"/>
  <c r="K870" i="2"/>
  <c r="E870" i="2"/>
  <c r="B870" i="2"/>
  <c r="U869" i="2"/>
  <c r="K869" i="2"/>
  <c r="E869" i="2"/>
  <c r="B869" i="2"/>
  <c r="U868" i="2"/>
  <c r="K868" i="2"/>
  <c r="E868" i="2"/>
  <c r="B868" i="2"/>
  <c r="U867" i="2"/>
  <c r="K867" i="2"/>
  <c r="E867" i="2"/>
  <c r="B867" i="2"/>
  <c r="U866" i="2"/>
  <c r="K866" i="2"/>
  <c r="E866" i="2"/>
  <c r="B866" i="2"/>
  <c r="U865" i="2"/>
  <c r="K865" i="2"/>
  <c r="E865" i="2"/>
  <c r="B865" i="2"/>
  <c r="U864" i="2"/>
  <c r="K864" i="2"/>
  <c r="E864" i="2"/>
  <c r="B864" i="2"/>
  <c r="U863" i="2"/>
  <c r="K863" i="2"/>
  <c r="E863" i="2"/>
  <c r="B863" i="2"/>
  <c r="U862" i="2"/>
  <c r="K862" i="2"/>
  <c r="E862" i="2"/>
  <c r="B862" i="2"/>
  <c r="U861" i="2"/>
  <c r="K861" i="2"/>
  <c r="E861" i="2"/>
  <c r="B861" i="2"/>
  <c r="U860" i="2"/>
  <c r="K860" i="2"/>
  <c r="E860" i="2"/>
  <c r="B860" i="2"/>
  <c r="U859" i="2"/>
  <c r="K859" i="2"/>
  <c r="E859" i="2"/>
  <c r="B859" i="2"/>
  <c r="U858" i="2"/>
  <c r="K858" i="2"/>
  <c r="E858" i="2"/>
  <c r="B858" i="2"/>
  <c r="U857" i="2"/>
  <c r="K857" i="2"/>
  <c r="E857" i="2"/>
  <c r="B857" i="2"/>
  <c r="U856" i="2"/>
  <c r="K856" i="2"/>
  <c r="E856" i="2"/>
  <c r="B856" i="2"/>
  <c r="U855" i="2"/>
  <c r="K855" i="2"/>
  <c r="E855" i="2"/>
  <c r="B855" i="2"/>
  <c r="U854" i="2"/>
  <c r="K854" i="2"/>
  <c r="E854" i="2"/>
  <c r="B854" i="2"/>
  <c r="U853" i="2"/>
  <c r="K853" i="2"/>
  <c r="E853" i="2"/>
  <c r="B853" i="2"/>
  <c r="U852" i="2"/>
  <c r="K852" i="2"/>
  <c r="E852" i="2"/>
  <c r="B852" i="2"/>
  <c r="U851" i="2"/>
  <c r="K851" i="2"/>
  <c r="E851" i="2"/>
  <c r="B851" i="2"/>
  <c r="U850" i="2"/>
  <c r="K850" i="2"/>
  <c r="E850" i="2"/>
  <c r="B850" i="2"/>
  <c r="U849" i="2"/>
  <c r="K849" i="2"/>
  <c r="E849" i="2"/>
  <c r="B849" i="2"/>
  <c r="U848" i="2"/>
  <c r="K848" i="2"/>
  <c r="E848" i="2"/>
  <c r="B848" i="2"/>
  <c r="U847" i="2"/>
  <c r="K847" i="2"/>
  <c r="E847" i="2"/>
  <c r="B847" i="2"/>
  <c r="U846" i="2"/>
  <c r="K846" i="2"/>
  <c r="E846" i="2"/>
  <c r="B846" i="2"/>
  <c r="U845" i="2"/>
  <c r="K845" i="2"/>
  <c r="E845" i="2"/>
  <c r="B845" i="2"/>
  <c r="U844" i="2"/>
  <c r="K844" i="2"/>
  <c r="E844" i="2"/>
  <c r="B844" i="2"/>
  <c r="U843" i="2"/>
  <c r="K843" i="2"/>
  <c r="E843" i="2"/>
  <c r="B843" i="2"/>
  <c r="U842" i="2"/>
  <c r="K842" i="2"/>
  <c r="E842" i="2"/>
  <c r="B842" i="2"/>
  <c r="U841" i="2"/>
  <c r="K841" i="2"/>
  <c r="E841" i="2"/>
  <c r="B841" i="2"/>
  <c r="U840" i="2"/>
  <c r="K840" i="2"/>
  <c r="E840" i="2"/>
  <c r="B840" i="2"/>
  <c r="U839" i="2"/>
  <c r="K839" i="2"/>
  <c r="E839" i="2"/>
  <c r="B839" i="2"/>
  <c r="U838" i="2"/>
  <c r="K838" i="2"/>
  <c r="E838" i="2"/>
  <c r="B838" i="2"/>
  <c r="U837" i="2"/>
  <c r="K837" i="2"/>
  <c r="E837" i="2"/>
  <c r="B837" i="2"/>
  <c r="U836" i="2"/>
  <c r="K836" i="2"/>
  <c r="E836" i="2"/>
  <c r="B836" i="2"/>
  <c r="U835" i="2"/>
  <c r="K835" i="2"/>
  <c r="E835" i="2"/>
  <c r="B835" i="2"/>
  <c r="U834" i="2"/>
  <c r="K834" i="2"/>
  <c r="E834" i="2"/>
  <c r="B834" i="2"/>
  <c r="U833" i="2"/>
  <c r="K833" i="2"/>
  <c r="E833" i="2"/>
  <c r="B833" i="2"/>
  <c r="U832" i="2"/>
  <c r="K832" i="2"/>
  <c r="E832" i="2"/>
  <c r="B832" i="2"/>
  <c r="U831" i="2"/>
  <c r="K831" i="2"/>
  <c r="E831" i="2"/>
  <c r="B831" i="2"/>
  <c r="U830" i="2"/>
  <c r="K830" i="2"/>
  <c r="E830" i="2"/>
  <c r="B830" i="2"/>
  <c r="U829" i="2"/>
  <c r="K829" i="2"/>
  <c r="E829" i="2"/>
  <c r="B829" i="2"/>
  <c r="U828" i="2"/>
  <c r="K828" i="2"/>
  <c r="E828" i="2"/>
  <c r="B828" i="2"/>
  <c r="U827" i="2"/>
  <c r="K827" i="2"/>
  <c r="E827" i="2"/>
  <c r="B827" i="2"/>
  <c r="U826" i="2"/>
  <c r="K826" i="2"/>
  <c r="E826" i="2"/>
  <c r="B826" i="2"/>
  <c r="U825" i="2"/>
  <c r="K825" i="2"/>
  <c r="E825" i="2"/>
  <c r="B825" i="2"/>
  <c r="U824" i="2"/>
  <c r="K824" i="2"/>
  <c r="E824" i="2"/>
  <c r="B824" i="2"/>
  <c r="U823" i="2"/>
  <c r="K823" i="2"/>
  <c r="E823" i="2"/>
  <c r="B823" i="2"/>
  <c r="U822" i="2"/>
  <c r="K822" i="2"/>
  <c r="E822" i="2"/>
  <c r="B822" i="2"/>
  <c r="U821" i="2"/>
  <c r="K821" i="2"/>
  <c r="E821" i="2"/>
  <c r="B821" i="2"/>
  <c r="U820" i="2"/>
  <c r="K820" i="2"/>
  <c r="E820" i="2"/>
  <c r="B820" i="2"/>
  <c r="U819" i="2"/>
  <c r="K819" i="2"/>
  <c r="E819" i="2"/>
  <c r="B819" i="2"/>
  <c r="U818" i="2"/>
  <c r="K818" i="2"/>
  <c r="E818" i="2"/>
  <c r="B818" i="2"/>
  <c r="U817" i="2"/>
  <c r="K817" i="2"/>
  <c r="E817" i="2"/>
  <c r="B817" i="2"/>
  <c r="U816" i="2"/>
  <c r="K816" i="2"/>
  <c r="E816" i="2"/>
  <c r="B816" i="2"/>
  <c r="U815" i="2"/>
  <c r="K815" i="2"/>
  <c r="E815" i="2"/>
  <c r="B815" i="2"/>
  <c r="U814" i="2"/>
  <c r="K814" i="2"/>
  <c r="E814" i="2"/>
  <c r="B814" i="2"/>
  <c r="K813" i="2"/>
  <c r="E813" i="2"/>
  <c r="B813" i="2"/>
  <c r="U812" i="2"/>
  <c r="K812" i="2"/>
  <c r="E812" i="2"/>
  <c r="B812" i="2"/>
  <c r="U811" i="2"/>
  <c r="K811" i="2"/>
  <c r="E811" i="2"/>
  <c r="B811" i="2"/>
  <c r="U810" i="2"/>
  <c r="K810" i="2"/>
  <c r="E810" i="2"/>
  <c r="B810" i="2"/>
  <c r="U809" i="2"/>
  <c r="K809" i="2"/>
  <c r="E809" i="2"/>
  <c r="B809" i="2"/>
  <c r="U808" i="2"/>
  <c r="K808" i="2"/>
  <c r="E808" i="2"/>
  <c r="B808" i="2"/>
  <c r="U807" i="2"/>
  <c r="K807" i="2"/>
  <c r="E807" i="2"/>
  <c r="B807" i="2"/>
  <c r="U806" i="2"/>
  <c r="K806" i="2"/>
  <c r="E806" i="2"/>
  <c r="B806" i="2"/>
  <c r="U805" i="2"/>
  <c r="K805" i="2"/>
  <c r="E805" i="2"/>
  <c r="B805" i="2"/>
  <c r="U804" i="2"/>
  <c r="K804" i="2"/>
  <c r="E804" i="2"/>
  <c r="B804" i="2"/>
  <c r="U803" i="2"/>
  <c r="K803" i="2"/>
  <c r="E803" i="2"/>
  <c r="B803" i="2"/>
  <c r="U802" i="2"/>
  <c r="K802" i="2"/>
  <c r="E802" i="2"/>
  <c r="B802" i="2"/>
  <c r="U801" i="2"/>
  <c r="K801" i="2"/>
  <c r="E801" i="2"/>
  <c r="B801" i="2"/>
  <c r="U800" i="2"/>
  <c r="K800" i="2"/>
  <c r="E800" i="2"/>
  <c r="B800" i="2"/>
  <c r="U799" i="2"/>
  <c r="K799" i="2"/>
  <c r="E799" i="2"/>
  <c r="B799" i="2"/>
  <c r="U798" i="2"/>
  <c r="K798" i="2"/>
  <c r="E798" i="2"/>
  <c r="B798" i="2"/>
  <c r="U797" i="2"/>
  <c r="K797" i="2"/>
  <c r="E797" i="2"/>
  <c r="B797" i="2"/>
  <c r="U796" i="2"/>
  <c r="K796" i="2"/>
  <c r="E796" i="2"/>
  <c r="B796" i="2"/>
  <c r="U795" i="2"/>
  <c r="K795" i="2"/>
  <c r="E795" i="2"/>
  <c r="B795" i="2"/>
  <c r="U794" i="2"/>
  <c r="K794" i="2"/>
  <c r="E794" i="2"/>
  <c r="B794" i="2"/>
  <c r="U793" i="2"/>
  <c r="K793" i="2"/>
  <c r="E793" i="2"/>
  <c r="B793" i="2"/>
  <c r="U792" i="2"/>
  <c r="K792" i="2"/>
  <c r="E792" i="2"/>
  <c r="B792" i="2"/>
  <c r="U791" i="2"/>
  <c r="K791" i="2"/>
  <c r="E791" i="2"/>
  <c r="B791" i="2"/>
  <c r="U790" i="2"/>
  <c r="K790" i="2"/>
  <c r="E790" i="2"/>
  <c r="B790" i="2"/>
  <c r="U789" i="2"/>
  <c r="K789" i="2"/>
  <c r="E789" i="2"/>
  <c r="B789" i="2"/>
  <c r="U788" i="2"/>
  <c r="K788" i="2"/>
  <c r="E788" i="2"/>
  <c r="B788" i="2"/>
  <c r="U787" i="2"/>
  <c r="K787" i="2"/>
  <c r="E787" i="2"/>
  <c r="B787" i="2"/>
  <c r="U786" i="2"/>
  <c r="K786" i="2"/>
  <c r="E786" i="2"/>
  <c r="B786" i="2"/>
  <c r="U785" i="2"/>
  <c r="K785" i="2"/>
  <c r="E785" i="2"/>
  <c r="B785" i="2"/>
  <c r="U784" i="2"/>
  <c r="K784" i="2"/>
  <c r="E784" i="2"/>
  <c r="B784" i="2"/>
  <c r="U783" i="2"/>
  <c r="K783" i="2"/>
  <c r="E783" i="2"/>
  <c r="B783" i="2"/>
  <c r="U782" i="2"/>
  <c r="K782" i="2"/>
  <c r="E782" i="2"/>
  <c r="B782" i="2"/>
  <c r="U781" i="2"/>
  <c r="K781" i="2"/>
  <c r="E781" i="2"/>
  <c r="B781" i="2"/>
  <c r="U780" i="2"/>
  <c r="K780" i="2"/>
  <c r="E780" i="2"/>
  <c r="B780" i="2"/>
  <c r="U779" i="2"/>
  <c r="K779" i="2"/>
  <c r="E779" i="2"/>
  <c r="B779" i="2"/>
  <c r="U778" i="2"/>
  <c r="K778" i="2"/>
  <c r="E778" i="2"/>
  <c r="B778" i="2"/>
  <c r="U777" i="2"/>
  <c r="K777" i="2"/>
  <c r="E777" i="2"/>
  <c r="B777" i="2"/>
  <c r="U776" i="2"/>
  <c r="K776" i="2"/>
  <c r="E776" i="2"/>
  <c r="B776" i="2"/>
  <c r="U775" i="2"/>
  <c r="K775" i="2"/>
  <c r="E775" i="2"/>
  <c r="B775" i="2"/>
  <c r="U774" i="2"/>
  <c r="K774" i="2"/>
  <c r="E774" i="2"/>
  <c r="B774" i="2"/>
  <c r="U773" i="2"/>
  <c r="K773" i="2"/>
  <c r="E773" i="2"/>
  <c r="B773" i="2"/>
  <c r="U772" i="2"/>
  <c r="K772" i="2"/>
  <c r="E772" i="2"/>
  <c r="B772" i="2"/>
  <c r="U771" i="2"/>
  <c r="K771" i="2"/>
  <c r="E771" i="2"/>
  <c r="B771" i="2"/>
  <c r="U770" i="2"/>
  <c r="K770" i="2"/>
  <c r="E770" i="2"/>
  <c r="B770" i="2"/>
  <c r="U769" i="2"/>
  <c r="K769" i="2"/>
  <c r="E769" i="2"/>
  <c r="B769" i="2"/>
  <c r="U768" i="2"/>
  <c r="K768" i="2"/>
  <c r="E768" i="2"/>
  <c r="B768" i="2"/>
  <c r="U767" i="2"/>
  <c r="K767" i="2"/>
  <c r="E767" i="2"/>
  <c r="B767" i="2"/>
  <c r="U766" i="2"/>
  <c r="K766" i="2"/>
  <c r="E766" i="2"/>
  <c r="B766" i="2"/>
  <c r="U765" i="2"/>
  <c r="K765" i="2"/>
  <c r="E765" i="2"/>
  <c r="B765" i="2"/>
  <c r="U764" i="2"/>
  <c r="K764" i="2"/>
  <c r="E764" i="2"/>
  <c r="B764" i="2"/>
  <c r="U763" i="2"/>
  <c r="K763" i="2"/>
  <c r="E763" i="2"/>
  <c r="B763" i="2"/>
  <c r="U762" i="2"/>
  <c r="K762" i="2"/>
  <c r="E762" i="2"/>
  <c r="B762" i="2"/>
  <c r="U761" i="2"/>
  <c r="K761" i="2"/>
  <c r="E761" i="2"/>
  <c r="B761" i="2"/>
  <c r="U760" i="2"/>
  <c r="K760" i="2"/>
  <c r="E760" i="2"/>
  <c r="B760" i="2"/>
  <c r="U759" i="2"/>
  <c r="K759" i="2"/>
  <c r="E759" i="2"/>
  <c r="B759" i="2"/>
  <c r="U758" i="2"/>
  <c r="K758" i="2"/>
  <c r="E758" i="2"/>
  <c r="B758" i="2"/>
  <c r="U757" i="2"/>
  <c r="K757" i="2"/>
  <c r="E757" i="2"/>
  <c r="B757" i="2"/>
  <c r="U756" i="2"/>
  <c r="K756" i="2"/>
  <c r="E756" i="2"/>
  <c r="B756" i="2"/>
  <c r="U755" i="2"/>
  <c r="K755" i="2"/>
  <c r="E755" i="2"/>
  <c r="B755" i="2"/>
  <c r="U754" i="2"/>
  <c r="K754" i="2"/>
  <c r="E754" i="2"/>
  <c r="B754" i="2"/>
  <c r="U753" i="2"/>
  <c r="K753" i="2"/>
  <c r="E753" i="2"/>
  <c r="B753" i="2"/>
  <c r="U752" i="2"/>
  <c r="K752" i="2"/>
  <c r="E752" i="2"/>
  <c r="B752" i="2"/>
  <c r="U751" i="2"/>
  <c r="K751" i="2"/>
  <c r="E751" i="2"/>
  <c r="B751" i="2"/>
  <c r="U750" i="2"/>
  <c r="K750" i="2"/>
  <c r="E750" i="2"/>
  <c r="B750" i="2"/>
  <c r="U749" i="2"/>
  <c r="K749" i="2"/>
  <c r="E749" i="2"/>
  <c r="B749" i="2"/>
  <c r="U748" i="2"/>
  <c r="K748" i="2"/>
  <c r="E748" i="2"/>
  <c r="B748" i="2"/>
  <c r="U747" i="2"/>
  <c r="K747" i="2"/>
  <c r="E747" i="2"/>
  <c r="B747" i="2"/>
  <c r="U746" i="2"/>
  <c r="K746" i="2"/>
  <c r="E746" i="2"/>
  <c r="B746" i="2"/>
  <c r="U745" i="2"/>
  <c r="K745" i="2"/>
  <c r="E745" i="2"/>
  <c r="B745" i="2"/>
  <c r="U744" i="2"/>
  <c r="K744" i="2"/>
  <c r="E744" i="2"/>
  <c r="B744" i="2"/>
  <c r="U743" i="2"/>
  <c r="K743" i="2"/>
  <c r="E743" i="2"/>
  <c r="B743" i="2"/>
  <c r="U742" i="2"/>
  <c r="K742" i="2"/>
  <c r="E742" i="2"/>
  <c r="B742" i="2"/>
  <c r="U741" i="2"/>
  <c r="K741" i="2"/>
  <c r="E741" i="2"/>
  <c r="B741" i="2"/>
  <c r="U740" i="2"/>
  <c r="K740" i="2"/>
  <c r="E740" i="2"/>
  <c r="B740" i="2"/>
  <c r="U739" i="2"/>
  <c r="K739" i="2"/>
  <c r="E739" i="2"/>
  <c r="B739" i="2"/>
  <c r="U738" i="2"/>
  <c r="K738" i="2"/>
  <c r="E738" i="2"/>
  <c r="B738" i="2"/>
  <c r="U737" i="2"/>
  <c r="K737" i="2"/>
  <c r="E737" i="2"/>
  <c r="B737" i="2"/>
  <c r="U736" i="2"/>
  <c r="K736" i="2"/>
  <c r="E736" i="2"/>
  <c r="B736" i="2"/>
  <c r="U735" i="2"/>
  <c r="K735" i="2"/>
  <c r="E735" i="2"/>
  <c r="B735" i="2"/>
  <c r="U734" i="2"/>
  <c r="K734" i="2"/>
  <c r="E734" i="2"/>
  <c r="B734" i="2"/>
  <c r="U733" i="2"/>
  <c r="K733" i="2"/>
  <c r="E733" i="2"/>
  <c r="B733" i="2"/>
  <c r="U732" i="2"/>
  <c r="K732" i="2"/>
  <c r="E732" i="2"/>
  <c r="B732" i="2"/>
  <c r="U731" i="2"/>
  <c r="K731" i="2"/>
  <c r="E731" i="2"/>
  <c r="B731" i="2"/>
  <c r="U730" i="2"/>
  <c r="K730" i="2"/>
  <c r="E730" i="2"/>
  <c r="B730" i="2"/>
  <c r="U729" i="2"/>
  <c r="K729" i="2"/>
  <c r="E729" i="2"/>
  <c r="B729" i="2"/>
  <c r="U728" i="2"/>
  <c r="K728" i="2"/>
  <c r="E728" i="2"/>
  <c r="B728" i="2"/>
  <c r="U727" i="2"/>
  <c r="K727" i="2"/>
  <c r="E727" i="2"/>
  <c r="B727" i="2"/>
  <c r="U726" i="2"/>
  <c r="K726" i="2"/>
  <c r="E726" i="2"/>
  <c r="B726" i="2"/>
  <c r="U725" i="2"/>
  <c r="K725" i="2"/>
  <c r="E725" i="2"/>
  <c r="B725" i="2"/>
  <c r="U724" i="2"/>
  <c r="K724" i="2"/>
  <c r="E724" i="2"/>
  <c r="B724" i="2"/>
  <c r="U723" i="2"/>
  <c r="K723" i="2"/>
  <c r="E723" i="2"/>
  <c r="B723" i="2"/>
  <c r="U722" i="2"/>
  <c r="K722" i="2"/>
  <c r="E722" i="2"/>
  <c r="B722" i="2"/>
  <c r="U721" i="2"/>
  <c r="K721" i="2"/>
  <c r="E721" i="2"/>
  <c r="B721" i="2"/>
  <c r="U720" i="2"/>
  <c r="K720" i="2"/>
  <c r="E720" i="2"/>
  <c r="B720" i="2"/>
  <c r="U719" i="2"/>
  <c r="K719" i="2"/>
  <c r="E719" i="2"/>
  <c r="B719" i="2"/>
  <c r="U718" i="2"/>
  <c r="K718" i="2"/>
  <c r="E718" i="2"/>
  <c r="B718" i="2"/>
  <c r="U717" i="2"/>
  <c r="K717" i="2"/>
  <c r="E717" i="2"/>
  <c r="B717" i="2"/>
  <c r="U716" i="2"/>
  <c r="K716" i="2"/>
  <c r="E716" i="2"/>
  <c r="B716" i="2"/>
  <c r="U715" i="2"/>
  <c r="K715" i="2"/>
  <c r="E715" i="2"/>
  <c r="B715" i="2"/>
  <c r="U714" i="2"/>
  <c r="K714" i="2"/>
  <c r="E714" i="2"/>
  <c r="B714" i="2"/>
  <c r="U713" i="2"/>
  <c r="K713" i="2"/>
  <c r="E713" i="2"/>
  <c r="B713" i="2"/>
  <c r="U712" i="2"/>
  <c r="K712" i="2"/>
  <c r="E712" i="2"/>
  <c r="B712" i="2"/>
  <c r="U711" i="2"/>
  <c r="K711" i="2"/>
  <c r="E711" i="2"/>
  <c r="B711" i="2"/>
  <c r="U710" i="2"/>
  <c r="K710" i="2"/>
  <c r="E710" i="2"/>
  <c r="B710" i="2"/>
  <c r="U709" i="2"/>
  <c r="K709" i="2"/>
  <c r="E709" i="2"/>
  <c r="B709" i="2"/>
  <c r="U708" i="2"/>
  <c r="K708" i="2"/>
  <c r="E708" i="2"/>
  <c r="B708" i="2"/>
  <c r="U707" i="2"/>
  <c r="K707" i="2"/>
  <c r="E707" i="2"/>
  <c r="B707" i="2"/>
  <c r="U706" i="2"/>
  <c r="K706" i="2"/>
  <c r="E706" i="2"/>
  <c r="B706" i="2"/>
  <c r="U705" i="2"/>
  <c r="K705" i="2"/>
  <c r="E705" i="2"/>
  <c r="B705" i="2"/>
  <c r="U704" i="2"/>
  <c r="K704" i="2"/>
  <c r="E704" i="2"/>
  <c r="B704" i="2"/>
  <c r="U703" i="2"/>
  <c r="K703" i="2"/>
  <c r="E703" i="2"/>
  <c r="B703" i="2"/>
  <c r="U702" i="2"/>
  <c r="K702" i="2"/>
  <c r="E702" i="2"/>
  <c r="B702" i="2"/>
  <c r="U701" i="2"/>
  <c r="K701" i="2"/>
  <c r="E701" i="2"/>
  <c r="B701" i="2"/>
  <c r="U700" i="2"/>
  <c r="K700" i="2"/>
  <c r="E700" i="2"/>
  <c r="B700" i="2"/>
  <c r="U699" i="2"/>
  <c r="K699" i="2"/>
  <c r="E699" i="2"/>
  <c r="B699" i="2"/>
  <c r="U698" i="2"/>
  <c r="K698" i="2"/>
  <c r="E698" i="2"/>
  <c r="B698" i="2"/>
  <c r="U697" i="2"/>
  <c r="K697" i="2"/>
  <c r="E697" i="2"/>
  <c r="B697" i="2"/>
  <c r="U696" i="2"/>
  <c r="K696" i="2"/>
  <c r="E696" i="2"/>
  <c r="B696" i="2"/>
  <c r="U695" i="2"/>
  <c r="K695" i="2"/>
  <c r="E695" i="2"/>
  <c r="B695" i="2"/>
  <c r="U694" i="2"/>
  <c r="K694" i="2"/>
  <c r="E694" i="2"/>
  <c r="B694" i="2"/>
  <c r="U693" i="2"/>
  <c r="K693" i="2"/>
  <c r="E693" i="2"/>
  <c r="B693" i="2"/>
  <c r="U692" i="2"/>
  <c r="K692" i="2"/>
  <c r="E692" i="2"/>
  <c r="B692" i="2"/>
  <c r="U691" i="2"/>
  <c r="K691" i="2"/>
  <c r="E691" i="2"/>
  <c r="B691" i="2"/>
  <c r="U690" i="2"/>
  <c r="K690" i="2"/>
  <c r="E690" i="2"/>
  <c r="B690" i="2"/>
  <c r="U689" i="2"/>
  <c r="K689" i="2"/>
  <c r="E689" i="2"/>
  <c r="B689" i="2"/>
  <c r="U688" i="2"/>
  <c r="K688" i="2"/>
  <c r="E688" i="2"/>
  <c r="B688" i="2"/>
  <c r="U687" i="2"/>
  <c r="K687" i="2"/>
  <c r="E687" i="2"/>
  <c r="B687" i="2"/>
  <c r="U686" i="2"/>
  <c r="K686" i="2"/>
  <c r="E686" i="2"/>
  <c r="B686" i="2"/>
  <c r="U685" i="2"/>
  <c r="K685" i="2"/>
  <c r="E685" i="2"/>
  <c r="B685" i="2"/>
  <c r="U684" i="2"/>
  <c r="K684" i="2"/>
  <c r="E684" i="2"/>
  <c r="B684" i="2"/>
  <c r="U683" i="2"/>
  <c r="K683" i="2"/>
  <c r="E683" i="2"/>
  <c r="B683" i="2"/>
  <c r="U682" i="2"/>
  <c r="K682" i="2"/>
  <c r="E682" i="2"/>
  <c r="B682" i="2"/>
  <c r="U681" i="2"/>
  <c r="K681" i="2"/>
  <c r="E681" i="2"/>
  <c r="B681" i="2"/>
  <c r="K680" i="2"/>
  <c r="E680" i="2"/>
  <c r="B680" i="2"/>
  <c r="U679" i="2"/>
  <c r="K679" i="2"/>
  <c r="E679" i="2"/>
  <c r="B679" i="2"/>
  <c r="U678" i="2"/>
  <c r="K678" i="2"/>
  <c r="E678" i="2"/>
  <c r="B678" i="2"/>
  <c r="U677" i="2"/>
  <c r="K677" i="2"/>
  <c r="E677" i="2"/>
  <c r="B677" i="2"/>
  <c r="U676" i="2"/>
  <c r="K676" i="2"/>
  <c r="E676" i="2"/>
  <c r="B676" i="2"/>
  <c r="U675" i="2"/>
  <c r="K675" i="2"/>
  <c r="E675" i="2"/>
  <c r="B675" i="2"/>
  <c r="U674" i="2"/>
  <c r="K674" i="2"/>
  <c r="E674" i="2"/>
  <c r="B674" i="2"/>
  <c r="U673" i="2"/>
  <c r="K673" i="2"/>
  <c r="E673" i="2"/>
  <c r="B673" i="2"/>
  <c r="U672" i="2"/>
  <c r="K672" i="2"/>
  <c r="E672" i="2"/>
  <c r="B672" i="2"/>
  <c r="U671" i="2"/>
  <c r="K671" i="2"/>
  <c r="E671" i="2"/>
  <c r="B671" i="2"/>
  <c r="U670" i="2"/>
  <c r="K670" i="2"/>
  <c r="E670" i="2"/>
  <c r="B670" i="2"/>
  <c r="U669" i="2"/>
  <c r="K669" i="2"/>
  <c r="E669" i="2"/>
  <c r="B669" i="2"/>
  <c r="U668" i="2"/>
  <c r="K668" i="2"/>
  <c r="E668" i="2"/>
  <c r="B668" i="2"/>
  <c r="U667" i="2"/>
  <c r="K667" i="2"/>
  <c r="E667" i="2"/>
  <c r="B667" i="2"/>
  <c r="U666" i="2"/>
  <c r="K666" i="2"/>
  <c r="E666" i="2"/>
  <c r="B666" i="2"/>
  <c r="U665" i="2"/>
  <c r="K665" i="2"/>
  <c r="E665" i="2"/>
  <c r="B665" i="2"/>
  <c r="U664" i="2"/>
  <c r="K664" i="2"/>
  <c r="E664" i="2"/>
  <c r="B664" i="2"/>
  <c r="U663" i="2"/>
  <c r="K663" i="2"/>
  <c r="E663" i="2"/>
  <c r="B663" i="2"/>
  <c r="U662" i="2"/>
  <c r="K662" i="2"/>
  <c r="E662" i="2"/>
  <c r="B662" i="2"/>
  <c r="U661" i="2"/>
  <c r="K661" i="2"/>
  <c r="E661" i="2"/>
  <c r="B661" i="2"/>
  <c r="U660" i="2"/>
  <c r="K660" i="2"/>
  <c r="E660" i="2"/>
  <c r="B660" i="2"/>
  <c r="U659" i="2"/>
  <c r="K659" i="2"/>
  <c r="E659" i="2"/>
  <c r="B659" i="2"/>
  <c r="U658" i="2"/>
  <c r="K658" i="2"/>
  <c r="E658" i="2"/>
  <c r="B658" i="2"/>
  <c r="U657" i="2"/>
  <c r="K657" i="2"/>
  <c r="E657" i="2"/>
  <c r="B657" i="2"/>
  <c r="U656" i="2"/>
  <c r="K656" i="2"/>
  <c r="E656" i="2"/>
  <c r="B656" i="2"/>
  <c r="U655" i="2"/>
  <c r="K655" i="2"/>
  <c r="E655" i="2"/>
  <c r="B655" i="2"/>
  <c r="U654" i="2"/>
  <c r="K654" i="2"/>
  <c r="E654" i="2"/>
  <c r="B654" i="2"/>
  <c r="U653" i="2"/>
  <c r="K653" i="2"/>
  <c r="E653" i="2"/>
  <c r="B653" i="2"/>
  <c r="U652" i="2"/>
  <c r="K652" i="2"/>
  <c r="E652" i="2"/>
  <c r="B652" i="2"/>
  <c r="U651" i="2"/>
  <c r="K651" i="2"/>
  <c r="E651" i="2"/>
  <c r="B651" i="2"/>
  <c r="U650" i="2"/>
  <c r="K650" i="2"/>
  <c r="E650" i="2"/>
  <c r="B650" i="2"/>
  <c r="U649" i="2"/>
  <c r="K649" i="2"/>
  <c r="E649" i="2"/>
  <c r="B649" i="2"/>
  <c r="U648" i="2"/>
  <c r="K648" i="2"/>
  <c r="E648" i="2"/>
  <c r="B648" i="2"/>
  <c r="U647" i="2"/>
  <c r="K647" i="2"/>
  <c r="E647" i="2"/>
  <c r="B647" i="2"/>
  <c r="U646" i="2"/>
  <c r="K646" i="2"/>
  <c r="E646" i="2"/>
  <c r="B646" i="2"/>
  <c r="U645" i="2"/>
  <c r="K645" i="2"/>
  <c r="E645" i="2"/>
  <c r="B645" i="2"/>
  <c r="U644" i="2"/>
  <c r="K644" i="2"/>
  <c r="E644" i="2"/>
  <c r="B644" i="2"/>
  <c r="U643" i="2"/>
  <c r="K643" i="2"/>
  <c r="E643" i="2"/>
  <c r="B643" i="2"/>
  <c r="U642" i="2"/>
  <c r="K642" i="2"/>
  <c r="E642" i="2"/>
  <c r="B642" i="2"/>
  <c r="U641" i="2"/>
  <c r="K641" i="2"/>
  <c r="E641" i="2"/>
  <c r="B641" i="2"/>
  <c r="U640" i="2"/>
  <c r="K640" i="2"/>
  <c r="E640" i="2"/>
  <c r="B640" i="2"/>
  <c r="U639" i="2"/>
  <c r="K639" i="2"/>
  <c r="E639" i="2"/>
  <c r="B639" i="2"/>
  <c r="U638" i="2"/>
  <c r="K638" i="2"/>
  <c r="E638" i="2"/>
  <c r="B638" i="2"/>
  <c r="U637" i="2"/>
  <c r="K637" i="2"/>
  <c r="E637" i="2"/>
  <c r="B637" i="2"/>
  <c r="U636" i="2"/>
  <c r="K636" i="2"/>
  <c r="E636" i="2"/>
  <c r="B636" i="2"/>
  <c r="U635" i="2"/>
  <c r="K635" i="2"/>
  <c r="E635" i="2"/>
  <c r="B635" i="2"/>
  <c r="U634" i="2"/>
  <c r="K634" i="2"/>
  <c r="E634" i="2"/>
  <c r="B634" i="2"/>
  <c r="U633" i="2"/>
  <c r="K633" i="2"/>
  <c r="E633" i="2"/>
  <c r="B633" i="2"/>
  <c r="U632" i="2"/>
  <c r="K632" i="2"/>
  <c r="E632" i="2"/>
  <c r="B632" i="2"/>
  <c r="U631" i="2"/>
  <c r="K631" i="2"/>
  <c r="E631" i="2"/>
  <c r="B631" i="2"/>
  <c r="U630" i="2"/>
  <c r="K630" i="2"/>
  <c r="E630" i="2"/>
  <c r="B630" i="2"/>
  <c r="U629" i="2"/>
  <c r="K629" i="2"/>
  <c r="E629" i="2"/>
  <c r="B629" i="2"/>
  <c r="U628" i="2"/>
  <c r="K628" i="2"/>
  <c r="E628" i="2"/>
  <c r="B628" i="2"/>
  <c r="U627" i="2"/>
  <c r="K627" i="2"/>
  <c r="E627" i="2"/>
  <c r="B627" i="2"/>
  <c r="U626" i="2"/>
  <c r="K626" i="2"/>
  <c r="E626" i="2"/>
  <c r="B626" i="2"/>
  <c r="U625" i="2"/>
  <c r="K625" i="2"/>
  <c r="E625" i="2"/>
  <c r="B625" i="2"/>
  <c r="U624" i="2"/>
  <c r="K624" i="2"/>
  <c r="E624" i="2"/>
  <c r="B624" i="2"/>
  <c r="U623" i="2"/>
  <c r="K623" i="2"/>
  <c r="E623" i="2"/>
  <c r="B623" i="2"/>
  <c r="U622" i="2"/>
  <c r="K622" i="2"/>
  <c r="E622" i="2"/>
  <c r="B622" i="2"/>
  <c r="U621" i="2"/>
  <c r="K621" i="2"/>
  <c r="E621" i="2"/>
  <c r="B621" i="2"/>
  <c r="U620" i="2"/>
  <c r="K620" i="2"/>
  <c r="E620" i="2"/>
  <c r="B620" i="2"/>
  <c r="U619" i="2"/>
  <c r="K619" i="2"/>
  <c r="E619" i="2"/>
  <c r="B619" i="2"/>
  <c r="U618" i="2"/>
  <c r="K618" i="2"/>
  <c r="E618" i="2"/>
  <c r="B618" i="2"/>
  <c r="U617" i="2"/>
  <c r="K617" i="2"/>
  <c r="E617" i="2"/>
  <c r="B617" i="2"/>
  <c r="U616" i="2"/>
  <c r="K616" i="2"/>
  <c r="E616" i="2"/>
  <c r="B616" i="2"/>
  <c r="U615" i="2"/>
  <c r="K615" i="2"/>
  <c r="E615" i="2"/>
  <c r="B615" i="2"/>
  <c r="U614" i="2"/>
  <c r="K614" i="2"/>
  <c r="E614" i="2"/>
  <c r="B614" i="2"/>
  <c r="U613" i="2"/>
  <c r="K613" i="2"/>
  <c r="E613" i="2"/>
  <c r="B613" i="2"/>
  <c r="U612" i="2"/>
  <c r="K612" i="2"/>
  <c r="E612" i="2"/>
  <c r="B612" i="2"/>
  <c r="U611" i="2"/>
  <c r="K611" i="2"/>
  <c r="E611" i="2"/>
  <c r="B611" i="2"/>
  <c r="U610" i="2"/>
  <c r="K610" i="2"/>
  <c r="E610" i="2"/>
  <c r="B610" i="2"/>
  <c r="U609" i="2"/>
  <c r="K609" i="2"/>
  <c r="E609" i="2"/>
  <c r="B609" i="2"/>
  <c r="U608" i="2"/>
  <c r="K608" i="2"/>
  <c r="E608" i="2"/>
  <c r="B608" i="2"/>
  <c r="U607" i="2"/>
  <c r="K607" i="2"/>
  <c r="E607" i="2"/>
  <c r="B607" i="2"/>
  <c r="U606" i="2"/>
  <c r="K606" i="2"/>
  <c r="E606" i="2"/>
  <c r="B606" i="2"/>
  <c r="U605" i="2"/>
  <c r="K605" i="2"/>
  <c r="E605" i="2"/>
  <c r="B605" i="2"/>
  <c r="U604" i="2"/>
  <c r="K604" i="2"/>
  <c r="E604" i="2"/>
  <c r="B604" i="2"/>
  <c r="U603" i="2"/>
  <c r="K603" i="2"/>
  <c r="E603" i="2"/>
  <c r="B603" i="2"/>
  <c r="U602" i="2"/>
  <c r="K602" i="2"/>
  <c r="E602" i="2"/>
  <c r="B602" i="2"/>
  <c r="U601" i="2"/>
  <c r="K601" i="2"/>
  <c r="E601" i="2"/>
  <c r="B601" i="2"/>
  <c r="U600" i="2"/>
  <c r="K600" i="2"/>
  <c r="E600" i="2"/>
  <c r="B600" i="2"/>
  <c r="U599" i="2"/>
  <c r="K599" i="2"/>
  <c r="E599" i="2"/>
  <c r="B599" i="2"/>
  <c r="U598" i="2"/>
  <c r="K598" i="2"/>
  <c r="E598" i="2"/>
  <c r="B598" i="2"/>
  <c r="U597" i="2"/>
  <c r="K597" i="2"/>
  <c r="E597" i="2"/>
  <c r="B597" i="2"/>
  <c r="U596" i="2"/>
  <c r="K596" i="2"/>
  <c r="E596" i="2"/>
  <c r="B596" i="2"/>
  <c r="U595" i="2"/>
  <c r="K595" i="2"/>
  <c r="E595" i="2"/>
  <c r="B595" i="2"/>
  <c r="U594" i="2"/>
  <c r="K594" i="2"/>
  <c r="E594" i="2"/>
  <c r="B594" i="2"/>
  <c r="U593" i="2"/>
  <c r="K593" i="2"/>
  <c r="E593" i="2"/>
  <c r="B593" i="2"/>
  <c r="U592" i="2"/>
  <c r="K592" i="2"/>
  <c r="E592" i="2"/>
  <c r="B592" i="2"/>
  <c r="U591" i="2"/>
  <c r="K591" i="2"/>
  <c r="E591" i="2"/>
  <c r="B591" i="2"/>
  <c r="U590" i="2"/>
  <c r="K590" i="2"/>
  <c r="E590" i="2"/>
  <c r="B590" i="2"/>
  <c r="U589" i="2"/>
  <c r="K589" i="2"/>
  <c r="E589" i="2"/>
  <c r="B589" i="2"/>
  <c r="U588" i="2"/>
  <c r="K588" i="2"/>
  <c r="E588" i="2"/>
  <c r="B588" i="2"/>
  <c r="U587" i="2"/>
  <c r="K587" i="2"/>
  <c r="E587" i="2"/>
  <c r="B587" i="2"/>
  <c r="U586" i="2"/>
  <c r="K586" i="2"/>
  <c r="E586" i="2"/>
  <c r="B586" i="2"/>
  <c r="U585" i="2"/>
  <c r="K585" i="2"/>
  <c r="E585" i="2"/>
  <c r="B585" i="2"/>
  <c r="U584" i="2"/>
  <c r="K584" i="2"/>
  <c r="E584" i="2"/>
  <c r="B584" i="2"/>
  <c r="U583" i="2"/>
  <c r="K583" i="2"/>
  <c r="E583" i="2"/>
  <c r="B583" i="2"/>
  <c r="U582" i="2"/>
  <c r="K582" i="2"/>
  <c r="E582" i="2"/>
  <c r="B582" i="2"/>
  <c r="U581" i="2"/>
  <c r="K581" i="2"/>
  <c r="E581" i="2"/>
  <c r="B581" i="2"/>
  <c r="U580" i="2"/>
  <c r="K580" i="2"/>
  <c r="E580" i="2"/>
  <c r="B580" i="2"/>
  <c r="U579" i="2"/>
  <c r="K579" i="2"/>
  <c r="E579" i="2"/>
  <c r="B579" i="2"/>
  <c r="U578" i="2"/>
  <c r="K578" i="2"/>
  <c r="E578" i="2"/>
  <c r="B578" i="2"/>
  <c r="U577" i="2"/>
  <c r="K577" i="2"/>
  <c r="E577" i="2"/>
  <c r="B577" i="2"/>
  <c r="U576" i="2"/>
  <c r="K576" i="2"/>
  <c r="E576" i="2"/>
  <c r="B576" i="2"/>
  <c r="U575" i="2"/>
  <c r="K575" i="2"/>
  <c r="E575" i="2"/>
  <c r="B575" i="2"/>
  <c r="U574" i="2"/>
  <c r="K574" i="2"/>
  <c r="E574" i="2"/>
  <c r="B574" i="2"/>
  <c r="U573" i="2"/>
  <c r="K573" i="2"/>
  <c r="E573" i="2"/>
  <c r="B573" i="2"/>
  <c r="U572" i="2"/>
  <c r="K572" i="2"/>
  <c r="E572" i="2"/>
  <c r="B572" i="2"/>
  <c r="U571" i="2"/>
  <c r="K571" i="2"/>
  <c r="E571" i="2"/>
  <c r="B571" i="2"/>
  <c r="U570" i="2"/>
  <c r="K570" i="2"/>
  <c r="E570" i="2"/>
  <c r="B570" i="2"/>
  <c r="U569" i="2"/>
  <c r="K569" i="2"/>
  <c r="E569" i="2"/>
  <c r="B569" i="2"/>
  <c r="U568" i="2"/>
  <c r="K568" i="2"/>
  <c r="E568" i="2"/>
  <c r="B568" i="2"/>
  <c r="U567" i="2"/>
  <c r="K567" i="2"/>
  <c r="E567" i="2"/>
  <c r="B567" i="2"/>
  <c r="U566" i="2"/>
  <c r="K566" i="2"/>
  <c r="E566" i="2"/>
  <c r="B566" i="2"/>
  <c r="U565" i="2"/>
  <c r="K565" i="2"/>
  <c r="E565" i="2"/>
  <c r="B565" i="2"/>
  <c r="U564" i="2"/>
  <c r="K564" i="2"/>
  <c r="E564" i="2"/>
  <c r="B564" i="2"/>
  <c r="U563" i="2"/>
  <c r="K563" i="2"/>
  <c r="E563" i="2"/>
  <c r="B563" i="2"/>
  <c r="U562" i="2"/>
  <c r="K562" i="2"/>
  <c r="E562" i="2"/>
  <c r="B562" i="2"/>
  <c r="U561" i="2"/>
  <c r="K561" i="2"/>
  <c r="E561" i="2"/>
  <c r="B561" i="2"/>
  <c r="U560" i="2"/>
  <c r="K560" i="2"/>
  <c r="E560" i="2"/>
  <c r="B560" i="2"/>
  <c r="U559" i="2"/>
  <c r="K559" i="2"/>
  <c r="E559" i="2"/>
  <c r="B559" i="2"/>
  <c r="U558" i="2"/>
  <c r="K558" i="2"/>
  <c r="E558" i="2"/>
  <c r="B558" i="2"/>
  <c r="U557" i="2"/>
  <c r="K557" i="2"/>
  <c r="E557" i="2"/>
  <c r="B557" i="2"/>
  <c r="U556" i="2"/>
  <c r="K556" i="2"/>
  <c r="E556" i="2"/>
  <c r="B556" i="2"/>
  <c r="U555" i="2"/>
  <c r="K555" i="2"/>
  <c r="E555" i="2"/>
  <c r="B555" i="2"/>
  <c r="U554" i="2"/>
  <c r="K554" i="2"/>
  <c r="E554" i="2"/>
  <c r="B554" i="2"/>
  <c r="U553" i="2"/>
  <c r="K553" i="2"/>
  <c r="E553" i="2"/>
  <c r="B553" i="2"/>
  <c r="U552" i="2"/>
  <c r="K552" i="2"/>
  <c r="E552" i="2"/>
  <c r="B552" i="2"/>
  <c r="U551" i="2"/>
  <c r="K551" i="2"/>
  <c r="E551" i="2"/>
  <c r="B551" i="2"/>
  <c r="U550" i="2"/>
  <c r="K550" i="2"/>
  <c r="E550" i="2"/>
  <c r="B550" i="2"/>
  <c r="U549" i="2"/>
  <c r="K549" i="2"/>
  <c r="E549" i="2"/>
  <c r="B549" i="2"/>
  <c r="U548" i="2"/>
  <c r="K548" i="2"/>
  <c r="E548" i="2"/>
  <c r="B548" i="2"/>
  <c r="U547" i="2"/>
  <c r="K547" i="2"/>
  <c r="E547" i="2"/>
  <c r="B547" i="2"/>
  <c r="U546" i="2"/>
  <c r="K546" i="2"/>
  <c r="E546" i="2"/>
  <c r="B546" i="2"/>
  <c r="U545" i="2"/>
  <c r="K545" i="2"/>
  <c r="E545" i="2"/>
  <c r="B545" i="2"/>
  <c r="U544" i="2"/>
  <c r="K544" i="2"/>
  <c r="E544" i="2"/>
  <c r="B544" i="2"/>
  <c r="U543" i="2"/>
  <c r="K543" i="2"/>
  <c r="E543" i="2"/>
  <c r="B543" i="2"/>
  <c r="U542" i="2"/>
  <c r="K542" i="2"/>
  <c r="E542" i="2"/>
  <c r="B542" i="2"/>
  <c r="K541" i="2"/>
  <c r="E541" i="2"/>
  <c r="B541" i="2"/>
  <c r="U540" i="2"/>
  <c r="K540" i="2"/>
  <c r="E540" i="2"/>
  <c r="B540" i="2"/>
  <c r="U539" i="2"/>
  <c r="K539" i="2"/>
  <c r="E539" i="2"/>
  <c r="B539" i="2"/>
  <c r="U538" i="2"/>
  <c r="K538" i="2"/>
  <c r="E538" i="2"/>
  <c r="B538" i="2"/>
  <c r="U537" i="2"/>
  <c r="K537" i="2"/>
  <c r="E537" i="2"/>
  <c r="B537" i="2"/>
  <c r="U536" i="2"/>
  <c r="K536" i="2"/>
  <c r="E536" i="2"/>
  <c r="B536" i="2"/>
  <c r="U535" i="2"/>
  <c r="K535" i="2"/>
  <c r="E535" i="2"/>
  <c r="B535" i="2"/>
  <c r="U534" i="2"/>
  <c r="K534" i="2"/>
  <c r="E534" i="2"/>
  <c r="B534" i="2"/>
  <c r="U533" i="2"/>
  <c r="K533" i="2"/>
  <c r="E533" i="2"/>
  <c r="B533" i="2"/>
  <c r="U532" i="2"/>
  <c r="K532" i="2"/>
  <c r="E532" i="2"/>
  <c r="B532" i="2"/>
  <c r="U531" i="2"/>
  <c r="K531" i="2"/>
  <c r="E531" i="2"/>
  <c r="B531" i="2"/>
  <c r="U530" i="2"/>
  <c r="K530" i="2"/>
  <c r="E530" i="2"/>
  <c r="B530" i="2"/>
  <c r="U529" i="2"/>
  <c r="K529" i="2"/>
  <c r="E529" i="2"/>
  <c r="B529" i="2"/>
  <c r="U528" i="2"/>
  <c r="K528" i="2"/>
  <c r="E528" i="2"/>
  <c r="B528" i="2"/>
  <c r="U527" i="2"/>
  <c r="K527" i="2"/>
  <c r="E527" i="2"/>
  <c r="B527" i="2"/>
  <c r="U526" i="2"/>
  <c r="K526" i="2"/>
  <c r="E526" i="2"/>
  <c r="B526" i="2"/>
  <c r="U525" i="2"/>
  <c r="K525" i="2"/>
  <c r="E525" i="2"/>
  <c r="B525" i="2"/>
  <c r="U524" i="2"/>
  <c r="K524" i="2"/>
  <c r="E524" i="2"/>
  <c r="B524" i="2"/>
  <c r="U523" i="2"/>
  <c r="K523" i="2"/>
  <c r="E523" i="2"/>
  <c r="B523" i="2"/>
  <c r="U522" i="2"/>
  <c r="K522" i="2"/>
  <c r="E522" i="2"/>
  <c r="B522" i="2"/>
  <c r="U521" i="2"/>
  <c r="K521" i="2"/>
  <c r="E521" i="2"/>
  <c r="B521" i="2"/>
  <c r="U520" i="2"/>
  <c r="K520" i="2"/>
  <c r="E520" i="2"/>
  <c r="B520" i="2"/>
  <c r="U519" i="2"/>
  <c r="K519" i="2"/>
  <c r="E519" i="2"/>
  <c r="B519" i="2"/>
  <c r="U518" i="2"/>
  <c r="K518" i="2"/>
  <c r="E518" i="2"/>
  <c r="B518" i="2"/>
  <c r="U517" i="2"/>
  <c r="K517" i="2"/>
  <c r="E517" i="2"/>
  <c r="B517" i="2"/>
  <c r="U516" i="2"/>
  <c r="K516" i="2"/>
  <c r="E516" i="2"/>
  <c r="B516" i="2"/>
  <c r="U515" i="2"/>
  <c r="K515" i="2"/>
  <c r="E515" i="2"/>
  <c r="B515" i="2"/>
  <c r="U514" i="2"/>
  <c r="K514" i="2"/>
  <c r="E514" i="2"/>
  <c r="B514" i="2"/>
  <c r="U513" i="2"/>
  <c r="K513" i="2"/>
  <c r="E513" i="2"/>
  <c r="B513" i="2"/>
  <c r="U512" i="2"/>
  <c r="K512" i="2"/>
  <c r="E512" i="2"/>
  <c r="B512" i="2"/>
  <c r="U511" i="2"/>
  <c r="K511" i="2"/>
  <c r="E511" i="2"/>
  <c r="B511" i="2"/>
  <c r="U510" i="2"/>
  <c r="K510" i="2"/>
  <c r="E510" i="2"/>
  <c r="B510" i="2"/>
  <c r="U509" i="2"/>
  <c r="K509" i="2"/>
  <c r="E509" i="2"/>
  <c r="B509" i="2"/>
  <c r="U508" i="2"/>
  <c r="K508" i="2"/>
  <c r="E508" i="2"/>
  <c r="B508" i="2"/>
  <c r="U507" i="2"/>
  <c r="K507" i="2"/>
  <c r="E507" i="2"/>
  <c r="B507" i="2"/>
  <c r="U506" i="2"/>
  <c r="K506" i="2"/>
  <c r="E506" i="2"/>
  <c r="B506" i="2"/>
  <c r="U505" i="2"/>
  <c r="K505" i="2"/>
  <c r="E505" i="2"/>
  <c r="B505" i="2"/>
  <c r="U504" i="2"/>
  <c r="K504" i="2"/>
  <c r="E504" i="2"/>
  <c r="B504" i="2"/>
  <c r="U503" i="2"/>
  <c r="K503" i="2"/>
  <c r="E503" i="2"/>
  <c r="B503" i="2"/>
  <c r="U502" i="2"/>
  <c r="K502" i="2"/>
  <c r="E502" i="2"/>
  <c r="B502" i="2"/>
  <c r="U501" i="2"/>
  <c r="K501" i="2"/>
  <c r="E501" i="2"/>
  <c r="B501" i="2"/>
  <c r="U500" i="2"/>
  <c r="K500" i="2"/>
  <c r="E500" i="2"/>
  <c r="B500" i="2"/>
  <c r="U499" i="2"/>
  <c r="K499" i="2"/>
  <c r="E499" i="2"/>
  <c r="B499" i="2"/>
  <c r="U498" i="2"/>
  <c r="K498" i="2"/>
  <c r="E498" i="2"/>
  <c r="B498" i="2"/>
  <c r="U497" i="2"/>
  <c r="K497" i="2"/>
  <c r="E497" i="2"/>
  <c r="B497" i="2"/>
  <c r="U496" i="2"/>
  <c r="K496" i="2"/>
  <c r="E496" i="2"/>
  <c r="B496" i="2"/>
  <c r="U495" i="2"/>
  <c r="K495" i="2"/>
  <c r="E495" i="2"/>
  <c r="B495" i="2"/>
  <c r="U494" i="2"/>
  <c r="K494" i="2"/>
  <c r="E494" i="2"/>
  <c r="B494" i="2"/>
  <c r="U493" i="2"/>
  <c r="K493" i="2"/>
  <c r="E493" i="2"/>
  <c r="B493" i="2"/>
  <c r="U492" i="2"/>
  <c r="K492" i="2"/>
  <c r="E492" i="2"/>
  <c r="B492" i="2"/>
  <c r="U491" i="2"/>
  <c r="K491" i="2"/>
  <c r="E491" i="2"/>
  <c r="B491" i="2"/>
  <c r="U490" i="2"/>
  <c r="K490" i="2"/>
  <c r="E490" i="2"/>
  <c r="B490" i="2"/>
  <c r="U489" i="2"/>
  <c r="K489" i="2"/>
  <c r="E489" i="2"/>
  <c r="B489" i="2"/>
  <c r="U488" i="2"/>
  <c r="K488" i="2"/>
  <c r="E488" i="2"/>
  <c r="B488" i="2"/>
  <c r="U487" i="2"/>
  <c r="K487" i="2"/>
  <c r="E487" i="2"/>
  <c r="B487" i="2"/>
  <c r="U486" i="2"/>
  <c r="K486" i="2"/>
  <c r="E486" i="2"/>
  <c r="B486" i="2"/>
  <c r="U485" i="2"/>
  <c r="K485" i="2"/>
  <c r="E485" i="2"/>
  <c r="B485" i="2"/>
  <c r="U484" i="2"/>
  <c r="K484" i="2"/>
  <c r="E484" i="2"/>
  <c r="B484" i="2"/>
  <c r="U483" i="2"/>
  <c r="K483" i="2"/>
  <c r="E483" i="2"/>
  <c r="B483" i="2"/>
  <c r="U482" i="2"/>
  <c r="K482" i="2"/>
  <c r="E482" i="2"/>
  <c r="B482" i="2"/>
  <c r="U481" i="2"/>
  <c r="K481" i="2"/>
  <c r="E481" i="2"/>
  <c r="B481" i="2"/>
  <c r="U480" i="2"/>
  <c r="K480" i="2"/>
  <c r="E480" i="2"/>
  <c r="B480" i="2"/>
  <c r="U479" i="2"/>
  <c r="K479" i="2"/>
  <c r="E479" i="2"/>
  <c r="B479" i="2"/>
  <c r="U478" i="2"/>
  <c r="K478" i="2"/>
  <c r="E478" i="2"/>
  <c r="B478" i="2"/>
  <c r="U477" i="2"/>
  <c r="K477" i="2"/>
  <c r="E477" i="2"/>
  <c r="B477" i="2"/>
  <c r="U476" i="2"/>
  <c r="K476" i="2"/>
  <c r="E476" i="2"/>
  <c r="B476" i="2"/>
  <c r="U475" i="2"/>
  <c r="K475" i="2"/>
  <c r="E475" i="2"/>
  <c r="B475" i="2"/>
  <c r="U474" i="2"/>
  <c r="K474" i="2"/>
  <c r="E474" i="2"/>
  <c r="B474" i="2"/>
  <c r="U473" i="2"/>
  <c r="K473" i="2"/>
  <c r="E473" i="2"/>
  <c r="B473" i="2"/>
  <c r="U472" i="2"/>
  <c r="K472" i="2"/>
  <c r="E472" i="2"/>
  <c r="B472" i="2"/>
  <c r="U471" i="2"/>
  <c r="K471" i="2"/>
  <c r="E471" i="2"/>
  <c r="B471" i="2"/>
  <c r="U470" i="2"/>
  <c r="K470" i="2"/>
  <c r="E470" i="2"/>
  <c r="B470" i="2"/>
  <c r="U469" i="2"/>
  <c r="K469" i="2"/>
  <c r="E469" i="2"/>
  <c r="B469" i="2"/>
  <c r="U468" i="2"/>
  <c r="K468" i="2"/>
  <c r="E468" i="2"/>
  <c r="B468" i="2"/>
  <c r="U467" i="2"/>
  <c r="K467" i="2"/>
  <c r="E467" i="2"/>
  <c r="B467" i="2"/>
  <c r="U466" i="2"/>
  <c r="K466" i="2"/>
  <c r="E466" i="2"/>
  <c r="B466" i="2"/>
  <c r="U465" i="2"/>
  <c r="K465" i="2"/>
  <c r="E465" i="2"/>
  <c r="B465" i="2"/>
  <c r="U464" i="2"/>
  <c r="K464" i="2"/>
  <c r="E464" i="2"/>
  <c r="B464" i="2"/>
  <c r="U463" i="2"/>
  <c r="K463" i="2"/>
  <c r="E463" i="2"/>
  <c r="B463" i="2"/>
  <c r="U462" i="2"/>
  <c r="K462" i="2"/>
  <c r="E462" i="2"/>
  <c r="B462" i="2"/>
  <c r="U461" i="2"/>
  <c r="K461" i="2"/>
  <c r="E461" i="2"/>
  <c r="B461" i="2"/>
  <c r="U460" i="2"/>
  <c r="K460" i="2"/>
  <c r="E460" i="2"/>
  <c r="B460" i="2"/>
  <c r="U459" i="2"/>
  <c r="K459" i="2"/>
  <c r="E459" i="2"/>
  <c r="B459" i="2"/>
  <c r="U458" i="2"/>
  <c r="K458" i="2"/>
  <c r="E458" i="2"/>
  <c r="B458" i="2"/>
  <c r="U457" i="2"/>
  <c r="K457" i="2"/>
  <c r="E457" i="2"/>
  <c r="B457" i="2"/>
  <c r="U456" i="2"/>
  <c r="K456" i="2"/>
  <c r="E456" i="2"/>
  <c r="B456" i="2"/>
  <c r="U455" i="2"/>
  <c r="K455" i="2"/>
  <c r="E455" i="2"/>
  <c r="B455" i="2"/>
  <c r="U454" i="2"/>
  <c r="K454" i="2"/>
  <c r="E454" i="2"/>
  <c r="B454" i="2"/>
  <c r="U453" i="2"/>
  <c r="K453" i="2"/>
  <c r="E453" i="2"/>
  <c r="B453" i="2"/>
  <c r="U452" i="2"/>
  <c r="K452" i="2"/>
  <c r="E452" i="2"/>
  <c r="B452" i="2"/>
  <c r="U451" i="2"/>
  <c r="K451" i="2"/>
  <c r="E451" i="2"/>
  <c r="B451" i="2"/>
  <c r="U450" i="2"/>
  <c r="K450" i="2"/>
  <c r="E450" i="2"/>
  <c r="B450" i="2"/>
  <c r="U449" i="2"/>
  <c r="K449" i="2"/>
  <c r="E449" i="2"/>
  <c r="B449" i="2"/>
  <c r="U448" i="2"/>
  <c r="K448" i="2"/>
  <c r="E448" i="2"/>
  <c r="B448" i="2"/>
  <c r="U447" i="2"/>
  <c r="K447" i="2"/>
  <c r="E447" i="2"/>
  <c r="B447" i="2"/>
  <c r="U446" i="2"/>
  <c r="K446" i="2"/>
  <c r="E446" i="2"/>
  <c r="B446" i="2"/>
  <c r="U445" i="2"/>
  <c r="K445" i="2"/>
  <c r="E445" i="2"/>
  <c r="B445" i="2"/>
  <c r="U444" i="2"/>
  <c r="K444" i="2"/>
  <c r="E444" i="2"/>
  <c r="B444" i="2"/>
  <c r="U443" i="2"/>
  <c r="K443" i="2"/>
  <c r="E443" i="2"/>
  <c r="B443" i="2"/>
  <c r="U442" i="2"/>
  <c r="K442" i="2"/>
  <c r="E442" i="2"/>
  <c r="B442" i="2"/>
  <c r="U441" i="2"/>
  <c r="K441" i="2"/>
  <c r="E441" i="2"/>
  <c r="B441" i="2"/>
  <c r="U440" i="2"/>
  <c r="K440" i="2"/>
  <c r="E440" i="2"/>
  <c r="B440" i="2"/>
  <c r="U439" i="2"/>
  <c r="K439" i="2"/>
  <c r="E439" i="2"/>
  <c r="B439" i="2"/>
  <c r="U438" i="2"/>
  <c r="K438" i="2"/>
  <c r="E438" i="2"/>
  <c r="B438" i="2"/>
  <c r="U437" i="2"/>
  <c r="K437" i="2"/>
  <c r="E437" i="2"/>
  <c r="B437" i="2"/>
  <c r="U436" i="2"/>
  <c r="K436" i="2"/>
  <c r="E436" i="2"/>
  <c r="B436" i="2"/>
  <c r="U435" i="2"/>
  <c r="K435" i="2"/>
  <c r="E435" i="2"/>
  <c r="B435" i="2"/>
  <c r="U434" i="2"/>
  <c r="K434" i="2"/>
  <c r="E434" i="2"/>
  <c r="B434" i="2"/>
  <c r="U433" i="2"/>
  <c r="K433" i="2"/>
  <c r="E433" i="2"/>
  <c r="B433" i="2"/>
  <c r="U432" i="2"/>
  <c r="K432" i="2"/>
  <c r="E432" i="2"/>
  <c r="B432" i="2"/>
  <c r="U431" i="2"/>
  <c r="K431" i="2"/>
  <c r="E431" i="2"/>
  <c r="B431" i="2"/>
  <c r="U430" i="2"/>
  <c r="K430" i="2"/>
  <c r="E430" i="2"/>
  <c r="B430" i="2"/>
  <c r="U429" i="2"/>
  <c r="K429" i="2"/>
  <c r="E429" i="2"/>
  <c r="B429" i="2"/>
  <c r="U428" i="2"/>
  <c r="K428" i="2"/>
  <c r="E428" i="2"/>
  <c r="B428" i="2"/>
  <c r="U427" i="2"/>
  <c r="K427" i="2"/>
  <c r="E427" i="2"/>
  <c r="B427" i="2"/>
  <c r="U426" i="2"/>
  <c r="K426" i="2"/>
  <c r="E426" i="2"/>
  <c r="B426" i="2"/>
  <c r="U425" i="2"/>
  <c r="K425" i="2"/>
  <c r="E425" i="2"/>
  <c r="B425" i="2"/>
  <c r="U424" i="2"/>
  <c r="K424" i="2"/>
  <c r="E424" i="2"/>
  <c r="B424" i="2"/>
  <c r="U423" i="2"/>
  <c r="K423" i="2"/>
  <c r="E423" i="2"/>
  <c r="B423" i="2"/>
  <c r="U422" i="2"/>
  <c r="K422" i="2"/>
  <c r="E422" i="2"/>
  <c r="B422" i="2"/>
  <c r="U421" i="2"/>
  <c r="K421" i="2"/>
  <c r="E421" i="2"/>
  <c r="B421" i="2"/>
  <c r="U420" i="2"/>
  <c r="K420" i="2"/>
  <c r="E420" i="2"/>
  <c r="B420" i="2"/>
  <c r="U419" i="2"/>
  <c r="K419" i="2"/>
  <c r="E419" i="2"/>
  <c r="B419" i="2"/>
  <c r="U418" i="2"/>
  <c r="K418" i="2"/>
  <c r="E418" i="2"/>
  <c r="B418" i="2"/>
  <c r="U417" i="2"/>
  <c r="K417" i="2"/>
  <c r="E417" i="2"/>
  <c r="B417" i="2"/>
  <c r="U416" i="2"/>
  <c r="K416" i="2"/>
  <c r="E416" i="2"/>
  <c r="B416" i="2"/>
  <c r="U415" i="2"/>
  <c r="K415" i="2"/>
  <c r="E415" i="2"/>
  <c r="B415" i="2"/>
  <c r="U414" i="2"/>
  <c r="K414" i="2"/>
  <c r="E414" i="2"/>
  <c r="B414" i="2"/>
  <c r="U413" i="2"/>
  <c r="K413" i="2"/>
  <c r="E413" i="2"/>
  <c r="B413" i="2"/>
  <c r="U412" i="2"/>
  <c r="K412" i="2"/>
  <c r="E412" i="2"/>
  <c r="B412" i="2"/>
  <c r="U411" i="2"/>
  <c r="K411" i="2"/>
  <c r="E411" i="2"/>
  <c r="B411" i="2"/>
  <c r="U410" i="2"/>
  <c r="K410" i="2"/>
  <c r="E410" i="2"/>
  <c r="B410" i="2"/>
  <c r="U409" i="2"/>
  <c r="K409" i="2"/>
  <c r="E409" i="2"/>
  <c r="B409" i="2"/>
  <c r="U408" i="2"/>
  <c r="K408" i="2"/>
  <c r="E408" i="2"/>
  <c r="B408" i="2"/>
  <c r="U407" i="2"/>
  <c r="K407" i="2"/>
  <c r="E407" i="2"/>
  <c r="B407" i="2"/>
  <c r="U406" i="2"/>
  <c r="K406" i="2"/>
  <c r="E406" i="2"/>
  <c r="B406" i="2"/>
  <c r="U405" i="2"/>
  <c r="K405" i="2"/>
  <c r="E405" i="2"/>
  <c r="B405" i="2"/>
  <c r="U404" i="2"/>
  <c r="K404" i="2"/>
  <c r="E404" i="2"/>
  <c r="B404" i="2"/>
  <c r="U403" i="2"/>
  <c r="K403" i="2"/>
  <c r="E403" i="2"/>
  <c r="B403" i="2"/>
  <c r="U402" i="2"/>
  <c r="K402" i="2"/>
  <c r="E402" i="2"/>
  <c r="B402" i="2"/>
  <c r="U401" i="2"/>
  <c r="K401" i="2"/>
  <c r="E401" i="2"/>
  <c r="B401" i="2"/>
  <c r="U400" i="2"/>
  <c r="K400" i="2"/>
  <c r="E400" i="2"/>
  <c r="B400" i="2"/>
  <c r="U399" i="2"/>
  <c r="K399" i="2"/>
  <c r="E399" i="2"/>
  <c r="B399" i="2"/>
  <c r="U398" i="2"/>
  <c r="K398" i="2"/>
  <c r="E398" i="2"/>
  <c r="B398" i="2"/>
  <c r="U397" i="2"/>
  <c r="K397" i="2"/>
  <c r="E397" i="2"/>
  <c r="B397" i="2"/>
  <c r="U396" i="2"/>
  <c r="K396" i="2"/>
  <c r="E396" i="2"/>
  <c r="B396" i="2"/>
  <c r="U395" i="2"/>
  <c r="K395" i="2"/>
  <c r="E395" i="2"/>
  <c r="B395" i="2"/>
  <c r="U394" i="2"/>
  <c r="K394" i="2"/>
  <c r="E394" i="2"/>
  <c r="B394" i="2"/>
  <c r="U393" i="2"/>
  <c r="K393" i="2"/>
  <c r="E393" i="2"/>
  <c r="B393" i="2"/>
  <c r="U392" i="2"/>
  <c r="K392" i="2"/>
  <c r="E392" i="2"/>
  <c r="B392" i="2"/>
  <c r="U391" i="2"/>
  <c r="K391" i="2"/>
  <c r="E391" i="2"/>
  <c r="B391" i="2"/>
  <c r="U390" i="2"/>
  <c r="K390" i="2"/>
  <c r="E390" i="2"/>
  <c r="B390" i="2"/>
  <c r="U389" i="2"/>
  <c r="K389" i="2"/>
  <c r="E389" i="2"/>
  <c r="B389" i="2"/>
  <c r="U388" i="2"/>
  <c r="K388" i="2"/>
  <c r="E388" i="2"/>
  <c r="B388" i="2"/>
  <c r="U387" i="2"/>
  <c r="K387" i="2"/>
  <c r="E387" i="2"/>
  <c r="B387" i="2"/>
  <c r="U386" i="2"/>
  <c r="K386" i="2"/>
  <c r="E386" i="2"/>
  <c r="B386" i="2"/>
  <c r="U385" i="2"/>
  <c r="K385" i="2"/>
  <c r="E385" i="2"/>
  <c r="B385" i="2"/>
  <c r="U384" i="2"/>
  <c r="K384" i="2"/>
  <c r="E384" i="2"/>
  <c r="B384" i="2"/>
  <c r="U383" i="2"/>
  <c r="K383" i="2"/>
  <c r="E383" i="2"/>
  <c r="B383" i="2"/>
  <c r="U382" i="2"/>
  <c r="K382" i="2"/>
  <c r="E382" i="2"/>
  <c r="B382" i="2"/>
  <c r="U381" i="2"/>
  <c r="K381" i="2"/>
  <c r="E381" i="2"/>
  <c r="B381" i="2"/>
  <c r="U380" i="2"/>
  <c r="K380" i="2"/>
  <c r="E380" i="2"/>
  <c r="B380" i="2"/>
  <c r="U379" i="2"/>
  <c r="K379" i="2"/>
  <c r="E379" i="2"/>
  <c r="B379" i="2"/>
  <c r="U378" i="2"/>
  <c r="K378" i="2"/>
  <c r="E378" i="2"/>
  <c r="B378" i="2"/>
  <c r="U377" i="2"/>
  <c r="K377" i="2"/>
  <c r="E377" i="2"/>
  <c r="B377" i="2"/>
  <c r="U376" i="2"/>
  <c r="K376" i="2"/>
  <c r="E376" i="2"/>
  <c r="B376" i="2"/>
  <c r="U375" i="2"/>
  <c r="K375" i="2"/>
  <c r="E375" i="2"/>
  <c r="B375" i="2"/>
  <c r="U374" i="2"/>
  <c r="K374" i="2"/>
  <c r="E374" i="2"/>
  <c r="B374" i="2"/>
  <c r="U373" i="2"/>
  <c r="K373" i="2"/>
  <c r="E373" i="2"/>
  <c r="B373" i="2"/>
  <c r="U372" i="2"/>
  <c r="K372" i="2"/>
  <c r="E372" i="2"/>
  <c r="B372" i="2"/>
  <c r="U371" i="2"/>
  <c r="K371" i="2"/>
  <c r="E371" i="2"/>
  <c r="B371" i="2"/>
  <c r="U370" i="2"/>
  <c r="K370" i="2"/>
  <c r="E370" i="2"/>
  <c r="B370" i="2"/>
  <c r="U369" i="2"/>
  <c r="K369" i="2"/>
  <c r="E369" i="2"/>
  <c r="B369" i="2"/>
  <c r="U368" i="2"/>
  <c r="K368" i="2"/>
  <c r="E368" i="2"/>
  <c r="B368" i="2"/>
  <c r="U367" i="2"/>
  <c r="K367" i="2"/>
  <c r="E367" i="2"/>
  <c r="B367" i="2"/>
  <c r="U366" i="2"/>
  <c r="K366" i="2"/>
  <c r="E366" i="2"/>
  <c r="B366" i="2"/>
  <c r="U365" i="2"/>
  <c r="K365" i="2"/>
  <c r="E365" i="2"/>
  <c r="B365" i="2"/>
  <c r="U364" i="2"/>
  <c r="K364" i="2"/>
  <c r="E364" i="2"/>
  <c r="B364" i="2"/>
  <c r="U363" i="2"/>
  <c r="K363" i="2"/>
  <c r="E363" i="2"/>
  <c r="B363" i="2"/>
  <c r="U362" i="2"/>
  <c r="K362" i="2"/>
  <c r="E362" i="2"/>
  <c r="B362" i="2"/>
  <c r="U361" i="2"/>
  <c r="K361" i="2"/>
  <c r="E361" i="2"/>
  <c r="B361" i="2"/>
  <c r="U360" i="2"/>
  <c r="K360" i="2"/>
  <c r="E360" i="2"/>
  <c r="B360" i="2"/>
  <c r="U359" i="2"/>
  <c r="K359" i="2"/>
  <c r="E359" i="2"/>
  <c r="B359" i="2"/>
  <c r="U358" i="2"/>
  <c r="K358" i="2"/>
  <c r="E358" i="2"/>
  <c r="B358" i="2"/>
  <c r="U357" i="2"/>
  <c r="K357" i="2"/>
  <c r="E357" i="2"/>
  <c r="B357" i="2"/>
  <c r="U356" i="2"/>
  <c r="K356" i="2"/>
  <c r="E356" i="2"/>
  <c r="B356" i="2"/>
  <c r="U355" i="2"/>
  <c r="K355" i="2"/>
  <c r="E355" i="2"/>
  <c r="B355" i="2"/>
  <c r="U354" i="2"/>
  <c r="K354" i="2"/>
  <c r="E354" i="2"/>
  <c r="B354" i="2"/>
  <c r="U353" i="2"/>
  <c r="K353" i="2"/>
  <c r="E353" i="2"/>
  <c r="B353" i="2"/>
  <c r="U352" i="2"/>
  <c r="K352" i="2"/>
  <c r="E352" i="2"/>
  <c r="B352" i="2"/>
  <c r="U351" i="2"/>
  <c r="K351" i="2"/>
  <c r="E351" i="2"/>
  <c r="B351" i="2"/>
  <c r="U350" i="2"/>
  <c r="K350" i="2"/>
  <c r="E350" i="2"/>
  <c r="B350" i="2"/>
  <c r="U349" i="2"/>
  <c r="K349" i="2"/>
  <c r="E349" i="2"/>
  <c r="B349" i="2"/>
  <c r="U348" i="2"/>
  <c r="K348" i="2"/>
  <c r="E348" i="2"/>
  <c r="B348" i="2"/>
  <c r="U347" i="2"/>
  <c r="K347" i="2"/>
  <c r="E347" i="2"/>
  <c r="B347" i="2"/>
  <c r="U346" i="2"/>
  <c r="K346" i="2"/>
  <c r="E346" i="2"/>
  <c r="B346" i="2"/>
  <c r="U345" i="2"/>
  <c r="K345" i="2"/>
  <c r="E345" i="2"/>
  <c r="B345" i="2"/>
  <c r="U344" i="2"/>
  <c r="K344" i="2"/>
  <c r="E344" i="2"/>
  <c r="B344" i="2"/>
  <c r="U343" i="2"/>
  <c r="K343" i="2"/>
  <c r="E343" i="2"/>
  <c r="B343" i="2"/>
  <c r="U342" i="2"/>
  <c r="K342" i="2"/>
  <c r="E342" i="2"/>
  <c r="B342" i="2"/>
  <c r="U341" i="2"/>
  <c r="K341" i="2"/>
  <c r="E341" i="2"/>
  <c r="B341" i="2"/>
  <c r="U340" i="2"/>
  <c r="K340" i="2"/>
  <c r="E340" i="2"/>
  <c r="B340" i="2"/>
  <c r="U339" i="2"/>
  <c r="K339" i="2"/>
  <c r="E339" i="2"/>
  <c r="B339" i="2"/>
  <c r="U338" i="2"/>
  <c r="K338" i="2"/>
  <c r="E338" i="2"/>
  <c r="B338" i="2"/>
  <c r="U337" i="2"/>
  <c r="K337" i="2"/>
  <c r="E337" i="2"/>
  <c r="B337" i="2"/>
  <c r="U336" i="2"/>
  <c r="K336" i="2"/>
  <c r="E336" i="2"/>
  <c r="B336" i="2"/>
  <c r="U335" i="2"/>
  <c r="K335" i="2"/>
  <c r="E335" i="2"/>
  <c r="B335" i="2"/>
  <c r="U334" i="2"/>
  <c r="K334" i="2"/>
  <c r="E334" i="2"/>
  <c r="B334" i="2"/>
  <c r="U333" i="2"/>
  <c r="K333" i="2"/>
  <c r="E333" i="2"/>
  <c r="B333" i="2"/>
  <c r="K332" i="2"/>
  <c r="E332" i="2"/>
  <c r="B332" i="2"/>
  <c r="U331" i="2"/>
  <c r="K331" i="2"/>
  <c r="E331" i="2"/>
  <c r="B331" i="2"/>
  <c r="U330" i="2"/>
  <c r="K330" i="2"/>
  <c r="E330" i="2"/>
  <c r="B330" i="2"/>
  <c r="U329" i="2"/>
  <c r="K329" i="2"/>
  <c r="E329" i="2"/>
  <c r="B329" i="2"/>
  <c r="U328" i="2"/>
  <c r="K328" i="2"/>
  <c r="E328" i="2"/>
  <c r="B328" i="2"/>
  <c r="U327" i="2"/>
  <c r="K327" i="2"/>
  <c r="E327" i="2"/>
  <c r="B327" i="2"/>
  <c r="U326" i="2"/>
  <c r="K326" i="2"/>
  <c r="E326" i="2"/>
  <c r="B326" i="2"/>
  <c r="U325" i="2"/>
  <c r="K325" i="2"/>
  <c r="E325" i="2"/>
  <c r="B325" i="2"/>
  <c r="U324" i="2"/>
  <c r="K324" i="2"/>
  <c r="E324" i="2"/>
  <c r="B324" i="2"/>
  <c r="U323" i="2"/>
  <c r="K323" i="2"/>
  <c r="E323" i="2"/>
  <c r="B323" i="2"/>
  <c r="U322" i="2"/>
  <c r="K322" i="2"/>
  <c r="E322" i="2"/>
  <c r="B322" i="2"/>
  <c r="U321" i="2"/>
  <c r="K321" i="2"/>
  <c r="E321" i="2"/>
  <c r="B321" i="2"/>
  <c r="U320" i="2"/>
  <c r="K320" i="2"/>
  <c r="E320" i="2"/>
  <c r="B320" i="2"/>
  <c r="U319" i="2"/>
  <c r="K319" i="2"/>
  <c r="E319" i="2"/>
  <c r="B319" i="2"/>
  <c r="U318" i="2"/>
  <c r="K318" i="2"/>
  <c r="E318" i="2"/>
  <c r="B318" i="2"/>
  <c r="U317" i="2"/>
  <c r="K317" i="2"/>
  <c r="E317" i="2"/>
  <c r="B317" i="2"/>
  <c r="U316" i="2"/>
  <c r="K316" i="2"/>
  <c r="E316" i="2"/>
  <c r="B316" i="2"/>
  <c r="U315" i="2"/>
  <c r="K315" i="2"/>
  <c r="E315" i="2"/>
  <c r="B315" i="2"/>
  <c r="U314" i="2"/>
  <c r="K314" i="2"/>
  <c r="E314" i="2"/>
  <c r="B314" i="2"/>
  <c r="U313" i="2"/>
  <c r="K313" i="2"/>
  <c r="E313" i="2"/>
  <c r="B313" i="2"/>
  <c r="U312" i="2"/>
  <c r="K312" i="2"/>
  <c r="E312" i="2"/>
  <c r="B312" i="2"/>
  <c r="U311" i="2"/>
  <c r="K311" i="2"/>
  <c r="E311" i="2"/>
  <c r="B311" i="2"/>
  <c r="U310" i="2"/>
  <c r="K310" i="2"/>
  <c r="E310" i="2"/>
  <c r="B310" i="2"/>
  <c r="U309" i="2"/>
  <c r="K309" i="2"/>
  <c r="E309" i="2"/>
  <c r="B309" i="2"/>
  <c r="U308" i="2"/>
  <c r="K308" i="2"/>
  <c r="E308" i="2"/>
  <c r="B308" i="2"/>
  <c r="U307" i="2"/>
  <c r="K307" i="2"/>
  <c r="E307" i="2"/>
  <c r="B307" i="2"/>
  <c r="U306" i="2"/>
  <c r="K306" i="2"/>
  <c r="E306" i="2"/>
  <c r="B306" i="2"/>
  <c r="U305" i="2"/>
  <c r="K305" i="2"/>
  <c r="E305" i="2"/>
  <c r="B305" i="2"/>
  <c r="U304" i="2"/>
  <c r="K304" i="2"/>
  <c r="E304" i="2"/>
  <c r="B304" i="2"/>
  <c r="U303" i="2"/>
  <c r="K303" i="2"/>
  <c r="E303" i="2"/>
  <c r="B303" i="2"/>
  <c r="U302" i="2"/>
  <c r="K302" i="2"/>
  <c r="E302" i="2"/>
  <c r="B302" i="2"/>
  <c r="U301" i="2"/>
  <c r="K301" i="2"/>
  <c r="E301" i="2"/>
  <c r="B301" i="2"/>
  <c r="U300" i="2"/>
  <c r="K300" i="2"/>
  <c r="E300" i="2"/>
  <c r="B300" i="2"/>
  <c r="U299" i="2"/>
  <c r="K299" i="2"/>
  <c r="E299" i="2"/>
  <c r="B299" i="2"/>
  <c r="U298" i="2"/>
  <c r="K298" i="2"/>
  <c r="E298" i="2"/>
  <c r="B298" i="2"/>
  <c r="U297" i="2"/>
  <c r="K297" i="2"/>
  <c r="E297" i="2"/>
  <c r="B297" i="2"/>
  <c r="U296" i="2"/>
  <c r="K296" i="2"/>
  <c r="E296" i="2"/>
  <c r="B296" i="2"/>
  <c r="U295" i="2"/>
  <c r="K295" i="2"/>
  <c r="E295" i="2"/>
  <c r="B295" i="2"/>
  <c r="U294" i="2"/>
  <c r="K294" i="2"/>
  <c r="E294" i="2"/>
  <c r="B294" i="2"/>
  <c r="U293" i="2"/>
  <c r="K293" i="2"/>
  <c r="E293" i="2"/>
  <c r="B293" i="2"/>
  <c r="U292" i="2"/>
  <c r="K292" i="2"/>
  <c r="E292" i="2"/>
  <c r="B292" i="2"/>
  <c r="U291" i="2"/>
  <c r="K291" i="2"/>
  <c r="E291" i="2"/>
  <c r="B291" i="2"/>
  <c r="U290" i="2"/>
  <c r="K290" i="2"/>
  <c r="E290" i="2"/>
  <c r="B290" i="2"/>
  <c r="U289" i="2"/>
  <c r="K289" i="2"/>
  <c r="E289" i="2"/>
  <c r="B289" i="2"/>
  <c r="U288" i="2"/>
  <c r="K288" i="2"/>
  <c r="E288" i="2"/>
  <c r="B288" i="2"/>
  <c r="U287" i="2"/>
  <c r="K287" i="2"/>
  <c r="E287" i="2"/>
  <c r="B287" i="2"/>
  <c r="U286" i="2"/>
  <c r="K286" i="2"/>
  <c r="E286" i="2"/>
  <c r="B286" i="2"/>
  <c r="U285" i="2"/>
  <c r="K285" i="2"/>
  <c r="E285" i="2"/>
  <c r="B285" i="2"/>
  <c r="U284" i="2"/>
  <c r="K284" i="2"/>
  <c r="E284" i="2"/>
  <c r="B284" i="2"/>
  <c r="U283" i="2"/>
  <c r="K283" i="2"/>
  <c r="E283" i="2"/>
  <c r="B283" i="2"/>
  <c r="U282" i="2"/>
  <c r="K282" i="2"/>
  <c r="E282" i="2"/>
  <c r="B282" i="2"/>
  <c r="U281" i="2"/>
  <c r="K281" i="2"/>
  <c r="E281" i="2"/>
  <c r="B281" i="2"/>
  <c r="U280" i="2"/>
  <c r="K280" i="2"/>
  <c r="E280" i="2"/>
  <c r="B280" i="2"/>
  <c r="U279" i="2"/>
  <c r="K279" i="2"/>
  <c r="E279" i="2"/>
  <c r="B279" i="2"/>
  <c r="U278" i="2"/>
  <c r="K278" i="2"/>
  <c r="E278" i="2"/>
  <c r="B278" i="2"/>
  <c r="U277" i="2"/>
  <c r="K277" i="2"/>
  <c r="E277" i="2"/>
  <c r="B277" i="2"/>
  <c r="U276" i="2"/>
  <c r="K276" i="2"/>
  <c r="E276" i="2"/>
  <c r="B276" i="2"/>
  <c r="U275" i="2"/>
  <c r="K275" i="2"/>
  <c r="E275" i="2"/>
  <c r="B275" i="2"/>
  <c r="U274" i="2"/>
  <c r="K274" i="2"/>
  <c r="E274" i="2"/>
  <c r="B274" i="2"/>
  <c r="U273" i="2"/>
  <c r="K273" i="2"/>
  <c r="E273" i="2"/>
  <c r="B273" i="2"/>
  <c r="U272" i="2"/>
  <c r="K272" i="2"/>
  <c r="E272" i="2"/>
  <c r="B272" i="2"/>
  <c r="U271" i="2"/>
  <c r="K271" i="2"/>
  <c r="E271" i="2"/>
  <c r="B271" i="2"/>
  <c r="U270" i="2"/>
  <c r="K270" i="2"/>
  <c r="E270" i="2"/>
  <c r="B270" i="2"/>
  <c r="U269" i="2"/>
  <c r="K269" i="2"/>
  <c r="E269" i="2"/>
  <c r="B269" i="2"/>
  <c r="U268" i="2"/>
  <c r="K268" i="2"/>
  <c r="E268" i="2"/>
  <c r="B268" i="2"/>
  <c r="U267" i="2"/>
  <c r="K267" i="2"/>
  <c r="E267" i="2"/>
  <c r="B267" i="2"/>
  <c r="U266" i="2"/>
  <c r="K266" i="2"/>
  <c r="E266" i="2"/>
  <c r="B266" i="2"/>
  <c r="U265" i="2"/>
  <c r="K265" i="2"/>
  <c r="E265" i="2"/>
  <c r="B265" i="2"/>
  <c r="U264" i="2"/>
  <c r="K264" i="2"/>
  <c r="E264" i="2"/>
  <c r="B264" i="2"/>
  <c r="U263" i="2"/>
  <c r="K263" i="2"/>
  <c r="E263" i="2"/>
  <c r="B263" i="2"/>
  <c r="U262" i="2"/>
  <c r="K262" i="2"/>
  <c r="E262" i="2"/>
  <c r="B262" i="2"/>
  <c r="U261" i="2"/>
  <c r="K261" i="2"/>
  <c r="E261" i="2"/>
  <c r="B261" i="2"/>
  <c r="U260" i="2"/>
  <c r="K260" i="2"/>
  <c r="E260" i="2"/>
  <c r="B260" i="2"/>
  <c r="U259" i="2"/>
  <c r="K259" i="2"/>
  <c r="E259" i="2"/>
  <c r="B259" i="2"/>
  <c r="U258" i="2"/>
  <c r="K258" i="2"/>
  <c r="E258" i="2"/>
  <c r="B258" i="2"/>
  <c r="U257" i="2"/>
  <c r="K257" i="2"/>
  <c r="E257" i="2"/>
  <c r="B257" i="2"/>
  <c r="U256" i="2"/>
  <c r="K256" i="2"/>
  <c r="E256" i="2"/>
  <c r="B256" i="2"/>
  <c r="U255" i="2"/>
  <c r="K255" i="2"/>
  <c r="E255" i="2"/>
  <c r="B255" i="2"/>
  <c r="U254" i="2"/>
  <c r="K254" i="2"/>
  <c r="E254" i="2"/>
  <c r="B254" i="2"/>
  <c r="U253" i="2"/>
  <c r="K253" i="2"/>
  <c r="E253" i="2"/>
  <c r="B253" i="2"/>
  <c r="U252" i="2"/>
  <c r="K252" i="2"/>
  <c r="E252" i="2"/>
  <c r="B252" i="2"/>
  <c r="U251" i="2"/>
  <c r="K251" i="2"/>
  <c r="E251" i="2"/>
  <c r="B251" i="2"/>
  <c r="U250" i="2"/>
  <c r="K250" i="2"/>
  <c r="E250" i="2"/>
  <c r="B250" i="2"/>
  <c r="U249" i="2"/>
  <c r="K249" i="2"/>
  <c r="E249" i="2"/>
  <c r="B249" i="2"/>
  <c r="U248" i="2"/>
  <c r="K248" i="2"/>
  <c r="E248" i="2"/>
  <c r="B248" i="2"/>
  <c r="U247" i="2"/>
  <c r="K247" i="2"/>
  <c r="E247" i="2"/>
  <c r="B247" i="2"/>
  <c r="U246" i="2"/>
  <c r="K246" i="2"/>
  <c r="E246" i="2"/>
  <c r="B246" i="2"/>
  <c r="U245" i="2"/>
  <c r="K245" i="2"/>
  <c r="E245" i="2"/>
  <c r="B245" i="2"/>
  <c r="U244" i="2"/>
  <c r="K244" i="2"/>
  <c r="E244" i="2"/>
  <c r="B244" i="2"/>
  <c r="U243" i="2"/>
  <c r="K243" i="2"/>
  <c r="E243" i="2"/>
  <c r="B243" i="2"/>
  <c r="U242" i="2"/>
  <c r="K242" i="2"/>
  <c r="E242" i="2"/>
  <c r="B242" i="2"/>
  <c r="U241" i="2"/>
  <c r="K241" i="2"/>
  <c r="E241" i="2"/>
  <c r="B241" i="2"/>
  <c r="U240" i="2"/>
  <c r="K240" i="2"/>
  <c r="E240" i="2"/>
  <c r="B240" i="2"/>
  <c r="U239" i="2"/>
  <c r="K239" i="2"/>
  <c r="E239" i="2"/>
  <c r="B239" i="2"/>
  <c r="U238" i="2"/>
  <c r="K238" i="2"/>
  <c r="E238" i="2"/>
  <c r="B238" i="2"/>
  <c r="U237" i="2"/>
  <c r="K237" i="2"/>
  <c r="E237" i="2"/>
  <c r="B237" i="2"/>
  <c r="U236" i="2"/>
  <c r="K236" i="2"/>
  <c r="E236" i="2"/>
  <c r="B236" i="2"/>
  <c r="U235" i="2"/>
  <c r="K235" i="2"/>
  <c r="E235" i="2"/>
  <c r="B235" i="2"/>
  <c r="U234" i="2"/>
  <c r="K234" i="2"/>
  <c r="E234" i="2"/>
  <c r="B234" i="2"/>
  <c r="U233" i="2"/>
  <c r="K233" i="2"/>
  <c r="E233" i="2"/>
  <c r="B233" i="2"/>
  <c r="U232" i="2"/>
  <c r="K232" i="2"/>
  <c r="E232" i="2"/>
  <c r="B232" i="2"/>
  <c r="U231" i="2"/>
  <c r="K231" i="2"/>
  <c r="E231" i="2"/>
  <c r="B231" i="2"/>
  <c r="U230" i="2"/>
  <c r="K230" i="2"/>
  <c r="E230" i="2"/>
  <c r="B230" i="2"/>
  <c r="U229" i="2"/>
  <c r="K229" i="2"/>
  <c r="E229" i="2"/>
  <c r="B229" i="2"/>
  <c r="U228" i="2"/>
  <c r="K228" i="2"/>
  <c r="E228" i="2"/>
  <c r="B228" i="2"/>
  <c r="U227" i="2"/>
  <c r="K227" i="2"/>
  <c r="E227" i="2"/>
  <c r="B227" i="2"/>
  <c r="U226" i="2"/>
  <c r="K226" i="2"/>
  <c r="E226" i="2"/>
  <c r="B226" i="2"/>
  <c r="U225" i="2"/>
  <c r="K225" i="2"/>
  <c r="E225" i="2"/>
  <c r="B225" i="2"/>
  <c r="U224" i="2"/>
  <c r="K224" i="2"/>
  <c r="E224" i="2"/>
  <c r="B224" i="2"/>
  <c r="U223" i="2"/>
  <c r="K223" i="2"/>
  <c r="E223" i="2"/>
  <c r="B223" i="2"/>
  <c r="U222" i="2"/>
  <c r="K222" i="2"/>
  <c r="E222" i="2"/>
  <c r="B222" i="2"/>
  <c r="U221" i="2"/>
  <c r="K221" i="2"/>
  <c r="E221" i="2"/>
  <c r="B221" i="2"/>
  <c r="U220" i="2"/>
  <c r="K220" i="2"/>
  <c r="E220" i="2"/>
  <c r="B220" i="2"/>
  <c r="U219" i="2"/>
  <c r="K219" i="2"/>
  <c r="E219" i="2"/>
  <c r="B219" i="2"/>
  <c r="U218" i="2"/>
  <c r="K218" i="2"/>
  <c r="E218" i="2"/>
  <c r="B218" i="2"/>
  <c r="U217" i="2"/>
  <c r="K217" i="2"/>
  <c r="E217" i="2"/>
  <c r="B217" i="2"/>
  <c r="U216" i="2"/>
  <c r="K216" i="2"/>
  <c r="E216" i="2"/>
  <c r="B216" i="2"/>
  <c r="U215" i="2"/>
  <c r="K215" i="2"/>
  <c r="E215" i="2"/>
  <c r="B215" i="2"/>
  <c r="U214" i="2"/>
  <c r="K214" i="2"/>
  <c r="E214" i="2"/>
  <c r="B214" i="2"/>
  <c r="U213" i="2"/>
  <c r="K213" i="2"/>
  <c r="E213" i="2"/>
  <c r="B213" i="2"/>
  <c r="U212" i="2"/>
  <c r="K212" i="2"/>
  <c r="E212" i="2"/>
  <c r="B212" i="2"/>
  <c r="U211" i="2"/>
  <c r="K211" i="2"/>
  <c r="E211" i="2"/>
  <c r="B211" i="2"/>
  <c r="U210" i="2"/>
  <c r="K210" i="2"/>
  <c r="E210" i="2"/>
  <c r="B210" i="2"/>
  <c r="U209" i="2"/>
  <c r="K209" i="2"/>
  <c r="E209" i="2"/>
  <c r="B209" i="2"/>
  <c r="U208" i="2"/>
  <c r="K208" i="2"/>
  <c r="E208" i="2"/>
  <c r="B208" i="2"/>
  <c r="U207" i="2"/>
  <c r="K207" i="2"/>
  <c r="E207" i="2"/>
  <c r="B207" i="2"/>
  <c r="U206" i="2"/>
  <c r="K206" i="2"/>
  <c r="E206" i="2"/>
  <c r="B206" i="2"/>
  <c r="U205" i="2"/>
  <c r="K205" i="2"/>
  <c r="E205" i="2"/>
  <c r="B205" i="2"/>
  <c r="U204" i="2"/>
  <c r="K204" i="2"/>
  <c r="E204" i="2"/>
  <c r="B204" i="2"/>
  <c r="U203" i="2"/>
  <c r="K203" i="2"/>
  <c r="E203" i="2"/>
  <c r="B203" i="2"/>
  <c r="U202" i="2"/>
  <c r="K202" i="2"/>
  <c r="E202" i="2"/>
  <c r="B202" i="2"/>
  <c r="U201" i="2"/>
  <c r="K201" i="2"/>
  <c r="E201" i="2"/>
  <c r="B201" i="2"/>
  <c r="U200" i="2"/>
  <c r="K200" i="2"/>
  <c r="E200" i="2"/>
  <c r="B200" i="2"/>
  <c r="U199" i="2"/>
  <c r="K199" i="2"/>
  <c r="E199" i="2"/>
  <c r="B199" i="2"/>
  <c r="U198" i="2"/>
  <c r="K198" i="2"/>
  <c r="E198" i="2"/>
  <c r="B198" i="2"/>
  <c r="U197" i="2"/>
  <c r="K197" i="2"/>
  <c r="E197" i="2"/>
  <c r="B197" i="2"/>
  <c r="U196" i="2"/>
  <c r="K196" i="2"/>
  <c r="E196" i="2"/>
  <c r="B196" i="2"/>
  <c r="U195" i="2"/>
  <c r="K195" i="2"/>
  <c r="E195" i="2"/>
  <c r="B195" i="2"/>
  <c r="U194" i="2"/>
  <c r="K194" i="2"/>
  <c r="E194" i="2"/>
  <c r="B194" i="2"/>
  <c r="U193" i="2"/>
  <c r="K193" i="2"/>
  <c r="E193" i="2"/>
  <c r="B193" i="2"/>
  <c r="U192" i="2"/>
  <c r="K192" i="2"/>
  <c r="E192" i="2"/>
  <c r="B192" i="2"/>
  <c r="U191" i="2"/>
  <c r="K191" i="2"/>
  <c r="E191" i="2"/>
  <c r="B191" i="2"/>
  <c r="U190" i="2"/>
  <c r="K190" i="2"/>
  <c r="E190" i="2"/>
  <c r="B190" i="2"/>
  <c r="U189" i="2"/>
  <c r="K189" i="2"/>
  <c r="E189" i="2"/>
  <c r="B189" i="2"/>
  <c r="U188" i="2"/>
  <c r="K188" i="2"/>
  <c r="E188" i="2"/>
  <c r="B188" i="2"/>
  <c r="U187" i="2"/>
  <c r="K187" i="2"/>
  <c r="E187" i="2"/>
  <c r="B187" i="2"/>
  <c r="U186" i="2"/>
  <c r="K186" i="2"/>
  <c r="E186" i="2"/>
  <c r="B186" i="2"/>
  <c r="U185" i="2"/>
  <c r="K185" i="2"/>
  <c r="E185" i="2"/>
  <c r="B185" i="2"/>
  <c r="U184" i="2"/>
  <c r="K184" i="2"/>
  <c r="E184" i="2"/>
  <c r="B184" i="2"/>
  <c r="U183" i="2"/>
  <c r="K183" i="2"/>
  <c r="E183" i="2"/>
  <c r="B183" i="2"/>
  <c r="U182" i="2"/>
  <c r="K182" i="2"/>
  <c r="E182" i="2"/>
  <c r="B182" i="2"/>
  <c r="U181" i="2"/>
  <c r="K181" i="2"/>
  <c r="E181" i="2"/>
  <c r="B181" i="2"/>
  <c r="U180" i="2"/>
  <c r="K180" i="2"/>
  <c r="E180" i="2"/>
  <c r="B180" i="2"/>
  <c r="U179" i="2"/>
  <c r="K179" i="2"/>
  <c r="E179" i="2"/>
  <c r="B179" i="2"/>
  <c r="U178" i="2"/>
  <c r="K178" i="2"/>
  <c r="E178" i="2"/>
  <c r="B178" i="2"/>
  <c r="U177" i="2"/>
  <c r="K177" i="2"/>
  <c r="E177" i="2"/>
  <c r="B177" i="2"/>
  <c r="U176" i="2"/>
  <c r="K176" i="2"/>
  <c r="E176" i="2"/>
  <c r="B176" i="2"/>
  <c r="U175" i="2"/>
  <c r="K175" i="2"/>
  <c r="E175" i="2"/>
  <c r="B175" i="2"/>
  <c r="U174" i="2"/>
  <c r="K174" i="2"/>
  <c r="E174" i="2"/>
  <c r="B174" i="2"/>
  <c r="U173" i="2"/>
  <c r="K173" i="2"/>
  <c r="E173" i="2"/>
  <c r="B173" i="2"/>
  <c r="U172" i="2"/>
  <c r="K172" i="2"/>
  <c r="E172" i="2"/>
  <c r="B172" i="2"/>
  <c r="U171" i="2"/>
  <c r="K171" i="2"/>
  <c r="E171" i="2"/>
  <c r="B171" i="2"/>
  <c r="U170" i="2"/>
  <c r="K170" i="2"/>
  <c r="E170" i="2"/>
  <c r="B170" i="2"/>
  <c r="U169" i="2"/>
  <c r="K169" i="2"/>
  <c r="E169" i="2"/>
  <c r="B169" i="2"/>
  <c r="U168" i="2"/>
  <c r="K168" i="2"/>
  <c r="E168" i="2"/>
  <c r="B168" i="2"/>
  <c r="U167" i="2"/>
  <c r="K167" i="2"/>
  <c r="E167" i="2"/>
  <c r="B167" i="2"/>
  <c r="U166" i="2"/>
  <c r="K166" i="2"/>
  <c r="E166" i="2"/>
  <c r="B166" i="2"/>
  <c r="U165" i="2"/>
  <c r="K165" i="2"/>
  <c r="E165" i="2"/>
  <c r="B165" i="2"/>
  <c r="U164" i="2"/>
  <c r="K164" i="2"/>
  <c r="E164" i="2"/>
  <c r="B164" i="2"/>
  <c r="U163" i="2"/>
  <c r="K163" i="2"/>
  <c r="E163" i="2"/>
  <c r="B163" i="2"/>
  <c r="U162" i="2"/>
  <c r="K162" i="2"/>
  <c r="E162" i="2"/>
  <c r="B162" i="2"/>
  <c r="U161" i="2"/>
  <c r="K161" i="2"/>
  <c r="E161" i="2"/>
  <c r="B161" i="2"/>
  <c r="U160" i="2"/>
  <c r="K160" i="2"/>
  <c r="E160" i="2"/>
  <c r="B160" i="2"/>
  <c r="U159" i="2"/>
  <c r="K159" i="2"/>
  <c r="E159" i="2"/>
  <c r="B159" i="2"/>
  <c r="U158" i="2"/>
  <c r="K158" i="2"/>
  <c r="E158" i="2"/>
  <c r="B158" i="2"/>
  <c r="U157" i="2"/>
  <c r="K157" i="2"/>
  <c r="E157" i="2"/>
  <c r="B157" i="2"/>
  <c r="U156" i="2"/>
  <c r="K156" i="2"/>
  <c r="E156" i="2"/>
  <c r="B156" i="2"/>
  <c r="U155" i="2"/>
  <c r="K155" i="2"/>
  <c r="E155" i="2"/>
  <c r="B155" i="2"/>
  <c r="U154" i="2"/>
  <c r="K154" i="2"/>
  <c r="E154" i="2"/>
  <c r="B154" i="2"/>
  <c r="U153" i="2"/>
  <c r="K153" i="2"/>
  <c r="E153" i="2"/>
  <c r="B153" i="2"/>
  <c r="U152" i="2"/>
  <c r="K152" i="2"/>
  <c r="E152" i="2"/>
  <c r="B152" i="2"/>
  <c r="U151" i="2"/>
  <c r="K151" i="2"/>
  <c r="E151" i="2"/>
  <c r="B151" i="2"/>
  <c r="U150" i="2"/>
  <c r="K150" i="2"/>
  <c r="E150" i="2"/>
  <c r="B150" i="2"/>
  <c r="U149" i="2"/>
  <c r="K149" i="2"/>
  <c r="E149" i="2"/>
  <c r="B149" i="2"/>
  <c r="U148" i="2"/>
  <c r="K148" i="2"/>
  <c r="E148" i="2"/>
  <c r="B148" i="2"/>
  <c r="U147" i="2"/>
  <c r="K147" i="2"/>
  <c r="E147" i="2"/>
  <c r="B147" i="2"/>
  <c r="U146" i="2"/>
  <c r="K146" i="2"/>
  <c r="E146" i="2"/>
  <c r="B146" i="2"/>
  <c r="U145" i="2"/>
  <c r="K145" i="2"/>
  <c r="E145" i="2"/>
  <c r="B145" i="2"/>
  <c r="U144" i="2"/>
  <c r="K144" i="2"/>
  <c r="E144" i="2"/>
  <c r="B144" i="2"/>
  <c r="U143" i="2"/>
  <c r="K143" i="2"/>
  <c r="E143" i="2"/>
  <c r="B143" i="2"/>
  <c r="U142" i="2"/>
  <c r="K142" i="2"/>
  <c r="E142" i="2"/>
  <c r="B142" i="2"/>
  <c r="U141" i="2"/>
  <c r="K141" i="2"/>
  <c r="E141" i="2"/>
  <c r="B141" i="2"/>
  <c r="U140" i="2"/>
  <c r="K140" i="2"/>
  <c r="E140" i="2"/>
  <c r="B140" i="2"/>
  <c r="U139" i="2"/>
  <c r="K139" i="2"/>
  <c r="E139" i="2"/>
  <c r="B139" i="2"/>
  <c r="U138" i="2"/>
  <c r="K138" i="2"/>
  <c r="E138" i="2"/>
  <c r="B138" i="2"/>
  <c r="U137" i="2"/>
  <c r="K137" i="2"/>
  <c r="E137" i="2"/>
  <c r="B137" i="2"/>
  <c r="U136" i="2"/>
  <c r="K136" i="2"/>
  <c r="E136" i="2"/>
  <c r="B136" i="2"/>
  <c r="U135" i="2"/>
  <c r="K135" i="2"/>
  <c r="E135" i="2"/>
  <c r="B135" i="2"/>
  <c r="U134" i="2"/>
  <c r="K134" i="2"/>
  <c r="E134" i="2"/>
  <c r="B134" i="2"/>
  <c r="U133" i="2"/>
  <c r="K133" i="2"/>
  <c r="E133" i="2"/>
  <c r="B133" i="2"/>
  <c r="U132" i="2"/>
  <c r="K132" i="2"/>
  <c r="E132" i="2"/>
  <c r="B132" i="2"/>
  <c r="U131" i="2"/>
  <c r="K131" i="2"/>
  <c r="E131" i="2"/>
  <c r="B131" i="2"/>
  <c r="U130" i="2"/>
  <c r="K130" i="2"/>
  <c r="E130" i="2"/>
  <c r="B130" i="2"/>
  <c r="U129" i="2"/>
  <c r="K129" i="2"/>
  <c r="E129" i="2"/>
  <c r="B129" i="2"/>
  <c r="U128" i="2"/>
  <c r="K128" i="2"/>
  <c r="E128" i="2"/>
  <c r="B128" i="2"/>
  <c r="U127" i="2"/>
  <c r="K127" i="2"/>
  <c r="E127" i="2"/>
  <c r="B127" i="2"/>
  <c r="U126" i="2"/>
  <c r="K126" i="2"/>
  <c r="E126" i="2"/>
  <c r="B126" i="2"/>
  <c r="U125" i="2"/>
  <c r="K125" i="2"/>
  <c r="E125" i="2"/>
  <c r="B125" i="2"/>
  <c r="U124" i="2"/>
  <c r="K124" i="2"/>
  <c r="E124" i="2"/>
  <c r="B124" i="2"/>
  <c r="U123" i="2"/>
  <c r="K123" i="2"/>
  <c r="E123" i="2"/>
  <c r="B123" i="2"/>
  <c r="U122" i="2"/>
  <c r="K122" i="2"/>
  <c r="E122" i="2"/>
  <c r="B122" i="2"/>
  <c r="U121" i="2"/>
  <c r="K121" i="2"/>
  <c r="E121" i="2"/>
  <c r="B121" i="2"/>
  <c r="U120" i="2"/>
  <c r="K120" i="2"/>
  <c r="E120" i="2"/>
  <c r="B120" i="2"/>
  <c r="U119" i="2"/>
  <c r="K119" i="2"/>
  <c r="E119" i="2"/>
  <c r="B119" i="2"/>
  <c r="U118" i="2"/>
  <c r="K118" i="2"/>
  <c r="E118" i="2"/>
  <c r="B118" i="2"/>
  <c r="U117" i="2"/>
  <c r="K117" i="2"/>
  <c r="E117" i="2"/>
  <c r="B117" i="2"/>
  <c r="U116" i="2"/>
  <c r="K116" i="2"/>
  <c r="E116" i="2"/>
  <c r="B116" i="2"/>
  <c r="U115" i="2"/>
  <c r="K115" i="2"/>
  <c r="E115" i="2"/>
  <c r="B115" i="2"/>
  <c r="U114" i="2"/>
  <c r="K114" i="2"/>
  <c r="E114" i="2"/>
  <c r="B114" i="2"/>
  <c r="U113" i="2"/>
  <c r="K113" i="2"/>
  <c r="E113" i="2"/>
  <c r="B113" i="2"/>
  <c r="U112" i="2"/>
  <c r="K112" i="2"/>
  <c r="E112" i="2"/>
  <c r="B112" i="2"/>
  <c r="U111" i="2"/>
  <c r="K111" i="2"/>
  <c r="E111" i="2"/>
  <c r="B111" i="2"/>
  <c r="U110" i="2"/>
  <c r="K110" i="2"/>
  <c r="E110" i="2"/>
  <c r="B110" i="2"/>
  <c r="U109" i="2"/>
  <c r="K109" i="2"/>
  <c r="E109" i="2"/>
  <c r="B109" i="2"/>
  <c r="U108" i="2"/>
  <c r="K108" i="2"/>
  <c r="E108" i="2"/>
  <c r="B108" i="2"/>
  <c r="U107" i="2"/>
  <c r="K107" i="2"/>
  <c r="E107" i="2"/>
  <c r="B107" i="2"/>
  <c r="U106" i="2"/>
  <c r="K106" i="2"/>
  <c r="E106" i="2"/>
  <c r="B106" i="2"/>
  <c r="U105" i="2"/>
  <c r="K105" i="2"/>
  <c r="E105" i="2"/>
  <c r="B105" i="2"/>
  <c r="U104" i="2"/>
  <c r="K104" i="2"/>
  <c r="E104" i="2"/>
  <c r="B104" i="2"/>
  <c r="U103" i="2"/>
  <c r="K103" i="2"/>
  <c r="E103" i="2"/>
  <c r="B103" i="2"/>
  <c r="U102" i="2"/>
  <c r="K102" i="2"/>
  <c r="E102" i="2"/>
  <c r="B102" i="2"/>
  <c r="U101" i="2"/>
  <c r="K101" i="2"/>
  <c r="E101" i="2"/>
  <c r="B101" i="2"/>
  <c r="U100" i="2"/>
  <c r="K100" i="2"/>
  <c r="E100" i="2"/>
  <c r="B100" i="2"/>
  <c r="U99" i="2"/>
  <c r="K99" i="2"/>
  <c r="E99" i="2"/>
  <c r="B99" i="2"/>
  <c r="U98" i="2"/>
  <c r="K98" i="2"/>
  <c r="E98" i="2"/>
  <c r="B98" i="2"/>
  <c r="U97" i="2"/>
  <c r="K97" i="2"/>
  <c r="E97" i="2"/>
  <c r="B97" i="2"/>
  <c r="U96" i="2"/>
  <c r="K96" i="2"/>
  <c r="E96" i="2"/>
  <c r="B96" i="2"/>
  <c r="U95" i="2"/>
  <c r="K95" i="2"/>
  <c r="E95" i="2"/>
  <c r="B95" i="2"/>
  <c r="U94" i="2"/>
  <c r="K94" i="2"/>
  <c r="E94" i="2"/>
  <c r="B94" i="2"/>
  <c r="U93" i="2"/>
  <c r="K93" i="2"/>
  <c r="E93" i="2"/>
  <c r="B93" i="2"/>
  <c r="U92" i="2"/>
  <c r="K92" i="2"/>
  <c r="E92" i="2"/>
  <c r="B92" i="2"/>
  <c r="U91" i="2"/>
  <c r="K91" i="2"/>
  <c r="E91" i="2"/>
  <c r="B91" i="2"/>
  <c r="U90" i="2"/>
  <c r="K90" i="2"/>
  <c r="E90" i="2"/>
  <c r="B90" i="2"/>
  <c r="U89" i="2"/>
  <c r="K89" i="2"/>
  <c r="E89" i="2"/>
  <c r="B89" i="2"/>
  <c r="K88" i="2"/>
  <c r="E88" i="2"/>
  <c r="B88" i="2"/>
  <c r="U87" i="2"/>
  <c r="K87" i="2"/>
  <c r="E87" i="2"/>
  <c r="B87" i="2"/>
  <c r="U86" i="2"/>
  <c r="K86" i="2"/>
  <c r="E86" i="2"/>
  <c r="B86" i="2"/>
  <c r="U85" i="2"/>
  <c r="K85" i="2"/>
  <c r="E85" i="2"/>
  <c r="B85" i="2"/>
  <c r="U84" i="2"/>
  <c r="K84" i="2"/>
  <c r="E84" i="2"/>
  <c r="B84" i="2"/>
  <c r="U83" i="2"/>
  <c r="K83" i="2"/>
  <c r="E83" i="2"/>
  <c r="B83" i="2"/>
  <c r="U82" i="2"/>
  <c r="K82" i="2"/>
  <c r="E82" i="2"/>
  <c r="B82" i="2"/>
  <c r="U81" i="2"/>
  <c r="K81" i="2"/>
  <c r="E81" i="2"/>
  <c r="B81" i="2"/>
  <c r="U80" i="2"/>
  <c r="K80" i="2"/>
  <c r="E80" i="2"/>
  <c r="B80" i="2"/>
  <c r="U79" i="2"/>
  <c r="K79" i="2"/>
  <c r="E79" i="2"/>
  <c r="B79" i="2"/>
  <c r="U78" i="2"/>
  <c r="K78" i="2"/>
  <c r="E78" i="2"/>
  <c r="B78" i="2"/>
  <c r="U77" i="2"/>
  <c r="K77" i="2"/>
  <c r="E77" i="2"/>
  <c r="B77" i="2"/>
  <c r="U76" i="2"/>
  <c r="K76" i="2"/>
  <c r="E76" i="2"/>
  <c r="B76" i="2"/>
  <c r="U75" i="2"/>
  <c r="K75" i="2"/>
  <c r="E75" i="2"/>
  <c r="B75" i="2"/>
  <c r="U74" i="2"/>
  <c r="K74" i="2"/>
  <c r="E74" i="2"/>
  <c r="B74" i="2"/>
  <c r="U73" i="2"/>
  <c r="K73" i="2"/>
  <c r="E73" i="2"/>
  <c r="B73" i="2"/>
  <c r="U72" i="2"/>
  <c r="K72" i="2"/>
  <c r="E72" i="2"/>
  <c r="B72" i="2"/>
  <c r="U71" i="2"/>
  <c r="K71" i="2"/>
  <c r="E71" i="2"/>
  <c r="B71" i="2"/>
  <c r="U70" i="2"/>
  <c r="K70" i="2"/>
  <c r="E70" i="2"/>
  <c r="B70" i="2"/>
  <c r="U69" i="2"/>
  <c r="K69" i="2"/>
  <c r="E69" i="2"/>
  <c r="B69" i="2"/>
  <c r="U68" i="2"/>
  <c r="K68" i="2"/>
  <c r="E68" i="2"/>
  <c r="B68" i="2"/>
  <c r="U67" i="2"/>
  <c r="K67" i="2"/>
  <c r="E67" i="2"/>
  <c r="B67" i="2"/>
  <c r="U66" i="2"/>
  <c r="K66" i="2"/>
  <c r="E66" i="2"/>
  <c r="B66" i="2"/>
  <c r="U65" i="2"/>
  <c r="K65" i="2"/>
  <c r="E65" i="2"/>
  <c r="B65" i="2"/>
  <c r="U64" i="2"/>
  <c r="K64" i="2"/>
  <c r="E64" i="2"/>
  <c r="B64" i="2"/>
  <c r="U63" i="2"/>
  <c r="K63" i="2"/>
  <c r="E63" i="2"/>
  <c r="B63" i="2"/>
  <c r="U62" i="2"/>
  <c r="K62" i="2"/>
  <c r="E62" i="2"/>
  <c r="B62" i="2"/>
  <c r="U61" i="2"/>
  <c r="K61" i="2"/>
  <c r="E61" i="2"/>
  <c r="B61" i="2"/>
  <c r="U60" i="2"/>
  <c r="K60" i="2"/>
  <c r="E60" i="2"/>
  <c r="B60" i="2"/>
  <c r="U59" i="2"/>
  <c r="K59" i="2"/>
  <c r="E59" i="2"/>
  <c r="B59" i="2"/>
  <c r="U58" i="2"/>
  <c r="K58" i="2"/>
  <c r="E58" i="2"/>
  <c r="B58" i="2"/>
  <c r="U57" i="2"/>
  <c r="K57" i="2"/>
  <c r="E57" i="2"/>
  <c r="B57" i="2"/>
  <c r="U56" i="2"/>
  <c r="K56" i="2"/>
  <c r="E56" i="2"/>
  <c r="B56" i="2"/>
  <c r="U55" i="2"/>
  <c r="K55" i="2"/>
  <c r="E55" i="2"/>
  <c r="B55" i="2"/>
  <c r="K54" i="2"/>
  <c r="E54" i="2"/>
  <c r="B54" i="2"/>
  <c r="U53" i="2"/>
  <c r="K53" i="2"/>
  <c r="E53" i="2"/>
  <c r="B53" i="2"/>
  <c r="U52" i="2"/>
  <c r="K52" i="2"/>
  <c r="E52" i="2"/>
  <c r="B52" i="2"/>
  <c r="U51" i="2"/>
  <c r="K51" i="2"/>
  <c r="E51" i="2"/>
  <c r="B51" i="2"/>
  <c r="U50" i="2"/>
  <c r="K50" i="2"/>
  <c r="E50" i="2"/>
  <c r="B50" i="2"/>
  <c r="U49" i="2"/>
  <c r="K49" i="2"/>
  <c r="E49" i="2"/>
  <c r="B49" i="2"/>
  <c r="U48" i="2"/>
  <c r="K48" i="2"/>
  <c r="E48" i="2"/>
  <c r="B48" i="2"/>
  <c r="U47" i="2"/>
  <c r="K47" i="2"/>
  <c r="E47" i="2"/>
  <c r="B47" i="2"/>
  <c r="U46" i="2"/>
  <c r="K46" i="2"/>
  <c r="E46" i="2"/>
  <c r="B46" i="2"/>
  <c r="U45" i="2"/>
  <c r="K45" i="2"/>
  <c r="E45" i="2"/>
  <c r="B45" i="2"/>
  <c r="U44" i="2"/>
  <c r="K44" i="2"/>
  <c r="E44" i="2"/>
  <c r="B44" i="2"/>
  <c r="U43" i="2"/>
  <c r="K43" i="2"/>
  <c r="E43" i="2"/>
  <c r="B43" i="2"/>
  <c r="U42" i="2"/>
  <c r="K42" i="2"/>
  <c r="E42" i="2"/>
  <c r="B42" i="2"/>
  <c r="U41" i="2"/>
  <c r="K41" i="2"/>
  <c r="E41" i="2"/>
  <c r="B41" i="2"/>
  <c r="U40" i="2"/>
  <c r="K40" i="2"/>
  <c r="E40" i="2"/>
  <c r="B40" i="2"/>
  <c r="U39" i="2"/>
  <c r="K39" i="2"/>
  <c r="E39" i="2"/>
  <c r="B39" i="2"/>
  <c r="U38" i="2"/>
  <c r="K38" i="2"/>
  <c r="E38" i="2"/>
  <c r="B38" i="2"/>
  <c r="U37" i="2"/>
  <c r="K37" i="2"/>
  <c r="E37" i="2"/>
  <c r="B37" i="2"/>
  <c r="U36" i="2"/>
  <c r="K36" i="2"/>
  <c r="E36" i="2"/>
  <c r="B36" i="2"/>
  <c r="U35" i="2"/>
  <c r="K35" i="2"/>
  <c r="E35" i="2"/>
  <c r="B35" i="2"/>
  <c r="U34" i="2"/>
  <c r="K34" i="2"/>
  <c r="E34" i="2"/>
  <c r="B34" i="2"/>
  <c r="U33" i="2"/>
  <c r="K33" i="2"/>
  <c r="E33" i="2"/>
  <c r="B33" i="2"/>
  <c r="U32" i="2"/>
  <c r="K32" i="2"/>
  <c r="E32" i="2"/>
  <c r="B32" i="2"/>
  <c r="U31" i="2"/>
  <c r="K31" i="2"/>
  <c r="E31" i="2"/>
  <c r="B31" i="2"/>
  <c r="U30" i="2"/>
  <c r="K30" i="2"/>
  <c r="E30" i="2"/>
  <c r="B30" i="2"/>
  <c r="U29" i="2"/>
  <c r="K29" i="2"/>
  <c r="E29" i="2"/>
  <c r="B29" i="2"/>
  <c r="U28" i="2"/>
  <c r="K28" i="2"/>
  <c r="E28" i="2"/>
  <c r="B28" i="2"/>
  <c r="U27" i="2"/>
  <c r="K27" i="2"/>
  <c r="E27" i="2"/>
  <c r="B27" i="2"/>
  <c r="U26" i="2"/>
  <c r="K26" i="2"/>
  <c r="E26" i="2"/>
  <c r="B26" i="2"/>
  <c r="U25" i="2"/>
  <c r="K25" i="2"/>
  <c r="E25" i="2"/>
  <c r="B25" i="2"/>
  <c r="U24" i="2"/>
  <c r="K24" i="2"/>
  <c r="E24" i="2"/>
  <c r="B24" i="2"/>
  <c r="U23" i="2"/>
  <c r="K23" i="2"/>
  <c r="E23" i="2"/>
  <c r="B23" i="2"/>
  <c r="U22" i="2"/>
  <c r="K22" i="2"/>
  <c r="E22" i="2"/>
  <c r="B22" i="2"/>
  <c r="U21" i="2"/>
  <c r="K21" i="2"/>
  <c r="E21" i="2"/>
  <c r="B21" i="2"/>
  <c r="U20" i="2"/>
  <c r="K20" i="2"/>
  <c r="E20" i="2"/>
  <c r="B20" i="2"/>
  <c r="U19" i="2"/>
  <c r="K19" i="2"/>
  <c r="E19" i="2"/>
  <c r="B19" i="2"/>
  <c r="U18" i="2"/>
  <c r="K18" i="2"/>
  <c r="E18" i="2"/>
  <c r="B18" i="2"/>
  <c r="U17" i="2"/>
  <c r="K17" i="2"/>
  <c r="E17" i="2"/>
  <c r="B17" i="2"/>
  <c r="U16" i="2"/>
  <c r="K16" i="2"/>
  <c r="E16" i="2"/>
  <c r="B16" i="2"/>
  <c r="U15" i="2"/>
  <c r="K15" i="2"/>
  <c r="E15" i="2"/>
  <c r="B15" i="2"/>
  <c r="U14" i="2"/>
  <c r="K14" i="2"/>
  <c r="E14" i="2"/>
  <c r="B14" i="2"/>
  <c r="U13" i="2"/>
  <c r="K13" i="2"/>
  <c r="E13" i="2"/>
  <c r="B13" i="2"/>
  <c r="U12" i="2"/>
  <c r="K12" i="2"/>
  <c r="E12" i="2"/>
  <c r="B12" i="2"/>
  <c r="U11" i="2"/>
  <c r="K11" i="2"/>
  <c r="E11" i="2"/>
  <c r="B11" i="2"/>
  <c r="U10" i="2"/>
  <c r="K10" i="2"/>
  <c r="E10" i="2"/>
  <c r="B10" i="2"/>
  <c r="U9" i="2"/>
  <c r="K9" i="2"/>
  <c r="E9" i="2"/>
  <c r="B9" i="2"/>
  <c r="U8" i="2"/>
  <c r="K8" i="2"/>
  <c r="E8" i="2"/>
  <c r="B8" i="2"/>
  <c r="U7" i="2"/>
  <c r="K7" i="2"/>
  <c r="E7" i="2"/>
  <c r="B7" i="2"/>
  <c r="U6" i="2"/>
  <c r="K6" i="2"/>
  <c r="E6" i="2"/>
  <c r="B6" i="2"/>
  <c r="U5" i="2"/>
  <c r="K5" i="2"/>
  <c r="E5" i="2"/>
  <c r="B5" i="2"/>
  <c r="U4" i="2"/>
  <c r="K4" i="2"/>
  <c r="E4" i="2"/>
  <c r="B4" i="2"/>
  <c r="U3" i="2"/>
  <c r="K3" i="2"/>
  <c r="E3" i="2"/>
  <c r="B3" i="2"/>
  <c r="U5690" i="1"/>
  <c r="K5690" i="1"/>
  <c r="E5690" i="1"/>
  <c r="B5690" i="1"/>
  <c r="U5689" i="1"/>
  <c r="K5689" i="1"/>
  <c r="E5689" i="1"/>
  <c r="B5689" i="1"/>
  <c r="U5688" i="1"/>
  <c r="K5688" i="1"/>
  <c r="E5688" i="1"/>
  <c r="B5688" i="1"/>
  <c r="U5687" i="1"/>
  <c r="K5687" i="1"/>
  <c r="E5687" i="1"/>
  <c r="B5687" i="1"/>
  <c r="U5686" i="1"/>
  <c r="K5686" i="1"/>
  <c r="E5686" i="1"/>
  <c r="B5686" i="1"/>
  <c r="U5685" i="1"/>
  <c r="K5685" i="1"/>
  <c r="E5685" i="1"/>
  <c r="B5685" i="1"/>
  <c r="U5684" i="1"/>
  <c r="K5684" i="1"/>
  <c r="E5684" i="1"/>
  <c r="B5684" i="1"/>
  <c r="U5683" i="1"/>
  <c r="K5683" i="1"/>
  <c r="E5683" i="1"/>
  <c r="B5683" i="1"/>
  <c r="U5682" i="1"/>
  <c r="K5682" i="1"/>
  <c r="E5682" i="1"/>
  <c r="B5682" i="1"/>
  <c r="U5681" i="1"/>
  <c r="K5681" i="1"/>
  <c r="E5681" i="1"/>
  <c r="B5681" i="1"/>
  <c r="U5680" i="1"/>
  <c r="K5680" i="1"/>
  <c r="E5680" i="1"/>
  <c r="B5680" i="1"/>
  <c r="U5679" i="1"/>
  <c r="K5679" i="1"/>
  <c r="E5679" i="1"/>
  <c r="B5679" i="1"/>
  <c r="U5678" i="1"/>
  <c r="K5678" i="1"/>
  <c r="E5678" i="1"/>
  <c r="B5678" i="1"/>
  <c r="U5677" i="1"/>
  <c r="K5677" i="1"/>
  <c r="E5677" i="1"/>
  <c r="B5677" i="1"/>
  <c r="U5676" i="1"/>
  <c r="K5676" i="1"/>
  <c r="E5676" i="1"/>
  <c r="B5676" i="1"/>
  <c r="U5675" i="1"/>
  <c r="K5675" i="1"/>
  <c r="E5675" i="1"/>
  <c r="B5675" i="1"/>
  <c r="U5674" i="1"/>
  <c r="K5674" i="1"/>
  <c r="E5674" i="1"/>
  <c r="B5674" i="1"/>
  <c r="U5673" i="1"/>
  <c r="K5673" i="1"/>
  <c r="E5673" i="1"/>
  <c r="B5673" i="1"/>
  <c r="U5672" i="1"/>
  <c r="K5672" i="1"/>
  <c r="E5672" i="1"/>
  <c r="B5672" i="1"/>
  <c r="U5671" i="1"/>
  <c r="K5671" i="1"/>
  <c r="E5671" i="1"/>
  <c r="B5671" i="1"/>
  <c r="U5670" i="1"/>
  <c r="K5670" i="1"/>
  <c r="E5670" i="1"/>
  <c r="B5670" i="1"/>
  <c r="U5669" i="1"/>
  <c r="K5669" i="1"/>
  <c r="E5669" i="1"/>
  <c r="B5669" i="1"/>
  <c r="U5668" i="1"/>
  <c r="K5668" i="1"/>
  <c r="E5668" i="1"/>
  <c r="B5668" i="1"/>
  <c r="U5667" i="1"/>
  <c r="K5667" i="1"/>
  <c r="E5667" i="1"/>
  <c r="B5667" i="1"/>
  <c r="U5666" i="1"/>
  <c r="K5666" i="1"/>
  <c r="E5666" i="1"/>
  <c r="B5666" i="1"/>
  <c r="U5665" i="1"/>
  <c r="K5665" i="1"/>
  <c r="E5665" i="1"/>
  <c r="B5665" i="1"/>
  <c r="U5664" i="1"/>
  <c r="K5664" i="1"/>
  <c r="E5664" i="1"/>
  <c r="B5664" i="1"/>
  <c r="U5663" i="1"/>
  <c r="K5663" i="1"/>
  <c r="E5663" i="1"/>
  <c r="B5663" i="1"/>
  <c r="U5662" i="1"/>
  <c r="K5662" i="1"/>
  <c r="E5662" i="1"/>
  <c r="B5662" i="1"/>
  <c r="U5661" i="1"/>
  <c r="K5661" i="1"/>
  <c r="E5661" i="1"/>
  <c r="B5661" i="1"/>
  <c r="U5660" i="1"/>
  <c r="K5660" i="1"/>
  <c r="E5660" i="1"/>
  <c r="B5660" i="1"/>
  <c r="U5659" i="1"/>
  <c r="K5659" i="1"/>
  <c r="E5659" i="1"/>
  <c r="B5659" i="1"/>
  <c r="U5658" i="1"/>
  <c r="K5658" i="1"/>
  <c r="E5658" i="1"/>
  <c r="B5658" i="1"/>
  <c r="U5657" i="1"/>
  <c r="K5657" i="1"/>
  <c r="E5657" i="1"/>
  <c r="B5657" i="1"/>
  <c r="U5656" i="1"/>
  <c r="K5656" i="1"/>
  <c r="E5656" i="1"/>
  <c r="B5656" i="1"/>
  <c r="U5655" i="1"/>
  <c r="K5655" i="1"/>
  <c r="E5655" i="1"/>
  <c r="B5655" i="1"/>
  <c r="U5654" i="1"/>
  <c r="K5654" i="1"/>
  <c r="E5654" i="1"/>
  <c r="B5654" i="1"/>
  <c r="U5653" i="1"/>
  <c r="K5653" i="1"/>
  <c r="E5653" i="1"/>
  <c r="B5653" i="1"/>
  <c r="U5652" i="1"/>
  <c r="K5652" i="1"/>
  <c r="E5652" i="1"/>
  <c r="B5652" i="1"/>
  <c r="U5651" i="1"/>
  <c r="K5651" i="1"/>
  <c r="E5651" i="1"/>
  <c r="B5651" i="1"/>
  <c r="U5650" i="1"/>
  <c r="K5650" i="1"/>
  <c r="E5650" i="1"/>
  <c r="B5650" i="1"/>
  <c r="U5649" i="1"/>
  <c r="K5649" i="1"/>
  <c r="E5649" i="1"/>
  <c r="B5649" i="1"/>
  <c r="U5648" i="1"/>
  <c r="K5648" i="1"/>
  <c r="E5648" i="1"/>
  <c r="B5648" i="1"/>
  <c r="U5647" i="1"/>
  <c r="K5647" i="1"/>
  <c r="E5647" i="1"/>
  <c r="B5647" i="1"/>
  <c r="U5646" i="1"/>
  <c r="K5646" i="1"/>
  <c r="E5646" i="1"/>
  <c r="B5646" i="1"/>
  <c r="U5645" i="1"/>
  <c r="K5645" i="1"/>
  <c r="E5645" i="1"/>
  <c r="B5645" i="1"/>
  <c r="K5644" i="1"/>
  <c r="E5644" i="1"/>
  <c r="B5644" i="1"/>
  <c r="U5643" i="1"/>
  <c r="K5643" i="1"/>
  <c r="E5643" i="1"/>
  <c r="B5643" i="1"/>
  <c r="U5642" i="1"/>
  <c r="K5642" i="1"/>
  <c r="E5642" i="1"/>
  <c r="B5642" i="1"/>
  <c r="U5641" i="1"/>
  <c r="K5641" i="1"/>
  <c r="E5641" i="1"/>
  <c r="B5641" i="1"/>
  <c r="U5640" i="1"/>
  <c r="K5640" i="1"/>
  <c r="E5640" i="1"/>
  <c r="B5640" i="1"/>
  <c r="U5639" i="1"/>
  <c r="K5639" i="1"/>
  <c r="E5639" i="1"/>
  <c r="B5639" i="1"/>
  <c r="U5638" i="1"/>
  <c r="K5638" i="1"/>
  <c r="E5638" i="1"/>
  <c r="B5638" i="1"/>
  <c r="U5637" i="1"/>
  <c r="K5637" i="1"/>
  <c r="E5637" i="1"/>
  <c r="B5637" i="1"/>
  <c r="U5636" i="1"/>
  <c r="K5636" i="1"/>
  <c r="E5636" i="1"/>
  <c r="B5636" i="1"/>
  <c r="U5635" i="1"/>
  <c r="K5635" i="1"/>
  <c r="E5635" i="1"/>
  <c r="B5635" i="1"/>
  <c r="U5634" i="1"/>
  <c r="K5634" i="1"/>
  <c r="E5634" i="1"/>
  <c r="B5634" i="1"/>
  <c r="U5633" i="1"/>
  <c r="K5633" i="1"/>
  <c r="E5633" i="1"/>
  <c r="B5633" i="1"/>
  <c r="U5632" i="1"/>
  <c r="K5632" i="1"/>
  <c r="E5632" i="1"/>
  <c r="B5632" i="1"/>
  <c r="U5631" i="1"/>
  <c r="K5631" i="1"/>
  <c r="E5631" i="1"/>
  <c r="B5631" i="1"/>
  <c r="U5630" i="1"/>
  <c r="K5630" i="1"/>
  <c r="E5630" i="1"/>
  <c r="B5630" i="1"/>
  <c r="U5629" i="1"/>
  <c r="K5629" i="1"/>
  <c r="E5629" i="1"/>
  <c r="B5629" i="1"/>
  <c r="U5628" i="1"/>
  <c r="K5628" i="1"/>
  <c r="E5628" i="1"/>
  <c r="B5628" i="1"/>
  <c r="U5627" i="1"/>
  <c r="K5627" i="1"/>
  <c r="E5627" i="1"/>
  <c r="B5627" i="1"/>
  <c r="U5626" i="1"/>
  <c r="K5626" i="1"/>
  <c r="E5626" i="1"/>
  <c r="B5626" i="1"/>
  <c r="U5625" i="1"/>
  <c r="K5625" i="1"/>
  <c r="E5625" i="1"/>
  <c r="B5625" i="1"/>
  <c r="U5624" i="1"/>
  <c r="K5624" i="1"/>
  <c r="E5624" i="1"/>
  <c r="B5624" i="1"/>
  <c r="U5623" i="1"/>
  <c r="K5623" i="1"/>
  <c r="E5623" i="1"/>
  <c r="B5623" i="1"/>
  <c r="U5622" i="1"/>
  <c r="K5622" i="1"/>
  <c r="E5622" i="1"/>
  <c r="B5622" i="1"/>
  <c r="U5621" i="1"/>
  <c r="K5621" i="1"/>
  <c r="E5621" i="1"/>
  <c r="B5621" i="1"/>
  <c r="U5620" i="1"/>
  <c r="K5620" i="1"/>
  <c r="E5620" i="1"/>
  <c r="B5620" i="1"/>
  <c r="U5619" i="1"/>
  <c r="K5619" i="1"/>
  <c r="E5619" i="1"/>
  <c r="B5619" i="1"/>
  <c r="K5618" i="1"/>
  <c r="E5618" i="1"/>
  <c r="B5618" i="1"/>
  <c r="U5617" i="1"/>
  <c r="K5617" i="1"/>
  <c r="E5617" i="1"/>
  <c r="B5617" i="1"/>
  <c r="U5616" i="1"/>
  <c r="K5616" i="1"/>
  <c r="E5616" i="1"/>
  <c r="B5616" i="1"/>
  <c r="U5615" i="1"/>
  <c r="K5615" i="1"/>
  <c r="E5615" i="1"/>
  <c r="B5615" i="1"/>
  <c r="U5614" i="1"/>
  <c r="K5614" i="1"/>
  <c r="E5614" i="1"/>
  <c r="B5614" i="1"/>
  <c r="U5613" i="1"/>
  <c r="K5613" i="1"/>
  <c r="E5613" i="1"/>
  <c r="B5613" i="1"/>
  <c r="U5612" i="1"/>
  <c r="K5612" i="1"/>
  <c r="E5612" i="1"/>
  <c r="B5612" i="1"/>
  <c r="U5611" i="1"/>
  <c r="K5611" i="1"/>
  <c r="E5611" i="1"/>
  <c r="B5611" i="1"/>
  <c r="U5610" i="1"/>
  <c r="K5610" i="1"/>
  <c r="E5610" i="1"/>
  <c r="B5610" i="1"/>
  <c r="U5609" i="1"/>
  <c r="K5609" i="1"/>
  <c r="E5609" i="1"/>
  <c r="B5609" i="1"/>
  <c r="K5608" i="1"/>
  <c r="E5608" i="1"/>
  <c r="B5608" i="1"/>
  <c r="U5607" i="1"/>
  <c r="K5607" i="1"/>
  <c r="E5607" i="1"/>
  <c r="B5607" i="1"/>
  <c r="U5606" i="1"/>
  <c r="K5606" i="1"/>
  <c r="E5606" i="1"/>
  <c r="B5606" i="1"/>
  <c r="U5605" i="1"/>
  <c r="K5605" i="1"/>
  <c r="E5605" i="1"/>
  <c r="B5605" i="1"/>
  <c r="U5604" i="1"/>
  <c r="K5604" i="1"/>
  <c r="E5604" i="1"/>
  <c r="B5604" i="1"/>
  <c r="U5603" i="1"/>
  <c r="K5603" i="1"/>
  <c r="E5603" i="1"/>
  <c r="B5603" i="1"/>
  <c r="U5602" i="1"/>
  <c r="K5602" i="1"/>
  <c r="E5602" i="1"/>
  <c r="B5602" i="1"/>
  <c r="U5601" i="1"/>
  <c r="K5601" i="1"/>
  <c r="E5601" i="1"/>
  <c r="B5601" i="1"/>
  <c r="U5600" i="1"/>
  <c r="K5600" i="1"/>
  <c r="E5600" i="1"/>
  <c r="B5600" i="1"/>
  <c r="U5599" i="1"/>
  <c r="K5599" i="1"/>
  <c r="E5599" i="1"/>
  <c r="B5599" i="1"/>
  <c r="U5598" i="1"/>
  <c r="K5598" i="1"/>
  <c r="E5598" i="1"/>
  <c r="B5598" i="1"/>
  <c r="U5597" i="1"/>
  <c r="K5597" i="1"/>
  <c r="E5597" i="1"/>
  <c r="B5597" i="1"/>
  <c r="U5596" i="1"/>
  <c r="K5596" i="1"/>
  <c r="E5596" i="1"/>
  <c r="B5596" i="1"/>
  <c r="U5595" i="1"/>
  <c r="K5595" i="1"/>
  <c r="E5595" i="1"/>
  <c r="B5595" i="1"/>
  <c r="U5594" i="1"/>
  <c r="K5594" i="1"/>
  <c r="E5594" i="1"/>
  <c r="B5594" i="1"/>
  <c r="U5593" i="1"/>
  <c r="K5593" i="1"/>
  <c r="E5593" i="1"/>
  <c r="B5593" i="1"/>
  <c r="U5592" i="1"/>
  <c r="K5592" i="1"/>
  <c r="E5592" i="1"/>
  <c r="B5592" i="1"/>
  <c r="U5591" i="1"/>
  <c r="K5591" i="1"/>
  <c r="E5591" i="1"/>
  <c r="B5591" i="1"/>
  <c r="U5590" i="1"/>
  <c r="K5590" i="1"/>
  <c r="E5590" i="1"/>
  <c r="B5590" i="1"/>
  <c r="U5589" i="1"/>
  <c r="K5589" i="1"/>
  <c r="E5589" i="1"/>
  <c r="B5589" i="1"/>
  <c r="U5588" i="1"/>
  <c r="K5588" i="1"/>
  <c r="E5588" i="1"/>
  <c r="B5588" i="1"/>
  <c r="U5587" i="1"/>
  <c r="K5587" i="1"/>
  <c r="E5587" i="1"/>
  <c r="B5587" i="1"/>
  <c r="U5586" i="1"/>
  <c r="K5586" i="1"/>
  <c r="E5586" i="1"/>
  <c r="B5586" i="1"/>
  <c r="U5585" i="1"/>
  <c r="K5585" i="1"/>
  <c r="E5585" i="1"/>
  <c r="B5585" i="1"/>
  <c r="U5584" i="1"/>
  <c r="K5584" i="1"/>
  <c r="E5584" i="1"/>
  <c r="B5584" i="1"/>
  <c r="U5583" i="1"/>
  <c r="K5583" i="1"/>
  <c r="E5583" i="1"/>
  <c r="B5583" i="1"/>
  <c r="U5582" i="1"/>
  <c r="K5582" i="1"/>
  <c r="E5582" i="1"/>
  <c r="B5582" i="1"/>
  <c r="U5581" i="1"/>
  <c r="K5581" i="1"/>
  <c r="E5581" i="1"/>
  <c r="B5581" i="1"/>
  <c r="U5580" i="1"/>
  <c r="K5580" i="1"/>
  <c r="E5580" i="1"/>
  <c r="B5580" i="1"/>
  <c r="U5579" i="1"/>
  <c r="K5579" i="1"/>
  <c r="E5579" i="1"/>
  <c r="B5579" i="1"/>
  <c r="U5578" i="1"/>
  <c r="K5578" i="1"/>
  <c r="E5578" i="1"/>
  <c r="B5578" i="1"/>
  <c r="U5577" i="1"/>
  <c r="K5577" i="1"/>
  <c r="E5577" i="1"/>
  <c r="B5577" i="1"/>
  <c r="U5576" i="1"/>
  <c r="K5576" i="1"/>
  <c r="E5576" i="1"/>
  <c r="B5576" i="1"/>
  <c r="U5575" i="1"/>
  <c r="K5575" i="1"/>
  <c r="E5575" i="1"/>
  <c r="B5575" i="1"/>
  <c r="U5574" i="1"/>
  <c r="K5574" i="1"/>
  <c r="E5574" i="1"/>
  <c r="B5574" i="1"/>
  <c r="U5573" i="1"/>
  <c r="K5573" i="1"/>
  <c r="E5573" i="1"/>
  <c r="B5573" i="1"/>
  <c r="U5572" i="1"/>
  <c r="K5572" i="1"/>
  <c r="E5572" i="1"/>
  <c r="B5572" i="1"/>
  <c r="U5571" i="1"/>
  <c r="K5571" i="1"/>
  <c r="E5571" i="1"/>
  <c r="B5571" i="1"/>
  <c r="U5570" i="1"/>
  <c r="K5570" i="1"/>
  <c r="E5570" i="1"/>
  <c r="B5570" i="1"/>
  <c r="U5569" i="1"/>
  <c r="K5569" i="1"/>
  <c r="E5569" i="1"/>
  <c r="B5569" i="1"/>
  <c r="U5568" i="1"/>
  <c r="K5568" i="1"/>
  <c r="E5568" i="1"/>
  <c r="B5568" i="1"/>
  <c r="U5567" i="1"/>
  <c r="K5567" i="1"/>
  <c r="E5567" i="1"/>
  <c r="B5567" i="1"/>
  <c r="U5566" i="1"/>
  <c r="K5566" i="1"/>
  <c r="E5566" i="1"/>
  <c r="B5566" i="1"/>
  <c r="U5565" i="1"/>
  <c r="K5565" i="1"/>
  <c r="E5565" i="1"/>
  <c r="B5565" i="1"/>
  <c r="U5564" i="1"/>
  <c r="K5564" i="1"/>
  <c r="E5564" i="1"/>
  <c r="B5564" i="1"/>
  <c r="U5563" i="1"/>
  <c r="K5563" i="1"/>
  <c r="E5563" i="1"/>
  <c r="B5563" i="1"/>
  <c r="U5562" i="1"/>
  <c r="K5562" i="1"/>
  <c r="E5562" i="1"/>
  <c r="B5562" i="1"/>
  <c r="U5561" i="1"/>
  <c r="K5561" i="1"/>
  <c r="E5561" i="1"/>
  <c r="B5561" i="1"/>
  <c r="U5560" i="1"/>
  <c r="K5560" i="1"/>
  <c r="E5560" i="1"/>
  <c r="B5560" i="1"/>
  <c r="U5559" i="1"/>
  <c r="K5559" i="1"/>
  <c r="E5559" i="1"/>
  <c r="B5559" i="1"/>
  <c r="U5558" i="1"/>
  <c r="K5558" i="1"/>
  <c r="E5558" i="1"/>
  <c r="B5558" i="1"/>
  <c r="U5557" i="1"/>
  <c r="K5557" i="1"/>
  <c r="E5557" i="1"/>
  <c r="B5557" i="1"/>
  <c r="U5556" i="1"/>
  <c r="K5556" i="1"/>
  <c r="E5556" i="1"/>
  <c r="B5556" i="1"/>
  <c r="U5555" i="1"/>
  <c r="K5555" i="1"/>
  <c r="E5555" i="1"/>
  <c r="B5555" i="1"/>
  <c r="U5554" i="1"/>
  <c r="K5554" i="1"/>
  <c r="E5554" i="1"/>
  <c r="B5554" i="1"/>
  <c r="U5553" i="1"/>
  <c r="K5553" i="1"/>
  <c r="E5553" i="1"/>
  <c r="B5553" i="1"/>
  <c r="U5552" i="1"/>
  <c r="K5552" i="1"/>
  <c r="E5552" i="1"/>
  <c r="B5552" i="1"/>
  <c r="U5551" i="1"/>
  <c r="K5551" i="1"/>
  <c r="E5551" i="1"/>
  <c r="B5551" i="1"/>
  <c r="U5550" i="1"/>
  <c r="K5550" i="1"/>
  <c r="E5550" i="1"/>
  <c r="B5550" i="1"/>
  <c r="U5549" i="1"/>
  <c r="K5549" i="1"/>
  <c r="E5549" i="1"/>
  <c r="B5549" i="1"/>
  <c r="U5548" i="1"/>
  <c r="K5548" i="1"/>
  <c r="E5548" i="1"/>
  <c r="B5548" i="1"/>
  <c r="U5547" i="1"/>
  <c r="K5547" i="1"/>
  <c r="E5547" i="1"/>
  <c r="B5547" i="1"/>
  <c r="U5546" i="1"/>
  <c r="K5546" i="1"/>
  <c r="E5546" i="1"/>
  <c r="B5546" i="1"/>
  <c r="U5545" i="1"/>
  <c r="K5545" i="1"/>
  <c r="E5545" i="1"/>
  <c r="B5545" i="1"/>
  <c r="U5544" i="1"/>
  <c r="K5544" i="1"/>
  <c r="E5544" i="1"/>
  <c r="B5544" i="1"/>
  <c r="U5543" i="1"/>
  <c r="K5543" i="1"/>
  <c r="E5543" i="1"/>
  <c r="B5543" i="1"/>
  <c r="U5542" i="1"/>
  <c r="K5542" i="1"/>
  <c r="E5542" i="1"/>
  <c r="B5542" i="1"/>
  <c r="U5541" i="1"/>
  <c r="K5541" i="1"/>
  <c r="E5541" i="1"/>
  <c r="B5541" i="1"/>
  <c r="U5540" i="1"/>
  <c r="K5540" i="1"/>
  <c r="E5540" i="1"/>
  <c r="B5540" i="1"/>
  <c r="U5539" i="1"/>
  <c r="K5539" i="1"/>
  <c r="E5539" i="1"/>
  <c r="B5539" i="1"/>
  <c r="U5538" i="1"/>
  <c r="K5538" i="1"/>
  <c r="E5538" i="1"/>
  <c r="B5538" i="1"/>
  <c r="U5537" i="1"/>
  <c r="K5537" i="1"/>
  <c r="E5537" i="1"/>
  <c r="B5537" i="1"/>
  <c r="U5536" i="1"/>
  <c r="K5536" i="1"/>
  <c r="E5536" i="1"/>
  <c r="B5536" i="1"/>
  <c r="U5535" i="1"/>
  <c r="K5535" i="1"/>
  <c r="E5535" i="1"/>
  <c r="B5535" i="1"/>
  <c r="U5534" i="1"/>
  <c r="K5534" i="1"/>
  <c r="E5534" i="1"/>
  <c r="B5534" i="1"/>
  <c r="U5533" i="1"/>
  <c r="K5533" i="1"/>
  <c r="E5533" i="1"/>
  <c r="B5533" i="1"/>
  <c r="U5532" i="1"/>
  <c r="K5532" i="1"/>
  <c r="E5532" i="1"/>
  <c r="B5532" i="1"/>
  <c r="U5531" i="1"/>
  <c r="K5531" i="1"/>
  <c r="E5531" i="1"/>
  <c r="B5531" i="1"/>
  <c r="U5530" i="1"/>
  <c r="K5530" i="1"/>
  <c r="E5530" i="1"/>
  <c r="B5530" i="1"/>
  <c r="U5529" i="1"/>
  <c r="K5529" i="1"/>
  <c r="E5529" i="1"/>
  <c r="B5529" i="1"/>
  <c r="U5528" i="1"/>
  <c r="K5528" i="1"/>
  <c r="E5528" i="1"/>
  <c r="B5528" i="1"/>
  <c r="U5527" i="1"/>
  <c r="K5527" i="1"/>
  <c r="E5527" i="1"/>
  <c r="B5527" i="1"/>
  <c r="U5526" i="1"/>
  <c r="K5526" i="1"/>
  <c r="E5526" i="1"/>
  <c r="B5526" i="1"/>
  <c r="U5525" i="1"/>
  <c r="K5525" i="1"/>
  <c r="E5525" i="1"/>
  <c r="B5525" i="1"/>
  <c r="U5524" i="1"/>
  <c r="K5524" i="1"/>
  <c r="E5524" i="1"/>
  <c r="B5524" i="1"/>
  <c r="U5523" i="1"/>
  <c r="K5523" i="1"/>
  <c r="E5523" i="1"/>
  <c r="B5523" i="1"/>
  <c r="U5522" i="1"/>
  <c r="K5522" i="1"/>
  <c r="E5522" i="1"/>
  <c r="B5522" i="1"/>
  <c r="U5521" i="1"/>
  <c r="K5521" i="1"/>
  <c r="E5521" i="1"/>
  <c r="B5521" i="1"/>
  <c r="U5520" i="1"/>
  <c r="K5520" i="1"/>
  <c r="E5520" i="1"/>
  <c r="B5520" i="1"/>
  <c r="U5519" i="1"/>
  <c r="K5519" i="1"/>
  <c r="E5519" i="1"/>
  <c r="B5519" i="1"/>
  <c r="U5518" i="1"/>
  <c r="K5518" i="1"/>
  <c r="E5518" i="1"/>
  <c r="B5518" i="1"/>
  <c r="U5517" i="1"/>
  <c r="K5517" i="1"/>
  <c r="E5517" i="1"/>
  <c r="B5517" i="1"/>
  <c r="U5516" i="1"/>
  <c r="K5516" i="1"/>
  <c r="E5516" i="1"/>
  <c r="B5516" i="1"/>
  <c r="U5515" i="1"/>
  <c r="K5515" i="1"/>
  <c r="E5515" i="1"/>
  <c r="B5515" i="1"/>
  <c r="U5514" i="1"/>
  <c r="K5514" i="1"/>
  <c r="E5514" i="1"/>
  <c r="B5514" i="1"/>
  <c r="U5513" i="1"/>
  <c r="K5513" i="1"/>
  <c r="E5513" i="1"/>
  <c r="B5513" i="1"/>
  <c r="U5512" i="1"/>
  <c r="K5512" i="1"/>
  <c r="E5512" i="1"/>
  <c r="B5512" i="1"/>
  <c r="U5511" i="1"/>
  <c r="K5511" i="1"/>
  <c r="E5511" i="1"/>
  <c r="B5511" i="1"/>
  <c r="U5510" i="1"/>
  <c r="K5510" i="1"/>
  <c r="E5510" i="1"/>
  <c r="B5510" i="1"/>
  <c r="U5509" i="1"/>
  <c r="K5509" i="1"/>
  <c r="E5509" i="1"/>
  <c r="B5509" i="1"/>
  <c r="U5508" i="1"/>
  <c r="K5508" i="1"/>
  <c r="E5508" i="1"/>
  <c r="B5508" i="1"/>
  <c r="U5507" i="1"/>
  <c r="K5507" i="1"/>
  <c r="E5507" i="1"/>
  <c r="B5507" i="1"/>
  <c r="U5506" i="1"/>
  <c r="K5506" i="1"/>
  <c r="E5506" i="1"/>
  <c r="B5506" i="1"/>
  <c r="U5505" i="1"/>
  <c r="K5505" i="1"/>
  <c r="E5505" i="1"/>
  <c r="B5505" i="1"/>
  <c r="U5504" i="1"/>
  <c r="K5504" i="1"/>
  <c r="E5504" i="1"/>
  <c r="B5504" i="1"/>
  <c r="U5503" i="1"/>
  <c r="K5503" i="1"/>
  <c r="E5503" i="1"/>
  <c r="B5503" i="1"/>
  <c r="U5502" i="1"/>
  <c r="K5502" i="1"/>
  <c r="E5502" i="1"/>
  <c r="B5502" i="1"/>
  <c r="U5501" i="1"/>
  <c r="K5501" i="1"/>
  <c r="E5501" i="1"/>
  <c r="B5501" i="1"/>
  <c r="U5500" i="1"/>
  <c r="K5500" i="1"/>
  <c r="E5500" i="1"/>
  <c r="B5500" i="1"/>
  <c r="U5499" i="1"/>
  <c r="K5499" i="1"/>
  <c r="E5499" i="1"/>
  <c r="B5499" i="1"/>
  <c r="U5498" i="1"/>
  <c r="K5498" i="1"/>
  <c r="E5498" i="1"/>
  <c r="B5498" i="1"/>
  <c r="U5497" i="1"/>
  <c r="K5497" i="1"/>
  <c r="E5497" i="1"/>
  <c r="B5497" i="1"/>
  <c r="U5496" i="1"/>
  <c r="K5496" i="1"/>
  <c r="E5496" i="1"/>
  <c r="B5496" i="1"/>
  <c r="U5495" i="1"/>
  <c r="K5495" i="1"/>
  <c r="E5495" i="1"/>
  <c r="B5495" i="1"/>
  <c r="K5494" i="1"/>
  <c r="E5494" i="1"/>
  <c r="B5494" i="1"/>
  <c r="U5493" i="1"/>
  <c r="K5493" i="1"/>
  <c r="E5493" i="1"/>
  <c r="B5493" i="1"/>
  <c r="U5492" i="1"/>
  <c r="K5492" i="1"/>
  <c r="E5492" i="1"/>
  <c r="B5492" i="1"/>
  <c r="U5491" i="1"/>
  <c r="K5491" i="1"/>
  <c r="E5491" i="1"/>
  <c r="B5491" i="1"/>
  <c r="U5490" i="1"/>
  <c r="K5490" i="1"/>
  <c r="E5490" i="1"/>
  <c r="B5490" i="1"/>
  <c r="U5489" i="1"/>
  <c r="K5489" i="1"/>
  <c r="E5489" i="1"/>
  <c r="B5489" i="1"/>
  <c r="U5488" i="1"/>
  <c r="K5488" i="1"/>
  <c r="E5488" i="1"/>
  <c r="B5488" i="1"/>
  <c r="U5487" i="1"/>
  <c r="K5487" i="1"/>
  <c r="E5487" i="1"/>
  <c r="B5487" i="1"/>
  <c r="U5486" i="1"/>
  <c r="K5486" i="1"/>
  <c r="E5486" i="1"/>
  <c r="B5486" i="1"/>
  <c r="U5485" i="1"/>
  <c r="K5485" i="1"/>
  <c r="E5485" i="1"/>
  <c r="B5485" i="1"/>
  <c r="U5484" i="1"/>
  <c r="K5484" i="1"/>
  <c r="E5484" i="1"/>
  <c r="B5484" i="1"/>
  <c r="U5483" i="1"/>
  <c r="K5483" i="1"/>
  <c r="E5483" i="1"/>
  <c r="B5483" i="1"/>
  <c r="U5482" i="1"/>
  <c r="K5482" i="1"/>
  <c r="E5482" i="1"/>
  <c r="B5482" i="1"/>
  <c r="U5481" i="1"/>
  <c r="K5481" i="1"/>
  <c r="E5481" i="1"/>
  <c r="B5481" i="1"/>
  <c r="U5480" i="1"/>
  <c r="K5480" i="1"/>
  <c r="E5480" i="1"/>
  <c r="B5480" i="1"/>
  <c r="U5479" i="1"/>
  <c r="K5479" i="1"/>
  <c r="E5479" i="1"/>
  <c r="B5479" i="1"/>
  <c r="U5478" i="1"/>
  <c r="K5478" i="1"/>
  <c r="E5478" i="1"/>
  <c r="B5478" i="1"/>
  <c r="U5477" i="1"/>
  <c r="K5477" i="1"/>
  <c r="E5477" i="1"/>
  <c r="B5477" i="1"/>
  <c r="U5476" i="1"/>
  <c r="K5476" i="1"/>
  <c r="E5476" i="1"/>
  <c r="B5476" i="1"/>
  <c r="U5475" i="1"/>
  <c r="K5475" i="1"/>
  <c r="E5475" i="1"/>
  <c r="B5475" i="1"/>
  <c r="U5474" i="1"/>
  <c r="K5474" i="1"/>
  <c r="E5474" i="1"/>
  <c r="B5474" i="1"/>
  <c r="U5473" i="1"/>
  <c r="K5473" i="1"/>
  <c r="E5473" i="1"/>
  <c r="B5473" i="1"/>
  <c r="U5472" i="1"/>
  <c r="K5472" i="1"/>
  <c r="E5472" i="1"/>
  <c r="B5472" i="1"/>
  <c r="U5471" i="1"/>
  <c r="K5471" i="1"/>
  <c r="E5471" i="1"/>
  <c r="B5471" i="1"/>
  <c r="U5470" i="1"/>
  <c r="K5470" i="1"/>
  <c r="E5470" i="1"/>
  <c r="B5470" i="1"/>
  <c r="U5469" i="1"/>
  <c r="K5469" i="1"/>
  <c r="E5469" i="1"/>
  <c r="B5469" i="1"/>
  <c r="U5468" i="1"/>
  <c r="K5468" i="1"/>
  <c r="E5468" i="1"/>
  <c r="B5468" i="1"/>
  <c r="U5467" i="1"/>
  <c r="K5467" i="1"/>
  <c r="E5467" i="1"/>
  <c r="B5467" i="1"/>
  <c r="U5466" i="1"/>
  <c r="K5466" i="1"/>
  <c r="E5466" i="1"/>
  <c r="B5466" i="1"/>
  <c r="U5465" i="1"/>
  <c r="K5465" i="1"/>
  <c r="E5465" i="1"/>
  <c r="B5465" i="1"/>
  <c r="U5464" i="1"/>
  <c r="K5464" i="1"/>
  <c r="E5464" i="1"/>
  <c r="B5464" i="1"/>
  <c r="U5463" i="1"/>
  <c r="K5463" i="1"/>
  <c r="E5463" i="1"/>
  <c r="B5463" i="1"/>
  <c r="U5462" i="1"/>
  <c r="K5462" i="1"/>
  <c r="E5462" i="1"/>
  <c r="B5462" i="1"/>
  <c r="U5461" i="1"/>
  <c r="K5461" i="1"/>
  <c r="E5461" i="1"/>
  <c r="B5461" i="1"/>
  <c r="U5460" i="1"/>
  <c r="K5460" i="1"/>
  <c r="E5460" i="1"/>
  <c r="B5460" i="1"/>
  <c r="U5459" i="1"/>
  <c r="K5459" i="1"/>
  <c r="E5459" i="1"/>
  <c r="B5459" i="1"/>
  <c r="U5458" i="1"/>
  <c r="K5458" i="1"/>
  <c r="E5458" i="1"/>
  <c r="B5458" i="1"/>
  <c r="U5457" i="1"/>
  <c r="K5457" i="1"/>
  <c r="E5457" i="1"/>
  <c r="B5457" i="1"/>
  <c r="U5456" i="1"/>
  <c r="K5456" i="1"/>
  <c r="E5456" i="1"/>
  <c r="B5456" i="1"/>
  <c r="U5455" i="1"/>
  <c r="K5455" i="1"/>
  <c r="E5455" i="1"/>
  <c r="B5455" i="1"/>
  <c r="K5454" i="1"/>
  <c r="E5454" i="1"/>
  <c r="B5454" i="1"/>
  <c r="U5453" i="1"/>
  <c r="K5453" i="1"/>
  <c r="E5453" i="1"/>
  <c r="B5453" i="1"/>
  <c r="U5452" i="1"/>
  <c r="K5452" i="1"/>
  <c r="E5452" i="1"/>
  <c r="B5452" i="1"/>
  <c r="U5451" i="1"/>
  <c r="K5451" i="1"/>
  <c r="E5451" i="1"/>
  <c r="B5451" i="1"/>
  <c r="U5450" i="1"/>
  <c r="K5450" i="1"/>
  <c r="E5450" i="1"/>
  <c r="B5450" i="1"/>
  <c r="U5449" i="1"/>
  <c r="K5449" i="1"/>
  <c r="E5449" i="1"/>
  <c r="B5449" i="1"/>
  <c r="U5448" i="1"/>
  <c r="K5448" i="1"/>
  <c r="E5448" i="1"/>
  <c r="B5448" i="1"/>
  <c r="U5447" i="1"/>
  <c r="K5447" i="1"/>
  <c r="E5447" i="1"/>
  <c r="B5447" i="1"/>
  <c r="U5446" i="1"/>
  <c r="K5446" i="1"/>
  <c r="E5446" i="1"/>
  <c r="B5446" i="1"/>
  <c r="U5445" i="1"/>
  <c r="K5445" i="1"/>
  <c r="E5445" i="1"/>
  <c r="B5445" i="1"/>
  <c r="U5444" i="1"/>
  <c r="K5444" i="1"/>
  <c r="E5444" i="1"/>
  <c r="B5444" i="1"/>
  <c r="U5443" i="1"/>
  <c r="K5443" i="1"/>
  <c r="E5443" i="1"/>
  <c r="B5443" i="1"/>
  <c r="U5442" i="1"/>
  <c r="K5442" i="1"/>
  <c r="E5442" i="1"/>
  <c r="B5442" i="1"/>
  <c r="U5441" i="1"/>
  <c r="K5441" i="1"/>
  <c r="E5441" i="1"/>
  <c r="B5441" i="1"/>
  <c r="U5440" i="1"/>
  <c r="K5440" i="1"/>
  <c r="E5440" i="1"/>
  <c r="B5440" i="1"/>
  <c r="U5439" i="1"/>
  <c r="K5439" i="1"/>
  <c r="E5439" i="1"/>
  <c r="B5439" i="1"/>
  <c r="U5438" i="1"/>
  <c r="K5438" i="1"/>
  <c r="E5438" i="1"/>
  <c r="B5438" i="1"/>
  <c r="U5437" i="1"/>
  <c r="K5437" i="1"/>
  <c r="E5437" i="1"/>
  <c r="B5437" i="1"/>
  <c r="U5436" i="1"/>
  <c r="K5436" i="1"/>
  <c r="E5436" i="1"/>
  <c r="B5436" i="1"/>
  <c r="U5435" i="1"/>
  <c r="K5435" i="1"/>
  <c r="E5435" i="1"/>
  <c r="B5435" i="1"/>
  <c r="U5434" i="1"/>
  <c r="K5434" i="1"/>
  <c r="E5434" i="1"/>
  <c r="B5434" i="1"/>
  <c r="U5433" i="1"/>
  <c r="K5433" i="1"/>
  <c r="E5433" i="1"/>
  <c r="B5433" i="1"/>
  <c r="U5432" i="1"/>
  <c r="K5432" i="1"/>
  <c r="E5432" i="1"/>
  <c r="B5432" i="1"/>
  <c r="U5431" i="1"/>
  <c r="K5431" i="1"/>
  <c r="E5431" i="1"/>
  <c r="B5431" i="1"/>
  <c r="U5430" i="1"/>
  <c r="K5430" i="1"/>
  <c r="E5430" i="1"/>
  <c r="B5430" i="1"/>
  <c r="U5429" i="1"/>
  <c r="K5429" i="1"/>
  <c r="E5429" i="1"/>
  <c r="B5429" i="1"/>
  <c r="U5428" i="1"/>
  <c r="K5428" i="1"/>
  <c r="E5428" i="1"/>
  <c r="B5428" i="1"/>
  <c r="U5427" i="1"/>
  <c r="K5427" i="1"/>
  <c r="E5427" i="1"/>
  <c r="B5427" i="1"/>
  <c r="K5426" i="1"/>
  <c r="E5426" i="1"/>
  <c r="B5426" i="1"/>
  <c r="U5425" i="1"/>
  <c r="K5425" i="1"/>
  <c r="E5425" i="1"/>
  <c r="B5425" i="1"/>
  <c r="U5424" i="1"/>
  <c r="K5424" i="1"/>
  <c r="E5424" i="1"/>
  <c r="B5424" i="1"/>
  <c r="U5423" i="1"/>
  <c r="K5423" i="1"/>
  <c r="E5423" i="1"/>
  <c r="B5423" i="1"/>
  <c r="U5422" i="1"/>
  <c r="K5422" i="1"/>
  <c r="E5422" i="1"/>
  <c r="B5422" i="1"/>
  <c r="U5421" i="1"/>
  <c r="K5421" i="1"/>
  <c r="E5421" i="1"/>
  <c r="B5421" i="1"/>
  <c r="U5420" i="1"/>
  <c r="K5420" i="1"/>
  <c r="E5420" i="1"/>
  <c r="B5420" i="1"/>
  <c r="U5419" i="1"/>
  <c r="K5419" i="1"/>
  <c r="E5419" i="1"/>
  <c r="B5419" i="1"/>
  <c r="U5418" i="1"/>
  <c r="K5418" i="1"/>
  <c r="E5418" i="1"/>
  <c r="B5418" i="1"/>
  <c r="U5417" i="1"/>
  <c r="K5417" i="1"/>
  <c r="E5417" i="1"/>
  <c r="B5417" i="1"/>
  <c r="U5416" i="1"/>
  <c r="K5416" i="1"/>
  <c r="E5416" i="1"/>
  <c r="B5416" i="1"/>
  <c r="U5415" i="1"/>
  <c r="K5415" i="1"/>
  <c r="E5415" i="1"/>
  <c r="B5415" i="1"/>
  <c r="U5414" i="1"/>
  <c r="K5414" i="1"/>
  <c r="E5414" i="1"/>
  <c r="B5414" i="1"/>
  <c r="U5413" i="1"/>
  <c r="K5413" i="1"/>
  <c r="E5413" i="1"/>
  <c r="B5413" i="1"/>
  <c r="U5412" i="1"/>
  <c r="K5412" i="1"/>
  <c r="E5412" i="1"/>
  <c r="B5412" i="1"/>
  <c r="U5411" i="1"/>
  <c r="K5411" i="1"/>
  <c r="E5411" i="1"/>
  <c r="B5411" i="1"/>
  <c r="U5410" i="1"/>
  <c r="K5410" i="1"/>
  <c r="E5410" i="1"/>
  <c r="B5410" i="1"/>
  <c r="U5409" i="1"/>
  <c r="K5409" i="1"/>
  <c r="E5409" i="1"/>
  <c r="B5409" i="1"/>
  <c r="U5408" i="1"/>
  <c r="K5408" i="1"/>
  <c r="E5408" i="1"/>
  <c r="B5408" i="1"/>
  <c r="U5407" i="1"/>
  <c r="K5407" i="1"/>
  <c r="E5407" i="1"/>
  <c r="B5407" i="1"/>
  <c r="U5406" i="1"/>
  <c r="K5406" i="1"/>
  <c r="E5406" i="1"/>
  <c r="B5406" i="1"/>
  <c r="U5405" i="1"/>
  <c r="K5405" i="1"/>
  <c r="E5405" i="1"/>
  <c r="B5405" i="1"/>
  <c r="U5404" i="1"/>
  <c r="K5404" i="1"/>
  <c r="E5404" i="1"/>
  <c r="B5404" i="1"/>
  <c r="U5403" i="1"/>
  <c r="K5403" i="1"/>
  <c r="E5403" i="1"/>
  <c r="B5403" i="1"/>
  <c r="U5402" i="1"/>
  <c r="K5402" i="1"/>
  <c r="E5402" i="1"/>
  <c r="B5402" i="1"/>
  <c r="U5401" i="1"/>
  <c r="K5401" i="1"/>
  <c r="E5401" i="1"/>
  <c r="B5401" i="1"/>
  <c r="U5400" i="1"/>
  <c r="K5400" i="1"/>
  <c r="E5400" i="1"/>
  <c r="B5400" i="1"/>
  <c r="U5399" i="1"/>
  <c r="K5399" i="1"/>
  <c r="E5399" i="1"/>
  <c r="B5399" i="1"/>
  <c r="U5398" i="1"/>
  <c r="K5398" i="1"/>
  <c r="E5398" i="1"/>
  <c r="B5398" i="1"/>
  <c r="U5397" i="1"/>
  <c r="K5397" i="1"/>
  <c r="E5397" i="1"/>
  <c r="B5397" i="1"/>
  <c r="U5396" i="1"/>
  <c r="K5396" i="1"/>
  <c r="E5396" i="1"/>
  <c r="B5396" i="1"/>
  <c r="U5395" i="1"/>
  <c r="K5395" i="1"/>
  <c r="E5395" i="1"/>
  <c r="B5395" i="1"/>
  <c r="U5394" i="1"/>
  <c r="K5394" i="1"/>
  <c r="E5394" i="1"/>
  <c r="B5394" i="1"/>
  <c r="U5393" i="1"/>
  <c r="K5393" i="1"/>
  <c r="E5393" i="1"/>
  <c r="B5393" i="1"/>
  <c r="U5392" i="1"/>
  <c r="K5392" i="1"/>
  <c r="E5392" i="1"/>
  <c r="B5392" i="1"/>
  <c r="U5391" i="1"/>
  <c r="K5391" i="1"/>
  <c r="E5391" i="1"/>
  <c r="B5391" i="1"/>
  <c r="U5390" i="1"/>
  <c r="K5390" i="1"/>
  <c r="E5390" i="1"/>
  <c r="B5390" i="1"/>
  <c r="U5389" i="1"/>
  <c r="K5389" i="1"/>
  <c r="E5389" i="1"/>
  <c r="B5389" i="1"/>
  <c r="U5388" i="1"/>
  <c r="K5388" i="1"/>
  <c r="E5388" i="1"/>
  <c r="B5388" i="1"/>
  <c r="K5387" i="1"/>
  <c r="E5387" i="1"/>
  <c r="B5387" i="1"/>
  <c r="U5386" i="1"/>
  <c r="K5386" i="1"/>
  <c r="E5386" i="1"/>
  <c r="B5386" i="1"/>
  <c r="U5385" i="1"/>
  <c r="K5385" i="1"/>
  <c r="E5385" i="1"/>
  <c r="B5385" i="1"/>
  <c r="U5384" i="1"/>
  <c r="K5384" i="1"/>
  <c r="E5384" i="1"/>
  <c r="B5384" i="1"/>
  <c r="U5383" i="1"/>
  <c r="K5383" i="1"/>
  <c r="E5383" i="1"/>
  <c r="B5383" i="1"/>
  <c r="U5382" i="1"/>
  <c r="K5382" i="1"/>
  <c r="E5382" i="1"/>
  <c r="B5382" i="1"/>
  <c r="U5381" i="1"/>
  <c r="K5381" i="1"/>
  <c r="E5381" i="1"/>
  <c r="B5381" i="1"/>
  <c r="U5380" i="1"/>
  <c r="K5380" i="1"/>
  <c r="E5380" i="1"/>
  <c r="B5380" i="1"/>
  <c r="U5379" i="1"/>
  <c r="K5379" i="1"/>
  <c r="E5379" i="1"/>
  <c r="B5379" i="1"/>
  <c r="U5378" i="1"/>
  <c r="K5378" i="1"/>
  <c r="E5378" i="1"/>
  <c r="B5378" i="1"/>
  <c r="U5377" i="1"/>
  <c r="K5377" i="1"/>
  <c r="E5377" i="1"/>
  <c r="B5377" i="1"/>
  <c r="U5376" i="1"/>
  <c r="K5376" i="1"/>
  <c r="E5376" i="1"/>
  <c r="B5376" i="1"/>
  <c r="U5375" i="1"/>
  <c r="K5375" i="1"/>
  <c r="E5375" i="1"/>
  <c r="B5375" i="1"/>
  <c r="U5374" i="1"/>
  <c r="K5374" i="1"/>
  <c r="E5374" i="1"/>
  <c r="B5374" i="1"/>
  <c r="U5373" i="1"/>
  <c r="K5373" i="1"/>
  <c r="E5373" i="1"/>
  <c r="B5373" i="1"/>
  <c r="U5372" i="1"/>
  <c r="K5372" i="1"/>
  <c r="E5372" i="1"/>
  <c r="B5372" i="1"/>
  <c r="U5371" i="1"/>
  <c r="K5371" i="1"/>
  <c r="E5371" i="1"/>
  <c r="B5371" i="1"/>
  <c r="U5370" i="1"/>
  <c r="K5370" i="1"/>
  <c r="E5370" i="1"/>
  <c r="B5370" i="1"/>
  <c r="U5369" i="1"/>
  <c r="K5369" i="1"/>
  <c r="E5369" i="1"/>
  <c r="B5369" i="1"/>
  <c r="U5368" i="1"/>
  <c r="K5368" i="1"/>
  <c r="E5368" i="1"/>
  <c r="B5368" i="1"/>
  <c r="U5367" i="1"/>
  <c r="K5367" i="1"/>
  <c r="E5367" i="1"/>
  <c r="B5367" i="1"/>
  <c r="U5366" i="1"/>
  <c r="K5366" i="1"/>
  <c r="E5366" i="1"/>
  <c r="B5366" i="1"/>
  <c r="U5365" i="1"/>
  <c r="K5365" i="1"/>
  <c r="E5365" i="1"/>
  <c r="B5365" i="1"/>
  <c r="U5364" i="1"/>
  <c r="K5364" i="1"/>
  <c r="E5364" i="1"/>
  <c r="B5364" i="1"/>
  <c r="U5363" i="1"/>
  <c r="K5363" i="1"/>
  <c r="E5363" i="1"/>
  <c r="B5363" i="1"/>
  <c r="U5362" i="1"/>
  <c r="K5362" i="1"/>
  <c r="E5362" i="1"/>
  <c r="B5362" i="1"/>
  <c r="U5361" i="1"/>
  <c r="K5361" i="1"/>
  <c r="E5361" i="1"/>
  <c r="B5361" i="1"/>
  <c r="U5360" i="1"/>
  <c r="K5360" i="1"/>
  <c r="E5360" i="1"/>
  <c r="B5360" i="1"/>
  <c r="U5359" i="1"/>
  <c r="K5359" i="1"/>
  <c r="E5359" i="1"/>
  <c r="B5359" i="1"/>
  <c r="U5358" i="1"/>
  <c r="K5358" i="1"/>
  <c r="E5358" i="1"/>
  <c r="B5358" i="1"/>
  <c r="U5357" i="1"/>
  <c r="K5357" i="1"/>
  <c r="E5357" i="1"/>
  <c r="B5357" i="1"/>
  <c r="U5356" i="1"/>
  <c r="K5356" i="1"/>
  <c r="E5356" i="1"/>
  <c r="B5356" i="1"/>
  <c r="U5355" i="1"/>
  <c r="K5355" i="1"/>
  <c r="E5355" i="1"/>
  <c r="B5355" i="1"/>
  <c r="U5354" i="1"/>
  <c r="K5354" i="1"/>
  <c r="E5354" i="1"/>
  <c r="B5354" i="1"/>
  <c r="U5353" i="1"/>
  <c r="K5353" i="1"/>
  <c r="E5353" i="1"/>
  <c r="B5353" i="1"/>
  <c r="U5352" i="1"/>
  <c r="K5352" i="1"/>
  <c r="E5352" i="1"/>
  <c r="B5352" i="1"/>
  <c r="U5351" i="1"/>
  <c r="K5351" i="1"/>
  <c r="E5351" i="1"/>
  <c r="B5351" i="1"/>
  <c r="U5350" i="1"/>
  <c r="K5350" i="1"/>
  <c r="E5350" i="1"/>
  <c r="B5350" i="1"/>
  <c r="U5349" i="1"/>
  <c r="K5349" i="1"/>
  <c r="E5349" i="1"/>
  <c r="B5349" i="1"/>
  <c r="U5348" i="1"/>
  <c r="K5348" i="1"/>
  <c r="E5348" i="1"/>
  <c r="B5348" i="1"/>
  <c r="U5347" i="1"/>
  <c r="K5347" i="1"/>
  <c r="E5347" i="1"/>
  <c r="B5347" i="1"/>
  <c r="U5346" i="1"/>
  <c r="K5346" i="1"/>
  <c r="E5346" i="1"/>
  <c r="B5346" i="1"/>
  <c r="U5345" i="1"/>
  <c r="K5345" i="1"/>
  <c r="E5345" i="1"/>
  <c r="B5345" i="1"/>
  <c r="U5344" i="1"/>
  <c r="K5344" i="1"/>
  <c r="E5344" i="1"/>
  <c r="B5344" i="1"/>
  <c r="U5343" i="1"/>
  <c r="K5343" i="1"/>
  <c r="E5343" i="1"/>
  <c r="B5343" i="1"/>
  <c r="U5342" i="1"/>
  <c r="K5342" i="1"/>
  <c r="E5342" i="1"/>
  <c r="B5342" i="1"/>
  <c r="U5341" i="1"/>
  <c r="K5341" i="1"/>
  <c r="E5341" i="1"/>
  <c r="B5341" i="1"/>
  <c r="U5340" i="1"/>
  <c r="K5340" i="1"/>
  <c r="E5340" i="1"/>
  <c r="B5340" i="1"/>
  <c r="U5339" i="1"/>
  <c r="K5339" i="1"/>
  <c r="E5339" i="1"/>
  <c r="B5339" i="1"/>
  <c r="U5338" i="1"/>
  <c r="K5338" i="1"/>
  <c r="E5338" i="1"/>
  <c r="B5338" i="1"/>
  <c r="U5337" i="1"/>
  <c r="K5337" i="1"/>
  <c r="E5337" i="1"/>
  <c r="B5337" i="1"/>
  <c r="K5336" i="1"/>
  <c r="E5336" i="1"/>
  <c r="B5336" i="1"/>
  <c r="U5335" i="1"/>
  <c r="K5335" i="1"/>
  <c r="E5335" i="1"/>
  <c r="B5335" i="1"/>
  <c r="U5334" i="1"/>
  <c r="K5334" i="1"/>
  <c r="E5334" i="1"/>
  <c r="B5334" i="1"/>
  <c r="U5333" i="1"/>
  <c r="K5333" i="1"/>
  <c r="E5333" i="1"/>
  <c r="B5333" i="1"/>
  <c r="U5332" i="1"/>
  <c r="K5332" i="1"/>
  <c r="E5332" i="1"/>
  <c r="B5332" i="1"/>
  <c r="U5331" i="1"/>
  <c r="K5331" i="1"/>
  <c r="E5331" i="1"/>
  <c r="B5331" i="1"/>
  <c r="U5330" i="1"/>
  <c r="K5330" i="1"/>
  <c r="E5330" i="1"/>
  <c r="B5330" i="1"/>
  <c r="U5329" i="1"/>
  <c r="K5329" i="1"/>
  <c r="E5329" i="1"/>
  <c r="B5329" i="1"/>
  <c r="U5328" i="1"/>
  <c r="K5328" i="1"/>
  <c r="E5328" i="1"/>
  <c r="B5328" i="1"/>
  <c r="U5327" i="1"/>
  <c r="K5327" i="1"/>
  <c r="E5327" i="1"/>
  <c r="B5327" i="1"/>
  <c r="U5326" i="1"/>
  <c r="K5326" i="1"/>
  <c r="E5326" i="1"/>
  <c r="B5326" i="1"/>
  <c r="U5325" i="1"/>
  <c r="K5325" i="1"/>
  <c r="E5325" i="1"/>
  <c r="B5325" i="1"/>
  <c r="U5324" i="1"/>
  <c r="K5324" i="1"/>
  <c r="E5324" i="1"/>
  <c r="B5324" i="1"/>
  <c r="U5323" i="1"/>
  <c r="K5323" i="1"/>
  <c r="E5323" i="1"/>
  <c r="B5323" i="1"/>
  <c r="U5322" i="1"/>
  <c r="K5322" i="1"/>
  <c r="E5322" i="1"/>
  <c r="B5322" i="1"/>
  <c r="U5321" i="1"/>
  <c r="K5321" i="1"/>
  <c r="E5321" i="1"/>
  <c r="B5321" i="1"/>
  <c r="U5320" i="1"/>
  <c r="K5320" i="1"/>
  <c r="E5320" i="1"/>
  <c r="B5320" i="1"/>
  <c r="U5319" i="1"/>
  <c r="K5319" i="1"/>
  <c r="E5319" i="1"/>
  <c r="B5319" i="1"/>
  <c r="U5318" i="1"/>
  <c r="K5318" i="1"/>
  <c r="E5318" i="1"/>
  <c r="B5318" i="1"/>
  <c r="U5317" i="1"/>
  <c r="K5317" i="1"/>
  <c r="E5317" i="1"/>
  <c r="B5317" i="1"/>
  <c r="U5316" i="1"/>
  <c r="K5316" i="1"/>
  <c r="E5316" i="1"/>
  <c r="B5316" i="1"/>
  <c r="U5315" i="1"/>
  <c r="K5315" i="1"/>
  <c r="E5315" i="1"/>
  <c r="B5315" i="1"/>
  <c r="U5314" i="1"/>
  <c r="K5314" i="1"/>
  <c r="E5314" i="1"/>
  <c r="B5314" i="1"/>
  <c r="U5313" i="1"/>
  <c r="K5313" i="1"/>
  <c r="E5313" i="1"/>
  <c r="B5313" i="1"/>
  <c r="U5312" i="1"/>
  <c r="K5312" i="1"/>
  <c r="E5312" i="1"/>
  <c r="B5312" i="1"/>
  <c r="U5311" i="1"/>
  <c r="K5311" i="1"/>
  <c r="E5311" i="1"/>
  <c r="B5311" i="1"/>
  <c r="U5310" i="1"/>
  <c r="K5310" i="1"/>
  <c r="E5310" i="1"/>
  <c r="B5310" i="1"/>
  <c r="U5309" i="1"/>
  <c r="K5309" i="1"/>
  <c r="E5309" i="1"/>
  <c r="B5309" i="1"/>
  <c r="U5308" i="1"/>
  <c r="K5308" i="1"/>
  <c r="E5308" i="1"/>
  <c r="B5308" i="1"/>
  <c r="U5307" i="1"/>
  <c r="K5307" i="1"/>
  <c r="E5307" i="1"/>
  <c r="B5307" i="1"/>
  <c r="U5306" i="1"/>
  <c r="K5306" i="1"/>
  <c r="E5306" i="1"/>
  <c r="B5306" i="1"/>
  <c r="U5305" i="1"/>
  <c r="K5305" i="1"/>
  <c r="E5305" i="1"/>
  <c r="B5305" i="1"/>
  <c r="U5304" i="1"/>
  <c r="K5304" i="1"/>
  <c r="E5304" i="1"/>
  <c r="B5304" i="1"/>
  <c r="U5303" i="1"/>
  <c r="K5303" i="1"/>
  <c r="E5303" i="1"/>
  <c r="B5303" i="1"/>
  <c r="U5302" i="1"/>
  <c r="K5302" i="1"/>
  <c r="E5302" i="1"/>
  <c r="B5302" i="1"/>
  <c r="U5301" i="1"/>
  <c r="K5301" i="1"/>
  <c r="E5301" i="1"/>
  <c r="B5301" i="1"/>
  <c r="U5300" i="1"/>
  <c r="K5300" i="1"/>
  <c r="E5300" i="1"/>
  <c r="B5300" i="1"/>
  <c r="U5299" i="1"/>
  <c r="K5299" i="1"/>
  <c r="E5299" i="1"/>
  <c r="B5299" i="1"/>
  <c r="U5298" i="1"/>
  <c r="K5298" i="1"/>
  <c r="E5298" i="1"/>
  <c r="B5298" i="1"/>
  <c r="U5297" i="1"/>
  <c r="K5297" i="1"/>
  <c r="E5297" i="1"/>
  <c r="B5297" i="1"/>
  <c r="U5296" i="1"/>
  <c r="K5296" i="1"/>
  <c r="E5296" i="1"/>
  <c r="B5296" i="1"/>
  <c r="U5295" i="1"/>
  <c r="K5295" i="1"/>
  <c r="E5295" i="1"/>
  <c r="B5295" i="1"/>
  <c r="U5294" i="1"/>
  <c r="K5294" i="1"/>
  <c r="E5294" i="1"/>
  <c r="B5294" i="1"/>
  <c r="U5293" i="1"/>
  <c r="K5293" i="1"/>
  <c r="E5293" i="1"/>
  <c r="B5293" i="1"/>
  <c r="U5292" i="1"/>
  <c r="K5292" i="1"/>
  <c r="E5292" i="1"/>
  <c r="B5292" i="1"/>
  <c r="U5291" i="1"/>
  <c r="K5291" i="1"/>
  <c r="E5291" i="1"/>
  <c r="B5291" i="1"/>
  <c r="U5290" i="1"/>
  <c r="K5290" i="1"/>
  <c r="E5290" i="1"/>
  <c r="B5290" i="1"/>
  <c r="U5289" i="1"/>
  <c r="K5289" i="1"/>
  <c r="E5289" i="1"/>
  <c r="B5289" i="1"/>
  <c r="U5288" i="1"/>
  <c r="K5288" i="1"/>
  <c r="E5288" i="1"/>
  <c r="B5288" i="1"/>
  <c r="U5287" i="1"/>
  <c r="K5287" i="1"/>
  <c r="E5287" i="1"/>
  <c r="B5287" i="1"/>
  <c r="U5286" i="1"/>
  <c r="K5286" i="1"/>
  <c r="E5286" i="1"/>
  <c r="B5286" i="1"/>
  <c r="U5285" i="1"/>
  <c r="K5285" i="1"/>
  <c r="E5285" i="1"/>
  <c r="B5285" i="1"/>
  <c r="U5284" i="1"/>
  <c r="K5284" i="1"/>
  <c r="E5284" i="1"/>
  <c r="B5284" i="1"/>
  <c r="U5283" i="1"/>
  <c r="K5283" i="1"/>
  <c r="E5283" i="1"/>
  <c r="B5283" i="1"/>
  <c r="U5282" i="1"/>
  <c r="K5282" i="1"/>
  <c r="E5282" i="1"/>
  <c r="B5282" i="1"/>
  <c r="U5281" i="1"/>
  <c r="K5281" i="1"/>
  <c r="E5281" i="1"/>
  <c r="B5281" i="1"/>
  <c r="U5280" i="1"/>
  <c r="K5280" i="1"/>
  <c r="E5280" i="1"/>
  <c r="B5280" i="1"/>
  <c r="U5279" i="1"/>
  <c r="K5279" i="1"/>
  <c r="E5279" i="1"/>
  <c r="B5279" i="1"/>
  <c r="U5278" i="1"/>
  <c r="K5278" i="1"/>
  <c r="E5278" i="1"/>
  <c r="B5278" i="1"/>
  <c r="U5277" i="1"/>
  <c r="K5277" i="1"/>
  <c r="E5277" i="1"/>
  <c r="B5277" i="1"/>
  <c r="U5276" i="1"/>
  <c r="K5276" i="1"/>
  <c r="E5276" i="1"/>
  <c r="B5276" i="1"/>
  <c r="U5275" i="1"/>
  <c r="K5275" i="1"/>
  <c r="E5275" i="1"/>
  <c r="B5275" i="1"/>
  <c r="U5274" i="1"/>
  <c r="K5274" i="1"/>
  <c r="E5274" i="1"/>
  <c r="B5274" i="1"/>
  <c r="U5273" i="1"/>
  <c r="K5273" i="1"/>
  <c r="E5273" i="1"/>
  <c r="B5273" i="1"/>
  <c r="U5272" i="1"/>
  <c r="K5272" i="1"/>
  <c r="E5272" i="1"/>
  <c r="B5272" i="1"/>
  <c r="U5271" i="1"/>
  <c r="K5271" i="1"/>
  <c r="E5271" i="1"/>
  <c r="B5271" i="1"/>
  <c r="U5270" i="1"/>
  <c r="K5270" i="1"/>
  <c r="E5270" i="1"/>
  <c r="B5270" i="1"/>
  <c r="U5269" i="1"/>
  <c r="K5269" i="1"/>
  <c r="E5269" i="1"/>
  <c r="B5269" i="1"/>
  <c r="U5268" i="1"/>
  <c r="K5268" i="1"/>
  <c r="E5268" i="1"/>
  <c r="B5268" i="1"/>
  <c r="U5267" i="1"/>
  <c r="K5267" i="1"/>
  <c r="E5267" i="1"/>
  <c r="B5267" i="1"/>
  <c r="U5266" i="1"/>
  <c r="K5266" i="1"/>
  <c r="E5266" i="1"/>
  <c r="B5266" i="1"/>
  <c r="U5265" i="1"/>
  <c r="K5265" i="1"/>
  <c r="E5265" i="1"/>
  <c r="B5265" i="1"/>
  <c r="U5264" i="1"/>
  <c r="K5264" i="1"/>
  <c r="E5264" i="1"/>
  <c r="B5264" i="1"/>
  <c r="U5263" i="1"/>
  <c r="K5263" i="1"/>
  <c r="E5263" i="1"/>
  <c r="B5263" i="1"/>
  <c r="U5262" i="1"/>
  <c r="K5262" i="1"/>
  <c r="E5262" i="1"/>
  <c r="B5262" i="1"/>
  <c r="U5261" i="1"/>
  <c r="K5261" i="1"/>
  <c r="E5261" i="1"/>
  <c r="B5261" i="1"/>
  <c r="U5260" i="1"/>
  <c r="K5260" i="1"/>
  <c r="E5260" i="1"/>
  <c r="B5260" i="1"/>
  <c r="U5259" i="1"/>
  <c r="K5259" i="1"/>
  <c r="E5259" i="1"/>
  <c r="B5259" i="1"/>
  <c r="U5258" i="1"/>
  <c r="K5258" i="1"/>
  <c r="E5258" i="1"/>
  <c r="B5258" i="1"/>
  <c r="U5257" i="1"/>
  <c r="K5257" i="1"/>
  <c r="E5257" i="1"/>
  <c r="B5257" i="1"/>
  <c r="U5256" i="1"/>
  <c r="K5256" i="1"/>
  <c r="E5256" i="1"/>
  <c r="B5256" i="1"/>
  <c r="U5255" i="1"/>
  <c r="K5255" i="1"/>
  <c r="E5255" i="1"/>
  <c r="B5255" i="1"/>
  <c r="U5254" i="1"/>
  <c r="K5254" i="1"/>
  <c r="E5254" i="1"/>
  <c r="B5254" i="1"/>
  <c r="U5253" i="1"/>
  <c r="K5253" i="1"/>
  <c r="E5253" i="1"/>
  <c r="B5253" i="1"/>
  <c r="U5252" i="1"/>
  <c r="K5252" i="1"/>
  <c r="E5252" i="1"/>
  <c r="B5252" i="1"/>
  <c r="U5251" i="1"/>
  <c r="K5251" i="1"/>
  <c r="E5251" i="1"/>
  <c r="B5251" i="1"/>
  <c r="U5250" i="1"/>
  <c r="K5250" i="1"/>
  <c r="E5250" i="1"/>
  <c r="B5250" i="1"/>
  <c r="U5249" i="1"/>
  <c r="K5249" i="1"/>
  <c r="E5249" i="1"/>
  <c r="B5249" i="1"/>
  <c r="U5248" i="1"/>
  <c r="K5248" i="1"/>
  <c r="E5248" i="1"/>
  <c r="B5248" i="1"/>
  <c r="U5247" i="1"/>
  <c r="K5247" i="1"/>
  <c r="E5247" i="1"/>
  <c r="B5247" i="1"/>
  <c r="U5246" i="1"/>
  <c r="K5246" i="1"/>
  <c r="E5246" i="1"/>
  <c r="B5246" i="1"/>
  <c r="U5245" i="1"/>
  <c r="K5245" i="1"/>
  <c r="E5245" i="1"/>
  <c r="B5245" i="1"/>
  <c r="U5244" i="1"/>
  <c r="K5244" i="1"/>
  <c r="E5244" i="1"/>
  <c r="B5244" i="1"/>
  <c r="U5243" i="1"/>
  <c r="K5243" i="1"/>
  <c r="E5243" i="1"/>
  <c r="B5243" i="1"/>
  <c r="U5242" i="1"/>
  <c r="K5242" i="1"/>
  <c r="E5242" i="1"/>
  <c r="B5242" i="1"/>
  <c r="U5241" i="1"/>
  <c r="K5241" i="1"/>
  <c r="E5241" i="1"/>
  <c r="B5241" i="1"/>
  <c r="U5240" i="1"/>
  <c r="K5240" i="1"/>
  <c r="E5240" i="1"/>
  <c r="B5240" i="1"/>
  <c r="U5239" i="1"/>
  <c r="K5239" i="1"/>
  <c r="E5239" i="1"/>
  <c r="B5239" i="1"/>
  <c r="U5238" i="1"/>
  <c r="K5238" i="1"/>
  <c r="E5238" i="1"/>
  <c r="B5238" i="1"/>
  <c r="U5237" i="1"/>
  <c r="K5237" i="1"/>
  <c r="E5237" i="1"/>
  <c r="B5237" i="1"/>
  <c r="U5236" i="1"/>
  <c r="K5236" i="1"/>
  <c r="E5236" i="1"/>
  <c r="B5236" i="1"/>
  <c r="U5235" i="1"/>
  <c r="K5235" i="1"/>
  <c r="E5235" i="1"/>
  <c r="B5235" i="1"/>
  <c r="U5234" i="1"/>
  <c r="K5234" i="1"/>
  <c r="E5234" i="1"/>
  <c r="B5234" i="1"/>
  <c r="U5233" i="1"/>
  <c r="K5233" i="1"/>
  <c r="E5233" i="1"/>
  <c r="B5233" i="1"/>
  <c r="U5232" i="1"/>
  <c r="K5232" i="1"/>
  <c r="E5232" i="1"/>
  <c r="B5232" i="1"/>
  <c r="U5231" i="1"/>
  <c r="K5231" i="1"/>
  <c r="E5231" i="1"/>
  <c r="B5231" i="1"/>
  <c r="U5230" i="1"/>
  <c r="K5230" i="1"/>
  <c r="E5230" i="1"/>
  <c r="B5230" i="1"/>
  <c r="U5229" i="1"/>
  <c r="K5229" i="1"/>
  <c r="E5229" i="1"/>
  <c r="B5229" i="1"/>
  <c r="U5228" i="1"/>
  <c r="K5228" i="1"/>
  <c r="E5228" i="1"/>
  <c r="B5228" i="1"/>
  <c r="U5227" i="1"/>
  <c r="K5227" i="1"/>
  <c r="E5227" i="1"/>
  <c r="B5227" i="1"/>
  <c r="K5226" i="1"/>
  <c r="E5226" i="1"/>
  <c r="B5226" i="1"/>
  <c r="U5225" i="1"/>
  <c r="K5225" i="1"/>
  <c r="E5225" i="1"/>
  <c r="B5225" i="1"/>
  <c r="U5224" i="1"/>
  <c r="K5224" i="1"/>
  <c r="E5224" i="1"/>
  <c r="B5224" i="1"/>
  <c r="U5223" i="1"/>
  <c r="K5223" i="1"/>
  <c r="E5223" i="1"/>
  <c r="B5223" i="1"/>
  <c r="U5222" i="1"/>
  <c r="K5222" i="1"/>
  <c r="E5222" i="1"/>
  <c r="B5222" i="1"/>
  <c r="U5221" i="1"/>
  <c r="K5221" i="1"/>
  <c r="E5221" i="1"/>
  <c r="B5221" i="1"/>
  <c r="U5220" i="1"/>
  <c r="K5220" i="1"/>
  <c r="E5220" i="1"/>
  <c r="B5220" i="1"/>
  <c r="U5219" i="1"/>
  <c r="K5219" i="1"/>
  <c r="E5219" i="1"/>
  <c r="B5219" i="1"/>
  <c r="U5218" i="1"/>
  <c r="K5218" i="1"/>
  <c r="E5218" i="1"/>
  <c r="B5218" i="1"/>
  <c r="U5217" i="1"/>
  <c r="K5217" i="1"/>
  <c r="E5217" i="1"/>
  <c r="B5217" i="1"/>
  <c r="U5216" i="1"/>
  <c r="K5216" i="1"/>
  <c r="E5216" i="1"/>
  <c r="B5216" i="1"/>
  <c r="U5215" i="1"/>
  <c r="K5215" i="1"/>
  <c r="E5215" i="1"/>
  <c r="B5215" i="1"/>
  <c r="U5214" i="1"/>
  <c r="K5214" i="1"/>
  <c r="E5214" i="1"/>
  <c r="B5214" i="1"/>
  <c r="U5213" i="1"/>
  <c r="K5213" i="1"/>
  <c r="E5213" i="1"/>
  <c r="B5213" i="1"/>
  <c r="U5212" i="1"/>
  <c r="K5212" i="1"/>
  <c r="E5212" i="1"/>
  <c r="B5212" i="1"/>
  <c r="U5211" i="1"/>
  <c r="K5211" i="1"/>
  <c r="E5211" i="1"/>
  <c r="B5211" i="1"/>
  <c r="U5210" i="1"/>
  <c r="K5210" i="1"/>
  <c r="E5210" i="1"/>
  <c r="B5210" i="1"/>
  <c r="U5209" i="1"/>
  <c r="K5209" i="1"/>
  <c r="E5209" i="1"/>
  <c r="B5209" i="1"/>
  <c r="U5208" i="1"/>
  <c r="K5208" i="1"/>
  <c r="E5208" i="1"/>
  <c r="B5208" i="1"/>
  <c r="U5207" i="1"/>
  <c r="K5207" i="1"/>
  <c r="E5207" i="1"/>
  <c r="B5207" i="1"/>
  <c r="U5206" i="1"/>
  <c r="K5206" i="1"/>
  <c r="E5206" i="1"/>
  <c r="B5206" i="1"/>
  <c r="U5205" i="1"/>
  <c r="K5205" i="1"/>
  <c r="E5205" i="1"/>
  <c r="B5205" i="1"/>
  <c r="U5204" i="1"/>
  <c r="K5204" i="1"/>
  <c r="E5204" i="1"/>
  <c r="B5204" i="1"/>
  <c r="U5203" i="1"/>
  <c r="K5203" i="1"/>
  <c r="E5203" i="1"/>
  <c r="B5203" i="1"/>
  <c r="U5202" i="1"/>
  <c r="K5202" i="1"/>
  <c r="E5202" i="1"/>
  <c r="B5202" i="1"/>
  <c r="U5201" i="1"/>
  <c r="K5201" i="1"/>
  <c r="E5201" i="1"/>
  <c r="B5201" i="1"/>
  <c r="U5200" i="1"/>
  <c r="K5200" i="1"/>
  <c r="E5200" i="1"/>
  <c r="B5200" i="1"/>
  <c r="U5199" i="1"/>
  <c r="K5199" i="1"/>
  <c r="E5199" i="1"/>
  <c r="B5199" i="1"/>
  <c r="U5198" i="1"/>
  <c r="K5198" i="1"/>
  <c r="E5198" i="1"/>
  <c r="B5198" i="1"/>
  <c r="U5197" i="1"/>
  <c r="K5197" i="1"/>
  <c r="E5197" i="1"/>
  <c r="B5197" i="1"/>
  <c r="U5196" i="1"/>
  <c r="K5196" i="1"/>
  <c r="E5196" i="1"/>
  <c r="B5196" i="1"/>
  <c r="U5195" i="1"/>
  <c r="K5195" i="1"/>
  <c r="E5195" i="1"/>
  <c r="B5195" i="1"/>
  <c r="U5194" i="1"/>
  <c r="K5194" i="1"/>
  <c r="E5194" i="1"/>
  <c r="B5194" i="1"/>
  <c r="U5193" i="1"/>
  <c r="K5193" i="1"/>
  <c r="E5193" i="1"/>
  <c r="B5193" i="1"/>
  <c r="U5192" i="1"/>
  <c r="K5192" i="1"/>
  <c r="E5192" i="1"/>
  <c r="B5192" i="1"/>
  <c r="U5191" i="1"/>
  <c r="K5191" i="1"/>
  <c r="E5191" i="1"/>
  <c r="B5191" i="1"/>
  <c r="U5190" i="1"/>
  <c r="K5190" i="1"/>
  <c r="E5190" i="1"/>
  <c r="B5190" i="1"/>
  <c r="U5189" i="1"/>
  <c r="K5189" i="1"/>
  <c r="E5189" i="1"/>
  <c r="B5189" i="1"/>
  <c r="U5188" i="1"/>
  <c r="K5188" i="1"/>
  <c r="E5188" i="1"/>
  <c r="B5188" i="1"/>
  <c r="U5187" i="1"/>
  <c r="K5187" i="1"/>
  <c r="E5187" i="1"/>
  <c r="B5187" i="1"/>
  <c r="U5186" i="1"/>
  <c r="K5186" i="1"/>
  <c r="E5186" i="1"/>
  <c r="B5186" i="1"/>
  <c r="U5185" i="1"/>
  <c r="K5185" i="1"/>
  <c r="E5185" i="1"/>
  <c r="B5185" i="1"/>
  <c r="U5184" i="1"/>
  <c r="K5184" i="1"/>
  <c r="E5184" i="1"/>
  <c r="B5184" i="1"/>
  <c r="U5183" i="1"/>
  <c r="K5183" i="1"/>
  <c r="E5183" i="1"/>
  <c r="B5183" i="1"/>
  <c r="U5182" i="1"/>
  <c r="K5182" i="1"/>
  <c r="E5182" i="1"/>
  <c r="B5182" i="1"/>
  <c r="U5181" i="1"/>
  <c r="K5181" i="1"/>
  <c r="E5181" i="1"/>
  <c r="B5181" i="1"/>
  <c r="U5180" i="1"/>
  <c r="K5180" i="1"/>
  <c r="E5180" i="1"/>
  <c r="B5180" i="1"/>
  <c r="U5179" i="1"/>
  <c r="K5179" i="1"/>
  <c r="E5179" i="1"/>
  <c r="B5179" i="1"/>
  <c r="U5178" i="1"/>
  <c r="K5178" i="1"/>
  <c r="E5178" i="1"/>
  <c r="B5178" i="1"/>
  <c r="U5177" i="1"/>
  <c r="K5177" i="1"/>
  <c r="E5177" i="1"/>
  <c r="B5177" i="1"/>
  <c r="U5176" i="1"/>
  <c r="K5176" i="1"/>
  <c r="E5176" i="1"/>
  <c r="B5176" i="1"/>
  <c r="U5175" i="1"/>
  <c r="K5175" i="1"/>
  <c r="E5175" i="1"/>
  <c r="B5175" i="1"/>
  <c r="U5174" i="1"/>
  <c r="K5174" i="1"/>
  <c r="E5174" i="1"/>
  <c r="B5174" i="1"/>
  <c r="U5173" i="1"/>
  <c r="K5173" i="1"/>
  <c r="E5173" i="1"/>
  <c r="B5173" i="1"/>
  <c r="U5172" i="1"/>
  <c r="K5172" i="1"/>
  <c r="E5172" i="1"/>
  <c r="B5172" i="1"/>
  <c r="U5171" i="1"/>
  <c r="K5171" i="1"/>
  <c r="E5171" i="1"/>
  <c r="B5171" i="1"/>
  <c r="U5170" i="1"/>
  <c r="K5170" i="1"/>
  <c r="E5170" i="1"/>
  <c r="B5170" i="1"/>
  <c r="U5169" i="1"/>
  <c r="K5169" i="1"/>
  <c r="E5169" i="1"/>
  <c r="B5169" i="1"/>
  <c r="U5168" i="1"/>
  <c r="K5168" i="1"/>
  <c r="E5168" i="1"/>
  <c r="B5168" i="1"/>
  <c r="U5167" i="1"/>
  <c r="K5167" i="1"/>
  <c r="E5167" i="1"/>
  <c r="B5167" i="1"/>
  <c r="U5166" i="1"/>
  <c r="K5166" i="1"/>
  <c r="E5166" i="1"/>
  <c r="B5166" i="1"/>
  <c r="U5165" i="1"/>
  <c r="K5165" i="1"/>
  <c r="E5165" i="1"/>
  <c r="B5165" i="1"/>
  <c r="U5164" i="1"/>
  <c r="K5164" i="1"/>
  <c r="E5164" i="1"/>
  <c r="B5164" i="1"/>
  <c r="U5163" i="1"/>
  <c r="K5163" i="1"/>
  <c r="E5163" i="1"/>
  <c r="B5163" i="1"/>
  <c r="U5162" i="1"/>
  <c r="K5162" i="1"/>
  <c r="E5162" i="1"/>
  <c r="B5162" i="1"/>
  <c r="U5161" i="1"/>
  <c r="K5161" i="1"/>
  <c r="E5161" i="1"/>
  <c r="B5161" i="1"/>
  <c r="U5160" i="1"/>
  <c r="K5160" i="1"/>
  <c r="E5160" i="1"/>
  <c r="B5160" i="1"/>
  <c r="U5159" i="1"/>
  <c r="K5159" i="1"/>
  <c r="E5159" i="1"/>
  <c r="B5159" i="1"/>
  <c r="U5158" i="1"/>
  <c r="K5158" i="1"/>
  <c r="E5158" i="1"/>
  <c r="B5158" i="1"/>
  <c r="U5157" i="1"/>
  <c r="K5157" i="1"/>
  <c r="E5157" i="1"/>
  <c r="B5157" i="1"/>
  <c r="U5156" i="1"/>
  <c r="K5156" i="1"/>
  <c r="E5156" i="1"/>
  <c r="B5156" i="1"/>
  <c r="U5155" i="1"/>
  <c r="K5155" i="1"/>
  <c r="E5155" i="1"/>
  <c r="B5155" i="1"/>
  <c r="U5154" i="1"/>
  <c r="K5154" i="1"/>
  <c r="E5154" i="1"/>
  <c r="B5154" i="1"/>
  <c r="U5153" i="1"/>
  <c r="K5153" i="1"/>
  <c r="E5153" i="1"/>
  <c r="B5153" i="1"/>
  <c r="U5152" i="1"/>
  <c r="K5152" i="1"/>
  <c r="E5152" i="1"/>
  <c r="B5152" i="1"/>
  <c r="U5151" i="1"/>
  <c r="K5151" i="1"/>
  <c r="E5151" i="1"/>
  <c r="B5151" i="1"/>
  <c r="U5150" i="1"/>
  <c r="K5150" i="1"/>
  <c r="E5150" i="1"/>
  <c r="B5150" i="1"/>
  <c r="U5149" i="1"/>
  <c r="K5149" i="1"/>
  <c r="E5149" i="1"/>
  <c r="B5149" i="1"/>
  <c r="U5148" i="1"/>
  <c r="K5148" i="1"/>
  <c r="E5148" i="1"/>
  <c r="B5148" i="1"/>
  <c r="U5147" i="1"/>
  <c r="K5147" i="1"/>
  <c r="E5147" i="1"/>
  <c r="B5147" i="1"/>
  <c r="U5146" i="1"/>
  <c r="K5146" i="1"/>
  <c r="E5146" i="1"/>
  <c r="B5146" i="1"/>
  <c r="U5145" i="1"/>
  <c r="K5145" i="1"/>
  <c r="E5145" i="1"/>
  <c r="B5145" i="1"/>
  <c r="U5144" i="1"/>
  <c r="K5144" i="1"/>
  <c r="E5144" i="1"/>
  <c r="B5144" i="1"/>
  <c r="U5143" i="1"/>
  <c r="K5143" i="1"/>
  <c r="E5143" i="1"/>
  <c r="B5143" i="1"/>
  <c r="U5142" i="1"/>
  <c r="K5142" i="1"/>
  <c r="E5142" i="1"/>
  <c r="B5142" i="1"/>
  <c r="U5141" i="1"/>
  <c r="K5141" i="1"/>
  <c r="E5141" i="1"/>
  <c r="B5141" i="1"/>
  <c r="U5140" i="1"/>
  <c r="K5140" i="1"/>
  <c r="E5140" i="1"/>
  <c r="B5140" i="1"/>
  <c r="U5139" i="1"/>
  <c r="K5139" i="1"/>
  <c r="E5139" i="1"/>
  <c r="B5139" i="1"/>
  <c r="U5138" i="1"/>
  <c r="K5138" i="1"/>
  <c r="E5138" i="1"/>
  <c r="B5138" i="1"/>
  <c r="U5137" i="1"/>
  <c r="K5137" i="1"/>
  <c r="E5137" i="1"/>
  <c r="B5137" i="1"/>
  <c r="U5136" i="1"/>
  <c r="K5136" i="1"/>
  <c r="E5136" i="1"/>
  <c r="B5136" i="1"/>
  <c r="U5135" i="1"/>
  <c r="K5135" i="1"/>
  <c r="E5135" i="1"/>
  <c r="B5135" i="1"/>
  <c r="K5134" i="1"/>
  <c r="E5134" i="1"/>
  <c r="B5134" i="1"/>
  <c r="U5133" i="1"/>
  <c r="K5133" i="1"/>
  <c r="E5133" i="1"/>
  <c r="B5133" i="1"/>
  <c r="U5132" i="1"/>
  <c r="K5132" i="1"/>
  <c r="E5132" i="1"/>
  <c r="B5132" i="1"/>
  <c r="U5131" i="1"/>
  <c r="K5131" i="1"/>
  <c r="E5131" i="1"/>
  <c r="B5131" i="1"/>
  <c r="U5130" i="1"/>
  <c r="K5130" i="1"/>
  <c r="E5130" i="1"/>
  <c r="B5130" i="1"/>
  <c r="U5129" i="1"/>
  <c r="K5129" i="1"/>
  <c r="E5129" i="1"/>
  <c r="B5129" i="1"/>
  <c r="U5128" i="1"/>
  <c r="K5128" i="1"/>
  <c r="E5128" i="1"/>
  <c r="B5128" i="1"/>
  <c r="K5127" i="1"/>
  <c r="E5127" i="1"/>
  <c r="B5127" i="1"/>
  <c r="K5126" i="1"/>
  <c r="E5126" i="1"/>
  <c r="B5126" i="1"/>
  <c r="U5125" i="1"/>
  <c r="K5125" i="1"/>
  <c r="E5125" i="1"/>
  <c r="B5125" i="1"/>
  <c r="U5124" i="1"/>
  <c r="K5124" i="1"/>
  <c r="E5124" i="1"/>
  <c r="B5124" i="1"/>
  <c r="U5123" i="1"/>
  <c r="K5123" i="1"/>
  <c r="E5123" i="1"/>
  <c r="B5123" i="1"/>
  <c r="U5122" i="1"/>
  <c r="K5122" i="1"/>
  <c r="E5122" i="1"/>
  <c r="B5122" i="1"/>
  <c r="U5121" i="1"/>
  <c r="K5121" i="1"/>
  <c r="E5121" i="1"/>
  <c r="B5121" i="1"/>
  <c r="K5120" i="1"/>
  <c r="E5120" i="1"/>
  <c r="B5120" i="1"/>
  <c r="U5119" i="1"/>
  <c r="K5119" i="1"/>
  <c r="E5119" i="1"/>
  <c r="B5119" i="1"/>
  <c r="U5118" i="1"/>
  <c r="K5118" i="1"/>
  <c r="E5118" i="1"/>
  <c r="B5118" i="1"/>
  <c r="U5117" i="1"/>
  <c r="K5117" i="1"/>
  <c r="E5117" i="1"/>
  <c r="B5117" i="1"/>
  <c r="U5116" i="1"/>
  <c r="K5116" i="1"/>
  <c r="E5116" i="1"/>
  <c r="B5116" i="1"/>
  <c r="U5115" i="1"/>
  <c r="K5115" i="1"/>
  <c r="E5115" i="1"/>
  <c r="B5115" i="1"/>
  <c r="U5114" i="1"/>
  <c r="K5114" i="1"/>
  <c r="E5114" i="1"/>
  <c r="B5114" i="1"/>
  <c r="U5113" i="1"/>
  <c r="K5113" i="1"/>
  <c r="E5113" i="1"/>
  <c r="B5113" i="1"/>
  <c r="U5112" i="1"/>
  <c r="K5112" i="1"/>
  <c r="E5112" i="1"/>
  <c r="B5112" i="1"/>
  <c r="U5111" i="1"/>
  <c r="K5111" i="1"/>
  <c r="E5111" i="1"/>
  <c r="B5111" i="1"/>
  <c r="U5110" i="1"/>
  <c r="K5110" i="1"/>
  <c r="E5110" i="1"/>
  <c r="B5110" i="1"/>
  <c r="U5109" i="1"/>
  <c r="K5109" i="1"/>
  <c r="E5109" i="1"/>
  <c r="B5109" i="1"/>
  <c r="U5108" i="1"/>
  <c r="K5108" i="1"/>
  <c r="E5108" i="1"/>
  <c r="B5108" i="1"/>
  <c r="U5107" i="1"/>
  <c r="K5107" i="1"/>
  <c r="E5107" i="1"/>
  <c r="B5107" i="1"/>
  <c r="U5106" i="1"/>
  <c r="K5106" i="1"/>
  <c r="E5106" i="1"/>
  <c r="B5106" i="1"/>
  <c r="U5105" i="1"/>
  <c r="K5105" i="1"/>
  <c r="E5105" i="1"/>
  <c r="B5105" i="1"/>
  <c r="U5104" i="1"/>
  <c r="K5104" i="1"/>
  <c r="E5104" i="1"/>
  <c r="B5104" i="1"/>
  <c r="U5103" i="1"/>
  <c r="K5103" i="1"/>
  <c r="E5103" i="1"/>
  <c r="B5103" i="1"/>
  <c r="U5102" i="1"/>
  <c r="K5102" i="1"/>
  <c r="E5102" i="1"/>
  <c r="B5102" i="1"/>
  <c r="U5101" i="1"/>
  <c r="K5101" i="1"/>
  <c r="E5101" i="1"/>
  <c r="B5101" i="1"/>
  <c r="U5100" i="1"/>
  <c r="K5100" i="1"/>
  <c r="E5100" i="1"/>
  <c r="B5100" i="1"/>
  <c r="U5099" i="1"/>
  <c r="K5099" i="1"/>
  <c r="E5099" i="1"/>
  <c r="B5099" i="1"/>
  <c r="U5098" i="1"/>
  <c r="K5098" i="1"/>
  <c r="E5098" i="1"/>
  <c r="B5098" i="1"/>
  <c r="U5097" i="1"/>
  <c r="K5097" i="1"/>
  <c r="E5097" i="1"/>
  <c r="B5097" i="1"/>
  <c r="U5096" i="1"/>
  <c r="K5096" i="1"/>
  <c r="E5096" i="1"/>
  <c r="B5096" i="1"/>
  <c r="U5095" i="1"/>
  <c r="K5095" i="1"/>
  <c r="E5095" i="1"/>
  <c r="B5095" i="1"/>
  <c r="U5094" i="1"/>
  <c r="K5094" i="1"/>
  <c r="E5094" i="1"/>
  <c r="B5094" i="1"/>
  <c r="U5093" i="1"/>
  <c r="K5093" i="1"/>
  <c r="E5093" i="1"/>
  <c r="B5093" i="1"/>
  <c r="U5092" i="1"/>
  <c r="K5092" i="1"/>
  <c r="E5092" i="1"/>
  <c r="B5092" i="1"/>
  <c r="U5091" i="1"/>
  <c r="K5091" i="1"/>
  <c r="E5091" i="1"/>
  <c r="B5091" i="1"/>
  <c r="U5090" i="1"/>
  <c r="K5090" i="1"/>
  <c r="E5090" i="1"/>
  <c r="B5090" i="1"/>
  <c r="U5089" i="1"/>
  <c r="K5089" i="1"/>
  <c r="E5089" i="1"/>
  <c r="B5089" i="1"/>
  <c r="U5088" i="1"/>
  <c r="K5088" i="1"/>
  <c r="E5088" i="1"/>
  <c r="B5088" i="1"/>
  <c r="U5087" i="1"/>
  <c r="K5087" i="1"/>
  <c r="E5087" i="1"/>
  <c r="B5087" i="1"/>
  <c r="U5086" i="1"/>
  <c r="K5086" i="1"/>
  <c r="E5086" i="1"/>
  <c r="B5086" i="1"/>
  <c r="U5085" i="1"/>
  <c r="K5085" i="1"/>
  <c r="E5085" i="1"/>
  <c r="B5085" i="1"/>
  <c r="U5084" i="1"/>
  <c r="K5084" i="1"/>
  <c r="E5084" i="1"/>
  <c r="B5084" i="1"/>
  <c r="U5083" i="1"/>
  <c r="K5083" i="1"/>
  <c r="E5083" i="1"/>
  <c r="B5083" i="1"/>
  <c r="K5082" i="1"/>
  <c r="E5082" i="1"/>
  <c r="B5082" i="1"/>
  <c r="U5081" i="1"/>
  <c r="K5081" i="1"/>
  <c r="E5081" i="1"/>
  <c r="B5081" i="1"/>
  <c r="U5080" i="1"/>
  <c r="K5080" i="1"/>
  <c r="E5080" i="1"/>
  <c r="B5080" i="1"/>
  <c r="U5079" i="1"/>
  <c r="K5079" i="1"/>
  <c r="E5079" i="1"/>
  <c r="B5079" i="1"/>
  <c r="U5078" i="1"/>
  <c r="K5078" i="1"/>
  <c r="E5078" i="1"/>
  <c r="B5078" i="1"/>
  <c r="U5077" i="1"/>
  <c r="K5077" i="1"/>
  <c r="E5077" i="1"/>
  <c r="B5077" i="1"/>
  <c r="U5076" i="1"/>
  <c r="K5076" i="1"/>
  <c r="E5076" i="1"/>
  <c r="B5076" i="1"/>
  <c r="U5075" i="1"/>
  <c r="K5075" i="1"/>
  <c r="E5075" i="1"/>
  <c r="B5075" i="1"/>
  <c r="U5074" i="1"/>
  <c r="K5074" i="1"/>
  <c r="E5074" i="1"/>
  <c r="B5074" i="1"/>
  <c r="U5073" i="1"/>
  <c r="K5073" i="1"/>
  <c r="E5073" i="1"/>
  <c r="B5073" i="1"/>
  <c r="U5072" i="1"/>
  <c r="K5072" i="1"/>
  <c r="E5072" i="1"/>
  <c r="B5072" i="1"/>
  <c r="U5071" i="1"/>
  <c r="K5071" i="1"/>
  <c r="E5071" i="1"/>
  <c r="B5071" i="1"/>
  <c r="U5070" i="1"/>
  <c r="K5070" i="1"/>
  <c r="E5070" i="1"/>
  <c r="B5070" i="1"/>
  <c r="U5069" i="1"/>
  <c r="K5069" i="1"/>
  <c r="E5069" i="1"/>
  <c r="B5069" i="1"/>
  <c r="U5068" i="1"/>
  <c r="K5068" i="1"/>
  <c r="E5068" i="1"/>
  <c r="B5068" i="1"/>
  <c r="U5067" i="1"/>
  <c r="K5067" i="1"/>
  <c r="E5067" i="1"/>
  <c r="B5067" i="1"/>
  <c r="U5066" i="1"/>
  <c r="K5066" i="1"/>
  <c r="E5066" i="1"/>
  <c r="B5066" i="1"/>
  <c r="U5065" i="1"/>
  <c r="K5065" i="1"/>
  <c r="E5065" i="1"/>
  <c r="B5065" i="1"/>
  <c r="U5064" i="1"/>
  <c r="K5064" i="1"/>
  <c r="E5064" i="1"/>
  <c r="B5064" i="1"/>
  <c r="U5063" i="1"/>
  <c r="K5063" i="1"/>
  <c r="E5063" i="1"/>
  <c r="B5063" i="1"/>
  <c r="U5062" i="1"/>
  <c r="K5062" i="1"/>
  <c r="E5062" i="1"/>
  <c r="B5062" i="1"/>
  <c r="U5061" i="1"/>
  <c r="K5061" i="1"/>
  <c r="E5061" i="1"/>
  <c r="B5061" i="1"/>
  <c r="U5060" i="1"/>
  <c r="K5060" i="1"/>
  <c r="E5060" i="1"/>
  <c r="B5060" i="1"/>
  <c r="U5059" i="1"/>
  <c r="K5059" i="1"/>
  <c r="E5059" i="1"/>
  <c r="B5059" i="1"/>
  <c r="U5058" i="1"/>
  <c r="K5058" i="1"/>
  <c r="E5058" i="1"/>
  <c r="B5058" i="1"/>
  <c r="K5057" i="1"/>
  <c r="E5057" i="1"/>
  <c r="B5057" i="1"/>
  <c r="U5056" i="1"/>
  <c r="K5056" i="1"/>
  <c r="E5056" i="1"/>
  <c r="B5056" i="1"/>
  <c r="U5055" i="1"/>
  <c r="K5055" i="1"/>
  <c r="E5055" i="1"/>
  <c r="B5055" i="1"/>
  <c r="U5054" i="1"/>
  <c r="K5054" i="1"/>
  <c r="E5054" i="1"/>
  <c r="B5054" i="1"/>
  <c r="U5053" i="1"/>
  <c r="K5053" i="1"/>
  <c r="E5053" i="1"/>
  <c r="B5053" i="1"/>
  <c r="K5052" i="1"/>
  <c r="E5052" i="1"/>
  <c r="B5052" i="1"/>
  <c r="U5051" i="1"/>
  <c r="K5051" i="1"/>
  <c r="E5051" i="1"/>
  <c r="B5051" i="1"/>
  <c r="U5050" i="1"/>
  <c r="K5050" i="1"/>
  <c r="E5050" i="1"/>
  <c r="B5050" i="1"/>
  <c r="U5049" i="1"/>
  <c r="K5049" i="1"/>
  <c r="E5049" i="1"/>
  <c r="B5049" i="1"/>
  <c r="U5048" i="1"/>
  <c r="K5048" i="1"/>
  <c r="E5048" i="1"/>
  <c r="B5048" i="1"/>
  <c r="U5047" i="1"/>
  <c r="K5047" i="1"/>
  <c r="E5047" i="1"/>
  <c r="B5047" i="1"/>
  <c r="U5046" i="1"/>
  <c r="K5046" i="1"/>
  <c r="E5046" i="1"/>
  <c r="B5046" i="1"/>
  <c r="U5045" i="1"/>
  <c r="K5045" i="1"/>
  <c r="E5045" i="1"/>
  <c r="B5045" i="1"/>
  <c r="U5044" i="1"/>
  <c r="K5044" i="1"/>
  <c r="E5044" i="1"/>
  <c r="B5044" i="1"/>
  <c r="U5043" i="1"/>
  <c r="K5043" i="1"/>
  <c r="E5043" i="1"/>
  <c r="B5043" i="1"/>
  <c r="U5042" i="1"/>
  <c r="K5042" i="1"/>
  <c r="E5042" i="1"/>
  <c r="B5042" i="1"/>
  <c r="U5041" i="1"/>
  <c r="K5041" i="1"/>
  <c r="E5041" i="1"/>
  <c r="B5041" i="1"/>
  <c r="U5040" i="1"/>
  <c r="K5040" i="1"/>
  <c r="E5040" i="1"/>
  <c r="B5040" i="1"/>
  <c r="U5039" i="1"/>
  <c r="K5039" i="1"/>
  <c r="E5039" i="1"/>
  <c r="B5039" i="1"/>
  <c r="U5038" i="1"/>
  <c r="K5038" i="1"/>
  <c r="E5038" i="1"/>
  <c r="B5038" i="1"/>
  <c r="U5037" i="1"/>
  <c r="K5037" i="1"/>
  <c r="E5037" i="1"/>
  <c r="B5037" i="1"/>
  <c r="K5036" i="1"/>
  <c r="E5036" i="1"/>
  <c r="B5036" i="1"/>
  <c r="U5035" i="1"/>
  <c r="K5035" i="1"/>
  <c r="E5035" i="1"/>
  <c r="B5035" i="1"/>
  <c r="U5034" i="1"/>
  <c r="K5034" i="1"/>
  <c r="E5034" i="1"/>
  <c r="B5034" i="1"/>
  <c r="U5033" i="1"/>
  <c r="K5033" i="1"/>
  <c r="E5033" i="1"/>
  <c r="B5033" i="1"/>
  <c r="U5032" i="1"/>
  <c r="K5032" i="1"/>
  <c r="E5032" i="1"/>
  <c r="B5032" i="1"/>
  <c r="U5031" i="1"/>
  <c r="K5031" i="1"/>
  <c r="E5031" i="1"/>
  <c r="B5031" i="1"/>
  <c r="U5030" i="1"/>
  <c r="K5030" i="1"/>
  <c r="E5030" i="1"/>
  <c r="B5030" i="1"/>
  <c r="U5029" i="1"/>
  <c r="K5029" i="1"/>
  <c r="E5029" i="1"/>
  <c r="B5029" i="1"/>
  <c r="U5028" i="1"/>
  <c r="K5028" i="1"/>
  <c r="E5028" i="1"/>
  <c r="B5028" i="1"/>
  <c r="U5027" i="1"/>
  <c r="K5027" i="1"/>
  <c r="E5027" i="1"/>
  <c r="B5027" i="1"/>
  <c r="U5026" i="1"/>
  <c r="K5026" i="1"/>
  <c r="E5026" i="1"/>
  <c r="B5026" i="1"/>
  <c r="U5025" i="1"/>
  <c r="K5025" i="1"/>
  <c r="E5025" i="1"/>
  <c r="B5025" i="1"/>
  <c r="U5024" i="1"/>
  <c r="K5024" i="1"/>
  <c r="E5024" i="1"/>
  <c r="B5024" i="1"/>
  <c r="U5023" i="1"/>
  <c r="K5023" i="1"/>
  <c r="E5023" i="1"/>
  <c r="B5023" i="1"/>
  <c r="U5022" i="1"/>
  <c r="K5022" i="1"/>
  <c r="E5022" i="1"/>
  <c r="B5022" i="1"/>
  <c r="U5021" i="1"/>
  <c r="K5021" i="1"/>
  <c r="E5021" i="1"/>
  <c r="B5021" i="1"/>
  <c r="U5020" i="1"/>
  <c r="K5020" i="1"/>
  <c r="E5020" i="1"/>
  <c r="B5020" i="1"/>
  <c r="U5019" i="1"/>
  <c r="K5019" i="1"/>
  <c r="E5019" i="1"/>
  <c r="B5019" i="1"/>
  <c r="U5018" i="1"/>
  <c r="K5018" i="1"/>
  <c r="E5018" i="1"/>
  <c r="B5018" i="1"/>
  <c r="U5017" i="1"/>
  <c r="K5017" i="1"/>
  <c r="E5017" i="1"/>
  <c r="B5017" i="1"/>
  <c r="U5016" i="1"/>
  <c r="K5016" i="1"/>
  <c r="E5016" i="1"/>
  <c r="B5016" i="1"/>
  <c r="U5015" i="1"/>
  <c r="K5015" i="1"/>
  <c r="E5015" i="1"/>
  <c r="B5015" i="1"/>
  <c r="U5014" i="1"/>
  <c r="K5014" i="1"/>
  <c r="E5014" i="1"/>
  <c r="B5014" i="1"/>
  <c r="U5013" i="1"/>
  <c r="K5013" i="1"/>
  <c r="E5013" i="1"/>
  <c r="B5013" i="1"/>
  <c r="U5012" i="1"/>
  <c r="K5012" i="1"/>
  <c r="E5012" i="1"/>
  <c r="B5012" i="1"/>
  <c r="U5011" i="1"/>
  <c r="K5011" i="1"/>
  <c r="E5011" i="1"/>
  <c r="B5011" i="1"/>
  <c r="U5010" i="1"/>
  <c r="K5010" i="1"/>
  <c r="E5010" i="1"/>
  <c r="B5010" i="1"/>
  <c r="U5009" i="1"/>
  <c r="K5009" i="1"/>
  <c r="E5009" i="1"/>
  <c r="B5009" i="1"/>
  <c r="U5008" i="1"/>
  <c r="K5008" i="1"/>
  <c r="E5008" i="1"/>
  <c r="B5008" i="1"/>
  <c r="U5007" i="1"/>
  <c r="K5007" i="1"/>
  <c r="E5007" i="1"/>
  <c r="B5007" i="1"/>
  <c r="U5006" i="1"/>
  <c r="K5006" i="1"/>
  <c r="E5006" i="1"/>
  <c r="B5006" i="1"/>
  <c r="U5005" i="1"/>
  <c r="K5005" i="1"/>
  <c r="E5005" i="1"/>
  <c r="B5005" i="1"/>
  <c r="U5004" i="1"/>
  <c r="K5004" i="1"/>
  <c r="E5004" i="1"/>
  <c r="B5004" i="1"/>
  <c r="U5003" i="1"/>
  <c r="K5003" i="1"/>
  <c r="E5003" i="1"/>
  <c r="B5003" i="1"/>
  <c r="U5002" i="1"/>
  <c r="K5002" i="1"/>
  <c r="E5002" i="1"/>
  <c r="B5002" i="1"/>
  <c r="U5001" i="1"/>
  <c r="K5001" i="1"/>
  <c r="E5001" i="1"/>
  <c r="B5001" i="1"/>
  <c r="U5000" i="1"/>
  <c r="K5000" i="1"/>
  <c r="E5000" i="1"/>
  <c r="B5000" i="1"/>
  <c r="U4999" i="1"/>
  <c r="K4999" i="1"/>
  <c r="E4999" i="1"/>
  <c r="B4999" i="1"/>
  <c r="U4998" i="1"/>
  <c r="K4998" i="1"/>
  <c r="E4998" i="1"/>
  <c r="B4998" i="1"/>
  <c r="U4997" i="1"/>
  <c r="K4997" i="1"/>
  <c r="E4997" i="1"/>
  <c r="B4997" i="1"/>
  <c r="U4996" i="1"/>
  <c r="K4996" i="1"/>
  <c r="E4996" i="1"/>
  <c r="B4996" i="1"/>
  <c r="U4995" i="1"/>
  <c r="K4995" i="1"/>
  <c r="E4995" i="1"/>
  <c r="B4995" i="1"/>
  <c r="U4994" i="1"/>
  <c r="K4994" i="1"/>
  <c r="E4994" i="1"/>
  <c r="B4994" i="1"/>
  <c r="U4993" i="1"/>
  <c r="K4993" i="1"/>
  <c r="E4993" i="1"/>
  <c r="B4993" i="1"/>
  <c r="U4992" i="1"/>
  <c r="K4992" i="1"/>
  <c r="E4992" i="1"/>
  <c r="B4992" i="1"/>
  <c r="U4991" i="1"/>
  <c r="K4991" i="1"/>
  <c r="E4991" i="1"/>
  <c r="B4991" i="1"/>
  <c r="U4990" i="1"/>
  <c r="K4990" i="1"/>
  <c r="E4990" i="1"/>
  <c r="B4990" i="1"/>
  <c r="U4989" i="1"/>
  <c r="K4989" i="1"/>
  <c r="E4989" i="1"/>
  <c r="B4989" i="1"/>
  <c r="U4988" i="1"/>
  <c r="K4988" i="1"/>
  <c r="E4988" i="1"/>
  <c r="B4988" i="1"/>
  <c r="U4987" i="1"/>
  <c r="K4987" i="1"/>
  <c r="E4987" i="1"/>
  <c r="B4987" i="1"/>
  <c r="U4986" i="1"/>
  <c r="K4986" i="1"/>
  <c r="E4986" i="1"/>
  <c r="B4986" i="1"/>
  <c r="U4985" i="1"/>
  <c r="K4985" i="1"/>
  <c r="E4985" i="1"/>
  <c r="B4985" i="1"/>
  <c r="U4984" i="1"/>
  <c r="K4984" i="1"/>
  <c r="E4984" i="1"/>
  <c r="B4984" i="1"/>
  <c r="U4983" i="1"/>
  <c r="K4983" i="1"/>
  <c r="E4983" i="1"/>
  <c r="B4983" i="1"/>
  <c r="U4982" i="1"/>
  <c r="K4982" i="1"/>
  <c r="E4982" i="1"/>
  <c r="B4982" i="1"/>
  <c r="U4981" i="1"/>
  <c r="K4981" i="1"/>
  <c r="E4981" i="1"/>
  <c r="B4981" i="1"/>
  <c r="U4980" i="1"/>
  <c r="K4980" i="1"/>
  <c r="E4980" i="1"/>
  <c r="B4980" i="1"/>
  <c r="U4979" i="1"/>
  <c r="K4979" i="1"/>
  <c r="E4979" i="1"/>
  <c r="B4979" i="1"/>
  <c r="U4978" i="1"/>
  <c r="K4978" i="1"/>
  <c r="E4978" i="1"/>
  <c r="B4978" i="1"/>
  <c r="U4977" i="1"/>
  <c r="K4977" i="1"/>
  <c r="E4977" i="1"/>
  <c r="B4977" i="1"/>
  <c r="U4976" i="1"/>
  <c r="K4976" i="1"/>
  <c r="E4976" i="1"/>
  <c r="B4976" i="1"/>
  <c r="U4975" i="1"/>
  <c r="K4975" i="1"/>
  <c r="E4975" i="1"/>
  <c r="B4975" i="1"/>
  <c r="U4974" i="1"/>
  <c r="K4974" i="1"/>
  <c r="E4974" i="1"/>
  <c r="B4974" i="1"/>
  <c r="U4973" i="1"/>
  <c r="K4973" i="1"/>
  <c r="E4973" i="1"/>
  <c r="B4973" i="1"/>
  <c r="U4972" i="1"/>
  <c r="K4972" i="1"/>
  <c r="E4972" i="1"/>
  <c r="B4972" i="1"/>
  <c r="U4971" i="1"/>
  <c r="K4971" i="1"/>
  <c r="E4971" i="1"/>
  <c r="B4971" i="1"/>
  <c r="U4970" i="1"/>
  <c r="K4970" i="1"/>
  <c r="E4970" i="1"/>
  <c r="B4970" i="1"/>
  <c r="U4969" i="1"/>
  <c r="K4969" i="1"/>
  <c r="E4969" i="1"/>
  <c r="B4969" i="1"/>
  <c r="U4968" i="1"/>
  <c r="K4968" i="1"/>
  <c r="E4968" i="1"/>
  <c r="B4968" i="1"/>
  <c r="U4967" i="1"/>
  <c r="K4967" i="1"/>
  <c r="E4967" i="1"/>
  <c r="B4967" i="1"/>
  <c r="U4966" i="1"/>
  <c r="K4966" i="1"/>
  <c r="E4966" i="1"/>
  <c r="B4966" i="1"/>
  <c r="U4965" i="1"/>
  <c r="K4965" i="1"/>
  <c r="E4965" i="1"/>
  <c r="B4965" i="1"/>
  <c r="U4964" i="1"/>
  <c r="K4964" i="1"/>
  <c r="E4964" i="1"/>
  <c r="B4964" i="1"/>
  <c r="U4963" i="1"/>
  <c r="K4963" i="1"/>
  <c r="E4963" i="1"/>
  <c r="B4963" i="1"/>
  <c r="U4962" i="1"/>
  <c r="K4962" i="1"/>
  <c r="E4962" i="1"/>
  <c r="B4962" i="1"/>
  <c r="U4961" i="1"/>
  <c r="K4961" i="1"/>
  <c r="E4961" i="1"/>
  <c r="B4961" i="1"/>
  <c r="U4960" i="1"/>
  <c r="K4960" i="1"/>
  <c r="E4960" i="1"/>
  <c r="B4960" i="1"/>
  <c r="U4959" i="1"/>
  <c r="K4959" i="1"/>
  <c r="E4959" i="1"/>
  <c r="B4959" i="1"/>
  <c r="U4958" i="1"/>
  <c r="K4958" i="1"/>
  <c r="E4958" i="1"/>
  <c r="B4958" i="1"/>
  <c r="U4957" i="1"/>
  <c r="K4957" i="1"/>
  <c r="E4957" i="1"/>
  <c r="B4957" i="1"/>
  <c r="U4956" i="1"/>
  <c r="K4956" i="1"/>
  <c r="E4956" i="1"/>
  <c r="B4956" i="1"/>
  <c r="U4955" i="1"/>
  <c r="K4955" i="1"/>
  <c r="E4955" i="1"/>
  <c r="B4955" i="1"/>
  <c r="U4954" i="1"/>
  <c r="K4954" i="1"/>
  <c r="E4954" i="1"/>
  <c r="B4954" i="1"/>
  <c r="U4953" i="1"/>
  <c r="K4953" i="1"/>
  <c r="E4953" i="1"/>
  <c r="B4953" i="1"/>
  <c r="U4952" i="1"/>
  <c r="K4952" i="1"/>
  <c r="E4952" i="1"/>
  <c r="B4952" i="1"/>
  <c r="U4951" i="1"/>
  <c r="K4951" i="1"/>
  <c r="E4951" i="1"/>
  <c r="B4951" i="1"/>
  <c r="U4950" i="1"/>
  <c r="K4950" i="1"/>
  <c r="E4950" i="1"/>
  <c r="B4950" i="1"/>
  <c r="U4949" i="1"/>
  <c r="K4949" i="1"/>
  <c r="E4949" i="1"/>
  <c r="B4949" i="1"/>
  <c r="U4948" i="1"/>
  <c r="K4948" i="1"/>
  <c r="E4948" i="1"/>
  <c r="B4948" i="1"/>
  <c r="U4947" i="1"/>
  <c r="K4947" i="1"/>
  <c r="E4947" i="1"/>
  <c r="B4947" i="1"/>
  <c r="U4946" i="1"/>
  <c r="K4946" i="1"/>
  <c r="E4946" i="1"/>
  <c r="B4946" i="1"/>
  <c r="K4945" i="1"/>
  <c r="E4945" i="1"/>
  <c r="B4945" i="1"/>
  <c r="U4944" i="1"/>
  <c r="K4944" i="1"/>
  <c r="E4944" i="1"/>
  <c r="B4944" i="1"/>
  <c r="U4943" i="1"/>
  <c r="K4943" i="1"/>
  <c r="E4943" i="1"/>
  <c r="B4943" i="1"/>
  <c r="U4942" i="1"/>
  <c r="K4942" i="1"/>
  <c r="E4942" i="1"/>
  <c r="B4942" i="1"/>
  <c r="U4941" i="1"/>
  <c r="K4941" i="1"/>
  <c r="E4941" i="1"/>
  <c r="B4941" i="1"/>
  <c r="U4940" i="1"/>
  <c r="K4940" i="1"/>
  <c r="E4940" i="1"/>
  <c r="B4940" i="1"/>
  <c r="U4939" i="1"/>
  <c r="K4939" i="1"/>
  <c r="E4939" i="1"/>
  <c r="B4939" i="1"/>
  <c r="U4938" i="1"/>
  <c r="K4938" i="1"/>
  <c r="E4938" i="1"/>
  <c r="B4938" i="1"/>
  <c r="U4937" i="1"/>
  <c r="K4937" i="1"/>
  <c r="E4937" i="1"/>
  <c r="B4937" i="1"/>
  <c r="U4936" i="1"/>
  <c r="K4936" i="1"/>
  <c r="E4936" i="1"/>
  <c r="B4936" i="1"/>
  <c r="U4935" i="1"/>
  <c r="K4935" i="1"/>
  <c r="E4935" i="1"/>
  <c r="B4935" i="1"/>
  <c r="U4934" i="1"/>
  <c r="K4934" i="1"/>
  <c r="E4934" i="1"/>
  <c r="B4934" i="1"/>
  <c r="U4933" i="1"/>
  <c r="K4933" i="1"/>
  <c r="E4933" i="1"/>
  <c r="B4933" i="1"/>
  <c r="U4932" i="1"/>
  <c r="K4932" i="1"/>
  <c r="E4932" i="1"/>
  <c r="B4932" i="1"/>
  <c r="U4931" i="1"/>
  <c r="K4931" i="1"/>
  <c r="E4931" i="1"/>
  <c r="B4931" i="1"/>
  <c r="U4930" i="1"/>
  <c r="K4930" i="1"/>
  <c r="E4930" i="1"/>
  <c r="B4930" i="1"/>
  <c r="U4929" i="1"/>
  <c r="K4929" i="1"/>
  <c r="E4929" i="1"/>
  <c r="B4929" i="1"/>
  <c r="U4928" i="1"/>
  <c r="K4928" i="1"/>
  <c r="E4928" i="1"/>
  <c r="B4928" i="1"/>
  <c r="U4927" i="1"/>
  <c r="K4927" i="1"/>
  <c r="E4927" i="1"/>
  <c r="B4927" i="1"/>
  <c r="U4926" i="1"/>
  <c r="K4926" i="1"/>
  <c r="E4926" i="1"/>
  <c r="B4926" i="1"/>
  <c r="U4925" i="1"/>
  <c r="K4925" i="1"/>
  <c r="E4925" i="1"/>
  <c r="B4925" i="1"/>
  <c r="U4924" i="1"/>
  <c r="K4924" i="1"/>
  <c r="E4924" i="1"/>
  <c r="B4924" i="1"/>
  <c r="U4923" i="1"/>
  <c r="K4923" i="1"/>
  <c r="E4923" i="1"/>
  <c r="B4923" i="1"/>
  <c r="U4922" i="1"/>
  <c r="K4922" i="1"/>
  <c r="E4922" i="1"/>
  <c r="B4922" i="1"/>
  <c r="U4921" i="1"/>
  <c r="K4921" i="1"/>
  <c r="E4921" i="1"/>
  <c r="B4921" i="1"/>
  <c r="U4920" i="1"/>
  <c r="K4920" i="1"/>
  <c r="E4920" i="1"/>
  <c r="B4920" i="1"/>
  <c r="U4919" i="1"/>
  <c r="K4919" i="1"/>
  <c r="E4919" i="1"/>
  <c r="B4919" i="1"/>
  <c r="U4918" i="1"/>
  <c r="K4918" i="1"/>
  <c r="E4918" i="1"/>
  <c r="B4918" i="1"/>
  <c r="U4917" i="1"/>
  <c r="K4917" i="1"/>
  <c r="E4917" i="1"/>
  <c r="B4917" i="1"/>
  <c r="U4916" i="1"/>
  <c r="K4916" i="1"/>
  <c r="E4916" i="1"/>
  <c r="B4916" i="1"/>
  <c r="K4915" i="1"/>
  <c r="E4915" i="1"/>
  <c r="B4915" i="1"/>
  <c r="U4914" i="1"/>
  <c r="K4914" i="1"/>
  <c r="E4914" i="1"/>
  <c r="B4914" i="1"/>
  <c r="U4913" i="1"/>
  <c r="K4913" i="1"/>
  <c r="E4913" i="1"/>
  <c r="B4913" i="1"/>
  <c r="U4912" i="1"/>
  <c r="K4912" i="1"/>
  <c r="E4912" i="1"/>
  <c r="B4912" i="1"/>
  <c r="U4911" i="1"/>
  <c r="K4911" i="1"/>
  <c r="E4911" i="1"/>
  <c r="B4911" i="1"/>
  <c r="U4910" i="1"/>
  <c r="K4910" i="1"/>
  <c r="E4910" i="1"/>
  <c r="B4910" i="1"/>
  <c r="U4909" i="1"/>
  <c r="K4909" i="1"/>
  <c r="E4909" i="1"/>
  <c r="B4909" i="1"/>
  <c r="U4908" i="1"/>
  <c r="K4908" i="1"/>
  <c r="E4908" i="1"/>
  <c r="B4908" i="1"/>
  <c r="U4907" i="1"/>
  <c r="K4907" i="1"/>
  <c r="E4907" i="1"/>
  <c r="B4907" i="1"/>
  <c r="U4906" i="1"/>
  <c r="K4906" i="1"/>
  <c r="E4906" i="1"/>
  <c r="B4906" i="1"/>
  <c r="U4905" i="1"/>
  <c r="K4905" i="1"/>
  <c r="E4905" i="1"/>
  <c r="B4905" i="1"/>
  <c r="U4904" i="1"/>
  <c r="K4904" i="1"/>
  <c r="E4904" i="1"/>
  <c r="B4904" i="1"/>
  <c r="U4903" i="1"/>
  <c r="K4903" i="1"/>
  <c r="E4903" i="1"/>
  <c r="B4903" i="1"/>
  <c r="U4902" i="1"/>
  <c r="K4902" i="1"/>
  <c r="E4902" i="1"/>
  <c r="B4902" i="1"/>
  <c r="U4901" i="1"/>
  <c r="K4901" i="1"/>
  <c r="E4901" i="1"/>
  <c r="B4901" i="1"/>
  <c r="U4900" i="1"/>
  <c r="K4900" i="1"/>
  <c r="E4900" i="1"/>
  <c r="B4900" i="1"/>
  <c r="U4899" i="1"/>
  <c r="K4899" i="1"/>
  <c r="E4899" i="1"/>
  <c r="B4899" i="1"/>
  <c r="U4898" i="1"/>
  <c r="K4898" i="1"/>
  <c r="E4898" i="1"/>
  <c r="B4898" i="1"/>
  <c r="U4897" i="1"/>
  <c r="K4897" i="1"/>
  <c r="E4897" i="1"/>
  <c r="B4897" i="1"/>
  <c r="U4896" i="1"/>
  <c r="K4896" i="1"/>
  <c r="E4896" i="1"/>
  <c r="B4896" i="1"/>
  <c r="U4895" i="1"/>
  <c r="K4895" i="1"/>
  <c r="E4895" i="1"/>
  <c r="B4895" i="1"/>
  <c r="U4894" i="1"/>
  <c r="K4894" i="1"/>
  <c r="E4894" i="1"/>
  <c r="B4894" i="1"/>
  <c r="U4893" i="1"/>
  <c r="K4893" i="1"/>
  <c r="E4893" i="1"/>
  <c r="B4893" i="1"/>
  <c r="U4892" i="1"/>
  <c r="K4892" i="1"/>
  <c r="E4892" i="1"/>
  <c r="B4892" i="1"/>
  <c r="U4891" i="1"/>
  <c r="K4891" i="1"/>
  <c r="E4891" i="1"/>
  <c r="B4891" i="1"/>
  <c r="U4890" i="1"/>
  <c r="K4890" i="1"/>
  <c r="E4890" i="1"/>
  <c r="B4890" i="1"/>
  <c r="K4889" i="1"/>
  <c r="E4889" i="1"/>
  <c r="B4889" i="1"/>
  <c r="U4888" i="1"/>
  <c r="K4888" i="1"/>
  <c r="E4888" i="1"/>
  <c r="B4888" i="1"/>
  <c r="U4887" i="1"/>
  <c r="K4887" i="1"/>
  <c r="E4887" i="1"/>
  <c r="B4887" i="1"/>
  <c r="U4886" i="1"/>
  <c r="K4886" i="1"/>
  <c r="E4886" i="1"/>
  <c r="B4886" i="1"/>
  <c r="U4885" i="1"/>
  <c r="K4885" i="1"/>
  <c r="E4885" i="1"/>
  <c r="B4885" i="1"/>
  <c r="U4884" i="1"/>
  <c r="K4884" i="1"/>
  <c r="E4884" i="1"/>
  <c r="B4884" i="1"/>
  <c r="U4883" i="1"/>
  <c r="K4883" i="1"/>
  <c r="E4883" i="1"/>
  <c r="B4883" i="1"/>
  <c r="U4882" i="1"/>
  <c r="K4882" i="1"/>
  <c r="E4882" i="1"/>
  <c r="B4882" i="1"/>
  <c r="U4881" i="1"/>
  <c r="K4881" i="1"/>
  <c r="E4881" i="1"/>
  <c r="B4881" i="1"/>
  <c r="U4880" i="1"/>
  <c r="K4880" i="1"/>
  <c r="E4880" i="1"/>
  <c r="B4880" i="1"/>
  <c r="U4879" i="1"/>
  <c r="K4879" i="1"/>
  <c r="E4879" i="1"/>
  <c r="B4879" i="1"/>
  <c r="U4878" i="1"/>
  <c r="K4878" i="1"/>
  <c r="E4878" i="1"/>
  <c r="B4878" i="1"/>
  <c r="U4877" i="1"/>
  <c r="K4877" i="1"/>
  <c r="E4877" i="1"/>
  <c r="B4877" i="1"/>
  <c r="U4876" i="1"/>
  <c r="K4876" i="1"/>
  <c r="E4876" i="1"/>
  <c r="B4876" i="1"/>
  <c r="U4875" i="1"/>
  <c r="K4875" i="1"/>
  <c r="E4875" i="1"/>
  <c r="B4875" i="1"/>
  <c r="U4874" i="1"/>
  <c r="K4874" i="1"/>
  <c r="E4874" i="1"/>
  <c r="B4874" i="1"/>
  <c r="U4873" i="1"/>
  <c r="K4873" i="1"/>
  <c r="E4873" i="1"/>
  <c r="B4873" i="1"/>
  <c r="U4872" i="1"/>
  <c r="K4872" i="1"/>
  <c r="E4872" i="1"/>
  <c r="B4872" i="1"/>
  <c r="U4871" i="1"/>
  <c r="K4871" i="1"/>
  <c r="E4871" i="1"/>
  <c r="B4871" i="1"/>
  <c r="U4870" i="1"/>
  <c r="K4870" i="1"/>
  <c r="E4870" i="1"/>
  <c r="B4870" i="1"/>
  <c r="U4869" i="1"/>
  <c r="K4869" i="1"/>
  <c r="E4869" i="1"/>
  <c r="B4869" i="1"/>
  <c r="U4868" i="1"/>
  <c r="K4868" i="1"/>
  <c r="E4868" i="1"/>
  <c r="B4868" i="1"/>
  <c r="U4867" i="1"/>
  <c r="K4867" i="1"/>
  <c r="E4867" i="1"/>
  <c r="B4867" i="1"/>
  <c r="U4866" i="1"/>
  <c r="K4866" i="1"/>
  <c r="E4866" i="1"/>
  <c r="B4866" i="1"/>
  <c r="U4865" i="1"/>
  <c r="K4865" i="1"/>
  <c r="E4865" i="1"/>
  <c r="B4865" i="1"/>
  <c r="K4864" i="1"/>
  <c r="E4864" i="1"/>
  <c r="B4864" i="1"/>
  <c r="U4863" i="1"/>
  <c r="K4863" i="1"/>
  <c r="E4863" i="1"/>
  <c r="B4863" i="1"/>
  <c r="U4862" i="1"/>
  <c r="K4862" i="1"/>
  <c r="E4862" i="1"/>
  <c r="B4862" i="1"/>
  <c r="U4861" i="1"/>
  <c r="K4861" i="1"/>
  <c r="E4861" i="1"/>
  <c r="B4861" i="1"/>
  <c r="U4860" i="1"/>
  <c r="K4860" i="1"/>
  <c r="E4860" i="1"/>
  <c r="B4860" i="1"/>
  <c r="U4859" i="1"/>
  <c r="K4859" i="1"/>
  <c r="E4859" i="1"/>
  <c r="B4859" i="1"/>
  <c r="U4858" i="1"/>
  <c r="K4858" i="1"/>
  <c r="E4858" i="1"/>
  <c r="B4858" i="1"/>
  <c r="U4857" i="1"/>
  <c r="K4857" i="1"/>
  <c r="E4857" i="1"/>
  <c r="B4857" i="1"/>
  <c r="U4856" i="1"/>
  <c r="K4856" i="1"/>
  <c r="E4856" i="1"/>
  <c r="B4856" i="1"/>
  <c r="U4855" i="1"/>
  <c r="K4855" i="1"/>
  <c r="E4855" i="1"/>
  <c r="B4855" i="1"/>
  <c r="U4854" i="1"/>
  <c r="K4854" i="1"/>
  <c r="E4854" i="1"/>
  <c r="B4854" i="1"/>
  <c r="U4853" i="1"/>
  <c r="K4853" i="1"/>
  <c r="E4853" i="1"/>
  <c r="B4853" i="1"/>
  <c r="U4852" i="1"/>
  <c r="K4852" i="1"/>
  <c r="E4852" i="1"/>
  <c r="B4852" i="1"/>
  <c r="U4851" i="1"/>
  <c r="K4851" i="1"/>
  <c r="E4851" i="1"/>
  <c r="B4851" i="1"/>
  <c r="U4850" i="1"/>
  <c r="K4850" i="1"/>
  <c r="E4850" i="1"/>
  <c r="B4850" i="1"/>
  <c r="U4849" i="1"/>
  <c r="K4849" i="1"/>
  <c r="E4849" i="1"/>
  <c r="B4849" i="1"/>
  <c r="U4848" i="1"/>
  <c r="K4848" i="1"/>
  <c r="E4848" i="1"/>
  <c r="B4848" i="1"/>
  <c r="U4847" i="1"/>
  <c r="K4847" i="1"/>
  <c r="E4847" i="1"/>
  <c r="B4847" i="1"/>
  <c r="U4846" i="1"/>
  <c r="K4846" i="1"/>
  <c r="E4846" i="1"/>
  <c r="B4846" i="1"/>
  <c r="U4845" i="1"/>
  <c r="K4845" i="1"/>
  <c r="E4845" i="1"/>
  <c r="B4845" i="1"/>
  <c r="U4844" i="1"/>
  <c r="K4844" i="1"/>
  <c r="E4844" i="1"/>
  <c r="B4844" i="1"/>
  <c r="U4843" i="1"/>
  <c r="K4843" i="1"/>
  <c r="E4843" i="1"/>
  <c r="B4843" i="1"/>
  <c r="U4842" i="1"/>
  <c r="K4842" i="1"/>
  <c r="E4842" i="1"/>
  <c r="B4842" i="1"/>
  <c r="U4841" i="1"/>
  <c r="K4841" i="1"/>
  <c r="E4841" i="1"/>
  <c r="B4841" i="1"/>
  <c r="U4840" i="1"/>
  <c r="K4840" i="1"/>
  <c r="E4840" i="1"/>
  <c r="B4840" i="1"/>
  <c r="U4839" i="1"/>
  <c r="K4839" i="1"/>
  <c r="E4839" i="1"/>
  <c r="B4839" i="1"/>
  <c r="K4838" i="1"/>
  <c r="E4838" i="1"/>
  <c r="B4838" i="1"/>
  <c r="U4837" i="1"/>
  <c r="K4837" i="1"/>
  <c r="E4837" i="1"/>
  <c r="B4837" i="1"/>
  <c r="U4836" i="1"/>
  <c r="K4836" i="1"/>
  <c r="E4836" i="1"/>
  <c r="B4836" i="1"/>
  <c r="U4835" i="1"/>
  <c r="K4835" i="1"/>
  <c r="E4835" i="1"/>
  <c r="B4835" i="1"/>
  <c r="U4834" i="1"/>
  <c r="K4834" i="1"/>
  <c r="E4834" i="1"/>
  <c r="B4834" i="1"/>
  <c r="U4833" i="1"/>
  <c r="K4833" i="1"/>
  <c r="E4833" i="1"/>
  <c r="B4833" i="1"/>
  <c r="U4832" i="1"/>
  <c r="K4832" i="1"/>
  <c r="E4832" i="1"/>
  <c r="B4832" i="1"/>
  <c r="U4831" i="1"/>
  <c r="K4831" i="1"/>
  <c r="E4831" i="1"/>
  <c r="B4831" i="1"/>
  <c r="U4830" i="1"/>
  <c r="K4830" i="1"/>
  <c r="E4830" i="1"/>
  <c r="B4830" i="1"/>
  <c r="U4829" i="1"/>
  <c r="K4829" i="1"/>
  <c r="E4829" i="1"/>
  <c r="B4829" i="1"/>
  <c r="U4828" i="1"/>
  <c r="K4828" i="1"/>
  <c r="E4828" i="1"/>
  <c r="B4828" i="1"/>
  <c r="U4827" i="1"/>
  <c r="K4827" i="1"/>
  <c r="E4827" i="1"/>
  <c r="B4827" i="1"/>
  <c r="U4826" i="1"/>
  <c r="K4826" i="1"/>
  <c r="E4826" i="1"/>
  <c r="B4826" i="1"/>
  <c r="U4825" i="1"/>
  <c r="K4825" i="1"/>
  <c r="E4825" i="1"/>
  <c r="B4825" i="1"/>
  <c r="U4824" i="1"/>
  <c r="K4824" i="1"/>
  <c r="E4824" i="1"/>
  <c r="B4824" i="1"/>
  <c r="U4823" i="1"/>
  <c r="K4823" i="1"/>
  <c r="E4823" i="1"/>
  <c r="B4823" i="1"/>
  <c r="U4822" i="1"/>
  <c r="K4822" i="1"/>
  <c r="E4822" i="1"/>
  <c r="B4822" i="1"/>
  <c r="U4821" i="1"/>
  <c r="K4821" i="1"/>
  <c r="E4821" i="1"/>
  <c r="B4821" i="1"/>
  <c r="U4820" i="1"/>
  <c r="K4820" i="1"/>
  <c r="E4820" i="1"/>
  <c r="B4820" i="1"/>
  <c r="U4819" i="1"/>
  <c r="K4819" i="1"/>
  <c r="E4819" i="1"/>
  <c r="B4819" i="1"/>
  <c r="U4818" i="1"/>
  <c r="K4818" i="1"/>
  <c r="E4818" i="1"/>
  <c r="B4818" i="1"/>
  <c r="U4817" i="1"/>
  <c r="K4817" i="1"/>
  <c r="E4817" i="1"/>
  <c r="B4817" i="1"/>
  <c r="U4816" i="1"/>
  <c r="K4816" i="1"/>
  <c r="E4816" i="1"/>
  <c r="B4816" i="1"/>
  <c r="U4815" i="1"/>
  <c r="K4815" i="1"/>
  <c r="E4815" i="1"/>
  <c r="B4815" i="1"/>
  <c r="U4814" i="1"/>
  <c r="K4814" i="1"/>
  <c r="E4814" i="1"/>
  <c r="B4814" i="1"/>
  <c r="U4813" i="1"/>
  <c r="K4813" i="1"/>
  <c r="E4813" i="1"/>
  <c r="B4813" i="1"/>
  <c r="U4812" i="1"/>
  <c r="K4812" i="1"/>
  <c r="E4812" i="1"/>
  <c r="B4812" i="1"/>
  <c r="U4811" i="1"/>
  <c r="K4811" i="1"/>
  <c r="E4811" i="1"/>
  <c r="B4811" i="1"/>
  <c r="U4810" i="1"/>
  <c r="K4810" i="1"/>
  <c r="E4810" i="1"/>
  <c r="B4810" i="1"/>
  <c r="U4809" i="1"/>
  <c r="K4809" i="1"/>
  <c r="E4809" i="1"/>
  <c r="B4809" i="1"/>
  <c r="U4808" i="1"/>
  <c r="K4808" i="1"/>
  <c r="E4808" i="1"/>
  <c r="B4808" i="1"/>
  <c r="U4807" i="1"/>
  <c r="K4807" i="1"/>
  <c r="E4807" i="1"/>
  <c r="B4807" i="1"/>
  <c r="U4806" i="1"/>
  <c r="K4806" i="1"/>
  <c r="E4806" i="1"/>
  <c r="B4806" i="1"/>
  <c r="U4805" i="1"/>
  <c r="K4805" i="1"/>
  <c r="E4805" i="1"/>
  <c r="B4805" i="1"/>
  <c r="U4804" i="1"/>
  <c r="K4804" i="1"/>
  <c r="E4804" i="1"/>
  <c r="B4804" i="1"/>
  <c r="U4803" i="1"/>
  <c r="K4803" i="1"/>
  <c r="E4803" i="1"/>
  <c r="B4803" i="1"/>
  <c r="U4802" i="1"/>
  <c r="K4802" i="1"/>
  <c r="E4802" i="1"/>
  <c r="B4802" i="1"/>
  <c r="U4801" i="1"/>
  <c r="K4801" i="1"/>
  <c r="E4801" i="1"/>
  <c r="B4801" i="1"/>
  <c r="U4800" i="1"/>
  <c r="K4800" i="1"/>
  <c r="E4800" i="1"/>
  <c r="B4800" i="1"/>
  <c r="U4799" i="1"/>
  <c r="K4799" i="1"/>
  <c r="E4799" i="1"/>
  <c r="B4799" i="1"/>
  <c r="U4798" i="1"/>
  <c r="K4798" i="1"/>
  <c r="E4798" i="1"/>
  <c r="B4798" i="1"/>
  <c r="U4797" i="1"/>
  <c r="K4797" i="1"/>
  <c r="E4797" i="1"/>
  <c r="B4797" i="1"/>
  <c r="U4796" i="1"/>
  <c r="K4796" i="1"/>
  <c r="E4796" i="1"/>
  <c r="B4796" i="1"/>
  <c r="U4795" i="1"/>
  <c r="K4795" i="1"/>
  <c r="E4795" i="1"/>
  <c r="B4795" i="1"/>
  <c r="U4794" i="1"/>
  <c r="K4794" i="1"/>
  <c r="E4794" i="1"/>
  <c r="B4794" i="1"/>
  <c r="U4793" i="1"/>
  <c r="K4793" i="1"/>
  <c r="E4793" i="1"/>
  <c r="B4793" i="1"/>
  <c r="U4792" i="1"/>
  <c r="K4792" i="1"/>
  <c r="E4792" i="1"/>
  <c r="B4792" i="1"/>
  <c r="U4791" i="1"/>
  <c r="K4791" i="1"/>
  <c r="E4791" i="1"/>
  <c r="B4791" i="1"/>
  <c r="U4790" i="1"/>
  <c r="K4790" i="1"/>
  <c r="E4790" i="1"/>
  <c r="B4790" i="1"/>
  <c r="U4789" i="1"/>
  <c r="K4789" i="1"/>
  <c r="E4789" i="1"/>
  <c r="B4789" i="1"/>
  <c r="U4788" i="1"/>
  <c r="K4788" i="1"/>
  <c r="E4788" i="1"/>
  <c r="B4788" i="1"/>
  <c r="U4787" i="1"/>
  <c r="K4787" i="1"/>
  <c r="E4787" i="1"/>
  <c r="B4787" i="1"/>
  <c r="U4786" i="1"/>
  <c r="K4786" i="1"/>
  <c r="E4786" i="1"/>
  <c r="B4786" i="1"/>
  <c r="U4785" i="1"/>
  <c r="K4785" i="1"/>
  <c r="E4785" i="1"/>
  <c r="B4785" i="1"/>
  <c r="U4784" i="1"/>
  <c r="K4784" i="1"/>
  <c r="E4784" i="1"/>
  <c r="B4784" i="1"/>
  <c r="U4783" i="1"/>
  <c r="K4783" i="1"/>
  <c r="E4783" i="1"/>
  <c r="B4783" i="1"/>
  <c r="U4782" i="1"/>
  <c r="K4782" i="1"/>
  <c r="E4782" i="1"/>
  <c r="B4782" i="1"/>
  <c r="U4781" i="1"/>
  <c r="K4781" i="1"/>
  <c r="E4781" i="1"/>
  <c r="B4781" i="1"/>
  <c r="U4780" i="1"/>
  <c r="K4780" i="1"/>
  <c r="E4780" i="1"/>
  <c r="B4780" i="1"/>
  <c r="U4779" i="1"/>
  <c r="K4779" i="1"/>
  <c r="H4779" i="1"/>
  <c r="E4779" i="1"/>
  <c r="B4779" i="1"/>
  <c r="U4778" i="1"/>
  <c r="K4778" i="1"/>
  <c r="E4778" i="1"/>
  <c r="B4778" i="1"/>
  <c r="U4777" i="1"/>
  <c r="K4777" i="1"/>
  <c r="E4777" i="1"/>
  <c r="B4777" i="1"/>
  <c r="U4776" i="1"/>
  <c r="K4776" i="1"/>
  <c r="E4776" i="1"/>
  <c r="B4776" i="1"/>
  <c r="U4775" i="1"/>
  <c r="K4775" i="1"/>
  <c r="E4775" i="1"/>
  <c r="B4775" i="1"/>
  <c r="U4774" i="1"/>
  <c r="K4774" i="1"/>
  <c r="E4774" i="1"/>
  <c r="B4774" i="1"/>
  <c r="U4773" i="1"/>
  <c r="K4773" i="1"/>
  <c r="E4773" i="1"/>
  <c r="B4773" i="1"/>
  <c r="U4772" i="1"/>
  <c r="K4772" i="1"/>
  <c r="E4772" i="1"/>
  <c r="B4772" i="1"/>
  <c r="U4771" i="1"/>
  <c r="K4771" i="1"/>
  <c r="E4771" i="1"/>
  <c r="B4771" i="1"/>
  <c r="U4770" i="1"/>
  <c r="K4770" i="1"/>
  <c r="E4770" i="1"/>
  <c r="B4770" i="1"/>
  <c r="U4769" i="1"/>
  <c r="K4769" i="1"/>
  <c r="E4769" i="1"/>
  <c r="B4769" i="1"/>
  <c r="U4768" i="1"/>
  <c r="K4768" i="1"/>
  <c r="E4768" i="1"/>
  <c r="B4768" i="1"/>
  <c r="U4767" i="1"/>
  <c r="K4767" i="1"/>
  <c r="E4767" i="1"/>
  <c r="B4767" i="1"/>
  <c r="U4766" i="1"/>
  <c r="K4766" i="1"/>
  <c r="E4766" i="1"/>
  <c r="B4766" i="1"/>
  <c r="U4765" i="1"/>
  <c r="K4765" i="1"/>
  <c r="E4765" i="1"/>
  <c r="B4765" i="1"/>
  <c r="U4764" i="1"/>
  <c r="K4764" i="1"/>
  <c r="E4764" i="1"/>
  <c r="B4764" i="1"/>
  <c r="U4763" i="1"/>
  <c r="K4763" i="1"/>
  <c r="E4763" i="1"/>
  <c r="B4763" i="1"/>
  <c r="U4762" i="1"/>
  <c r="K4762" i="1"/>
  <c r="E4762" i="1"/>
  <c r="B4762" i="1"/>
  <c r="U4761" i="1"/>
  <c r="K4761" i="1"/>
  <c r="E4761" i="1"/>
  <c r="B4761" i="1"/>
  <c r="U4760" i="1"/>
  <c r="K4760" i="1"/>
  <c r="E4760" i="1"/>
  <c r="B4760" i="1"/>
  <c r="U4759" i="1"/>
  <c r="K4759" i="1"/>
  <c r="E4759" i="1"/>
  <c r="B4759" i="1"/>
  <c r="U4758" i="1"/>
  <c r="K4758" i="1"/>
  <c r="E4758" i="1"/>
  <c r="B4758" i="1"/>
  <c r="U4757" i="1"/>
  <c r="K4757" i="1"/>
  <c r="E4757" i="1"/>
  <c r="B4757" i="1"/>
  <c r="U4756" i="1"/>
  <c r="K4756" i="1"/>
  <c r="E4756" i="1"/>
  <c r="B4756" i="1"/>
  <c r="U4755" i="1"/>
  <c r="K4755" i="1"/>
  <c r="E4755" i="1"/>
  <c r="B4755" i="1"/>
  <c r="U4754" i="1"/>
  <c r="K4754" i="1"/>
  <c r="E4754" i="1"/>
  <c r="B4754" i="1"/>
  <c r="U4753" i="1"/>
  <c r="K4753" i="1"/>
  <c r="E4753" i="1"/>
  <c r="B4753" i="1"/>
  <c r="U4752" i="1"/>
  <c r="K4752" i="1"/>
  <c r="E4752" i="1"/>
  <c r="B4752" i="1"/>
  <c r="U4751" i="1"/>
  <c r="K4751" i="1"/>
  <c r="E4751" i="1"/>
  <c r="B4751" i="1"/>
  <c r="U4750" i="1"/>
  <c r="K4750" i="1"/>
  <c r="E4750" i="1"/>
  <c r="B4750" i="1"/>
  <c r="U4749" i="1"/>
  <c r="K4749" i="1"/>
  <c r="E4749" i="1"/>
  <c r="B4749" i="1"/>
  <c r="U4748" i="1"/>
  <c r="K4748" i="1"/>
  <c r="E4748" i="1"/>
  <c r="B4748" i="1"/>
  <c r="U4747" i="1"/>
  <c r="K4747" i="1"/>
  <c r="E4747" i="1"/>
  <c r="B4747" i="1"/>
  <c r="U4746" i="1"/>
  <c r="K4746" i="1"/>
  <c r="E4746" i="1"/>
  <c r="B4746" i="1"/>
  <c r="U4745" i="1"/>
  <c r="K4745" i="1"/>
  <c r="E4745" i="1"/>
  <c r="B4745" i="1"/>
  <c r="U4744" i="1"/>
  <c r="K4744" i="1"/>
  <c r="E4744" i="1"/>
  <c r="B4744" i="1"/>
  <c r="U4743" i="1"/>
  <c r="K4743" i="1"/>
  <c r="E4743" i="1"/>
  <c r="B4743" i="1"/>
  <c r="U4742" i="1"/>
  <c r="K4742" i="1"/>
  <c r="E4742" i="1"/>
  <c r="B4742" i="1"/>
  <c r="U4741" i="1"/>
  <c r="K4741" i="1"/>
  <c r="E4741" i="1"/>
  <c r="B4741" i="1"/>
  <c r="U4740" i="1"/>
  <c r="K4740" i="1"/>
  <c r="E4740" i="1"/>
  <c r="B4740" i="1"/>
  <c r="U4739" i="1"/>
  <c r="K4739" i="1"/>
  <c r="E4739" i="1"/>
  <c r="B4739" i="1"/>
  <c r="U4738" i="1"/>
  <c r="K4738" i="1"/>
  <c r="E4738" i="1"/>
  <c r="B4738" i="1"/>
  <c r="U4737" i="1"/>
  <c r="K4737" i="1"/>
  <c r="E4737" i="1"/>
  <c r="B4737" i="1"/>
  <c r="U4736" i="1"/>
  <c r="K4736" i="1"/>
  <c r="E4736" i="1"/>
  <c r="B4736" i="1"/>
  <c r="U4735" i="1"/>
  <c r="K4735" i="1"/>
  <c r="E4735" i="1"/>
  <c r="B4735" i="1"/>
  <c r="U4734" i="1"/>
  <c r="K4734" i="1"/>
  <c r="E4734" i="1"/>
  <c r="B4734" i="1"/>
  <c r="U4733" i="1"/>
  <c r="K4733" i="1"/>
  <c r="E4733" i="1"/>
  <c r="B4733" i="1"/>
  <c r="U4732" i="1"/>
  <c r="K4732" i="1"/>
  <c r="E4732" i="1"/>
  <c r="B4732" i="1"/>
  <c r="U4731" i="1"/>
  <c r="K4731" i="1"/>
  <c r="E4731" i="1"/>
  <c r="B4731" i="1"/>
  <c r="U4730" i="1"/>
  <c r="K4730" i="1"/>
  <c r="E4730" i="1"/>
  <c r="B4730" i="1"/>
  <c r="U4729" i="1"/>
  <c r="K4729" i="1"/>
  <c r="E4729" i="1"/>
  <c r="B4729" i="1"/>
  <c r="U4728" i="1"/>
  <c r="K4728" i="1"/>
  <c r="E4728" i="1"/>
  <c r="B4728" i="1"/>
  <c r="U4727" i="1"/>
  <c r="K4727" i="1"/>
  <c r="E4727" i="1"/>
  <c r="B4727" i="1"/>
  <c r="U4726" i="1"/>
  <c r="K4726" i="1"/>
  <c r="E4726" i="1"/>
  <c r="B4726" i="1"/>
  <c r="U4725" i="1"/>
  <c r="K4725" i="1"/>
  <c r="E4725" i="1"/>
  <c r="B4725" i="1"/>
  <c r="U4724" i="1"/>
  <c r="K4724" i="1"/>
  <c r="E4724" i="1"/>
  <c r="B4724" i="1"/>
  <c r="U4723" i="1"/>
  <c r="K4723" i="1"/>
  <c r="E4723" i="1"/>
  <c r="B4723" i="1"/>
  <c r="U4722" i="1"/>
  <c r="K4722" i="1"/>
  <c r="E4722" i="1"/>
  <c r="B4722" i="1"/>
  <c r="U4721" i="1"/>
  <c r="K4721" i="1"/>
  <c r="E4721" i="1"/>
  <c r="B4721" i="1"/>
  <c r="U4720" i="1"/>
  <c r="K4720" i="1"/>
  <c r="E4720" i="1"/>
  <c r="B4720" i="1"/>
  <c r="U4719" i="1"/>
  <c r="K4719" i="1"/>
  <c r="E4719" i="1"/>
  <c r="B4719" i="1"/>
  <c r="U4718" i="1"/>
  <c r="K4718" i="1"/>
  <c r="E4718" i="1"/>
  <c r="B4718" i="1"/>
  <c r="U4717" i="1"/>
  <c r="K4717" i="1"/>
  <c r="E4717" i="1"/>
  <c r="B4717" i="1"/>
  <c r="U4716" i="1"/>
  <c r="K4716" i="1"/>
  <c r="E4716" i="1"/>
  <c r="B4716" i="1"/>
  <c r="U4715" i="1"/>
  <c r="K4715" i="1"/>
  <c r="E4715" i="1"/>
  <c r="B4715" i="1"/>
  <c r="U4714" i="1"/>
  <c r="K4714" i="1"/>
  <c r="E4714" i="1"/>
  <c r="B4714" i="1"/>
  <c r="U4713" i="1"/>
  <c r="K4713" i="1"/>
  <c r="E4713" i="1"/>
  <c r="B4713" i="1"/>
  <c r="U4712" i="1"/>
  <c r="K4712" i="1"/>
  <c r="E4712" i="1"/>
  <c r="B4712" i="1"/>
  <c r="U4711" i="1"/>
  <c r="K4711" i="1"/>
  <c r="E4711" i="1"/>
  <c r="B4711" i="1"/>
  <c r="U4710" i="1"/>
  <c r="K4710" i="1"/>
  <c r="E4710" i="1"/>
  <c r="B4710" i="1"/>
  <c r="U4709" i="1"/>
  <c r="K4709" i="1"/>
  <c r="E4709" i="1"/>
  <c r="B4709" i="1"/>
  <c r="U4708" i="1"/>
  <c r="K4708" i="1"/>
  <c r="E4708" i="1"/>
  <c r="B4708" i="1"/>
  <c r="U4707" i="1"/>
  <c r="K4707" i="1"/>
  <c r="E4707" i="1"/>
  <c r="B4707" i="1"/>
  <c r="U4706" i="1"/>
  <c r="K4706" i="1"/>
  <c r="E4706" i="1"/>
  <c r="B4706" i="1"/>
  <c r="U4705" i="1"/>
  <c r="K4705" i="1"/>
  <c r="E4705" i="1"/>
  <c r="B4705" i="1"/>
  <c r="U4704" i="1"/>
  <c r="K4704" i="1"/>
  <c r="E4704" i="1"/>
  <c r="B4704" i="1"/>
  <c r="U4703" i="1"/>
  <c r="K4703" i="1"/>
  <c r="E4703" i="1"/>
  <c r="B4703" i="1"/>
  <c r="U4702" i="1"/>
  <c r="K4702" i="1"/>
  <c r="E4702" i="1"/>
  <c r="B4702" i="1"/>
  <c r="U4701" i="1"/>
  <c r="K4701" i="1"/>
  <c r="E4701" i="1"/>
  <c r="B4701" i="1"/>
  <c r="U4700" i="1"/>
  <c r="K4700" i="1"/>
  <c r="E4700" i="1"/>
  <c r="B4700" i="1"/>
  <c r="U4699" i="1"/>
  <c r="K4699" i="1"/>
  <c r="E4699" i="1"/>
  <c r="B4699" i="1"/>
  <c r="U4698" i="1"/>
  <c r="K4698" i="1"/>
  <c r="E4698" i="1"/>
  <c r="B4698" i="1"/>
  <c r="U4697" i="1"/>
  <c r="K4697" i="1"/>
  <c r="E4697" i="1"/>
  <c r="B4697" i="1"/>
  <c r="U4696" i="1"/>
  <c r="K4696" i="1"/>
  <c r="E4696" i="1"/>
  <c r="B4696" i="1"/>
  <c r="U4695" i="1"/>
  <c r="K4695" i="1"/>
  <c r="E4695" i="1"/>
  <c r="B4695" i="1"/>
  <c r="U4694" i="1"/>
  <c r="K4694" i="1"/>
  <c r="E4694" i="1"/>
  <c r="B4694" i="1"/>
  <c r="U4693" i="1"/>
  <c r="K4693" i="1"/>
  <c r="E4693" i="1"/>
  <c r="B4693" i="1"/>
  <c r="U4692" i="1"/>
  <c r="K4692" i="1"/>
  <c r="E4692" i="1"/>
  <c r="B4692" i="1"/>
  <c r="U4691" i="1"/>
  <c r="K4691" i="1"/>
  <c r="E4691" i="1"/>
  <c r="B4691" i="1"/>
  <c r="U4690" i="1"/>
  <c r="K4690" i="1"/>
  <c r="E4690" i="1"/>
  <c r="B4690" i="1"/>
  <c r="U4689" i="1"/>
  <c r="K4689" i="1"/>
  <c r="E4689" i="1"/>
  <c r="B4689" i="1"/>
  <c r="U4688" i="1"/>
  <c r="K4688" i="1"/>
  <c r="E4688" i="1"/>
  <c r="B4688" i="1"/>
  <c r="U4687" i="1"/>
  <c r="K4687" i="1"/>
  <c r="E4687" i="1"/>
  <c r="B4687" i="1"/>
  <c r="U4686" i="1"/>
  <c r="K4686" i="1"/>
  <c r="E4686" i="1"/>
  <c r="B4686" i="1"/>
  <c r="U4685" i="1"/>
  <c r="K4685" i="1"/>
  <c r="E4685" i="1"/>
  <c r="B4685" i="1"/>
  <c r="U4684" i="1"/>
  <c r="K4684" i="1"/>
  <c r="E4684" i="1"/>
  <c r="B4684" i="1"/>
  <c r="U4683" i="1"/>
  <c r="K4683" i="1"/>
  <c r="E4683" i="1"/>
  <c r="B4683" i="1"/>
  <c r="U4682" i="1"/>
  <c r="K4682" i="1"/>
  <c r="E4682" i="1"/>
  <c r="B4682" i="1"/>
  <c r="U4681" i="1"/>
  <c r="K4681" i="1"/>
  <c r="E4681" i="1"/>
  <c r="B4681" i="1"/>
  <c r="U4680" i="1"/>
  <c r="K4680" i="1"/>
  <c r="E4680" i="1"/>
  <c r="B4680" i="1"/>
  <c r="U4679" i="1"/>
  <c r="K4679" i="1"/>
  <c r="E4679" i="1"/>
  <c r="B4679" i="1"/>
  <c r="U4678" i="1"/>
  <c r="K4678" i="1"/>
  <c r="E4678" i="1"/>
  <c r="B4678" i="1"/>
  <c r="U4677" i="1"/>
  <c r="K4677" i="1"/>
  <c r="E4677" i="1"/>
  <c r="B4677" i="1"/>
  <c r="K4676" i="1"/>
  <c r="E4676" i="1"/>
  <c r="B4676" i="1"/>
  <c r="U4675" i="1"/>
  <c r="K4675" i="1"/>
  <c r="E4675" i="1"/>
  <c r="B4675" i="1"/>
  <c r="U4674" i="1"/>
  <c r="K4674" i="1"/>
  <c r="E4674" i="1"/>
  <c r="B4674" i="1"/>
  <c r="U4673" i="1"/>
  <c r="K4673" i="1"/>
  <c r="E4673" i="1"/>
  <c r="B4673" i="1"/>
  <c r="U4672" i="1"/>
  <c r="K4672" i="1"/>
  <c r="E4672" i="1"/>
  <c r="B4672" i="1"/>
  <c r="U4671" i="1"/>
  <c r="K4671" i="1"/>
  <c r="E4671" i="1"/>
  <c r="B4671" i="1"/>
  <c r="U4670" i="1"/>
  <c r="K4670" i="1"/>
  <c r="E4670" i="1"/>
  <c r="B4670" i="1"/>
  <c r="U4669" i="1"/>
  <c r="K4669" i="1"/>
  <c r="E4669" i="1"/>
  <c r="B4669" i="1"/>
  <c r="U4668" i="1"/>
  <c r="K4668" i="1"/>
  <c r="E4668" i="1"/>
  <c r="B4668" i="1"/>
  <c r="U4667" i="1"/>
  <c r="K4667" i="1"/>
  <c r="E4667" i="1"/>
  <c r="B4667" i="1"/>
  <c r="U4666" i="1"/>
  <c r="K4666" i="1"/>
  <c r="E4666" i="1"/>
  <c r="B4666" i="1"/>
  <c r="U4665" i="1"/>
  <c r="K4665" i="1"/>
  <c r="E4665" i="1"/>
  <c r="B4665" i="1"/>
  <c r="U4664" i="1"/>
  <c r="K4664" i="1"/>
  <c r="E4664" i="1"/>
  <c r="B4664" i="1"/>
  <c r="U4663" i="1"/>
  <c r="K4663" i="1"/>
  <c r="E4663" i="1"/>
  <c r="B4663" i="1"/>
  <c r="U4662" i="1"/>
  <c r="K4662" i="1"/>
  <c r="E4662" i="1"/>
  <c r="B4662" i="1"/>
  <c r="U4661" i="1"/>
  <c r="K4661" i="1"/>
  <c r="E4661" i="1"/>
  <c r="B4661" i="1"/>
  <c r="U4660" i="1"/>
  <c r="K4660" i="1"/>
  <c r="E4660" i="1"/>
  <c r="B4660" i="1"/>
  <c r="U4659" i="1"/>
  <c r="K4659" i="1"/>
  <c r="E4659" i="1"/>
  <c r="B4659" i="1"/>
  <c r="U4658" i="1"/>
  <c r="K4658" i="1"/>
  <c r="E4658" i="1"/>
  <c r="B4658" i="1"/>
  <c r="U4657" i="1"/>
  <c r="K4657" i="1"/>
  <c r="E4657" i="1"/>
  <c r="B4657" i="1"/>
  <c r="U4656" i="1"/>
  <c r="K4656" i="1"/>
  <c r="E4656" i="1"/>
  <c r="B4656" i="1"/>
  <c r="U4655" i="1"/>
  <c r="K4655" i="1"/>
  <c r="E4655" i="1"/>
  <c r="B4655" i="1"/>
  <c r="U4654" i="1"/>
  <c r="K4654" i="1"/>
  <c r="E4654" i="1"/>
  <c r="B4654" i="1"/>
  <c r="U4653" i="1"/>
  <c r="K4653" i="1"/>
  <c r="E4653" i="1"/>
  <c r="B4653" i="1"/>
  <c r="U4652" i="1"/>
  <c r="K4652" i="1"/>
  <c r="E4652" i="1"/>
  <c r="B4652" i="1"/>
  <c r="U4651" i="1"/>
  <c r="K4651" i="1"/>
  <c r="E4651" i="1"/>
  <c r="B4651" i="1"/>
  <c r="U4650" i="1"/>
  <c r="K4650" i="1"/>
  <c r="E4650" i="1"/>
  <c r="B4650" i="1"/>
  <c r="U4649" i="1"/>
  <c r="K4649" i="1"/>
  <c r="E4649" i="1"/>
  <c r="B4649" i="1"/>
  <c r="U4648" i="1"/>
  <c r="K4648" i="1"/>
  <c r="E4648" i="1"/>
  <c r="B4648" i="1"/>
  <c r="U4647" i="1"/>
  <c r="K4647" i="1"/>
  <c r="E4647" i="1"/>
  <c r="B4647" i="1"/>
  <c r="U4646" i="1"/>
  <c r="K4646" i="1"/>
  <c r="E4646" i="1"/>
  <c r="B4646" i="1"/>
  <c r="U4645" i="1"/>
  <c r="K4645" i="1"/>
  <c r="E4645" i="1"/>
  <c r="B4645" i="1"/>
  <c r="U4644" i="1"/>
  <c r="K4644" i="1"/>
  <c r="E4644" i="1"/>
  <c r="B4644" i="1"/>
  <c r="U4643" i="1"/>
  <c r="K4643" i="1"/>
  <c r="E4643" i="1"/>
  <c r="B4643" i="1"/>
  <c r="U4642" i="1"/>
  <c r="K4642" i="1"/>
  <c r="E4642" i="1"/>
  <c r="B4642" i="1"/>
  <c r="U4641" i="1"/>
  <c r="K4641" i="1"/>
  <c r="E4641" i="1"/>
  <c r="B4641" i="1"/>
  <c r="U4640" i="1"/>
  <c r="K4640" i="1"/>
  <c r="E4640" i="1"/>
  <c r="B4640" i="1"/>
  <c r="U4639" i="1"/>
  <c r="K4639" i="1"/>
  <c r="E4639" i="1"/>
  <c r="B4639" i="1"/>
  <c r="U4638" i="1"/>
  <c r="K4638" i="1"/>
  <c r="E4638" i="1"/>
  <c r="B4638" i="1"/>
  <c r="U4637" i="1"/>
  <c r="K4637" i="1"/>
  <c r="E4637" i="1"/>
  <c r="B4637" i="1"/>
  <c r="U4636" i="1"/>
  <c r="K4636" i="1"/>
  <c r="E4636" i="1"/>
  <c r="B4636" i="1"/>
  <c r="U4635" i="1"/>
  <c r="K4635" i="1"/>
  <c r="E4635" i="1"/>
  <c r="B4635" i="1"/>
  <c r="U4634" i="1"/>
  <c r="K4634" i="1"/>
  <c r="E4634" i="1"/>
  <c r="B4634" i="1"/>
  <c r="U4633" i="1"/>
  <c r="K4633" i="1"/>
  <c r="E4633" i="1"/>
  <c r="B4633" i="1"/>
  <c r="U4632" i="1"/>
  <c r="K4632" i="1"/>
  <c r="E4632" i="1"/>
  <c r="B4632" i="1"/>
  <c r="U4631" i="1"/>
  <c r="K4631" i="1"/>
  <c r="E4631" i="1"/>
  <c r="B4631" i="1"/>
  <c r="U4630" i="1"/>
  <c r="K4630" i="1"/>
  <c r="E4630" i="1"/>
  <c r="B4630" i="1"/>
  <c r="U4629" i="1"/>
  <c r="K4629" i="1"/>
  <c r="E4629" i="1"/>
  <c r="B4629" i="1"/>
  <c r="U4628" i="1"/>
  <c r="K4628" i="1"/>
  <c r="E4628" i="1"/>
  <c r="B4628" i="1"/>
  <c r="U4627" i="1"/>
  <c r="K4627" i="1"/>
  <c r="E4627" i="1"/>
  <c r="B4627" i="1"/>
  <c r="U4626" i="1"/>
  <c r="K4626" i="1"/>
  <c r="E4626" i="1"/>
  <c r="B4626" i="1"/>
  <c r="U4625" i="1"/>
  <c r="K4625" i="1"/>
  <c r="E4625" i="1"/>
  <c r="B4625" i="1"/>
  <c r="U4624" i="1"/>
  <c r="K4624" i="1"/>
  <c r="E4624" i="1"/>
  <c r="B4624" i="1"/>
  <c r="U4623" i="1"/>
  <c r="K4623" i="1"/>
  <c r="E4623" i="1"/>
  <c r="B4623" i="1"/>
  <c r="U4622" i="1"/>
  <c r="K4622" i="1"/>
  <c r="E4622" i="1"/>
  <c r="B4622" i="1"/>
  <c r="U4621" i="1"/>
  <c r="K4621" i="1"/>
  <c r="E4621" i="1"/>
  <c r="B4621" i="1"/>
  <c r="U4620" i="1"/>
  <c r="K4620" i="1"/>
  <c r="E4620" i="1"/>
  <c r="B4620" i="1"/>
  <c r="U4619" i="1"/>
  <c r="K4619" i="1"/>
  <c r="E4619" i="1"/>
  <c r="B4619" i="1"/>
  <c r="U4618" i="1"/>
  <c r="K4618" i="1"/>
  <c r="E4618" i="1"/>
  <c r="B4618" i="1"/>
  <c r="U4617" i="1"/>
  <c r="K4617" i="1"/>
  <c r="E4617" i="1"/>
  <c r="B4617" i="1"/>
  <c r="U4616" i="1"/>
  <c r="K4616" i="1"/>
  <c r="E4616" i="1"/>
  <c r="B4616" i="1"/>
  <c r="U4615" i="1"/>
  <c r="K4615" i="1"/>
  <c r="E4615" i="1"/>
  <c r="B4615" i="1"/>
  <c r="U4614" i="1"/>
  <c r="K4614" i="1"/>
  <c r="E4614" i="1"/>
  <c r="B4614" i="1"/>
  <c r="U4613" i="1"/>
  <c r="K4613" i="1"/>
  <c r="E4613" i="1"/>
  <c r="B4613" i="1"/>
  <c r="U4612" i="1"/>
  <c r="K4612" i="1"/>
  <c r="E4612" i="1"/>
  <c r="B4612" i="1"/>
  <c r="U4611" i="1"/>
  <c r="K4611" i="1"/>
  <c r="E4611" i="1"/>
  <c r="B4611" i="1"/>
  <c r="U4610" i="1"/>
  <c r="K4610" i="1"/>
  <c r="E4610" i="1"/>
  <c r="B4610" i="1"/>
  <c r="U4609" i="1"/>
  <c r="K4609" i="1"/>
  <c r="E4609" i="1"/>
  <c r="B4609" i="1"/>
  <c r="U4608" i="1"/>
  <c r="K4608" i="1"/>
  <c r="E4608" i="1"/>
  <c r="B4608" i="1"/>
  <c r="U4607" i="1"/>
  <c r="K4607" i="1"/>
  <c r="E4607" i="1"/>
  <c r="B4607" i="1"/>
  <c r="U4606" i="1"/>
  <c r="K4606" i="1"/>
  <c r="E4606" i="1"/>
  <c r="B4606" i="1"/>
  <c r="U4605" i="1"/>
  <c r="K4605" i="1"/>
  <c r="E4605" i="1"/>
  <c r="B4605" i="1"/>
  <c r="U4604" i="1"/>
  <c r="K4604" i="1"/>
  <c r="E4604" i="1"/>
  <c r="B4604" i="1"/>
  <c r="U4603" i="1"/>
  <c r="K4603" i="1"/>
  <c r="E4603" i="1"/>
  <c r="B4603" i="1"/>
  <c r="U4602" i="1"/>
  <c r="K4602" i="1"/>
  <c r="E4602" i="1"/>
  <c r="B4602" i="1"/>
  <c r="U4601" i="1"/>
  <c r="K4601" i="1"/>
  <c r="E4601" i="1"/>
  <c r="B4601" i="1"/>
  <c r="U4600" i="1"/>
  <c r="K4600" i="1"/>
  <c r="E4600" i="1"/>
  <c r="B4600" i="1"/>
  <c r="U4599" i="1"/>
  <c r="K4599" i="1"/>
  <c r="E4599" i="1"/>
  <c r="B4599" i="1"/>
  <c r="U4598" i="1"/>
  <c r="K4598" i="1"/>
  <c r="E4598" i="1"/>
  <c r="B4598" i="1"/>
  <c r="U4597" i="1"/>
  <c r="K4597" i="1"/>
  <c r="E4597" i="1"/>
  <c r="B4597" i="1"/>
  <c r="U4596" i="1"/>
  <c r="K4596" i="1"/>
  <c r="E4596" i="1"/>
  <c r="B4596" i="1"/>
  <c r="U4595" i="1"/>
  <c r="K4595" i="1"/>
  <c r="E4595" i="1"/>
  <c r="B4595" i="1"/>
  <c r="U4594" i="1"/>
  <c r="K4594" i="1"/>
  <c r="E4594" i="1"/>
  <c r="B4594" i="1"/>
  <c r="U4593" i="1"/>
  <c r="K4593" i="1"/>
  <c r="E4593" i="1"/>
  <c r="B4593" i="1"/>
  <c r="U4592" i="1"/>
  <c r="K4592" i="1"/>
  <c r="E4592" i="1"/>
  <c r="B4592" i="1"/>
  <c r="U4591" i="1"/>
  <c r="K4591" i="1"/>
  <c r="E4591" i="1"/>
  <c r="B4591" i="1"/>
  <c r="U4590" i="1"/>
  <c r="K4590" i="1"/>
  <c r="E4590" i="1"/>
  <c r="B4590" i="1"/>
  <c r="U4589" i="1"/>
  <c r="K4589" i="1"/>
  <c r="E4589" i="1"/>
  <c r="B4589" i="1"/>
  <c r="U4588" i="1"/>
  <c r="K4588" i="1"/>
  <c r="E4588" i="1"/>
  <c r="B4588" i="1"/>
  <c r="U4587" i="1"/>
  <c r="K4587" i="1"/>
  <c r="E4587" i="1"/>
  <c r="B4587" i="1"/>
  <c r="U4586" i="1"/>
  <c r="K4586" i="1"/>
  <c r="E4586" i="1"/>
  <c r="B4586" i="1"/>
  <c r="U4585" i="1"/>
  <c r="K4585" i="1"/>
  <c r="E4585" i="1"/>
  <c r="B4585" i="1"/>
  <c r="U4584" i="1"/>
  <c r="K4584" i="1"/>
  <c r="E4584" i="1"/>
  <c r="B4584" i="1"/>
  <c r="U4583" i="1"/>
  <c r="K4583" i="1"/>
  <c r="E4583" i="1"/>
  <c r="B4583" i="1"/>
  <c r="U4582" i="1"/>
  <c r="K4582" i="1"/>
  <c r="E4582" i="1"/>
  <c r="B4582" i="1"/>
  <c r="U4581" i="1"/>
  <c r="K4581" i="1"/>
  <c r="E4581" i="1"/>
  <c r="B4581" i="1"/>
  <c r="U4580" i="1"/>
  <c r="K4580" i="1"/>
  <c r="E4580" i="1"/>
  <c r="B4580" i="1"/>
  <c r="U4579" i="1"/>
  <c r="K4579" i="1"/>
  <c r="E4579" i="1"/>
  <c r="B4579" i="1"/>
  <c r="U4578" i="1"/>
  <c r="K4578" i="1"/>
  <c r="E4578" i="1"/>
  <c r="B4578" i="1"/>
  <c r="U4577" i="1"/>
  <c r="K4577" i="1"/>
  <c r="E4577" i="1"/>
  <c r="B4577" i="1"/>
  <c r="U4576" i="1"/>
  <c r="K4576" i="1"/>
  <c r="E4576" i="1"/>
  <c r="B4576" i="1"/>
  <c r="U4575" i="1"/>
  <c r="K4575" i="1"/>
  <c r="E4575" i="1"/>
  <c r="B4575" i="1"/>
  <c r="U4574" i="1"/>
  <c r="K4574" i="1"/>
  <c r="E4574" i="1"/>
  <c r="B4574" i="1"/>
  <c r="K4573" i="1"/>
  <c r="E4573" i="1"/>
  <c r="B4573" i="1"/>
  <c r="U4572" i="1"/>
  <c r="K4572" i="1"/>
  <c r="E4572" i="1"/>
  <c r="B4572" i="1"/>
  <c r="K4571" i="1"/>
  <c r="E4571" i="1"/>
  <c r="B4571" i="1"/>
  <c r="U4570" i="1"/>
  <c r="K4570" i="1"/>
  <c r="E4570" i="1"/>
  <c r="B4570" i="1"/>
  <c r="U4569" i="1"/>
  <c r="K4569" i="1"/>
  <c r="E4569" i="1"/>
  <c r="B4569" i="1"/>
  <c r="U4568" i="1"/>
  <c r="K4568" i="1"/>
  <c r="E4568" i="1"/>
  <c r="B4568" i="1"/>
  <c r="U4567" i="1"/>
  <c r="K4567" i="1"/>
  <c r="E4567" i="1"/>
  <c r="B4567" i="1"/>
  <c r="U4566" i="1"/>
  <c r="K4566" i="1"/>
  <c r="E4566" i="1"/>
  <c r="B4566" i="1"/>
  <c r="U4565" i="1"/>
  <c r="K4565" i="1"/>
  <c r="E4565" i="1"/>
  <c r="B4565" i="1"/>
  <c r="U4564" i="1"/>
  <c r="K4564" i="1"/>
  <c r="E4564" i="1"/>
  <c r="B4564" i="1"/>
  <c r="U4563" i="1"/>
  <c r="K4563" i="1"/>
  <c r="E4563" i="1"/>
  <c r="B4563" i="1"/>
  <c r="U4562" i="1"/>
  <c r="K4562" i="1"/>
  <c r="E4562" i="1"/>
  <c r="B4562" i="1"/>
  <c r="U4561" i="1"/>
  <c r="K4561" i="1"/>
  <c r="E4561" i="1"/>
  <c r="B4561" i="1"/>
  <c r="U4560" i="1"/>
  <c r="K4560" i="1"/>
  <c r="E4560" i="1"/>
  <c r="B4560" i="1"/>
  <c r="U4559" i="1"/>
  <c r="K4559" i="1"/>
  <c r="E4559" i="1"/>
  <c r="B4559" i="1"/>
  <c r="U4558" i="1"/>
  <c r="K4558" i="1"/>
  <c r="E4558" i="1"/>
  <c r="B4558" i="1"/>
  <c r="U4557" i="1"/>
  <c r="K4557" i="1"/>
  <c r="E4557" i="1"/>
  <c r="B4557" i="1"/>
  <c r="U4556" i="1"/>
  <c r="K4556" i="1"/>
  <c r="E4556" i="1"/>
  <c r="B4556" i="1"/>
  <c r="U4555" i="1"/>
  <c r="K4555" i="1"/>
  <c r="E4555" i="1"/>
  <c r="B4555" i="1"/>
  <c r="U4554" i="1"/>
  <c r="K4554" i="1"/>
  <c r="E4554" i="1"/>
  <c r="B4554" i="1"/>
  <c r="U4553" i="1"/>
  <c r="K4553" i="1"/>
  <c r="E4553" i="1"/>
  <c r="B4553" i="1"/>
  <c r="U4552" i="1"/>
  <c r="K4552" i="1"/>
  <c r="E4552" i="1"/>
  <c r="B4552" i="1"/>
  <c r="U4551" i="1"/>
  <c r="K4551" i="1"/>
  <c r="E4551" i="1"/>
  <c r="B4551" i="1"/>
  <c r="U4550" i="1"/>
  <c r="K4550" i="1"/>
  <c r="E4550" i="1"/>
  <c r="B4550" i="1"/>
  <c r="U4549" i="1"/>
  <c r="K4549" i="1"/>
  <c r="E4549" i="1"/>
  <c r="B4549" i="1"/>
  <c r="U4548" i="1"/>
  <c r="K4548" i="1"/>
  <c r="E4548" i="1"/>
  <c r="B4548" i="1"/>
  <c r="U4547" i="1"/>
  <c r="K4547" i="1"/>
  <c r="E4547" i="1"/>
  <c r="B4547" i="1"/>
  <c r="U4546" i="1"/>
  <c r="K4546" i="1"/>
  <c r="E4546" i="1"/>
  <c r="B4546" i="1"/>
  <c r="U4545" i="1"/>
  <c r="K4545" i="1"/>
  <c r="E4545" i="1"/>
  <c r="B4545" i="1"/>
  <c r="U4544" i="1"/>
  <c r="K4544" i="1"/>
  <c r="E4544" i="1"/>
  <c r="B4544" i="1"/>
  <c r="U4543" i="1"/>
  <c r="K4543" i="1"/>
  <c r="E4543" i="1"/>
  <c r="B4543" i="1"/>
  <c r="K4542" i="1"/>
  <c r="E4542" i="1"/>
  <c r="B4542" i="1"/>
  <c r="U4541" i="1"/>
  <c r="K4541" i="1"/>
  <c r="E4541" i="1"/>
  <c r="B4541" i="1"/>
  <c r="U4540" i="1"/>
  <c r="K4540" i="1"/>
  <c r="E4540" i="1"/>
  <c r="B4540" i="1"/>
  <c r="U4539" i="1"/>
  <c r="K4539" i="1"/>
  <c r="E4539" i="1"/>
  <c r="B4539" i="1"/>
  <c r="U4538" i="1"/>
  <c r="K4538" i="1"/>
  <c r="E4538" i="1"/>
  <c r="B4538" i="1"/>
  <c r="U4537" i="1"/>
  <c r="K4537" i="1"/>
  <c r="E4537" i="1"/>
  <c r="B4537" i="1"/>
  <c r="U4536" i="1"/>
  <c r="K4536" i="1"/>
  <c r="E4536" i="1"/>
  <c r="B4536" i="1"/>
  <c r="U4535" i="1"/>
  <c r="K4535" i="1"/>
  <c r="E4535" i="1"/>
  <c r="B4535" i="1"/>
  <c r="U4534" i="1"/>
  <c r="K4534" i="1"/>
  <c r="E4534" i="1"/>
  <c r="B4534" i="1"/>
  <c r="U4533" i="1"/>
  <c r="K4533" i="1"/>
  <c r="E4533" i="1"/>
  <c r="B4533" i="1"/>
  <c r="U4532" i="1"/>
  <c r="K4532" i="1"/>
  <c r="E4532" i="1"/>
  <c r="B4532" i="1"/>
  <c r="U4531" i="1"/>
  <c r="K4531" i="1"/>
  <c r="E4531" i="1"/>
  <c r="B4531" i="1"/>
  <c r="U4530" i="1"/>
  <c r="K4530" i="1"/>
  <c r="E4530" i="1"/>
  <c r="B4530" i="1"/>
  <c r="U4529" i="1"/>
  <c r="K4529" i="1"/>
  <c r="E4529" i="1"/>
  <c r="B4529" i="1"/>
  <c r="U4528" i="1"/>
  <c r="K4528" i="1"/>
  <c r="E4528" i="1"/>
  <c r="B4528" i="1"/>
  <c r="U4527" i="1"/>
  <c r="K4527" i="1"/>
  <c r="E4527" i="1"/>
  <c r="B4527" i="1"/>
  <c r="U4526" i="1"/>
  <c r="K4526" i="1"/>
  <c r="E4526" i="1"/>
  <c r="B4526" i="1"/>
  <c r="U4525" i="1"/>
  <c r="K4525" i="1"/>
  <c r="E4525" i="1"/>
  <c r="B4525" i="1"/>
  <c r="U4524" i="1"/>
  <c r="K4524" i="1"/>
  <c r="E4524" i="1"/>
  <c r="B4524" i="1"/>
  <c r="U4523" i="1"/>
  <c r="K4523" i="1"/>
  <c r="E4523" i="1"/>
  <c r="B4523" i="1"/>
  <c r="U4522" i="1"/>
  <c r="K4522" i="1"/>
  <c r="E4522" i="1"/>
  <c r="B4522" i="1"/>
  <c r="U4521" i="1"/>
  <c r="K4521" i="1"/>
  <c r="E4521" i="1"/>
  <c r="B4521" i="1"/>
  <c r="U4520" i="1"/>
  <c r="K4520" i="1"/>
  <c r="E4520" i="1"/>
  <c r="B4520" i="1"/>
  <c r="U4519" i="1"/>
  <c r="K4519" i="1"/>
  <c r="E4519" i="1"/>
  <c r="B4519" i="1"/>
  <c r="U4518" i="1"/>
  <c r="K4518" i="1"/>
  <c r="E4518" i="1"/>
  <c r="B4518" i="1"/>
  <c r="U4517" i="1"/>
  <c r="K4517" i="1"/>
  <c r="E4517" i="1"/>
  <c r="B4517" i="1"/>
  <c r="U4516" i="1"/>
  <c r="K4516" i="1"/>
  <c r="E4516" i="1"/>
  <c r="B4516" i="1"/>
  <c r="U4515" i="1"/>
  <c r="K4515" i="1"/>
  <c r="E4515" i="1"/>
  <c r="B4515" i="1"/>
  <c r="U4514" i="1"/>
  <c r="K4514" i="1"/>
  <c r="E4514" i="1"/>
  <c r="B4514" i="1"/>
  <c r="U4513" i="1"/>
  <c r="K4513" i="1"/>
  <c r="E4513" i="1"/>
  <c r="B4513" i="1"/>
  <c r="U4512" i="1"/>
  <c r="K4512" i="1"/>
  <c r="E4512" i="1"/>
  <c r="B4512" i="1"/>
  <c r="U4511" i="1"/>
  <c r="K4511" i="1"/>
  <c r="E4511" i="1"/>
  <c r="B4511" i="1"/>
  <c r="U4510" i="1"/>
  <c r="K4510" i="1"/>
  <c r="E4510" i="1"/>
  <c r="B4510" i="1"/>
  <c r="U4509" i="1"/>
  <c r="K4509" i="1"/>
  <c r="E4509" i="1"/>
  <c r="B4509" i="1"/>
  <c r="U4508" i="1"/>
  <c r="K4508" i="1"/>
  <c r="E4508" i="1"/>
  <c r="B4508" i="1"/>
  <c r="U4507" i="1"/>
  <c r="K4507" i="1"/>
  <c r="E4507" i="1"/>
  <c r="B4507" i="1"/>
  <c r="U4506" i="1"/>
  <c r="K4506" i="1"/>
  <c r="E4506" i="1"/>
  <c r="B4506" i="1"/>
  <c r="U4505" i="1"/>
  <c r="K4505" i="1"/>
  <c r="E4505" i="1"/>
  <c r="B4505" i="1"/>
  <c r="U4504" i="1"/>
  <c r="K4504" i="1"/>
  <c r="E4504" i="1"/>
  <c r="B4504" i="1"/>
  <c r="U4503" i="1"/>
  <c r="K4503" i="1"/>
  <c r="E4503" i="1"/>
  <c r="B4503" i="1"/>
  <c r="U4502" i="1"/>
  <c r="K4502" i="1"/>
  <c r="E4502" i="1"/>
  <c r="B4502" i="1"/>
  <c r="U4501" i="1"/>
  <c r="K4501" i="1"/>
  <c r="E4501" i="1"/>
  <c r="B4501" i="1"/>
  <c r="U4500" i="1"/>
  <c r="K4500" i="1"/>
  <c r="E4500" i="1"/>
  <c r="B4500" i="1"/>
  <c r="U4499" i="1"/>
  <c r="K4499" i="1"/>
  <c r="E4499" i="1"/>
  <c r="B4499" i="1"/>
  <c r="U4498" i="1"/>
  <c r="K4498" i="1"/>
  <c r="E4498" i="1"/>
  <c r="B4498" i="1"/>
  <c r="U4497" i="1"/>
  <c r="K4497" i="1"/>
  <c r="E4497" i="1"/>
  <c r="B4497" i="1"/>
  <c r="U4496" i="1"/>
  <c r="K4496" i="1"/>
  <c r="E4496" i="1"/>
  <c r="B4496" i="1"/>
  <c r="U4495" i="1"/>
  <c r="K4495" i="1"/>
  <c r="E4495" i="1"/>
  <c r="B4495" i="1"/>
  <c r="U4494" i="1"/>
  <c r="K4494" i="1"/>
  <c r="E4494" i="1"/>
  <c r="B4494" i="1"/>
  <c r="U4493" i="1"/>
  <c r="K4493" i="1"/>
  <c r="E4493" i="1"/>
  <c r="B4493" i="1"/>
  <c r="U4492" i="1"/>
  <c r="K4492" i="1"/>
  <c r="E4492" i="1"/>
  <c r="B4492" i="1"/>
  <c r="U4491" i="1"/>
  <c r="K4491" i="1"/>
  <c r="E4491" i="1"/>
  <c r="B4491" i="1"/>
  <c r="U4490" i="1"/>
  <c r="K4490" i="1"/>
  <c r="E4490" i="1"/>
  <c r="B4490" i="1"/>
  <c r="U4489" i="1"/>
  <c r="K4489" i="1"/>
  <c r="E4489" i="1"/>
  <c r="B4489" i="1"/>
  <c r="U4488" i="1"/>
  <c r="K4488" i="1"/>
  <c r="E4488" i="1"/>
  <c r="B4488" i="1"/>
  <c r="U4487" i="1"/>
  <c r="K4487" i="1"/>
  <c r="E4487" i="1"/>
  <c r="B4487" i="1"/>
  <c r="U4486" i="1"/>
  <c r="K4486" i="1"/>
  <c r="E4486" i="1"/>
  <c r="B4486" i="1"/>
  <c r="U4485" i="1"/>
  <c r="K4485" i="1"/>
  <c r="E4485" i="1"/>
  <c r="B4485" i="1"/>
  <c r="U4484" i="1"/>
  <c r="K4484" i="1"/>
  <c r="E4484" i="1"/>
  <c r="B4484" i="1"/>
  <c r="U4483" i="1"/>
  <c r="K4483" i="1"/>
  <c r="E4483" i="1"/>
  <c r="B4483" i="1"/>
  <c r="U4482" i="1"/>
  <c r="K4482" i="1"/>
  <c r="E4482" i="1"/>
  <c r="B4482" i="1"/>
  <c r="U4481" i="1"/>
  <c r="K4481" i="1"/>
  <c r="E4481" i="1"/>
  <c r="B4481" i="1"/>
  <c r="U4480" i="1"/>
  <c r="K4480" i="1"/>
  <c r="E4480" i="1"/>
  <c r="B4480" i="1"/>
  <c r="U4479" i="1"/>
  <c r="K4479" i="1"/>
  <c r="E4479" i="1"/>
  <c r="B4479" i="1"/>
  <c r="U4478" i="1"/>
  <c r="K4478" i="1"/>
  <c r="E4478" i="1"/>
  <c r="B4478" i="1"/>
  <c r="U4477" i="1"/>
  <c r="K4477" i="1"/>
  <c r="E4477" i="1"/>
  <c r="B4477" i="1"/>
  <c r="U4476" i="1"/>
  <c r="K4476" i="1"/>
  <c r="E4476" i="1"/>
  <c r="B4476" i="1"/>
  <c r="U4475" i="1"/>
  <c r="K4475" i="1"/>
  <c r="E4475" i="1"/>
  <c r="B4475" i="1"/>
  <c r="U4474" i="1"/>
  <c r="K4474" i="1"/>
  <c r="E4474" i="1"/>
  <c r="B4474" i="1"/>
  <c r="U4473" i="1"/>
  <c r="K4473" i="1"/>
  <c r="E4473" i="1"/>
  <c r="B4473" i="1"/>
  <c r="U4472" i="1"/>
  <c r="K4472" i="1"/>
  <c r="E4472" i="1"/>
  <c r="B4472" i="1"/>
  <c r="U4471" i="1"/>
  <c r="K4471" i="1"/>
  <c r="E4471" i="1"/>
  <c r="B4471" i="1"/>
  <c r="K4470" i="1"/>
  <c r="E4470" i="1"/>
  <c r="B4470" i="1"/>
  <c r="U4469" i="1"/>
  <c r="K4469" i="1"/>
  <c r="E4469" i="1"/>
  <c r="B4469" i="1"/>
  <c r="U4468" i="1"/>
  <c r="K4468" i="1"/>
  <c r="E4468" i="1"/>
  <c r="B4468" i="1"/>
  <c r="U4467" i="1"/>
  <c r="K4467" i="1"/>
  <c r="E4467" i="1"/>
  <c r="B4467" i="1"/>
  <c r="U4466" i="1"/>
  <c r="K4466" i="1"/>
  <c r="E4466" i="1"/>
  <c r="B4466" i="1"/>
  <c r="U4465" i="1"/>
  <c r="K4465" i="1"/>
  <c r="E4465" i="1"/>
  <c r="B4465" i="1"/>
  <c r="U4464" i="1"/>
  <c r="K4464" i="1"/>
  <c r="E4464" i="1"/>
  <c r="B4464" i="1"/>
  <c r="U4463" i="1"/>
  <c r="K4463" i="1"/>
  <c r="E4463" i="1"/>
  <c r="B4463" i="1"/>
  <c r="U4462" i="1"/>
  <c r="K4462" i="1"/>
  <c r="E4462" i="1"/>
  <c r="B4462" i="1"/>
  <c r="U4461" i="1"/>
  <c r="K4461" i="1"/>
  <c r="E4461" i="1"/>
  <c r="B4461" i="1"/>
  <c r="U4460" i="1"/>
  <c r="K4460" i="1"/>
  <c r="E4460" i="1"/>
  <c r="B4460" i="1"/>
  <c r="U4459" i="1"/>
  <c r="K4459" i="1"/>
  <c r="E4459" i="1"/>
  <c r="B4459" i="1"/>
  <c r="U4458" i="1"/>
  <c r="K4458" i="1"/>
  <c r="E4458" i="1"/>
  <c r="B4458" i="1"/>
  <c r="U4457" i="1"/>
  <c r="K4457" i="1"/>
  <c r="E4457" i="1"/>
  <c r="B4457" i="1"/>
  <c r="U4456" i="1"/>
  <c r="K4456" i="1"/>
  <c r="E4456" i="1"/>
  <c r="B4456" i="1"/>
  <c r="U4455" i="1"/>
  <c r="K4455" i="1"/>
  <c r="E4455" i="1"/>
  <c r="B4455" i="1"/>
  <c r="U4454" i="1"/>
  <c r="K4454" i="1"/>
  <c r="E4454" i="1"/>
  <c r="B4454" i="1"/>
  <c r="U4453" i="1"/>
  <c r="K4453" i="1"/>
  <c r="E4453" i="1"/>
  <c r="B4453" i="1"/>
  <c r="U4452" i="1"/>
  <c r="K4452" i="1"/>
  <c r="E4452" i="1"/>
  <c r="B4452" i="1"/>
  <c r="U4451" i="1"/>
  <c r="K4451" i="1"/>
  <c r="E4451" i="1"/>
  <c r="B4451" i="1"/>
  <c r="U4450" i="1"/>
  <c r="K4450" i="1"/>
  <c r="E4450" i="1"/>
  <c r="B4450" i="1"/>
  <c r="U4449" i="1"/>
  <c r="K4449" i="1"/>
  <c r="E4449" i="1"/>
  <c r="B4449" i="1"/>
  <c r="U4448" i="1"/>
  <c r="K4448" i="1"/>
  <c r="E4448" i="1"/>
  <c r="B4448" i="1"/>
  <c r="U4447" i="1"/>
  <c r="K4447" i="1"/>
  <c r="E4447" i="1"/>
  <c r="B4447" i="1"/>
  <c r="U4446" i="1"/>
  <c r="K4446" i="1"/>
  <c r="E4446" i="1"/>
  <c r="B4446" i="1"/>
  <c r="K4445" i="1"/>
  <c r="E4445" i="1"/>
  <c r="B4445" i="1"/>
  <c r="U4444" i="1"/>
  <c r="K4444" i="1"/>
  <c r="E4444" i="1"/>
  <c r="B4444" i="1"/>
  <c r="U4443" i="1"/>
  <c r="K4443" i="1"/>
  <c r="E4443" i="1"/>
  <c r="B4443" i="1"/>
  <c r="U4442" i="1"/>
  <c r="K4442" i="1"/>
  <c r="E4442" i="1"/>
  <c r="B4442" i="1"/>
  <c r="U4441" i="1"/>
  <c r="K4441" i="1"/>
  <c r="E4441" i="1"/>
  <c r="B4441" i="1"/>
  <c r="U4440" i="1"/>
  <c r="K4440" i="1"/>
  <c r="E4440" i="1"/>
  <c r="B4440" i="1"/>
  <c r="U4439" i="1"/>
  <c r="K4439" i="1"/>
  <c r="E4439" i="1"/>
  <c r="B4439" i="1"/>
  <c r="U4438" i="1"/>
  <c r="K4438" i="1"/>
  <c r="E4438" i="1"/>
  <c r="B4438" i="1"/>
  <c r="U4437" i="1"/>
  <c r="K4437" i="1"/>
  <c r="E4437" i="1"/>
  <c r="B4437" i="1"/>
  <c r="U4436" i="1"/>
  <c r="K4436" i="1"/>
  <c r="E4436" i="1"/>
  <c r="B4436" i="1"/>
  <c r="U4435" i="1"/>
  <c r="K4435" i="1"/>
  <c r="E4435" i="1"/>
  <c r="B4435" i="1"/>
  <c r="U4434" i="1"/>
  <c r="K4434" i="1"/>
  <c r="E4434" i="1"/>
  <c r="B4434" i="1"/>
  <c r="U4433" i="1"/>
  <c r="K4433" i="1"/>
  <c r="E4433" i="1"/>
  <c r="B4433" i="1"/>
  <c r="U4432" i="1"/>
  <c r="K4432" i="1"/>
  <c r="E4432" i="1"/>
  <c r="B4432" i="1"/>
  <c r="U4431" i="1"/>
  <c r="K4431" i="1"/>
  <c r="E4431" i="1"/>
  <c r="B4431" i="1"/>
  <c r="U4430" i="1"/>
  <c r="K4430" i="1"/>
  <c r="E4430" i="1"/>
  <c r="B4430" i="1"/>
  <c r="U4429" i="1"/>
  <c r="K4429" i="1"/>
  <c r="E4429" i="1"/>
  <c r="B4429" i="1"/>
  <c r="U4428" i="1"/>
  <c r="K4428" i="1"/>
  <c r="E4428" i="1"/>
  <c r="B4428" i="1"/>
  <c r="U4427" i="1"/>
  <c r="K4427" i="1"/>
  <c r="E4427" i="1"/>
  <c r="B4427" i="1"/>
  <c r="U4426" i="1"/>
  <c r="K4426" i="1"/>
  <c r="E4426" i="1"/>
  <c r="B4426" i="1"/>
  <c r="U4425" i="1"/>
  <c r="K4425" i="1"/>
  <c r="E4425" i="1"/>
  <c r="B4425" i="1"/>
  <c r="U4424" i="1"/>
  <c r="K4424" i="1"/>
  <c r="E4424" i="1"/>
  <c r="B4424" i="1"/>
  <c r="U4423" i="1"/>
  <c r="K4423" i="1"/>
  <c r="E4423" i="1"/>
  <c r="B4423" i="1"/>
  <c r="U4422" i="1"/>
  <c r="K4422" i="1"/>
  <c r="E4422" i="1"/>
  <c r="B4422" i="1"/>
  <c r="U4421" i="1"/>
  <c r="K4421" i="1"/>
  <c r="E4421" i="1"/>
  <c r="B4421" i="1"/>
  <c r="U4420" i="1"/>
  <c r="K4420" i="1"/>
  <c r="E4420" i="1"/>
  <c r="B4420" i="1"/>
  <c r="U4419" i="1"/>
  <c r="K4419" i="1"/>
  <c r="E4419" i="1"/>
  <c r="B4419" i="1"/>
  <c r="U4418" i="1"/>
  <c r="K4418" i="1"/>
  <c r="E4418" i="1"/>
  <c r="B4418" i="1"/>
  <c r="U4417" i="1"/>
  <c r="K4417" i="1"/>
  <c r="E4417" i="1"/>
  <c r="B4417" i="1"/>
  <c r="U4416" i="1"/>
  <c r="K4416" i="1"/>
  <c r="E4416" i="1"/>
  <c r="B4416" i="1"/>
  <c r="U4415" i="1"/>
  <c r="K4415" i="1"/>
  <c r="E4415" i="1"/>
  <c r="B4415" i="1"/>
  <c r="U4414" i="1"/>
  <c r="K4414" i="1"/>
  <c r="E4414" i="1"/>
  <c r="B4414" i="1"/>
  <c r="U4413" i="1"/>
  <c r="K4413" i="1"/>
  <c r="E4413" i="1"/>
  <c r="B4413" i="1"/>
  <c r="U4412" i="1"/>
  <c r="K4412" i="1"/>
  <c r="E4412" i="1"/>
  <c r="B4412" i="1"/>
  <c r="K4411" i="1"/>
  <c r="E4411" i="1"/>
  <c r="B4411" i="1"/>
  <c r="U4410" i="1"/>
  <c r="K4410" i="1"/>
  <c r="E4410" i="1"/>
  <c r="B4410" i="1"/>
  <c r="U4409" i="1"/>
  <c r="K4409" i="1"/>
  <c r="E4409" i="1"/>
  <c r="B4409" i="1"/>
  <c r="U4408" i="1"/>
  <c r="K4408" i="1"/>
  <c r="E4408" i="1"/>
  <c r="B4408" i="1"/>
  <c r="U4407" i="1"/>
  <c r="K4407" i="1"/>
  <c r="E4407" i="1"/>
  <c r="B4407" i="1"/>
  <c r="U4406" i="1"/>
  <c r="K4406" i="1"/>
  <c r="E4406" i="1"/>
  <c r="B4406" i="1"/>
  <c r="U4405" i="1"/>
  <c r="K4405" i="1"/>
  <c r="E4405" i="1"/>
  <c r="B4405" i="1"/>
  <c r="U4404" i="1"/>
  <c r="K4404" i="1"/>
  <c r="E4404" i="1"/>
  <c r="B4404" i="1"/>
  <c r="U4403" i="1"/>
  <c r="K4403" i="1"/>
  <c r="E4403" i="1"/>
  <c r="B4403" i="1"/>
  <c r="U4402" i="1"/>
  <c r="K4402" i="1"/>
  <c r="E4402" i="1"/>
  <c r="B4402" i="1"/>
  <c r="U4401" i="1"/>
  <c r="K4401" i="1"/>
  <c r="E4401" i="1"/>
  <c r="B4401" i="1"/>
  <c r="U4400" i="1"/>
  <c r="K4400" i="1"/>
  <c r="E4400" i="1"/>
  <c r="B4400" i="1"/>
  <c r="U4399" i="1"/>
  <c r="K4399" i="1"/>
  <c r="E4399" i="1"/>
  <c r="B4399" i="1"/>
  <c r="U4398" i="1"/>
  <c r="K4398" i="1"/>
  <c r="E4398" i="1"/>
  <c r="B4398" i="1"/>
  <c r="U4397" i="1"/>
  <c r="K4397" i="1"/>
  <c r="E4397" i="1"/>
  <c r="B4397" i="1"/>
  <c r="U4396" i="1"/>
  <c r="K4396" i="1"/>
  <c r="E4396" i="1"/>
  <c r="B4396" i="1"/>
  <c r="U4395" i="1"/>
  <c r="K4395" i="1"/>
  <c r="E4395" i="1"/>
  <c r="B4395" i="1"/>
  <c r="U4394" i="1"/>
  <c r="K4394" i="1"/>
  <c r="E4394" i="1"/>
  <c r="B4394" i="1"/>
  <c r="U4393" i="1"/>
  <c r="K4393" i="1"/>
  <c r="E4393" i="1"/>
  <c r="B4393" i="1"/>
  <c r="U4392" i="1"/>
  <c r="K4392" i="1"/>
  <c r="E4392" i="1"/>
  <c r="B4392" i="1"/>
  <c r="U4391" i="1"/>
  <c r="K4391" i="1"/>
  <c r="E4391" i="1"/>
  <c r="B4391" i="1"/>
  <c r="U4390" i="1"/>
  <c r="K4390" i="1"/>
  <c r="E4390" i="1"/>
  <c r="B4390" i="1"/>
  <c r="U4389" i="1"/>
  <c r="K4389" i="1"/>
  <c r="E4389" i="1"/>
  <c r="B4389" i="1"/>
  <c r="U4388" i="1"/>
  <c r="K4388" i="1"/>
  <c r="E4388" i="1"/>
  <c r="B4388" i="1"/>
  <c r="U4387" i="1"/>
  <c r="K4387" i="1"/>
  <c r="E4387" i="1"/>
  <c r="B4387" i="1"/>
  <c r="U4386" i="1"/>
  <c r="K4386" i="1"/>
  <c r="E4386" i="1"/>
  <c r="B4386" i="1"/>
  <c r="U4385" i="1"/>
  <c r="K4385" i="1"/>
  <c r="E4385" i="1"/>
  <c r="B4385" i="1"/>
  <c r="U4384" i="1"/>
  <c r="K4384" i="1"/>
  <c r="E4384" i="1"/>
  <c r="B4384" i="1"/>
  <c r="U4383" i="1"/>
  <c r="K4383" i="1"/>
  <c r="E4383" i="1"/>
  <c r="B4383" i="1"/>
  <c r="U4382" i="1"/>
  <c r="K4382" i="1"/>
  <c r="E4382" i="1"/>
  <c r="B4382" i="1"/>
  <c r="K4381" i="1"/>
  <c r="E4381" i="1"/>
  <c r="B4381" i="1"/>
  <c r="U4380" i="1"/>
  <c r="K4380" i="1"/>
  <c r="E4380" i="1"/>
  <c r="B4380" i="1"/>
  <c r="U4379" i="1"/>
  <c r="K4379" i="1"/>
  <c r="E4379" i="1"/>
  <c r="B4379" i="1"/>
  <c r="U4378" i="1"/>
  <c r="K4378" i="1"/>
  <c r="E4378" i="1"/>
  <c r="B4378" i="1"/>
  <c r="U4377" i="1"/>
  <c r="K4377" i="1"/>
  <c r="E4377" i="1"/>
  <c r="B4377" i="1"/>
  <c r="U4376" i="1"/>
  <c r="K4376" i="1"/>
  <c r="E4376" i="1"/>
  <c r="B4376" i="1"/>
  <c r="U4375" i="1"/>
  <c r="K4375" i="1"/>
  <c r="E4375" i="1"/>
  <c r="B4375" i="1"/>
  <c r="U4374" i="1"/>
  <c r="K4374" i="1"/>
  <c r="E4374" i="1"/>
  <c r="B4374" i="1"/>
  <c r="U4373" i="1"/>
  <c r="K4373" i="1"/>
  <c r="E4373" i="1"/>
  <c r="B4373" i="1"/>
  <c r="U4372" i="1"/>
  <c r="K4372" i="1"/>
  <c r="E4372" i="1"/>
  <c r="B4372" i="1"/>
  <c r="U4371" i="1"/>
  <c r="K4371" i="1"/>
  <c r="E4371" i="1"/>
  <c r="B4371" i="1"/>
  <c r="K4370" i="1"/>
  <c r="E4370" i="1"/>
  <c r="B4370" i="1"/>
  <c r="K4369" i="1"/>
  <c r="E4369" i="1"/>
  <c r="B4369" i="1"/>
  <c r="U4368" i="1"/>
  <c r="K4368" i="1"/>
  <c r="E4368" i="1"/>
  <c r="B4368" i="1"/>
  <c r="U4367" i="1"/>
  <c r="K4367" i="1"/>
  <c r="E4367" i="1"/>
  <c r="B4367" i="1"/>
  <c r="U4366" i="1"/>
  <c r="K4366" i="1"/>
  <c r="E4366" i="1"/>
  <c r="B4366" i="1"/>
  <c r="U4365" i="1"/>
  <c r="K4365" i="1"/>
  <c r="E4365" i="1"/>
  <c r="B4365" i="1"/>
  <c r="U4364" i="1"/>
  <c r="K4364" i="1"/>
  <c r="E4364" i="1"/>
  <c r="B4364" i="1"/>
  <c r="U4363" i="1"/>
  <c r="K4363" i="1"/>
  <c r="E4363" i="1"/>
  <c r="B4363" i="1"/>
  <c r="U4362" i="1"/>
  <c r="K4362" i="1"/>
  <c r="E4362" i="1"/>
  <c r="B4362" i="1"/>
  <c r="U4361" i="1"/>
  <c r="K4361" i="1"/>
  <c r="E4361" i="1"/>
  <c r="B4361" i="1"/>
  <c r="U4360" i="1"/>
  <c r="K4360" i="1"/>
  <c r="E4360" i="1"/>
  <c r="B4360" i="1"/>
  <c r="U4359" i="1"/>
  <c r="K4359" i="1"/>
  <c r="E4359" i="1"/>
  <c r="B4359" i="1"/>
  <c r="U4358" i="1"/>
  <c r="K4358" i="1"/>
  <c r="E4358" i="1"/>
  <c r="B4358" i="1"/>
  <c r="U4357" i="1"/>
  <c r="K4357" i="1"/>
  <c r="E4357" i="1"/>
  <c r="B4357" i="1"/>
  <c r="U4356" i="1"/>
  <c r="K4356" i="1"/>
  <c r="E4356" i="1"/>
  <c r="B4356" i="1"/>
  <c r="U4355" i="1"/>
  <c r="K4355" i="1"/>
  <c r="E4355" i="1"/>
  <c r="B4355" i="1"/>
  <c r="U4354" i="1"/>
  <c r="K4354" i="1"/>
  <c r="E4354" i="1"/>
  <c r="B4354" i="1"/>
  <c r="U4353" i="1"/>
  <c r="K4353" i="1"/>
  <c r="E4353" i="1"/>
  <c r="B4353" i="1"/>
  <c r="U4352" i="1"/>
  <c r="K4352" i="1"/>
  <c r="E4352" i="1"/>
  <c r="B4352" i="1"/>
  <c r="U4351" i="1"/>
  <c r="K4351" i="1"/>
  <c r="E4351" i="1"/>
  <c r="B4351" i="1"/>
  <c r="U4350" i="1"/>
  <c r="K4350" i="1"/>
  <c r="E4350" i="1"/>
  <c r="B4350" i="1"/>
  <c r="U4349" i="1"/>
  <c r="K4349" i="1"/>
  <c r="E4349" i="1"/>
  <c r="B4349" i="1"/>
  <c r="U4348" i="1"/>
  <c r="K4348" i="1"/>
  <c r="E4348" i="1"/>
  <c r="B4348" i="1"/>
  <c r="U4347" i="1"/>
  <c r="K4347" i="1"/>
  <c r="E4347" i="1"/>
  <c r="B4347" i="1"/>
  <c r="U4346" i="1"/>
  <c r="K4346" i="1"/>
  <c r="E4346" i="1"/>
  <c r="B4346" i="1"/>
  <c r="U4345" i="1"/>
  <c r="K4345" i="1"/>
  <c r="E4345" i="1"/>
  <c r="B4345" i="1"/>
  <c r="U4344" i="1"/>
  <c r="K4344" i="1"/>
  <c r="E4344" i="1"/>
  <c r="B4344" i="1"/>
  <c r="U4343" i="1"/>
  <c r="K4343" i="1"/>
  <c r="E4343" i="1"/>
  <c r="B4343" i="1"/>
  <c r="U4342" i="1"/>
  <c r="K4342" i="1"/>
  <c r="E4342" i="1"/>
  <c r="B4342" i="1"/>
  <c r="U4341" i="1"/>
  <c r="K4341" i="1"/>
  <c r="E4341" i="1"/>
  <c r="B4341" i="1"/>
  <c r="U4340" i="1"/>
  <c r="K4340" i="1"/>
  <c r="E4340" i="1"/>
  <c r="B4340" i="1"/>
  <c r="U4339" i="1"/>
  <c r="K4339" i="1"/>
  <c r="E4339" i="1"/>
  <c r="B4339" i="1"/>
  <c r="U4338" i="1"/>
  <c r="K4338" i="1"/>
  <c r="E4338" i="1"/>
  <c r="B4338" i="1"/>
  <c r="U4337" i="1"/>
  <c r="K4337" i="1"/>
  <c r="E4337" i="1"/>
  <c r="B4337" i="1"/>
  <c r="U4336" i="1"/>
  <c r="K4336" i="1"/>
  <c r="E4336" i="1"/>
  <c r="B4336" i="1"/>
  <c r="U4335" i="1"/>
  <c r="K4335" i="1"/>
  <c r="E4335" i="1"/>
  <c r="B4335" i="1"/>
  <c r="K4334" i="1"/>
  <c r="E4334" i="1"/>
  <c r="B4334" i="1"/>
  <c r="U4333" i="1"/>
  <c r="K4333" i="1"/>
  <c r="E4333" i="1"/>
  <c r="B4333" i="1"/>
  <c r="U4332" i="1"/>
  <c r="K4332" i="1"/>
  <c r="E4332" i="1"/>
  <c r="B4332" i="1"/>
  <c r="U4331" i="1"/>
  <c r="K4331" i="1"/>
  <c r="E4331" i="1"/>
  <c r="B4331" i="1"/>
  <c r="U4330" i="1"/>
  <c r="K4330" i="1"/>
  <c r="E4330" i="1"/>
  <c r="B4330" i="1"/>
  <c r="U4329" i="1"/>
  <c r="K4329" i="1"/>
  <c r="E4329" i="1"/>
  <c r="B4329" i="1"/>
  <c r="U4328" i="1"/>
  <c r="K4328" i="1"/>
  <c r="E4328" i="1"/>
  <c r="B4328" i="1"/>
  <c r="U4327" i="1"/>
  <c r="K4327" i="1"/>
  <c r="E4327" i="1"/>
  <c r="B4327" i="1"/>
  <c r="U4326" i="1"/>
  <c r="K4326" i="1"/>
  <c r="E4326" i="1"/>
  <c r="B4326" i="1"/>
  <c r="K4325" i="1"/>
  <c r="E4325" i="1"/>
  <c r="B4325" i="1"/>
  <c r="U4324" i="1"/>
  <c r="K4324" i="1"/>
  <c r="E4324" i="1"/>
  <c r="B4324" i="1"/>
  <c r="U4323" i="1"/>
  <c r="K4323" i="1"/>
  <c r="E4323" i="1"/>
  <c r="B4323" i="1"/>
  <c r="U4322" i="1"/>
  <c r="K4322" i="1"/>
  <c r="E4322" i="1"/>
  <c r="B4322" i="1"/>
  <c r="U4321" i="1"/>
  <c r="K4321" i="1"/>
  <c r="E4321" i="1"/>
  <c r="B4321" i="1"/>
  <c r="U4320" i="1"/>
  <c r="K4320" i="1"/>
  <c r="E4320" i="1"/>
  <c r="B4320" i="1"/>
  <c r="U4319" i="1"/>
  <c r="K4319" i="1"/>
  <c r="E4319" i="1"/>
  <c r="B4319" i="1"/>
  <c r="K4318" i="1"/>
  <c r="E4318" i="1"/>
  <c r="B4318" i="1"/>
  <c r="U4317" i="1"/>
  <c r="K4317" i="1"/>
  <c r="E4317" i="1"/>
  <c r="B4317" i="1"/>
  <c r="U4316" i="1"/>
  <c r="K4316" i="1"/>
  <c r="E4316" i="1"/>
  <c r="B4316" i="1"/>
  <c r="U4315" i="1"/>
  <c r="K4315" i="1"/>
  <c r="E4315" i="1"/>
  <c r="B4315" i="1"/>
  <c r="U4314" i="1"/>
  <c r="K4314" i="1"/>
  <c r="E4314" i="1"/>
  <c r="B4314" i="1"/>
  <c r="U4313" i="1"/>
  <c r="K4313" i="1"/>
  <c r="E4313" i="1"/>
  <c r="B4313" i="1"/>
  <c r="U4312" i="1"/>
  <c r="K4312" i="1"/>
  <c r="E4312" i="1"/>
  <c r="B4312" i="1"/>
  <c r="U4311" i="1"/>
  <c r="K4311" i="1"/>
  <c r="E4311" i="1"/>
  <c r="B4311" i="1"/>
  <c r="U4310" i="1"/>
  <c r="K4310" i="1"/>
  <c r="E4310" i="1"/>
  <c r="B4310" i="1"/>
  <c r="U4309" i="1"/>
  <c r="K4309" i="1"/>
  <c r="E4309" i="1"/>
  <c r="B4309" i="1"/>
  <c r="U4308" i="1"/>
  <c r="K4308" i="1"/>
  <c r="E4308" i="1"/>
  <c r="B4308" i="1"/>
  <c r="U4307" i="1"/>
  <c r="K4307" i="1"/>
  <c r="E4307" i="1"/>
  <c r="B4307" i="1"/>
  <c r="U4306" i="1"/>
  <c r="K4306" i="1"/>
  <c r="E4306" i="1"/>
  <c r="B4306" i="1"/>
  <c r="U4305" i="1"/>
  <c r="K4305" i="1"/>
  <c r="E4305" i="1"/>
  <c r="B4305" i="1"/>
  <c r="U4304" i="1"/>
  <c r="K4304" i="1"/>
  <c r="E4304" i="1"/>
  <c r="B4304" i="1"/>
  <c r="U4303" i="1"/>
  <c r="K4303" i="1"/>
  <c r="E4303" i="1"/>
  <c r="B4303" i="1"/>
  <c r="U4302" i="1"/>
  <c r="K4302" i="1"/>
  <c r="E4302" i="1"/>
  <c r="B4302" i="1"/>
  <c r="U4301" i="1"/>
  <c r="K4301" i="1"/>
  <c r="E4301" i="1"/>
  <c r="B4301" i="1"/>
  <c r="U4300" i="1"/>
  <c r="K4300" i="1"/>
  <c r="E4300" i="1"/>
  <c r="B4300" i="1"/>
  <c r="U4299" i="1"/>
  <c r="K4299" i="1"/>
  <c r="E4299" i="1"/>
  <c r="B4299" i="1"/>
  <c r="U4298" i="1"/>
  <c r="K4298" i="1"/>
  <c r="E4298" i="1"/>
  <c r="B4298" i="1"/>
  <c r="U4297" i="1"/>
  <c r="K4297" i="1"/>
  <c r="E4297" i="1"/>
  <c r="B4297" i="1"/>
  <c r="U4296" i="1"/>
  <c r="K4296" i="1"/>
  <c r="E4296" i="1"/>
  <c r="B4296" i="1"/>
  <c r="U4295" i="1"/>
  <c r="K4295" i="1"/>
  <c r="E4295" i="1"/>
  <c r="B4295" i="1"/>
  <c r="U4294" i="1"/>
  <c r="K4294" i="1"/>
  <c r="E4294" i="1"/>
  <c r="B4294" i="1"/>
  <c r="U4293" i="1"/>
  <c r="K4293" i="1"/>
  <c r="E4293" i="1"/>
  <c r="B4293" i="1"/>
  <c r="U4292" i="1"/>
  <c r="K4292" i="1"/>
  <c r="E4292" i="1"/>
  <c r="B4292" i="1"/>
  <c r="U4291" i="1"/>
  <c r="K4291" i="1"/>
  <c r="E4291" i="1"/>
  <c r="B4291" i="1"/>
  <c r="U4290" i="1"/>
  <c r="K4290" i="1"/>
  <c r="E4290" i="1"/>
  <c r="B4290" i="1"/>
  <c r="U4289" i="1"/>
  <c r="K4289" i="1"/>
  <c r="E4289" i="1"/>
  <c r="B4289" i="1"/>
  <c r="U4288" i="1"/>
  <c r="K4288" i="1"/>
  <c r="E4288" i="1"/>
  <c r="B4288" i="1"/>
  <c r="K4287" i="1"/>
  <c r="E4287" i="1"/>
  <c r="B4287" i="1"/>
  <c r="U4286" i="1"/>
  <c r="K4286" i="1"/>
  <c r="E4286" i="1"/>
  <c r="B4286" i="1"/>
  <c r="U4285" i="1"/>
  <c r="K4285" i="1"/>
  <c r="E4285" i="1"/>
  <c r="B4285" i="1"/>
  <c r="U4284" i="1"/>
  <c r="K4284" i="1"/>
  <c r="E4284" i="1"/>
  <c r="B4284" i="1"/>
  <c r="U4283" i="1"/>
  <c r="K4283" i="1"/>
  <c r="E4283" i="1"/>
  <c r="B4283" i="1"/>
  <c r="U4282" i="1"/>
  <c r="K4282" i="1"/>
  <c r="E4282" i="1"/>
  <c r="B4282" i="1"/>
  <c r="U4281" i="1"/>
  <c r="K4281" i="1"/>
  <c r="E4281" i="1"/>
  <c r="B4281" i="1"/>
  <c r="U4280" i="1"/>
  <c r="K4280" i="1"/>
  <c r="E4280" i="1"/>
  <c r="B4280" i="1"/>
  <c r="U4279" i="1"/>
  <c r="K4279" i="1"/>
  <c r="E4279" i="1"/>
  <c r="B4279" i="1"/>
  <c r="U4278" i="1"/>
  <c r="K4278" i="1"/>
  <c r="E4278" i="1"/>
  <c r="B4278" i="1"/>
  <c r="U4277" i="1"/>
  <c r="K4277" i="1"/>
  <c r="E4277" i="1"/>
  <c r="B4277" i="1"/>
  <c r="U4276" i="1"/>
  <c r="K4276" i="1"/>
  <c r="E4276" i="1"/>
  <c r="B4276" i="1"/>
  <c r="U4275" i="1"/>
  <c r="K4275" i="1"/>
  <c r="E4275" i="1"/>
  <c r="B4275" i="1"/>
  <c r="U4274" i="1"/>
  <c r="K4274" i="1"/>
  <c r="E4274" i="1"/>
  <c r="B4274" i="1"/>
  <c r="U4273" i="1"/>
  <c r="K4273" i="1"/>
  <c r="E4273" i="1"/>
  <c r="B4273" i="1"/>
  <c r="U4272" i="1"/>
  <c r="K4272" i="1"/>
  <c r="E4272" i="1"/>
  <c r="B4272" i="1"/>
  <c r="U4271" i="1"/>
  <c r="K4271" i="1"/>
  <c r="E4271" i="1"/>
  <c r="B4271" i="1"/>
  <c r="U4270" i="1"/>
  <c r="K4270" i="1"/>
  <c r="E4270" i="1"/>
  <c r="B4270" i="1"/>
  <c r="U4269" i="1"/>
  <c r="K4269" i="1"/>
  <c r="E4269" i="1"/>
  <c r="B4269" i="1"/>
  <c r="U4268" i="1"/>
  <c r="K4268" i="1"/>
  <c r="E4268" i="1"/>
  <c r="B4268" i="1"/>
  <c r="U4267" i="1"/>
  <c r="K4267" i="1"/>
  <c r="E4267" i="1"/>
  <c r="B4267" i="1"/>
  <c r="U4266" i="1"/>
  <c r="K4266" i="1"/>
  <c r="E4266" i="1"/>
  <c r="B4266" i="1"/>
  <c r="U4265" i="1"/>
  <c r="K4265" i="1"/>
  <c r="E4265" i="1"/>
  <c r="B4265" i="1"/>
  <c r="U4264" i="1"/>
  <c r="K4264" i="1"/>
  <c r="E4264" i="1"/>
  <c r="B4264" i="1"/>
  <c r="U4263" i="1"/>
  <c r="K4263" i="1"/>
  <c r="E4263" i="1"/>
  <c r="B4263" i="1"/>
  <c r="U4262" i="1"/>
  <c r="K4262" i="1"/>
  <c r="E4262" i="1"/>
  <c r="B4262" i="1"/>
  <c r="U4261" i="1"/>
  <c r="K4261" i="1"/>
  <c r="E4261" i="1"/>
  <c r="B4261" i="1"/>
  <c r="U4260" i="1"/>
  <c r="K4260" i="1"/>
  <c r="E4260" i="1"/>
  <c r="B4260" i="1"/>
  <c r="U4259" i="1"/>
  <c r="K4259" i="1"/>
  <c r="E4259" i="1"/>
  <c r="B4259" i="1"/>
  <c r="U4258" i="1"/>
  <c r="K4258" i="1"/>
  <c r="E4258" i="1"/>
  <c r="B4258" i="1"/>
  <c r="U4257" i="1"/>
  <c r="K4257" i="1"/>
  <c r="E4257" i="1"/>
  <c r="B4257" i="1"/>
  <c r="U4256" i="1"/>
  <c r="K4256" i="1"/>
  <c r="E4256" i="1"/>
  <c r="B4256" i="1"/>
  <c r="U4255" i="1"/>
  <c r="K4255" i="1"/>
  <c r="E4255" i="1"/>
  <c r="B4255" i="1"/>
  <c r="U4254" i="1"/>
  <c r="K4254" i="1"/>
  <c r="E4254" i="1"/>
  <c r="B4254" i="1"/>
  <c r="U4253" i="1"/>
  <c r="K4253" i="1"/>
  <c r="E4253" i="1"/>
  <c r="B4253" i="1"/>
  <c r="U4252" i="1"/>
  <c r="K4252" i="1"/>
  <c r="E4252" i="1"/>
  <c r="B4252" i="1"/>
  <c r="U4251" i="1"/>
  <c r="K4251" i="1"/>
  <c r="E4251" i="1"/>
  <c r="B4251" i="1"/>
  <c r="U4250" i="1"/>
  <c r="K4250" i="1"/>
  <c r="E4250" i="1"/>
  <c r="B4250" i="1"/>
  <c r="U4249" i="1"/>
  <c r="K4249" i="1"/>
  <c r="E4249" i="1"/>
  <c r="B4249" i="1"/>
  <c r="U4248" i="1"/>
  <c r="K4248" i="1"/>
  <c r="E4248" i="1"/>
  <c r="B4248" i="1"/>
  <c r="U4247" i="1"/>
  <c r="K4247" i="1"/>
  <c r="E4247" i="1"/>
  <c r="B4247" i="1"/>
  <c r="U4246" i="1"/>
  <c r="K4246" i="1"/>
  <c r="E4246" i="1"/>
  <c r="B4246" i="1"/>
  <c r="U4245" i="1"/>
  <c r="K4245" i="1"/>
  <c r="E4245" i="1"/>
  <c r="B4245" i="1"/>
  <c r="U4244" i="1"/>
  <c r="K4244" i="1"/>
  <c r="E4244" i="1"/>
  <c r="B4244" i="1"/>
  <c r="U4243" i="1"/>
  <c r="K4243" i="1"/>
  <c r="E4243" i="1"/>
  <c r="B4243" i="1"/>
  <c r="U4242" i="1"/>
  <c r="K4242" i="1"/>
  <c r="E4242" i="1"/>
  <c r="B4242" i="1"/>
  <c r="U4241" i="1"/>
  <c r="K4241" i="1"/>
  <c r="E4241" i="1"/>
  <c r="B4241" i="1"/>
  <c r="U4240" i="1"/>
  <c r="K4240" i="1"/>
  <c r="E4240" i="1"/>
  <c r="B4240" i="1"/>
  <c r="U4239" i="1"/>
  <c r="K4239" i="1"/>
  <c r="E4239" i="1"/>
  <c r="B4239" i="1"/>
  <c r="U4238" i="1"/>
  <c r="K4238" i="1"/>
  <c r="E4238" i="1"/>
  <c r="B4238" i="1"/>
  <c r="U4237" i="1"/>
  <c r="K4237" i="1"/>
  <c r="E4237" i="1"/>
  <c r="B4237" i="1"/>
  <c r="U4236" i="1"/>
  <c r="K4236" i="1"/>
  <c r="E4236" i="1"/>
  <c r="B4236" i="1"/>
  <c r="U4235" i="1"/>
  <c r="K4235" i="1"/>
  <c r="E4235" i="1"/>
  <c r="B4235" i="1"/>
  <c r="U4234" i="1"/>
  <c r="K4234" i="1"/>
  <c r="E4234" i="1"/>
  <c r="B4234" i="1"/>
  <c r="U4233" i="1"/>
  <c r="K4233" i="1"/>
  <c r="E4233" i="1"/>
  <c r="B4233" i="1"/>
  <c r="U4232" i="1"/>
  <c r="K4232" i="1"/>
  <c r="E4232" i="1"/>
  <c r="B4232" i="1"/>
  <c r="U4231" i="1"/>
  <c r="K4231" i="1"/>
  <c r="E4231" i="1"/>
  <c r="B4231" i="1"/>
  <c r="U4230" i="1"/>
  <c r="K4230" i="1"/>
  <c r="E4230" i="1"/>
  <c r="B4230" i="1"/>
  <c r="U4229" i="1"/>
  <c r="K4229" i="1"/>
  <c r="E4229" i="1"/>
  <c r="B4229" i="1"/>
  <c r="U4228" i="1"/>
  <c r="K4228" i="1"/>
  <c r="E4228" i="1"/>
  <c r="B4228" i="1"/>
  <c r="U4227" i="1"/>
  <c r="K4227" i="1"/>
  <c r="E4227" i="1"/>
  <c r="B4227" i="1"/>
  <c r="U4226" i="1"/>
  <c r="K4226" i="1"/>
  <c r="E4226" i="1"/>
  <c r="B4226" i="1"/>
  <c r="U4225" i="1"/>
  <c r="K4225" i="1"/>
  <c r="E4225" i="1"/>
  <c r="B4225" i="1"/>
  <c r="U4224" i="1"/>
  <c r="K4224" i="1"/>
  <c r="E4224" i="1"/>
  <c r="B4224" i="1"/>
  <c r="U4223" i="1"/>
  <c r="K4223" i="1"/>
  <c r="E4223" i="1"/>
  <c r="B4223" i="1"/>
  <c r="U4222" i="1"/>
  <c r="K4222" i="1"/>
  <c r="E4222" i="1"/>
  <c r="B4222" i="1"/>
  <c r="U4221" i="1"/>
  <c r="K4221" i="1"/>
  <c r="E4221" i="1"/>
  <c r="B4221" i="1"/>
  <c r="U4220" i="1"/>
  <c r="K4220" i="1"/>
  <c r="E4220" i="1"/>
  <c r="B4220" i="1"/>
  <c r="U4219" i="1"/>
  <c r="K4219" i="1"/>
  <c r="E4219" i="1"/>
  <c r="B4219" i="1"/>
  <c r="U4218" i="1"/>
  <c r="K4218" i="1"/>
  <c r="E4218" i="1"/>
  <c r="B4218" i="1"/>
  <c r="U4217" i="1"/>
  <c r="K4217" i="1"/>
  <c r="E4217" i="1"/>
  <c r="B4217" i="1"/>
  <c r="U4216" i="1"/>
  <c r="K4216" i="1"/>
  <c r="E4216" i="1"/>
  <c r="B4216" i="1"/>
  <c r="U4215" i="1"/>
  <c r="K4215" i="1"/>
  <c r="E4215" i="1"/>
  <c r="B4215" i="1"/>
  <c r="U4214" i="1"/>
  <c r="K4214" i="1"/>
  <c r="E4214" i="1"/>
  <c r="B4214" i="1"/>
  <c r="U4213" i="1"/>
  <c r="K4213" i="1"/>
  <c r="E4213" i="1"/>
  <c r="B4213" i="1"/>
  <c r="U4212" i="1"/>
  <c r="K4212" i="1"/>
  <c r="E4212" i="1"/>
  <c r="B4212" i="1"/>
  <c r="U4211" i="1"/>
  <c r="K4211" i="1"/>
  <c r="E4211" i="1"/>
  <c r="B4211" i="1"/>
  <c r="U4210" i="1"/>
  <c r="K4210" i="1"/>
  <c r="E4210" i="1"/>
  <c r="B4210" i="1"/>
  <c r="U4209" i="1"/>
  <c r="K4209" i="1"/>
  <c r="E4209" i="1"/>
  <c r="B4209" i="1"/>
  <c r="U4208" i="1"/>
  <c r="K4208" i="1"/>
  <c r="E4208" i="1"/>
  <c r="B4208" i="1"/>
  <c r="U4207" i="1"/>
  <c r="K4207" i="1"/>
  <c r="E4207" i="1"/>
  <c r="B4207" i="1"/>
  <c r="U4206" i="1"/>
  <c r="K4206" i="1"/>
  <c r="E4206" i="1"/>
  <c r="B4206" i="1"/>
  <c r="U4205" i="1"/>
  <c r="K4205" i="1"/>
  <c r="E4205" i="1"/>
  <c r="B4205" i="1"/>
  <c r="U4204" i="1"/>
  <c r="K4204" i="1"/>
  <c r="E4204" i="1"/>
  <c r="B4204" i="1"/>
  <c r="U4203" i="1"/>
  <c r="K4203" i="1"/>
  <c r="E4203" i="1"/>
  <c r="B4203" i="1"/>
  <c r="U4202" i="1"/>
  <c r="K4202" i="1"/>
  <c r="E4202" i="1"/>
  <c r="B4202" i="1"/>
  <c r="U4201" i="1"/>
  <c r="K4201" i="1"/>
  <c r="E4201" i="1"/>
  <c r="B4201" i="1"/>
  <c r="U4200" i="1"/>
  <c r="K4200" i="1"/>
  <c r="E4200" i="1"/>
  <c r="B4200" i="1"/>
  <c r="U4199" i="1"/>
  <c r="K4199" i="1"/>
  <c r="E4199" i="1"/>
  <c r="B4199" i="1"/>
  <c r="U4198" i="1"/>
  <c r="K4198" i="1"/>
  <c r="E4198" i="1"/>
  <c r="B4198" i="1"/>
  <c r="U4197" i="1"/>
  <c r="K4197" i="1"/>
  <c r="E4197" i="1"/>
  <c r="B4197" i="1"/>
  <c r="U4196" i="1"/>
  <c r="K4196" i="1"/>
  <c r="E4196" i="1"/>
  <c r="B4196" i="1"/>
  <c r="U4195" i="1"/>
  <c r="K4195" i="1"/>
  <c r="E4195" i="1"/>
  <c r="B4195" i="1"/>
  <c r="U4194" i="1"/>
  <c r="K4194" i="1"/>
  <c r="E4194" i="1"/>
  <c r="B4194" i="1"/>
  <c r="K4193" i="1"/>
  <c r="E4193" i="1"/>
  <c r="B4193" i="1"/>
  <c r="U4192" i="1"/>
  <c r="K4192" i="1"/>
  <c r="E4192" i="1"/>
  <c r="B4192" i="1"/>
  <c r="K4191" i="1"/>
  <c r="E4191" i="1"/>
  <c r="B4191" i="1"/>
  <c r="U4190" i="1"/>
  <c r="K4190" i="1"/>
  <c r="E4190" i="1"/>
  <c r="B4190" i="1"/>
  <c r="U4189" i="1"/>
  <c r="K4189" i="1"/>
  <c r="E4189" i="1"/>
  <c r="B4189" i="1"/>
  <c r="U4188" i="1"/>
  <c r="K4188" i="1"/>
  <c r="E4188" i="1"/>
  <c r="B4188" i="1"/>
  <c r="U4187" i="1"/>
  <c r="K4187" i="1"/>
  <c r="E4187" i="1"/>
  <c r="B4187" i="1"/>
  <c r="U4186" i="1"/>
  <c r="K4186" i="1"/>
  <c r="E4186" i="1"/>
  <c r="B4186" i="1"/>
  <c r="U4185" i="1"/>
  <c r="K4185" i="1"/>
  <c r="E4185" i="1"/>
  <c r="B4185" i="1"/>
  <c r="U4184" i="1"/>
  <c r="K4184" i="1"/>
  <c r="E4184" i="1"/>
  <c r="B4184" i="1"/>
  <c r="U4183" i="1"/>
  <c r="K4183" i="1"/>
  <c r="E4183" i="1"/>
  <c r="B4183" i="1"/>
  <c r="U4182" i="1"/>
  <c r="K4182" i="1"/>
  <c r="E4182" i="1"/>
  <c r="B4182" i="1"/>
  <c r="U4181" i="1"/>
  <c r="K4181" i="1"/>
  <c r="E4181" i="1"/>
  <c r="B4181" i="1"/>
  <c r="U4180" i="1"/>
  <c r="K4180" i="1"/>
  <c r="E4180" i="1"/>
  <c r="B4180" i="1"/>
  <c r="U4179" i="1"/>
  <c r="K4179" i="1"/>
  <c r="E4179" i="1"/>
  <c r="B4179" i="1"/>
  <c r="U4178" i="1"/>
  <c r="K4178" i="1"/>
  <c r="E4178" i="1"/>
  <c r="B4178" i="1"/>
  <c r="U4177" i="1"/>
  <c r="K4177" i="1"/>
  <c r="E4177" i="1"/>
  <c r="B4177" i="1"/>
  <c r="U4176" i="1"/>
  <c r="K4176" i="1"/>
  <c r="E4176" i="1"/>
  <c r="B4176" i="1"/>
  <c r="U4175" i="1"/>
  <c r="K4175" i="1"/>
  <c r="E4175" i="1"/>
  <c r="B4175" i="1"/>
  <c r="U4174" i="1"/>
  <c r="K4174" i="1"/>
  <c r="E4174" i="1"/>
  <c r="B4174" i="1"/>
  <c r="U4173" i="1"/>
  <c r="K4173" i="1"/>
  <c r="E4173" i="1"/>
  <c r="B4173" i="1"/>
  <c r="U4172" i="1"/>
  <c r="K4172" i="1"/>
  <c r="E4172" i="1"/>
  <c r="B4172" i="1"/>
  <c r="U4171" i="1"/>
  <c r="K4171" i="1"/>
  <c r="E4171" i="1"/>
  <c r="B4171" i="1"/>
  <c r="U4170" i="1"/>
  <c r="K4170" i="1"/>
  <c r="E4170" i="1"/>
  <c r="B4170" i="1"/>
  <c r="U4169" i="1"/>
  <c r="K4169" i="1"/>
  <c r="E4169" i="1"/>
  <c r="B4169" i="1"/>
  <c r="U4168" i="1"/>
  <c r="K4168" i="1"/>
  <c r="E4168" i="1"/>
  <c r="B4168" i="1"/>
  <c r="U4167" i="1"/>
  <c r="K4167" i="1"/>
  <c r="E4167" i="1"/>
  <c r="B4167" i="1"/>
  <c r="U4166" i="1"/>
  <c r="K4166" i="1"/>
  <c r="E4166" i="1"/>
  <c r="B4166" i="1"/>
  <c r="K4165" i="1"/>
  <c r="E4165" i="1"/>
  <c r="B4165" i="1"/>
  <c r="U4164" i="1"/>
  <c r="K4164" i="1"/>
  <c r="E4164" i="1"/>
  <c r="B4164" i="1"/>
  <c r="U4163" i="1"/>
  <c r="K4163" i="1"/>
  <c r="E4163" i="1"/>
  <c r="B4163" i="1"/>
  <c r="U4162" i="1"/>
  <c r="K4162" i="1"/>
  <c r="E4162" i="1"/>
  <c r="B4162" i="1"/>
  <c r="U4161" i="1"/>
  <c r="K4161" i="1"/>
  <c r="E4161" i="1"/>
  <c r="B4161" i="1"/>
  <c r="U4160" i="1"/>
  <c r="K4160" i="1"/>
  <c r="E4160" i="1"/>
  <c r="B4160" i="1"/>
  <c r="U4159" i="1"/>
  <c r="K4159" i="1"/>
  <c r="E4159" i="1"/>
  <c r="B4159" i="1"/>
  <c r="U4158" i="1"/>
  <c r="K4158" i="1"/>
  <c r="E4158" i="1"/>
  <c r="B4158" i="1"/>
  <c r="U4157" i="1"/>
  <c r="K4157" i="1"/>
  <c r="E4157" i="1"/>
  <c r="B4157" i="1"/>
  <c r="U4156" i="1"/>
  <c r="K4156" i="1"/>
  <c r="E4156" i="1"/>
  <c r="B4156" i="1"/>
  <c r="U4155" i="1"/>
  <c r="K4155" i="1"/>
  <c r="E4155" i="1"/>
  <c r="B4155" i="1"/>
  <c r="U4154" i="1"/>
  <c r="K4154" i="1"/>
  <c r="E4154" i="1"/>
  <c r="B4154" i="1"/>
  <c r="U4153" i="1"/>
  <c r="K4153" i="1"/>
  <c r="E4153" i="1"/>
  <c r="B4153" i="1"/>
  <c r="U4152" i="1"/>
  <c r="K4152" i="1"/>
  <c r="E4152" i="1"/>
  <c r="B4152" i="1"/>
  <c r="U4151" i="1"/>
  <c r="K4151" i="1"/>
  <c r="E4151" i="1"/>
  <c r="B4151" i="1"/>
  <c r="U4150" i="1"/>
  <c r="K4150" i="1"/>
  <c r="E4150" i="1"/>
  <c r="B4150" i="1"/>
  <c r="U4149" i="1"/>
  <c r="K4149" i="1"/>
  <c r="E4149" i="1"/>
  <c r="B4149" i="1"/>
  <c r="U4148" i="1"/>
  <c r="K4148" i="1"/>
  <c r="E4148" i="1"/>
  <c r="B4148" i="1"/>
  <c r="U4147" i="1"/>
  <c r="K4147" i="1"/>
  <c r="E4147" i="1"/>
  <c r="B4147" i="1"/>
  <c r="U4146" i="1"/>
  <c r="K4146" i="1"/>
  <c r="E4146" i="1"/>
  <c r="B4146" i="1"/>
  <c r="U4145" i="1"/>
  <c r="K4145" i="1"/>
  <c r="E4145" i="1"/>
  <c r="B4145" i="1"/>
  <c r="U4144" i="1"/>
  <c r="K4144" i="1"/>
  <c r="E4144" i="1"/>
  <c r="B4144" i="1"/>
  <c r="U4143" i="1"/>
  <c r="K4143" i="1"/>
  <c r="E4143" i="1"/>
  <c r="B4143" i="1"/>
  <c r="U4142" i="1"/>
  <c r="K4142" i="1"/>
  <c r="E4142" i="1"/>
  <c r="B4142" i="1"/>
  <c r="U4141" i="1"/>
  <c r="K4141" i="1"/>
  <c r="E4141" i="1"/>
  <c r="B4141" i="1"/>
  <c r="U4140" i="1"/>
  <c r="K4140" i="1"/>
  <c r="E4140" i="1"/>
  <c r="B4140" i="1"/>
  <c r="U4139" i="1"/>
  <c r="K4139" i="1"/>
  <c r="E4139" i="1"/>
  <c r="B4139" i="1"/>
  <c r="U4138" i="1"/>
  <c r="K4138" i="1"/>
  <c r="E4138" i="1"/>
  <c r="B4138" i="1"/>
  <c r="U4137" i="1"/>
  <c r="K4137" i="1"/>
  <c r="E4137" i="1"/>
  <c r="B4137" i="1"/>
  <c r="U4136" i="1"/>
  <c r="K4136" i="1"/>
  <c r="E4136" i="1"/>
  <c r="B4136" i="1"/>
  <c r="U4135" i="1"/>
  <c r="K4135" i="1"/>
  <c r="E4135" i="1"/>
  <c r="B4135" i="1"/>
  <c r="U4134" i="1"/>
  <c r="K4134" i="1"/>
  <c r="E4134" i="1"/>
  <c r="B4134" i="1"/>
  <c r="U4133" i="1"/>
  <c r="K4133" i="1"/>
  <c r="E4133" i="1"/>
  <c r="B4133" i="1"/>
  <c r="U4132" i="1"/>
  <c r="K4132" i="1"/>
  <c r="E4132" i="1"/>
  <c r="B4132" i="1"/>
  <c r="U4131" i="1"/>
  <c r="K4131" i="1"/>
  <c r="E4131" i="1"/>
  <c r="B4131" i="1"/>
  <c r="U4130" i="1"/>
  <c r="K4130" i="1"/>
  <c r="E4130" i="1"/>
  <c r="B4130" i="1"/>
  <c r="U4129" i="1"/>
  <c r="K4129" i="1"/>
  <c r="E4129" i="1"/>
  <c r="B4129" i="1"/>
  <c r="U4128" i="1"/>
  <c r="K4128" i="1"/>
  <c r="E4128" i="1"/>
  <c r="B4128" i="1"/>
  <c r="U4127" i="1"/>
  <c r="K4127" i="1"/>
  <c r="E4127" i="1"/>
  <c r="B4127" i="1"/>
  <c r="U4126" i="1"/>
  <c r="K4126" i="1"/>
  <c r="E4126" i="1"/>
  <c r="B4126" i="1"/>
  <c r="U4125" i="1"/>
  <c r="K4125" i="1"/>
  <c r="E4125" i="1"/>
  <c r="B4125" i="1"/>
  <c r="U4124" i="1"/>
  <c r="K4124" i="1"/>
  <c r="E4124" i="1"/>
  <c r="B4124" i="1"/>
  <c r="U4123" i="1"/>
  <c r="K4123" i="1"/>
  <c r="E4123" i="1"/>
  <c r="B4123" i="1"/>
  <c r="U4122" i="1"/>
  <c r="K4122" i="1"/>
  <c r="E4122" i="1"/>
  <c r="B4122" i="1"/>
  <c r="U4121" i="1"/>
  <c r="K4121" i="1"/>
  <c r="E4121" i="1"/>
  <c r="B4121" i="1"/>
  <c r="U4120" i="1"/>
  <c r="K4120" i="1"/>
  <c r="E4120" i="1"/>
  <c r="B4120" i="1"/>
  <c r="U4119" i="1"/>
  <c r="K4119" i="1"/>
  <c r="E4119" i="1"/>
  <c r="B4119" i="1"/>
  <c r="U4118" i="1"/>
  <c r="K4118" i="1"/>
  <c r="E4118" i="1"/>
  <c r="B4118" i="1"/>
  <c r="U4117" i="1"/>
  <c r="K4117" i="1"/>
  <c r="E4117" i="1"/>
  <c r="B4117" i="1"/>
  <c r="U4116" i="1"/>
  <c r="K4116" i="1"/>
  <c r="E4116" i="1"/>
  <c r="B4116" i="1"/>
  <c r="U4115" i="1"/>
  <c r="K4115" i="1"/>
  <c r="E4115" i="1"/>
  <c r="B4115" i="1"/>
  <c r="U4114" i="1"/>
  <c r="K4114" i="1"/>
  <c r="E4114" i="1"/>
  <c r="B4114" i="1"/>
  <c r="U4113" i="1"/>
  <c r="K4113" i="1"/>
  <c r="E4113" i="1"/>
  <c r="B4113" i="1"/>
  <c r="U4112" i="1"/>
  <c r="K4112" i="1"/>
  <c r="E4112" i="1"/>
  <c r="B4112" i="1"/>
  <c r="U4111" i="1"/>
  <c r="K4111" i="1"/>
  <c r="E4111" i="1"/>
  <c r="B4111" i="1"/>
  <c r="U4110" i="1"/>
  <c r="K4110" i="1"/>
  <c r="E4110" i="1"/>
  <c r="B4110" i="1"/>
  <c r="U4109" i="1"/>
  <c r="K4109" i="1"/>
  <c r="E4109" i="1"/>
  <c r="B4109" i="1"/>
  <c r="U4108" i="1"/>
  <c r="K4108" i="1"/>
  <c r="E4108" i="1"/>
  <c r="B4108" i="1"/>
  <c r="U4107" i="1"/>
  <c r="K4107" i="1"/>
  <c r="E4107" i="1"/>
  <c r="B4107" i="1"/>
  <c r="U4106" i="1"/>
  <c r="K4106" i="1"/>
  <c r="E4106" i="1"/>
  <c r="B4106" i="1"/>
  <c r="U4105" i="1"/>
  <c r="K4105" i="1"/>
  <c r="E4105" i="1"/>
  <c r="B4105" i="1"/>
  <c r="U4104" i="1"/>
  <c r="K4104" i="1"/>
  <c r="E4104" i="1"/>
  <c r="B4104" i="1"/>
  <c r="U4103" i="1"/>
  <c r="K4103" i="1"/>
  <c r="E4103" i="1"/>
  <c r="B4103" i="1"/>
  <c r="U4102" i="1"/>
  <c r="K4102" i="1"/>
  <c r="E4102" i="1"/>
  <c r="B4102" i="1"/>
  <c r="U4101" i="1"/>
  <c r="K4101" i="1"/>
  <c r="E4101" i="1"/>
  <c r="B4101" i="1"/>
  <c r="U4100" i="1"/>
  <c r="K4100" i="1"/>
  <c r="E4100" i="1"/>
  <c r="B4100" i="1"/>
  <c r="U4099" i="1"/>
  <c r="K4099" i="1"/>
  <c r="E4099" i="1"/>
  <c r="B4099" i="1"/>
  <c r="U4098" i="1"/>
  <c r="K4098" i="1"/>
  <c r="E4098" i="1"/>
  <c r="B4098" i="1"/>
  <c r="U4097" i="1"/>
  <c r="K4097" i="1"/>
  <c r="E4097" i="1"/>
  <c r="B4097" i="1"/>
  <c r="U4096" i="1"/>
  <c r="K4096" i="1"/>
  <c r="E4096" i="1"/>
  <c r="B4096" i="1"/>
  <c r="U4095" i="1"/>
  <c r="K4095" i="1"/>
  <c r="E4095" i="1"/>
  <c r="B4095" i="1"/>
  <c r="U4094" i="1"/>
  <c r="K4094" i="1"/>
  <c r="E4094" i="1"/>
  <c r="B4094" i="1"/>
  <c r="U4093" i="1"/>
  <c r="K4093" i="1"/>
  <c r="E4093" i="1"/>
  <c r="B4093" i="1"/>
  <c r="U4092" i="1"/>
  <c r="K4092" i="1"/>
  <c r="E4092" i="1"/>
  <c r="B4092" i="1"/>
  <c r="U4091" i="1"/>
  <c r="K4091" i="1"/>
  <c r="E4091" i="1"/>
  <c r="B4091" i="1"/>
  <c r="U4090" i="1"/>
  <c r="K4090" i="1"/>
  <c r="E4090" i="1"/>
  <c r="B4090" i="1"/>
  <c r="U4089" i="1"/>
  <c r="K4089" i="1"/>
  <c r="E4089" i="1"/>
  <c r="B4089" i="1"/>
  <c r="U4088" i="1"/>
  <c r="K4088" i="1"/>
  <c r="E4088" i="1"/>
  <c r="B4088" i="1"/>
  <c r="U4087" i="1"/>
  <c r="K4087" i="1"/>
  <c r="E4087" i="1"/>
  <c r="B4087" i="1"/>
  <c r="U4086" i="1"/>
  <c r="K4086" i="1"/>
  <c r="E4086" i="1"/>
  <c r="B4086" i="1"/>
  <c r="U4085" i="1"/>
  <c r="K4085" i="1"/>
  <c r="E4085" i="1"/>
  <c r="B4085" i="1"/>
  <c r="U4084" i="1"/>
  <c r="K4084" i="1"/>
  <c r="E4084" i="1"/>
  <c r="B4084" i="1"/>
  <c r="U4083" i="1"/>
  <c r="K4083" i="1"/>
  <c r="E4083" i="1"/>
  <c r="B4083" i="1"/>
  <c r="U4082" i="1"/>
  <c r="K4082" i="1"/>
  <c r="E4082" i="1"/>
  <c r="B4082" i="1"/>
  <c r="U4081" i="1"/>
  <c r="K4081" i="1"/>
  <c r="E4081" i="1"/>
  <c r="B4081" i="1"/>
  <c r="U4080" i="1"/>
  <c r="K4080" i="1"/>
  <c r="E4080" i="1"/>
  <c r="B4080" i="1"/>
  <c r="U4079" i="1"/>
  <c r="K4079" i="1"/>
  <c r="E4079" i="1"/>
  <c r="B4079" i="1"/>
  <c r="U4078" i="1"/>
  <c r="K4078" i="1"/>
  <c r="E4078" i="1"/>
  <c r="B4078" i="1"/>
  <c r="U4077" i="1"/>
  <c r="K4077" i="1"/>
  <c r="E4077" i="1"/>
  <c r="B4077" i="1"/>
  <c r="U4076" i="1"/>
  <c r="K4076" i="1"/>
  <c r="E4076" i="1"/>
  <c r="B4076" i="1"/>
  <c r="U4075" i="1"/>
  <c r="K4075" i="1"/>
  <c r="E4075" i="1"/>
  <c r="B4075" i="1"/>
  <c r="K4074" i="1"/>
  <c r="E4074" i="1"/>
  <c r="B4074" i="1"/>
  <c r="U4073" i="1"/>
  <c r="K4073" i="1"/>
  <c r="E4073" i="1"/>
  <c r="B4073" i="1"/>
  <c r="U4072" i="1"/>
  <c r="K4072" i="1"/>
  <c r="E4072" i="1"/>
  <c r="B4072" i="1"/>
  <c r="U4071" i="1"/>
  <c r="K4071" i="1"/>
  <c r="E4071" i="1"/>
  <c r="B4071" i="1"/>
  <c r="U4070" i="1"/>
  <c r="K4070" i="1"/>
  <c r="E4070" i="1"/>
  <c r="B4070" i="1"/>
  <c r="U4069" i="1"/>
  <c r="K4069" i="1"/>
  <c r="E4069" i="1"/>
  <c r="B4069" i="1"/>
  <c r="U4068" i="1"/>
  <c r="K4068" i="1"/>
  <c r="E4068" i="1"/>
  <c r="B4068" i="1"/>
  <c r="U4067" i="1"/>
  <c r="K4067" i="1"/>
  <c r="E4067" i="1"/>
  <c r="B4067" i="1"/>
  <c r="U4066" i="1"/>
  <c r="K4066" i="1"/>
  <c r="E4066" i="1"/>
  <c r="B4066" i="1"/>
  <c r="U4065" i="1"/>
  <c r="K4065" i="1"/>
  <c r="E4065" i="1"/>
  <c r="B4065" i="1"/>
  <c r="U4064" i="1"/>
  <c r="K4064" i="1"/>
  <c r="E4064" i="1"/>
  <c r="B4064" i="1"/>
  <c r="U4063" i="1"/>
  <c r="K4063" i="1"/>
  <c r="E4063" i="1"/>
  <c r="B4063" i="1"/>
  <c r="U4062" i="1"/>
  <c r="K4062" i="1"/>
  <c r="E4062" i="1"/>
  <c r="B4062" i="1"/>
  <c r="U4061" i="1"/>
  <c r="K4061" i="1"/>
  <c r="E4061" i="1"/>
  <c r="B4061" i="1"/>
  <c r="U4060" i="1"/>
  <c r="K4060" i="1"/>
  <c r="E4060" i="1"/>
  <c r="B4060" i="1"/>
  <c r="K4059" i="1"/>
  <c r="E4059" i="1"/>
  <c r="B4059" i="1"/>
  <c r="U4058" i="1"/>
  <c r="K4058" i="1"/>
  <c r="E4058" i="1"/>
  <c r="B4058" i="1"/>
  <c r="U4057" i="1"/>
  <c r="K4057" i="1"/>
  <c r="E4057" i="1"/>
  <c r="B4057" i="1"/>
  <c r="U4056" i="1"/>
  <c r="K4056" i="1"/>
  <c r="E4056" i="1"/>
  <c r="B4056" i="1"/>
  <c r="U4055" i="1"/>
  <c r="K4055" i="1"/>
  <c r="E4055" i="1"/>
  <c r="B4055" i="1"/>
  <c r="U4054" i="1"/>
  <c r="K4054" i="1"/>
  <c r="E4054" i="1"/>
  <c r="B4054" i="1"/>
  <c r="U4053" i="1"/>
  <c r="K4053" i="1"/>
  <c r="E4053" i="1"/>
  <c r="B4053" i="1"/>
  <c r="U4052" i="1"/>
  <c r="K4052" i="1"/>
  <c r="E4052" i="1"/>
  <c r="B4052" i="1"/>
  <c r="U4051" i="1"/>
  <c r="K4051" i="1"/>
  <c r="E4051" i="1"/>
  <c r="B4051" i="1"/>
  <c r="U4050" i="1"/>
  <c r="K4050" i="1"/>
  <c r="E4050" i="1"/>
  <c r="B4050" i="1"/>
  <c r="U4049" i="1"/>
  <c r="K4049" i="1"/>
  <c r="E4049" i="1"/>
  <c r="B4049" i="1"/>
  <c r="U4048" i="1"/>
  <c r="K4048" i="1"/>
  <c r="E4048" i="1"/>
  <c r="B4048" i="1"/>
  <c r="U4047" i="1"/>
  <c r="K4047" i="1"/>
  <c r="E4047" i="1"/>
  <c r="B4047" i="1"/>
  <c r="U4046" i="1"/>
  <c r="K4046" i="1"/>
  <c r="E4046" i="1"/>
  <c r="B4046" i="1"/>
  <c r="U4045" i="1"/>
  <c r="K4045" i="1"/>
  <c r="E4045" i="1"/>
  <c r="B4045" i="1"/>
  <c r="U4044" i="1"/>
  <c r="K4044" i="1"/>
  <c r="E4044" i="1"/>
  <c r="B4044" i="1"/>
  <c r="U4043" i="1"/>
  <c r="K4043" i="1"/>
  <c r="E4043" i="1"/>
  <c r="B4043" i="1"/>
  <c r="U4042" i="1"/>
  <c r="K4042" i="1"/>
  <c r="E4042" i="1"/>
  <c r="B4042" i="1"/>
  <c r="U4041" i="1"/>
  <c r="K4041" i="1"/>
  <c r="E4041" i="1"/>
  <c r="B4041" i="1"/>
  <c r="U4040" i="1"/>
  <c r="K4040" i="1"/>
  <c r="E4040" i="1"/>
  <c r="B4040" i="1"/>
  <c r="U4039" i="1"/>
  <c r="K4039" i="1"/>
  <c r="E4039" i="1"/>
  <c r="B4039" i="1"/>
  <c r="U4038" i="1"/>
  <c r="K4038" i="1"/>
  <c r="E4038" i="1"/>
  <c r="B4038" i="1"/>
  <c r="U4037" i="1"/>
  <c r="K4037" i="1"/>
  <c r="E4037" i="1"/>
  <c r="B4037" i="1"/>
  <c r="U4036" i="1"/>
  <c r="K4036" i="1"/>
  <c r="E4036" i="1"/>
  <c r="B4036" i="1"/>
  <c r="U4035" i="1"/>
  <c r="K4035" i="1"/>
  <c r="E4035" i="1"/>
  <c r="B4035" i="1"/>
  <c r="U4034" i="1"/>
  <c r="K4034" i="1"/>
  <c r="E4034" i="1"/>
  <c r="B4034" i="1"/>
  <c r="U4033" i="1"/>
  <c r="K4033" i="1"/>
  <c r="E4033" i="1"/>
  <c r="B4033" i="1"/>
  <c r="U4032" i="1"/>
  <c r="K4032" i="1"/>
  <c r="E4032" i="1"/>
  <c r="B4032" i="1"/>
  <c r="U4031" i="1"/>
  <c r="K4031" i="1"/>
  <c r="E4031" i="1"/>
  <c r="B4031" i="1"/>
  <c r="U4030" i="1"/>
  <c r="K4030" i="1"/>
  <c r="E4030" i="1"/>
  <c r="B4030" i="1"/>
  <c r="U4029" i="1"/>
  <c r="K4029" i="1"/>
  <c r="E4029" i="1"/>
  <c r="B4029" i="1"/>
  <c r="U4028" i="1"/>
  <c r="K4028" i="1"/>
  <c r="E4028" i="1"/>
  <c r="B4028" i="1"/>
  <c r="U4027" i="1"/>
  <c r="K4027" i="1"/>
  <c r="E4027" i="1"/>
  <c r="B4027" i="1"/>
  <c r="U4026" i="1"/>
  <c r="K4026" i="1"/>
  <c r="E4026" i="1"/>
  <c r="B4026" i="1"/>
  <c r="U4025" i="1"/>
  <c r="K4025" i="1"/>
  <c r="E4025" i="1"/>
  <c r="B4025" i="1"/>
  <c r="U4024" i="1"/>
  <c r="K4024" i="1"/>
  <c r="E4024" i="1"/>
  <c r="B4024" i="1"/>
  <c r="U4023" i="1"/>
  <c r="K4023" i="1"/>
  <c r="E4023" i="1"/>
  <c r="B4023" i="1"/>
  <c r="U4022" i="1"/>
  <c r="K4022" i="1"/>
  <c r="E4022" i="1"/>
  <c r="B4022" i="1"/>
  <c r="U4021" i="1"/>
  <c r="K4021" i="1"/>
  <c r="E4021" i="1"/>
  <c r="B4021" i="1"/>
  <c r="U4020" i="1"/>
  <c r="K4020" i="1"/>
  <c r="E4020" i="1"/>
  <c r="B4020" i="1"/>
  <c r="U4019" i="1"/>
  <c r="K4019" i="1"/>
  <c r="E4019" i="1"/>
  <c r="B4019" i="1"/>
  <c r="U4018" i="1"/>
  <c r="K4018" i="1"/>
  <c r="E4018" i="1"/>
  <c r="B4018" i="1"/>
  <c r="U4017" i="1"/>
  <c r="K4017" i="1"/>
  <c r="E4017" i="1"/>
  <c r="B4017" i="1"/>
  <c r="U4016" i="1"/>
  <c r="K4016" i="1"/>
  <c r="E4016" i="1"/>
  <c r="B4016" i="1"/>
  <c r="U4015" i="1"/>
  <c r="K4015" i="1"/>
  <c r="E4015" i="1"/>
  <c r="B4015" i="1"/>
  <c r="U4014" i="1"/>
  <c r="K4014" i="1"/>
  <c r="E4014" i="1"/>
  <c r="B4014" i="1"/>
  <c r="U4013" i="1"/>
  <c r="K4013" i="1"/>
  <c r="E4013" i="1"/>
  <c r="B4013" i="1"/>
  <c r="U4012" i="1"/>
  <c r="K4012" i="1"/>
  <c r="E4012" i="1"/>
  <c r="B4012" i="1"/>
  <c r="U4011" i="1"/>
  <c r="K4011" i="1"/>
  <c r="E4011" i="1"/>
  <c r="B4011" i="1"/>
  <c r="U4010" i="1"/>
  <c r="K4010" i="1"/>
  <c r="E4010" i="1"/>
  <c r="B4010" i="1"/>
  <c r="U4009" i="1"/>
  <c r="K4009" i="1"/>
  <c r="E4009" i="1"/>
  <c r="B4009" i="1"/>
  <c r="U4008" i="1"/>
  <c r="K4008" i="1"/>
  <c r="E4008" i="1"/>
  <c r="B4008" i="1"/>
  <c r="U4007" i="1"/>
  <c r="K4007" i="1"/>
  <c r="E4007" i="1"/>
  <c r="B4007" i="1"/>
  <c r="U4006" i="1"/>
  <c r="K4006" i="1"/>
  <c r="E4006" i="1"/>
  <c r="B4006" i="1"/>
  <c r="U4005" i="1"/>
  <c r="K4005" i="1"/>
  <c r="E4005" i="1"/>
  <c r="B4005" i="1"/>
  <c r="U4004" i="1"/>
  <c r="K4004" i="1"/>
  <c r="E4004" i="1"/>
  <c r="B4004" i="1"/>
  <c r="U4003" i="1"/>
  <c r="K4003" i="1"/>
  <c r="E4003" i="1"/>
  <c r="B4003" i="1"/>
  <c r="U4002" i="1"/>
  <c r="K4002" i="1"/>
  <c r="E4002" i="1"/>
  <c r="B4002" i="1"/>
  <c r="U4001" i="1"/>
  <c r="K4001" i="1"/>
  <c r="E4001" i="1"/>
  <c r="B4001" i="1"/>
  <c r="U4000" i="1"/>
  <c r="K4000" i="1"/>
  <c r="E4000" i="1"/>
  <c r="B4000" i="1"/>
  <c r="U3999" i="1"/>
  <c r="K3999" i="1"/>
  <c r="E3999" i="1"/>
  <c r="B3999" i="1"/>
  <c r="K3998" i="1"/>
  <c r="E3998" i="1"/>
  <c r="B3998" i="1"/>
  <c r="U3997" i="1"/>
  <c r="K3997" i="1"/>
  <c r="E3997" i="1"/>
  <c r="B3997" i="1"/>
  <c r="U3996" i="1"/>
  <c r="K3996" i="1"/>
  <c r="E3996" i="1"/>
  <c r="B3996" i="1"/>
  <c r="U3995" i="1"/>
  <c r="K3995" i="1"/>
  <c r="E3995" i="1"/>
  <c r="B3995" i="1"/>
  <c r="U3994" i="1"/>
  <c r="K3994" i="1"/>
  <c r="E3994" i="1"/>
  <c r="B3994" i="1"/>
  <c r="U3993" i="1"/>
  <c r="K3993" i="1"/>
  <c r="E3993" i="1"/>
  <c r="B3993" i="1"/>
  <c r="U3992" i="1"/>
  <c r="K3992" i="1"/>
  <c r="E3992" i="1"/>
  <c r="B3992" i="1"/>
  <c r="U3991" i="1"/>
  <c r="K3991" i="1"/>
  <c r="E3991" i="1"/>
  <c r="B3991" i="1"/>
  <c r="K3990" i="1"/>
  <c r="E3990" i="1"/>
  <c r="B3990" i="1"/>
  <c r="U3989" i="1"/>
  <c r="K3989" i="1"/>
  <c r="E3989" i="1"/>
  <c r="B3989" i="1"/>
  <c r="U3988" i="1"/>
  <c r="K3988" i="1"/>
  <c r="E3988" i="1"/>
  <c r="B3988" i="1"/>
  <c r="U3987" i="1"/>
  <c r="K3987" i="1"/>
  <c r="E3987" i="1"/>
  <c r="B3987" i="1"/>
  <c r="U3986" i="1"/>
  <c r="K3986" i="1"/>
  <c r="E3986" i="1"/>
  <c r="B3986" i="1"/>
  <c r="K3985" i="1"/>
  <c r="E3985" i="1"/>
  <c r="B3985" i="1"/>
  <c r="K3984" i="1"/>
  <c r="E3984" i="1"/>
  <c r="B3984" i="1"/>
  <c r="U3983" i="1"/>
  <c r="K3983" i="1"/>
  <c r="E3983" i="1"/>
  <c r="B3983" i="1"/>
  <c r="U3982" i="1"/>
  <c r="K3982" i="1"/>
  <c r="E3982" i="1"/>
  <c r="B3982" i="1"/>
  <c r="U3981" i="1"/>
  <c r="K3981" i="1"/>
  <c r="E3981" i="1"/>
  <c r="B3981" i="1"/>
  <c r="U3980" i="1"/>
  <c r="K3980" i="1"/>
  <c r="E3980" i="1"/>
  <c r="B3980" i="1"/>
  <c r="U3979" i="1"/>
  <c r="K3979" i="1"/>
  <c r="E3979" i="1"/>
  <c r="B3979" i="1"/>
  <c r="U3978" i="1"/>
  <c r="K3978" i="1"/>
  <c r="E3978" i="1"/>
  <c r="B3978" i="1"/>
  <c r="U3977" i="1"/>
  <c r="K3977" i="1"/>
  <c r="E3977" i="1"/>
  <c r="B3977" i="1"/>
  <c r="U3976" i="1"/>
  <c r="K3976" i="1"/>
  <c r="E3976" i="1"/>
  <c r="B3976" i="1"/>
  <c r="U3975" i="1"/>
  <c r="K3975" i="1"/>
  <c r="E3975" i="1"/>
  <c r="B3975" i="1"/>
  <c r="U3974" i="1"/>
  <c r="K3974" i="1"/>
  <c r="E3974" i="1"/>
  <c r="B3974" i="1"/>
  <c r="U3973" i="1"/>
  <c r="K3973" i="1"/>
  <c r="E3973" i="1"/>
  <c r="B3973" i="1"/>
  <c r="U3972" i="1"/>
  <c r="K3972" i="1"/>
  <c r="E3972" i="1"/>
  <c r="B3972" i="1"/>
  <c r="U3971" i="1"/>
  <c r="K3971" i="1"/>
  <c r="E3971" i="1"/>
  <c r="B3971" i="1"/>
  <c r="U3970" i="1"/>
  <c r="K3970" i="1"/>
  <c r="E3970" i="1"/>
  <c r="B3970" i="1"/>
  <c r="U3969" i="1"/>
  <c r="K3969" i="1"/>
  <c r="E3969" i="1"/>
  <c r="B3969" i="1"/>
  <c r="U3968" i="1"/>
  <c r="K3968" i="1"/>
  <c r="E3968" i="1"/>
  <c r="B3968" i="1"/>
  <c r="U3967" i="1"/>
  <c r="K3967" i="1"/>
  <c r="E3967" i="1"/>
  <c r="B3967" i="1"/>
  <c r="U3966" i="1"/>
  <c r="K3966" i="1"/>
  <c r="E3966" i="1"/>
  <c r="B3966" i="1"/>
  <c r="U3965" i="1"/>
  <c r="K3965" i="1"/>
  <c r="E3965" i="1"/>
  <c r="B3965" i="1"/>
  <c r="U3964" i="1"/>
  <c r="K3964" i="1"/>
  <c r="E3964" i="1"/>
  <c r="B3964" i="1"/>
  <c r="U3963" i="1"/>
  <c r="K3963" i="1"/>
  <c r="E3963" i="1"/>
  <c r="B3963" i="1"/>
  <c r="U3962" i="1"/>
  <c r="K3962" i="1"/>
  <c r="E3962" i="1"/>
  <c r="B3962" i="1"/>
  <c r="U3961" i="1"/>
  <c r="K3961" i="1"/>
  <c r="E3961" i="1"/>
  <c r="B3961" i="1"/>
  <c r="U3960" i="1"/>
  <c r="K3960" i="1"/>
  <c r="E3960" i="1"/>
  <c r="B3960" i="1"/>
  <c r="U3959" i="1"/>
  <c r="K3959" i="1"/>
  <c r="E3959" i="1"/>
  <c r="B3959" i="1"/>
  <c r="U3958" i="1"/>
  <c r="K3958" i="1"/>
  <c r="E3958" i="1"/>
  <c r="B3958" i="1"/>
  <c r="U3957" i="1"/>
  <c r="K3957" i="1"/>
  <c r="E3957" i="1"/>
  <c r="B3957" i="1"/>
  <c r="U3956" i="1"/>
  <c r="K3956" i="1"/>
  <c r="E3956" i="1"/>
  <c r="B3956" i="1"/>
  <c r="U3955" i="1"/>
  <c r="K3955" i="1"/>
  <c r="E3955" i="1"/>
  <c r="B3955" i="1"/>
  <c r="U3954" i="1"/>
  <c r="K3954" i="1"/>
  <c r="E3954" i="1"/>
  <c r="B3954" i="1"/>
  <c r="U3953" i="1"/>
  <c r="K3953" i="1"/>
  <c r="E3953" i="1"/>
  <c r="B3953" i="1"/>
  <c r="U3952" i="1"/>
  <c r="K3952" i="1"/>
  <c r="E3952" i="1"/>
  <c r="B3952" i="1"/>
  <c r="U3951" i="1"/>
  <c r="K3951" i="1"/>
  <c r="E3951" i="1"/>
  <c r="B3951" i="1"/>
  <c r="U3950" i="1"/>
  <c r="K3950" i="1"/>
  <c r="E3950" i="1"/>
  <c r="B3950" i="1"/>
  <c r="K3949" i="1"/>
  <c r="E3949" i="1"/>
  <c r="B3949" i="1"/>
  <c r="U3948" i="1"/>
  <c r="K3948" i="1"/>
  <c r="E3948" i="1"/>
  <c r="B3948" i="1"/>
  <c r="U3947" i="1"/>
  <c r="K3947" i="1"/>
  <c r="E3947" i="1"/>
  <c r="B3947" i="1"/>
  <c r="U3946" i="1"/>
  <c r="K3946" i="1"/>
  <c r="E3946" i="1"/>
  <c r="B3946" i="1"/>
  <c r="U3945" i="1"/>
  <c r="K3945" i="1"/>
  <c r="E3945" i="1"/>
  <c r="B3945" i="1"/>
  <c r="U3944" i="1"/>
  <c r="K3944" i="1"/>
  <c r="E3944" i="1"/>
  <c r="B3944" i="1"/>
  <c r="U3943" i="1"/>
  <c r="K3943" i="1"/>
  <c r="E3943" i="1"/>
  <c r="B3943" i="1"/>
  <c r="U3942" i="1"/>
  <c r="K3942" i="1"/>
  <c r="E3942" i="1"/>
  <c r="B3942" i="1"/>
  <c r="U3941" i="1"/>
  <c r="K3941" i="1"/>
  <c r="E3941" i="1"/>
  <c r="B3941" i="1"/>
  <c r="U3940" i="1"/>
  <c r="K3940" i="1"/>
  <c r="E3940" i="1"/>
  <c r="B3940" i="1"/>
  <c r="U3939" i="1"/>
  <c r="K3939" i="1"/>
  <c r="E3939" i="1"/>
  <c r="B3939" i="1"/>
  <c r="U3938" i="1"/>
  <c r="K3938" i="1"/>
  <c r="E3938" i="1"/>
  <c r="B3938" i="1"/>
  <c r="U3937" i="1"/>
  <c r="K3937" i="1"/>
  <c r="E3937" i="1"/>
  <c r="B3937" i="1"/>
  <c r="U3936" i="1"/>
  <c r="K3936" i="1"/>
  <c r="E3936" i="1"/>
  <c r="B3936" i="1"/>
  <c r="U3935" i="1"/>
  <c r="K3935" i="1"/>
  <c r="E3935" i="1"/>
  <c r="B3935" i="1"/>
  <c r="K3934" i="1"/>
  <c r="E3934" i="1"/>
  <c r="B3934" i="1"/>
  <c r="U3933" i="1"/>
  <c r="K3933" i="1"/>
  <c r="E3933" i="1"/>
  <c r="B3933" i="1"/>
  <c r="U3932" i="1"/>
  <c r="K3932" i="1"/>
  <c r="E3932" i="1"/>
  <c r="B3932" i="1"/>
  <c r="U3931" i="1"/>
  <c r="K3931" i="1"/>
  <c r="E3931" i="1"/>
  <c r="B3931" i="1"/>
  <c r="U3930" i="1"/>
  <c r="K3930" i="1"/>
  <c r="E3930" i="1"/>
  <c r="B3930" i="1"/>
  <c r="U3929" i="1"/>
  <c r="K3929" i="1"/>
  <c r="E3929" i="1"/>
  <c r="B3929" i="1"/>
  <c r="U3928" i="1"/>
  <c r="K3928" i="1"/>
  <c r="E3928" i="1"/>
  <c r="B3928" i="1"/>
  <c r="U3927" i="1"/>
  <c r="K3927" i="1"/>
  <c r="E3927" i="1"/>
  <c r="B3927" i="1"/>
  <c r="U3926" i="1"/>
  <c r="K3926" i="1"/>
  <c r="E3926" i="1"/>
  <c r="B3926" i="1"/>
  <c r="U3925" i="1"/>
  <c r="K3925" i="1"/>
  <c r="E3925" i="1"/>
  <c r="B3925" i="1"/>
  <c r="U3924" i="1"/>
  <c r="K3924" i="1"/>
  <c r="E3924" i="1"/>
  <c r="B3924" i="1"/>
  <c r="U3923" i="1"/>
  <c r="K3923" i="1"/>
  <c r="E3923" i="1"/>
  <c r="B3923" i="1"/>
  <c r="U3922" i="1"/>
  <c r="K3922" i="1"/>
  <c r="E3922" i="1"/>
  <c r="B3922" i="1"/>
  <c r="U3921" i="1"/>
  <c r="K3921" i="1"/>
  <c r="E3921" i="1"/>
  <c r="B3921" i="1"/>
  <c r="U3920" i="1"/>
  <c r="K3920" i="1"/>
  <c r="E3920" i="1"/>
  <c r="B3920" i="1"/>
  <c r="K3919" i="1"/>
  <c r="E3919" i="1"/>
  <c r="B3919" i="1"/>
  <c r="U3918" i="1"/>
  <c r="K3918" i="1"/>
  <c r="E3918" i="1"/>
  <c r="B3918" i="1"/>
  <c r="U3917" i="1"/>
  <c r="K3917" i="1"/>
  <c r="E3917" i="1"/>
  <c r="B3917" i="1"/>
  <c r="U3916" i="1"/>
  <c r="K3916" i="1"/>
  <c r="E3916" i="1"/>
  <c r="B3916" i="1"/>
  <c r="U3915" i="1"/>
  <c r="K3915" i="1"/>
  <c r="E3915" i="1"/>
  <c r="B3915" i="1"/>
  <c r="U3914" i="1"/>
  <c r="K3914" i="1"/>
  <c r="E3914" i="1"/>
  <c r="B3914" i="1"/>
  <c r="U3913" i="1"/>
  <c r="K3913" i="1"/>
  <c r="E3913" i="1"/>
  <c r="B3913" i="1"/>
  <c r="U3912" i="1"/>
  <c r="K3912" i="1"/>
  <c r="E3912" i="1"/>
  <c r="B3912" i="1"/>
  <c r="U3911" i="1"/>
  <c r="K3911" i="1"/>
  <c r="E3911" i="1"/>
  <c r="B3911" i="1"/>
  <c r="K3910" i="1"/>
  <c r="E3910" i="1"/>
  <c r="B3910" i="1"/>
  <c r="U3909" i="1"/>
  <c r="K3909" i="1"/>
  <c r="E3909" i="1"/>
  <c r="B3909" i="1"/>
  <c r="U3908" i="1"/>
  <c r="K3908" i="1"/>
  <c r="E3908" i="1"/>
  <c r="B3908" i="1"/>
  <c r="U3907" i="1"/>
  <c r="K3907" i="1"/>
  <c r="E3907" i="1"/>
  <c r="B3907" i="1"/>
  <c r="U3906" i="1"/>
  <c r="K3906" i="1"/>
  <c r="E3906" i="1"/>
  <c r="B3906" i="1"/>
  <c r="U3905" i="1"/>
  <c r="K3905" i="1"/>
  <c r="E3905" i="1"/>
  <c r="B3905" i="1"/>
  <c r="U3904" i="1"/>
  <c r="K3904" i="1"/>
  <c r="E3904" i="1"/>
  <c r="B3904" i="1"/>
  <c r="U3903" i="1"/>
  <c r="K3903" i="1"/>
  <c r="E3903" i="1"/>
  <c r="B3903" i="1"/>
  <c r="U3902" i="1"/>
  <c r="K3902" i="1"/>
  <c r="E3902" i="1"/>
  <c r="B3902" i="1"/>
  <c r="U3901" i="1"/>
  <c r="K3901" i="1"/>
  <c r="E3901" i="1"/>
  <c r="B3901" i="1"/>
  <c r="U3900" i="1"/>
  <c r="K3900" i="1"/>
  <c r="E3900" i="1"/>
  <c r="B3900" i="1"/>
  <c r="U3899" i="1"/>
  <c r="K3899" i="1"/>
  <c r="E3899" i="1"/>
  <c r="B3899" i="1"/>
  <c r="U3898" i="1"/>
  <c r="K3898" i="1"/>
  <c r="E3898" i="1"/>
  <c r="B3898" i="1"/>
  <c r="U3897" i="1"/>
  <c r="K3897" i="1"/>
  <c r="E3897" i="1"/>
  <c r="B3897" i="1"/>
  <c r="K3896" i="1"/>
  <c r="E3896" i="1"/>
  <c r="B3896" i="1"/>
  <c r="U3895" i="1"/>
  <c r="K3895" i="1"/>
  <c r="E3895" i="1"/>
  <c r="B3895" i="1"/>
  <c r="U3894" i="1"/>
  <c r="K3894" i="1"/>
  <c r="E3894" i="1"/>
  <c r="B3894" i="1"/>
  <c r="U3893" i="1"/>
  <c r="K3893" i="1"/>
  <c r="E3893" i="1"/>
  <c r="B3893" i="1"/>
  <c r="U3892" i="1"/>
  <c r="K3892" i="1"/>
  <c r="E3892" i="1"/>
  <c r="B3892" i="1"/>
  <c r="U3891" i="1"/>
  <c r="K3891" i="1"/>
  <c r="E3891" i="1"/>
  <c r="B3891" i="1"/>
  <c r="U3890" i="1"/>
  <c r="K3890" i="1"/>
  <c r="E3890" i="1"/>
  <c r="B3890" i="1"/>
  <c r="U3889" i="1"/>
  <c r="K3889" i="1"/>
  <c r="E3889" i="1"/>
  <c r="B3889" i="1"/>
  <c r="U3888" i="1"/>
  <c r="K3888" i="1"/>
  <c r="E3888" i="1"/>
  <c r="B3888" i="1"/>
  <c r="U3887" i="1"/>
  <c r="K3887" i="1"/>
  <c r="E3887" i="1"/>
  <c r="B3887" i="1"/>
  <c r="U3886" i="1"/>
  <c r="K3886" i="1"/>
  <c r="E3886" i="1"/>
  <c r="B3886" i="1"/>
  <c r="U3885" i="1"/>
  <c r="K3885" i="1"/>
  <c r="E3885" i="1"/>
  <c r="B3885" i="1"/>
  <c r="U3884" i="1"/>
  <c r="K3884" i="1"/>
  <c r="E3884" i="1"/>
  <c r="B3884" i="1"/>
  <c r="U3883" i="1"/>
  <c r="K3883" i="1"/>
  <c r="E3883" i="1"/>
  <c r="B3883" i="1"/>
  <c r="U3882" i="1"/>
  <c r="K3882" i="1"/>
  <c r="E3882" i="1"/>
  <c r="B3882" i="1"/>
  <c r="U3881" i="1"/>
  <c r="K3881" i="1"/>
  <c r="E3881" i="1"/>
  <c r="B3881" i="1"/>
  <c r="U3880" i="1"/>
  <c r="K3880" i="1"/>
  <c r="E3880" i="1"/>
  <c r="B3880" i="1"/>
  <c r="U3879" i="1"/>
  <c r="K3879" i="1"/>
  <c r="E3879" i="1"/>
  <c r="B3879" i="1"/>
  <c r="U3878" i="1"/>
  <c r="K3878" i="1"/>
  <c r="E3878" i="1"/>
  <c r="B3878" i="1"/>
  <c r="U3877" i="1"/>
  <c r="K3877" i="1"/>
  <c r="E3877" i="1"/>
  <c r="B3877" i="1"/>
  <c r="U3876" i="1"/>
  <c r="K3876" i="1"/>
  <c r="E3876" i="1"/>
  <c r="B3876" i="1"/>
  <c r="U3875" i="1"/>
  <c r="K3875" i="1"/>
  <c r="E3875" i="1"/>
  <c r="B3875" i="1"/>
  <c r="U3874" i="1"/>
  <c r="K3874" i="1"/>
  <c r="E3874" i="1"/>
  <c r="B3874" i="1"/>
  <c r="U3873" i="1"/>
  <c r="K3873" i="1"/>
  <c r="E3873" i="1"/>
  <c r="B3873" i="1"/>
  <c r="U3872" i="1"/>
  <c r="K3872" i="1"/>
  <c r="E3872" i="1"/>
  <c r="B3872" i="1"/>
  <c r="U3871" i="1"/>
  <c r="K3871" i="1"/>
  <c r="E3871" i="1"/>
  <c r="B3871" i="1"/>
  <c r="U3870" i="1"/>
  <c r="K3870" i="1"/>
  <c r="E3870" i="1"/>
  <c r="B3870" i="1"/>
  <c r="U3869" i="1"/>
  <c r="K3869" i="1"/>
  <c r="E3869" i="1"/>
  <c r="B3869" i="1"/>
  <c r="U3868" i="1"/>
  <c r="K3868" i="1"/>
  <c r="E3868" i="1"/>
  <c r="B3868" i="1"/>
  <c r="U3867" i="1"/>
  <c r="K3867" i="1"/>
  <c r="E3867" i="1"/>
  <c r="B3867" i="1"/>
  <c r="U3866" i="1"/>
  <c r="K3866" i="1"/>
  <c r="E3866" i="1"/>
  <c r="B3866" i="1"/>
  <c r="U3865" i="1"/>
  <c r="K3865" i="1"/>
  <c r="E3865" i="1"/>
  <c r="B3865" i="1"/>
  <c r="U3864" i="1"/>
  <c r="K3864" i="1"/>
  <c r="E3864" i="1"/>
  <c r="B3864" i="1"/>
  <c r="U3863" i="1"/>
  <c r="K3863" i="1"/>
  <c r="E3863" i="1"/>
  <c r="B3863" i="1"/>
  <c r="U3862" i="1"/>
  <c r="K3862" i="1"/>
  <c r="E3862" i="1"/>
  <c r="B3862" i="1"/>
  <c r="U3861" i="1"/>
  <c r="K3861" i="1"/>
  <c r="E3861" i="1"/>
  <c r="B3861" i="1"/>
  <c r="U3860" i="1"/>
  <c r="K3860" i="1"/>
  <c r="E3860" i="1"/>
  <c r="B3860" i="1"/>
  <c r="K3859" i="1"/>
  <c r="E3859" i="1"/>
  <c r="B3859" i="1"/>
  <c r="U3858" i="1"/>
  <c r="K3858" i="1"/>
  <c r="E3858" i="1"/>
  <c r="B3858" i="1"/>
  <c r="U3857" i="1"/>
  <c r="K3857" i="1"/>
  <c r="E3857" i="1"/>
  <c r="B3857" i="1"/>
  <c r="U3856" i="1"/>
  <c r="K3856" i="1"/>
  <c r="E3856" i="1"/>
  <c r="B3856" i="1"/>
  <c r="U3855" i="1"/>
  <c r="K3855" i="1"/>
  <c r="E3855" i="1"/>
  <c r="B3855" i="1"/>
  <c r="U3854" i="1"/>
  <c r="K3854" i="1"/>
  <c r="E3854" i="1"/>
  <c r="B3854" i="1"/>
  <c r="U3853" i="1"/>
  <c r="K3853" i="1"/>
  <c r="E3853" i="1"/>
  <c r="B3853" i="1"/>
  <c r="U3852" i="1"/>
  <c r="K3852" i="1"/>
  <c r="E3852" i="1"/>
  <c r="B3852" i="1"/>
  <c r="U3851" i="1"/>
  <c r="K3851" i="1"/>
  <c r="E3851" i="1"/>
  <c r="B3851" i="1"/>
  <c r="U3850" i="1"/>
  <c r="K3850" i="1"/>
  <c r="E3850" i="1"/>
  <c r="B3850" i="1"/>
  <c r="U3849" i="1"/>
  <c r="K3849" i="1"/>
  <c r="E3849" i="1"/>
  <c r="B3849" i="1"/>
  <c r="U3848" i="1"/>
  <c r="K3848" i="1"/>
  <c r="E3848" i="1"/>
  <c r="B3848" i="1"/>
  <c r="U3847" i="1"/>
  <c r="K3847" i="1"/>
  <c r="E3847" i="1"/>
  <c r="B3847" i="1"/>
  <c r="U3846" i="1"/>
  <c r="K3846" i="1"/>
  <c r="E3846" i="1"/>
  <c r="B3846" i="1"/>
  <c r="K3845" i="1"/>
  <c r="E3845" i="1"/>
  <c r="B3845" i="1"/>
  <c r="U3844" i="1"/>
  <c r="K3844" i="1"/>
  <c r="E3844" i="1"/>
  <c r="B3844" i="1"/>
  <c r="U3843" i="1"/>
  <c r="K3843" i="1"/>
  <c r="E3843" i="1"/>
  <c r="B3843" i="1"/>
  <c r="U3842" i="1"/>
  <c r="K3842" i="1"/>
  <c r="E3842" i="1"/>
  <c r="B3842" i="1"/>
  <c r="U3841" i="1"/>
  <c r="K3841" i="1"/>
  <c r="E3841" i="1"/>
  <c r="B3841" i="1"/>
  <c r="U3840" i="1"/>
  <c r="K3840" i="1"/>
  <c r="E3840" i="1"/>
  <c r="B3840" i="1"/>
  <c r="U3839" i="1"/>
  <c r="K3839" i="1"/>
  <c r="E3839" i="1"/>
  <c r="B3839" i="1"/>
  <c r="U3838" i="1"/>
  <c r="K3838" i="1"/>
  <c r="E3838" i="1"/>
  <c r="B3838" i="1"/>
  <c r="U3837" i="1"/>
  <c r="K3837" i="1"/>
  <c r="E3837" i="1"/>
  <c r="B3837" i="1"/>
  <c r="U3836" i="1"/>
  <c r="K3836" i="1"/>
  <c r="E3836" i="1"/>
  <c r="B3836" i="1"/>
  <c r="U3835" i="1"/>
  <c r="K3835" i="1"/>
  <c r="E3835" i="1"/>
  <c r="B3835" i="1"/>
  <c r="U3834" i="1"/>
  <c r="K3834" i="1"/>
  <c r="E3834" i="1"/>
  <c r="B3834" i="1"/>
  <c r="U3833" i="1"/>
  <c r="K3833" i="1"/>
  <c r="E3833" i="1"/>
  <c r="B3833" i="1"/>
  <c r="U3832" i="1"/>
  <c r="K3832" i="1"/>
  <c r="E3832" i="1"/>
  <c r="B3832" i="1"/>
  <c r="U3831" i="1"/>
  <c r="K3831" i="1"/>
  <c r="E3831" i="1"/>
  <c r="B3831" i="1"/>
  <c r="U3830" i="1"/>
  <c r="K3830" i="1"/>
  <c r="E3830" i="1"/>
  <c r="B3830" i="1"/>
  <c r="U3829" i="1"/>
  <c r="K3829" i="1"/>
  <c r="E3829" i="1"/>
  <c r="B3829" i="1"/>
  <c r="U3828" i="1"/>
  <c r="K3828" i="1"/>
  <c r="E3828" i="1"/>
  <c r="B3828" i="1"/>
  <c r="U3827" i="1"/>
  <c r="K3827" i="1"/>
  <c r="E3827" i="1"/>
  <c r="B3827" i="1"/>
  <c r="U3826" i="1"/>
  <c r="K3826" i="1"/>
  <c r="E3826" i="1"/>
  <c r="B3826" i="1"/>
  <c r="U3825" i="1"/>
  <c r="K3825" i="1"/>
  <c r="E3825" i="1"/>
  <c r="B3825" i="1"/>
  <c r="U3824" i="1"/>
  <c r="K3824" i="1"/>
  <c r="E3824" i="1"/>
  <c r="B3824" i="1"/>
  <c r="U3823" i="1"/>
  <c r="K3823" i="1"/>
  <c r="E3823" i="1"/>
  <c r="B3823" i="1"/>
  <c r="K3822" i="1"/>
  <c r="E3822" i="1"/>
  <c r="B3822" i="1"/>
  <c r="U3821" i="1"/>
  <c r="K3821" i="1"/>
  <c r="E3821" i="1"/>
  <c r="B3821" i="1"/>
  <c r="U3820" i="1"/>
  <c r="K3820" i="1"/>
  <c r="E3820" i="1"/>
  <c r="B3820" i="1"/>
  <c r="U3819" i="1"/>
  <c r="K3819" i="1"/>
  <c r="E3819" i="1"/>
  <c r="B3819" i="1"/>
  <c r="U3818" i="1"/>
  <c r="K3818" i="1"/>
  <c r="E3818" i="1"/>
  <c r="B3818" i="1"/>
  <c r="U3817" i="1"/>
  <c r="K3817" i="1"/>
  <c r="E3817" i="1"/>
  <c r="B3817" i="1"/>
  <c r="U3816" i="1"/>
  <c r="K3816" i="1"/>
  <c r="E3816" i="1"/>
  <c r="B3816" i="1"/>
  <c r="U3815" i="1"/>
  <c r="K3815" i="1"/>
  <c r="E3815" i="1"/>
  <c r="B3815" i="1"/>
  <c r="U3814" i="1"/>
  <c r="K3814" i="1"/>
  <c r="E3814" i="1"/>
  <c r="B3814" i="1"/>
  <c r="U3813" i="1"/>
  <c r="K3813" i="1"/>
  <c r="E3813" i="1"/>
  <c r="B3813" i="1"/>
  <c r="U3812" i="1"/>
  <c r="K3812" i="1"/>
  <c r="E3812" i="1"/>
  <c r="B3812" i="1"/>
  <c r="U3811" i="1"/>
  <c r="K3811" i="1"/>
  <c r="E3811" i="1"/>
  <c r="B3811" i="1"/>
  <c r="U3810" i="1"/>
  <c r="K3810" i="1"/>
  <c r="E3810" i="1"/>
  <c r="B3810" i="1"/>
  <c r="U3809" i="1"/>
  <c r="K3809" i="1"/>
  <c r="E3809" i="1"/>
  <c r="B3809" i="1"/>
  <c r="U3808" i="1"/>
  <c r="K3808" i="1"/>
  <c r="E3808" i="1"/>
  <c r="B3808" i="1"/>
  <c r="U3807" i="1"/>
  <c r="K3807" i="1"/>
  <c r="E3807" i="1"/>
  <c r="B3807" i="1"/>
  <c r="K3806" i="1"/>
  <c r="E3806" i="1"/>
  <c r="B3806" i="1"/>
  <c r="U3805" i="1"/>
  <c r="K3805" i="1"/>
  <c r="E3805" i="1"/>
  <c r="B3805" i="1"/>
  <c r="U3804" i="1"/>
  <c r="K3804" i="1"/>
  <c r="E3804" i="1"/>
  <c r="B3804" i="1"/>
  <c r="U3803" i="1"/>
  <c r="K3803" i="1"/>
  <c r="E3803" i="1"/>
  <c r="B3803" i="1"/>
  <c r="U3802" i="1"/>
  <c r="K3802" i="1"/>
  <c r="E3802" i="1"/>
  <c r="B3802" i="1"/>
  <c r="U3801" i="1"/>
  <c r="K3801" i="1"/>
  <c r="E3801" i="1"/>
  <c r="B3801" i="1"/>
  <c r="U3800" i="1"/>
  <c r="K3800" i="1"/>
  <c r="E3800" i="1"/>
  <c r="B3800" i="1"/>
  <c r="U3799" i="1"/>
  <c r="K3799" i="1"/>
  <c r="E3799" i="1"/>
  <c r="B3799" i="1"/>
  <c r="U3798" i="1"/>
  <c r="K3798" i="1"/>
  <c r="E3798" i="1"/>
  <c r="B3798" i="1"/>
  <c r="U3797" i="1"/>
  <c r="K3797" i="1"/>
  <c r="E3797" i="1"/>
  <c r="B3797" i="1"/>
  <c r="U3796" i="1"/>
  <c r="K3796" i="1"/>
  <c r="E3796" i="1"/>
  <c r="B3796" i="1"/>
  <c r="U3795" i="1"/>
  <c r="K3795" i="1"/>
  <c r="E3795" i="1"/>
  <c r="B3795" i="1"/>
  <c r="U3794" i="1"/>
  <c r="K3794" i="1"/>
  <c r="E3794" i="1"/>
  <c r="B3794" i="1"/>
  <c r="U3793" i="1"/>
  <c r="K3793" i="1"/>
  <c r="E3793" i="1"/>
  <c r="B3793" i="1"/>
  <c r="U3792" i="1"/>
  <c r="K3792" i="1"/>
  <c r="E3792" i="1"/>
  <c r="B3792" i="1"/>
  <c r="U3791" i="1"/>
  <c r="K3791" i="1"/>
  <c r="E3791" i="1"/>
  <c r="B3791" i="1"/>
  <c r="U3790" i="1"/>
  <c r="K3790" i="1"/>
  <c r="E3790" i="1"/>
  <c r="B3790" i="1"/>
  <c r="U3789" i="1"/>
  <c r="K3789" i="1"/>
  <c r="E3789" i="1"/>
  <c r="B3789" i="1"/>
  <c r="U3788" i="1"/>
  <c r="K3788" i="1"/>
  <c r="E3788" i="1"/>
  <c r="B3788" i="1"/>
  <c r="U3787" i="1"/>
  <c r="K3787" i="1"/>
  <c r="E3787" i="1"/>
  <c r="B3787" i="1"/>
  <c r="U3786" i="1"/>
  <c r="K3786" i="1"/>
  <c r="E3786" i="1"/>
  <c r="B3786" i="1"/>
  <c r="U3785" i="1"/>
  <c r="K3785" i="1"/>
  <c r="E3785" i="1"/>
  <c r="B3785" i="1"/>
  <c r="U3784" i="1"/>
  <c r="K3784" i="1"/>
  <c r="E3784" i="1"/>
  <c r="B3784" i="1"/>
  <c r="U3783" i="1"/>
  <c r="K3783" i="1"/>
  <c r="E3783" i="1"/>
  <c r="B3783" i="1"/>
  <c r="U3782" i="1"/>
  <c r="K3782" i="1"/>
  <c r="E3782" i="1"/>
  <c r="B3782" i="1"/>
  <c r="U3781" i="1"/>
  <c r="K3781" i="1"/>
  <c r="E3781" i="1"/>
  <c r="B3781" i="1"/>
  <c r="U3780" i="1"/>
  <c r="K3780" i="1"/>
  <c r="E3780" i="1"/>
  <c r="B3780" i="1"/>
  <c r="U3779" i="1"/>
  <c r="K3779" i="1"/>
  <c r="E3779" i="1"/>
  <c r="B3779" i="1"/>
  <c r="U3778" i="1"/>
  <c r="K3778" i="1"/>
  <c r="E3778" i="1"/>
  <c r="B3778" i="1"/>
  <c r="U3777" i="1"/>
  <c r="K3777" i="1"/>
  <c r="E3777" i="1"/>
  <c r="B3777" i="1"/>
  <c r="U3776" i="1"/>
  <c r="K3776" i="1"/>
  <c r="E3776" i="1"/>
  <c r="B3776" i="1"/>
  <c r="U3775" i="1"/>
  <c r="K3775" i="1"/>
  <c r="E3775" i="1"/>
  <c r="B3775" i="1"/>
  <c r="K3774" i="1"/>
  <c r="E3774" i="1"/>
  <c r="B3774" i="1"/>
  <c r="U3773" i="1"/>
  <c r="K3773" i="1"/>
  <c r="E3773" i="1"/>
  <c r="B3773" i="1"/>
  <c r="U3772" i="1"/>
  <c r="K3772" i="1"/>
  <c r="E3772" i="1"/>
  <c r="B3772" i="1"/>
  <c r="U3771" i="1"/>
  <c r="K3771" i="1"/>
  <c r="E3771" i="1"/>
  <c r="B3771" i="1"/>
  <c r="U3770" i="1"/>
  <c r="K3770" i="1"/>
  <c r="E3770" i="1"/>
  <c r="B3770" i="1"/>
  <c r="U3769" i="1"/>
  <c r="K3769" i="1"/>
  <c r="E3769" i="1"/>
  <c r="B3769" i="1"/>
  <c r="U3768" i="1"/>
  <c r="K3768" i="1"/>
  <c r="E3768" i="1"/>
  <c r="B3768" i="1"/>
  <c r="U3767" i="1"/>
  <c r="K3767" i="1"/>
  <c r="E3767" i="1"/>
  <c r="B3767" i="1"/>
  <c r="U3766" i="1"/>
  <c r="K3766" i="1"/>
  <c r="E3766" i="1"/>
  <c r="B3766" i="1"/>
  <c r="U3765" i="1"/>
  <c r="K3765" i="1"/>
  <c r="E3765" i="1"/>
  <c r="B3765" i="1"/>
  <c r="U3764" i="1"/>
  <c r="K3764" i="1"/>
  <c r="E3764" i="1"/>
  <c r="B3764" i="1"/>
  <c r="U3763" i="1"/>
  <c r="K3763" i="1"/>
  <c r="E3763" i="1"/>
  <c r="B3763" i="1"/>
  <c r="U3762" i="1"/>
  <c r="K3762" i="1"/>
  <c r="E3762" i="1"/>
  <c r="B3762" i="1"/>
  <c r="U3761" i="1"/>
  <c r="K3761" i="1"/>
  <c r="E3761" i="1"/>
  <c r="B3761" i="1"/>
  <c r="U3760" i="1"/>
  <c r="K3760" i="1"/>
  <c r="E3760" i="1"/>
  <c r="B3760" i="1"/>
  <c r="U3759" i="1"/>
  <c r="K3759" i="1"/>
  <c r="E3759" i="1"/>
  <c r="B3759" i="1"/>
  <c r="U3758" i="1"/>
  <c r="K3758" i="1"/>
  <c r="E3758" i="1"/>
  <c r="B3758" i="1"/>
  <c r="U3757" i="1"/>
  <c r="K3757" i="1"/>
  <c r="E3757" i="1"/>
  <c r="B3757" i="1"/>
  <c r="U3756" i="1"/>
  <c r="K3756" i="1"/>
  <c r="E3756" i="1"/>
  <c r="B3756" i="1"/>
  <c r="U3755" i="1"/>
  <c r="K3755" i="1"/>
  <c r="E3755" i="1"/>
  <c r="B3755" i="1"/>
  <c r="U3754" i="1"/>
  <c r="K3754" i="1"/>
  <c r="E3754" i="1"/>
  <c r="B3754" i="1"/>
  <c r="U3753" i="1"/>
  <c r="K3753" i="1"/>
  <c r="E3753" i="1"/>
  <c r="B3753" i="1"/>
  <c r="U3752" i="1"/>
  <c r="K3752" i="1"/>
  <c r="E3752" i="1"/>
  <c r="B3752" i="1"/>
  <c r="U3751" i="1"/>
  <c r="K3751" i="1"/>
  <c r="E3751" i="1"/>
  <c r="B3751" i="1"/>
  <c r="U3750" i="1"/>
  <c r="K3750" i="1"/>
  <c r="E3750" i="1"/>
  <c r="B3750" i="1"/>
  <c r="U3749" i="1"/>
  <c r="K3749" i="1"/>
  <c r="E3749" i="1"/>
  <c r="B3749" i="1"/>
  <c r="U3748" i="1"/>
  <c r="K3748" i="1"/>
  <c r="E3748" i="1"/>
  <c r="B3748" i="1"/>
  <c r="U3747" i="1"/>
  <c r="K3747" i="1"/>
  <c r="E3747" i="1"/>
  <c r="B3747" i="1"/>
  <c r="U3746" i="1"/>
  <c r="K3746" i="1"/>
  <c r="E3746" i="1"/>
  <c r="B3746" i="1"/>
  <c r="U3745" i="1"/>
  <c r="K3745" i="1"/>
  <c r="E3745" i="1"/>
  <c r="B3745" i="1"/>
  <c r="U3744" i="1"/>
  <c r="K3744" i="1"/>
  <c r="E3744" i="1"/>
  <c r="B3744" i="1"/>
  <c r="U3743" i="1"/>
  <c r="K3743" i="1"/>
  <c r="E3743" i="1"/>
  <c r="B3743" i="1"/>
  <c r="U3742" i="1"/>
  <c r="K3742" i="1"/>
  <c r="E3742" i="1"/>
  <c r="B3742" i="1"/>
  <c r="U3741" i="1"/>
  <c r="K3741" i="1"/>
  <c r="E3741" i="1"/>
  <c r="B3741" i="1"/>
  <c r="U3740" i="1"/>
  <c r="K3740" i="1"/>
  <c r="E3740" i="1"/>
  <c r="B3740" i="1"/>
  <c r="K3739" i="1"/>
  <c r="E3739" i="1"/>
  <c r="B3739" i="1"/>
  <c r="U3738" i="1"/>
  <c r="K3738" i="1"/>
  <c r="E3738" i="1"/>
  <c r="B3738" i="1"/>
  <c r="U3737" i="1"/>
  <c r="K3737" i="1"/>
  <c r="E3737" i="1"/>
  <c r="B3737" i="1"/>
  <c r="U3736" i="1"/>
  <c r="K3736" i="1"/>
  <c r="E3736" i="1"/>
  <c r="B3736" i="1"/>
  <c r="U3735" i="1"/>
  <c r="K3735" i="1"/>
  <c r="E3735" i="1"/>
  <c r="B3735" i="1"/>
  <c r="U3734" i="1"/>
  <c r="K3734" i="1"/>
  <c r="E3734" i="1"/>
  <c r="B3734" i="1"/>
  <c r="U3733" i="1"/>
  <c r="K3733" i="1"/>
  <c r="E3733" i="1"/>
  <c r="B3733" i="1"/>
  <c r="U3732" i="1"/>
  <c r="K3732" i="1"/>
  <c r="E3732" i="1"/>
  <c r="B3732" i="1"/>
  <c r="U3731" i="1"/>
  <c r="K3731" i="1"/>
  <c r="E3731" i="1"/>
  <c r="B3731" i="1"/>
  <c r="U3730" i="1"/>
  <c r="K3730" i="1"/>
  <c r="E3730" i="1"/>
  <c r="B3730" i="1"/>
  <c r="U3729" i="1"/>
  <c r="K3729" i="1"/>
  <c r="E3729" i="1"/>
  <c r="B3729" i="1"/>
  <c r="U3728" i="1"/>
  <c r="K3728" i="1"/>
  <c r="E3728" i="1"/>
  <c r="B3728" i="1"/>
  <c r="U3727" i="1"/>
  <c r="K3727" i="1"/>
  <c r="E3727" i="1"/>
  <c r="B3727" i="1"/>
  <c r="U3726" i="1"/>
  <c r="K3726" i="1"/>
  <c r="E3726" i="1"/>
  <c r="B3726" i="1"/>
  <c r="U3725" i="1"/>
  <c r="K3725" i="1"/>
  <c r="E3725" i="1"/>
  <c r="B3725" i="1"/>
  <c r="U3724" i="1"/>
  <c r="K3724" i="1"/>
  <c r="E3724" i="1"/>
  <c r="B3724" i="1"/>
  <c r="U3723" i="1"/>
  <c r="K3723" i="1"/>
  <c r="E3723" i="1"/>
  <c r="B3723" i="1"/>
  <c r="U3722" i="1"/>
  <c r="K3722" i="1"/>
  <c r="E3722" i="1"/>
  <c r="B3722" i="1"/>
  <c r="U3721" i="1"/>
  <c r="K3721" i="1"/>
  <c r="E3721" i="1"/>
  <c r="B3721" i="1"/>
  <c r="U3720" i="1"/>
  <c r="K3720" i="1"/>
  <c r="E3720" i="1"/>
  <c r="B3720" i="1"/>
  <c r="U3719" i="1"/>
  <c r="K3719" i="1"/>
  <c r="E3719" i="1"/>
  <c r="B3719" i="1"/>
  <c r="U3718" i="1"/>
  <c r="K3718" i="1"/>
  <c r="E3718" i="1"/>
  <c r="B3718" i="1"/>
  <c r="U3717" i="1"/>
  <c r="K3717" i="1"/>
  <c r="E3717" i="1"/>
  <c r="B3717" i="1"/>
  <c r="U3716" i="1"/>
  <c r="K3716" i="1"/>
  <c r="E3716" i="1"/>
  <c r="B3716" i="1"/>
  <c r="U3715" i="1"/>
  <c r="K3715" i="1"/>
  <c r="E3715" i="1"/>
  <c r="B3715" i="1"/>
  <c r="U3714" i="1"/>
  <c r="K3714" i="1"/>
  <c r="E3714" i="1"/>
  <c r="B3714" i="1"/>
  <c r="U3713" i="1"/>
  <c r="K3713" i="1"/>
  <c r="E3713" i="1"/>
  <c r="B3713" i="1"/>
  <c r="U3712" i="1"/>
  <c r="K3712" i="1"/>
  <c r="E3712" i="1"/>
  <c r="B3712" i="1"/>
  <c r="U3711" i="1"/>
  <c r="K3711" i="1"/>
  <c r="E3711" i="1"/>
  <c r="B3711" i="1"/>
  <c r="U3710" i="1"/>
  <c r="K3710" i="1"/>
  <c r="E3710" i="1"/>
  <c r="B3710" i="1"/>
  <c r="U3709" i="1"/>
  <c r="K3709" i="1"/>
  <c r="E3709" i="1"/>
  <c r="B3709" i="1"/>
  <c r="U3708" i="1"/>
  <c r="K3708" i="1"/>
  <c r="E3708" i="1"/>
  <c r="B3708" i="1"/>
  <c r="U3707" i="1"/>
  <c r="K3707" i="1"/>
  <c r="E3707" i="1"/>
  <c r="B3707" i="1"/>
  <c r="U3706" i="1"/>
  <c r="K3706" i="1"/>
  <c r="E3706" i="1"/>
  <c r="B3706" i="1"/>
  <c r="U3705" i="1"/>
  <c r="K3705" i="1"/>
  <c r="E3705" i="1"/>
  <c r="B3705" i="1"/>
  <c r="U3704" i="1"/>
  <c r="K3704" i="1"/>
  <c r="E3704" i="1"/>
  <c r="B3704" i="1"/>
  <c r="U3703" i="1"/>
  <c r="K3703" i="1"/>
  <c r="E3703" i="1"/>
  <c r="B3703" i="1"/>
  <c r="U3702" i="1"/>
  <c r="K3702" i="1"/>
  <c r="E3702" i="1"/>
  <c r="B3702" i="1"/>
  <c r="U3701" i="1"/>
  <c r="K3701" i="1"/>
  <c r="E3701" i="1"/>
  <c r="B3701" i="1"/>
  <c r="U3700" i="1"/>
  <c r="K3700" i="1"/>
  <c r="E3700" i="1"/>
  <c r="B3700" i="1"/>
  <c r="U3699" i="1"/>
  <c r="K3699" i="1"/>
  <c r="E3699" i="1"/>
  <c r="B3699" i="1"/>
  <c r="K3698" i="1"/>
  <c r="E3698" i="1"/>
  <c r="B3698" i="1"/>
  <c r="U3697" i="1"/>
  <c r="K3697" i="1"/>
  <c r="E3697" i="1"/>
  <c r="B3697" i="1"/>
  <c r="U3696" i="1"/>
  <c r="K3696" i="1"/>
  <c r="E3696" i="1"/>
  <c r="B3696" i="1"/>
  <c r="U3695" i="1"/>
  <c r="K3695" i="1"/>
  <c r="E3695" i="1"/>
  <c r="B3695" i="1"/>
  <c r="U3694" i="1"/>
  <c r="K3694" i="1"/>
  <c r="E3694" i="1"/>
  <c r="B3694" i="1"/>
  <c r="U3693" i="1"/>
  <c r="K3693" i="1"/>
  <c r="E3693" i="1"/>
  <c r="B3693" i="1"/>
  <c r="U3692" i="1"/>
  <c r="K3692" i="1"/>
  <c r="E3692" i="1"/>
  <c r="B3692" i="1"/>
  <c r="U3691" i="1"/>
  <c r="K3691" i="1"/>
  <c r="E3691" i="1"/>
  <c r="B3691" i="1"/>
  <c r="U3690" i="1"/>
  <c r="K3690" i="1"/>
  <c r="E3690" i="1"/>
  <c r="B3690" i="1"/>
  <c r="U3689" i="1"/>
  <c r="K3689" i="1"/>
  <c r="E3689" i="1"/>
  <c r="B3689" i="1"/>
  <c r="U3688" i="1"/>
  <c r="K3688" i="1"/>
  <c r="E3688" i="1"/>
  <c r="B3688" i="1"/>
  <c r="U3687" i="1"/>
  <c r="K3687" i="1"/>
  <c r="E3687" i="1"/>
  <c r="B3687" i="1"/>
  <c r="U3686" i="1"/>
  <c r="K3686" i="1"/>
  <c r="E3686" i="1"/>
  <c r="B3686" i="1"/>
  <c r="U3685" i="1"/>
  <c r="K3685" i="1"/>
  <c r="E3685" i="1"/>
  <c r="B3685" i="1"/>
  <c r="U3684" i="1"/>
  <c r="K3684" i="1"/>
  <c r="E3684" i="1"/>
  <c r="B3684" i="1"/>
  <c r="U3683" i="1"/>
  <c r="K3683" i="1"/>
  <c r="E3683" i="1"/>
  <c r="B3683" i="1"/>
  <c r="U3682" i="1"/>
  <c r="K3682" i="1"/>
  <c r="E3682" i="1"/>
  <c r="B3682" i="1"/>
  <c r="U3681" i="1"/>
  <c r="K3681" i="1"/>
  <c r="E3681" i="1"/>
  <c r="B3681" i="1"/>
  <c r="U3680" i="1"/>
  <c r="K3680" i="1"/>
  <c r="E3680" i="1"/>
  <c r="B3680" i="1"/>
  <c r="U3679" i="1"/>
  <c r="K3679" i="1"/>
  <c r="E3679" i="1"/>
  <c r="B3679" i="1"/>
  <c r="U3678" i="1"/>
  <c r="K3678" i="1"/>
  <c r="E3678" i="1"/>
  <c r="B3678" i="1"/>
  <c r="U3677" i="1"/>
  <c r="K3677" i="1"/>
  <c r="E3677" i="1"/>
  <c r="B3677" i="1"/>
  <c r="U3676" i="1"/>
  <c r="K3676" i="1"/>
  <c r="E3676" i="1"/>
  <c r="B3676" i="1"/>
  <c r="U3675" i="1"/>
  <c r="K3675" i="1"/>
  <c r="E3675" i="1"/>
  <c r="B3675" i="1"/>
  <c r="U3674" i="1"/>
  <c r="K3674" i="1"/>
  <c r="E3674" i="1"/>
  <c r="B3674" i="1"/>
  <c r="U3673" i="1"/>
  <c r="K3673" i="1"/>
  <c r="E3673" i="1"/>
  <c r="B3673" i="1"/>
  <c r="U3672" i="1"/>
  <c r="K3672" i="1"/>
  <c r="E3672" i="1"/>
  <c r="B3672" i="1"/>
  <c r="U3671" i="1"/>
  <c r="K3671" i="1"/>
  <c r="E3671" i="1"/>
  <c r="B3671" i="1"/>
  <c r="U3670" i="1"/>
  <c r="K3670" i="1"/>
  <c r="E3670" i="1"/>
  <c r="B3670" i="1"/>
  <c r="U3669" i="1"/>
  <c r="K3669" i="1"/>
  <c r="E3669" i="1"/>
  <c r="B3669" i="1"/>
  <c r="U3668" i="1"/>
  <c r="K3668" i="1"/>
  <c r="E3668" i="1"/>
  <c r="B3668" i="1"/>
  <c r="U3667" i="1"/>
  <c r="K3667" i="1"/>
  <c r="E3667" i="1"/>
  <c r="B3667" i="1"/>
  <c r="U3666" i="1"/>
  <c r="K3666" i="1"/>
  <c r="E3666" i="1"/>
  <c r="B3666" i="1"/>
  <c r="U3665" i="1"/>
  <c r="K3665" i="1"/>
  <c r="E3665" i="1"/>
  <c r="B3665" i="1"/>
  <c r="U3664" i="1"/>
  <c r="K3664" i="1"/>
  <c r="E3664" i="1"/>
  <c r="B3664" i="1"/>
  <c r="U3663" i="1"/>
  <c r="K3663" i="1"/>
  <c r="E3663" i="1"/>
  <c r="B3663" i="1"/>
  <c r="U3662" i="1"/>
  <c r="K3662" i="1"/>
  <c r="E3662" i="1"/>
  <c r="B3662" i="1"/>
  <c r="K3661" i="1"/>
  <c r="E3661" i="1"/>
  <c r="B3661" i="1"/>
  <c r="U3660" i="1"/>
  <c r="K3660" i="1"/>
  <c r="E3660" i="1"/>
  <c r="B3660" i="1"/>
  <c r="U3659" i="1"/>
  <c r="K3659" i="1"/>
  <c r="E3659" i="1"/>
  <c r="B3659" i="1"/>
  <c r="U3658" i="1"/>
  <c r="K3658" i="1"/>
  <c r="E3658" i="1"/>
  <c r="B3658" i="1"/>
  <c r="U3657" i="1"/>
  <c r="K3657" i="1"/>
  <c r="E3657" i="1"/>
  <c r="B3657" i="1"/>
  <c r="U3656" i="1"/>
  <c r="K3656" i="1"/>
  <c r="E3656" i="1"/>
  <c r="B3656" i="1"/>
  <c r="U3655" i="1"/>
  <c r="K3655" i="1"/>
  <c r="E3655" i="1"/>
  <c r="B3655" i="1"/>
  <c r="U3654" i="1"/>
  <c r="K3654" i="1"/>
  <c r="E3654" i="1"/>
  <c r="B3654" i="1"/>
  <c r="U3653" i="1"/>
  <c r="K3653" i="1"/>
  <c r="E3653" i="1"/>
  <c r="B3653" i="1"/>
  <c r="U3652" i="1"/>
  <c r="K3652" i="1"/>
  <c r="E3652" i="1"/>
  <c r="B3652" i="1"/>
  <c r="U3651" i="1"/>
  <c r="K3651" i="1"/>
  <c r="E3651" i="1"/>
  <c r="B3651" i="1"/>
  <c r="U3650" i="1"/>
  <c r="K3650" i="1"/>
  <c r="E3650" i="1"/>
  <c r="B3650" i="1"/>
  <c r="U3649" i="1"/>
  <c r="K3649" i="1"/>
  <c r="E3649" i="1"/>
  <c r="B3649" i="1"/>
  <c r="U3648" i="1"/>
  <c r="K3648" i="1"/>
  <c r="E3648" i="1"/>
  <c r="B3648" i="1"/>
  <c r="U3647" i="1"/>
  <c r="K3647" i="1"/>
  <c r="E3647" i="1"/>
  <c r="B3647" i="1"/>
  <c r="U3646" i="1"/>
  <c r="K3646" i="1"/>
  <c r="E3646" i="1"/>
  <c r="B3646" i="1"/>
  <c r="U3645" i="1"/>
  <c r="K3645" i="1"/>
  <c r="E3645" i="1"/>
  <c r="B3645" i="1"/>
  <c r="U3644" i="1"/>
  <c r="K3644" i="1"/>
  <c r="E3644" i="1"/>
  <c r="B3644" i="1"/>
  <c r="U3643" i="1"/>
  <c r="K3643" i="1"/>
  <c r="E3643" i="1"/>
  <c r="B3643" i="1"/>
  <c r="U3642" i="1"/>
  <c r="K3642" i="1"/>
  <c r="E3642" i="1"/>
  <c r="B3642" i="1"/>
  <c r="U3641" i="1"/>
  <c r="K3641" i="1"/>
  <c r="E3641" i="1"/>
  <c r="B3641" i="1"/>
  <c r="U3640" i="1"/>
  <c r="K3640" i="1"/>
  <c r="E3640" i="1"/>
  <c r="B3640" i="1"/>
  <c r="U3639" i="1"/>
  <c r="K3639" i="1"/>
  <c r="E3639" i="1"/>
  <c r="B3639" i="1"/>
  <c r="U3638" i="1"/>
  <c r="K3638" i="1"/>
  <c r="E3638" i="1"/>
  <c r="B3638" i="1"/>
  <c r="U3637" i="1"/>
  <c r="K3637" i="1"/>
  <c r="E3637" i="1"/>
  <c r="B3637" i="1"/>
  <c r="U3636" i="1"/>
  <c r="K3636" i="1"/>
  <c r="E3636" i="1"/>
  <c r="B3636" i="1"/>
  <c r="U3635" i="1"/>
  <c r="K3635" i="1"/>
  <c r="E3635" i="1"/>
  <c r="B3635" i="1"/>
  <c r="U3634" i="1"/>
  <c r="K3634" i="1"/>
  <c r="E3634" i="1"/>
  <c r="B3634" i="1"/>
  <c r="U3633" i="1"/>
  <c r="K3633" i="1"/>
  <c r="E3633" i="1"/>
  <c r="B3633" i="1"/>
  <c r="U3632" i="1"/>
  <c r="K3632" i="1"/>
  <c r="E3632" i="1"/>
  <c r="B3632" i="1"/>
  <c r="U3631" i="1"/>
  <c r="K3631" i="1"/>
  <c r="E3631" i="1"/>
  <c r="B3631" i="1"/>
  <c r="U3630" i="1"/>
  <c r="K3630" i="1"/>
  <c r="E3630" i="1"/>
  <c r="B3630" i="1"/>
  <c r="U3629" i="1"/>
  <c r="K3629" i="1"/>
  <c r="E3629" i="1"/>
  <c r="B3629" i="1"/>
  <c r="U3628" i="1"/>
  <c r="K3628" i="1"/>
  <c r="E3628" i="1"/>
  <c r="B3628" i="1"/>
  <c r="K3627" i="1"/>
  <c r="E3627" i="1"/>
  <c r="B3627" i="1"/>
  <c r="U3626" i="1"/>
  <c r="K3626" i="1"/>
  <c r="E3626" i="1"/>
  <c r="B3626" i="1"/>
  <c r="U3625" i="1"/>
  <c r="K3625" i="1"/>
  <c r="E3625" i="1"/>
  <c r="B3625" i="1"/>
  <c r="U3624" i="1"/>
  <c r="K3624" i="1"/>
  <c r="E3624" i="1"/>
  <c r="B3624" i="1"/>
  <c r="U3623" i="1"/>
  <c r="K3623" i="1"/>
  <c r="E3623" i="1"/>
  <c r="B3623" i="1"/>
  <c r="U3622" i="1"/>
  <c r="K3622" i="1"/>
  <c r="E3622" i="1"/>
  <c r="B3622" i="1"/>
  <c r="U3621" i="1"/>
  <c r="K3621" i="1"/>
  <c r="E3621" i="1"/>
  <c r="B3621" i="1"/>
  <c r="U3620" i="1"/>
  <c r="K3620" i="1"/>
  <c r="E3620" i="1"/>
  <c r="B3620" i="1"/>
  <c r="U3619" i="1"/>
  <c r="K3619" i="1"/>
  <c r="E3619" i="1"/>
  <c r="B3619" i="1"/>
  <c r="U3618" i="1"/>
  <c r="K3618" i="1"/>
  <c r="E3618" i="1"/>
  <c r="B3618" i="1"/>
  <c r="U3617" i="1"/>
  <c r="K3617" i="1"/>
  <c r="E3617" i="1"/>
  <c r="B3617" i="1"/>
  <c r="U3616" i="1"/>
  <c r="K3616" i="1"/>
  <c r="E3616" i="1"/>
  <c r="B3616" i="1"/>
  <c r="U3615" i="1"/>
  <c r="K3615" i="1"/>
  <c r="E3615" i="1"/>
  <c r="B3615" i="1"/>
  <c r="U3614" i="1"/>
  <c r="K3614" i="1"/>
  <c r="E3614" i="1"/>
  <c r="B3614" i="1"/>
  <c r="U3613" i="1"/>
  <c r="K3613" i="1"/>
  <c r="E3613" i="1"/>
  <c r="B3613" i="1"/>
  <c r="U3612" i="1"/>
  <c r="K3612" i="1"/>
  <c r="E3612" i="1"/>
  <c r="B3612" i="1"/>
  <c r="U3611" i="1"/>
  <c r="K3611" i="1"/>
  <c r="E3611" i="1"/>
  <c r="B3611" i="1"/>
  <c r="U3610" i="1"/>
  <c r="K3610" i="1"/>
  <c r="E3610" i="1"/>
  <c r="B3610" i="1"/>
  <c r="U3609" i="1"/>
  <c r="K3609" i="1"/>
  <c r="E3609" i="1"/>
  <c r="B3609" i="1"/>
  <c r="U3608" i="1"/>
  <c r="K3608" i="1"/>
  <c r="E3608" i="1"/>
  <c r="B3608" i="1"/>
  <c r="U3607" i="1"/>
  <c r="K3607" i="1"/>
  <c r="E3607" i="1"/>
  <c r="B3607" i="1"/>
  <c r="U3606" i="1"/>
  <c r="K3606" i="1"/>
  <c r="E3606" i="1"/>
  <c r="B3606" i="1"/>
  <c r="U3605" i="1"/>
  <c r="K3605" i="1"/>
  <c r="E3605" i="1"/>
  <c r="B3605" i="1"/>
  <c r="U3604" i="1"/>
  <c r="K3604" i="1"/>
  <c r="E3604" i="1"/>
  <c r="B3604" i="1"/>
  <c r="U3603" i="1"/>
  <c r="K3603" i="1"/>
  <c r="E3603" i="1"/>
  <c r="B3603" i="1"/>
  <c r="U3602" i="1"/>
  <c r="K3602" i="1"/>
  <c r="E3602" i="1"/>
  <c r="B3602" i="1"/>
  <c r="U3601" i="1"/>
  <c r="K3601" i="1"/>
  <c r="E3601" i="1"/>
  <c r="B3601" i="1"/>
  <c r="U3600" i="1"/>
  <c r="K3600" i="1"/>
  <c r="E3600" i="1"/>
  <c r="B3600" i="1"/>
  <c r="U3599" i="1"/>
  <c r="K3599" i="1"/>
  <c r="E3599" i="1"/>
  <c r="B3599" i="1"/>
  <c r="U3598" i="1"/>
  <c r="K3598" i="1"/>
  <c r="E3598" i="1"/>
  <c r="B3598" i="1"/>
  <c r="U3597" i="1"/>
  <c r="K3597" i="1"/>
  <c r="E3597" i="1"/>
  <c r="B3597" i="1"/>
  <c r="U3596" i="1"/>
  <c r="K3596" i="1"/>
  <c r="E3596" i="1"/>
  <c r="B3596" i="1"/>
  <c r="U3595" i="1"/>
  <c r="K3595" i="1"/>
  <c r="E3595" i="1"/>
  <c r="B3595" i="1"/>
  <c r="U3594" i="1"/>
  <c r="K3594" i="1"/>
  <c r="E3594" i="1"/>
  <c r="B3594" i="1"/>
  <c r="U3593" i="1"/>
  <c r="K3593" i="1"/>
  <c r="E3593" i="1"/>
  <c r="B3593" i="1"/>
  <c r="U3592" i="1"/>
  <c r="K3592" i="1"/>
  <c r="E3592" i="1"/>
  <c r="B3592" i="1"/>
  <c r="U3591" i="1"/>
  <c r="K3591" i="1"/>
  <c r="E3591" i="1"/>
  <c r="B3591" i="1"/>
  <c r="U3590" i="1"/>
  <c r="K3590" i="1"/>
  <c r="E3590" i="1"/>
  <c r="B3590" i="1"/>
  <c r="K3589" i="1"/>
  <c r="E3589" i="1"/>
  <c r="B3589" i="1"/>
  <c r="U3588" i="1"/>
  <c r="K3588" i="1"/>
  <c r="E3588" i="1"/>
  <c r="B3588" i="1"/>
  <c r="U3587" i="1"/>
  <c r="K3587" i="1"/>
  <c r="E3587" i="1"/>
  <c r="B3587" i="1"/>
  <c r="U3586" i="1"/>
  <c r="K3586" i="1"/>
  <c r="E3586" i="1"/>
  <c r="B3586" i="1"/>
  <c r="U3585" i="1"/>
  <c r="K3585" i="1"/>
  <c r="E3585" i="1"/>
  <c r="B3585" i="1"/>
  <c r="U3584" i="1"/>
  <c r="K3584" i="1"/>
  <c r="E3584" i="1"/>
  <c r="B3584" i="1"/>
  <c r="U3583" i="1"/>
  <c r="K3583" i="1"/>
  <c r="E3583" i="1"/>
  <c r="B3583" i="1"/>
  <c r="U3582" i="1"/>
  <c r="K3582" i="1"/>
  <c r="E3582" i="1"/>
  <c r="B3582" i="1"/>
  <c r="U3581" i="1"/>
  <c r="K3581" i="1"/>
  <c r="E3581" i="1"/>
  <c r="B3581" i="1"/>
  <c r="U3580" i="1"/>
  <c r="K3580" i="1"/>
  <c r="E3580" i="1"/>
  <c r="B3580" i="1"/>
  <c r="U3579" i="1"/>
  <c r="K3579" i="1"/>
  <c r="E3579" i="1"/>
  <c r="B3579" i="1"/>
  <c r="U3578" i="1"/>
  <c r="K3578" i="1"/>
  <c r="E3578" i="1"/>
  <c r="B3578" i="1"/>
  <c r="U3577" i="1"/>
  <c r="K3577" i="1"/>
  <c r="E3577" i="1"/>
  <c r="B3577" i="1"/>
  <c r="U3576" i="1"/>
  <c r="K3576" i="1"/>
  <c r="E3576" i="1"/>
  <c r="B3576" i="1"/>
  <c r="U3575" i="1"/>
  <c r="K3575" i="1"/>
  <c r="E3575" i="1"/>
  <c r="B3575" i="1"/>
  <c r="U3574" i="1"/>
  <c r="K3574" i="1"/>
  <c r="E3574" i="1"/>
  <c r="B3574" i="1"/>
  <c r="U3573" i="1"/>
  <c r="K3573" i="1"/>
  <c r="E3573" i="1"/>
  <c r="B3573" i="1"/>
  <c r="U3572" i="1"/>
  <c r="K3572" i="1"/>
  <c r="E3572" i="1"/>
  <c r="B3572" i="1"/>
  <c r="U3571" i="1"/>
  <c r="K3571" i="1"/>
  <c r="E3571" i="1"/>
  <c r="B3571" i="1"/>
  <c r="U3570" i="1"/>
  <c r="K3570" i="1"/>
  <c r="E3570" i="1"/>
  <c r="B3570" i="1"/>
  <c r="K3569" i="1"/>
  <c r="E3569" i="1"/>
  <c r="B3569" i="1"/>
  <c r="U3568" i="1"/>
  <c r="K3568" i="1"/>
  <c r="E3568" i="1"/>
  <c r="B3568" i="1"/>
  <c r="U3567" i="1"/>
  <c r="K3567" i="1"/>
  <c r="E3567" i="1"/>
  <c r="B3567" i="1"/>
  <c r="U3566" i="1"/>
  <c r="K3566" i="1"/>
  <c r="E3566" i="1"/>
  <c r="B3566" i="1"/>
  <c r="U3565" i="1"/>
  <c r="K3565" i="1"/>
  <c r="E3565" i="1"/>
  <c r="B3565" i="1"/>
  <c r="U3564" i="1"/>
  <c r="K3564" i="1"/>
  <c r="E3564" i="1"/>
  <c r="B3564" i="1"/>
  <c r="U3563" i="1"/>
  <c r="K3563" i="1"/>
  <c r="E3563" i="1"/>
  <c r="B3563" i="1"/>
  <c r="U3562" i="1"/>
  <c r="K3562" i="1"/>
  <c r="E3562" i="1"/>
  <c r="B3562" i="1"/>
  <c r="U3561" i="1"/>
  <c r="K3561" i="1"/>
  <c r="E3561" i="1"/>
  <c r="B3561" i="1"/>
  <c r="U3560" i="1"/>
  <c r="K3560" i="1"/>
  <c r="E3560" i="1"/>
  <c r="B3560" i="1"/>
  <c r="U3559" i="1"/>
  <c r="K3559" i="1"/>
  <c r="E3559" i="1"/>
  <c r="B3559" i="1"/>
  <c r="U3558" i="1"/>
  <c r="K3558" i="1"/>
  <c r="E3558" i="1"/>
  <c r="B3558" i="1"/>
  <c r="U3557" i="1"/>
  <c r="K3557" i="1"/>
  <c r="E3557" i="1"/>
  <c r="B3557" i="1"/>
  <c r="U3556" i="1"/>
  <c r="K3556" i="1"/>
  <c r="E3556" i="1"/>
  <c r="B3556" i="1"/>
  <c r="U3555" i="1"/>
  <c r="K3555" i="1"/>
  <c r="E3555" i="1"/>
  <c r="B3555" i="1"/>
  <c r="U3554" i="1"/>
  <c r="K3554" i="1"/>
  <c r="E3554" i="1"/>
  <c r="B3554" i="1"/>
  <c r="K3553" i="1"/>
  <c r="E3553" i="1"/>
  <c r="B3553" i="1"/>
  <c r="U3552" i="1"/>
  <c r="K3552" i="1"/>
  <c r="E3552" i="1"/>
  <c r="B3552" i="1"/>
  <c r="U3551" i="1"/>
  <c r="K3551" i="1"/>
  <c r="E3551" i="1"/>
  <c r="B3551" i="1"/>
  <c r="U3550" i="1"/>
  <c r="K3550" i="1"/>
  <c r="E3550" i="1"/>
  <c r="B3550" i="1"/>
  <c r="U3549" i="1"/>
  <c r="K3549" i="1"/>
  <c r="E3549" i="1"/>
  <c r="B3549" i="1"/>
  <c r="U3548" i="1"/>
  <c r="K3548" i="1"/>
  <c r="E3548" i="1"/>
  <c r="B3548" i="1"/>
  <c r="U3547" i="1"/>
  <c r="K3547" i="1"/>
  <c r="E3547" i="1"/>
  <c r="B3547" i="1"/>
  <c r="U3546" i="1"/>
  <c r="K3546" i="1"/>
  <c r="E3546" i="1"/>
  <c r="B3546" i="1"/>
  <c r="U3545" i="1"/>
  <c r="K3545" i="1"/>
  <c r="E3545" i="1"/>
  <c r="B3545" i="1"/>
  <c r="U3544" i="1"/>
  <c r="K3544" i="1"/>
  <c r="E3544" i="1"/>
  <c r="B3544" i="1"/>
  <c r="U3543" i="1"/>
  <c r="K3543" i="1"/>
  <c r="E3543" i="1"/>
  <c r="B3543" i="1"/>
  <c r="U3542" i="1"/>
  <c r="K3542" i="1"/>
  <c r="E3542" i="1"/>
  <c r="B3542" i="1"/>
  <c r="U3541" i="1"/>
  <c r="K3541" i="1"/>
  <c r="E3541" i="1"/>
  <c r="B3541" i="1"/>
  <c r="U3540" i="1"/>
  <c r="K3540" i="1"/>
  <c r="E3540" i="1"/>
  <c r="B3540" i="1"/>
  <c r="U3539" i="1"/>
  <c r="K3539" i="1"/>
  <c r="E3539" i="1"/>
  <c r="B3539" i="1"/>
  <c r="U3538" i="1"/>
  <c r="K3538" i="1"/>
  <c r="E3538" i="1"/>
  <c r="B3538" i="1"/>
  <c r="U3537" i="1"/>
  <c r="K3537" i="1"/>
  <c r="E3537" i="1"/>
  <c r="B3537" i="1"/>
  <c r="U3536" i="1"/>
  <c r="K3536" i="1"/>
  <c r="E3536" i="1"/>
  <c r="B3536" i="1"/>
  <c r="U3535" i="1"/>
  <c r="K3535" i="1"/>
  <c r="E3535" i="1"/>
  <c r="B3535" i="1"/>
  <c r="U3534" i="1"/>
  <c r="K3534" i="1"/>
  <c r="E3534" i="1"/>
  <c r="B3534" i="1"/>
  <c r="U3533" i="1"/>
  <c r="K3533" i="1"/>
  <c r="E3533" i="1"/>
  <c r="B3533" i="1"/>
  <c r="U3532" i="1"/>
  <c r="K3532" i="1"/>
  <c r="E3532" i="1"/>
  <c r="B3532" i="1"/>
  <c r="U3531" i="1"/>
  <c r="K3531" i="1"/>
  <c r="E3531" i="1"/>
  <c r="B3531" i="1"/>
  <c r="U3530" i="1"/>
  <c r="K3530" i="1"/>
  <c r="E3530" i="1"/>
  <c r="B3530" i="1"/>
  <c r="U3529" i="1"/>
  <c r="K3529" i="1"/>
  <c r="E3529" i="1"/>
  <c r="B3529" i="1"/>
  <c r="U3528" i="1"/>
  <c r="K3528" i="1"/>
  <c r="E3528" i="1"/>
  <c r="B3528" i="1"/>
  <c r="U3527" i="1"/>
  <c r="K3527" i="1"/>
  <c r="E3527" i="1"/>
  <c r="B3527" i="1"/>
  <c r="U3526" i="1"/>
  <c r="K3526" i="1"/>
  <c r="E3526" i="1"/>
  <c r="B3526" i="1"/>
  <c r="U3525" i="1"/>
  <c r="K3525" i="1"/>
  <c r="E3525" i="1"/>
  <c r="B3525" i="1"/>
  <c r="U3524" i="1"/>
  <c r="K3524" i="1"/>
  <c r="E3524" i="1"/>
  <c r="B3524" i="1"/>
  <c r="U3523" i="1"/>
  <c r="K3523" i="1"/>
  <c r="E3523" i="1"/>
  <c r="B3523" i="1"/>
  <c r="U3522" i="1"/>
  <c r="K3522" i="1"/>
  <c r="E3522" i="1"/>
  <c r="B3522" i="1"/>
  <c r="U3521" i="1"/>
  <c r="K3521" i="1"/>
  <c r="E3521" i="1"/>
  <c r="B3521" i="1"/>
  <c r="U3520" i="1"/>
  <c r="K3520" i="1"/>
  <c r="E3520" i="1"/>
  <c r="B3520" i="1"/>
  <c r="U3519" i="1"/>
  <c r="K3519" i="1"/>
  <c r="E3519" i="1"/>
  <c r="B3519" i="1"/>
  <c r="U3518" i="1"/>
  <c r="K3518" i="1"/>
  <c r="E3518" i="1"/>
  <c r="B3518" i="1"/>
  <c r="U3517" i="1"/>
  <c r="K3517" i="1"/>
  <c r="E3517" i="1"/>
  <c r="B3517" i="1"/>
  <c r="U3516" i="1"/>
  <c r="K3516" i="1"/>
  <c r="E3516" i="1"/>
  <c r="B3516" i="1"/>
  <c r="U3515" i="1"/>
  <c r="K3515" i="1"/>
  <c r="E3515" i="1"/>
  <c r="B3515" i="1"/>
  <c r="U3514" i="1"/>
  <c r="K3514" i="1"/>
  <c r="E3514" i="1"/>
  <c r="B3514" i="1"/>
  <c r="U3513" i="1"/>
  <c r="K3513" i="1"/>
  <c r="E3513" i="1"/>
  <c r="B3513" i="1"/>
  <c r="U3512" i="1"/>
  <c r="K3512" i="1"/>
  <c r="E3512" i="1"/>
  <c r="B3512" i="1"/>
  <c r="U3511" i="1"/>
  <c r="K3511" i="1"/>
  <c r="E3511" i="1"/>
  <c r="B3511" i="1"/>
  <c r="U3510" i="1"/>
  <c r="K3510" i="1"/>
  <c r="E3510" i="1"/>
  <c r="B3510" i="1"/>
  <c r="U3509" i="1"/>
  <c r="K3509" i="1"/>
  <c r="E3509" i="1"/>
  <c r="B3509" i="1"/>
  <c r="U3508" i="1"/>
  <c r="K3508" i="1"/>
  <c r="E3508" i="1"/>
  <c r="B3508" i="1"/>
  <c r="U3507" i="1"/>
  <c r="K3507" i="1"/>
  <c r="E3507" i="1"/>
  <c r="B3507" i="1"/>
  <c r="U3506" i="1"/>
  <c r="K3506" i="1"/>
  <c r="E3506" i="1"/>
  <c r="B3506" i="1"/>
  <c r="U3505" i="1"/>
  <c r="K3505" i="1"/>
  <c r="E3505" i="1"/>
  <c r="B3505" i="1"/>
  <c r="U3504" i="1"/>
  <c r="K3504" i="1"/>
  <c r="E3504" i="1"/>
  <c r="B3504" i="1"/>
  <c r="U3503" i="1"/>
  <c r="K3503" i="1"/>
  <c r="E3503" i="1"/>
  <c r="B3503" i="1"/>
  <c r="U3502" i="1"/>
  <c r="K3502" i="1"/>
  <c r="E3502" i="1"/>
  <c r="B3502" i="1"/>
  <c r="U3501" i="1"/>
  <c r="K3501" i="1"/>
  <c r="E3501" i="1"/>
  <c r="B3501" i="1"/>
  <c r="U3500" i="1"/>
  <c r="K3500" i="1"/>
  <c r="E3500" i="1"/>
  <c r="B3500" i="1"/>
  <c r="U3499" i="1"/>
  <c r="K3499" i="1"/>
  <c r="E3499" i="1"/>
  <c r="B3499" i="1"/>
  <c r="U3498" i="1"/>
  <c r="K3498" i="1"/>
  <c r="E3498" i="1"/>
  <c r="B3498" i="1"/>
  <c r="U3497" i="1"/>
  <c r="K3497" i="1"/>
  <c r="E3497" i="1"/>
  <c r="B3497" i="1"/>
  <c r="U3496" i="1"/>
  <c r="K3496" i="1"/>
  <c r="E3496" i="1"/>
  <c r="B3496" i="1"/>
  <c r="U3495" i="1"/>
  <c r="K3495" i="1"/>
  <c r="E3495" i="1"/>
  <c r="B3495" i="1"/>
  <c r="U3494" i="1"/>
  <c r="K3494" i="1"/>
  <c r="E3494" i="1"/>
  <c r="B3494" i="1"/>
  <c r="U3493" i="1"/>
  <c r="K3493" i="1"/>
  <c r="E3493" i="1"/>
  <c r="B3493" i="1"/>
  <c r="U3492" i="1"/>
  <c r="K3492" i="1"/>
  <c r="E3492" i="1"/>
  <c r="B3492" i="1"/>
  <c r="U3491" i="1"/>
  <c r="K3491" i="1"/>
  <c r="E3491" i="1"/>
  <c r="B3491" i="1"/>
  <c r="U3490" i="1"/>
  <c r="K3490" i="1"/>
  <c r="E3490" i="1"/>
  <c r="B3490" i="1"/>
  <c r="U3489" i="1"/>
  <c r="K3489" i="1"/>
  <c r="E3489" i="1"/>
  <c r="B3489" i="1"/>
  <c r="K3488" i="1"/>
  <c r="E3488" i="1"/>
  <c r="B3488" i="1"/>
  <c r="U3487" i="1"/>
  <c r="K3487" i="1"/>
  <c r="E3487" i="1"/>
  <c r="B3487" i="1"/>
  <c r="U3486" i="1"/>
  <c r="K3486" i="1"/>
  <c r="E3486" i="1"/>
  <c r="B3486" i="1"/>
  <c r="U3485" i="1"/>
  <c r="K3485" i="1"/>
  <c r="E3485" i="1"/>
  <c r="B3485" i="1"/>
  <c r="U3484" i="1"/>
  <c r="K3484" i="1"/>
  <c r="E3484" i="1"/>
  <c r="B3484" i="1"/>
  <c r="U3483" i="1"/>
  <c r="K3483" i="1"/>
  <c r="E3483" i="1"/>
  <c r="B3483" i="1"/>
  <c r="U3482" i="1"/>
  <c r="K3482" i="1"/>
  <c r="E3482" i="1"/>
  <c r="B3482" i="1"/>
  <c r="U3481" i="1"/>
  <c r="K3481" i="1"/>
  <c r="E3481" i="1"/>
  <c r="B3481" i="1"/>
  <c r="U3480" i="1"/>
  <c r="K3480" i="1"/>
  <c r="E3480" i="1"/>
  <c r="B3480" i="1"/>
  <c r="U3479" i="1"/>
  <c r="K3479" i="1"/>
  <c r="E3479" i="1"/>
  <c r="B3479" i="1"/>
  <c r="U3478" i="1"/>
  <c r="K3478" i="1"/>
  <c r="E3478" i="1"/>
  <c r="B3478" i="1"/>
  <c r="U3477" i="1"/>
  <c r="K3477" i="1"/>
  <c r="E3477" i="1"/>
  <c r="B3477" i="1"/>
  <c r="U3476" i="1"/>
  <c r="K3476" i="1"/>
  <c r="E3476" i="1"/>
  <c r="B3476" i="1"/>
  <c r="U3475" i="1"/>
  <c r="K3475" i="1"/>
  <c r="E3475" i="1"/>
  <c r="B3475" i="1"/>
  <c r="U3474" i="1"/>
  <c r="K3474" i="1"/>
  <c r="E3474" i="1"/>
  <c r="B3474" i="1"/>
  <c r="U3473" i="1"/>
  <c r="K3473" i="1"/>
  <c r="E3473" i="1"/>
  <c r="B3473" i="1"/>
  <c r="U3472" i="1"/>
  <c r="K3472" i="1"/>
  <c r="E3472" i="1"/>
  <c r="B3472" i="1"/>
  <c r="U3471" i="1"/>
  <c r="K3471" i="1"/>
  <c r="E3471" i="1"/>
  <c r="B3471" i="1"/>
  <c r="U3470" i="1"/>
  <c r="K3470" i="1"/>
  <c r="E3470" i="1"/>
  <c r="B3470" i="1"/>
  <c r="U3469" i="1"/>
  <c r="K3469" i="1"/>
  <c r="E3469" i="1"/>
  <c r="B3469" i="1"/>
  <c r="U3468" i="1"/>
  <c r="K3468" i="1"/>
  <c r="E3468" i="1"/>
  <c r="B3468" i="1"/>
  <c r="U3467" i="1"/>
  <c r="K3467" i="1"/>
  <c r="E3467" i="1"/>
  <c r="B3467" i="1"/>
  <c r="U3466" i="1"/>
  <c r="K3466" i="1"/>
  <c r="E3466" i="1"/>
  <c r="B3466" i="1"/>
  <c r="U3465" i="1"/>
  <c r="K3465" i="1"/>
  <c r="E3465" i="1"/>
  <c r="B3465" i="1"/>
  <c r="U3464" i="1"/>
  <c r="K3464" i="1"/>
  <c r="E3464" i="1"/>
  <c r="B3464" i="1"/>
  <c r="U3463" i="1"/>
  <c r="K3463" i="1"/>
  <c r="E3463" i="1"/>
  <c r="B3463" i="1"/>
  <c r="U3462" i="1"/>
  <c r="K3462" i="1"/>
  <c r="E3462" i="1"/>
  <c r="B3462" i="1"/>
  <c r="K3461" i="1"/>
  <c r="E3461" i="1"/>
  <c r="B3461" i="1"/>
  <c r="U3460" i="1"/>
  <c r="K3460" i="1"/>
  <c r="E3460" i="1"/>
  <c r="B3460" i="1"/>
  <c r="U3459" i="1"/>
  <c r="K3459" i="1"/>
  <c r="E3459" i="1"/>
  <c r="B3459" i="1"/>
  <c r="U3458" i="1"/>
  <c r="K3458" i="1"/>
  <c r="E3458" i="1"/>
  <c r="B3458" i="1"/>
  <c r="U3457" i="1"/>
  <c r="K3457" i="1"/>
  <c r="E3457" i="1"/>
  <c r="B3457" i="1"/>
  <c r="U3456" i="1"/>
  <c r="K3456" i="1"/>
  <c r="E3456" i="1"/>
  <c r="B3456" i="1"/>
  <c r="U3455" i="1"/>
  <c r="K3455" i="1"/>
  <c r="E3455" i="1"/>
  <c r="B3455" i="1"/>
  <c r="U3454" i="1"/>
  <c r="K3454" i="1"/>
  <c r="E3454" i="1"/>
  <c r="B3454" i="1"/>
  <c r="U3453" i="1"/>
  <c r="K3453" i="1"/>
  <c r="E3453" i="1"/>
  <c r="B3453" i="1"/>
  <c r="U3452" i="1"/>
  <c r="K3452" i="1"/>
  <c r="E3452" i="1"/>
  <c r="B3452" i="1"/>
  <c r="U3451" i="1"/>
  <c r="K3451" i="1"/>
  <c r="E3451" i="1"/>
  <c r="B3451" i="1"/>
  <c r="U3450" i="1"/>
  <c r="K3450" i="1"/>
  <c r="E3450" i="1"/>
  <c r="B3450" i="1"/>
  <c r="U3449" i="1"/>
  <c r="K3449" i="1"/>
  <c r="E3449" i="1"/>
  <c r="B3449" i="1"/>
  <c r="U3448" i="1"/>
  <c r="K3448" i="1"/>
  <c r="E3448" i="1"/>
  <c r="B3448" i="1"/>
  <c r="U3447" i="1"/>
  <c r="K3447" i="1"/>
  <c r="E3447" i="1"/>
  <c r="B3447" i="1"/>
  <c r="U3446" i="1"/>
  <c r="K3446" i="1"/>
  <c r="E3446" i="1"/>
  <c r="B3446" i="1"/>
  <c r="U3445" i="1"/>
  <c r="K3445" i="1"/>
  <c r="E3445" i="1"/>
  <c r="B3445" i="1"/>
  <c r="U3444" i="1"/>
  <c r="K3444" i="1"/>
  <c r="E3444" i="1"/>
  <c r="B3444" i="1"/>
  <c r="U3443" i="1"/>
  <c r="K3443" i="1"/>
  <c r="E3443" i="1"/>
  <c r="B3443" i="1"/>
  <c r="U3442" i="1"/>
  <c r="K3442" i="1"/>
  <c r="E3442" i="1"/>
  <c r="B3442" i="1"/>
  <c r="U3441" i="1"/>
  <c r="K3441" i="1"/>
  <c r="E3441" i="1"/>
  <c r="B3441" i="1"/>
  <c r="U3440" i="1"/>
  <c r="K3440" i="1"/>
  <c r="E3440" i="1"/>
  <c r="B3440" i="1"/>
  <c r="U3439" i="1"/>
  <c r="K3439" i="1"/>
  <c r="E3439" i="1"/>
  <c r="B3439" i="1"/>
  <c r="U3438" i="1"/>
  <c r="K3438" i="1"/>
  <c r="E3438" i="1"/>
  <c r="B3438" i="1"/>
  <c r="U3437" i="1"/>
  <c r="K3437" i="1"/>
  <c r="E3437" i="1"/>
  <c r="B3437" i="1"/>
  <c r="U3436" i="1"/>
  <c r="K3436" i="1"/>
  <c r="E3436" i="1"/>
  <c r="B3436" i="1"/>
  <c r="U3435" i="1"/>
  <c r="K3435" i="1"/>
  <c r="E3435" i="1"/>
  <c r="B3435" i="1"/>
  <c r="U3434" i="1"/>
  <c r="K3434" i="1"/>
  <c r="E3434" i="1"/>
  <c r="B3434" i="1"/>
  <c r="U3433" i="1"/>
  <c r="K3433" i="1"/>
  <c r="E3433" i="1"/>
  <c r="B3433" i="1"/>
  <c r="U3432" i="1"/>
  <c r="K3432" i="1"/>
  <c r="E3432" i="1"/>
  <c r="B3432" i="1"/>
  <c r="U3431" i="1"/>
  <c r="K3431" i="1"/>
  <c r="E3431" i="1"/>
  <c r="B3431" i="1"/>
  <c r="U3430" i="1"/>
  <c r="K3430" i="1"/>
  <c r="E3430" i="1"/>
  <c r="B3430" i="1"/>
  <c r="U3429" i="1"/>
  <c r="K3429" i="1"/>
  <c r="E3429" i="1"/>
  <c r="B3429" i="1"/>
  <c r="U3428" i="1"/>
  <c r="K3428" i="1"/>
  <c r="E3428" i="1"/>
  <c r="B3428" i="1"/>
  <c r="U3427" i="1"/>
  <c r="K3427" i="1"/>
  <c r="E3427" i="1"/>
  <c r="B3427" i="1"/>
  <c r="U3426" i="1"/>
  <c r="K3426" i="1"/>
  <c r="E3426" i="1"/>
  <c r="B3426" i="1"/>
  <c r="U3425" i="1"/>
  <c r="K3425" i="1"/>
  <c r="E3425" i="1"/>
  <c r="B3425" i="1"/>
  <c r="U3424" i="1"/>
  <c r="K3424" i="1"/>
  <c r="E3424" i="1"/>
  <c r="B3424" i="1"/>
  <c r="U3423" i="1"/>
  <c r="K3423" i="1"/>
  <c r="E3423" i="1"/>
  <c r="B3423" i="1"/>
  <c r="U3422" i="1"/>
  <c r="K3422" i="1"/>
  <c r="E3422" i="1"/>
  <c r="B3422" i="1"/>
  <c r="U3421" i="1"/>
  <c r="K3421" i="1"/>
  <c r="E3421" i="1"/>
  <c r="B3421" i="1"/>
  <c r="U3420" i="1"/>
  <c r="K3420" i="1"/>
  <c r="E3420" i="1"/>
  <c r="B3420" i="1"/>
  <c r="U3419" i="1"/>
  <c r="K3419" i="1"/>
  <c r="E3419" i="1"/>
  <c r="B3419" i="1"/>
  <c r="U3418" i="1"/>
  <c r="K3418" i="1"/>
  <c r="E3418" i="1"/>
  <c r="B3418" i="1"/>
  <c r="U3417" i="1"/>
  <c r="K3417" i="1"/>
  <c r="E3417" i="1"/>
  <c r="B3417" i="1"/>
  <c r="U3416" i="1"/>
  <c r="K3416" i="1"/>
  <c r="E3416" i="1"/>
  <c r="B3416" i="1"/>
  <c r="K3415" i="1"/>
  <c r="E3415" i="1"/>
  <c r="B3415" i="1"/>
  <c r="U3414" i="1"/>
  <c r="K3414" i="1"/>
  <c r="E3414" i="1"/>
  <c r="B3414" i="1"/>
  <c r="U3413" i="1"/>
  <c r="K3413" i="1"/>
  <c r="E3413" i="1"/>
  <c r="B3413" i="1"/>
  <c r="U3412" i="1"/>
  <c r="K3412" i="1"/>
  <c r="E3412" i="1"/>
  <c r="B3412" i="1"/>
  <c r="U3411" i="1"/>
  <c r="K3411" i="1"/>
  <c r="E3411" i="1"/>
  <c r="B3411" i="1"/>
  <c r="U3410" i="1"/>
  <c r="K3410" i="1"/>
  <c r="E3410" i="1"/>
  <c r="B3410" i="1"/>
  <c r="U3409" i="1"/>
  <c r="K3409" i="1"/>
  <c r="E3409" i="1"/>
  <c r="B3409" i="1"/>
  <c r="U3408" i="1"/>
  <c r="K3408" i="1"/>
  <c r="E3408" i="1"/>
  <c r="B3408" i="1"/>
  <c r="U3407" i="1"/>
  <c r="K3407" i="1"/>
  <c r="E3407" i="1"/>
  <c r="B3407" i="1"/>
  <c r="U3406" i="1"/>
  <c r="K3406" i="1"/>
  <c r="E3406" i="1"/>
  <c r="B3406" i="1"/>
  <c r="U3405" i="1"/>
  <c r="K3405" i="1"/>
  <c r="E3405" i="1"/>
  <c r="B3405" i="1"/>
  <c r="U3404" i="1"/>
  <c r="K3404" i="1"/>
  <c r="E3404" i="1"/>
  <c r="B3404" i="1"/>
  <c r="U3403" i="1"/>
  <c r="K3403" i="1"/>
  <c r="E3403" i="1"/>
  <c r="B3403" i="1"/>
  <c r="U3402" i="1"/>
  <c r="K3402" i="1"/>
  <c r="E3402" i="1"/>
  <c r="B3402" i="1"/>
  <c r="U3401" i="1"/>
  <c r="K3401" i="1"/>
  <c r="E3401" i="1"/>
  <c r="B3401" i="1"/>
  <c r="U3400" i="1"/>
  <c r="K3400" i="1"/>
  <c r="E3400" i="1"/>
  <c r="B3400" i="1"/>
  <c r="U3399" i="1"/>
  <c r="K3399" i="1"/>
  <c r="E3399" i="1"/>
  <c r="B3399" i="1"/>
  <c r="U3398" i="1"/>
  <c r="K3398" i="1"/>
  <c r="E3398" i="1"/>
  <c r="B3398" i="1"/>
  <c r="U3397" i="1"/>
  <c r="K3397" i="1"/>
  <c r="E3397" i="1"/>
  <c r="B3397" i="1"/>
  <c r="U3396" i="1"/>
  <c r="K3396" i="1"/>
  <c r="E3396" i="1"/>
  <c r="B3396" i="1"/>
  <c r="U3395" i="1"/>
  <c r="K3395" i="1"/>
  <c r="E3395" i="1"/>
  <c r="B3395" i="1"/>
  <c r="U3394" i="1"/>
  <c r="K3394" i="1"/>
  <c r="E3394" i="1"/>
  <c r="B3394" i="1"/>
  <c r="U3393" i="1"/>
  <c r="K3393" i="1"/>
  <c r="E3393" i="1"/>
  <c r="B3393" i="1"/>
  <c r="U3392" i="1"/>
  <c r="K3392" i="1"/>
  <c r="E3392" i="1"/>
  <c r="B3392" i="1"/>
  <c r="U3391" i="1"/>
  <c r="K3391" i="1"/>
  <c r="E3391" i="1"/>
  <c r="B3391" i="1"/>
  <c r="U3390" i="1"/>
  <c r="K3390" i="1"/>
  <c r="E3390" i="1"/>
  <c r="B3390" i="1"/>
  <c r="U3389" i="1"/>
  <c r="K3389" i="1"/>
  <c r="E3389" i="1"/>
  <c r="B3389" i="1"/>
  <c r="U3388" i="1"/>
  <c r="K3388" i="1"/>
  <c r="E3388" i="1"/>
  <c r="B3388" i="1"/>
  <c r="U3387" i="1"/>
  <c r="K3387" i="1"/>
  <c r="E3387" i="1"/>
  <c r="B3387" i="1"/>
  <c r="U3386" i="1"/>
  <c r="K3386" i="1"/>
  <c r="E3386" i="1"/>
  <c r="B3386" i="1"/>
  <c r="U3385" i="1"/>
  <c r="K3385" i="1"/>
  <c r="E3385" i="1"/>
  <c r="B3385" i="1"/>
  <c r="U3384" i="1"/>
  <c r="K3384" i="1"/>
  <c r="E3384" i="1"/>
  <c r="B3384" i="1"/>
  <c r="U3383" i="1"/>
  <c r="K3383" i="1"/>
  <c r="E3383" i="1"/>
  <c r="B3383" i="1"/>
  <c r="U3382" i="1"/>
  <c r="K3382" i="1"/>
  <c r="E3382" i="1"/>
  <c r="B3382" i="1"/>
  <c r="U3381" i="1"/>
  <c r="K3381" i="1"/>
  <c r="E3381" i="1"/>
  <c r="B3381" i="1"/>
  <c r="U3380" i="1"/>
  <c r="K3380" i="1"/>
  <c r="E3380" i="1"/>
  <c r="B3380" i="1"/>
  <c r="U3379" i="1"/>
  <c r="K3379" i="1"/>
  <c r="E3379" i="1"/>
  <c r="B3379" i="1"/>
  <c r="U3378" i="1"/>
  <c r="K3378" i="1"/>
  <c r="E3378" i="1"/>
  <c r="B3378" i="1"/>
  <c r="U3377" i="1"/>
  <c r="K3377" i="1"/>
  <c r="E3377" i="1"/>
  <c r="B3377" i="1"/>
  <c r="U3376" i="1"/>
  <c r="K3376" i="1"/>
  <c r="E3376" i="1"/>
  <c r="B3376" i="1"/>
  <c r="U3375" i="1"/>
  <c r="K3375" i="1"/>
  <c r="E3375" i="1"/>
  <c r="B3375" i="1"/>
  <c r="K3374" i="1"/>
  <c r="E3374" i="1"/>
  <c r="B3374" i="1"/>
  <c r="U3373" i="1"/>
  <c r="K3373" i="1"/>
  <c r="E3373" i="1"/>
  <c r="B3373" i="1"/>
  <c r="U3372" i="1"/>
  <c r="K3372" i="1"/>
  <c r="E3372" i="1"/>
  <c r="B3372" i="1"/>
  <c r="U3371" i="1"/>
  <c r="K3371" i="1"/>
  <c r="E3371" i="1"/>
  <c r="B3371" i="1"/>
  <c r="U3370" i="1"/>
  <c r="K3370" i="1"/>
  <c r="E3370" i="1"/>
  <c r="B3370" i="1"/>
  <c r="U3369" i="1"/>
  <c r="K3369" i="1"/>
  <c r="E3369" i="1"/>
  <c r="B3369" i="1"/>
  <c r="U3368" i="1"/>
  <c r="K3368" i="1"/>
  <c r="E3368" i="1"/>
  <c r="B3368" i="1"/>
  <c r="U3367" i="1"/>
  <c r="K3367" i="1"/>
  <c r="E3367" i="1"/>
  <c r="B3367" i="1"/>
  <c r="U3366" i="1"/>
  <c r="K3366" i="1"/>
  <c r="E3366" i="1"/>
  <c r="B3366" i="1"/>
  <c r="U3365" i="1"/>
  <c r="K3365" i="1"/>
  <c r="E3365" i="1"/>
  <c r="B3365" i="1"/>
  <c r="U3364" i="1"/>
  <c r="K3364" i="1"/>
  <c r="E3364" i="1"/>
  <c r="B3364" i="1"/>
  <c r="U3363" i="1"/>
  <c r="K3363" i="1"/>
  <c r="E3363" i="1"/>
  <c r="B3363" i="1"/>
  <c r="U3362" i="1"/>
  <c r="K3362" i="1"/>
  <c r="E3362" i="1"/>
  <c r="B3362" i="1"/>
  <c r="U3361" i="1"/>
  <c r="K3361" i="1"/>
  <c r="E3361" i="1"/>
  <c r="B3361" i="1"/>
  <c r="U3360" i="1"/>
  <c r="K3360" i="1"/>
  <c r="E3360" i="1"/>
  <c r="B3360" i="1"/>
  <c r="U3359" i="1"/>
  <c r="K3359" i="1"/>
  <c r="E3359" i="1"/>
  <c r="B3359" i="1"/>
  <c r="U3358" i="1"/>
  <c r="K3358" i="1"/>
  <c r="E3358" i="1"/>
  <c r="B3358" i="1"/>
  <c r="U3357" i="1"/>
  <c r="K3357" i="1"/>
  <c r="E3357" i="1"/>
  <c r="B3357" i="1"/>
  <c r="U3356" i="1"/>
  <c r="K3356" i="1"/>
  <c r="E3356" i="1"/>
  <c r="B3356" i="1"/>
  <c r="U3355" i="1"/>
  <c r="K3355" i="1"/>
  <c r="E3355" i="1"/>
  <c r="B3355" i="1"/>
  <c r="U3354" i="1"/>
  <c r="K3354" i="1"/>
  <c r="E3354" i="1"/>
  <c r="B3354" i="1"/>
  <c r="U3353" i="1"/>
  <c r="K3353" i="1"/>
  <c r="E3353" i="1"/>
  <c r="B3353" i="1"/>
  <c r="U3352" i="1"/>
  <c r="K3352" i="1"/>
  <c r="E3352" i="1"/>
  <c r="B3352" i="1"/>
  <c r="U3351" i="1"/>
  <c r="K3351" i="1"/>
  <c r="E3351" i="1"/>
  <c r="B3351" i="1"/>
  <c r="U3350" i="1"/>
  <c r="K3350" i="1"/>
  <c r="E3350" i="1"/>
  <c r="B3350" i="1"/>
  <c r="U3349" i="1"/>
  <c r="K3349" i="1"/>
  <c r="E3349" i="1"/>
  <c r="B3349" i="1"/>
  <c r="U3348" i="1"/>
  <c r="K3348" i="1"/>
  <c r="E3348" i="1"/>
  <c r="B3348" i="1"/>
  <c r="U3347" i="1"/>
  <c r="K3347" i="1"/>
  <c r="E3347" i="1"/>
  <c r="B3347" i="1"/>
  <c r="U3346" i="1"/>
  <c r="K3346" i="1"/>
  <c r="E3346" i="1"/>
  <c r="B3346" i="1"/>
  <c r="U3345" i="1"/>
  <c r="K3345" i="1"/>
  <c r="E3345" i="1"/>
  <c r="B3345" i="1"/>
  <c r="U3344" i="1"/>
  <c r="K3344" i="1"/>
  <c r="E3344" i="1"/>
  <c r="B3344" i="1"/>
  <c r="U3343" i="1"/>
  <c r="K3343" i="1"/>
  <c r="E3343" i="1"/>
  <c r="B3343" i="1"/>
  <c r="U3342" i="1"/>
  <c r="K3342" i="1"/>
  <c r="E3342" i="1"/>
  <c r="B3342" i="1"/>
  <c r="U3341" i="1"/>
  <c r="K3341" i="1"/>
  <c r="E3341" i="1"/>
  <c r="B3341" i="1"/>
  <c r="U3340" i="1"/>
  <c r="K3340" i="1"/>
  <c r="E3340" i="1"/>
  <c r="B3340" i="1"/>
  <c r="U3339" i="1"/>
  <c r="K3339" i="1"/>
  <c r="E3339" i="1"/>
  <c r="B3339" i="1"/>
  <c r="U3338" i="1"/>
  <c r="K3338" i="1"/>
  <c r="E3338" i="1"/>
  <c r="B3338" i="1"/>
  <c r="U3337" i="1"/>
  <c r="K3337" i="1"/>
  <c r="E3337" i="1"/>
  <c r="B3337" i="1"/>
  <c r="U3336" i="1"/>
  <c r="K3336" i="1"/>
  <c r="E3336" i="1"/>
  <c r="B3336" i="1"/>
  <c r="U3335" i="1"/>
  <c r="K3335" i="1"/>
  <c r="E3335" i="1"/>
  <c r="B3335" i="1"/>
  <c r="U3334" i="1"/>
  <c r="K3334" i="1"/>
  <c r="E3334" i="1"/>
  <c r="B3334" i="1"/>
  <c r="U3333" i="1"/>
  <c r="K3333" i="1"/>
  <c r="E3333" i="1"/>
  <c r="B3333" i="1"/>
  <c r="U3332" i="1"/>
  <c r="K3332" i="1"/>
  <c r="E3332" i="1"/>
  <c r="B3332" i="1"/>
  <c r="U3331" i="1"/>
  <c r="K3331" i="1"/>
  <c r="E3331" i="1"/>
  <c r="B3331" i="1"/>
  <c r="U3330" i="1"/>
  <c r="K3330" i="1"/>
  <c r="E3330" i="1"/>
  <c r="B3330" i="1"/>
  <c r="U3329" i="1"/>
  <c r="K3329" i="1"/>
  <c r="E3329" i="1"/>
  <c r="B3329" i="1"/>
  <c r="U3328" i="1"/>
  <c r="K3328" i="1"/>
  <c r="E3328" i="1"/>
  <c r="B3328" i="1"/>
  <c r="U3327" i="1"/>
  <c r="K3327" i="1"/>
  <c r="E3327" i="1"/>
  <c r="B3327" i="1"/>
  <c r="U3326" i="1"/>
  <c r="K3326" i="1"/>
  <c r="E3326" i="1"/>
  <c r="B3326" i="1"/>
  <c r="U3325" i="1"/>
  <c r="K3325" i="1"/>
  <c r="E3325" i="1"/>
  <c r="B3325" i="1"/>
  <c r="U3324" i="1"/>
  <c r="K3324" i="1"/>
  <c r="E3324" i="1"/>
  <c r="B3324" i="1"/>
  <c r="U3323" i="1"/>
  <c r="K3323" i="1"/>
  <c r="E3323" i="1"/>
  <c r="B3323" i="1"/>
  <c r="U3322" i="1"/>
  <c r="K3322" i="1"/>
  <c r="E3322" i="1"/>
  <c r="B3322" i="1"/>
  <c r="U3321" i="1"/>
  <c r="K3321" i="1"/>
  <c r="E3321" i="1"/>
  <c r="B3321" i="1"/>
  <c r="U3320" i="1"/>
  <c r="K3320" i="1"/>
  <c r="E3320" i="1"/>
  <c r="B3320" i="1"/>
  <c r="U3319" i="1"/>
  <c r="K3319" i="1"/>
  <c r="E3319" i="1"/>
  <c r="B3319" i="1"/>
  <c r="U3318" i="1"/>
  <c r="K3318" i="1"/>
  <c r="E3318" i="1"/>
  <c r="B3318" i="1"/>
  <c r="U3317" i="1"/>
  <c r="K3317" i="1"/>
  <c r="E3317" i="1"/>
  <c r="B3317" i="1"/>
  <c r="U3316" i="1"/>
  <c r="K3316" i="1"/>
  <c r="E3316" i="1"/>
  <c r="B3316" i="1"/>
  <c r="U3315" i="1"/>
  <c r="K3315" i="1"/>
  <c r="E3315" i="1"/>
  <c r="B3315" i="1"/>
  <c r="U3314" i="1"/>
  <c r="K3314" i="1"/>
  <c r="E3314" i="1"/>
  <c r="B3314" i="1"/>
  <c r="U3313" i="1"/>
  <c r="K3313" i="1"/>
  <c r="E3313" i="1"/>
  <c r="B3313" i="1"/>
  <c r="U3312" i="1"/>
  <c r="K3312" i="1"/>
  <c r="E3312" i="1"/>
  <c r="B3312" i="1"/>
  <c r="U3311" i="1"/>
  <c r="K3311" i="1"/>
  <c r="E3311" i="1"/>
  <c r="B3311" i="1"/>
  <c r="U3310" i="1"/>
  <c r="K3310" i="1"/>
  <c r="E3310" i="1"/>
  <c r="B3310" i="1"/>
  <c r="U3309" i="1"/>
  <c r="K3309" i="1"/>
  <c r="E3309" i="1"/>
  <c r="B3309" i="1"/>
  <c r="U3308" i="1"/>
  <c r="K3308" i="1"/>
  <c r="E3308" i="1"/>
  <c r="B3308" i="1"/>
  <c r="U3307" i="1"/>
  <c r="K3307" i="1"/>
  <c r="E3307" i="1"/>
  <c r="B3307" i="1"/>
  <c r="U3306" i="1"/>
  <c r="K3306" i="1"/>
  <c r="E3306" i="1"/>
  <c r="B3306" i="1"/>
  <c r="U3305" i="1"/>
  <c r="K3305" i="1"/>
  <c r="E3305" i="1"/>
  <c r="B3305" i="1"/>
  <c r="U3304" i="1"/>
  <c r="K3304" i="1"/>
  <c r="E3304" i="1"/>
  <c r="B3304" i="1"/>
  <c r="U3303" i="1"/>
  <c r="K3303" i="1"/>
  <c r="E3303" i="1"/>
  <c r="B3303" i="1"/>
  <c r="U3302" i="1"/>
  <c r="K3302" i="1"/>
  <c r="E3302" i="1"/>
  <c r="B3302" i="1"/>
  <c r="U3301" i="1"/>
  <c r="K3301" i="1"/>
  <c r="E3301" i="1"/>
  <c r="B3301" i="1"/>
  <c r="U3300" i="1"/>
  <c r="K3300" i="1"/>
  <c r="E3300" i="1"/>
  <c r="B3300" i="1"/>
  <c r="U3299" i="1"/>
  <c r="K3299" i="1"/>
  <c r="E3299" i="1"/>
  <c r="B3299" i="1"/>
  <c r="U3298" i="1"/>
  <c r="K3298" i="1"/>
  <c r="E3298" i="1"/>
  <c r="B3298" i="1"/>
  <c r="U3297" i="1"/>
  <c r="K3297" i="1"/>
  <c r="E3297" i="1"/>
  <c r="B3297" i="1"/>
  <c r="U3296" i="1"/>
  <c r="K3296" i="1"/>
  <c r="E3296" i="1"/>
  <c r="B3296" i="1"/>
  <c r="U3295" i="1"/>
  <c r="K3295" i="1"/>
  <c r="E3295" i="1"/>
  <c r="B3295" i="1"/>
  <c r="U3294" i="1"/>
  <c r="K3294" i="1"/>
  <c r="E3294" i="1"/>
  <c r="B3294" i="1"/>
  <c r="K3293" i="1"/>
  <c r="E3293" i="1"/>
  <c r="B3293" i="1"/>
  <c r="U3292" i="1"/>
  <c r="K3292" i="1"/>
  <c r="E3292" i="1"/>
  <c r="B3292" i="1"/>
  <c r="U3291" i="1"/>
  <c r="K3291" i="1"/>
  <c r="E3291" i="1"/>
  <c r="B3291" i="1"/>
  <c r="U3290" i="1"/>
  <c r="K3290" i="1"/>
  <c r="E3290" i="1"/>
  <c r="B3290" i="1"/>
  <c r="U3289" i="1"/>
  <c r="K3289" i="1"/>
  <c r="E3289" i="1"/>
  <c r="B3289" i="1"/>
  <c r="U3288" i="1"/>
  <c r="K3288" i="1"/>
  <c r="E3288" i="1"/>
  <c r="B3288" i="1"/>
  <c r="U3287" i="1"/>
  <c r="K3287" i="1"/>
  <c r="E3287" i="1"/>
  <c r="B3287" i="1"/>
  <c r="U3286" i="1"/>
  <c r="K3286" i="1"/>
  <c r="E3286" i="1"/>
  <c r="B3286" i="1"/>
  <c r="U3285" i="1"/>
  <c r="K3285" i="1"/>
  <c r="E3285" i="1"/>
  <c r="B3285" i="1"/>
  <c r="U3284" i="1"/>
  <c r="K3284" i="1"/>
  <c r="E3284" i="1"/>
  <c r="B3284" i="1"/>
  <c r="K3283" i="1"/>
  <c r="E3283" i="1"/>
  <c r="B3283" i="1"/>
  <c r="U3282" i="1"/>
  <c r="K3282" i="1"/>
  <c r="E3282" i="1"/>
  <c r="B3282" i="1"/>
  <c r="U3281" i="1"/>
  <c r="K3281" i="1"/>
  <c r="E3281" i="1"/>
  <c r="B3281" i="1"/>
  <c r="U3280" i="1"/>
  <c r="K3280" i="1"/>
  <c r="E3280" i="1"/>
  <c r="B3280" i="1"/>
  <c r="U3279" i="1"/>
  <c r="K3279" i="1"/>
  <c r="E3279" i="1"/>
  <c r="B3279" i="1"/>
  <c r="U3278" i="1"/>
  <c r="K3278" i="1"/>
  <c r="E3278" i="1"/>
  <c r="B3278" i="1"/>
  <c r="U3277" i="1"/>
  <c r="K3277" i="1"/>
  <c r="E3277" i="1"/>
  <c r="B3277" i="1"/>
  <c r="U3276" i="1"/>
  <c r="K3276" i="1"/>
  <c r="E3276" i="1"/>
  <c r="B3276" i="1"/>
  <c r="K3275" i="1"/>
  <c r="E3275" i="1"/>
  <c r="B3275" i="1"/>
  <c r="U3274" i="1"/>
  <c r="K3274" i="1"/>
  <c r="E3274" i="1"/>
  <c r="B3274" i="1"/>
  <c r="U3273" i="1"/>
  <c r="K3273" i="1"/>
  <c r="E3273" i="1"/>
  <c r="B3273" i="1"/>
  <c r="U3272" i="1"/>
  <c r="K3272" i="1"/>
  <c r="E3272" i="1"/>
  <c r="B3272" i="1"/>
  <c r="U3271" i="1"/>
  <c r="K3271" i="1"/>
  <c r="E3271" i="1"/>
  <c r="B3271" i="1"/>
  <c r="U3270" i="1"/>
  <c r="K3270" i="1"/>
  <c r="E3270" i="1"/>
  <c r="B3270" i="1"/>
  <c r="U3269" i="1"/>
  <c r="K3269" i="1"/>
  <c r="E3269" i="1"/>
  <c r="B3269" i="1"/>
  <c r="U3268" i="1"/>
  <c r="K3268" i="1"/>
  <c r="E3268" i="1"/>
  <c r="B3268" i="1"/>
  <c r="U3267" i="1"/>
  <c r="K3267" i="1"/>
  <c r="E3267" i="1"/>
  <c r="B3267" i="1"/>
  <c r="U3266" i="1"/>
  <c r="K3266" i="1"/>
  <c r="E3266" i="1"/>
  <c r="B3266" i="1"/>
  <c r="U3265" i="1"/>
  <c r="K3265" i="1"/>
  <c r="E3265" i="1"/>
  <c r="B3265" i="1"/>
  <c r="U3264" i="1"/>
  <c r="K3264" i="1"/>
  <c r="E3264" i="1"/>
  <c r="B3264" i="1"/>
  <c r="U3263" i="1"/>
  <c r="K3263" i="1"/>
  <c r="E3263" i="1"/>
  <c r="B3263" i="1"/>
  <c r="U3262" i="1"/>
  <c r="K3262" i="1"/>
  <c r="E3262" i="1"/>
  <c r="B3262" i="1"/>
  <c r="U3261" i="1"/>
  <c r="K3261" i="1"/>
  <c r="E3261" i="1"/>
  <c r="B3261" i="1"/>
  <c r="U3260" i="1"/>
  <c r="K3260" i="1"/>
  <c r="E3260" i="1"/>
  <c r="B3260" i="1"/>
  <c r="U3259" i="1"/>
  <c r="K3259" i="1"/>
  <c r="E3259" i="1"/>
  <c r="B3259" i="1"/>
  <c r="U3258" i="1"/>
  <c r="K3258" i="1"/>
  <c r="E3258" i="1"/>
  <c r="B3258" i="1"/>
  <c r="U3257" i="1"/>
  <c r="K3257" i="1"/>
  <c r="E3257" i="1"/>
  <c r="B3257" i="1"/>
  <c r="U3256" i="1"/>
  <c r="K3256" i="1"/>
  <c r="E3256" i="1"/>
  <c r="B3256" i="1"/>
  <c r="U3255" i="1"/>
  <c r="K3255" i="1"/>
  <c r="E3255" i="1"/>
  <c r="B3255" i="1"/>
  <c r="U3254" i="1"/>
  <c r="K3254" i="1"/>
  <c r="E3254" i="1"/>
  <c r="B3254" i="1"/>
  <c r="U3253" i="1"/>
  <c r="K3253" i="1"/>
  <c r="E3253" i="1"/>
  <c r="B3253" i="1"/>
  <c r="U3252" i="1"/>
  <c r="K3252" i="1"/>
  <c r="E3252" i="1"/>
  <c r="B3252" i="1"/>
  <c r="U3251" i="1"/>
  <c r="K3251" i="1"/>
  <c r="E3251" i="1"/>
  <c r="B3251" i="1"/>
  <c r="U3250" i="1"/>
  <c r="K3250" i="1"/>
  <c r="E3250" i="1"/>
  <c r="B3250" i="1"/>
  <c r="U3249" i="1"/>
  <c r="K3249" i="1"/>
  <c r="E3249" i="1"/>
  <c r="B3249" i="1"/>
  <c r="U3248" i="1"/>
  <c r="K3248" i="1"/>
  <c r="E3248" i="1"/>
  <c r="B3248" i="1"/>
  <c r="U3247" i="1"/>
  <c r="K3247" i="1"/>
  <c r="E3247" i="1"/>
  <c r="B3247" i="1"/>
  <c r="U3246" i="1"/>
  <c r="K3246" i="1"/>
  <c r="E3246" i="1"/>
  <c r="B3246" i="1"/>
  <c r="U3245" i="1"/>
  <c r="K3245" i="1"/>
  <c r="E3245" i="1"/>
  <c r="B3245" i="1"/>
  <c r="U3244" i="1"/>
  <c r="K3244" i="1"/>
  <c r="E3244" i="1"/>
  <c r="B3244" i="1"/>
  <c r="U3243" i="1"/>
  <c r="K3243" i="1"/>
  <c r="E3243" i="1"/>
  <c r="B3243" i="1"/>
  <c r="U3242" i="1"/>
  <c r="K3242" i="1"/>
  <c r="E3242" i="1"/>
  <c r="B3242" i="1"/>
  <c r="U3241" i="1"/>
  <c r="K3241" i="1"/>
  <c r="E3241" i="1"/>
  <c r="B3241" i="1"/>
  <c r="U3240" i="1"/>
  <c r="K3240" i="1"/>
  <c r="E3240" i="1"/>
  <c r="B3240" i="1"/>
  <c r="U3239" i="1"/>
  <c r="K3239" i="1"/>
  <c r="E3239" i="1"/>
  <c r="B3239" i="1"/>
  <c r="U3238" i="1"/>
  <c r="K3238" i="1"/>
  <c r="E3238" i="1"/>
  <c r="B3238" i="1"/>
  <c r="U3237" i="1"/>
  <c r="K3237" i="1"/>
  <c r="E3237" i="1"/>
  <c r="B3237" i="1"/>
  <c r="U3236" i="1"/>
  <c r="K3236" i="1"/>
  <c r="E3236" i="1"/>
  <c r="B3236" i="1"/>
  <c r="U3235" i="1"/>
  <c r="K3235" i="1"/>
  <c r="E3235" i="1"/>
  <c r="B3235" i="1"/>
  <c r="U3234" i="1"/>
  <c r="K3234" i="1"/>
  <c r="E3234" i="1"/>
  <c r="B3234" i="1"/>
  <c r="U3233" i="1"/>
  <c r="K3233" i="1"/>
  <c r="E3233" i="1"/>
  <c r="B3233" i="1"/>
  <c r="U3232" i="1"/>
  <c r="K3232" i="1"/>
  <c r="E3232" i="1"/>
  <c r="B3232" i="1"/>
  <c r="U3231" i="1"/>
  <c r="K3231" i="1"/>
  <c r="E3231" i="1"/>
  <c r="B3231" i="1"/>
  <c r="U3230" i="1"/>
  <c r="K3230" i="1"/>
  <c r="E3230" i="1"/>
  <c r="B3230" i="1"/>
  <c r="U3229" i="1"/>
  <c r="K3229" i="1"/>
  <c r="E3229" i="1"/>
  <c r="B3229" i="1"/>
  <c r="U3228" i="1"/>
  <c r="K3228" i="1"/>
  <c r="E3228" i="1"/>
  <c r="B3228" i="1"/>
  <c r="U3227" i="1"/>
  <c r="K3227" i="1"/>
  <c r="E3227" i="1"/>
  <c r="B3227" i="1"/>
  <c r="U3226" i="1"/>
  <c r="K3226" i="1"/>
  <c r="E3226" i="1"/>
  <c r="B3226" i="1"/>
  <c r="U3225" i="1"/>
  <c r="K3225" i="1"/>
  <c r="E3225" i="1"/>
  <c r="B3225" i="1"/>
  <c r="U3224" i="1"/>
  <c r="K3224" i="1"/>
  <c r="E3224" i="1"/>
  <c r="B3224" i="1"/>
  <c r="U3223" i="1"/>
  <c r="K3223" i="1"/>
  <c r="E3223" i="1"/>
  <c r="B3223" i="1"/>
  <c r="U3222" i="1"/>
  <c r="K3222" i="1"/>
  <c r="E3222" i="1"/>
  <c r="B3222" i="1"/>
  <c r="U3221" i="1"/>
  <c r="K3221" i="1"/>
  <c r="E3221" i="1"/>
  <c r="B3221" i="1"/>
  <c r="U3220" i="1"/>
  <c r="K3220" i="1"/>
  <c r="E3220" i="1"/>
  <c r="B3220" i="1"/>
  <c r="U3219" i="1"/>
  <c r="K3219" i="1"/>
  <c r="E3219" i="1"/>
  <c r="B3219" i="1"/>
  <c r="U3218" i="1"/>
  <c r="K3218" i="1"/>
  <c r="E3218" i="1"/>
  <c r="B3218" i="1"/>
  <c r="U3217" i="1"/>
  <c r="K3217" i="1"/>
  <c r="E3217" i="1"/>
  <c r="B3217" i="1"/>
  <c r="U3216" i="1"/>
  <c r="K3216" i="1"/>
  <c r="E3216" i="1"/>
  <c r="B3216" i="1"/>
  <c r="U3215" i="1"/>
  <c r="K3215" i="1"/>
  <c r="E3215" i="1"/>
  <c r="B3215" i="1"/>
  <c r="U3214" i="1"/>
  <c r="K3214" i="1"/>
  <c r="E3214" i="1"/>
  <c r="B3214" i="1"/>
  <c r="U3213" i="1"/>
  <c r="K3213" i="1"/>
  <c r="E3213" i="1"/>
  <c r="B3213" i="1"/>
  <c r="U3212" i="1"/>
  <c r="K3212" i="1"/>
  <c r="E3212" i="1"/>
  <c r="B3212" i="1"/>
  <c r="U3211" i="1"/>
  <c r="K3211" i="1"/>
  <c r="E3211" i="1"/>
  <c r="B3211" i="1"/>
  <c r="U3210" i="1"/>
  <c r="K3210" i="1"/>
  <c r="E3210" i="1"/>
  <c r="B3210" i="1"/>
  <c r="U3209" i="1"/>
  <c r="K3209" i="1"/>
  <c r="E3209" i="1"/>
  <c r="B3209" i="1"/>
  <c r="U3208" i="1"/>
  <c r="K3208" i="1"/>
  <c r="E3208" i="1"/>
  <c r="B3208" i="1"/>
  <c r="U3207" i="1"/>
  <c r="K3207" i="1"/>
  <c r="E3207" i="1"/>
  <c r="B3207" i="1"/>
  <c r="U3206" i="1"/>
  <c r="K3206" i="1"/>
  <c r="E3206" i="1"/>
  <c r="B3206" i="1"/>
  <c r="U3205" i="1"/>
  <c r="K3205" i="1"/>
  <c r="E3205" i="1"/>
  <c r="B3205" i="1"/>
  <c r="U3204" i="1"/>
  <c r="K3204" i="1"/>
  <c r="E3204" i="1"/>
  <c r="B3204" i="1"/>
  <c r="U3203" i="1"/>
  <c r="K3203" i="1"/>
  <c r="E3203" i="1"/>
  <c r="B3203" i="1"/>
  <c r="U3202" i="1"/>
  <c r="K3202" i="1"/>
  <c r="E3202" i="1"/>
  <c r="B3202" i="1"/>
  <c r="U3201" i="1"/>
  <c r="K3201" i="1"/>
  <c r="E3201" i="1"/>
  <c r="B3201" i="1"/>
  <c r="U3200" i="1"/>
  <c r="K3200" i="1"/>
  <c r="E3200" i="1"/>
  <c r="B3200" i="1"/>
  <c r="U3199" i="1"/>
  <c r="K3199" i="1"/>
  <c r="E3199" i="1"/>
  <c r="B3199" i="1"/>
  <c r="U3198" i="1"/>
  <c r="K3198" i="1"/>
  <c r="E3198" i="1"/>
  <c r="B3198" i="1"/>
  <c r="U3197" i="1"/>
  <c r="K3197" i="1"/>
  <c r="E3197" i="1"/>
  <c r="B3197" i="1"/>
  <c r="U3196" i="1"/>
  <c r="K3196" i="1"/>
  <c r="E3196" i="1"/>
  <c r="B3196" i="1"/>
  <c r="U3195" i="1"/>
  <c r="K3195" i="1"/>
  <c r="E3195" i="1"/>
  <c r="B3195" i="1"/>
  <c r="U3194" i="1"/>
  <c r="K3194" i="1"/>
  <c r="E3194" i="1"/>
  <c r="B3194" i="1"/>
  <c r="U3193" i="1"/>
  <c r="K3193" i="1"/>
  <c r="E3193" i="1"/>
  <c r="B3193" i="1"/>
  <c r="U3192" i="1"/>
  <c r="K3192" i="1"/>
  <c r="E3192" i="1"/>
  <c r="B3192" i="1"/>
  <c r="U3191" i="1"/>
  <c r="K3191" i="1"/>
  <c r="E3191" i="1"/>
  <c r="B3191" i="1"/>
  <c r="U3190" i="1"/>
  <c r="K3190" i="1"/>
  <c r="E3190" i="1"/>
  <c r="B3190" i="1"/>
  <c r="U3189" i="1"/>
  <c r="K3189" i="1"/>
  <c r="E3189" i="1"/>
  <c r="B3189" i="1"/>
  <c r="K3188" i="1"/>
  <c r="E3188" i="1"/>
  <c r="B3188" i="1"/>
  <c r="U3187" i="1"/>
  <c r="K3187" i="1"/>
  <c r="E3187" i="1"/>
  <c r="B3187" i="1"/>
  <c r="U3186" i="1"/>
  <c r="K3186" i="1"/>
  <c r="E3186" i="1"/>
  <c r="B3186" i="1"/>
  <c r="U3185" i="1"/>
  <c r="K3185" i="1"/>
  <c r="E3185" i="1"/>
  <c r="B3185" i="1"/>
  <c r="U3184" i="1"/>
  <c r="K3184" i="1"/>
  <c r="E3184" i="1"/>
  <c r="B3184" i="1"/>
  <c r="U3183" i="1"/>
  <c r="K3183" i="1"/>
  <c r="E3183" i="1"/>
  <c r="B3183" i="1"/>
  <c r="U3182" i="1"/>
  <c r="K3182" i="1"/>
  <c r="E3182" i="1"/>
  <c r="B3182" i="1"/>
  <c r="U3181" i="1"/>
  <c r="K3181" i="1"/>
  <c r="E3181" i="1"/>
  <c r="B3181" i="1"/>
  <c r="U3180" i="1"/>
  <c r="K3180" i="1"/>
  <c r="E3180" i="1"/>
  <c r="B3180" i="1"/>
  <c r="U3179" i="1"/>
  <c r="K3179" i="1"/>
  <c r="E3179" i="1"/>
  <c r="B3179" i="1"/>
  <c r="U3178" i="1"/>
  <c r="K3178" i="1"/>
  <c r="E3178" i="1"/>
  <c r="B3178" i="1"/>
  <c r="U3177" i="1"/>
  <c r="K3177" i="1"/>
  <c r="E3177" i="1"/>
  <c r="B3177" i="1"/>
  <c r="U3176" i="1"/>
  <c r="K3176" i="1"/>
  <c r="E3176" i="1"/>
  <c r="B3176" i="1"/>
  <c r="U3175" i="1"/>
  <c r="K3175" i="1"/>
  <c r="E3175" i="1"/>
  <c r="B3175" i="1"/>
  <c r="U3174" i="1"/>
  <c r="K3174" i="1"/>
  <c r="E3174" i="1"/>
  <c r="B3174" i="1"/>
  <c r="U3173" i="1"/>
  <c r="K3173" i="1"/>
  <c r="E3173" i="1"/>
  <c r="B3173" i="1"/>
  <c r="U3172" i="1"/>
  <c r="K3172" i="1"/>
  <c r="E3172" i="1"/>
  <c r="B3172" i="1"/>
  <c r="U3171" i="1"/>
  <c r="K3171" i="1"/>
  <c r="E3171" i="1"/>
  <c r="B3171" i="1"/>
  <c r="U3170" i="1"/>
  <c r="K3170" i="1"/>
  <c r="E3170" i="1"/>
  <c r="B3170" i="1"/>
  <c r="U3169" i="1"/>
  <c r="K3169" i="1"/>
  <c r="E3169" i="1"/>
  <c r="B3169" i="1"/>
  <c r="U3168" i="1"/>
  <c r="K3168" i="1"/>
  <c r="E3168" i="1"/>
  <c r="B3168" i="1"/>
  <c r="U3167" i="1"/>
  <c r="K3167" i="1"/>
  <c r="E3167" i="1"/>
  <c r="B3167" i="1"/>
  <c r="U3166" i="1"/>
  <c r="K3166" i="1"/>
  <c r="E3166" i="1"/>
  <c r="B3166" i="1"/>
  <c r="U3165" i="1"/>
  <c r="K3165" i="1"/>
  <c r="E3165" i="1"/>
  <c r="B3165" i="1"/>
  <c r="U3164" i="1"/>
  <c r="K3164" i="1"/>
  <c r="E3164" i="1"/>
  <c r="B3164" i="1"/>
  <c r="U3163" i="1"/>
  <c r="K3163" i="1"/>
  <c r="E3163" i="1"/>
  <c r="B3163" i="1"/>
  <c r="U3162" i="1"/>
  <c r="K3162" i="1"/>
  <c r="E3162" i="1"/>
  <c r="B3162" i="1"/>
  <c r="U3161" i="1"/>
  <c r="K3161" i="1"/>
  <c r="E3161" i="1"/>
  <c r="B3161" i="1"/>
  <c r="U3160" i="1"/>
  <c r="K3160" i="1"/>
  <c r="E3160" i="1"/>
  <c r="B3160" i="1"/>
  <c r="U3159" i="1"/>
  <c r="K3159" i="1"/>
  <c r="E3159" i="1"/>
  <c r="B3159" i="1"/>
  <c r="U3158" i="1"/>
  <c r="K3158" i="1"/>
  <c r="E3158" i="1"/>
  <c r="B3158" i="1"/>
  <c r="U3157" i="1"/>
  <c r="K3157" i="1"/>
  <c r="E3157" i="1"/>
  <c r="B3157" i="1"/>
  <c r="U3156" i="1"/>
  <c r="K3156" i="1"/>
  <c r="E3156" i="1"/>
  <c r="B3156" i="1"/>
  <c r="U3155" i="1"/>
  <c r="K3155" i="1"/>
  <c r="E3155" i="1"/>
  <c r="B3155" i="1"/>
  <c r="U3154" i="1"/>
  <c r="K3154" i="1"/>
  <c r="E3154" i="1"/>
  <c r="B3154" i="1"/>
  <c r="U3153" i="1"/>
  <c r="K3153" i="1"/>
  <c r="E3153" i="1"/>
  <c r="B3153" i="1"/>
  <c r="K3152" i="1"/>
  <c r="E3152" i="1"/>
  <c r="B3152" i="1"/>
  <c r="U3151" i="1"/>
  <c r="K3151" i="1"/>
  <c r="E3151" i="1"/>
  <c r="B3151" i="1"/>
  <c r="U3150" i="1"/>
  <c r="K3150" i="1"/>
  <c r="E3150" i="1"/>
  <c r="B3150" i="1"/>
  <c r="U3149" i="1"/>
  <c r="K3149" i="1"/>
  <c r="E3149" i="1"/>
  <c r="B3149" i="1"/>
  <c r="U3148" i="1"/>
  <c r="K3148" i="1"/>
  <c r="E3148" i="1"/>
  <c r="B3148" i="1"/>
  <c r="U3147" i="1"/>
  <c r="K3147" i="1"/>
  <c r="E3147" i="1"/>
  <c r="B3147" i="1"/>
  <c r="U3146" i="1"/>
  <c r="K3146" i="1"/>
  <c r="E3146" i="1"/>
  <c r="B3146" i="1"/>
  <c r="U3145" i="1"/>
  <c r="K3145" i="1"/>
  <c r="E3145" i="1"/>
  <c r="B3145" i="1"/>
  <c r="U3144" i="1"/>
  <c r="K3144" i="1"/>
  <c r="E3144" i="1"/>
  <c r="B3144" i="1"/>
  <c r="U3143" i="1"/>
  <c r="K3143" i="1"/>
  <c r="E3143" i="1"/>
  <c r="B3143" i="1"/>
  <c r="U3142" i="1"/>
  <c r="K3142" i="1"/>
  <c r="E3142" i="1"/>
  <c r="B3142" i="1"/>
  <c r="U3141" i="1"/>
  <c r="K3141" i="1"/>
  <c r="E3141" i="1"/>
  <c r="B3141" i="1"/>
  <c r="U3140" i="1"/>
  <c r="K3140" i="1"/>
  <c r="E3140" i="1"/>
  <c r="B3140" i="1"/>
  <c r="U3139" i="1"/>
  <c r="K3139" i="1"/>
  <c r="E3139" i="1"/>
  <c r="B3139" i="1"/>
  <c r="U3138" i="1"/>
  <c r="K3138" i="1"/>
  <c r="E3138" i="1"/>
  <c r="B3138" i="1"/>
  <c r="U3137" i="1"/>
  <c r="K3137" i="1"/>
  <c r="E3137" i="1"/>
  <c r="B3137" i="1"/>
  <c r="U3136" i="1"/>
  <c r="K3136" i="1"/>
  <c r="E3136" i="1"/>
  <c r="B3136" i="1"/>
  <c r="U3135" i="1"/>
  <c r="K3135" i="1"/>
  <c r="E3135" i="1"/>
  <c r="B3135" i="1"/>
  <c r="U3134" i="1"/>
  <c r="K3134" i="1"/>
  <c r="E3134" i="1"/>
  <c r="B3134" i="1"/>
  <c r="U3133" i="1"/>
  <c r="K3133" i="1"/>
  <c r="E3133" i="1"/>
  <c r="B3133" i="1"/>
  <c r="U3132" i="1"/>
  <c r="K3132" i="1"/>
  <c r="E3132" i="1"/>
  <c r="B3132" i="1"/>
  <c r="U3131" i="1"/>
  <c r="K3131" i="1"/>
  <c r="E3131" i="1"/>
  <c r="B3131" i="1"/>
  <c r="U3130" i="1"/>
  <c r="K3130" i="1"/>
  <c r="E3130" i="1"/>
  <c r="B3130" i="1"/>
  <c r="U3129" i="1"/>
  <c r="K3129" i="1"/>
  <c r="E3129" i="1"/>
  <c r="B3129" i="1"/>
  <c r="U3128" i="1"/>
  <c r="K3128" i="1"/>
  <c r="E3128" i="1"/>
  <c r="B3128" i="1"/>
  <c r="U3127" i="1"/>
  <c r="K3127" i="1"/>
  <c r="E3127" i="1"/>
  <c r="B3127" i="1"/>
  <c r="U3126" i="1"/>
  <c r="K3126" i="1"/>
  <c r="E3126" i="1"/>
  <c r="B3126" i="1"/>
  <c r="U3125" i="1"/>
  <c r="K3125" i="1"/>
  <c r="E3125" i="1"/>
  <c r="B3125" i="1"/>
  <c r="U3124" i="1"/>
  <c r="K3124" i="1"/>
  <c r="E3124" i="1"/>
  <c r="B3124" i="1"/>
  <c r="U3123" i="1"/>
  <c r="K3123" i="1"/>
  <c r="E3123" i="1"/>
  <c r="B3123" i="1"/>
  <c r="U3122" i="1"/>
  <c r="K3122" i="1"/>
  <c r="E3122" i="1"/>
  <c r="B3122" i="1"/>
  <c r="U3121" i="1"/>
  <c r="K3121" i="1"/>
  <c r="E3121" i="1"/>
  <c r="B3121" i="1"/>
  <c r="U3120" i="1"/>
  <c r="K3120" i="1"/>
  <c r="E3120" i="1"/>
  <c r="B3120" i="1"/>
  <c r="U3119" i="1"/>
  <c r="K3119" i="1"/>
  <c r="E3119" i="1"/>
  <c r="B3119" i="1"/>
  <c r="U3118" i="1"/>
  <c r="K3118" i="1"/>
  <c r="E3118" i="1"/>
  <c r="B3118" i="1"/>
  <c r="U3117" i="1"/>
  <c r="K3117" i="1"/>
  <c r="E3117" i="1"/>
  <c r="B3117" i="1"/>
  <c r="U3116" i="1"/>
  <c r="K3116" i="1"/>
  <c r="E3116" i="1"/>
  <c r="B3116" i="1"/>
  <c r="U3115" i="1"/>
  <c r="K3115" i="1"/>
  <c r="E3115" i="1"/>
  <c r="B3115" i="1"/>
  <c r="U3114" i="1"/>
  <c r="K3114" i="1"/>
  <c r="E3114" i="1"/>
  <c r="B3114" i="1"/>
  <c r="U3113" i="1"/>
  <c r="K3113" i="1"/>
  <c r="E3113" i="1"/>
  <c r="B3113" i="1"/>
  <c r="U3112" i="1"/>
  <c r="K3112" i="1"/>
  <c r="E3112" i="1"/>
  <c r="B3112" i="1"/>
  <c r="U3111" i="1"/>
  <c r="K3111" i="1"/>
  <c r="E3111" i="1"/>
  <c r="B3111" i="1"/>
  <c r="U3110" i="1"/>
  <c r="K3110" i="1"/>
  <c r="E3110" i="1"/>
  <c r="B3110" i="1"/>
  <c r="U3109" i="1"/>
  <c r="K3109" i="1"/>
  <c r="E3109" i="1"/>
  <c r="B3109" i="1"/>
  <c r="U3108" i="1"/>
  <c r="K3108" i="1"/>
  <c r="E3108" i="1"/>
  <c r="B3108" i="1"/>
  <c r="U3107" i="1"/>
  <c r="K3107" i="1"/>
  <c r="E3107" i="1"/>
  <c r="B3107" i="1"/>
  <c r="U3106" i="1"/>
  <c r="K3106" i="1"/>
  <c r="E3106" i="1"/>
  <c r="B3106" i="1"/>
  <c r="U3105" i="1"/>
  <c r="K3105" i="1"/>
  <c r="E3105" i="1"/>
  <c r="B3105" i="1"/>
  <c r="U3104" i="1"/>
  <c r="K3104" i="1"/>
  <c r="E3104" i="1"/>
  <c r="B3104" i="1"/>
  <c r="U3103" i="1"/>
  <c r="K3103" i="1"/>
  <c r="E3103" i="1"/>
  <c r="B3103" i="1"/>
  <c r="U3102" i="1"/>
  <c r="K3102" i="1"/>
  <c r="E3102" i="1"/>
  <c r="B3102" i="1"/>
  <c r="U3101" i="1"/>
  <c r="K3101" i="1"/>
  <c r="E3101" i="1"/>
  <c r="B3101" i="1"/>
  <c r="U3100" i="1"/>
  <c r="K3100" i="1"/>
  <c r="E3100" i="1"/>
  <c r="B3100" i="1"/>
  <c r="U3099" i="1"/>
  <c r="K3099" i="1"/>
  <c r="E3099" i="1"/>
  <c r="B3099" i="1"/>
  <c r="U3098" i="1"/>
  <c r="K3098" i="1"/>
  <c r="E3098" i="1"/>
  <c r="B3098" i="1"/>
  <c r="U3097" i="1"/>
  <c r="K3097" i="1"/>
  <c r="E3097" i="1"/>
  <c r="B3097" i="1"/>
  <c r="U3096" i="1"/>
  <c r="K3096" i="1"/>
  <c r="E3096" i="1"/>
  <c r="B3096" i="1"/>
  <c r="U3095" i="1"/>
  <c r="K3095" i="1"/>
  <c r="E3095" i="1"/>
  <c r="B3095" i="1"/>
  <c r="U3094" i="1"/>
  <c r="K3094" i="1"/>
  <c r="E3094" i="1"/>
  <c r="B3094" i="1"/>
  <c r="U3093" i="1"/>
  <c r="K3093" i="1"/>
  <c r="E3093" i="1"/>
  <c r="B3093" i="1"/>
  <c r="U3092" i="1"/>
  <c r="K3092" i="1"/>
  <c r="E3092" i="1"/>
  <c r="B3092" i="1"/>
  <c r="U3091" i="1"/>
  <c r="K3091" i="1"/>
  <c r="E3091" i="1"/>
  <c r="B3091" i="1"/>
  <c r="U3090" i="1"/>
  <c r="K3090" i="1"/>
  <c r="E3090" i="1"/>
  <c r="B3090" i="1"/>
  <c r="U3089" i="1"/>
  <c r="K3089" i="1"/>
  <c r="E3089" i="1"/>
  <c r="B3089" i="1"/>
  <c r="U3088" i="1"/>
  <c r="K3088" i="1"/>
  <c r="E3088" i="1"/>
  <c r="B3088" i="1"/>
  <c r="U3087" i="1"/>
  <c r="K3087" i="1"/>
  <c r="E3087" i="1"/>
  <c r="B3087" i="1"/>
  <c r="U3086" i="1"/>
  <c r="K3086" i="1"/>
  <c r="E3086" i="1"/>
  <c r="B3086" i="1"/>
  <c r="U3085" i="1"/>
  <c r="K3085" i="1"/>
  <c r="E3085" i="1"/>
  <c r="B3085" i="1"/>
  <c r="U3084" i="1"/>
  <c r="K3084" i="1"/>
  <c r="E3084" i="1"/>
  <c r="B3084" i="1"/>
  <c r="U3083" i="1"/>
  <c r="K3083" i="1"/>
  <c r="E3083" i="1"/>
  <c r="B3083" i="1"/>
  <c r="U3082" i="1"/>
  <c r="K3082" i="1"/>
  <c r="E3082" i="1"/>
  <c r="B3082" i="1"/>
  <c r="U3081" i="1"/>
  <c r="K3081" i="1"/>
  <c r="E3081" i="1"/>
  <c r="B3081" i="1"/>
  <c r="U3080" i="1"/>
  <c r="K3080" i="1"/>
  <c r="E3080" i="1"/>
  <c r="B3080" i="1"/>
  <c r="U3079" i="1"/>
  <c r="K3079" i="1"/>
  <c r="E3079" i="1"/>
  <c r="B3079" i="1"/>
  <c r="U3078" i="1"/>
  <c r="K3078" i="1"/>
  <c r="E3078" i="1"/>
  <c r="B3078" i="1"/>
  <c r="U3077" i="1"/>
  <c r="K3077" i="1"/>
  <c r="E3077" i="1"/>
  <c r="B3077" i="1"/>
  <c r="U3076" i="1"/>
  <c r="K3076" i="1"/>
  <c r="E3076" i="1"/>
  <c r="B3076" i="1"/>
  <c r="U3075" i="1"/>
  <c r="K3075" i="1"/>
  <c r="E3075" i="1"/>
  <c r="B3075" i="1"/>
  <c r="K3074" i="1"/>
  <c r="E3074" i="1"/>
  <c r="B3074" i="1"/>
  <c r="U3073" i="1"/>
  <c r="K3073" i="1"/>
  <c r="E3073" i="1"/>
  <c r="B3073" i="1"/>
  <c r="U3072" i="1"/>
  <c r="K3072" i="1"/>
  <c r="E3072" i="1"/>
  <c r="B3072" i="1"/>
  <c r="U3071" i="1"/>
  <c r="K3071" i="1"/>
  <c r="E3071" i="1"/>
  <c r="B3071" i="1"/>
  <c r="U3070" i="1"/>
  <c r="K3070" i="1"/>
  <c r="E3070" i="1"/>
  <c r="B3070" i="1"/>
  <c r="U3069" i="1"/>
  <c r="K3069" i="1"/>
  <c r="E3069" i="1"/>
  <c r="B3069" i="1"/>
  <c r="U3068" i="1"/>
  <c r="K3068" i="1"/>
  <c r="E3068" i="1"/>
  <c r="B3068" i="1"/>
  <c r="U3067" i="1"/>
  <c r="K3067" i="1"/>
  <c r="E3067" i="1"/>
  <c r="B3067" i="1"/>
  <c r="U3066" i="1"/>
  <c r="K3066" i="1"/>
  <c r="E3066" i="1"/>
  <c r="B3066" i="1"/>
  <c r="U3065" i="1"/>
  <c r="K3065" i="1"/>
  <c r="E3065" i="1"/>
  <c r="B3065" i="1"/>
  <c r="U3064" i="1"/>
  <c r="K3064" i="1"/>
  <c r="E3064" i="1"/>
  <c r="B3064" i="1"/>
  <c r="U3063" i="1"/>
  <c r="K3063" i="1"/>
  <c r="E3063" i="1"/>
  <c r="B3063" i="1"/>
  <c r="K3062" i="1"/>
  <c r="E3062" i="1"/>
  <c r="B3062" i="1"/>
  <c r="U3061" i="1"/>
  <c r="K3061" i="1"/>
  <c r="E3061" i="1"/>
  <c r="B3061" i="1"/>
  <c r="U3060" i="1"/>
  <c r="K3060" i="1"/>
  <c r="E3060" i="1"/>
  <c r="B3060" i="1"/>
  <c r="U3059" i="1"/>
  <c r="K3059" i="1"/>
  <c r="E3059" i="1"/>
  <c r="B3059" i="1"/>
  <c r="U3058" i="1"/>
  <c r="K3058" i="1"/>
  <c r="E3058" i="1"/>
  <c r="B3058" i="1"/>
  <c r="U3057" i="1"/>
  <c r="K3057" i="1"/>
  <c r="E3057" i="1"/>
  <c r="B3057" i="1"/>
  <c r="U3056" i="1"/>
  <c r="K3056" i="1"/>
  <c r="E3056" i="1"/>
  <c r="B3056" i="1"/>
  <c r="U3055" i="1"/>
  <c r="K3055" i="1"/>
  <c r="E3055" i="1"/>
  <c r="B3055" i="1"/>
  <c r="U3054" i="1"/>
  <c r="K3054" i="1"/>
  <c r="E3054" i="1"/>
  <c r="B3054" i="1"/>
  <c r="U3053" i="1"/>
  <c r="K3053" i="1"/>
  <c r="E3053" i="1"/>
  <c r="B3053" i="1"/>
  <c r="U3052" i="1"/>
  <c r="K3052" i="1"/>
  <c r="E3052" i="1"/>
  <c r="B3052" i="1"/>
  <c r="U3051" i="1"/>
  <c r="K3051" i="1"/>
  <c r="E3051" i="1"/>
  <c r="B3051" i="1"/>
  <c r="U3050" i="1"/>
  <c r="K3050" i="1"/>
  <c r="E3050" i="1"/>
  <c r="B3050" i="1"/>
  <c r="U3049" i="1"/>
  <c r="K3049" i="1"/>
  <c r="E3049" i="1"/>
  <c r="B3049" i="1"/>
  <c r="U3048" i="1"/>
  <c r="K3048" i="1"/>
  <c r="E3048" i="1"/>
  <c r="B3048" i="1"/>
  <c r="U3047" i="1"/>
  <c r="K3047" i="1"/>
  <c r="E3047" i="1"/>
  <c r="B3047" i="1"/>
  <c r="U3046" i="1"/>
  <c r="K3046" i="1"/>
  <c r="E3046" i="1"/>
  <c r="B3046" i="1"/>
  <c r="U3045" i="1"/>
  <c r="K3045" i="1"/>
  <c r="E3045" i="1"/>
  <c r="B3045" i="1"/>
  <c r="U3044" i="1"/>
  <c r="K3044" i="1"/>
  <c r="E3044" i="1"/>
  <c r="B3044" i="1"/>
  <c r="U3043" i="1"/>
  <c r="K3043" i="1"/>
  <c r="E3043" i="1"/>
  <c r="B3043" i="1"/>
  <c r="U3042" i="1"/>
  <c r="K3042" i="1"/>
  <c r="E3042" i="1"/>
  <c r="B3042" i="1"/>
  <c r="U3041" i="1"/>
  <c r="K3041" i="1"/>
  <c r="E3041" i="1"/>
  <c r="B3041" i="1"/>
  <c r="U3040" i="1"/>
  <c r="K3040" i="1"/>
  <c r="E3040" i="1"/>
  <c r="B3040" i="1"/>
  <c r="U3039" i="1"/>
  <c r="K3039" i="1"/>
  <c r="E3039" i="1"/>
  <c r="B3039" i="1"/>
  <c r="U3038" i="1"/>
  <c r="K3038" i="1"/>
  <c r="E3038" i="1"/>
  <c r="B3038" i="1"/>
  <c r="U3037" i="1"/>
  <c r="K3037" i="1"/>
  <c r="E3037" i="1"/>
  <c r="B3037" i="1"/>
  <c r="U3036" i="1"/>
  <c r="K3036" i="1"/>
  <c r="E3036" i="1"/>
  <c r="B3036" i="1"/>
  <c r="U3035" i="1"/>
  <c r="K3035" i="1"/>
  <c r="E3035" i="1"/>
  <c r="B3035" i="1"/>
  <c r="U3034" i="1"/>
  <c r="K3034" i="1"/>
  <c r="E3034" i="1"/>
  <c r="B3034" i="1"/>
  <c r="U3033" i="1"/>
  <c r="K3033" i="1"/>
  <c r="E3033" i="1"/>
  <c r="B3033" i="1"/>
  <c r="U3032" i="1"/>
  <c r="K3032" i="1"/>
  <c r="E3032" i="1"/>
  <c r="B3032" i="1"/>
  <c r="U3031" i="1"/>
  <c r="K3031" i="1"/>
  <c r="E3031" i="1"/>
  <c r="B3031" i="1"/>
  <c r="U3030" i="1"/>
  <c r="K3030" i="1"/>
  <c r="E3030" i="1"/>
  <c r="B3030" i="1"/>
  <c r="U3029" i="1"/>
  <c r="K3029" i="1"/>
  <c r="E3029" i="1"/>
  <c r="B3029" i="1"/>
  <c r="U3028" i="1"/>
  <c r="K3028" i="1"/>
  <c r="E3028" i="1"/>
  <c r="B3028" i="1"/>
  <c r="U3027" i="1"/>
  <c r="K3027" i="1"/>
  <c r="E3027" i="1"/>
  <c r="B3027" i="1"/>
  <c r="U3026" i="1"/>
  <c r="K3026" i="1"/>
  <c r="E3026" i="1"/>
  <c r="B3026" i="1"/>
  <c r="U3025" i="1"/>
  <c r="K3025" i="1"/>
  <c r="E3025" i="1"/>
  <c r="B3025" i="1"/>
  <c r="U3024" i="1"/>
  <c r="K3024" i="1"/>
  <c r="E3024" i="1"/>
  <c r="B3024" i="1"/>
  <c r="U3023" i="1"/>
  <c r="K3023" i="1"/>
  <c r="E3023" i="1"/>
  <c r="B3023" i="1"/>
  <c r="U3022" i="1"/>
  <c r="K3022" i="1"/>
  <c r="E3022" i="1"/>
  <c r="B3022" i="1"/>
  <c r="U3021" i="1"/>
  <c r="K3021" i="1"/>
  <c r="E3021" i="1"/>
  <c r="B3021" i="1"/>
  <c r="U3020" i="1"/>
  <c r="K3020" i="1"/>
  <c r="E3020" i="1"/>
  <c r="B3020" i="1"/>
  <c r="U3019" i="1"/>
  <c r="K3019" i="1"/>
  <c r="E3019" i="1"/>
  <c r="B3019" i="1"/>
  <c r="U3018" i="1"/>
  <c r="K3018" i="1"/>
  <c r="E3018" i="1"/>
  <c r="B3018" i="1"/>
  <c r="U3017" i="1"/>
  <c r="K3017" i="1"/>
  <c r="E3017" i="1"/>
  <c r="B3017" i="1"/>
  <c r="U3016" i="1"/>
  <c r="K3016" i="1"/>
  <c r="E3016" i="1"/>
  <c r="B3016" i="1"/>
  <c r="U3015" i="1"/>
  <c r="K3015" i="1"/>
  <c r="E3015" i="1"/>
  <c r="B3015" i="1"/>
  <c r="U3014" i="1"/>
  <c r="K3014" i="1"/>
  <c r="E3014" i="1"/>
  <c r="B3014" i="1"/>
  <c r="U3013" i="1"/>
  <c r="K3013" i="1"/>
  <c r="E3013" i="1"/>
  <c r="B3013" i="1"/>
  <c r="U3012" i="1"/>
  <c r="K3012" i="1"/>
  <c r="E3012" i="1"/>
  <c r="B3012" i="1"/>
  <c r="U3011" i="1"/>
  <c r="K3011" i="1"/>
  <c r="E3011" i="1"/>
  <c r="B3011" i="1"/>
  <c r="U3010" i="1"/>
  <c r="K3010" i="1"/>
  <c r="E3010" i="1"/>
  <c r="B3010" i="1"/>
  <c r="U3009" i="1"/>
  <c r="K3009" i="1"/>
  <c r="E3009" i="1"/>
  <c r="B3009" i="1"/>
  <c r="U3008" i="1"/>
  <c r="K3008" i="1"/>
  <c r="E3008" i="1"/>
  <c r="B3008" i="1"/>
  <c r="U3007" i="1"/>
  <c r="K3007" i="1"/>
  <c r="E3007" i="1"/>
  <c r="B3007" i="1"/>
  <c r="U3006" i="1"/>
  <c r="K3006" i="1"/>
  <c r="E3006" i="1"/>
  <c r="B3006" i="1"/>
  <c r="U3005" i="1"/>
  <c r="K3005" i="1"/>
  <c r="E3005" i="1"/>
  <c r="B3005" i="1"/>
  <c r="U3004" i="1"/>
  <c r="K3004" i="1"/>
  <c r="E3004" i="1"/>
  <c r="B3004" i="1"/>
  <c r="U3003" i="1"/>
  <c r="K3003" i="1"/>
  <c r="E3003" i="1"/>
  <c r="B3003" i="1"/>
  <c r="U3002" i="1"/>
  <c r="K3002" i="1"/>
  <c r="E3002" i="1"/>
  <c r="B3002" i="1"/>
  <c r="U3001" i="1"/>
  <c r="K3001" i="1"/>
  <c r="E3001" i="1"/>
  <c r="B3001" i="1"/>
  <c r="U3000" i="1"/>
  <c r="K3000" i="1"/>
  <c r="E3000" i="1"/>
  <c r="B3000" i="1"/>
  <c r="U2999" i="1"/>
  <c r="K2999" i="1"/>
  <c r="E2999" i="1"/>
  <c r="B2999" i="1"/>
  <c r="U2998" i="1"/>
  <c r="K2998" i="1"/>
  <c r="E2998" i="1"/>
  <c r="B2998" i="1"/>
  <c r="U2997" i="1"/>
  <c r="K2997" i="1"/>
  <c r="E2997" i="1"/>
  <c r="B2997" i="1"/>
  <c r="U2996" i="1"/>
  <c r="K2996" i="1"/>
  <c r="E2996" i="1"/>
  <c r="B2996" i="1"/>
  <c r="U2995" i="1"/>
  <c r="K2995" i="1"/>
  <c r="E2995" i="1"/>
  <c r="B2995" i="1"/>
  <c r="U2994" i="1"/>
  <c r="K2994" i="1"/>
  <c r="E2994" i="1"/>
  <c r="B2994" i="1"/>
  <c r="U2993" i="1"/>
  <c r="K2993" i="1"/>
  <c r="E2993" i="1"/>
  <c r="B2993" i="1"/>
  <c r="U2992" i="1"/>
  <c r="K2992" i="1"/>
  <c r="E2992" i="1"/>
  <c r="B2992" i="1"/>
  <c r="U2991" i="1"/>
  <c r="K2991" i="1"/>
  <c r="E2991" i="1"/>
  <c r="B2991" i="1"/>
  <c r="U2990" i="1"/>
  <c r="K2990" i="1"/>
  <c r="E2990" i="1"/>
  <c r="B2990" i="1"/>
  <c r="U2989" i="1"/>
  <c r="K2989" i="1"/>
  <c r="E2989" i="1"/>
  <c r="B2989" i="1"/>
  <c r="U2988" i="1"/>
  <c r="K2988" i="1"/>
  <c r="E2988" i="1"/>
  <c r="B2988" i="1"/>
  <c r="U2987" i="1"/>
  <c r="K2987" i="1"/>
  <c r="E2987" i="1"/>
  <c r="B2987" i="1"/>
  <c r="U2986" i="1"/>
  <c r="K2986" i="1"/>
  <c r="E2986" i="1"/>
  <c r="B2986" i="1"/>
  <c r="U2985" i="1"/>
  <c r="K2985" i="1"/>
  <c r="E2985" i="1"/>
  <c r="B2985" i="1"/>
  <c r="U2984" i="1"/>
  <c r="K2984" i="1"/>
  <c r="E2984" i="1"/>
  <c r="B2984" i="1"/>
  <c r="K2983" i="1"/>
  <c r="E2983" i="1"/>
  <c r="B2983" i="1"/>
  <c r="U2982" i="1"/>
  <c r="K2982" i="1"/>
  <c r="E2982" i="1"/>
  <c r="B2982" i="1"/>
  <c r="U2981" i="1"/>
  <c r="K2981" i="1"/>
  <c r="E2981" i="1"/>
  <c r="B2981" i="1"/>
  <c r="U2980" i="1"/>
  <c r="K2980" i="1"/>
  <c r="E2980" i="1"/>
  <c r="B2980" i="1"/>
  <c r="U2979" i="1"/>
  <c r="K2979" i="1"/>
  <c r="E2979" i="1"/>
  <c r="B2979" i="1"/>
  <c r="U2978" i="1"/>
  <c r="K2978" i="1"/>
  <c r="E2978" i="1"/>
  <c r="B2978" i="1"/>
  <c r="U2977" i="1"/>
  <c r="K2977" i="1"/>
  <c r="E2977" i="1"/>
  <c r="B2977" i="1"/>
  <c r="U2976" i="1"/>
  <c r="K2976" i="1"/>
  <c r="E2976" i="1"/>
  <c r="B2976" i="1"/>
  <c r="U2975" i="1"/>
  <c r="K2975" i="1"/>
  <c r="E2975" i="1"/>
  <c r="B2975" i="1"/>
  <c r="U2974" i="1"/>
  <c r="K2974" i="1"/>
  <c r="E2974" i="1"/>
  <c r="B2974" i="1"/>
  <c r="U2973" i="1"/>
  <c r="K2973" i="1"/>
  <c r="E2973" i="1"/>
  <c r="B2973" i="1"/>
  <c r="U2972" i="1"/>
  <c r="K2972" i="1"/>
  <c r="E2972" i="1"/>
  <c r="B2972" i="1"/>
  <c r="U2971" i="1"/>
  <c r="K2971" i="1"/>
  <c r="E2971" i="1"/>
  <c r="B2971" i="1"/>
  <c r="U2970" i="1"/>
  <c r="K2970" i="1"/>
  <c r="E2970" i="1"/>
  <c r="B2970" i="1"/>
  <c r="U2969" i="1"/>
  <c r="K2969" i="1"/>
  <c r="E2969" i="1"/>
  <c r="B2969" i="1"/>
  <c r="U2968" i="1"/>
  <c r="K2968" i="1"/>
  <c r="E2968" i="1"/>
  <c r="B2968" i="1"/>
  <c r="U2967" i="1"/>
  <c r="K2967" i="1"/>
  <c r="E2967" i="1"/>
  <c r="B2967" i="1"/>
  <c r="U2966" i="1"/>
  <c r="K2966" i="1"/>
  <c r="E2966" i="1"/>
  <c r="B2966" i="1"/>
  <c r="U2965" i="1"/>
  <c r="K2965" i="1"/>
  <c r="E2965" i="1"/>
  <c r="B2965" i="1"/>
  <c r="U2964" i="1"/>
  <c r="K2964" i="1"/>
  <c r="E2964" i="1"/>
  <c r="B2964" i="1"/>
  <c r="U2963" i="1"/>
  <c r="K2963" i="1"/>
  <c r="E2963" i="1"/>
  <c r="B2963" i="1"/>
  <c r="U2962" i="1"/>
  <c r="K2962" i="1"/>
  <c r="E2962" i="1"/>
  <c r="B2962" i="1"/>
  <c r="U2961" i="1"/>
  <c r="K2961" i="1"/>
  <c r="E2961" i="1"/>
  <c r="B2961" i="1"/>
  <c r="U2960" i="1"/>
  <c r="K2960" i="1"/>
  <c r="E2960" i="1"/>
  <c r="B2960" i="1"/>
  <c r="U2959" i="1"/>
  <c r="K2959" i="1"/>
  <c r="E2959" i="1"/>
  <c r="B2959" i="1"/>
  <c r="U2958" i="1"/>
  <c r="K2958" i="1"/>
  <c r="E2958" i="1"/>
  <c r="B2958" i="1"/>
  <c r="U2957" i="1"/>
  <c r="K2957" i="1"/>
  <c r="E2957" i="1"/>
  <c r="B2957" i="1"/>
  <c r="U2956" i="1"/>
  <c r="K2956" i="1"/>
  <c r="E2956" i="1"/>
  <c r="B2956" i="1"/>
  <c r="U2955" i="1"/>
  <c r="K2955" i="1"/>
  <c r="E2955" i="1"/>
  <c r="B2955" i="1"/>
  <c r="U2954" i="1"/>
  <c r="K2954" i="1"/>
  <c r="E2954" i="1"/>
  <c r="B2954" i="1"/>
  <c r="U2953" i="1"/>
  <c r="K2953" i="1"/>
  <c r="E2953" i="1"/>
  <c r="B2953" i="1"/>
  <c r="U2952" i="1"/>
  <c r="K2952" i="1"/>
  <c r="E2952" i="1"/>
  <c r="B2952" i="1"/>
  <c r="U2951" i="1"/>
  <c r="K2951" i="1"/>
  <c r="E2951" i="1"/>
  <c r="B2951" i="1"/>
  <c r="U2950" i="1"/>
  <c r="K2950" i="1"/>
  <c r="E2950" i="1"/>
  <c r="B2950" i="1"/>
  <c r="U2949" i="1"/>
  <c r="K2949" i="1"/>
  <c r="E2949" i="1"/>
  <c r="B2949" i="1"/>
  <c r="U2948" i="1"/>
  <c r="K2948" i="1"/>
  <c r="E2948" i="1"/>
  <c r="B2948" i="1"/>
  <c r="U2947" i="1"/>
  <c r="K2947" i="1"/>
  <c r="E2947" i="1"/>
  <c r="B2947" i="1"/>
  <c r="U2946" i="1"/>
  <c r="K2946" i="1"/>
  <c r="E2946" i="1"/>
  <c r="B2946" i="1"/>
  <c r="U2945" i="1"/>
  <c r="K2945" i="1"/>
  <c r="E2945" i="1"/>
  <c r="B2945" i="1"/>
  <c r="U2944" i="1"/>
  <c r="K2944" i="1"/>
  <c r="E2944" i="1"/>
  <c r="B2944" i="1"/>
  <c r="U2943" i="1"/>
  <c r="K2943" i="1"/>
  <c r="E2943" i="1"/>
  <c r="B2943" i="1"/>
  <c r="U2942" i="1"/>
  <c r="K2942" i="1"/>
  <c r="E2942" i="1"/>
  <c r="B2942" i="1"/>
  <c r="U2941" i="1"/>
  <c r="K2941" i="1"/>
  <c r="E2941" i="1"/>
  <c r="B2941" i="1"/>
  <c r="U2940" i="1"/>
  <c r="K2940" i="1"/>
  <c r="E2940" i="1"/>
  <c r="B2940" i="1"/>
  <c r="U2939" i="1"/>
  <c r="K2939" i="1"/>
  <c r="E2939" i="1"/>
  <c r="B2939" i="1"/>
  <c r="U2938" i="1"/>
  <c r="K2938" i="1"/>
  <c r="E2938" i="1"/>
  <c r="B2938" i="1"/>
  <c r="U2937" i="1"/>
  <c r="K2937" i="1"/>
  <c r="E2937" i="1"/>
  <c r="B2937" i="1"/>
  <c r="U2936" i="1"/>
  <c r="K2936" i="1"/>
  <c r="E2936" i="1"/>
  <c r="B2936" i="1"/>
  <c r="U2935" i="1"/>
  <c r="K2935" i="1"/>
  <c r="E2935" i="1"/>
  <c r="B2935" i="1"/>
  <c r="U2934" i="1"/>
  <c r="K2934" i="1"/>
  <c r="E2934" i="1"/>
  <c r="B2934" i="1"/>
  <c r="U2933" i="1"/>
  <c r="K2933" i="1"/>
  <c r="E2933" i="1"/>
  <c r="B2933" i="1"/>
  <c r="U2932" i="1"/>
  <c r="K2932" i="1"/>
  <c r="E2932" i="1"/>
  <c r="B2932" i="1"/>
  <c r="U2931" i="1"/>
  <c r="K2931" i="1"/>
  <c r="E2931" i="1"/>
  <c r="B2931" i="1"/>
  <c r="U2930" i="1"/>
  <c r="K2930" i="1"/>
  <c r="E2930" i="1"/>
  <c r="B2930" i="1"/>
  <c r="U2929" i="1"/>
  <c r="K2929" i="1"/>
  <c r="E2929" i="1"/>
  <c r="B2929" i="1"/>
  <c r="U2928" i="1"/>
  <c r="K2928" i="1"/>
  <c r="E2928" i="1"/>
  <c r="B2928" i="1"/>
  <c r="K2927" i="1"/>
  <c r="E2927" i="1"/>
  <c r="B2927" i="1"/>
  <c r="U2926" i="1"/>
  <c r="K2926" i="1"/>
  <c r="E2926" i="1"/>
  <c r="B2926" i="1"/>
  <c r="U2925" i="1"/>
  <c r="K2925" i="1"/>
  <c r="E2925" i="1"/>
  <c r="B2925" i="1"/>
  <c r="U2924" i="1"/>
  <c r="K2924" i="1"/>
  <c r="E2924" i="1"/>
  <c r="B2924" i="1"/>
  <c r="U2923" i="1"/>
  <c r="K2923" i="1"/>
  <c r="E2923" i="1"/>
  <c r="B2923" i="1"/>
  <c r="U2922" i="1"/>
  <c r="K2922" i="1"/>
  <c r="E2922" i="1"/>
  <c r="B2922" i="1"/>
  <c r="U2921" i="1"/>
  <c r="K2921" i="1"/>
  <c r="E2921" i="1"/>
  <c r="B2921" i="1"/>
  <c r="U2920" i="1"/>
  <c r="K2920" i="1"/>
  <c r="E2920" i="1"/>
  <c r="B2920" i="1"/>
  <c r="U2919" i="1"/>
  <c r="K2919" i="1"/>
  <c r="E2919" i="1"/>
  <c r="B2919" i="1"/>
  <c r="U2918" i="1"/>
  <c r="K2918" i="1"/>
  <c r="E2918" i="1"/>
  <c r="B2918" i="1"/>
  <c r="U2917" i="1"/>
  <c r="K2917" i="1"/>
  <c r="E2917" i="1"/>
  <c r="B2917" i="1"/>
  <c r="U2916" i="1"/>
  <c r="K2916" i="1"/>
  <c r="E2916" i="1"/>
  <c r="B2916" i="1"/>
  <c r="U2915" i="1"/>
  <c r="K2915" i="1"/>
  <c r="E2915" i="1"/>
  <c r="B2915" i="1"/>
  <c r="U2914" i="1"/>
  <c r="K2914" i="1"/>
  <c r="E2914" i="1"/>
  <c r="B2914" i="1"/>
  <c r="U2913" i="1"/>
  <c r="K2913" i="1"/>
  <c r="E2913" i="1"/>
  <c r="B2913" i="1"/>
  <c r="U2912" i="1"/>
  <c r="K2912" i="1"/>
  <c r="E2912" i="1"/>
  <c r="B2912" i="1"/>
  <c r="U2911" i="1"/>
  <c r="K2911" i="1"/>
  <c r="E2911" i="1"/>
  <c r="B2911" i="1"/>
  <c r="U2910" i="1"/>
  <c r="K2910" i="1"/>
  <c r="E2910" i="1"/>
  <c r="B2910" i="1"/>
  <c r="U2909" i="1"/>
  <c r="K2909" i="1"/>
  <c r="E2909" i="1"/>
  <c r="B2909" i="1"/>
  <c r="U2908" i="1"/>
  <c r="K2908" i="1"/>
  <c r="E2908" i="1"/>
  <c r="B2908" i="1"/>
  <c r="U2907" i="1"/>
  <c r="K2907" i="1"/>
  <c r="E2907" i="1"/>
  <c r="B2907" i="1"/>
  <c r="U2906" i="1"/>
  <c r="K2906" i="1"/>
  <c r="E2906" i="1"/>
  <c r="B2906" i="1"/>
  <c r="U2905" i="1"/>
  <c r="K2905" i="1"/>
  <c r="E2905" i="1"/>
  <c r="B2905" i="1"/>
  <c r="U2904" i="1"/>
  <c r="K2904" i="1"/>
  <c r="E2904" i="1"/>
  <c r="B2904" i="1"/>
  <c r="U2903" i="1"/>
  <c r="K2903" i="1"/>
  <c r="E2903" i="1"/>
  <c r="B2903" i="1"/>
  <c r="U2902" i="1"/>
  <c r="K2902" i="1"/>
  <c r="E2902" i="1"/>
  <c r="B2902" i="1"/>
  <c r="U2901" i="1"/>
  <c r="K2901" i="1"/>
  <c r="E2901" i="1"/>
  <c r="B2901" i="1"/>
  <c r="U2900" i="1"/>
  <c r="K2900" i="1"/>
  <c r="E2900" i="1"/>
  <c r="B2900" i="1"/>
  <c r="U2899" i="1"/>
  <c r="K2899" i="1"/>
  <c r="E2899" i="1"/>
  <c r="B2899" i="1"/>
  <c r="U2898" i="1"/>
  <c r="K2898" i="1"/>
  <c r="E2898" i="1"/>
  <c r="B2898" i="1"/>
  <c r="U2897" i="1"/>
  <c r="K2897" i="1"/>
  <c r="E2897" i="1"/>
  <c r="B2897" i="1"/>
  <c r="U2896" i="1"/>
  <c r="K2896" i="1"/>
  <c r="E2896" i="1"/>
  <c r="B2896" i="1"/>
  <c r="U2895" i="1"/>
  <c r="K2895" i="1"/>
  <c r="E2895" i="1"/>
  <c r="B2895" i="1"/>
  <c r="U2894" i="1"/>
  <c r="K2894" i="1"/>
  <c r="E2894" i="1"/>
  <c r="B2894" i="1"/>
  <c r="U2893" i="1"/>
  <c r="K2893" i="1"/>
  <c r="E2893" i="1"/>
  <c r="B2893" i="1"/>
  <c r="U2892" i="1"/>
  <c r="K2892" i="1"/>
  <c r="E2892" i="1"/>
  <c r="B2892" i="1"/>
  <c r="U2891" i="1"/>
  <c r="K2891" i="1"/>
  <c r="E2891" i="1"/>
  <c r="B2891" i="1"/>
  <c r="U2890" i="1"/>
  <c r="K2890" i="1"/>
  <c r="E2890" i="1"/>
  <c r="B2890" i="1"/>
  <c r="U2889" i="1"/>
  <c r="K2889" i="1"/>
  <c r="E2889" i="1"/>
  <c r="B2889" i="1"/>
  <c r="U2888" i="1"/>
  <c r="K2888" i="1"/>
  <c r="E2888" i="1"/>
  <c r="B2888" i="1"/>
  <c r="U2887" i="1"/>
  <c r="K2887" i="1"/>
  <c r="E2887" i="1"/>
  <c r="B2887" i="1"/>
  <c r="U2886" i="1"/>
  <c r="K2886" i="1"/>
  <c r="E2886" i="1"/>
  <c r="B2886" i="1"/>
  <c r="U2885" i="1"/>
  <c r="K2885" i="1"/>
  <c r="E2885" i="1"/>
  <c r="B2885" i="1"/>
  <c r="U2884" i="1"/>
  <c r="K2884" i="1"/>
  <c r="E2884" i="1"/>
  <c r="B2884" i="1"/>
  <c r="U2883" i="1"/>
  <c r="K2883" i="1"/>
  <c r="E2883" i="1"/>
  <c r="B2883" i="1"/>
  <c r="K2882" i="1"/>
  <c r="E2882" i="1"/>
  <c r="B2882" i="1"/>
  <c r="U2881" i="1"/>
  <c r="K2881" i="1"/>
  <c r="E2881" i="1"/>
  <c r="B2881" i="1"/>
  <c r="U2880" i="1"/>
  <c r="K2880" i="1"/>
  <c r="E2880" i="1"/>
  <c r="B2880" i="1"/>
  <c r="U2879" i="1"/>
  <c r="K2879" i="1"/>
  <c r="E2879" i="1"/>
  <c r="B2879" i="1"/>
  <c r="U2878" i="1"/>
  <c r="K2878" i="1"/>
  <c r="E2878" i="1"/>
  <c r="B2878" i="1"/>
  <c r="U2877" i="1"/>
  <c r="K2877" i="1"/>
  <c r="E2877" i="1"/>
  <c r="B2877" i="1"/>
  <c r="U2876" i="1"/>
  <c r="K2876" i="1"/>
  <c r="E2876" i="1"/>
  <c r="B2876" i="1"/>
  <c r="U2875" i="1"/>
  <c r="K2875" i="1"/>
  <c r="E2875" i="1"/>
  <c r="B2875" i="1"/>
  <c r="U2874" i="1"/>
  <c r="K2874" i="1"/>
  <c r="E2874" i="1"/>
  <c r="B2874" i="1"/>
  <c r="U2873" i="1"/>
  <c r="K2873" i="1"/>
  <c r="E2873" i="1"/>
  <c r="B2873" i="1"/>
  <c r="U2872" i="1"/>
  <c r="K2872" i="1"/>
  <c r="E2872" i="1"/>
  <c r="B2872" i="1"/>
  <c r="U2871" i="1"/>
  <c r="K2871" i="1"/>
  <c r="E2871" i="1"/>
  <c r="B2871" i="1"/>
  <c r="U2870" i="1"/>
  <c r="K2870" i="1"/>
  <c r="E2870" i="1"/>
  <c r="B2870" i="1"/>
  <c r="U2869" i="1"/>
  <c r="K2869" i="1"/>
  <c r="E2869" i="1"/>
  <c r="B2869" i="1"/>
  <c r="U2868" i="1"/>
  <c r="K2868" i="1"/>
  <c r="E2868" i="1"/>
  <c r="B2868" i="1"/>
  <c r="U2867" i="1"/>
  <c r="K2867" i="1"/>
  <c r="E2867" i="1"/>
  <c r="B2867" i="1"/>
  <c r="U2866" i="1"/>
  <c r="K2866" i="1"/>
  <c r="E2866" i="1"/>
  <c r="B2866" i="1"/>
  <c r="U2865" i="1"/>
  <c r="K2865" i="1"/>
  <c r="E2865" i="1"/>
  <c r="B2865" i="1"/>
  <c r="U2864" i="1"/>
  <c r="K2864" i="1"/>
  <c r="E2864" i="1"/>
  <c r="B2864" i="1"/>
  <c r="U2863" i="1"/>
  <c r="K2863" i="1"/>
  <c r="E2863" i="1"/>
  <c r="B2863" i="1"/>
  <c r="U2862" i="1"/>
  <c r="K2862" i="1"/>
  <c r="E2862" i="1"/>
  <c r="B2862" i="1"/>
  <c r="U2861" i="1"/>
  <c r="K2861" i="1"/>
  <c r="E2861" i="1"/>
  <c r="B2861" i="1"/>
  <c r="U2860" i="1"/>
  <c r="K2860" i="1"/>
  <c r="E2860" i="1"/>
  <c r="B2860" i="1"/>
  <c r="U2859" i="1"/>
  <c r="K2859" i="1"/>
  <c r="E2859" i="1"/>
  <c r="B2859" i="1"/>
  <c r="U2858" i="1"/>
  <c r="K2858" i="1"/>
  <c r="E2858" i="1"/>
  <c r="B2858" i="1"/>
  <c r="U2857" i="1"/>
  <c r="K2857" i="1"/>
  <c r="E2857" i="1"/>
  <c r="B2857" i="1"/>
  <c r="U2856" i="1"/>
  <c r="K2856" i="1"/>
  <c r="E2856" i="1"/>
  <c r="B2856" i="1"/>
  <c r="U2855" i="1"/>
  <c r="K2855" i="1"/>
  <c r="E2855" i="1"/>
  <c r="B2855" i="1"/>
  <c r="U2854" i="1"/>
  <c r="K2854" i="1"/>
  <c r="E2854" i="1"/>
  <c r="B2854" i="1"/>
  <c r="U2853" i="1"/>
  <c r="K2853" i="1"/>
  <c r="E2853" i="1"/>
  <c r="B2853" i="1"/>
  <c r="U2852" i="1"/>
  <c r="K2852" i="1"/>
  <c r="E2852" i="1"/>
  <c r="B2852" i="1"/>
  <c r="U2851" i="1"/>
  <c r="K2851" i="1"/>
  <c r="E2851" i="1"/>
  <c r="B2851" i="1"/>
  <c r="U2850" i="1"/>
  <c r="K2850" i="1"/>
  <c r="E2850" i="1"/>
  <c r="B2850" i="1"/>
  <c r="U2849" i="1"/>
  <c r="K2849" i="1"/>
  <c r="E2849" i="1"/>
  <c r="B2849" i="1"/>
  <c r="U2848" i="1"/>
  <c r="K2848" i="1"/>
  <c r="E2848" i="1"/>
  <c r="B2848" i="1"/>
  <c r="U2847" i="1"/>
  <c r="K2847" i="1"/>
  <c r="E2847" i="1"/>
  <c r="B2847" i="1"/>
  <c r="U2846" i="1"/>
  <c r="K2846" i="1"/>
  <c r="E2846" i="1"/>
  <c r="B2846" i="1"/>
  <c r="U2845" i="1"/>
  <c r="K2845" i="1"/>
  <c r="E2845" i="1"/>
  <c r="B2845" i="1"/>
  <c r="U2844" i="1"/>
  <c r="K2844" i="1"/>
  <c r="E2844" i="1"/>
  <c r="B2844" i="1"/>
  <c r="U2843" i="1"/>
  <c r="K2843" i="1"/>
  <c r="E2843" i="1"/>
  <c r="B2843" i="1"/>
  <c r="U2842" i="1"/>
  <c r="K2842" i="1"/>
  <c r="E2842" i="1"/>
  <c r="B2842" i="1"/>
  <c r="U2841" i="1"/>
  <c r="K2841" i="1"/>
  <c r="E2841" i="1"/>
  <c r="B2841" i="1"/>
  <c r="U2840" i="1"/>
  <c r="K2840" i="1"/>
  <c r="E2840" i="1"/>
  <c r="B2840" i="1"/>
  <c r="U2839" i="1"/>
  <c r="K2839" i="1"/>
  <c r="E2839" i="1"/>
  <c r="B2839" i="1"/>
  <c r="U2838" i="1"/>
  <c r="K2838" i="1"/>
  <c r="E2838" i="1"/>
  <c r="B2838" i="1"/>
  <c r="U2837" i="1"/>
  <c r="K2837" i="1"/>
  <c r="E2837" i="1"/>
  <c r="B2837" i="1"/>
  <c r="U2836" i="1"/>
  <c r="K2836" i="1"/>
  <c r="E2836" i="1"/>
  <c r="B2836" i="1"/>
  <c r="U2835" i="1"/>
  <c r="K2835" i="1"/>
  <c r="E2835" i="1"/>
  <c r="B2835" i="1"/>
  <c r="U2834" i="1"/>
  <c r="K2834" i="1"/>
  <c r="E2834" i="1"/>
  <c r="B2834" i="1"/>
  <c r="U2833" i="1"/>
  <c r="K2833" i="1"/>
  <c r="E2833" i="1"/>
  <c r="B2833" i="1"/>
  <c r="U2832" i="1"/>
  <c r="K2832" i="1"/>
  <c r="E2832" i="1"/>
  <c r="B2832" i="1"/>
  <c r="U2831" i="1"/>
  <c r="K2831" i="1"/>
  <c r="E2831" i="1"/>
  <c r="B2831" i="1"/>
  <c r="U2830" i="1"/>
  <c r="K2830" i="1"/>
  <c r="E2830" i="1"/>
  <c r="B2830" i="1"/>
  <c r="U2829" i="1"/>
  <c r="K2829" i="1"/>
  <c r="E2829" i="1"/>
  <c r="B2829" i="1"/>
  <c r="U2828" i="1"/>
  <c r="K2828" i="1"/>
  <c r="E2828" i="1"/>
  <c r="B2828" i="1"/>
  <c r="U2827" i="1"/>
  <c r="K2827" i="1"/>
  <c r="E2827" i="1"/>
  <c r="B2827" i="1"/>
  <c r="U2826" i="1"/>
  <c r="K2826" i="1"/>
  <c r="E2826" i="1"/>
  <c r="B2826" i="1"/>
  <c r="U2825" i="1"/>
  <c r="K2825" i="1"/>
  <c r="E2825" i="1"/>
  <c r="B2825" i="1"/>
  <c r="U2824" i="1"/>
  <c r="K2824" i="1"/>
  <c r="E2824" i="1"/>
  <c r="B2824" i="1"/>
  <c r="U2823" i="1"/>
  <c r="K2823" i="1"/>
  <c r="E2823" i="1"/>
  <c r="B2823" i="1"/>
  <c r="U2822" i="1"/>
  <c r="K2822" i="1"/>
  <c r="E2822" i="1"/>
  <c r="B2822" i="1"/>
  <c r="U2821" i="1"/>
  <c r="K2821" i="1"/>
  <c r="E2821" i="1"/>
  <c r="B2821" i="1"/>
  <c r="U2820" i="1"/>
  <c r="K2820" i="1"/>
  <c r="E2820" i="1"/>
  <c r="B2820" i="1"/>
  <c r="U2819" i="1"/>
  <c r="K2819" i="1"/>
  <c r="E2819" i="1"/>
  <c r="B2819" i="1"/>
  <c r="U2818" i="1"/>
  <c r="K2818" i="1"/>
  <c r="E2818" i="1"/>
  <c r="B2818" i="1"/>
  <c r="U2817" i="1"/>
  <c r="K2817" i="1"/>
  <c r="E2817" i="1"/>
  <c r="B2817" i="1"/>
  <c r="U2816" i="1"/>
  <c r="K2816" i="1"/>
  <c r="E2816" i="1"/>
  <c r="B2816" i="1"/>
  <c r="U2815" i="1"/>
  <c r="K2815" i="1"/>
  <c r="E2815" i="1"/>
  <c r="B2815" i="1"/>
  <c r="U2814" i="1"/>
  <c r="K2814" i="1"/>
  <c r="E2814" i="1"/>
  <c r="B2814" i="1"/>
  <c r="U2813" i="1"/>
  <c r="K2813" i="1"/>
  <c r="E2813" i="1"/>
  <c r="B2813" i="1"/>
  <c r="U2812" i="1"/>
  <c r="K2812" i="1"/>
  <c r="E2812" i="1"/>
  <c r="B2812" i="1"/>
  <c r="U2811" i="1"/>
  <c r="K2811" i="1"/>
  <c r="E2811" i="1"/>
  <c r="B2811" i="1"/>
  <c r="U2810" i="1"/>
  <c r="K2810" i="1"/>
  <c r="E2810" i="1"/>
  <c r="B2810" i="1"/>
  <c r="U2809" i="1"/>
  <c r="K2809" i="1"/>
  <c r="E2809" i="1"/>
  <c r="B2809" i="1"/>
  <c r="U2808" i="1"/>
  <c r="K2808" i="1"/>
  <c r="E2808" i="1"/>
  <c r="B2808" i="1"/>
  <c r="U2807" i="1"/>
  <c r="K2807" i="1"/>
  <c r="E2807" i="1"/>
  <c r="B2807" i="1"/>
  <c r="U2806" i="1"/>
  <c r="K2806" i="1"/>
  <c r="E2806" i="1"/>
  <c r="B2806" i="1"/>
  <c r="U2805" i="1"/>
  <c r="K2805" i="1"/>
  <c r="E2805" i="1"/>
  <c r="B2805" i="1"/>
  <c r="U2804" i="1"/>
  <c r="K2804" i="1"/>
  <c r="E2804" i="1"/>
  <c r="B2804" i="1"/>
  <c r="U2803" i="1"/>
  <c r="K2803" i="1"/>
  <c r="E2803" i="1"/>
  <c r="B2803" i="1"/>
  <c r="U2802" i="1"/>
  <c r="K2802" i="1"/>
  <c r="E2802" i="1"/>
  <c r="B2802" i="1"/>
  <c r="U2801" i="1"/>
  <c r="K2801" i="1"/>
  <c r="E2801" i="1"/>
  <c r="B2801" i="1"/>
  <c r="U2800" i="1"/>
  <c r="K2800" i="1"/>
  <c r="E2800" i="1"/>
  <c r="B2800" i="1"/>
  <c r="U2799" i="1"/>
  <c r="K2799" i="1"/>
  <c r="E2799" i="1"/>
  <c r="B2799" i="1"/>
  <c r="U2798" i="1"/>
  <c r="K2798" i="1"/>
  <c r="E2798" i="1"/>
  <c r="B2798" i="1"/>
  <c r="U2797" i="1"/>
  <c r="K2797" i="1"/>
  <c r="E2797" i="1"/>
  <c r="B2797" i="1"/>
  <c r="U2796" i="1"/>
  <c r="K2796" i="1"/>
  <c r="E2796" i="1"/>
  <c r="B2796" i="1"/>
  <c r="U2795" i="1"/>
  <c r="K2795" i="1"/>
  <c r="E2795" i="1"/>
  <c r="B2795" i="1"/>
  <c r="U2794" i="1"/>
  <c r="K2794" i="1"/>
  <c r="E2794" i="1"/>
  <c r="B2794" i="1"/>
  <c r="U2793" i="1"/>
  <c r="K2793" i="1"/>
  <c r="E2793" i="1"/>
  <c r="B2793" i="1"/>
  <c r="U2792" i="1"/>
  <c r="K2792" i="1"/>
  <c r="E2792" i="1"/>
  <c r="B2792" i="1"/>
  <c r="U2791" i="1"/>
  <c r="K2791" i="1"/>
  <c r="E2791" i="1"/>
  <c r="B2791" i="1"/>
  <c r="U2790" i="1"/>
  <c r="K2790" i="1"/>
  <c r="E2790" i="1"/>
  <c r="B2790" i="1"/>
  <c r="U2789" i="1"/>
  <c r="K2789" i="1"/>
  <c r="E2789" i="1"/>
  <c r="B2789" i="1"/>
  <c r="U2788" i="1"/>
  <c r="K2788" i="1"/>
  <c r="E2788" i="1"/>
  <c r="B2788" i="1"/>
  <c r="U2787" i="1"/>
  <c r="K2787" i="1"/>
  <c r="E2787" i="1"/>
  <c r="B2787" i="1"/>
  <c r="K2786" i="1"/>
  <c r="E2786" i="1"/>
  <c r="B2786" i="1"/>
  <c r="U2785" i="1"/>
  <c r="K2785" i="1"/>
  <c r="E2785" i="1"/>
  <c r="B2785" i="1"/>
  <c r="U2784" i="1"/>
  <c r="K2784" i="1"/>
  <c r="E2784" i="1"/>
  <c r="B2784" i="1"/>
  <c r="U2783" i="1"/>
  <c r="K2783" i="1"/>
  <c r="E2783" i="1"/>
  <c r="B2783" i="1"/>
  <c r="U2782" i="1"/>
  <c r="K2782" i="1"/>
  <c r="E2782" i="1"/>
  <c r="B2782" i="1"/>
  <c r="U2781" i="1"/>
  <c r="K2781" i="1"/>
  <c r="E2781" i="1"/>
  <c r="B2781" i="1"/>
  <c r="U2780" i="1"/>
  <c r="K2780" i="1"/>
  <c r="E2780" i="1"/>
  <c r="B2780" i="1"/>
  <c r="U2779" i="1"/>
  <c r="K2779" i="1"/>
  <c r="E2779" i="1"/>
  <c r="B2779" i="1"/>
  <c r="U2778" i="1"/>
  <c r="K2778" i="1"/>
  <c r="E2778" i="1"/>
  <c r="B2778" i="1"/>
  <c r="U2777" i="1"/>
  <c r="K2777" i="1"/>
  <c r="E2777" i="1"/>
  <c r="B2777" i="1"/>
  <c r="U2776" i="1"/>
  <c r="K2776" i="1"/>
  <c r="E2776" i="1"/>
  <c r="B2776" i="1"/>
  <c r="U2775" i="1"/>
  <c r="K2775" i="1"/>
  <c r="E2775" i="1"/>
  <c r="B2775" i="1"/>
  <c r="U2774" i="1"/>
  <c r="K2774" i="1"/>
  <c r="E2774" i="1"/>
  <c r="B2774" i="1"/>
  <c r="U2773" i="1"/>
  <c r="K2773" i="1"/>
  <c r="E2773" i="1"/>
  <c r="B2773" i="1"/>
  <c r="U2772" i="1"/>
  <c r="K2772" i="1"/>
  <c r="E2772" i="1"/>
  <c r="B2772" i="1"/>
  <c r="U2771" i="1"/>
  <c r="K2771" i="1"/>
  <c r="E2771" i="1"/>
  <c r="B2771" i="1"/>
  <c r="U2770" i="1"/>
  <c r="K2770" i="1"/>
  <c r="E2770" i="1"/>
  <c r="B2770" i="1"/>
  <c r="U2769" i="1"/>
  <c r="K2769" i="1"/>
  <c r="E2769" i="1"/>
  <c r="B2769" i="1"/>
  <c r="U2768" i="1"/>
  <c r="K2768" i="1"/>
  <c r="E2768" i="1"/>
  <c r="B2768" i="1"/>
  <c r="U2767" i="1"/>
  <c r="K2767" i="1"/>
  <c r="E2767" i="1"/>
  <c r="B2767" i="1"/>
  <c r="U2766" i="1"/>
  <c r="K2766" i="1"/>
  <c r="H2766" i="1"/>
  <c r="E2766" i="1"/>
  <c r="B2766" i="1"/>
  <c r="U2765" i="1"/>
  <c r="K2765" i="1"/>
  <c r="E2765" i="1"/>
  <c r="B2765" i="1"/>
  <c r="U2764" i="1"/>
  <c r="K2764" i="1"/>
  <c r="E2764" i="1"/>
  <c r="B2764" i="1"/>
  <c r="U2763" i="1"/>
  <c r="K2763" i="1"/>
  <c r="E2763" i="1"/>
  <c r="B2763" i="1"/>
  <c r="U2762" i="1"/>
  <c r="K2762" i="1"/>
  <c r="E2762" i="1"/>
  <c r="B2762" i="1"/>
  <c r="U2761" i="1"/>
  <c r="K2761" i="1"/>
  <c r="E2761" i="1"/>
  <c r="B2761" i="1"/>
  <c r="U2760" i="1"/>
  <c r="K2760" i="1"/>
  <c r="E2760" i="1"/>
  <c r="B2760" i="1"/>
  <c r="U2759" i="1"/>
  <c r="K2759" i="1"/>
  <c r="E2759" i="1"/>
  <c r="B2759" i="1"/>
  <c r="U2758" i="1"/>
  <c r="K2758" i="1"/>
  <c r="E2758" i="1"/>
  <c r="B2758" i="1"/>
  <c r="K2757" i="1"/>
  <c r="E2757" i="1"/>
  <c r="B2757" i="1"/>
  <c r="U2756" i="1"/>
  <c r="K2756" i="1"/>
  <c r="E2756" i="1"/>
  <c r="B2756" i="1"/>
  <c r="U2755" i="1"/>
  <c r="K2755" i="1"/>
  <c r="E2755" i="1"/>
  <c r="B2755" i="1"/>
  <c r="U2754" i="1"/>
  <c r="K2754" i="1"/>
  <c r="E2754" i="1"/>
  <c r="B2754" i="1"/>
  <c r="U2753" i="1"/>
  <c r="K2753" i="1"/>
  <c r="E2753" i="1"/>
  <c r="B2753" i="1"/>
  <c r="U2752" i="1"/>
  <c r="K2752" i="1"/>
  <c r="E2752" i="1"/>
  <c r="B2752" i="1"/>
  <c r="U2751" i="1"/>
  <c r="K2751" i="1"/>
  <c r="E2751" i="1"/>
  <c r="B2751" i="1"/>
  <c r="U2750" i="1"/>
  <c r="K2750" i="1"/>
  <c r="E2750" i="1"/>
  <c r="B2750" i="1"/>
  <c r="U2749" i="1"/>
  <c r="K2749" i="1"/>
  <c r="E2749" i="1"/>
  <c r="B2749" i="1"/>
  <c r="U2748" i="1"/>
  <c r="K2748" i="1"/>
  <c r="E2748" i="1"/>
  <c r="B2748" i="1"/>
  <c r="U2747" i="1"/>
  <c r="K2747" i="1"/>
  <c r="E2747" i="1"/>
  <c r="B2747" i="1"/>
  <c r="U2746" i="1"/>
  <c r="K2746" i="1"/>
  <c r="E2746" i="1"/>
  <c r="B2746" i="1"/>
  <c r="U2745" i="1"/>
  <c r="K2745" i="1"/>
  <c r="E2745" i="1"/>
  <c r="B2745" i="1"/>
  <c r="U2744" i="1"/>
  <c r="K2744" i="1"/>
  <c r="E2744" i="1"/>
  <c r="B2744" i="1"/>
  <c r="U2743" i="1"/>
  <c r="K2743" i="1"/>
  <c r="E2743" i="1"/>
  <c r="B2743" i="1"/>
  <c r="U2742" i="1"/>
  <c r="K2742" i="1"/>
  <c r="E2742" i="1"/>
  <c r="B2742" i="1"/>
  <c r="U2741" i="1"/>
  <c r="K2741" i="1"/>
  <c r="E2741" i="1"/>
  <c r="B2741" i="1"/>
  <c r="U2740" i="1"/>
  <c r="K2740" i="1"/>
  <c r="E2740" i="1"/>
  <c r="B2740" i="1"/>
  <c r="U2739" i="1"/>
  <c r="K2739" i="1"/>
  <c r="E2739" i="1"/>
  <c r="B2739" i="1"/>
  <c r="U2738" i="1"/>
  <c r="K2738" i="1"/>
  <c r="E2738" i="1"/>
  <c r="B2738" i="1"/>
  <c r="U2737" i="1"/>
  <c r="K2737" i="1"/>
  <c r="E2737" i="1"/>
  <c r="B2737" i="1"/>
  <c r="K2736" i="1"/>
  <c r="E2736" i="1"/>
  <c r="B2736" i="1"/>
  <c r="U2735" i="1"/>
  <c r="K2735" i="1"/>
  <c r="E2735" i="1"/>
  <c r="B2735" i="1"/>
  <c r="U2734" i="1"/>
  <c r="K2734" i="1"/>
  <c r="E2734" i="1"/>
  <c r="B2734" i="1"/>
  <c r="U2733" i="1"/>
  <c r="K2733" i="1"/>
  <c r="E2733" i="1"/>
  <c r="B2733" i="1"/>
  <c r="U2732" i="1"/>
  <c r="K2732" i="1"/>
  <c r="E2732" i="1"/>
  <c r="B2732" i="1"/>
  <c r="U2731" i="1"/>
  <c r="K2731" i="1"/>
  <c r="E2731" i="1"/>
  <c r="B2731" i="1"/>
  <c r="U2730" i="1"/>
  <c r="K2730" i="1"/>
  <c r="E2730" i="1"/>
  <c r="B2730" i="1"/>
  <c r="U2729" i="1"/>
  <c r="K2729" i="1"/>
  <c r="E2729" i="1"/>
  <c r="B2729" i="1"/>
  <c r="U2728" i="1"/>
  <c r="K2728" i="1"/>
  <c r="E2728" i="1"/>
  <c r="B2728" i="1"/>
  <c r="U2727" i="1"/>
  <c r="K2727" i="1"/>
  <c r="E2727" i="1"/>
  <c r="B2727" i="1"/>
  <c r="U2726" i="1"/>
  <c r="K2726" i="1"/>
  <c r="E2726" i="1"/>
  <c r="B2726" i="1"/>
  <c r="U2725" i="1"/>
  <c r="K2725" i="1"/>
  <c r="E2725" i="1"/>
  <c r="B2725" i="1"/>
  <c r="U2724" i="1"/>
  <c r="K2724" i="1"/>
  <c r="E2724" i="1"/>
  <c r="B2724" i="1"/>
  <c r="U2723" i="1"/>
  <c r="K2723" i="1"/>
  <c r="E2723" i="1"/>
  <c r="B2723" i="1"/>
  <c r="U2722" i="1"/>
  <c r="K2722" i="1"/>
  <c r="E2722" i="1"/>
  <c r="B2722" i="1"/>
  <c r="U2721" i="1"/>
  <c r="K2721" i="1"/>
  <c r="E2721" i="1"/>
  <c r="B2721" i="1"/>
  <c r="U2720" i="1"/>
  <c r="K2720" i="1"/>
  <c r="E2720" i="1"/>
  <c r="B2720" i="1"/>
  <c r="U2719" i="1"/>
  <c r="K2719" i="1"/>
  <c r="E2719" i="1"/>
  <c r="B2719" i="1"/>
  <c r="U2718" i="1"/>
  <c r="K2718" i="1"/>
  <c r="E2718" i="1"/>
  <c r="B2718" i="1"/>
  <c r="U2717" i="1"/>
  <c r="K2717" i="1"/>
  <c r="E2717" i="1"/>
  <c r="B2717" i="1"/>
  <c r="U2716" i="1"/>
  <c r="K2716" i="1"/>
  <c r="E2716" i="1"/>
  <c r="B2716" i="1"/>
  <c r="U2715" i="1"/>
  <c r="K2715" i="1"/>
  <c r="E2715" i="1"/>
  <c r="B2715" i="1"/>
  <c r="U2714" i="1"/>
  <c r="K2714" i="1"/>
  <c r="E2714" i="1"/>
  <c r="B2714" i="1"/>
  <c r="U2713" i="1"/>
  <c r="K2713" i="1"/>
  <c r="E2713" i="1"/>
  <c r="B2713" i="1"/>
  <c r="U2712" i="1"/>
  <c r="K2712" i="1"/>
  <c r="E2712" i="1"/>
  <c r="B2712" i="1"/>
  <c r="U2711" i="1"/>
  <c r="K2711" i="1"/>
  <c r="E2711" i="1"/>
  <c r="B2711" i="1"/>
  <c r="U2710" i="1"/>
  <c r="K2710" i="1"/>
  <c r="E2710" i="1"/>
  <c r="B2710" i="1"/>
  <c r="U2709" i="1"/>
  <c r="K2709" i="1"/>
  <c r="E2709" i="1"/>
  <c r="B2709" i="1"/>
  <c r="U2708" i="1"/>
  <c r="K2708" i="1"/>
  <c r="E2708" i="1"/>
  <c r="B2708" i="1"/>
  <c r="U2707" i="1"/>
  <c r="K2707" i="1"/>
  <c r="E2707" i="1"/>
  <c r="B2707" i="1"/>
  <c r="U2706" i="1"/>
  <c r="K2706" i="1"/>
  <c r="E2706" i="1"/>
  <c r="B2706" i="1"/>
  <c r="U2705" i="1"/>
  <c r="K2705" i="1"/>
  <c r="E2705" i="1"/>
  <c r="B2705" i="1"/>
  <c r="U2704" i="1"/>
  <c r="K2704" i="1"/>
  <c r="E2704" i="1"/>
  <c r="B2704" i="1"/>
  <c r="U2703" i="1"/>
  <c r="K2703" i="1"/>
  <c r="E2703" i="1"/>
  <c r="B2703" i="1"/>
  <c r="U2702" i="1"/>
  <c r="K2702" i="1"/>
  <c r="E2702" i="1"/>
  <c r="B2702" i="1"/>
  <c r="U2701" i="1"/>
  <c r="K2701" i="1"/>
  <c r="E2701" i="1"/>
  <c r="B2701" i="1"/>
  <c r="U2700" i="1"/>
  <c r="K2700" i="1"/>
  <c r="E2700" i="1"/>
  <c r="B2700" i="1"/>
  <c r="U2699" i="1"/>
  <c r="K2699" i="1"/>
  <c r="E2699" i="1"/>
  <c r="B2699" i="1"/>
  <c r="U2698" i="1"/>
  <c r="K2698" i="1"/>
  <c r="E2698" i="1"/>
  <c r="B2698" i="1"/>
  <c r="U2697" i="1"/>
  <c r="K2697" i="1"/>
  <c r="E2697" i="1"/>
  <c r="B2697" i="1"/>
  <c r="U2696" i="1"/>
  <c r="K2696" i="1"/>
  <c r="E2696" i="1"/>
  <c r="B2696" i="1"/>
  <c r="U2695" i="1"/>
  <c r="K2695" i="1"/>
  <c r="E2695" i="1"/>
  <c r="B2695" i="1"/>
  <c r="U2694" i="1"/>
  <c r="K2694" i="1"/>
  <c r="H2694" i="1"/>
  <c r="E2694" i="1"/>
  <c r="B2694" i="1"/>
  <c r="U2693" i="1"/>
  <c r="K2693" i="1"/>
  <c r="E2693" i="1"/>
  <c r="B2693" i="1"/>
  <c r="U2692" i="1"/>
  <c r="K2692" i="1"/>
  <c r="E2692" i="1"/>
  <c r="B2692" i="1"/>
  <c r="U2691" i="1"/>
  <c r="K2691" i="1"/>
  <c r="E2691" i="1"/>
  <c r="B2691" i="1"/>
  <c r="U2690" i="1"/>
  <c r="K2690" i="1"/>
  <c r="E2690" i="1"/>
  <c r="B2690" i="1"/>
  <c r="U2689" i="1"/>
  <c r="K2689" i="1"/>
  <c r="E2689" i="1"/>
  <c r="B2689" i="1"/>
  <c r="U2688" i="1"/>
  <c r="K2688" i="1"/>
  <c r="E2688" i="1"/>
  <c r="B2688" i="1"/>
  <c r="U2687" i="1"/>
  <c r="K2687" i="1"/>
  <c r="E2687" i="1"/>
  <c r="B2687" i="1"/>
  <c r="U2686" i="1"/>
  <c r="K2686" i="1"/>
  <c r="E2686" i="1"/>
  <c r="B2686" i="1"/>
  <c r="K2685" i="1"/>
  <c r="E2685" i="1"/>
  <c r="B2685" i="1"/>
  <c r="U2684" i="1"/>
  <c r="K2684" i="1"/>
  <c r="E2684" i="1"/>
  <c r="B2684" i="1"/>
  <c r="U2683" i="1"/>
  <c r="K2683" i="1"/>
  <c r="E2683" i="1"/>
  <c r="B2683" i="1"/>
  <c r="U2682" i="1"/>
  <c r="K2682" i="1"/>
  <c r="E2682" i="1"/>
  <c r="B2682" i="1"/>
  <c r="U2681" i="1"/>
  <c r="K2681" i="1"/>
  <c r="E2681" i="1"/>
  <c r="B2681" i="1"/>
  <c r="U2680" i="1"/>
  <c r="K2680" i="1"/>
  <c r="E2680" i="1"/>
  <c r="B2680" i="1"/>
  <c r="U2679" i="1"/>
  <c r="K2679" i="1"/>
  <c r="E2679" i="1"/>
  <c r="B2679" i="1"/>
  <c r="K2678" i="1"/>
  <c r="E2678" i="1"/>
  <c r="B2678" i="1"/>
  <c r="U2677" i="1"/>
  <c r="K2677" i="1"/>
  <c r="E2677" i="1"/>
  <c r="B2677" i="1"/>
  <c r="U2676" i="1"/>
  <c r="K2676" i="1"/>
  <c r="E2676" i="1"/>
  <c r="B2676" i="1"/>
  <c r="U2675" i="1"/>
  <c r="K2675" i="1"/>
  <c r="E2675" i="1"/>
  <c r="B2675" i="1"/>
  <c r="U2674" i="1"/>
  <c r="K2674" i="1"/>
  <c r="E2674" i="1"/>
  <c r="B2674" i="1"/>
  <c r="U2673" i="1"/>
  <c r="K2673" i="1"/>
  <c r="E2673" i="1"/>
  <c r="B2673" i="1"/>
  <c r="U2672" i="1"/>
  <c r="K2672" i="1"/>
  <c r="E2672" i="1"/>
  <c r="B2672" i="1"/>
  <c r="U2671" i="1"/>
  <c r="K2671" i="1"/>
  <c r="E2671" i="1"/>
  <c r="B2671" i="1"/>
  <c r="U2670" i="1"/>
  <c r="K2670" i="1"/>
  <c r="E2670" i="1"/>
  <c r="B2670" i="1"/>
  <c r="U2669" i="1"/>
  <c r="K2669" i="1"/>
  <c r="E2669" i="1"/>
  <c r="B2669" i="1"/>
  <c r="U2668" i="1"/>
  <c r="K2668" i="1"/>
  <c r="E2668" i="1"/>
  <c r="B2668" i="1"/>
  <c r="U2667" i="1"/>
  <c r="K2667" i="1"/>
  <c r="E2667" i="1"/>
  <c r="B2667" i="1"/>
  <c r="U2666" i="1"/>
  <c r="K2666" i="1"/>
  <c r="E2666" i="1"/>
  <c r="B2666" i="1"/>
  <c r="U2665" i="1"/>
  <c r="K2665" i="1"/>
  <c r="E2665" i="1"/>
  <c r="B2665" i="1"/>
  <c r="U2664" i="1"/>
  <c r="K2664" i="1"/>
  <c r="E2664" i="1"/>
  <c r="B2664" i="1"/>
  <c r="U2663" i="1"/>
  <c r="K2663" i="1"/>
  <c r="E2663" i="1"/>
  <c r="B2663" i="1"/>
  <c r="U2662" i="1"/>
  <c r="K2662" i="1"/>
  <c r="E2662" i="1"/>
  <c r="B2662" i="1"/>
  <c r="U2661" i="1"/>
  <c r="K2661" i="1"/>
  <c r="E2661" i="1"/>
  <c r="B2661" i="1"/>
  <c r="U2660" i="1"/>
  <c r="K2660" i="1"/>
  <c r="E2660" i="1"/>
  <c r="B2660" i="1"/>
  <c r="U2659" i="1"/>
  <c r="K2659" i="1"/>
  <c r="E2659" i="1"/>
  <c r="B2659" i="1"/>
  <c r="U2658" i="1"/>
  <c r="K2658" i="1"/>
  <c r="E2658" i="1"/>
  <c r="B2658" i="1"/>
  <c r="U2657" i="1"/>
  <c r="K2657" i="1"/>
  <c r="E2657" i="1"/>
  <c r="B2657" i="1"/>
  <c r="U2656" i="1"/>
  <c r="K2656" i="1"/>
  <c r="E2656" i="1"/>
  <c r="B2656" i="1"/>
  <c r="K2655" i="1"/>
  <c r="E2655" i="1"/>
  <c r="B2655" i="1"/>
  <c r="U2654" i="1"/>
  <c r="K2654" i="1"/>
  <c r="E2654" i="1"/>
  <c r="B2654" i="1"/>
  <c r="U2653" i="1"/>
  <c r="K2653" i="1"/>
  <c r="E2653" i="1"/>
  <c r="B2653" i="1"/>
  <c r="U2652" i="1"/>
  <c r="K2652" i="1"/>
  <c r="E2652" i="1"/>
  <c r="B2652" i="1"/>
  <c r="U2651" i="1"/>
  <c r="K2651" i="1"/>
  <c r="E2651" i="1"/>
  <c r="B2651" i="1"/>
  <c r="U2650" i="1"/>
  <c r="K2650" i="1"/>
  <c r="E2650" i="1"/>
  <c r="B2650" i="1"/>
  <c r="U2649" i="1"/>
  <c r="K2649" i="1"/>
  <c r="E2649" i="1"/>
  <c r="B2649" i="1"/>
  <c r="U2648" i="1"/>
  <c r="K2648" i="1"/>
  <c r="E2648" i="1"/>
  <c r="B2648" i="1"/>
  <c r="U2647" i="1"/>
  <c r="K2647" i="1"/>
  <c r="E2647" i="1"/>
  <c r="B2647" i="1"/>
  <c r="U2646" i="1"/>
  <c r="K2646" i="1"/>
  <c r="E2646" i="1"/>
  <c r="B2646" i="1"/>
  <c r="U2645" i="1"/>
  <c r="K2645" i="1"/>
  <c r="E2645" i="1"/>
  <c r="B2645" i="1"/>
  <c r="U2644" i="1"/>
  <c r="K2644" i="1"/>
  <c r="E2644" i="1"/>
  <c r="B2644" i="1"/>
  <c r="U2643" i="1"/>
  <c r="K2643" i="1"/>
  <c r="E2643" i="1"/>
  <c r="B2643" i="1"/>
  <c r="U2642" i="1"/>
  <c r="K2642" i="1"/>
  <c r="E2642" i="1"/>
  <c r="B2642" i="1"/>
  <c r="U2641" i="1"/>
  <c r="K2641" i="1"/>
  <c r="E2641" i="1"/>
  <c r="B2641" i="1"/>
  <c r="U2640" i="1"/>
  <c r="K2640" i="1"/>
  <c r="E2640" i="1"/>
  <c r="B2640" i="1"/>
  <c r="U2639" i="1"/>
  <c r="K2639" i="1"/>
  <c r="E2639" i="1"/>
  <c r="B2639" i="1"/>
  <c r="U2638" i="1"/>
  <c r="K2638" i="1"/>
  <c r="E2638" i="1"/>
  <c r="B2638" i="1"/>
  <c r="U2637" i="1"/>
  <c r="K2637" i="1"/>
  <c r="E2637" i="1"/>
  <c r="B2637" i="1"/>
  <c r="U2636" i="1"/>
  <c r="K2636" i="1"/>
  <c r="E2636" i="1"/>
  <c r="B2636" i="1"/>
  <c r="U2635" i="1"/>
  <c r="K2635" i="1"/>
  <c r="E2635" i="1"/>
  <c r="B2635" i="1"/>
  <c r="U2634" i="1"/>
  <c r="K2634" i="1"/>
  <c r="E2634" i="1"/>
  <c r="B2634" i="1"/>
  <c r="U2633" i="1"/>
  <c r="K2633" i="1"/>
  <c r="E2633" i="1"/>
  <c r="B2633" i="1"/>
  <c r="U2632" i="1"/>
  <c r="K2632" i="1"/>
  <c r="E2632" i="1"/>
  <c r="B2632" i="1"/>
  <c r="U2631" i="1"/>
  <c r="K2631" i="1"/>
  <c r="E2631" i="1"/>
  <c r="B2631" i="1"/>
  <c r="U2630" i="1"/>
  <c r="K2630" i="1"/>
  <c r="E2630" i="1"/>
  <c r="B2630" i="1"/>
  <c r="U2629" i="1"/>
  <c r="K2629" i="1"/>
  <c r="E2629" i="1"/>
  <c r="B2629" i="1"/>
  <c r="U2628" i="1"/>
  <c r="K2628" i="1"/>
  <c r="E2628" i="1"/>
  <c r="B2628" i="1"/>
  <c r="U2627" i="1"/>
  <c r="K2627" i="1"/>
  <c r="E2627" i="1"/>
  <c r="B2627" i="1"/>
  <c r="U2626" i="1"/>
  <c r="K2626" i="1"/>
  <c r="E2626" i="1"/>
  <c r="B2626" i="1"/>
  <c r="K2625" i="1"/>
  <c r="E2625" i="1"/>
  <c r="B2625" i="1"/>
  <c r="U2624" i="1"/>
  <c r="K2624" i="1"/>
  <c r="E2624" i="1"/>
  <c r="B2624" i="1"/>
  <c r="U2623" i="1"/>
  <c r="K2623" i="1"/>
  <c r="E2623" i="1"/>
  <c r="B2623" i="1"/>
  <c r="U2622" i="1"/>
  <c r="K2622" i="1"/>
  <c r="E2622" i="1"/>
  <c r="B2622" i="1"/>
  <c r="U2621" i="1"/>
  <c r="K2621" i="1"/>
  <c r="E2621" i="1"/>
  <c r="B2621" i="1"/>
  <c r="U2620" i="1"/>
  <c r="K2620" i="1"/>
  <c r="E2620" i="1"/>
  <c r="B2620" i="1"/>
  <c r="U2619" i="1"/>
  <c r="K2619" i="1"/>
  <c r="E2619" i="1"/>
  <c r="B2619" i="1"/>
  <c r="U2618" i="1"/>
  <c r="K2618" i="1"/>
  <c r="E2618" i="1"/>
  <c r="B2618" i="1"/>
  <c r="U2617" i="1"/>
  <c r="K2617" i="1"/>
  <c r="E2617" i="1"/>
  <c r="B2617" i="1"/>
  <c r="U2616" i="1"/>
  <c r="K2616" i="1"/>
  <c r="E2616" i="1"/>
  <c r="B2616" i="1"/>
  <c r="U2615" i="1"/>
  <c r="K2615" i="1"/>
  <c r="E2615" i="1"/>
  <c r="B2615" i="1"/>
  <c r="U2614" i="1"/>
  <c r="K2614" i="1"/>
  <c r="E2614" i="1"/>
  <c r="B2614" i="1"/>
  <c r="U2613" i="1"/>
  <c r="K2613" i="1"/>
  <c r="E2613" i="1"/>
  <c r="B2613" i="1"/>
  <c r="U2612" i="1"/>
  <c r="K2612" i="1"/>
  <c r="E2612" i="1"/>
  <c r="B2612" i="1"/>
  <c r="U2611" i="1"/>
  <c r="K2611" i="1"/>
  <c r="E2611" i="1"/>
  <c r="B2611" i="1"/>
  <c r="U2610" i="1"/>
  <c r="K2610" i="1"/>
  <c r="E2610" i="1"/>
  <c r="B2610" i="1"/>
  <c r="U2609" i="1"/>
  <c r="K2609" i="1"/>
  <c r="E2609" i="1"/>
  <c r="B2609" i="1"/>
  <c r="U2608" i="1"/>
  <c r="K2608" i="1"/>
  <c r="E2608" i="1"/>
  <c r="B2608" i="1"/>
  <c r="U2607" i="1"/>
  <c r="K2607" i="1"/>
  <c r="E2607" i="1"/>
  <c r="B2607" i="1"/>
  <c r="U2606" i="1"/>
  <c r="K2606" i="1"/>
  <c r="E2606" i="1"/>
  <c r="B2606" i="1"/>
  <c r="U2605" i="1"/>
  <c r="K2605" i="1"/>
  <c r="E2605" i="1"/>
  <c r="B2605" i="1"/>
  <c r="U2604" i="1"/>
  <c r="K2604" i="1"/>
  <c r="E2604" i="1"/>
  <c r="B2604" i="1"/>
  <c r="U2603" i="1"/>
  <c r="K2603" i="1"/>
  <c r="E2603" i="1"/>
  <c r="B2603" i="1"/>
  <c r="U2602" i="1"/>
  <c r="K2602" i="1"/>
  <c r="E2602" i="1"/>
  <c r="B2602" i="1"/>
  <c r="U2601" i="1"/>
  <c r="K2601" i="1"/>
  <c r="E2601" i="1"/>
  <c r="B2601" i="1"/>
  <c r="U2600" i="1"/>
  <c r="K2600" i="1"/>
  <c r="E2600" i="1"/>
  <c r="B2600" i="1"/>
  <c r="U2599" i="1"/>
  <c r="K2599" i="1"/>
  <c r="E2599" i="1"/>
  <c r="B2599" i="1"/>
  <c r="U2598" i="1"/>
  <c r="K2598" i="1"/>
  <c r="E2598" i="1"/>
  <c r="B2598" i="1"/>
  <c r="U2597" i="1"/>
  <c r="K2597" i="1"/>
  <c r="E2597" i="1"/>
  <c r="B2597" i="1"/>
  <c r="U2596" i="1"/>
  <c r="K2596" i="1"/>
  <c r="E2596" i="1"/>
  <c r="B2596" i="1"/>
  <c r="U2595" i="1"/>
  <c r="K2595" i="1"/>
  <c r="E2595" i="1"/>
  <c r="B2595" i="1"/>
  <c r="U2594" i="1"/>
  <c r="K2594" i="1"/>
  <c r="E2594" i="1"/>
  <c r="B2594" i="1"/>
  <c r="U2593" i="1"/>
  <c r="K2593" i="1"/>
  <c r="E2593" i="1"/>
  <c r="B2593" i="1"/>
  <c r="U2592" i="1"/>
  <c r="K2592" i="1"/>
  <c r="E2592" i="1"/>
  <c r="B2592" i="1"/>
  <c r="U2591" i="1"/>
  <c r="K2591" i="1"/>
  <c r="E2591" i="1"/>
  <c r="B2591" i="1"/>
  <c r="U2590" i="1"/>
  <c r="K2590" i="1"/>
  <c r="H2590" i="1"/>
  <c r="E2590" i="1"/>
  <c r="B2590" i="1"/>
  <c r="U2589" i="1"/>
  <c r="K2589" i="1"/>
  <c r="E2589" i="1"/>
  <c r="B2589" i="1"/>
  <c r="U2588" i="1"/>
  <c r="K2588" i="1"/>
  <c r="E2588" i="1"/>
  <c r="B2588" i="1"/>
  <c r="U2587" i="1"/>
  <c r="K2587" i="1"/>
  <c r="E2587" i="1"/>
  <c r="B2587" i="1"/>
  <c r="U2586" i="1"/>
  <c r="K2586" i="1"/>
  <c r="E2586" i="1"/>
  <c r="B2586" i="1"/>
  <c r="U2585" i="1"/>
  <c r="K2585" i="1"/>
  <c r="E2585" i="1"/>
  <c r="B2585" i="1"/>
  <c r="U2584" i="1"/>
  <c r="K2584" i="1"/>
  <c r="E2584" i="1"/>
  <c r="B2584" i="1"/>
  <c r="U2583" i="1"/>
  <c r="K2583" i="1"/>
  <c r="E2583" i="1"/>
  <c r="B2583" i="1"/>
  <c r="U2582" i="1"/>
  <c r="K2582" i="1"/>
  <c r="E2582" i="1"/>
  <c r="B2582" i="1"/>
  <c r="U2581" i="1"/>
  <c r="K2581" i="1"/>
  <c r="E2581" i="1"/>
  <c r="B2581" i="1"/>
  <c r="U2580" i="1"/>
  <c r="K2580" i="1"/>
  <c r="E2580" i="1"/>
  <c r="B2580" i="1"/>
  <c r="U2579" i="1"/>
  <c r="K2579" i="1"/>
  <c r="E2579" i="1"/>
  <c r="B2579" i="1"/>
  <c r="U2578" i="1"/>
  <c r="K2578" i="1"/>
  <c r="E2578" i="1"/>
  <c r="B2578" i="1"/>
  <c r="U2577" i="1"/>
  <c r="K2577" i="1"/>
  <c r="E2577" i="1"/>
  <c r="B2577" i="1"/>
  <c r="U2576" i="1"/>
  <c r="K2576" i="1"/>
  <c r="E2576" i="1"/>
  <c r="B2576" i="1"/>
  <c r="U2575" i="1"/>
  <c r="K2575" i="1"/>
  <c r="E2575" i="1"/>
  <c r="B2575" i="1"/>
  <c r="U2574" i="1"/>
  <c r="K2574" i="1"/>
  <c r="E2574" i="1"/>
  <c r="B2574" i="1"/>
  <c r="U2573" i="1"/>
  <c r="K2573" i="1"/>
  <c r="E2573" i="1"/>
  <c r="B2573" i="1"/>
  <c r="U2572" i="1"/>
  <c r="K2572" i="1"/>
  <c r="E2572" i="1"/>
  <c r="B2572" i="1"/>
  <c r="U2571" i="1"/>
  <c r="K2571" i="1"/>
  <c r="E2571" i="1"/>
  <c r="B2571" i="1"/>
  <c r="U2570" i="1"/>
  <c r="K2570" i="1"/>
  <c r="E2570" i="1"/>
  <c r="B2570" i="1"/>
  <c r="U2569" i="1"/>
  <c r="K2569" i="1"/>
  <c r="E2569" i="1"/>
  <c r="B2569" i="1"/>
  <c r="U2568" i="1"/>
  <c r="K2568" i="1"/>
  <c r="E2568" i="1"/>
  <c r="B2568" i="1"/>
  <c r="U2567" i="1"/>
  <c r="K2567" i="1"/>
  <c r="E2567" i="1"/>
  <c r="B2567" i="1"/>
  <c r="U2566" i="1"/>
  <c r="K2566" i="1"/>
  <c r="E2566" i="1"/>
  <c r="B2566" i="1"/>
  <c r="U2565" i="1"/>
  <c r="K2565" i="1"/>
  <c r="E2565" i="1"/>
  <c r="B2565" i="1"/>
  <c r="U2564" i="1"/>
  <c r="K2564" i="1"/>
  <c r="E2564" i="1"/>
  <c r="B2564" i="1"/>
  <c r="U2563" i="1"/>
  <c r="K2563" i="1"/>
  <c r="E2563" i="1"/>
  <c r="B2563" i="1"/>
  <c r="U2562" i="1"/>
  <c r="K2562" i="1"/>
  <c r="E2562" i="1"/>
  <c r="B2562" i="1"/>
  <c r="U2561" i="1"/>
  <c r="K2561" i="1"/>
  <c r="E2561" i="1"/>
  <c r="B2561" i="1"/>
  <c r="U2560" i="1"/>
  <c r="K2560" i="1"/>
  <c r="E2560" i="1"/>
  <c r="B2560" i="1"/>
  <c r="U2559" i="1"/>
  <c r="K2559" i="1"/>
  <c r="E2559" i="1"/>
  <c r="B2559" i="1"/>
  <c r="U2558" i="1"/>
  <c r="K2558" i="1"/>
  <c r="E2558" i="1"/>
  <c r="B2558" i="1"/>
  <c r="U2557" i="1"/>
  <c r="K2557" i="1"/>
  <c r="E2557" i="1"/>
  <c r="B2557" i="1"/>
  <c r="U2556" i="1"/>
  <c r="K2556" i="1"/>
  <c r="E2556" i="1"/>
  <c r="B2556" i="1"/>
  <c r="U2555" i="1"/>
  <c r="K2555" i="1"/>
  <c r="E2555" i="1"/>
  <c r="B2555" i="1"/>
  <c r="U2554" i="1"/>
  <c r="K2554" i="1"/>
  <c r="E2554" i="1"/>
  <c r="B2554" i="1"/>
  <c r="U2553" i="1"/>
  <c r="K2553" i="1"/>
  <c r="E2553" i="1"/>
  <c r="B2553" i="1"/>
  <c r="U2552" i="1"/>
  <c r="K2552" i="1"/>
  <c r="E2552" i="1"/>
  <c r="B2552" i="1"/>
  <c r="U2551" i="1"/>
  <c r="K2551" i="1"/>
  <c r="E2551" i="1"/>
  <c r="B2551" i="1"/>
  <c r="U2550" i="1"/>
  <c r="K2550" i="1"/>
  <c r="E2550" i="1"/>
  <c r="B2550" i="1"/>
  <c r="U2549" i="1"/>
  <c r="K2549" i="1"/>
  <c r="E2549" i="1"/>
  <c r="B2549" i="1"/>
  <c r="U2548" i="1"/>
  <c r="K2548" i="1"/>
  <c r="E2548" i="1"/>
  <c r="B2548" i="1"/>
  <c r="U2547" i="1"/>
  <c r="K2547" i="1"/>
  <c r="E2547" i="1"/>
  <c r="B2547" i="1"/>
  <c r="U2546" i="1"/>
  <c r="K2546" i="1"/>
  <c r="E2546" i="1"/>
  <c r="B2546" i="1"/>
  <c r="U2545" i="1"/>
  <c r="K2545" i="1"/>
  <c r="E2545" i="1"/>
  <c r="B2545" i="1"/>
  <c r="U2544" i="1"/>
  <c r="K2544" i="1"/>
  <c r="E2544" i="1"/>
  <c r="B2544" i="1"/>
  <c r="U2543" i="1"/>
  <c r="K2543" i="1"/>
  <c r="E2543" i="1"/>
  <c r="B2543" i="1"/>
  <c r="U2542" i="1"/>
  <c r="K2542" i="1"/>
  <c r="E2542" i="1"/>
  <c r="B2542" i="1"/>
  <c r="U2541" i="1"/>
  <c r="K2541" i="1"/>
  <c r="E2541" i="1"/>
  <c r="B2541" i="1"/>
  <c r="U2540" i="1"/>
  <c r="K2540" i="1"/>
  <c r="E2540" i="1"/>
  <c r="B2540" i="1"/>
  <c r="U2539" i="1"/>
  <c r="K2539" i="1"/>
  <c r="E2539" i="1"/>
  <c r="B2539" i="1"/>
  <c r="U2538" i="1"/>
  <c r="K2538" i="1"/>
  <c r="E2538" i="1"/>
  <c r="B2538" i="1"/>
  <c r="U2537" i="1"/>
  <c r="K2537" i="1"/>
  <c r="E2537" i="1"/>
  <c r="B2537" i="1"/>
  <c r="U2536" i="1"/>
  <c r="K2536" i="1"/>
  <c r="E2536" i="1"/>
  <c r="B2536" i="1"/>
  <c r="U2535" i="1"/>
  <c r="K2535" i="1"/>
  <c r="E2535" i="1"/>
  <c r="B2535" i="1"/>
  <c r="U2534" i="1"/>
  <c r="K2534" i="1"/>
  <c r="E2534" i="1"/>
  <c r="B2534" i="1"/>
  <c r="U2533" i="1"/>
  <c r="K2533" i="1"/>
  <c r="E2533" i="1"/>
  <c r="B2533" i="1"/>
  <c r="U2532" i="1"/>
  <c r="K2532" i="1"/>
  <c r="E2532" i="1"/>
  <c r="B2532" i="1"/>
  <c r="U2531" i="1"/>
  <c r="K2531" i="1"/>
  <c r="E2531" i="1"/>
  <c r="B2531" i="1"/>
  <c r="U2530" i="1"/>
  <c r="K2530" i="1"/>
  <c r="E2530" i="1"/>
  <c r="B2530" i="1"/>
  <c r="U2529" i="1"/>
  <c r="K2529" i="1"/>
  <c r="E2529" i="1"/>
  <c r="B2529" i="1"/>
  <c r="U2528" i="1"/>
  <c r="K2528" i="1"/>
  <c r="E2528" i="1"/>
  <c r="B2528" i="1"/>
  <c r="U2527" i="1"/>
  <c r="K2527" i="1"/>
  <c r="E2527" i="1"/>
  <c r="B2527" i="1"/>
  <c r="U2526" i="1"/>
  <c r="K2526" i="1"/>
  <c r="E2526" i="1"/>
  <c r="B2526" i="1"/>
  <c r="U2525" i="1"/>
  <c r="K2525" i="1"/>
  <c r="E2525" i="1"/>
  <c r="B2525" i="1"/>
  <c r="U2524" i="1"/>
  <c r="K2524" i="1"/>
  <c r="E2524" i="1"/>
  <c r="B2524" i="1"/>
  <c r="U2523" i="1"/>
  <c r="K2523" i="1"/>
  <c r="E2523" i="1"/>
  <c r="B2523" i="1"/>
  <c r="U2522" i="1"/>
  <c r="K2522" i="1"/>
  <c r="E2522" i="1"/>
  <c r="B2522" i="1"/>
  <c r="U2521" i="1"/>
  <c r="K2521" i="1"/>
  <c r="E2521" i="1"/>
  <c r="B2521" i="1"/>
  <c r="U2520" i="1"/>
  <c r="K2520" i="1"/>
  <c r="E2520" i="1"/>
  <c r="B2520" i="1"/>
  <c r="U2519" i="1"/>
  <c r="K2519" i="1"/>
  <c r="E2519" i="1"/>
  <c r="B2519" i="1"/>
  <c r="U2518" i="1"/>
  <c r="K2518" i="1"/>
  <c r="E2518" i="1"/>
  <c r="B2518" i="1"/>
  <c r="U2517" i="1"/>
  <c r="K2517" i="1"/>
  <c r="E2517" i="1"/>
  <c r="B2517" i="1"/>
  <c r="U2516" i="1"/>
  <c r="K2516" i="1"/>
  <c r="E2516" i="1"/>
  <c r="B2516" i="1"/>
  <c r="U2515" i="1"/>
  <c r="K2515" i="1"/>
  <c r="E2515" i="1"/>
  <c r="B2515" i="1"/>
  <c r="U2514" i="1"/>
  <c r="K2514" i="1"/>
  <c r="E2514" i="1"/>
  <c r="B2514" i="1"/>
  <c r="U2513" i="1"/>
  <c r="K2513" i="1"/>
  <c r="E2513" i="1"/>
  <c r="B2513" i="1"/>
  <c r="U2512" i="1"/>
  <c r="K2512" i="1"/>
  <c r="E2512" i="1"/>
  <c r="B2512" i="1"/>
  <c r="U2511" i="1"/>
  <c r="K2511" i="1"/>
  <c r="E2511" i="1"/>
  <c r="B2511" i="1"/>
  <c r="U2510" i="1"/>
  <c r="K2510" i="1"/>
  <c r="E2510" i="1"/>
  <c r="B2510" i="1"/>
  <c r="U2509" i="1"/>
  <c r="K2509" i="1"/>
  <c r="E2509" i="1"/>
  <c r="B2509" i="1"/>
  <c r="K2508" i="1"/>
  <c r="E2508" i="1"/>
  <c r="B2508" i="1"/>
  <c r="U2507" i="1"/>
  <c r="K2507" i="1"/>
  <c r="E2507" i="1"/>
  <c r="B2507" i="1"/>
  <c r="U2506" i="1"/>
  <c r="K2506" i="1"/>
  <c r="E2506" i="1"/>
  <c r="B2506" i="1"/>
  <c r="U2505" i="1"/>
  <c r="K2505" i="1"/>
  <c r="E2505" i="1"/>
  <c r="B2505" i="1"/>
  <c r="U2504" i="1"/>
  <c r="K2504" i="1"/>
  <c r="E2504" i="1"/>
  <c r="B2504" i="1"/>
  <c r="U2503" i="1"/>
  <c r="K2503" i="1"/>
  <c r="E2503" i="1"/>
  <c r="B2503" i="1"/>
  <c r="U2502" i="1"/>
  <c r="K2502" i="1"/>
  <c r="E2502" i="1"/>
  <c r="B2502" i="1"/>
  <c r="U2501" i="1"/>
  <c r="K2501" i="1"/>
  <c r="E2501" i="1"/>
  <c r="B2501" i="1"/>
  <c r="U2500" i="1"/>
  <c r="K2500" i="1"/>
  <c r="E2500" i="1"/>
  <c r="B2500" i="1"/>
  <c r="U2499" i="1"/>
  <c r="K2499" i="1"/>
  <c r="E2499" i="1"/>
  <c r="B2499" i="1"/>
  <c r="K2498" i="1"/>
  <c r="E2498" i="1"/>
  <c r="B2498" i="1"/>
  <c r="U2497" i="1"/>
  <c r="K2497" i="1"/>
  <c r="E2497" i="1"/>
  <c r="B2497" i="1"/>
  <c r="U2496" i="1"/>
  <c r="K2496" i="1"/>
  <c r="E2496" i="1"/>
  <c r="B2496" i="1"/>
  <c r="U2495" i="1"/>
  <c r="K2495" i="1"/>
  <c r="E2495" i="1"/>
  <c r="B2495" i="1"/>
  <c r="U2494" i="1"/>
  <c r="K2494" i="1"/>
  <c r="E2494" i="1"/>
  <c r="B2494" i="1"/>
  <c r="U2493" i="1"/>
  <c r="K2493" i="1"/>
  <c r="E2493" i="1"/>
  <c r="B2493" i="1"/>
  <c r="U2492" i="1"/>
  <c r="K2492" i="1"/>
  <c r="E2492" i="1"/>
  <c r="B2492" i="1"/>
  <c r="U2491" i="1"/>
  <c r="K2491" i="1"/>
  <c r="E2491" i="1"/>
  <c r="B2491" i="1"/>
  <c r="U2490" i="1"/>
  <c r="K2490" i="1"/>
  <c r="E2490" i="1"/>
  <c r="B2490" i="1"/>
  <c r="U2489" i="1"/>
  <c r="K2489" i="1"/>
  <c r="H2489" i="1"/>
  <c r="E2489" i="1"/>
  <c r="B2489" i="1"/>
  <c r="U2488" i="1"/>
  <c r="K2488" i="1"/>
  <c r="E2488" i="1"/>
  <c r="B2488" i="1"/>
  <c r="U2487" i="1"/>
  <c r="K2487" i="1"/>
  <c r="E2487" i="1"/>
  <c r="B2487" i="1"/>
  <c r="U2486" i="1"/>
  <c r="K2486" i="1"/>
  <c r="E2486" i="1"/>
  <c r="B2486" i="1"/>
  <c r="U2485" i="1"/>
  <c r="K2485" i="1"/>
  <c r="E2485" i="1"/>
  <c r="B2485" i="1"/>
  <c r="U2484" i="1"/>
  <c r="K2484" i="1"/>
  <c r="E2484" i="1"/>
  <c r="B2484" i="1"/>
  <c r="U2483" i="1"/>
  <c r="K2483" i="1"/>
  <c r="E2483" i="1"/>
  <c r="B2483" i="1"/>
  <c r="U2482" i="1"/>
  <c r="K2482" i="1"/>
  <c r="E2482" i="1"/>
  <c r="B2482" i="1"/>
  <c r="U2481" i="1"/>
  <c r="K2481" i="1"/>
  <c r="E2481" i="1"/>
  <c r="B2481" i="1"/>
  <c r="U2480" i="1"/>
  <c r="K2480" i="1"/>
  <c r="E2480" i="1"/>
  <c r="B2480" i="1"/>
  <c r="U2479" i="1"/>
  <c r="K2479" i="1"/>
  <c r="E2479" i="1"/>
  <c r="B2479" i="1"/>
  <c r="U2478" i="1"/>
  <c r="K2478" i="1"/>
  <c r="E2478" i="1"/>
  <c r="B2478" i="1"/>
  <c r="U2477" i="1"/>
  <c r="K2477" i="1"/>
  <c r="E2477" i="1"/>
  <c r="B2477" i="1"/>
  <c r="U2476" i="1"/>
  <c r="K2476" i="1"/>
  <c r="E2476" i="1"/>
  <c r="B2476" i="1"/>
  <c r="U2475" i="1"/>
  <c r="K2475" i="1"/>
  <c r="E2475" i="1"/>
  <c r="B2475" i="1"/>
  <c r="U2474" i="1"/>
  <c r="K2474" i="1"/>
  <c r="E2474" i="1"/>
  <c r="B2474" i="1"/>
  <c r="U2473" i="1"/>
  <c r="K2473" i="1"/>
  <c r="E2473" i="1"/>
  <c r="B2473" i="1"/>
  <c r="U2472" i="1"/>
  <c r="K2472" i="1"/>
  <c r="E2472" i="1"/>
  <c r="B2472" i="1"/>
  <c r="U2471" i="1"/>
  <c r="K2471" i="1"/>
  <c r="E2471" i="1"/>
  <c r="B2471" i="1"/>
  <c r="U2470" i="1"/>
  <c r="K2470" i="1"/>
  <c r="E2470" i="1"/>
  <c r="B2470" i="1"/>
  <c r="U2469" i="1"/>
  <c r="K2469" i="1"/>
  <c r="E2469" i="1"/>
  <c r="B2469" i="1"/>
  <c r="U2468" i="1"/>
  <c r="K2468" i="1"/>
  <c r="E2468" i="1"/>
  <c r="B2468" i="1"/>
  <c r="U2467" i="1"/>
  <c r="K2467" i="1"/>
  <c r="E2467" i="1"/>
  <c r="B2467" i="1"/>
  <c r="U2466" i="1"/>
  <c r="K2466" i="1"/>
  <c r="E2466" i="1"/>
  <c r="B2466" i="1"/>
  <c r="U2465" i="1"/>
  <c r="K2465" i="1"/>
  <c r="E2465" i="1"/>
  <c r="B2465" i="1"/>
  <c r="U2464" i="1"/>
  <c r="K2464" i="1"/>
  <c r="E2464" i="1"/>
  <c r="B2464" i="1"/>
  <c r="U2463" i="1"/>
  <c r="K2463" i="1"/>
  <c r="E2463" i="1"/>
  <c r="B2463" i="1"/>
  <c r="U2462" i="1"/>
  <c r="K2462" i="1"/>
  <c r="E2462" i="1"/>
  <c r="B2462" i="1"/>
  <c r="U2461" i="1"/>
  <c r="K2461" i="1"/>
  <c r="E2461" i="1"/>
  <c r="B2461" i="1"/>
  <c r="U2460" i="1"/>
  <c r="K2460" i="1"/>
  <c r="E2460" i="1"/>
  <c r="B2460" i="1"/>
  <c r="U2459" i="1"/>
  <c r="K2459" i="1"/>
  <c r="E2459" i="1"/>
  <c r="B2459" i="1"/>
  <c r="U2458" i="1"/>
  <c r="K2458" i="1"/>
  <c r="E2458" i="1"/>
  <c r="B2458" i="1"/>
  <c r="U2457" i="1"/>
  <c r="K2457" i="1"/>
  <c r="E2457" i="1"/>
  <c r="B2457" i="1"/>
  <c r="U2456" i="1"/>
  <c r="K2456" i="1"/>
  <c r="E2456" i="1"/>
  <c r="B2456" i="1"/>
  <c r="U2455" i="1"/>
  <c r="K2455" i="1"/>
  <c r="E2455" i="1"/>
  <c r="B2455" i="1"/>
  <c r="U2454" i="1"/>
  <c r="K2454" i="1"/>
  <c r="E2454" i="1"/>
  <c r="B2454" i="1"/>
  <c r="U2453" i="1"/>
  <c r="K2453" i="1"/>
  <c r="E2453" i="1"/>
  <c r="B2453" i="1"/>
  <c r="U2452" i="1"/>
  <c r="K2452" i="1"/>
  <c r="E2452" i="1"/>
  <c r="B2452" i="1"/>
  <c r="U2451" i="1"/>
  <c r="K2451" i="1"/>
  <c r="E2451" i="1"/>
  <c r="B2451" i="1"/>
  <c r="U2450" i="1"/>
  <c r="K2450" i="1"/>
  <c r="E2450" i="1"/>
  <c r="B2450" i="1"/>
  <c r="U2449" i="1"/>
  <c r="K2449" i="1"/>
  <c r="E2449" i="1"/>
  <c r="B2449" i="1"/>
  <c r="U2448" i="1"/>
  <c r="K2448" i="1"/>
  <c r="E2448" i="1"/>
  <c r="B2448" i="1"/>
  <c r="U2447" i="1"/>
  <c r="K2447" i="1"/>
  <c r="E2447" i="1"/>
  <c r="B2447" i="1"/>
  <c r="U2446" i="1"/>
  <c r="K2446" i="1"/>
  <c r="E2446" i="1"/>
  <c r="B2446" i="1"/>
  <c r="U2445" i="1"/>
  <c r="K2445" i="1"/>
  <c r="E2445" i="1"/>
  <c r="B2445" i="1"/>
  <c r="U2444" i="1"/>
  <c r="K2444" i="1"/>
  <c r="E2444" i="1"/>
  <c r="B2444" i="1"/>
  <c r="U2443" i="1"/>
  <c r="K2443" i="1"/>
  <c r="E2443" i="1"/>
  <c r="B2443" i="1"/>
  <c r="U2442" i="1"/>
  <c r="K2442" i="1"/>
  <c r="E2442" i="1"/>
  <c r="B2442" i="1"/>
  <c r="U2441" i="1"/>
  <c r="K2441" i="1"/>
  <c r="E2441" i="1"/>
  <c r="B2441" i="1"/>
  <c r="U2440" i="1"/>
  <c r="K2440" i="1"/>
  <c r="E2440" i="1"/>
  <c r="B2440" i="1"/>
  <c r="U2439" i="1"/>
  <c r="K2439" i="1"/>
  <c r="E2439" i="1"/>
  <c r="B2439" i="1"/>
  <c r="U2438" i="1"/>
  <c r="K2438" i="1"/>
  <c r="E2438" i="1"/>
  <c r="B2438" i="1"/>
  <c r="U2437" i="1"/>
  <c r="K2437" i="1"/>
  <c r="E2437" i="1"/>
  <c r="B2437" i="1"/>
  <c r="U2436" i="1"/>
  <c r="K2436" i="1"/>
  <c r="E2436" i="1"/>
  <c r="B2436" i="1"/>
  <c r="U2435" i="1"/>
  <c r="K2435" i="1"/>
  <c r="E2435" i="1"/>
  <c r="B2435" i="1"/>
  <c r="U2434" i="1"/>
  <c r="K2434" i="1"/>
  <c r="E2434" i="1"/>
  <c r="B2434" i="1"/>
  <c r="U2433" i="1"/>
  <c r="K2433" i="1"/>
  <c r="E2433" i="1"/>
  <c r="B2433" i="1"/>
  <c r="U2432" i="1"/>
  <c r="K2432" i="1"/>
  <c r="E2432" i="1"/>
  <c r="B2432" i="1"/>
  <c r="U2431" i="1"/>
  <c r="K2431" i="1"/>
  <c r="E2431" i="1"/>
  <c r="B2431" i="1"/>
  <c r="U2430" i="1"/>
  <c r="K2430" i="1"/>
  <c r="E2430" i="1"/>
  <c r="B2430" i="1"/>
  <c r="U2429" i="1"/>
  <c r="K2429" i="1"/>
  <c r="E2429" i="1"/>
  <c r="B2429" i="1"/>
  <c r="U2428" i="1"/>
  <c r="K2428" i="1"/>
  <c r="E2428" i="1"/>
  <c r="B2428" i="1"/>
  <c r="U2427" i="1"/>
  <c r="K2427" i="1"/>
  <c r="E2427" i="1"/>
  <c r="B2427" i="1"/>
  <c r="U2426" i="1"/>
  <c r="K2426" i="1"/>
  <c r="E2426" i="1"/>
  <c r="B2426" i="1"/>
  <c r="U2425" i="1"/>
  <c r="K2425" i="1"/>
  <c r="E2425" i="1"/>
  <c r="B2425" i="1"/>
  <c r="U2424" i="1"/>
  <c r="K2424" i="1"/>
  <c r="E2424" i="1"/>
  <c r="B2424" i="1"/>
  <c r="U2423" i="1"/>
  <c r="K2423" i="1"/>
  <c r="E2423" i="1"/>
  <c r="B2423" i="1"/>
  <c r="U2422" i="1"/>
  <c r="K2422" i="1"/>
  <c r="E2422" i="1"/>
  <c r="B2422" i="1"/>
  <c r="U2421" i="1"/>
  <c r="K2421" i="1"/>
  <c r="E2421" i="1"/>
  <c r="B2421" i="1"/>
  <c r="U2420" i="1"/>
  <c r="K2420" i="1"/>
  <c r="E2420" i="1"/>
  <c r="B2420" i="1"/>
  <c r="U2419" i="1"/>
  <c r="K2419" i="1"/>
  <c r="E2419" i="1"/>
  <c r="B2419" i="1"/>
  <c r="U2418" i="1"/>
  <c r="K2418" i="1"/>
  <c r="E2418" i="1"/>
  <c r="B2418" i="1"/>
  <c r="U2417" i="1"/>
  <c r="K2417" i="1"/>
  <c r="E2417" i="1"/>
  <c r="B2417" i="1"/>
  <c r="U2416" i="1"/>
  <c r="K2416" i="1"/>
  <c r="E2416" i="1"/>
  <c r="B2416" i="1"/>
  <c r="U2415" i="1"/>
  <c r="K2415" i="1"/>
  <c r="E2415" i="1"/>
  <c r="B2415" i="1"/>
  <c r="U2414" i="1"/>
  <c r="K2414" i="1"/>
  <c r="E2414" i="1"/>
  <c r="B2414" i="1"/>
  <c r="U2413" i="1"/>
  <c r="K2413" i="1"/>
  <c r="E2413" i="1"/>
  <c r="B2413" i="1"/>
  <c r="U2412" i="1"/>
  <c r="K2412" i="1"/>
  <c r="E2412" i="1"/>
  <c r="B2412" i="1"/>
  <c r="U2411" i="1"/>
  <c r="K2411" i="1"/>
  <c r="E2411" i="1"/>
  <c r="B2411" i="1"/>
  <c r="U2410" i="1"/>
  <c r="K2410" i="1"/>
  <c r="E2410" i="1"/>
  <c r="B2410" i="1"/>
  <c r="U2409" i="1"/>
  <c r="K2409" i="1"/>
  <c r="E2409" i="1"/>
  <c r="B2409" i="1"/>
  <c r="U2408" i="1"/>
  <c r="K2408" i="1"/>
  <c r="E2408" i="1"/>
  <c r="B2408" i="1"/>
  <c r="U2407" i="1"/>
  <c r="K2407" i="1"/>
  <c r="E2407" i="1"/>
  <c r="B2407" i="1"/>
  <c r="U2406" i="1"/>
  <c r="K2406" i="1"/>
  <c r="E2406" i="1"/>
  <c r="B2406" i="1"/>
  <c r="U2405" i="1"/>
  <c r="K2405" i="1"/>
  <c r="E2405" i="1"/>
  <c r="B2405" i="1"/>
  <c r="U2404" i="1"/>
  <c r="K2404" i="1"/>
  <c r="E2404" i="1"/>
  <c r="B2404" i="1"/>
  <c r="U2403" i="1"/>
  <c r="K2403" i="1"/>
  <c r="E2403" i="1"/>
  <c r="B2403" i="1"/>
  <c r="U2402" i="1"/>
  <c r="K2402" i="1"/>
  <c r="E2402" i="1"/>
  <c r="B2402" i="1"/>
  <c r="U2401" i="1"/>
  <c r="K2401" i="1"/>
  <c r="E2401" i="1"/>
  <c r="B2401" i="1"/>
  <c r="U2400" i="1"/>
  <c r="K2400" i="1"/>
  <c r="E2400" i="1"/>
  <c r="B2400" i="1"/>
  <c r="U2399" i="1"/>
  <c r="K2399" i="1"/>
  <c r="E2399" i="1"/>
  <c r="B2399" i="1"/>
  <c r="U2398" i="1"/>
  <c r="K2398" i="1"/>
  <c r="E2398" i="1"/>
  <c r="B2398" i="1"/>
  <c r="U2397" i="1"/>
  <c r="K2397" i="1"/>
  <c r="E2397" i="1"/>
  <c r="B2397" i="1"/>
  <c r="U2396" i="1"/>
  <c r="K2396" i="1"/>
  <c r="E2396" i="1"/>
  <c r="B2396" i="1"/>
  <c r="U2395" i="1"/>
  <c r="K2395" i="1"/>
  <c r="E2395" i="1"/>
  <c r="B2395" i="1"/>
  <c r="U2394" i="1"/>
  <c r="K2394" i="1"/>
  <c r="E2394" i="1"/>
  <c r="B2394" i="1"/>
  <c r="K2393" i="1"/>
  <c r="E2393" i="1"/>
  <c r="B2393" i="1"/>
  <c r="U2392" i="1"/>
  <c r="K2392" i="1"/>
  <c r="E2392" i="1"/>
  <c r="B2392" i="1"/>
  <c r="U2391" i="1"/>
  <c r="K2391" i="1"/>
  <c r="E2391" i="1"/>
  <c r="B2391" i="1"/>
  <c r="U2390" i="1"/>
  <c r="K2390" i="1"/>
  <c r="E2390" i="1"/>
  <c r="B2390" i="1"/>
  <c r="U2389" i="1"/>
  <c r="K2389" i="1"/>
  <c r="E2389" i="1"/>
  <c r="B2389" i="1"/>
  <c r="U2388" i="1"/>
  <c r="K2388" i="1"/>
  <c r="E2388" i="1"/>
  <c r="B2388" i="1"/>
  <c r="U2387" i="1"/>
  <c r="K2387" i="1"/>
  <c r="E2387" i="1"/>
  <c r="B2387" i="1"/>
  <c r="U2386" i="1"/>
  <c r="K2386" i="1"/>
  <c r="E2386" i="1"/>
  <c r="B2386" i="1"/>
  <c r="U2385" i="1"/>
  <c r="K2385" i="1"/>
  <c r="E2385" i="1"/>
  <c r="B2385" i="1"/>
  <c r="U2384" i="1"/>
  <c r="K2384" i="1"/>
  <c r="E2384" i="1"/>
  <c r="B2384" i="1"/>
  <c r="U2383" i="1"/>
  <c r="K2383" i="1"/>
  <c r="E2383" i="1"/>
  <c r="B2383" i="1"/>
  <c r="U2382" i="1"/>
  <c r="K2382" i="1"/>
  <c r="E2382" i="1"/>
  <c r="B2382" i="1"/>
  <c r="U2381" i="1"/>
  <c r="K2381" i="1"/>
  <c r="E2381" i="1"/>
  <c r="B2381" i="1"/>
  <c r="U2380" i="1"/>
  <c r="K2380" i="1"/>
  <c r="E2380" i="1"/>
  <c r="B2380" i="1"/>
  <c r="U2379" i="1"/>
  <c r="K2379" i="1"/>
  <c r="E2379" i="1"/>
  <c r="B2379" i="1"/>
  <c r="U2378" i="1"/>
  <c r="K2378" i="1"/>
  <c r="E2378" i="1"/>
  <c r="B2378" i="1"/>
  <c r="U2377" i="1"/>
  <c r="K2377" i="1"/>
  <c r="E2377" i="1"/>
  <c r="B2377" i="1"/>
  <c r="U2376" i="1"/>
  <c r="K2376" i="1"/>
  <c r="E2376" i="1"/>
  <c r="B2376" i="1"/>
  <c r="U2375" i="1"/>
  <c r="K2375" i="1"/>
  <c r="E2375" i="1"/>
  <c r="B2375" i="1"/>
  <c r="U2374" i="1"/>
  <c r="K2374" i="1"/>
  <c r="E2374" i="1"/>
  <c r="B2374" i="1"/>
  <c r="U2373" i="1"/>
  <c r="K2373" i="1"/>
  <c r="E2373" i="1"/>
  <c r="B2373" i="1"/>
  <c r="U2372" i="1"/>
  <c r="K2372" i="1"/>
  <c r="E2372" i="1"/>
  <c r="B2372" i="1"/>
  <c r="U2371" i="1"/>
  <c r="K2371" i="1"/>
  <c r="E2371" i="1"/>
  <c r="B2371" i="1"/>
  <c r="U2370" i="1"/>
  <c r="K2370" i="1"/>
  <c r="E2370" i="1"/>
  <c r="B2370" i="1"/>
  <c r="U2369" i="1"/>
  <c r="K2369" i="1"/>
  <c r="E2369" i="1"/>
  <c r="B2369" i="1"/>
  <c r="U2368" i="1"/>
  <c r="K2368" i="1"/>
  <c r="E2368" i="1"/>
  <c r="B2368" i="1"/>
  <c r="U2367" i="1"/>
  <c r="K2367" i="1"/>
  <c r="E2367" i="1"/>
  <c r="B2367" i="1"/>
  <c r="U2366" i="1"/>
  <c r="K2366" i="1"/>
  <c r="E2366" i="1"/>
  <c r="B2366" i="1"/>
  <c r="U2365" i="1"/>
  <c r="K2365" i="1"/>
  <c r="E2365" i="1"/>
  <c r="B2365" i="1"/>
  <c r="U2364" i="1"/>
  <c r="K2364" i="1"/>
  <c r="E2364" i="1"/>
  <c r="B2364" i="1"/>
  <c r="U2363" i="1"/>
  <c r="K2363" i="1"/>
  <c r="E2363" i="1"/>
  <c r="B2363" i="1"/>
  <c r="U2362" i="1"/>
  <c r="K2362" i="1"/>
  <c r="E2362" i="1"/>
  <c r="B2362" i="1"/>
  <c r="U2361" i="1"/>
  <c r="K2361" i="1"/>
  <c r="E2361" i="1"/>
  <c r="B2361" i="1"/>
  <c r="U2360" i="1"/>
  <c r="K2360" i="1"/>
  <c r="E2360" i="1"/>
  <c r="B2360" i="1"/>
  <c r="U2359" i="1"/>
  <c r="K2359" i="1"/>
  <c r="E2359" i="1"/>
  <c r="B2359" i="1"/>
  <c r="U2358" i="1"/>
  <c r="K2358" i="1"/>
  <c r="E2358" i="1"/>
  <c r="B2358" i="1"/>
  <c r="U2357" i="1"/>
  <c r="K2357" i="1"/>
  <c r="E2357" i="1"/>
  <c r="B2357" i="1"/>
  <c r="U2356" i="1"/>
  <c r="K2356" i="1"/>
  <c r="E2356" i="1"/>
  <c r="B2356" i="1"/>
  <c r="U2355" i="1"/>
  <c r="K2355" i="1"/>
  <c r="E2355" i="1"/>
  <c r="B2355" i="1"/>
  <c r="U2354" i="1"/>
  <c r="K2354" i="1"/>
  <c r="E2354" i="1"/>
  <c r="B2354" i="1"/>
  <c r="U2353" i="1"/>
  <c r="K2353" i="1"/>
  <c r="E2353" i="1"/>
  <c r="B2353" i="1"/>
  <c r="U2352" i="1"/>
  <c r="K2352" i="1"/>
  <c r="E2352" i="1"/>
  <c r="B2352" i="1"/>
  <c r="U2351" i="1"/>
  <c r="K2351" i="1"/>
  <c r="E2351" i="1"/>
  <c r="B2351" i="1"/>
  <c r="U2350" i="1"/>
  <c r="K2350" i="1"/>
  <c r="E2350" i="1"/>
  <c r="B2350" i="1"/>
  <c r="U2349" i="1"/>
  <c r="K2349" i="1"/>
  <c r="E2349" i="1"/>
  <c r="B2349" i="1"/>
  <c r="U2348" i="1"/>
  <c r="K2348" i="1"/>
  <c r="E2348" i="1"/>
  <c r="B2348" i="1"/>
  <c r="U2347" i="1"/>
  <c r="K2347" i="1"/>
  <c r="E2347" i="1"/>
  <c r="B2347" i="1"/>
  <c r="U2346" i="1"/>
  <c r="K2346" i="1"/>
  <c r="E2346" i="1"/>
  <c r="B2346" i="1"/>
  <c r="U2345" i="1"/>
  <c r="K2345" i="1"/>
  <c r="E2345" i="1"/>
  <c r="B2345" i="1"/>
  <c r="U2344" i="1"/>
  <c r="K2344" i="1"/>
  <c r="E2344" i="1"/>
  <c r="B2344" i="1"/>
  <c r="U2343" i="1"/>
  <c r="K2343" i="1"/>
  <c r="E2343" i="1"/>
  <c r="B2343" i="1"/>
  <c r="U2342" i="1"/>
  <c r="K2342" i="1"/>
  <c r="E2342" i="1"/>
  <c r="B2342" i="1"/>
  <c r="U2341" i="1"/>
  <c r="K2341" i="1"/>
  <c r="E2341" i="1"/>
  <c r="B2341" i="1"/>
  <c r="U2340" i="1"/>
  <c r="K2340" i="1"/>
  <c r="E2340" i="1"/>
  <c r="B2340" i="1"/>
  <c r="U2339" i="1"/>
  <c r="K2339" i="1"/>
  <c r="E2339" i="1"/>
  <c r="B2339" i="1"/>
  <c r="U2338" i="1"/>
  <c r="K2338" i="1"/>
  <c r="E2338" i="1"/>
  <c r="B2338" i="1"/>
  <c r="U2337" i="1"/>
  <c r="K2337" i="1"/>
  <c r="E2337" i="1"/>
  <c r="B2337" i="1"/>
  <c r="U2336" i="1"/>
  <c r="K2336" i="1"/>
  <c r="E2336" i="1"/>
  <c r="B2336" i="1"/>
  <c r="U2335" i="1"/>
  <c r="K2335" i="1"/>
  <c r="E2335" i="1"/>
  <c r="B2335" i="1"/>
  <c r="U2334" i="1"/>
  <c r="K2334" i="1"/>
  <c r="E2334" i="1"/>
  <c r="B2334" i="1"/>
  <c r="U2333" i="1"/>
  <c r="K2333" i="1"/>
  <c r="E2333" i="1"/>
  <c r="B2333" i="1"/>
  <c r="U2332" i="1"/>
  <c r="K2332" i="1"/>
  <c r="E2332" i="1"/>
  <c r="B2332" i="1"/>
  <c r="U2331" i="1"/>
  <c r="K2331" i="1"/>
  <c r="E2331" i="1"/>
  <c r="B2331" i="1"/>
  <c r="U2330" i="1"/>
  <c r="K2330" i="1"/>
  <c r="E2330" i="1"/>
  <c r="B2330" i="1"/>
  <c r="U2329" i="1"/>
  <c r="K2329" i="1"/>
  <c r="E2329" i="1"/>
  <c r="B2329" i="1"/>
  <c r="U2328" i="1"/>
  <c r="K2328" i="1"/>
  <c r="E2328" i="1"/>
  <c r="B2328" i="1"/>
  <c r="U2327" i="1"/>
  <c r="K2327" i="1"/>
  <c r="E2327" i="1"/>
  <c r="B2327" i="1"/>
  <c r="U2326" i="1"/>
  <c r="K2326" i="1"/>
  <c r="E2326" i="1"/>
  <c r="B2326" i="1"/>
  <c r="U2325" i="1"/>
  <c r="K2325" i="1"/>
  <c r="E2325" i="1"/>
  <c r="B2325" i="1"/>
  <c r="U2324" i="1"/>
  <c r="K2324" i="1"/>
  <c r="E2324" i="1"/>
  <c r="B2324" i="1"/>
  <c r="U2323" i="1"/>
  <c r="K2323" i="1"/>
  <c r="E2323" i="1"/>
  <c r="B2323" i="1"/>
  <c r="U2322" i="1"/>
  <c r="K2322" i="1"/>
  <c r="E2322" i="1"/>
  <c r="B2322" i="1"/>
  <c r="U2321" i="1"/>
  <c r="K2321" i="1"/>
  <c r="E2321" i="1"/>
  <c r="B2321" i="1"/>
  <c r="U2320" i="1"/>
  <c r="K2320" i="1"/>
  <c r="E2320" i="1"/>
  <c r="B2320" i="1"/>
  <c r="U2319" i="1"/>
  <c r="K2319" i="1"/>
  <c r="E2319" i="1"/>
  <c r="B2319" i="1"/>
  <c r="U2318" i="1"/>
  <c r="K2318" i="1"/>
  <c r="E2318" i="1"/>
  <c r="B2318" i="1"/>
  <c r="U2317" i="1"/>
  <c r="K2317" i="1"/>
  <c r="E2317" i="1"/>
  <c r="B2317" i="1"/>
  <c r="U2316" i="1"/>
  <c r="K2316" i="1"/>
  <c r="E2316" i="1"/>
  <c r="B2316" i="1"/>
  <c r="K2315" i="1"/>
  <c r="E2315" i="1"/>
  <c r="B2315" i="1"/>
  <c r="U2314" i="1"/>
  <c r="K2314" i="1"/>
  <c r="E2314" i="1"/>
  <c r="B2314" i="1"/>
  <c r="U2313" i="1"/>
  <c r="K2313" i="1"/>
  <c r="E2313" i="1"/>
  <c r="B2313" i="1"/>
  <c r="U2312" i="1"/>
  <c r="K2312" i="1"/>
  <c r="E2312" i="1"/>
  <c r="B2312" i="1"/>
  <c r="U2311" i="1"/>
  <c r="K2311" i="1"/>
  <c r="E2311" i="1"/>
  <c r="B2311" i="1"/>
  <c r="U2310" i="1"/>
  <c r="K2310" i="1"/>
  <c r="E2310" i="1"/>
  <c r="B2310" i="1"/>
  <c r="U2309" i="1"/>
  <c r="K2309" i="1"/>
  <c r="E2309" i="1"/>
  <c r="B2309" i="1"/>
  <c r="U2308" i="1"/>
  <c r="K2308" i="1"/>
  <c r="E2308" i="1"/>
  <c r="B2308" i="1"/>
  <c r="U2307" i="1"/>
  <c r="K2307" i="1"/>
  <c r="E2307" i="1"/>
  <c r="B2307" i="1"/>
  <c r="U2306" i="1"/>
  <c r="K2306" i="1"/>
  <c r="E2306" i="1"/>
  <c r="B2306" i="1"/>
  <c r="U2305" i="1"/>
  <c r="K2305" i="1"/>
  <c r="E2305" i="1"/>
  <c r="B2305" i="1"/>
  <c r="U2304" i="1"/>
  <c r="K2304" i="1"/>
  <c r="E2304" i="1"/>
  <c r="B2304" i="1"/>
  <c r="U2303" i="1"/>
  <c r="K2303" i="1"/>
  <c r="E2303" i="1"/>
  <c r="B2303" i="1"/>
  <c r="U2302" i="1"/>
  <c r="K2302" i="1"/>
  <c r="E2302" i="1"/>
  <c r="B2302" i="1"/>
  <c r="U2301" i="1"/>
  <c r="K2301" i="1"/>
  <c r="E2301" i="1"/>
  <c r="B2301" i="1"/>
  <c r="U2300" i="1"/>
  <c r="K2300" i="1"/>
  <c r="E2300" i="1"/>
  <c r="B2300" i="1"/>
  <c r="U2299" i="1"/>
  <c r="K2299" i="1"/>
  <c r="E2299" i="1"/>
  <c r="B2299" i="1"/>
  <c r="U2298" i="1"/>
  <c r="K2298" i="1"/>
  <c r="E2298" i="1"/>
  <c r="B2298" i="1"/>
  <c r="U2297" i="1"/>
  <c r="K2297" i="1"/>
  <c r="E2297" i="1"/>
  <c r="B2297" i="1"/>
  <c r="U2296" i="1"/>
  <c r="K2296" i="1"/>
  <c r="E2296" i="1"/>
  <c r="B2296" i="1"/>
  <c r="U2295" i="1"/>
  <c r="K2295" i="1"/>
  <c r="E2295" i="1"/>
  <c r="B2295" i="1"/>
  <c r="U2294" i="1"/>
  <c r="K2294" i="1"/>
  <c r="E2294" i="1"/>
  <c r="B2294" i="1"/>
  <c r="U2293" i="1"/>
  <c r="K2293" i="1"/>
  <c r="E2293" i="1"/>
  <c r="B2293" i="1"/>
  <c r="U2292" i="1"/>
  <c r="K2292" i="1"/>
  <c r="E2292" i="1"/>
  <c r="B2292" i="1"/>
  <c r="U2291" i="1"/>
  <c r="K2291" i="1"/>
  <c r="E2291" i="1"/>
  <c r="B2291" i="1"/>
  <c r="U2290" i="1"/>
  <c r="K2290" i="1"/>
  <c r="E2290" i="1"/>
  <c r="B2290" i="1"/>
  <c r="U2289" i="1"/>
  <c r="K2289" i="1"/>
  <c r="E2289" i="1"/>
  <c r="B2289" i="1"/>
  <c r="U2288" i="1"/>
  <c r="K2288" i="1"/>
  <c r="E2288" i="1"/>
  <c r="B2288" i="1"/>
  <c r="U2287" i="1"/>
  <c r="K2287" i="1"/>
  <c r="E2287" i="1"/>
  <c r="B2287" i="1"/>
  <c r="U2286" i="1"/>
  <c r="K2286" i="1"/>
  <c r="E2286" i="1"/>
  <c r="B2286" i="1"/>
  <c r="U2285" i="1"/>
  <c r="K2285" i="1"/>
  <c r="E2285" i="1"/>
  <c r="B2285" i="1"/>
  <c r="U2284" i="1"/>
  <c r="K2284" i="1"/>
  <c r="E2284" i="1"/>
  <c r="B2284" i="1"/>
  <c r="U2283" i="1"/>
  <c r="K2283" i="1"/>
  <c r="E2283" i="1"/>
  <c r="B2283" i="1"/>
  <c r="U2282" i="1"/>
  <c r="K2282" i="1"/>
  <c r="E2282" i="1"/>
  <c r="B2282" i="1"/>
  <c r="U2281" i="1"/>
  <c r="K2281" i="1"/>
  <c r="E2281" i="1"/>
  <c r="B2281" i="1"/>
  <c r="U2280" i="1"/>
  <c r="K2280" i="1"/>
  <c r="E2280" i="1"/>
  <c r="B2280" i="1"/>
  <c r="U2279" i="1"/>
  <c r="K2279" i="1"/>
  <c r="E2279" i="1"/>
  <c r="B2279" i="1"/>
  <c r="U2278" i="1"/>
  <c r="K2278" i="1"/>
  <c r="E2278" i="1"/>
  <c r="B2278" i="1"/>
  <c r="U2277" i="1"/>
  <c r="K2277" i="1"/>
  <c r="E2277" i="1"/>
  <c r="B2277" i="1"/>
  <c r="U2276" i="1"/>
  <c r="K2276" i="1"/>
  <c r="E2276" i="1"/>
  <c r="B2276" i="1"/>
  <c r="U2275" i="1"/>
  <c r="K2275" i="1"/>
  <c r="E2275" i="1"/>
  <c r="B2275" i="1"/>
  <c r="U2274" i="1"/>
  <c r="K2274" i="1"/>
  <c r="E2274" i="1"/>
  <c r="B2274" i="1"/>
  <c r="U2273" i="1"/>
  <c r="K2273" i="1"/>
  <c r="E2273" i="1"/>
  <c r="B2273" i="1"/>
  <c r="U2272" i="1"/>
  <c r="K2272" i="1"/>
  <c r="E2272" i="1"/>
  <c r="B2272" i="1"/>
  <c r="U2271" i="1"/>
  <c r="K2271" i="1"/>
  <c r="E2271" i="1"/>
  <c r="B2271" i="1"/>
  <c r="U2270" i="1"/>
  <c r="K2270" i="1"/>
  <c r="E2270" i="1"/>
  <c r="B2270" i="1"/>
  <c r="U2269" i="1"/>
  <c r="K2269" i="1"/>
  <c r="E2269" i="1"/>
  <c r="B2269" i="1"/>
  <c r="U2268" i="1"/>
  <c r="K2268" i="1"/>
  <c r="E2268" i="1"/>
  <c r="B2268" i="1"/>
  <c r="U2267" i="1"/>
  <c r="K2267" i="1"/>
  <c r="E2267" i="1"/>
  <c r="B2267" i="1"/>
  <c r="U2266" i="1"/>
  <c r="K2266" i="1"/>
  <c r="E2266" i="1"/>
  <c r="B2266" i="1"/>
  <c r="U2265" i="1"/>
  <c r="K2265" i="1"/>
  <c r="E2265" i="1"/>
  <c r="B2265" i="1"/>
  <c r="U2264" i="1"/>
  <c r="K2264" i="1"/>
  <c r="E2264" i="1"/>
  <c r="B2264" i="1"/>
  <c r="U2263" i="1"/>
  <c r="K2263" i="1"/>
  <c r="E2263" i="1"/>
  <c r="B2263" i="1"/>
  <c r="U2262" i="1"/>
  <c r="K2262" i="1"/>
  <c r="E2262" i="1"/>
  <c r="B2262" i="1"/>
  <c r="U2261" i="1"/>
  <c r="K2261" i="1"/>
  <c r="E2261" i="1"/>
  <c r="B2261" i="1"/>
  <c r="U2260" i="1"/>
  <c r="K2260" i="1"/>
  <c r="E2260" i="1"/>
  <c r="B2260" i="1"/>
  <c r="U2259" i="1"/>
  <c r="K2259" i="1"/>
  <c r="E2259" i="1"/>
  <c r="B2259" i="1"/>
  <c r="U2258" i="1"/>
  <c r="K2258" i="1"/>
  <c r="E2258" i="1"/>
  <c r="B2258" i="1"/>
  <c r="U2257" i="1"/>
  <c r="K2257" i="1"/>
  <c r="E2257" i="1"/>
  <c r="B2257" i="1"/>
  <c r="U2256" i="1"/>
  <c r="K2256" i="1"/>
  <c r="E2256" i="1"/>
  <c r="B2256" i="1"/>
  <c r="U2255" i="1"/>
  <c r="K2255" i="1"/>
  <c r="E2255" i="1"/>
  <c r="B2255" i="1"/>
  <c r="U2254" i="1"/>
  <c r="K2254" i="1"/>
  <c r="E2254" i="1"/>
  <c r="B2254" i="1"/>
  <c r="U2253" i="1"/>
  <c r="K2253" i="1"/>
  <c r="E2253" i="1"/>
  <c r="B2253" i="1"/>
  <c r="U2252" i="1"/>
  <c r="K2252" i="1"/>
  <c r="E2252" i="1"/>
  <c r="B2252" i="1"/>
  <c r="U2251" i="1"/>
  <c r="K2251" i="1"/>
  <c r="E2251" i="1"/>
  <c r="B2251" i="1"/>
  <c r="U2250" i="1"/>
  <c r="K2250" i="1"/>
  <c r="E2250" i="1"/>
  <c r="B2250" i="1"/>
  <c r="U2249" i="1"/>
  <c r="K2249" i="1"/>
  <c r="E2249" i="1"/>
  <c r="B2249" i="1"/>
  <c r="U2248" i="1"/>
  <c r="K2248" i="1"/>
  <c r="E2248" i="1"/>
  <c r="B2248" i="1"/>
  <c r="U2247" i="1"/>
  <c r="K2247" i="1"/>
  <c r="E2247" i="1"/>
  <c r="B2247" i="1"/>
  <c r="U2246" i="1"/>
  <c r="K2246" i="1"/>
  <c r="E2246" i="1"/>
  <c r="B2246" i="1"/>
  <c r="U2245" i="1"/>
  <c r="K2245" i="1"/>
  <c r="E2245" i="1"/>
  <c r="B2245" i="1"/>
  <c r="U2244" i="1"/>
  <c r="K2244" i="1"/>
  <c r="E2244" i="1"/>
  <c r="B2244" i="1"/>
  <c r="U2243" i="1"/>
  <c r="K2243" i="1"/>
  <c r="E2243" i="1"/>
  <c r="B2243" i="1"/>
  <c r="U2242" i="1"/>
  <c r="K2242" i="1"/>
  <c r="E2242" i="1"/>
  <c r="B2242" i="1"/>
  <c r="U2241" i="1"/>
  <c r="K2241" i="1"/>
  <c r="E2241" i="1"/>
  <c r="B2241" i="1"/>
  <c r="U2240" i="1"/>
  <c r="K2240" i="1"/>
  <c r="E2240" i="1"/>
  <c r="B2240" i="1"/>
  <c r="U2239" i="1"/>
  <c r="K2239" i="1"/>
  <c r="E2239" i="1"/>
  <c r="B2239" i="1"/>
  <c r="U2238" i="1"/>
  <c r="K2238" i="1"/>
  <c r="E2238" i="1"/>
  <c r="B2238" i="1"/>
  <c r="U2237" i="1"/>
  <c r="K2237" i="1"/>
  <c r="E2237" i="1"/>
  <c r="B2237" i="1"/>
  <c r="U2236" i="1"/>
  <c r="K2236" i="1"/>
  <c r="E2236" i="1"/>
  <c r="B2236" i="1"/>
  <c r="U2235" i="1"/>
  <c r="K2235" i="1"/>
  <c r="E2235" i="1"/>
  <c r="B2235" i="1"/>
  <c r="U2234" i="1"/>
  <c r="K2234" i="1"/>
  <c r="E2234" i="1"/>
  <c r="B2234" i="1"/>
  <c r="U2233" i="1"/>
  <c r="K2233" i="1"/>
  <c r="E2233" i="1"/>
  <c r="B2233" i="1"/>
  <c r="K2232" i="1"/>
  <c r="E2232" i="1"/>
  <c r="B2232" i="1"/>
  <c r="U2231" i="1"/>
  <c r="K2231" i="1"/>
  <c r="E2231" i="1"/>
  <c r="B2231" i="1"/>
  <c r="U2230" i="1"/>
  <c r="K2230" i="1"/>
  <c r="E2230" i="1"/>
  <c r="B2230" i="1"/>
  <c r="U2229" i="1"/>
  <c r="K2229" i="1"/>
  <c r="E2229" i="1"/>
  <c r="B2229" i="1"/>
  <c r="U2228" i="1"/>
  <c r="K2228" i="1"/>
  <c r="E2228" i="1"/>
  <c r="B2228" i="1"/>
  <c r="U2227" i="1"/>
  <c r="K2227" i="1"/>
  <c r="E2227" i="1"/>
  <c r="B2227" i="1"/>
  <c r="U2226" i="1"/>
  <c r="K2226" i="1"/>
  <c r="E2226" i="1"/>
  <c r="B2226" i="1"/>
  <c r="U2225" i="1"/>
  <c r="K2225" i="1"/>
  <c r="E2225" i="1"/>
  <c r="B2225" i="1"/>
  <c r="U2224" i="1"/>
  <c r="K2224" i="1"/>
  <c r="E2224" i="1"/>
  <c r="B2224" i="1"/>
  <c r="U2223" i="1"/>
  <c r="K2223" i="1"/>
  <c r="E2223" i="1"/>
  <c r="B2223" i="1"/>
  <c r="U2222" i="1"/>
  <c r="K2222" i="1"/>
  <c r="E2222" i="1"/>
  <c r="B2222" i="1"/>
  <c r="U2221" i="1"/>
  <c r="K2221" i="1"/>
  <c r="E2221" i="1"/>
  <c r="B2221" i="1"/>
  <c r="U2220" i="1"/>
  <c r="K2220" i="1"/>
  <c r="E2220" i="1"/>
  <c r="B2220" i="1"/>
  <c r="U2219" i="1"/>
  <c r="K2219" i="1"/>
  <c r="E2219" i="1"/>
  <c r="B2219" i="1"/>
  <c r="U2218" i="1"/>
  <c r="K2218" i="1"/>
  <c r="E2218" i="1"/>
  <c r="B2218" i="1"/>
  <c r="U2217" i="1"/>
  <c r="K2217" i="1"/>
  <c r="E2217" i="1"/>
  <c r="B2217" i="1"/>
  <c r="U2216" i="1"/>
  <c r="K2216" i="1"/>
  <c r="E2216" i="1"/>
  <c r="B2216" i="1"/>
  <c r="U2215" i="1"/>
  <c r="K2215" i="1"/>
  <c r="E2215" i="1"/>
  <c r="B2215" i="1"/>
  <c r="K2214" i="1"/>
  <c r="E2214" i="1"/>
  <c r="B2214" i="1"/>
  <c r="U2213" i="1"/>
  <c r="K2213" i="1"/>
  <c r="E2213" i="1"/>
  <c r="B2213" i="1"/>
  <c r="U2212" i="1"/>
  <c r="K2212" i="1"/>
  <c r="E2212" i="1"/>
  <c r="B2212" i="1"/>
  <c r="U2211" i="1"/>
  <c r="K2211" i="1"/>
  <c r="E2211" i="1"/>
  <c r="B2211" i="1"/>
  <c r="U2210" i="1"/>
  <c r="K2210" i="1"/>
  <c r="E2210" i="1"/>
  <c r="B2210" i="1"/>
  <c r="U2209" i="1"/>
  <c r="K2209" i="1"/>
  <c r="E2209" i="1"/>
  <c r="B2209" i="1"/>
  <c r="U2208" i="1"/>
  <c r="K2208" i="1"/>
  <c r="E2208" i="1"/>
  <c r="B2208" i="1"/>
  <c r="U2207" i="1"/>
  <c r="K2207" i="1"/>
  <c r="E2207" i="1"/>
  <c r="B2207" i="1"/>
  <c r="U2206" i="1"/>
  <c r="K2206" i="1"/>
  <c r="E2206" i="1"/>
  <c r="B2206" i="1"/>
  <c r="U2205" i="1"/>
  <c r="K2205" i="1"/>
  <c r="E2205" i="1"/>
  <c r="B2205" i="1"/>
  <c r="U2204" i="1"/>
  <c r="K2204" i="1"/>
  <c r="E2204" i="1"/>
  <c r="B2204" i="1"/>
  <c r="U2203" i="1"/>
  <c r="K2203" i="1"/>
  <c r="E2203" i="1"/>
  <c r="B2203" i="1"/>
  <c r="U2202" i="1"/>
  <c r="K2202" i="1"/>
  <c r="E2202" i="1"/>
  <c r="B2202" i="1"/>
  <c r="U2201" i="1"/>
  <c r="K2201" i="1"/>
  <c r="E2201" i="1"/>
  <c r="B2201" i="1"/>
  <c r="U2200" i="1"/>
  <c r="K2200" i="1"/>
  <c r="E2200" i="1"/>
  <c r="B2200" i="1"/>
  <c r="U2199" i="1"/>
  <c r="K2199" i="1"/>
  <c r="E2199" i="1"/>
  <c r="B2199" i="1"/>
  <c r="U2198" i="1"/>
  <c r="K2198" i="1"/>
  <c r="E2198" i="1"/>
  <c r="B2198" i="1"/>
  <c r="U2197" i="1"/>
  <c r="K2197" i="1"/>
  <c r="E2197" i="1"/>
  <c r="B2197" i="1"/>
  <c r="U2196" i="1"/>
  <c r="K2196" i="1"/>
  <c r="E2196" i="1"/>
  <c r="B2196" i="1"/>
  <c r="U2195" i="1"/>
  <c r="K2195" i="1"/>
  <c r="E2195" i="1"/>
  <c r="B2195" i="1"/>
  <c r="U2194" i="1"/>
  <c r="K2194" i="1"/>
  <c r="E2194" i="1"/>
  <c r="B2194" i="1"/>
  <c r="U2193" i="1"/>
  <c r="K2193" i="1"/>
  <c r="E2193" i="1"/>
  <c r="B2193" i="1"/>
  <c r="U2192" i="1"/>
  <c r="K2192" i="1"/>
  <c r="E2192" i="1"/>
  <c r="B2192" i="1"/>
  <c r="U2191" i="1"/>
  <c r="K2191" i="1"/>
  <c r="E2191" i="1"/>
  <c r="B2191" i="1"/>
  <c r="U2190" i="1"/>
  <c r="K2190" i="1"/>
  <c r="E2190" i="1"/>
  <c r="B2190" i="1"/>
  <c r="U2189" i="1"/>
  <c r="K2189" i="1"/>
  <c r="E2189" i="1"/>
  <c r="B2189" i="1"/>
  <c r="U2188" i="1"/>
  <c r="K2188" i="1"/>
  <c r="E2188" i="1"/>
  <c r="B2188" i="1"/>
  <c r="U2187" i="1"/>
  <c r="K2187" i="1"/>
  <c r="E2187" i="1"/>
  <c r="B2187" i="1"/>
  <c r="U2186" i="1"/>
  <c r="K2186" i="1"/>
  <c r="E2186" i="1"/>
  <c r="B2186" i="1"/>
  <c r="U2185" i="1"/>
  <c r="K2185" i="1"/>
  <c r="E2185" i="1"/>
  <c r="B2185" i="1"/>
  <c r="U2184" i="1"/>
  <c r="K2184" i="1"/>
  <c r="E2184" i="1"/>
  <c r="B2184" i="1"/>
  <c r="U2183" i="1"/>
  <c r="K2183" i="1"/>
  <c r="E2183" i="1"/>
  <c r="B2183" i="1"/>
  <c r="U2182" i="1"/>
  <c r="K2182" i="1"/>
  <c r="E2182" i="1"/>
  <c r="B2182" i="1"/>
  <c r="U2181" i="1"/>
  <c r="K2181" i="1"/>
  <c r="E2181" i="1"/>
  <c r="B2181" i="1"/>
  <c r="U2180" i="1"/>
  <c r="K2180" i="1"/>
  <c r="E2180" i="1"/>
  <c r="B2180" i="1"/>
  <c r="U2179" i="1"/>
  <c r="K2179" i="1"/>
  <c r="E2179" i="1"/>
  <c r="B2179" i="1"/>
  <c r="U2178" i="1"/>
  <c r="K2178" i="1"/>
  <c r="E2178" i="1"/>
  <c r="B2178" i="1"/>
  <c r="U2177" i="1"/>
  <c r="K2177" i="1"/>
  <c r="E2177" i="1"/>
  <c r="B2177" i="1"/>
  <c r="U2176" i="1"/>
  <c r="K2176" i="1"/>
  <c r="E2176" i="1"/>
  <c r="B2176" i="1"/>
  <c r="U2175" i="1"/>
  <c r="K2175" i="1"/>
  <c r="E2175" i="1"/>
  <c r="B2175" i="1"/>
  <c r="U2174" i="1"/>
  <c r="K2174" i="1"/>
  <c r="E2174" i="1"/>
  <c r="B2174" i="1"/>
  <c r="U2173" i="1"/>
  <c r="K2173" i="1"/>
  <c r="E2173" i="1"/>
  <c r="B2173" i="1"/>
  <c r="K2172" i="1"/>
  <c r="E2172" i="1"/>
  <c r="B2172" i="1"/>
  <c r="U2171" i="1"/>
  <c r="K2171" i="1"/>
  <c r="E2171" i="1"/>
  <c r="B2171" i="1"/>
  <c r="U2170" i="1"/>
  <c r="K2170" i="1"/>
  <c r="E2170" i="1"/>
  <c r="B2170" i="1"/>
  <c r="U2169" i="1"/>
  <c r="K2169" i="1"/>
  <c r="E2169" i="1"/>
  <c r="B2169" i="1"/>
  <c r="U2168" i="1"/>
  <c r="K2168" i="1"/>
  <c r="E2168" i="1"/>
  <c r="B2168" i="1"/>
  <c r="U2167" i="1"/>
  <c r="K2167" i="1"/>
  <c r="E2167" i="1"/>
  <c r="B2167" i="1"/>
  <c r="U2166" i="1"/>
  <c r="K2166" i="1"/>
  <c r="E2166" i="1"/>
  <c r="B2166" i="1"/>
  <c r="U2165" i="1"/>
  <c r="K2165" i="1"/>
  <c r="E2165" i="1"/>
  <c r="B2165" i="1"/>
  <c r="U2164" i="1"/>
  <c r="K2164" i="1"/>
  <c r="E2164" i="1"/>
  <c r="B2164" i="1"/>
  <c r="U2163" i="1"/>
  <c r="K2163" i="1"/>
  <c r="E2163" i="1"/>
  <c r="B2163" i="1"/>
  <c r="U2162" i="1"/>
  <c r="K2162" i="1"/>
  <c r="E2162" i="1"/>
  <c r="B2162" i="1"/>
  <c r="U2161" i="1"/>
  <c r="K2161" i="1"/>
  <c r="E2161" i="1"/>
  <c r="B2161" i="1"/>
  <c r="U2160" i="1"/>
  <c r="K2160" i="1"/>
  <c r="E2160" i="1"/>
  <c r="B2160" i="1"/>
  <c r="U2159" i="1"/>
  <c r="K2159" i="1"/>
  <c r="E2159" i="1"/>
  <c r="B2159" i="1"/>
  <c r="U2158" i="1"/>
  <c r="K2158" i="1"/>
  <c r="E2158" i="1"/>
  <c r="B2158" i="1"/>
  <c r="U2157" i="1"/>
  <c r="K2157" i="1"/>
  <c r="E2157" i="1"/>
  <c r="B2157" i="1"/>
  <c r="U2156" i="1"/>
  <c r="K2156" i="1"/>
  <c r="E2156" i="1"/>
  <c r="B2156" i="1"/>
  <c r="U2155" i="1"/>
  <c r="K2155" i="1"/>
  <c r="E2155" i="1"/>
  <c r="B2155" i="1"/>
  <c r="U2154" i="1"/>
  <c r="K2154" i="1"/>
  <c r="E2154" i="1"/>
  <c r="B2154" i="1"/>
  <c r="U2153" i="1"/>
  <c r="K2153" i="1"/>
  <c r="E2153" i="1"/>
  <c r="B2153" i="1"/>
  <c r="U2152" i="1"/>
  <c r="K2152" i="1"/>
  <c r="E2152" i="1"/>
  <c r="B2152" i="1"/>
  <c r="U2151" i="1"/>
  <c r="K2151" i="1"/>
  <c r="E2151" i="1"/>
  <c r="B2151" i="1"/>
  <c r="U2150" i="1"/>
  <c r="K2150" i="1"/>
  <c r="E2150" i="1"/>
  <c r="B2150" i="1"/>
  <c r="U2149" i="1"/>
  <c r="K2149" i="1"/>
  <c r="E2149" i="1"/>
  <c r="B2149" i="1"/>
  <c r="U2148" i="1"/>
  <c r="K2148" i="1"/>
  <c r="E2148" i="1"/>
  <c r="B2148" i="1"/>
  <c r="U2147" i="1"/>
  <c r="K2147" i="1"/>
  <c r="E2147" i="1"/>
  <c r="B2147" i="1"/>
  <c r="U2146" i="1"/>
  <c r="K2146" i="1"/>
  <c r="E2146" i="1"/>
  <c r="B2146" i="1"/>
  <c r="U2145" i="1"/>
  <c r="K2145" i="1"/>
  <c r="E2145" i="1"/>
  <c r="B2145" i="1"/>
  <c r="U2144" i="1"/>
  <c r="K2144" i="1"/>
  <c r="E2144" i="1"/>
  <c r="B2144" i="1"/>
  <c r="U2143" i="1"/>
  <c r="K2143" i="1"/>
  <c r="E2143" i="1"/>
  <c r="B2143" i="1"/>
  <c r="U2142" i="1"/>
  <c r="K2142" i="1"/>
  <c r="E2142" i="1"/>
  <c r="B2142" i="1"/>
  <c r="U2141" i="1"/>
  <c r="K2141" i="1"/>
  <c r="E2141" i="1"/>
  <c r="B2141" i="1"/>
  <c r="U2140" i="1"/>
  <c r="K2140" i="1"/>
  <c r="E2140" i="1"/>
  <c r="B2140" i="1"/>
  <c r="U2139" i="1"/>
  <c r="K2139" i="1"/>
  <c r="E2139" i="1"/>
  <c r="B2139" i="1"/>
  <c r="U2138" i="1"/>
  <c r="K2138" i="1"/>
  <c r="E2138" i="1"/>
  <c r="B2138" i="1"/>
  <c r="U2137" i="1"/>
  <c r="K2137" i="1"/>
  <c r="E2137" i="1"/>
  <c r="B2137" i="1"/>
  <c r="U2136" i="1"/>
  <c r="K2136" i="1"/>
  <c r="E2136" i="1"/>
  <c r="B2136" i="1"/>
  <c r="U2135" i="1"/>
  <c r="K2135" i="1"/>
  <c r="E2135" i="1"/>
  <c r="B2135" i="1"/>
  <c r="U2134" i="1"/>
  <c r="K2134" i="1"/>
  <c r="E2134" i="1"/>
  <c r="B2134" i="1"/>
  <c r="U2133" i="1"/>
  <c r="K2133" i="1"/>
  <c r="E2133" i="1"/>
  <c r="B2133" i="1"/>
  <c r="U2132" i="1"/>
  <c r="K2132" i="1"/>
  <c r="E2132" i="1"/>
  <c r="B2132" i="1"/>
  <c r="U2131" i="1"/>
  <c r="K2131" i="1"/>
  <c r="E2131" i="1"/>
  <c r="B2131" i="1"/>
  <c r="U2130" i="1"/>
  <c r="K2130" i="1"/>
  <c r="E2130" i="1"/>
  <c r="B2130" i="1"/>
  <c r="U2129" i="1"/>
  <c r="K2129" i="1"/>
  <c r="E2129" i="1"/>
  <c r="B2129" i="1"/>
  <c r="U2128" i="1"/>
  <c r="K2128" i="1"/>
  <c r="E2128" i="1"/>
  <c r="B2128" i="1"/>
  <c r="U2127" i="1"/>
  <c r="K2127" i="1"/>
  <c r="E2127" i="1"/>
  <c r="B2127" i="1"/>
  <c r="U2126" i="1"/>
  <c r="K2126" i="1"/>
  <c r="E2126" i="1"/>
  <c r="B2126" i="1"/>
  <c r="U2125" i="1"/>
  <c r="K2125" i="1"/>
  <c r="E2125" i="1"/>
  <c r="B2125" i="1"/>
  <c r="U2124" i="1"/>
  <c r="K2124" i="1"/>
  <c r="E2124" i="1"/>
  <c r="B2124" i="1"/>
  <c r="U2123" i="1"/>
  <c r="K2123" i="1"/>
  <c r="E2123" i="1"/>
  <c r="B2123" i="1"/>
  <c r="U2122" i="1"/>
  <c r="K2122" i="1"/>
  <c r="E2122" i="1"/>
  <c r="B2122" i="1"/>
  <c r="U2121" i="1"/>
  <c r="K2121" i="1"/>
  <c r="E2121" i="1"/>
  <c r="B2121" i="1"/>
  <c r="U2120" i="1"/>
  <c r="K2120" i="1"/>
  <c r="E2120" i="1"/>
  <c r="B2120" i="1"/>
  <c r="U2119" i="1"/>
  <c r="K2119" i="1"/>
  <c r="E2119" i="1"/>
  <c r="B2119" i="1"/>
  <c r="U2118" i="1"/>
  <c r="K2118" i="1"/>
  <c r="E2118" i="1"/>
  <c r="B2118" i="1"/>
  <c r="U2117" i="1"/>
  <c r="K2117" i="1"/>
  <c r="E2117" i="1"/>
  <c r="B2117" i="1"/>
  <c r="U2116" i="1"/>
  <c r="K2116" i="1"/>
  <c r="E2116" i="1"/>
  <c r="B2116" i="1"/>
  <c r="U2115" i="1"/>
  <c r="K2115" i="1"/>
  <c r="E2115" i="1"/>
  <c r="B2115" i="1"/>
  <c r="U2114" i="1"/>
  <c r="K2114" i="1"/>
  <c r="E2114" i="1"/>
  <c r="B2114" i="1"/>
  <c r="U2113" i="1"/>
  <c r="K2113" i="1"/>
  <c r="E2113" i="1"/>
  <c r="B2113" i="1"/>
  <c r="U2112" i="1"/>
  <c r="K2112" i="1"/>
  <c r="E2112" i="1"/>
  <c r="B2112" i="1"/>
  <c r="U2111" i="1"/>
  <c r="K2111" i="1"/>
  <c r="E2111" i="1"/>
  <c r="B2111" i="1"/>
  <c r="U2110" i="1"/>
  <c r="K2110" i="1"/>
  <c r="E2110" i="1"/>
  <c r="B2110" i="1"/>
  <c r="U2109" i="1"/>
  <c r="K2109" i="1"/>
  <c r="E2109" i="1"/>
  <c r="B2109" i="1"/>
  <c r="U2108" i="1"/>
  <c r="K2108" i="1"/>
  <c r="E2108" i="1"/>
  <c r="B2108" i="1"/>
  <c r="U2107" i="1"/>
  <c r="K2107" i="1"/>
  <c r="E2107" i="1"/>
  <c r="B2107" i="1"/>
  <c r="U2106" i="1"/>
  <c r="K2106" i="1"/>
  <c r="E2106" i="1"/>
  <c r="B2106" i="1"/>
  <c r="U2105" i="1"/>
  <c r="K2105" i="1"/>
  <c r="E2105" i="1"/>
  <c r="B2105" i="1"/>
  <c r="U2104" i="1"/>
  <c r="K2104" i="1"/>
  <c r="E2104" i="1"/>
  <c r="B2104" i="1"/>
  <c r="U2103" i="1"/>
  <c r="K2103" i="1"/>
  <c r="E2103" i="1"/>
  <c r="B2103" i="1"/>
  <c r="U2102" i="1"/>
  <c r="K2102" i="1"/>
  <c r="E2102" i="1"/>
  <c r="B2102" i="1"/>
  <c r="U2101" i="1"/>
  <c r="K2101" i="1"/>
  <c r="E2101" i="1"/>
  <c r="B2101" i="1"/>
  <c r="U2100" i="1"/>
  <c r="K2100" i="1"/>
  <c r="E2100" i="1"/>
  <c r="B2100" i="1"/>
  <c r="U2099" i="1"/>
  <c r="K2099" i="1"/>
  <c r="E2099" i="1"/>
  <c r="B2099" i="1"/>
  <c r="U2098" i="1"/>
  <c r="K2098" i="1"/>
  <c r="E2098" i="1"/>
  <c r="B2098" i="1"/>
  <c r="U2097" i="1"/>
  <c r="K2097" i="1"/>
  <c r="E2097" i="1"/>
  <c r="B2097" i="1"/>
  <c r="U2096" i="1"/>
  <c r="K2096" i="1"/>
  <c r="E2096" i="1"/>
  <c r="B2096" i="1"/>
  <c r="U2095" i="1"/>
  <c r="K2095" i="1"/>
  <c r="E2095" i="1"/>
  <c r="B2095" i="1"/>
  <c r="U2094" i="1"/>
  <c r="K2094" i="1"/>
  <c r="E2094" i="1"/>
  <c r="B2094" i="1"/>
  <c r="U2093" i="1"/>
  <c r="K2093" i="1"/>
  <c r="E2093" i="1"/>
  <c r="B2093" i="1"/>
  <c r="U2092" i="1"/>
  <c r="K2092" i="1"/>
  <c r="E2092" i="1"/>
  <c r="B2092" i="1"/>
  <c r="U2091" i="1"/>
  <c r="K2091" i="1"/>
  <c r="E2091" i="1"/>
  <c r="B2091" i="1"/>
  <c r="U2090" i="1"/>
  <c r="K2090" i="1"/>
  <c r="E2090" i="1"/>
  <c r="B2090" i="1"/>
  <c r="U2089" i="1"/>
  <c r="K2089" i="1"/>
  <c r="E2089" i="1"/>
  <c r="B2089" i="1"/>
  <c r="U2088" i="1"/>
  <c r="K2088" i="1"/>
  <c r="E2088" i="1"/>
  <c r="B2088" i="1"/>
  <c r="U2087" i="1"/>
  <c r="K2087" i="1"/>
  <c r="E2087" i="1"/>
  <c r="B2087" i="1"/>
  <c r="K2086" i="1"/>
  <c r="E2086" i="1"/>
  <c r="B2086" i="1"/>
  <c r="U2085" i="1"/>
  <c r="K2085" i="1"/>
  <c r="E2085" i="1"/>
  <c r="B2085" i="1"/>
  <c r="U2084" i="1"/>
  <c r="K2084" i="1"/>
  <c r="E2084" i="1"/>
  <c r="B2084" i="1"/>
  <c r="U2083" i="1"/>
  <c r="K2083" i="1"/>
  <c r="E2083" i="1"/>
  <c r="B2083" i="1"/>
  <c r="K2082" i="1"/>
  <c r="E2082" i="1"/>
  <c r="B2082" i="1"/>
  <c r="U2081" i="1"/>
  <c r="K2081" i="1"/>
  <c r="E2081" i="1"/>
  <c r="B2081" i="1"/>
  <c r="U2080" i="1"/>
  <c r="K2080" i="1"/>
  <c r="E2080" i="1"/>
  <c r="B2080" i="1"/>
  <c r="U2079" i="1"/>
  <c r="K2079" i="1"/>
  <c r="E2079" i="1"/>
  <c r="B2079" i="1"/>
  <c r="U2078" i="1"/>
  <c r="K2078" i="1"/>
  <c r="E2078" i="1"/>
  <c r="B2078" i="1"/>
  <c r="U2077" i="1"/>
  <c r="K2077" i="1"/>
  <c r="E2077" i="1"/>
  <c r="B2077" i="1"/>
  <c r="U2076" i="1"/>
  <c r="K2076" i="1"/>
  <c r="E2076" i="1"/>
  <c r="B2076" i="1"/>
  <c r="U2075" i="1"/>
  <c r="K2075" i="1"/>
  <c r="E2075" i="1"/>
  <c r="B2075" i="1"/>
  <c r="U2074" i="1"/>
  <c r="K2074" i="1"/>
  <c r="E2074" i="1"/>
  <c r="B2074" i="1"/>
  <c r="U2073" i="1"/>
  <c r="K2073" i="1"/>
  <c r="E2073" i="1"/>
  <c r="B2073" i="1"/>
  <c r="U2072" i="1"/>
  <c r="K2072" i="1"/>
  <c r="E2072" i="1"/>
  <c r="B2072" i="1"/>
  <c r="U2071" i="1"/>
  <c r="K2071" i="1"/>
  <c r="E2071" i="1"/>
  <c r="B2071" i="1"/>
  <c r="U2070" i="1"/>
  <c r="K2070" i="1"/>
  <c r="E2070" i="1"/>
  <c r="B2070" i="1"/>
  <c r="U2069" i="1"/>
  <c r="K2069" i="1"/>
  <c r="E2069" i="1"/>
  <c r="B2069" i="1"/>
  <c r="U2068" i="1"/>
  <c r="K2068" i="1"/>
  <c r="E2068" i="1"/>
  <c r="B2068" i="1"/>
  <c r="U2067" i="1"/>
  <c r="K2067" i="1"/>
  <c r="E2067" i="1"/>
  <c r="B2067" i="1"/>
  <c r="U2066" i="1"/>
  <c r="K2066" i="1"/>
  <c r="E2066" i="1"/>
  <c r="B2066" i="1"/>
  <c r="U2065" i="1"/>
  <c r="K2065" i="1"/>
  <c r="E2065" i="1"/>
  <c r="B2065" i="1"/>
  <c r="U2064" i="1"/>
  <c r="K2064" i="1"/>
  <c r="E2064" i="1"/>
  <c r="B2064" i="1"/>
  <c r="U2063" i="1"/>
  <c r="K2063" i="1"/>
  <c r="E2063" i="1"/>
  <c r="B2063" i="1"/>
  <c r="U2062" i="1"/>
  <c r="K2062" i="1"/>
  <c r="E2062" i="1"/>
  <c r="B2062" i="1"/>
  <c r="U2061" i="1"/>
  <c r="K2061" i="1"/>
  <c r="E2061" i="1"/>
  <c r="B2061" i="1"/>
  <c r="U2060" i="1"/>
  <c r="K2060" i="1"/>
  <c r="E2060" i="1"/>
  <c r="B2060" i="1"/>
  <c r="U2059" i="1"/>
  <c r="K2059" i="1"/>
  <c r="E2059" i="1"/>
  <c r="B2059" i="1"/>
  <c r="U2058" i="1"/>
  <c r="K2058" i="1"/>
  <c r="E2058" i="1"/>
  <c r="B2058" i="1"/>
  <c r="U2057" i="1"/>
  <c r="K2057" i="1"/>
  <c r="E2057" i="1"/>
  <c r="B2057" i="1"/>
  <c r="U2056" i="1"/>
  <c r="K2056" i="1"/>
  <c r="E2056" i="1"/>
  <c r="B2056" i="1"/>
  <c r="U2055" i="1"/>
  <c r="K2055" i="1"/>
  <c r="E2055" i="1"/>
  <c r="B2055" i="1"/>
  <c r="U2054" i="1"/>
  <c r="K2054" i="1"/>
  <c r="E2054" i="1"/>
  <c r="B2054" i="1"/>
  <c r="U2053" i="1"/>
  <c r="K2053" i="1"/>
  <c r="E2053" i="1"/>
  <c r="B2053" i="1"/>
  <c r="U2052" i="1"/>
  <c r="K2052" i="1"/>
  <c r="E2052" i="1"/>
  <c r="B2052" i="1"/>
  <c r="U2051" i="1"/>
  <c r="K2051" i="1"/>
  <c r="E2051" i="1"/>
  <c r="B2051" i="1"/>
  <c r="U2050" i="1"/>
  <c r="K2050" i="1"/>
  <c r="E2050" i="1"/>
  <c r="B2050" i="1"/>
  <c r="U2049" i="1"/>
  <c r="K2049" i="1"/>
  <c r="E2049" i="1"/>
  <c r="B2049" i="1"/>
  <c r="U2048" i="1"/>
  <c r="K2048" i="1"/>
  <c r="E2048" i="1"/>
  <c r="B2048" i="1"/>
  <c r="U2047" i="1"/>
  <c r="K2047" i="1"/>
  <c r="E2047" i="1"/>
  <c r="B2047" i="1"/>
  <c r="U2046" i="1"/>
  <c r="K2046" i="1"/>
  <c r="E2046" i="1"/>
  <c r="B2046" i="1"/>
  <c r="U2045" i="1"/>
  <c r="K2045" i="1"/>
  <c r="E2045" i="1"/>
  <c r="B2045" i="1"/>
  <c r="U2044" i="1"/>
  <c r="K2044" i="1"/>
  <c r="E2044" i="1"/>
  <c r="B2044" i="1"/>
  <c r="U2043" i="1"/>
  <c r="K2043" i="1"/>
  <c r="E2043" i="1"/>
  <c r="B2043" i="1"/>
  <c r="U2042" i="1"/>
  <c r="K2042" i="1"/>
  <c r="E2042" i="1"/>
  <c r="B2042" i="1"/>
  <c r="U2041" i="1"/>
  <c r="K2041" i="1"/>
  <c r="E2041" i="1"/>
  <c r="B2041" i="1"/>
  <c r="U2040" i="1"/>
  <c r="K2040" i="1"/>
  <c r="E2040" i="1"/>
  <c r="B2040" i="1"/>
  <c r="U2039" i="1"/>
  <c r="K2039" i="1"/>
  <c r="E2039" i="1"/>
  <c r="B2039" i="1"/>
  <c r="U2038" i="1"/>
  <c r="K2038" i="1"/>
  <c r="E2038" i="1"/>
  <c r="B2038" i="1"/>
  <c r="U2037" i="1"/>
  <c r="K2037" i="1"/>
  <c r="E2037" i="1"/>
  <c r="B2037" i="1"/>
  <c r="U2036" i="1"/>
  <c r="K2036" i="1"/>
  <c r="E2036" i="1"/>
  <c r="B2036" i="1"/>
  <c r="U2035" i="1"/>
  <c r="K2035" i="1"/>
  <c r="E2035" i="1"/>
  <c r="B2035" i="1"/>
  <c r="U2034" i="1"/>
  <c r="K2034" i="1"/>
  <c r="E2034" i="1"/>
  <c r="B2034" i="1"/>
  <c r="U2033" i="1"/>
  <c r="K2033" i="1"/>
  <c r="E2033" i="1"/>
  <c r="B2033" i="1"/>
  <c r="U2032" i="1"/>
  <c r="K2032" i="1"/>
  <c r="E2032" i="1"/>
  <c r="B2032" i="1"/>
  <c r="U2031" i="1"/>
  <c r="K2031" i="1"/>
  <c r="E2031" i="1"/>
  <c r="B2031" i="1"/>
  <c r="U2030" i="1"/>
  <c r="K2030" i="1"/>
  <c r="E2030" i="1"/>
  <c r="B2030" i="1"/>
  <c r="U2029" i="1"/>
  <c r="K2029" i="1"/>
  <c r="E2029" i="1"/>
  <c r="B2029" i="1"/>
  <c r="U2028" i="1"/>
  <c r="K2028" i="1"/>
  <c r="E2028" i="1"/>
  <c r="B2028" i="1"/>
  <c r="U2027" i="1"/>
  <c r="K2027" i="1"/>
  <c r="E2027" i="1"/>
  <c r="B2027" i="1"/>
  <c r="U2026" i="1"/>
  <c r="K2026" i="1"/>
  <c r="E2026" i="1"/>
  <c r="B2026" i="1"/>
  <c r="U2025" i="1"/>
  <c r="K2025" i="1"/>
  <c r="E2025" i="1"/>
  <c r="B2025" i="1"/>
  <c r="U2024" i="1"/>
  <c r="K2024" i="1"/>
  <c r="E2024" i="1"/>
  <c r="B2024" i="1"/>
  <c r="U2023" i="1"/>
  <c r="K2023" i="1"/>
  <c r="E2023" i="1"/>
  <c r="B2023" i="1"/>
  <c r="U2022" i="1"/>
  <c r="K2022" i="1"/>
  <c r="E2022" i="1"/>
  <c r="B2022" i="1"/>
  <c r="U2021" i="1"/>
  <c r="K2021" i="1"/>
  <c r="E2021" i="1"/>
  <c r="B2021" i="1"/>
  <c r="U2020" i="1"/>
  <c r="K2020" i="1"/>
  <c r="E2020" i="1"/>
  <c r="B2020" i="1"/>
  <c r="U2019" i="1"/>
  <c r="K2019" i="1"/>
  <c r="E2019" i="1"/>
  <c r="B2019" i="1"/>
  <c r="U2018" i="1"/>
  <c r="K2018" i="1"/>
  <c r="E2018" i="1"/>
  <c r="B2018" i="1"/>
  <c r="U2017" i="1"/>
  <c r="K2017" i="1"/>
  <c r="E2017" i="1"/>
  <c r="B2017" i="1"/>
  <c r="U2016" i="1"/>
  <c r="K2016" i="1"/>
  <c r="E2016" i="1"/>
  <c r="B2016" i="1"/>
  <c r="U2015" i="1"/>
  <c r="K2015" i="1"/>
  <c r="E2015" i="1"/>
  <c r="B2015" i="1"/>
  <c r="U2014" i="1"/>
  <c r="K2014" i="1"/>
  <c r="E2014" i="1"/>
  <c r="B2014" i="1"/>
  <c r="U2013" i="1"/>
  <c r="K2013" i="1"/>
  <c r="E2013" i="1"/>
  <c r="B2013" i="1"/>
  <c r="U2012" i="1"/>
  <c r="K2012" i="1"/>
  <c r="E2012" i="1"/>
  <c r="B2012" i="1"/>
  <c r="U2011" i="1"/>
  <c r="K2011" i="1"/>
  <c r="E2011" i="1"/>
  <c r="B2011" i="1"/>
  <c r="U2010" i="1"/>
  <c r="K2010" i="1"/>
  <c r="E2010" i="1"/>
  <c r="B2010" i="1"/>
  <c r="U2009" i="1"/>
  <c r="K2009" i="1"/>
  <c r="E2009" i="1"/>
  <c r="B2009" i="1"/>
  <c r="U2008" i="1"/>
  <c r="K2008" i="1"/>
  <c r="E2008" i="1"/>
  <c r="B2008" i="1"/>
  <c r="U2007" i="1"/>
  <c r="K2007" i="1"/>
  <c r="E2007" i="1"/>
  <c r="B2007" i="1"/>
  <c r="U2006" i="1"/>
  <c r="K2006" i="1"/>
  <c r="E2006" i="1"/>
  <c r="B2006" i="1"/>
  <c r="U2005" i="1"/>
  <c r="K2005" i="1"/>
  <c r="E2005" i="1"/>
  <c r="B2005" i="1"/>
  <c r="U2004" i="1"/>
  <c r="K2004" i="1"/>
  <c r="E2004" i="1"/>
  <c r="B2004" i="1"/>
  <c r="U2003" i="1"/>
  <c r="K2003" i="1"/>
  <c r="E2003" i="1"/>
  <c r="B2003" i="1"/>
  <c r="U2002" i="1"/>
  <c r="K2002" i="1"/>
  <c r="E2002" i="1"/>
  <c r="B2002" i="1"/>
  <c r="U2001" i="1"/>
  <c r="K2001" i="1"/>
  <c r="E2001" i="1"/>
  <c r="B2001" i="1"/>
  <c r="U2000" i="1"/>
  <c r="K2000" i="1"/>
  <c r="E2000" i="1"/>
  <c r="B2000" i="1"/>
  <c r="U1999" i="1"/>
  <c r="K1999" i="1"/>
  <c r="E1999" i="1"/>
  <c r="B1999" i="1"/>
  <c r="U1998" i="1"/>
  <c r="K1998" i="1"/>
  <c r="E1998" i="1"/>
  <c r="B1998" i="1"/>
  <c r="U1997" i="1"/>
  <c r="K1997" i="1"/>
  <c r="E1997" i="1"/>
  <c r="B1997" i="1"/>
  <c r="U1996" i="1"/>
  <c r="K1996" i="1"/>
  <c r="E1996" i="1"/>
  <c r="B1996" i="1"/>
  <c r="U1995" i="1"/>
  <c r="K1995" i="1"/>
  <c r="E1995" i="1"/>
  <c r="B1995" i="1"/>
  <c r="U1994" i="1"/>
  <c r="K1994" i="1"/>
  <c r="E1994" i="1"/>
  <c r="B1994" i="1"/>
  <c r="U1993" i="1"/>
  <c r="K1993" i="1"/>
  <c r="E1993" i="1"/>
  <c r="B1993" i="1"/>
  <c r="U1992" i="1"/>
  <c r="K1992" i="1"/>
  <c r="E1992" i="1"/>
  <c r="B1992" i="1"/>
  <c r="U1991" i="1"/>
  <c r="K1991" i="1"/>
  <c r="E1991" i="1"/>
  <c r="B1991" i="1"/>
  <c r="U1990" i="1"/>
  <c r="K1990" i="1"/>
  <c r="E1990" i="1"/>
  <c r="B1990" i="1"/>
  <c r="U1989" i="1"/>
  <c r="K1989" i="1"/>
  <c r="E1989" i="1"/>
  <c r="B1989" i="1"/>
  <c r="U1988" i="1"/>
  <c r="K1988" i="1"/>
  <c r="E1988" i="1"/>
  <c r="B1988" i="1"/>
  <c r="U1987" i="1"/>
  <c r="K1987" i="1"/>
  <c r="E1987" i="1"/>
  <c r="B1987" i="1"/>
  <c r="U1986" i="1"/>
  <c r="K1986" i="1"/>
  <c r="E1986" i="1"/>
  <c r="B1986" i="1"/>
  <c r="U1985" i="1"/>
  <c r="K1985" i="1"/>
  <c r="E1985" i="1"/>
  <c r="B1985" i="1"/>
  <c r="U1984" i="1"/>
  <c r="K1984" i="1"/>
  <c r="E1984" i="1"/>
  <c r="B1984" i="1"/>
  <c r="U1983" i="1"/>
  <c r="K1983" i="1"/>
  <c r="E1983" i="1"/>
  <c r="B1983" i="1"/>
  <c r="U1982" i="1"/>
  <c r="K1982" i="1"/>
  <c r="E1982" i="1"/>
  <c r="B1982" i="1"/>
  <c r="U1981" i="1"/>
  <c r="K1981" i="1"/>
  <c r="E1981" i="1"/>
  <c r="B1981" i="1"/>
  <c r="U1980" i="1"/>
  <c r="K1980" i="1"/>
  <c r="E1980" i="1"/>
  <c r="B1980" i="1"/>
  <c r="U1979" i="1"/>
  <c r="K1979" i="1"/>
  <c r="E1979" i="1"/>
  <c r="B1979" i="1"/>
  <c r="U1978" i="1"/>
  <c r="K1978" i="1"/>
  <c r="E1978" i="1"/>
  <c r="B1978" i="1"/>
  <c r="U1977" i="1"/>
  <c r="K1977" i="1"/>
  <c r="E1977" i="1"/>
  <c r="B1977" i="1"/>
  <c r="U1976" i="1"/>
  <c r="K1976" i="1"/>
  <c r="E1976" i="1"/>
  <c r="B1976" i="1"/>
  <c r="U1975" i="1"/>
  <c r="K1975" i="1"/>
  <c r="E1975" i="1"/>
  <c r="B1975" i="1"/>
  <c r="U1974" i="1"/>
  <c r="K1974" i="1"/>
  <c r="E1974" i="1"/>
  <c r="B1974" i="1"/>
  <c r="U1973" i="1"/>
  <c r="K1973" i="1"/>
  <c r="E1973" i="1"/>
  <c r="B1973" i="1"/>
  <c r="U1972" i="1"/>
  <c r="K1972" i="1"/>
  <c r="E1972" i="1"/>
  <c r="B1972" i="1"/>
  <c r="U1971" i="1"/>
  <c r="K1971" i="1"/>
  <c r="E1971" i="1"/>
  <c r="B1971" i="1"/>
  <c r="U1970" i="1"/>
  <c r="K1970" i="1"/>
  <c r="E1970" i="1"/>
  <c r="B1970" i="1"/>
  <c r="U1969" i="1"/>
  <c r="K1969" i="1"/>
  <c r="E1969" i="1"/>
  <c r="B1969" i="1"/>
  <c r="U1968" i="1"/>
  <c r="K1968" i="1"/>
  <c r="E1968" i="1"/>
  <c r="B1968" i="1"/>
  <c r="U1967" i="1"/>
  <c r="K1967" i="1"/>
  <c r="E1967" i="1"/>
  <c r="B1967" i="1"/>
  <c r="U1966" i="1"/>
  <c r="K1966" i="1"/>
  <c r="E1966" i="1"/>
  <c r="B1966" i="1"/>
  <c r="U1965" i="1"/>
  <c r="K1965" i="1"/>
  <c r="E1965" i="1"/>
  <c r="B1965" i="1"/>
  <c r="U1964" i="1"/>
  <c r="K1964" i="1"/>
  <c r="E1964" i="1"/>
  <c r="B1964" i="1"/>
  <c r="U1963" i="1"/>
  <c r="K1963" i="1"/>
  <c r="E1963" i="1"/>
  <c r="B1963" i="1"/>
  <c r="U1962" i="1"/>
  <c r="K1962" i="1"/>
  <c r="E1962" i="1"/>
  <c r="B1962" i="1"/>
  <c r="U1961" i="1"/>
  <c r="K1961" i="1"/>
  <c r="E1961" i="1"/>
  <c r="B1961" i="1"/>
  <c r="U1960" i="1"/>
  <c r="K1960" i="1"/>
  <c r="E1960" i="1"/>
  <c r="B1960" i="1"/>
  <c r="U1959" i="1"/>
  <c r="K1959" i="1"/>
  <c r="E1959" i="1"/>
  <c r="B1959" i="1"/>
  <c r="U1958" i="1"/>
  <c r="K1958" i="1"/>
  <c r="E1958" i="1"/>
  <c r="B1958" i="1"/>
  <c r="U1957" i="1"/>
  <c r="K1957" i="1"/>
  <c r="E1957" i="1"/>
  <c r="B1957" i="1"/>
  <c r="U1956" i="1"/>
  <c r="K1956" i="1"/>
  <c r="E1956" i="1"/>
  <c r="B1956" i="1"/>
  <c r="U1955" i="1"/>
  <c r="K1955" i="1"/>
  <c r="E1955" i="1"/>
  <c r="B1955" i="1"/>
  <c r="U1954" i="1"/>
  <c r="K1954" i="1"/>
  <c r="E1954" i="1"/>
  <c r="B1954" i="1"/>
  <c r="U1953" i="1"/>
  <c r="K1953" i="1"/>
  <c r="E1953" i="1"/>
  <c r="B1953" i="1"/>
  <c r="U1952" i="1"/>
  <c r="K1952" i="1"/>
  <c r="E1952" i="1"/>
  <c r="B1952" i="1"/>
  <c r="U1951" i="1"/>
  <c r="K1951" i="1"/>
  <c r="E1951" i="1"/>
  <c r="B1951" i="1"/>
  <c r="U1950" i="1"/>
  <c r="K1950" i="1"/>
  <c r="E1950" i="1"/>
  <c r="B1950" i="1"/>
  <c r="U1949" i="1"/>
  <c r="K1949" i="1"/>
  <c r="E1949" i="1"/>
  <c r="B1949" i="1"/>
  <c r="K1948" i="1"/>
  <c r="E1948" i="1"/>
  <c r="B1948" i="1"/>
  <c r="U1947" i="1"/>
  <c r="K1947" i="1"/>
  <c r="E1947" i="1"/>
  <c r="B1947" i="1"/>
  <c r="U1946" i="1"/>
  <c r="K1946" i="1"/>
  <c r="E1946" i="1"/>
  <c r="B1946" i="1"/>
  <c r="U1945" i="1"/>
  <c r="K1945" i="1"/>
  <c r="E1945" i="1"/>
  <c r="B1945" i="1"/>
  <c r="U1944" i="1"/>
  <c r="K1944" i="1"/>
  <c r="E1944" i="1"/>
  <c r="B1944" i="1"/>
  <c r="U1943" i="1"/>
  <c r="K1943" i="1"/>
  <c r="E1943" i="1"/>
  <c r="B1943" i="1"/>
  <c r="U1942" i="1"/>
  <c r="K1942" i="1"/>
  <c r="E1942" i="1"/>
  <c r="B1942" i="1"/>
  <c r="U1941" i="1"/>
  <c r="K1941" i="1"/>
  <c r="E1941" i="1"/>
  <c r="B1941" i="1"/>
  <c r="U1940" i="1"/>
  <c r="K1940" i="1"/>
  <c r="E1940" i="1"/>
  <c r="B1940" i="1"/>
  <c r="U1939" i="1"/>
  <c r="K1939" i="1"/>
  <c r="E1939" i="1"/>
  <c r="B1939" i="1"/>
  <c r="U1938" i="1"/>
  <c r="K1938" i="1"/>
  <c r="E1938" i="1"/>
  <c r="B1938" i="1"/>
  <c r="U1937" i="1"/>
  <c r="K1937" i="1"/>
  <c r="E1937" i="1"/>
  <c r="B1937" i="1"/>
  <c r="U1936" i="1"/>
  <c r="K1936" i="1"/>
  <c r="E1936" i="1"/>
  <c r="B1936" i="1"/>
  <c r="U1935" i="1"/>
  <c r="K1935" i="1"/>
  <c r="E1935" i="1"/>
  <c r="B1935" i="1"/>
  <c r="U1934" i="1"/>
  <c r="K1934" i="1"/>
  <c r="E1934" i="1"/>
  <c r="B1934" i="1"/>
  <c r="U1933" i="1"/>
  <c r="K1933" i="1"/>
  <c r="E1933" i="1"/>
  <c r="B1933" i="1"/>
  <c r="U1932" i="1"/>
  <c r="K1932" i="1"/>
  <c r="E1932" i="1"/>
  <c r="B1932" i="1"/>
  <c r="U1931" i="1"/>
  <c r="K1931" i="1"/>
  <c r="E1931" i="1"/>
  <c r="B1931" i="1"/>
  <c r="U1930" i="1"/>
  <c r="K1930" i="1"/>
  <c r="E1930" i="1"/>
  <c r="B1930" i="1"/>
  <c r="U1929" i="1"/>
  <c r="K1929" i="1"/>
  <c r="E1929" i="1"/>
  <c r="B1929" i="1"/>
  <c r="U1928" i="1"/>
  <c r="K1928" i="1"/>
  <c r="E1928" i="1"/>
  <c r="B1928" i="1"/>
  <c r="U1927" i="1"/>
  <c r="K1927" i="1"/>
  <c r="E1927" i="1"/>
  <c r="B1927" i="1"/>
  <c r="U1926" i="1"/>
  <c r="K1926" i="1"/>
  <c r="E1926" i="1"/>
  <c r="B1926" i="1"/>
  <c r="U1925" i="1"/>
  <c r="K1925" i="1"/>
  <c r="E1925" i="1"/>
  <c r="B1925" i="1"/>
  <c r="U1924" i="1"/>
  <c r="K1924" i="1"/>
  <c r="E1924" i="1"/>
  <c r="B1924" i="1"/>
  <c r="U1923" i="1"/>
  <c r="K1923" i="1"/>
  <c r="E1923" i="1"/>
  <c r="B1923" i="1"/>
  <c r="U1922" i="1"/>
  <c r="K1922" i="1"/>
  <c r="E1922" i="1"/>
  <c r="B1922" i="1"/>
  <c r="U1921" i="1"/>
  <c r="K1921" i="1"/>
  <c r="E1921" i="1"/>
  <c r="B1921" i="1"/>
  <c r="U1920" i="1"/>
  <c r="K1920" i="1"/>
  <c r="E1920" i="1"/>
  <c r="B1920" i="1"/>
  <c r="U1919" i="1"/>
  <c r="K1919" i="1"/>
  <c r="E1919" i="1"/>
  <c r="B1919" i="1"/>
  <c r="U1918" i="1"/>
  <c r="K1918" i="1"/>
  <c r="E1918" i="1"/>
  <c r="B1918" i="1"/>
  <c r="U1917" i="1"/>
  <c r="K1917" i="1"/>
  <c r="E1917" i="1"/>
  <c r="B1917" i="1"/>
  <c r="U1916" i="1"/>
  <c r="K1916" i="1"/>
  <c r="E1916" i="1"/>
  <c r="B1916" i="1"/>
  <c r="U1915" i="1"/>
  <c r="K1915" i="1"/>
  <c r="E1915" i="1"/>
  <c r="B1915" i="1"/>
  <c r="U1914" i="1"/>
  <c r="K1914" i="1"/>
  <c r="E1914" i="1"/>
  <c r="B1914" i="1"/>
  <c r="U1913" i="1"/>
  <c r="K1913" i="1"/>
  <c r="E1913" i="1"/>
  <c r="B1913" i="1"/>
  <c r="U1912" i="1"/>
  <c r="K1912" i="1"/>
  <c r="E1912" i="1"/>
  <c r="B1912" i="1"/>
  <c r="U1911" i="1"/>
  <c r="K1911" i="1"/>
  <c r="E1911" i="1"/>
  <c r="B1911" i="1"/>
  <c r="U1910" i="1"/>
  <c r="K1910" i="1"/>
  <c r="E1910" i="1"/>
  <c r="B1910" i="1"/>
  <c r="U1909" i="1"/>
  <c r="K1909" i="1"/>
  <c r="E1909" i="1"/>
  <c r="B1909" i="1"/>
  <c r="U1908" i="1"/>
  <c r="K1908" i="1"/>
  <c r="E1908" i="1"/>
  <c r="B1908" i="1"/>
  <c r="U1907" i="1"/>
  <c r="K1907" i="1"/>
  <c r="E1907" i="1"/>
  <c r="B1907" i="1"/>
  <c r="U1906" i="1"/>
  <c r="K1906" i="1"/>
  <c r="E1906" i="1"/>
  <c r="B1906" i="1"/>
  <c r="U1905" i="1"/>
  <c r="K1905" i="1"/>
  <c r="E1905" i="1"/>
  <c r="B1905" i="1"/>
  <c r="K1904" i="1"/>
  <c r="E1904" i="1"/>
  <c r="B1904" i="1"/>
  <c r="U1903" i="1"/>
  <c r="K1903" i="1"/>
  <c r="E1903" i="1"/>
  <c r="B1903" i="1"/>
  <c r="U1902" i="1"/>
  <c r="K1902" i="1"/>
  <c r="E1902" i="1"/>
  <c r="B1902" i="1"/>
  <c r="U1901" i="1"/>
  <c r="K1901" i="1"/>
  <c r="E1901" i="1"/>
  <c r="B1901" i="1"/>
  <c r="U1900" i="1"/>
  <c r="K1900" i="1"/>
  <c r="E1900" i="1"/>
  <c r="B1900" i="1"/>
  <c r="U1899" i="1"/>
  <c r="K1899" i="1"/>
  <c r="E1899" i="1"/>
  <c r="B1899" i="1"/>
  <c r="K1898" i="1"/>
  <c r="E1898" i="1"/>
  <c r="B1898" i="1"/>
  <c r="U1897" i="1"/>
  <c r="K1897" i="1"/>
  <c r="E1897" i="1"/>
  <c r="B1897" i="1"/>
  <c r="U1896" i="1"/>
  <c r="K1896" i="1"/>
  <c r="E1896" i="1"/>
  <c r="B1896" i="1"/>
  <c r="U1895" i="1"/>
  <c r="K1895" i="1"/>
  <c r="E1895" i="1"/>
  <c r="B1895" i="1"/>
  <c r="U1894" i="1"/>
  <c r="K1894" i="1"/>
  <c r="E1894" i="1"/>
  <c r="B1894" i="1"/>
  <c r="U1893" i="1"/>
  <c r="K1893" i="1"/>
  <c r="E1893" i="1"/>
  <c r="B1893" i="1"/>
  <c r="U1892" i="1"/>
  <c r="K1892" i="1"/>
  <c r="E1892" i="1"/>
  <c r="B1892" i="1"/>
  <c r="U1891" i="1"/>
  <c r="K1891" i="1"/>
  <c r="E1891" i="1"/>
  <c r="B1891" i="1"/>
  <c r="U1890" i="1"/>
  <c r="K1890" i="1"/>
  <c r="E1890" i="1"/>
  <c r="B1890" i="1"/>
  <c r="U1889" i="1"/>
  <c r="K1889" i="1"/>
  <c r="E1889" i="1"/>
  <c r="B1889" i="1"/>
  <c r="U1888" i="1"/>
  <c r="K1888" i="1"/>
  <c r="E1888" i="1"/>
  <c r="B1888" i="1"/>
  <c r="U1887" i="1"/>
  <c r="K1887" i="1"/>
  <c r="E1887" i="1"/>
  <c r="B1887" i="1"/>
  <c r="U1886" i="1"/>
  <c r="K1886" i="1"/>
  <c r="E1886" i="1"/>
  <c r="B1886" i="1"/>
  <c r="U1885" i="1"/>
  <c r="K1885" i="1"/>
  <c r="E1885" i="1"/>
  <c r="B1885" i="1"/>
  <c r="U1884" i="1"/>
  <c r="K1884" i="1"/>
  <c r="E1884" i="1"/>
  <c r="B1884" i="1"/>
  <c r="U1883" i="1"/>
  <c r="K1883" i="1"/>
  <c r="E1883" i="1"/>
  <c r="B1883" i="1"/>
  <c r="U1882" i="1"/>
  <c r="K1882" i="1"/>
  <c r="E1882" i="1"/>
  <c r="B1882" i="1"/>
  <c r="U1881" i="1"/>
  <c r="K1881" i="1"/>
  <c r="E1881" i="1"/>
  <c r="B1881" i="1"/>
  <c r="U1880" i="1"/>
  <c r="K1880" i="1"/>
  <c r="E1880" i="1"/>
  <c r="B1880" i="1"/>
  <c r="U1879" i="1"/>
  <c r="K1879" i="1"/>
  <c r="E1879" i="1"/>
  <c r="B1879" i="1"/>
  <c r="U1878" i="1"/>
  <c r="K1878" i="1"/>
  <c r="E1878" i="1"/>
  <c r="B1878" i="1"/>
  <c r="U1877" i="1"/>
  <c r="K1877" i="1"/>
  <c r="E1877" i="1"/>
  <c r="B1877" i="1"/>
  <c r="U1876" i="1"/>
  <c r="K1876" i="1"/>
  <c r="E1876" i="1"/>
  <c r="B1876" i="1"/>
  <c r="U1875" i="1"/>
  <c r="K1875" i="1"/>
  <c r="E1875" i="1"/>
  <c r="B1875" i="1"/>
  <c r="U1874" i="1"/>
  <c r="K1874" i="1"/>
  <c r="E1874" i="1"/>
  <c r="B1874" i="1"/>
  <c r="U1873" i="1"/>
  <c r="K1873" i="1"/>
  <c r="E1873" i="1"/>
  <c r="B1873" i="1"/>
  <c r="U1872" i="1"/>
  <c r="K1872" i="1"/>
  <c r="E1872" i="1"/>
  <c r="B1872" i="1"/>
  <c r="U1871" i="1"/>
  <c r="K1871" i="1"/>
  <c r="E1871" i="1"/>
  <c r="B1871" i="1"/>
  <c r="U1870" i="1"/>
  <c r="K1870" i="1"/>
  <c r="E1870" i="1"/>
  <c r="B1870" i="1"/>
  <c r="U1869" i="1"/>
  <c r="K1869" i="1"/>
  <c r="E1869" i="1"/>
  <c r="B1869" i="1"/>
  <c r="U1868" i="1"/>
  <c r="K1868" i="1"/>
  <c r="E1868" i="1"/>
  <c r="B1868" i="1"/>
  <c r="U1867" i="1"/>
  <c r="K1867" i="1"/>
  <c r="E1867" i="1"/>
  <c r="B1867" i="1"/>
  <c r="U1866" i="1"/>
  <c r="K1866" i="1"/>
  <c r="E1866" i="1"/>
  <c r="B1866" i="1"/>
  <c r="U1865" i="1"/>
  <c r="K1865" i="1"/>
  <c r="E1865" i="1"/>
  <c r="B1865" i="1"/>
  <c r="U1864" i="1"/>
  <c r="K1864" i="1"/>
  <c r="E1864" i="1"/>
  <c r="B1864" i="1"/>
  <c r="U1863" i="1"/>
  <c r="K1863" i="1"/>
  <c r="E1863" i="1"/>
  <c r="B1863" i="1"/>
  <c r="U1862" i="1"/>
  <c r="K1862" i="1"/>
  <c r="E1862" i="1"/>
  <c r="B1862" i="1"/>
  <c r="U1861" i="1"/>
  <c r="K1861" i="1"/>
  <c r="E1861" i="1"/>
  <c r="B1861" i="1"/>
  <c r="U1860" i="1"/>
  <c r="K1860" i="1"/>
  <c r="E1860" i="1"/>
  <c r="B1860" i="1"/>
  <c r="U1859" i="1"/>
  <c r="K1859" i="1"/>
  <c r="E1859" i="1"/>
  <c r="B1859" i="1"/>
  <c r="U1858" i="1"/>
  <c r="K1858" i="1"/>
  <c r="E1858" i="1"/>
  <c r="B1858" i="1"/>
  <c r="U1857" i="1"/>
  <c r="K1857" i="1"/>
  <c r="E1857" i="1"/>
  <c r="B1857" i="1"/>
  <c r="U1856" i="1"/>
  <c r="K1856" i="1"/>
  <c r="E1856" i="1"/>
  <c r="B1856" i="1"/>
  <c r="U1855" i="1"/>
  <c r="K1855" i="1"/>
  <c r="E1855" i="1"/>
  <c r="B1855" i="1"/>
  <c r="U1854" i="1"/>
  <c r="K1854" i="1"/>
  <c r="E1854" i="1"/>
  <c r="B1854" i="1"/>
  <c r="U1853" i="1"/>
  <c r="K1853" i="1"/>
  <c r="E1853" i="1"/>
  <c r="B1853" i="1"/>
  <c r="U1852" i="1"/>
  <c r="K1852" i="1"/>
  <c r="E1852" i="1"/>
  <c r="B1852" i="1"/>
  <c r="U1851" i="1"/>
  <c r="K1851" i="1"/>
  <c r="E1851" i="1"/>
  <c r="B1851" i="1"/>
  <c r="U1850" i="1"/>
  <c r="K1850" i="1"/>
  <c r="E1850" i="1"/>
  <c r="B1850" i="1"/>
  <c r="U1849" i="1"/>
  <c r="K1849" i="1"/>
  <c r="E1849" i="1"/>
  <c r="B1849" i="1"/>
  <c r="U1848" i="1"/>
  <c r="K1848" i="1"/>
  <c r="E1848" i="1"/>
  <c r="B1848" i="1"/>
  <c r="U1847" i="1"/>
  <c r="K1847" i="1"/>
  <c r="E1847" i="1"/>
  <c r="B1847" i="1"/>
  <c r="K1846" i="1"/>
  <c r="E1846" i="1"/>
  <c r="B1846" i="1"/>
  <c r="U1845" i="1"/>
  <c r="K1845" i="1"/>
  <c r="E1845" i="1"/>
  <c r="B1845" i="1"/>
  <c r="U1844" i="1"/>
  <c r="K1844" i="1"/>
  <c r="E1844" i="1"/>
  <c r="B1844" i="1"/>
  <c r="U1843" i="1"/>
  <c r="K1843" i="1"/>
  <c r="E1843" i="1"/>
  <c r="B1843" i="1"/>
  <c r="U1842" i="1"/>
  <c r="K1842" i="1"/>
  <c r="E1842" i="1"/>
  <c r="B1842" i="1"/>
  <c r="U1841" i="1"/>
  <c r="K1841" i="1"/>
  <c r="E1841" i="1"/>
  <c r="B1841" i="1"/>
  <c r="U1840" i="1"/>
  <c r="K1840" i="1"/>
  <c r="E1840" i="1"/>
  <c r="B1840" i="1"/>
  <c r="U1839" i="1"/>
  <c r="K1839" i="1"/>
  <c r="E1839" i="1"/>
  <c r="B1839" i="1"/>
  <c r="U1838" i="1"/>
  <c r="K1838" i="1"/>
  <c r="E1838" i="1"/>
  <c r="B1838" i="1"/>
  <c r="U1837" i="1"/>
  <c r="K1837" i="1"/>
  <c r="E1837" i="1"/>
  <c r="B1837" i="1"/>
  <c r="U1836" i="1"/>
  <c r="K1836" i="1"/>
  <c r="E1836" i="1"/>
  <c r="B1836" i="1"/>
  <c r="U1835" i="1"/>
  <c r="K1835" i="1"/>
  <c r="E1835" i="1"/>
  <c r="B1835" i="1"/>
  <c r="U1834" i="1"/>
  <c r="K1834" i="1"/>
  <c r="E1834" i="1"/>
  <c r="B1834" i="1"/>
  <c r="U1833" i="1"/>
  <c r="K1833" i="1"/>
  <c r="E1833" i="1"/>
  <c r="B1833" i="1"/>
  <c r="U1832" i="1"/>
  <c r="K1832" i="1"/>
  <c r="E1832" i="1"/>
  <c r="B1832" i="1"/>
  <c r="U1831" i="1"/>
  <c r="K1831" i="1"/>
  <c r="E1831" i="1"/>
  <c r="B1831" i="1"/>
  <c r="U1830" i="1"/>
  <c r="K1830" i="1"/>
  <c r="E1830" i="1"/>
  <c r="B1830" i="1"/>
  <c r="U1829" i="1"/>
  <c r="K1829" i="1"/>
  <c r="E1829" i="1"/>
  <c r="B1829" i="1"/>
  <c r="U1828" i="1"/>
  <c r="K1828" i="1"/>
  <c r="E1828" i="1"/>
  <c r="B1828" i="1"/>
  <c r="U1827" i="1"/>
  <c r="K1827" i="1"/>
  <c r="E1827" i="1"/>
  <c r="B1827" i="1"/>
  <c r="U1826" i="1"/>
  <c r="K1826" i="1"/>
  <c r="E1826" i="1"/>
  <c r="B1826" i="1"/>
  <c r="K1825" i="1"/>
  <c r="E1825" i="1"/>
  <c r="B1825" i="1"/>
  <c r="U1824" i="1"/>
  <c r="K1824" i="1"/>
  <c r="E1824" i="1"/>
  <c r="B1824" i="1"/>
  <c r="U1823" i="1"/>
  <c r="K1823" i="1"/>
  <c r="E1823" i="1"/>
  <c r="B1823" i="1"/>
  <c r="U1822" i="1"/>
  <c r="K1822" i="1"/>
  <c r="E1822" i="1"/>
  <c r="B1822" i="1"/>
  <c r="U1821" i="1"/>
  <c r="K1821" i="1"/>
  <c r="E1821" i="1"/>
  <c r="B1821" i="1"/>
  <c r="U1820" i="1"/>
  <c r="K1820" i="1"/>
  <c r="E1820" i="1"/>
  <c r="B1820" i="1"/>
  <c r="U1819" i="1"/>
  <c r="K1819" i="1"/>
  <c r="E1819" i="1"/>
  <c r="B1819" i="1"/>
  <c r="U1818" i="1"/>
  <c r="K1818" i="1"/>
  <c r="E1818" i="1"/>
  <c r="B1818" i="1"/>
  <c r="U1817" i="1"/>
  <c r="K1817" i="1"/>
  <c r="E1817" i="1"/>
  <c r="B1817" i="1"/>
  <c r="U1816" i="1"/>
  <c r="K1816" i="1"/>
  <c r="E1816" i="1"/>
  <c r="B1816" i="1"/>
  <c r="U1815" i="1"/>
  <c r="K1815" i="1"/>
  <c r="E1815" i="1"/>
  <c r="B1815" i="1"/>
  <c r="U1814" i="1"/>
  <c r="K1814" i="1"/>
  <c r="E1814" i="1"/>
  <c r="B1814" i="1"/>
  <c r="U1813" i="1"/>
  <c r="K1813" i="1"/>
  <c r="E1813" i="1"/>
  <c r="B1813" i="1"/>
  <c r="U1812" i="1"/>
  <c r="K1812" i="1"/>
  <c r="E1812" i="1"/>
  <c r="B1812" i="1"/>
  <c r="U1811" i="1"/>
  <c r="K1811" i="1"/>
  <c r="E1811" i="1"/>
  <c r="B1811" i="1"/>
  <c r="U1810" i="1"/>
  <c r="K1810" i="1"/>
  <c r="E1810" i="1"/>
  <c r="B1810" i="1"/>
  <c r="U1809" i="1"/>
  <c r="K1809" i="1"/>
  <c r="E1809" i="1"/>
  <c r="B1809" i="1"/>
  <c r="U1808" i="1"/>
  <c r="K1808" i="1"/>
  <c r="E1808" i="1"/>
  <c r="B1808" i="1"/>
  <c r="U1807" i="1"/>
  <c r="K1807" i="1"/>
  <c r="E1807" i="1"/>
  <c r="B1807" i="1"/>
  <c r="U1806" i="1"/>
  <c r="K1806" i="1"/>
  <c r="E1806" i="1"/>
  <c r="B1806" i="1"/>
  <c r="U1805" i="1"/>
  <c r="K1805" i="1"/>
  <c r="E1805" i="1"/>
  <c r="B1805" i="1"/>
  <c r="U1804" i="1"/>
  <c r="K1804" i="1"/>
  <c r="E1804" i="1"/>
  <c r="B1804" i="1"/>
  <c r="U1803" i="1"/>
  <c r="K1803" i="1"/>
  <c r="E1803" i="1"/>
  <c r="B1803" i="1"/>
  <c r="U1802" i="1"/>
  <c r="K1802" i="1"/>
  <c r="E1802" i="1"/>
  <c r="B1802" i="1"/>
  <c r="U1801" i="1"/>
  <c r="K1801" i="1"/>
  <c r="E1801" i="1"/>
  <c r="B1801" i="1"/>
  <c r="U1800" i="1"/>
  <c r="K1800" i="1"/>
  <c r="E1800" i="1"/>
  <c r="B1800" i="1"/>
  <c r="U1799" i="1"/>
  <c r="K1799" i="1"/>
  <c r="E1799" i="1"/>
  <c r="B1799" i="1"/>
  <c r="U1798" i="1"/>
  <c r="K1798" i="1"/>
  <c r="E1798" i="1"/>
  <c r="B1798" i="1"/>
  <c r="U1797" i="1"/>
  <c r="K1797" i="1"/>
  <c r="E1797" i="1"/>
  <c r="B1797" i="1"/>
  <c r="U1796" i="1"/>
  <c r="K1796" i="1"/>
  <c r="E1796" i="1"/>
  <c r="B1796" i="1"/>
  <c r="U1795" i="1"/>
  <c r="K1795" i="1"/>
  <c r="E1795" i="1"/>
  <c r="B1795" i="1"/>
  <c r="U1794" i="1"/>
  <c r="K1794" i="1"/>
  <c r="E1794" i="1"/>
  <c r="B1794" i="1"/>
  <c r="U1793" i="1"/>
  <c r="K1793" i="1"/>
  <c r="E1793" i="1"/>
  <c r="B1793" i="1"/>
  <c r="U1792" i="1"/>
  <c r="K1792" i="1"/>
  <c r="E1792" i="1"/>
  <c r="B1792" i="1"/>
  <c r="U1791" i="1"/>
  <c r="K1791" i="1"/>
  <c r="E1791" i="1"/>
  <c r="B1791" i="1"/>
  <c r="U1790" i="1"/>
  <c r="K1790" i="1"/>
  <c r="E1790" i="1"/>
  <c r="B1790" i="1"/>
  <c r="U1789" i="1"/>
  <c r="K1789" i="1"/>
  <c r="E1789" i="1"/>
  <c r="B1789" i="1"/>
  <c r="U1788" i="1"/>
  <c r="K1788" i="1"/>
  <c r="E1788" i="1"/>
  <c r="B1788" i="1"/>
  <c r="U1787" i="1"/>
  <c r="K1787" i="1"/>
  <c r="E1787" i="1"/>
  <c r="B1787" i="1"/>
  <c r="U1786" i="1"/>
  <c r="K1786" i="1"/>
  <c r="E1786" i="1"/>
  <c r="B1786" i="1"/>
  <c r="U1785" i="1"/>
  <c r="K1785" i="1"/>
  <c r="E1785" i="1"/>
  <c r="B1785" i="1"/>
  <c r="U1784" i="1"/>
  <c r="K1784" i="1"/>
  <c r="E1784" i="1"/>
  <c r="B1784" i="1"/>
  <c r="U1783" i="1"/>
  <c r="K1783" i="1"/>
  <c r="E1783" i="1"/>
  <c r="B1783" i="1"/>
  <c r="U1782" i="1"/>
  <c r="K1782" i="1"/>
  <c r="E1782" i="1"/>
  <c r="B1782" i="1"/>
  <c r="U1781" i="1"/>
  <c r="K1781" i="1"/>
  <c r="E1781" i="1"/>
  <c r="B1781" i="1"/>
  <c r="U1780" i="1"/>
  <c r="K1780" i="1"/>
  <c r="E1780" i="1"/>
  <c r="B1780" i="1"/>
  <c r="U1779" i="1"/>
  <c r="K1779" i="1"/>
  <c r="E1779" i="1"/>
  <c r="B1779" i="1"/>
  <c r="U1778" i="1"/>
  <c r="K1778" i="1"/>
  <c r="E1778" i="1"/>
  <c r="B1778" i="1"/>
  <c r="U1777" i="1"/>
  <c r="K1777" i="1"/>
  <c r="E1777" i="1"/>
  <c r="B1777" i="1"/>
  <c r="U1776" i="1"/>
  <c r="K1776" i="1"/>
  <c r="E1776" i="1"/>
  <c r="B1776" i="1"/>
  <c r="U1775" i="1"/>
  <c r="K1775" i="1"/>
  <c r="E1775" i="1"/>
  <c r="B1775" i="1"/>
  <c r="U1774" i="1"/>
  <c r="K1774" i="1"/>
  <c r="E1774" i="1"/>
  <c r="B1774" i="1"/>
  <c r="U1773" i="1"/>
  <c r="K1773" i="1"/>
  <c r="E1773" i="1"/>
  <c r="B1773" i="1"/>
  <c r="U1772" i="1"/>
  <c r="K1772" i="1"/>
  <c r="E1772" i="1"/>
  <c r="B1772" i="1"/>
  <c r="U1771" i="1"/>
  <c r="K1771" i="1"/>
  <c r="E1771" i="1"/>
  <c r="B1771" i="1"/>
  <c r="U1770" i="1"/>
  <c r="K1770" i="1"/>
  <c r="E1770" i="1"/>
  <c r="B1770" i="1"/>
  <c r="U1769" i="1"/>
  <c r="K1769" i="1"/>
  <c r="E1769" i="1"/>
  <c r="B1769" i="1"/>
  <c r="U1768" i="1"/>
  <c r="K1768" i="1"/>
  <c r="E1768" i="1"/>
  <c r="B1768" i="1"/>
  <c r="U1767" i="1"/>
  <c r="K1767" i="1"/>
  <c r="E1767" i="1"/>
  <c r="B1767" i="1"/>
  <c r="U1766" i="1"/>
  <c r="K1766" i="1"/>
  <c r="E1766" i="1"/>
  <c r="B1766" i="1"/>
  <c r="U1765" i="1"/>
  <c r="K1765" i="1"/>
  <c r="E1765" i="1"/>
  <c r="B1765" i="1"/>
  <c r="U1764" i="1"/>
  <c r="K1764" i="1"/>
  <c r="E1764" i="1"/>
  <c r="B1764" i="1"/>
  <c r="U1763" i="1"/>
  <c r="K1763" i="1"/>
  <c r="E1763" i="1"/>
  <c r="B1763" i="1"/>
  <c r="U1762" i="1"/>
  <c r="K1762" i="1"/>
  <c r="E1762" i="1"/>
  <c r="B1762" i="1"/>
  <c r="U1761" i="1"/>
  <c r="K1761" i="1"/>
  <c r="E1761" i="1"/>
  <c r="B1761" i="1"/>
  <c r="U1760" i="1"/>
  <c r="K1760" i="1"/>
  <c r="E1760" i="1"/>
  <c r="B1760" i="1"/>
  <c r="U1759" i="1"/>
  <c r="K1759" i="1"/>
  <c r="E1759" i="1"/>
  <c r="B1759" i="1"/>
  <c r="U1758" i="1"/>
  <c r="K1758" i="1"/>
  <c r="E1758" i="1"/>
  <c r="B1758" i="1"/>
  <c r="U1757" i="1"/>
  <c r="K1757" i="1"/>
  <c r="E1757" i="1"/>
  <c r="B1757" i="1"/>
  <c r="U1756" i="1"/>
  <c r="K1756" i="1"/>
  <c r="E1756" i="1"/>
  <c r="B1756" i="1"/>
  <c r="U1755" i="1"/>
  <c r="K1755" i="1"/>
  <c r="E1755" i="1"/>
  <c r="B1755" i="1"/>
  <c r="U1754" i="1"/>
  <c r="K1754" i="1"/>
  <c r="E1754" i="1"/>
  <c r="B1754" i="1"/>
  <c r="U1753" i="1"/>
  <c r="K1753" i="1"/>
  <c r="E1753" i="1"/>
  <c r="B1753" i="1"/>
  <c r="U1752" i="1"/>
  <c r="K1752" i="1"/>
  <c r="E1752" i="1"/>
  <c r="B1752" i="1"/>
  <c r="U1751" i="1"/>
  <c r="K1751" i="1"/>
  <c r="E1751" i="1"/>
  <c r="B1751" i="1"/>
  <c r="U1750" i="1"/>
  <c r="K1750" i="1"/>
  <c r="E1750" i="1"/>
  <c r="B1750" i="1"/>
  <c r="U1749" i="1"/>
  <c r="K1749" i="1"/>
  <c r="E1749" i="1"/>
  <c r="B1749" i="1"/>
  <c r="U1748" i="1"/>
  <c r="K1748" i="1"/>
  <c r="E1748" i="1"/>
  <c r="B1748" i="1"/>
  <c r="U1747" i="1"/>
  <c r="K1747" i="1"/>
  <c r="E1747" i="1"/>
  <c r="B1747" i="1"/>
  <c r="U1746" i="1"/>
  <c r="K1746" i="1"/>
  <c r="E1746" i="1"/>
  <c r="B1746" i="1"/>
  <c r="U1745" i="1"/>
  <c r="K1745" i="1"/>
  <c r="E1745" i="1"/>
  <c r="B1745" i="1"/>
  <c r="U1744" i="1"/>
  <c r="K1744" i="1"/>
  <c r="E1744" i="1"/>
  <c r="B1744" i="1"/>
  <c r="U1743" i="1"/>
  <c r="K1743" i="1"/>
  <c r="E1743" i="1"/>
  <c r="B1743" i="1"/>
  <c r="U1742" i="1"/>
  <c r="K1742" i="1"/>
  <c r="E1742" i="1"/>
  <c r="B1742" i="1"/>
  <c r="U1741" i="1"/>
  <c r="K1741" i="1"/>
  <c r="E1741" i="1"/>
  <c r="B1741" i="1"/>
  <c r="U1740" i="1"/>
  <c r="K1740" i="1"/>
  <c r="E1740" i="1"/>
  <c r="B1740" i="1"/>
  <c r="U1739" i="1"/>
  <c r="K1739" i="1"/>
  <c r="E1739" i="1"/>
  <c r="B1739" i="1"/>
  <c r="U1738" i="1"/>
  <c r="K1738" i="1"/>
  <c r="E1738" i="1"/>
  <c r="B1738" i="1"/>
  <c r="U1737" i="1"/>
  <c r="K1737" i="1"/>
  <c r="E1737" i="1"/>
  <c r="B1737" i="1"/>
  <c r="U1736" i="1"/>
  <c r="K1736" i="1"/>
  <c r="E1736" i="1"/>
  <c r="B1736" i="1"/>
  <c r="U1735" i="1"/>
  <c r="K1735" i="1"/>
  <c r="E1735" i="1"/>
  <c r="B1735" i="1"/>
  <c r="U1734" i="1"/>
  <c r="K1734" i="1"/>
  <c r="E1734" i="1"/>
  <c r="B1734" i="1"/>
  <c r="U1733" i="1"/>
  <c r="K1733" i="1"/>
  <c r="E1733" i="1"/>
  <c r="B1733" i="1"/>
  <c r="U1732" i="1"/>
  <c r="K1732" i="1"/>
  <c r="E1732" i="1"/>
  <c r="B1732" i="1"/>
  <c r="U1731" i="1"/>
  <c r="K1731" i="1"/>
  <c r="E1731" i="1"/>
  <c r="B1731" i="1"/>
  <c r="U1730" i="1"/>
  <c r="K1730" i="1"/>
  <c r="E1730" i="1"/>
  <c r="B1730" i="1"/>
  <c r="U1729" i="1"/>
  <c r="K1729" i="1"/>
  <c r="E1729" i="1"/>
  <c r="B1729" i="1"/>
  <c r="U1728" i="1"/>
  <c r="K1728" i="1"/>
  <c r="E1728" i="1"/>
  <c r="B1728" i="1"/>
  <c r="U1727" i="1"/>
  <c r="K1727" i="1"/>
  <c r="E1727" i="1"/>
  <c r="B1727" i="1"/>
  <c r="U1726" i="1"/>
  <c r="K1726" i="1"/>
  <c r="E1726" i="1"/>
  <c r="B1726" i="1"/>
  <c r="U1725" i="1"/>
  <c r="K1725" i="1"/>
  <c r="E1725" i="1"/>
  <c r="B1725" i="1"/>
  <c r="U1724" i="1"/>
  <c r="K1724" i="1"/>
  <c r="E1724" i="1"/>
  <c r="B1724" i="1"/>
  <c r="U1723" i="1"/>
  <c r="K1723" i="1"/>
  <c r="E1723" i="1"/>
  <c r="B1723" i="1"/>
  <c r="U1722" i="1"/>
  <c r="K1722" i="1"/>
  <c r="E1722" i="1"/>
  <c r="B1722" i="1"/>
  <c r="U1721" i="1"/>
  <c r="K1721" i="1"/>
  <c r="E1721" i="1"/>
  <c r="B1721" i="1"/>
  <c r="U1720" i="1"/>
  <c r="K1720" i="1"/>
  <c r="E1720" i="1"/>
  <c r="B1720" i="1"/>
  <c r="U1719" i="1"/>
  <c r="K1719" i="1"/>
  <c r="E1719" i="1"/>
  <c r="B1719" i="1"/>
  <c r="U1718" i="1"/>
  <c r="K1718" i="1"/>
  <c r="E1718" i="1"/>
  <c r="B1718" i="1"/>
  <c r="U1717" i="1"/>
  <c r="K1717" i="1"/>
  <c r="E1717" i="1"/>
  <c r="B1717" i="1"/>
  <c r="U1716" i="1"/>
  <c r="K1716" i="1"/>
  <c r="E1716" i="1"/>
  <c r="B1716" i="1"/>
  <c r="U1715" i="1"/>
  <c r="K1715" i="1"/>
  <c r="E1715" i="1"/>
  <c r="B1715" i="1"/>
  <c r="U1714" i="1"/>
  <c r="K1714" i="1"/>
  <c r="E1714" i="1"/>
  <c r="B1714" i="1"/>
  <c r="U1713" i="1"/>
  <c r="K1713" i="1"/>
  <c r="E1713" i="1"/>
  <c r="B1713" i="1"/>
  <c r="U1712" i="1"/>
  <c r="K1712" i="1"/>
  <c r="E1712" i="1"/>
  <c r="B1712" i="1"/>
  <c r="U1711" i="1"/>
  <c r="K1711" i="1"/>
  <c r="E1711" i="1"/>
  <c r="B1711" i="1"/>
  <c r="U1710" i="1"/>
  <c r="K1710" i="1"/>
  <c r="E1710" i="1"/>
  <c r="B1710" i="1"/>
  <c r="U1709" i="1"/>
  <c r="K1709" i="1"/>
  <c r="E1709" i="1"/>
  <c r="B1709" i="1"/>
  <c r="U1708" i="1"/>
  <c r="K1708" i="1"/>
  <c r="E1708" i="1"/>
  <c r="B1708" i="1"/>
  <c r="U1707" i="1"/>
  <c r="K1707" i="1"/>
  <c r="E1707" i="1"/>
  <c r="B1707" i="1"/>
  <c r="U1706" i="1"/>
  <c r="K1706" i="1"/>
  <c r="E1706" i="1"/>
  <c r="B1706" i="1"/>
  <c r="U1705" i="1"/>
  <c r="K1705" i="1"/>
  <c r="E1705" i="1"/>
  <c r="B1705" i="1"/>
  <c r="U1704" i="1"/>
  <c r="K1704" i="1"/>
  <c r="E1704" i="1"/>
  <c r="B1704" i="1"/>
  <c r="U1703" i="1"/>
  <c r="K1703" i="1"/>
  <c r="E1703" i="1"/>
  <c r="B1703" i="1"/>
  <c r="U1702" i="1"/>
  <c r="K1702" i="1"/>
  <c r="E1702" i="1"/>
  <c r="B1702" i="1"/>
  <c r="U1701" i="1"/>
  <c r="K1701" i="1"/>
  <c r="E1701" i="1"/>
  <c r="B1701" i="1"/>
  <c r="U1700" i="1"/>
  <c r="K1700" i="1"/>
  <c r="E1700" i="1"/>
  <c r="B1700" i="1"/>
  <c r="U1699" i="1"/>
  <c r="K1699" i="1"/>
  <c r="E1699" i="1"/>
  <c r="B1699" i="1"/>
  <c r="U1698" i="1"/>
  <c r="K1698" i="1"/>
  <c r="E1698" i="1"/>
  <c r="B1698" i="1"/>
  <c r="U1697" i="1"/>
  <c r="K1697" i="1"/>
  <c r="E1697" i="1"/>
  <c r="B1697" i="1"/>
  <c r="U1696" i="1"/>
  <c r="K1696" i="1"/>
  <c r="E1696" i="1"/>
  <c r="B1696" i="1"/>
  <c r="U1695" i="1"/>
  <c r="K1695" i="1"/>
  <c r="E1695" i="1"/>
  <c r="B1695" i="1"/>
  <c r="U1694" i="1"/>
  <c r="K1694" i="1"/>
  <c r="E1694" i="1"/>
  <c r="B1694" i="1"/>
  <c r="U1693" i="1"/>
  <c r="K1693" i="1"/>
  <c r="E1693" i="1"/>
  <c r="B1693" i="1"/>
  <c r="U1692" i="1"/>
  <c r="K1692" i="1"/>
  <c r="E1692" i="1"/>
  <c r="B1692" i="1"/>
  <c r="U1691" i="1"/>
  <c r="K1691" i="1"/>
  <c r="E1691" i="1"/>
  <c r="B1691" i="1"/>
  <c r="U1690" i="1"/>
  <c r="K1690" i="1"/>
  <c r="E1690" i="1"/>
  <c r="B1690" i="1"/>
  <c r="U1689" i="1"/>
  <c r="K1689" i="1"/>
  <c r="E1689" i="1"/>
  <c r="B1689" i="1"/>
  <c r="U1688" i="1"/>
  <c r="K1688" i="1"/>
  <c r="E1688" i="1"/>
  <c r="B1688" i="1"/>
  <c r="U1687" i="1"/>
  <c r="K1687" i="1"/>
  <c r="E1687" i="1"/>
  <c r="B1687" i="1"/>
  <c r="U1686" i="1"/>
  <c r="K1686" i="1"/>
  <c r="E1686" i="1"/>
  <c r="B1686" i="1"/>
  <c r="U1685" i="1"/>
  <c r="K1685" i="1"/>
  <c r="E1685" i="1"/>
  <c r="B1685" i="1"/>
  <c r="U1684" i="1"/>
  <c r="K1684" i="1"/>
  <c r="E1684" i="1"/>
  <c r="B1684" i="1"/>
  <c r="U1683" i="1"/>
  <c r="K1683" i="1"/>
  <c r="E1683" i="1"/>
  <c r="B1683" i="1"/>
  <c r="U1682" i="1"/>
  <c r="K1682" i="1"/>
  <c r="E1682" i="1"/>
  <c r="B1682" i="1"/>
  <c r="U1681" i="1"/>
  <c r="K1681" i="1"/>
  <c r="E1681" i="1"/>
  <c r="B1681" i="1"/>
  <c r="U1680" i="1"/>
  <c r="K1680" i="1"/>
  <c r="E1680" i="1"/>
  <c r="B1680" i="1"/>
  <c r="U1679" i="1"/>
  <c r="K1679" i="1"/>
  <c r="E1679" i="1"/>
  <c r="B1679" i="1"/>
  <c r="U1678" i="1"/>
  <c r="K1678" i="1"/>
  <c r="E1678" i="1"/>
  <c r="B1678" i="1"/>
  <c r="U1677" i="1"/>
  <c r="K1677" i="1"/>
  <c r="E1677" i="1"/>
  <c r="B1677" i="1"/>
  <c r="U1676" i="1"/>
  <c r="K1676" i="1"/>
  <c r="E1676" i="1"/>
  <c r="B1676" i="1"/>
  <c r="U1675" i="1"/>
  <c r="K1675" i="1"/>
  <c r="E1675" i="1"/>
  <c r="B1675" i="1"/>
  <c r="U1674" i="1"/>
  <c r="K1674" i="1"/>
  <c r="E1674" i="1"/>
  <c r="B1674" i="1"/>
  <c r="U1673" i="1"/>
  <c r="K1673" i="1"/>
  <c r="E1673" i="1"/>
  <c r="B1673" i="1"/>
  <c r="U1672" i="1"/>
  <c r="K1672" i="1"/>
  <c r="E1672" i="1"/>
  <c r="B1672" i="1"/>
  <c r="U1671" i="1"/>
  <c r="K1671" i="1"/>
  <c r="E1671" i="1"/>
  <c r="B1671" i="1"/>
  <c r="U1670" i="1"/>
  <c r="K1670" i="1"/>
  <c r="E1670" i="1"/>
  <c r="B1670" i="1"/>
  <c r="U1669" i="1"/>
  <c r="K1669" i="1"/>
  <c r="E1669" i="1"/>
  <c r="B1669" i="1"/>
  <c r="U1668" i="1"/>
  <c r="K1668" i="1"/>
  <c r="E1668" i="1"/>
  <c r="B1668" i="1"/>
  <c r="U1667" i="1"/>
  <c r="K1667" i="1"/>
  <c r="E1667" i="1"/>
  <c r="B1667" i="1"/>
  <c r="U1666" i="1"/>
  <c r="K1666" i="1"/>
  <c r="E1666" i="1"/>
  <c r="B1666" i="1"/>
  <c r="U1665" i="1"/>
  <c r="K1665" i="1"/>
  <c r="E1665" i="1"/>
  <c r="B1665" i="1"/>
  <c r="U1664" i="1"/>
  <c r="K1664" i="1"/>
  <c r="E1664" i="1"/>
  <c r="B1664" i="1"/>
  <c r="U1663" i="1"/>
  <c r="K1663" i="1"/>
  <c r="E1663" i="1"/>
  <c r="B1663" i="1"/>
  <c r="U1662" i="1"/>
  <c r="K1662" i="1"/>
  <c r="E1662" i="1"/>
  <c r="B1662" i="1"/>
  <c r="U1661" i="1"/>
  <c r="K1661" i="1"/>
  <c r="E1661" i="1"/>
  <c r="B1661" i="1"/>
  <c r="U1660" i="1"/>
  <c r="K1660" i="1"/>
  <c r="E1660" i="1"/>
  <c r="B1660" i="1"/>
  <c r="U1659" i="1"/>
  <c r="K1659" i="1"/>
  <c r="E1659" i="1"/>
  <c r="B1659" i="1"/>
  <c r="U1658" i="1"/>
  <c r="K1658" i="1"/>
  <c r="E1658" i="1"/>
  <c r="B1658" i="1"/>
  <c r="U1657" i="1"/>
  <c r="K1657" i="1"/>
  <c r="E1657" i="1"/>
  <c r="B1657" i="1"/>
  <c r="U1656" i="1"/>
  <c r="K1656" i="1"/>
  <c r="E1656" i="1"/>
  <c r="B1656" i="1"/>
  <c r="U1655" i="1"/>
  <c r="K1655" i="1"/>
  <c r="E1655" i="1"/>
  <c r="B1655" i="1"/>
  <c r="U1654" i="1"/>
  <c r="K1654" i="1"/>
  <c r="E1654" i="1"/>
  <c r="B1654" i="1"/>
  <c r="U1653" i="1"/>
  <c r="K1653" i="1"/>
  <c r="E1653" i="1"/>
  <c r="B1653" i="1"/>
  <c r="U1652" i="1"/>
  <c r="K1652" i="1"/>
  <c r="E1652" i="1"/>
  <c r="B1652" i="1"/>
  <c r="U1651" i="1"/>
  <c r="K1651" i="1"/>
  <c r="E1651" i="1"/>
  <c r="B1651" i="1"/>
  <c r="U1650" i="1"/>
  <c r="K1650" i="1"/>
  <c r="E1650" i="1"/>
  <c r="B1650" i="1"/>
  <c r="U1649" i="1"/>
  <c r="K1649" i="1"/>
  <c r="E1649" i="1"/>
  <c r="B1649" i="1"/>
  <c r="U1648" i="1"/>
  <c r="K1648" i="1"/>
  <c r="E1648" i="1"/>
  <c r="B1648" i="1"/>
  <c r="U1647" i="1"/>
  <c r="K1647" i="1"/>
  <c r="E1647" i="1"/>
  <c r="B1647" i="1"/>
  <c r="U1646" i="1"/>
  <c r="K1646" i="1"/>
  <c r="E1646" i="1"/>
  <c r="B1646" i="1"/>
  <c r="U1645" i="1"/>
  <c r="K1645" i="1"/>
  <c r="E1645" i="1"/>
  <c r="B1645" i="1"/>
  <c r="U1644" i="1"/>
  <c r="K1644" i="1"/>
  <c r="E1644" i="1"/>
  <c r="B1644" i="1"/>
  <c r="U1643" i="1"/>
  <c r="K1643" i="1"/>
  <c r="E1643" i="1"/>
  <c r="B1643" i="1"/>
  <c r="U1642" i="1"/>
  <c r="K1642" i="1"/>
  <c r="E1642" i="1"/>
  <c r="B1642" i="1"/>
  <c r="U1641" i="1"/>
  <c r="K1641" i="1"/>
  <c r="E1641" i="1"/>
  <c r="B1641" i="1"/>
  <c r="U1640" i="1"/>
  <c r="K1640" i="1"/>
  <c r="E1640" i="1"/>
  <c r="B1640" i="1"/>
  <c r="U1639" i="1"/>
  <c r="K1639" i="1"/>
  <c r="E1639" i="1"/>
  <c r="B1639" i="1"/>
  <c r="U1638" i="1"/>
  <c r="K1638" i="1"/>
  <c r="E1638" i="1"/>
  <c r="B1638" i="1"/>
  <c r="U1637" i="1"/>
  <c r="K1637" i="1"/>
  <c r="E1637" i="1"/>
  <c r="B1637" i="1"/>
  <c r="U1636" i="1"/>
  <c r="K1636" i="1"/>
  <c r="E1636" i="1"/>
  <c r="B1636" i="1"/>
  <c r="U1635" i="1"/>
  <c r="K1635" i="1"/>
  <c r="E1635" i="1"/>
  <c r="B1635" i="1"/>
  <c r="U1634" i="1"/>
  <c r="K1634" i="1"/>
  <c r="E1634" i="1"/>
  <c r="B1634" i="1"/>
  <c r="U1633" i="1"/>
  <c r="K1633" i="1"/>
  <c r="E1633" i="1"/>
  <c r="B1633" i="1"/>
  <c r="U1632" i="1"/>
  <c r="K1632" i="1"/>
  <c r="E1632" i="1"/>
  <c r="B1632" i="1"/>
  <c r="U1631" i="1"/>
  <c r="K1631" i="1"/>
  <c r="E1631" i="1"/>
  <c r="B1631" i="1"/>
  <c r="U1630" i="1"/>
  <c r="K1630" i="1"/>
  <c r="E1630" i="1"/>
  <c r="B1630" i="1"/>
  <c r="U1629" i="1"/>
  <c r="K1629" i="1"/>
  <c r="E1629" i="1"/>
  <c r="B1629" i="1"/>
  <c r="U1628" i="1"/>
  <c r="K1628" i="1"/>
  <c r="E1628" i="1"/>
  <c r="B1628" i="1"/>
  <c r="U1627" i="1"/>
  <c r="K1627" i="1"/>
  <c r="E1627" i="1"/>
  <c r="B1627" i="1"/>
  <c r="U1626" i="1"/>
  <c r="K1626" i="1"/>
  <c r="E1626" i="1"/>
  <c r="B1626" i="1"/>
  <c r="U1625" i="1"/>
  <c r="K1625" i="1"/>
  <c r="E1625" i="1"/>
  <c r="B1625" i="1"/>
  <c r="U1624" i="1"/>
  <c r="K1624" i="1"/>
  <c r="E1624" i="1"/>
  <c r="B1624" i="1"/>
  <c r="U1623" i="1"/>
  <c r="K1623" i="1"/>
  <c r="E1623" i="1"/>
  <c r="B1623" i="1"/>
  <c r="U1622" i="1"/>
  <c r="K1622" i="1"/>
  <c r="E1622" i="1"/>
  <c r="B1622" i="1"/>
  <c r="U1621" i="1"/>
  <c r="K1621" i="1"/>
  <c r="E1621" i="1"/>
  <c r="B1621" i="1"/>
  <c r="U1620" i="1"/>
  <c r="K1620" i="1"/>
  <c r="E1620" i="1"/>
  <c r="B1620" i="1"/>
  <c r="U1619" i="1"/>
  <c r="K1619" i="1"/>
  <c r="E1619" i="1"/>
  <c r="B1619" i="1"/>
  <c r="K1618" i="1"/>
  <c r="E1618" i="1"/>
  <c r="B1618" i="1"/>
  <c r="U1617" i="1"/>
  <c r="K1617" i="1"/>
  <c r="E1617" i="1"/>
  <c r="B1617" i="1"/>
  <c r="U1616" i="1"/>
  <c r="K1616" i="1"/>
  <c r="E1616" i="1"/>
  <c r="B1616" i="1"/>
  <c r="U1615" i="1"/>
  <c r="K1615" i="1"/>
  <c r="E1615" i="1"/>
  <c r="B1615" i="1"/>
  <c r="U1614" i="1"/>
  <c r="K1614" i="1"/>
  <c r="E1614" i="1"/>
  <c r="B1614" i="1"/>
  <c r="U1613" i="1"/>
  <c r="K1613" i="1"/>
  <c r="E1613" i="1"/>
  <c r="B1613" i="1"/>
  <c r="U1612" i="1"/>
  <c r="K1612" i="1"/>
  <c r="E1612" i="1"/>
  <c r="B1612" i="1"/>
  <c r="U1611" i="1"/>
  <c r="K1611" i="1"/>
  <c r="E1611" i="1"/>
  <c r="B1611" i="1"/>
  <c r="U1610" i="1"/>
  <c r="K1610" i="1"/>
  <c r="E1610" i="1"/>
  <c r="B1610" i="1"/>
  <c r="U1609" i="1"/>
  <c r="K1609" i="1"/>
  <c r="E1609" i="1"/>
  <c r="B1609" i="1"/>
  <c r="U1608" i="1"/>
  <c r="K1608" i="1"/>
  <c r="E1608" i="1"/>
  <c r="B1608" i="1"/>
  <c r="U1607" i="1"/>
  <c r="K1607" i="1"/>
  <c r="E1607" i="1"/>
  <c r="B1607" i="1"/>
  <c r="U1606" i="1"/>
  <c r="K1606" i="1"/>
  <c r="E1606" i="1"/>
  <c r="B1606" i="1"/>
  <c r="U1605" i="1"/>
  <c r="K1605" i="1"/>
  <c r="E1605" i="1"/>
  <c r="B1605" i="1"/>
  <c r="U1604" i="1"/>
  <c r="K1604" i="1"/>
  <c r="E1604" i="1"/>
  <c r="B1604" i="1"/>
  <c r="U1603" i="1"/>
  <c r="K1603" i="1"/>
  <c r="E1603" i="1"/>
  <c r="B1603" i="1"/>
  <c r="U1602" i="1"/>
  <c r="K1602" i="1"/>
  <c r="E1602" i="1"/>
  <c r="B1602" i="1"/>
  <c r="U1601" i="1"/>
  <c r="K1601" i="1"/>
  <c r="E1601" i="1"/>
  <c r="B1601" i="1"/>
  <c r="U1600" i="1"/>
  <c r="K1600" i="1"/>
  <c r="E1600" i="1"/>
  <c r="B1600" i="1"/>
  <c r="U1599" i="1"/>
  <c r="K1599" i="1"/>
  <c r="E1599" i="1"/>
  <c r="B1599" i="1"/>
  <c r="U1598" i="1"/>
  <c r="K1598" i="1"/>
  <c r="E1598" i="1"/>
  <c r="B1598" i="1"/>
  <c r="U1597" i="1"/>
  <c r="K1597" i="1"/>
  <c r="E1597" i="1"/>
  <c r="B1597" i="1"/>
  <c r="U1596" i="1"/>
  <c r="K1596" i="1"/>
  <c r="E1596" i="1"/>
  <c r="B1596" i="1"/>
  <c r="U1595" i="1"/>
  <c r="K1595" i="1"/>
  <c r="E1595" i="1"/>
  <c r="B1595" i="1"/>
  <c r="U1594" i="1"/>
  <c r="K1594" i="1"/>
  <c r="E1594" i="1"/>
  <c r="B1594" i="1"/>
  <c r="U1593" i="1"/>
  <c r="K1593" i="1"/>
  <c r="E1593" i="1"/>
  <c r="B1593" i="1"/>
  <c r="U1592" i="1"/>
  <c r="K1592" i="1"/>
  <c r="E1592" i="1"/>
  <c r="B1592" i="1"/>
  <c r="U1591" i="1"/>
  <c r="K1591" i="1"/>
  <c r="E1591" i="1"/>
  <c r="B1591" i="1"/>
  <c r="U1590" i="1"/>
  <c r="K1590" i="1"/>
  <c r="E1590" i="1"/>
  <c r="B1590" i="1"/>
  <c r="U1589" i="1"/>
  <c r="K1589" i="1"/>
  <c r="E1589" i="1"/>
  <c r="B1589" i="1"/>
  <c r="U1588" i="1"/>
  <c r="K1588" i="1"/>
  <c r="E1588" i="1"/>
  <c r="B1588" i="1"/>
  <c r="U1587" i="1"/>
  <c r="K1587" i="1"/>
  <c r="E1587" i="1"/>
  <c r="B1587" i="1"/>
  <c r="U1586" i="1"/>
  <c r="K1586" i="1"/>
  <c r="E1586" i="1"/>
  <c r="B1586" i="1"/>
  <c r="U1585" i="1"/>
  <c r="K1585" i="1"/>
  <c r="E1585" i="1"/>
  <c r="B1585" i="1"/>
  <c r="U1584" i="1"/>
  <c r="K1584" i="1"/>
  <c r="E1584" i="1"/>
  <c r="B1584" i="1"/>
  <c r="U1583" i="1"/>
  <c r="K1583" i="1"/>
  <c r="E1583" i="1"/>
  <c r="B1583" i="1"/>
  <c r="U1582" i="1"/>
  <c r="K1582" i="1"/>
  <c r="E1582" i="1"/>
  <c r="B1582" i="1"/>
  <c r="U1581" i="1"/>
  <c r="K1581" i="1"/>
  <c r="E1581" i="1"/>
  <c r="B1581" i="1"/>
  <c r="U1580" i="1"/>
  <c r="K1580" i="1"/>
  <c r="E1580" i="1"/>
  <c r="B1580" i="1"/>
  <c r="U1579" i="1"/>
  <c r="K1579" i="1"/>
  <c r="E1579" i="1"/>
  <c r="B1579" i="1"/>
  <c r="U1578" i="1"/>
  <c r="K1578" i="1"/>
  <c r="E1578" i="1"/>
  <c r="B1578" i="1"/>
  <c r="U1577" i="1"/>
  <c r="K1577" i="1"/>
  <c r="E1577" i="1"/>
  <c r="B1577" i="1"/>
  <c r="U1576" i="1"/>
  <c r="K1576" i="1"/>
  <c r="E1576" i="1"/>
  <c r="B1576" i="1"/>
  <c r="U1575" i="1"/>
  <c r="K1575" i="1"/>
  <c r="E1575" i="1"/>
  <c r="B1575" i="1"/>
  <c r="U1574" i="1"/>
  <c r="K1574" i="1"/>
  <c r="E1574" i="1"/>
  <c r="B1574" i="1"/>
  <c r="U1573" i="1"/>
  <c r="K1573" i="1"/>
  <c r="E1573" i="1"/>
  <c r="B1573" i="1"/>
  <c r="U1572" i="1"/>
  <c r="K1572" i="1"/>
  <c r="E1572" i="1"/>
  <c r="B1572" i="1"/>
  <c r="U1571" i="1"/>
  <c r="K1571" i="1"/>
  <c r="E1571" i="1"/>
  <c r="B1571" i="1"/>
  <c r="U1570" i="1"/>
  <c r="K1570" i="1"/>
  <c r="E1570" i="1"/>
  <c r="B1570" i="1"/>
  <c r="U1569" i="1"/>
  <c r="K1569" i="1"/>
  <c r="E1569" i="1"/>
  <c r="B1569" i="1"/>
  <c r="U1568" i="1"/>
  <c r="K1568" i="1"/>
  <c r="E1568" i="1"/>
  <c r="B1568" i="1"/>
  <c r="U1567" i="1"/>
  <c r="K1567" i="1"/>
  <c r="E1567" i="1"/>
  <c r="B1567" i="1"/>
  <c r="U1566" i="1"/>
  <c r="K1566" i="1"/>
  <c r="E1566" i="1"/>
  <c r="B1566" i="1"/>
  <c r="U1565" i="1"/>
  <c r="K1565" i="1"/>
  <c r="E1565" i="1"/>
  <c r="B1565" i="1"/>
  <c r="K1564" i="1"/>
  <c r="E1564" i="1"/>
  <c r="B1564" i="1"/>
  <c r="U1563" i="1"/>
  <c r="K1563" i="1"/>
  <c r="E1563" i="1"/>
  <c r="B1563" i="1"/>
  <c r="U1562" i="1"/>
  <c r="K1562" i="1"/>
  <c r="E1562" i="1"/>
  <c r="B1562" i="1"/>
  <c r="U1561" i="1"/>
  <c r="K1561" i="1"/>
  <c r="E1561" i="1"/>
  <c r="B1561" i="1"/>
  <c r="U1560" i="1"/>
  <c r="K1560" i="1"/>
  <c r="E1560" i="1"/>
  <c r="B1560" i="1"/>
  <c r="U1559" i="1"/>
  <c r="K1559" i="1"/>
  <c r="E1559" i="1"/>
  <c r="B1559" i="1"/>
  <c r="U1558" i="1"/>
  <c r="K1558" i="1"/>
  <c r="E1558" i="1"/>
  <c r="B1558" i="1"/>
  <c r="U1557" i="1"/>
  <c r="K1557" i="1"/>
  <c r="E1557" i="1"/>
  <c r="B1557" i="1"/>
  <c r="U1556" i="1"/>
  <c r="K1556" i="1"/>
  <c r="E1556" i="1"/>
  <c r="B1556" i="1"/>
  <c r="U1555" i="1"/>
  <c r="K1555" i="1"/>
  <c r="E1555" i="1"/>
  <c r="B1555" i="1"/>
  <c r="U1554" i="1"/>
  <c r="K1554" i="1"/>
  <c r="E1554" i="1"/>
  <c r="B1554" i="1"/>
  <c r="U1553" i="1"/>
  <c r="K1553" i="1"/>
  <c r="E1553" i="1"/>
  <c r="B1553" i="1"/>
  <c r="U1552" i="1"/>
  <c r="K1552" i="1"/>
  <c r="E1552" i="1"/>
  <c r="B1552" i="1"/>
  <c r="U1551" i="1"/>
  <c r="K1551" i="1"/>
  <c r="E1551" i="1"/>
  <c r="B1551" i="1"/>
  <c r="U1550" i="1"/>
  <c r="K1550" i="1"/>
  <c r="E1550" i="1"/>
  <c r="B1550" i="1"/>
  <c r="U1549" i="1"/>
  <c r="K1549" i="1"/>
  <c r="E1549" i="1"/>
  <c r="B1549" i="1"/>
  <c r="U1548" i="1"/>
  <c r="K1548" i="1"/>
  <c r="E1548" i="1"/>
  <c r="B1548" i="1"/>
  <c r="U1547" i="1"/>
  <c r="K1547" i="1"/>
  <c r="E1547" i="1"/>
  <c r="B1547" i="1"/>
  <c r="U1546" i="1"/>
  <c r="K1546" i="1"/>
  <c r="E1546" i="1"/>
  <c r="B1546" i="1"/>
  <c r="U1545" i="1"/>
  <c r="K1545" i="1"/>
  <c r="E1545" i="1"/>
  <c r="B1545" i="1"/>
  <c r="U1544" i="1"/>
  <c r="K1544" i="1"/>
  <c r="E1544" i="1"/>
  <c r="B1544" i="1"/>
  <c r="U1543" i="1"/>
  <c r="K1543" i="1"/>
  <c r="E1543" i="1"/>
  <c r="B1543" i="1"/>
  <c r="U1542" i="1"/>
  <c r="K1542" i="1"/>
  <c r="E1542" i="1"/>
  <c r="B1542" i="1"/>
  <c r="U1541" i="1"/>
  <c r="K1541" i="1"/>
  <c r="E1541" i="1"/>
  <c r="B1541" i="1"/>
  <c r="U1540" i="1"/>
  <c r="K1540" i="1"/>
  <c r="E1540" i="1"/>
  <c r="B1540" i="1"/>
  <c r="U1539" i="1"/>
  <c r="K1539" i="1"/>
  <c r="E1539" i="1"/>
  <c r="B1539" i="1"/>
  <c r="U1538" i="1"/>
  <c r="K1538" i="1"/>
  <c r="E1538" i="1"/>
  <c r="B1538" i="1"/>
  <c r="U1537" i="1"/>
  <c r="K1537" i="1"/>
  <c r="E1537" i="1"/>
  <c r="B1537" i="1"/>
  <c r="U1536" i="1"/>
  <c r="K1536" i="1"/>
  <c r="E1536" i="1"/>
  <c r="B1536" i="1"/>
  <c r="K1535" i="1"/>
  <c r="E1535" i="1"/>
  <c r="B1535" i="1"/>
  <c r="U1534" i="1"/>
  <c r="K1534" i="1"/>
  <c r="E1534" i="1"/>
  <c r="B1534" i="1"/>
  <c r="U1533" i="1"/>
  <c r="K1533" i="1"/>
  <c r="E1533" i="1"/>
  <c r="B1533" i="1"/>
  <c r="U1532" i="1"/>
  <c r="K1532" i="1"/>
  <c r="E1532" i="1"/>
  <c r="B1532" i="1"/>
  <c r="U1531" i="1"/>
  <c r="K1531" i="1"/>
  <c r="E1531" i="1"/>
  <c r="B1531" i="1"/>
  <c r="U1530" i="1"/>
  <c r="K1530" i="1"/>
  <c r="E1530" i="1"/>
  <c r="B1530" i="1"/>
  <c r="U1529" i="1"/>
  <c r="K1529" i="1"/>
  <c r="E1529" i="1"/>
  <c r="B1529" i="1"/>
  <c r="U1528" i="1"/>
  <c r="K1528" i="1"/>
  <c r="E1528" i="1"/>
  <c r="B1528" i="1"/>
  <c r="U1527" i="1"/>
  <c r="K1527" i="1"/>
  <c r="E1527" i="1"/>
  <c r="B1527" i="1"/>
  <c r="U1526" i="1"/>
  <c r="K1526" i="1"/>
  <c r="E1526" i="1"/>
  <c r="B1526" i="1"/>
  <c r="U1525" i="1"/>
  <c r="K1525" i="1"/>
  <c r="E1525" i="1"/>
  <c r="B1525" i="1"/>
  <c r="U1524" i="1"/>
  <c r="K1524" i="1"/>
  <c r="E1524" i="1"/>
  <c r="B1524" i="1"/>
  <c r="U1523" i="1"/>
  <c r="K1523" i="1"/>
  <c r="E1523" i="1"/>
  <c r="B1523" i="1"/>
  <c r="U1522" i="1"/>
  <c r="K1522" i="1"/>
  <c r="E1522" i="1"/>
  <c r="B1522" i="1"/>
  <c r="U1521" i="1"/>
  <c r="K1521" i="1"/>
  <c r="E1521" i="1"/>
  <c r="B1521" i="1"/>
  <c r="U1520" i="1"/>
  <c r="K1520" i="1"/>
  <c r="E1520" i="1"/>
  <c r="B1520" i="1"/>
  <c r="U1519" i="1"/>
  <c r="K1519" i="1"/>
  <c r="E1519" i="1"/>
  <c r="B1519" i="1"/>
  <c r="U1518" i="1"/>
  <c r="K1518" i="1"/>
  <c r="E1518" i="1"/>
  <c r="B1518" i="1"/>
  <c r="U1517" i="1"/>
  <c r="K1517" i="1"/>
  <c r="E1517" i="1"/>
  <c r="B1517" i="1"/>
  <c r="U1516" i="1"/>
  <c r="K1516" i="1"/>
  <c r="E1516" i="1"/>
  <c r="B1516" i="1"/>
  <c r="U1515" i="1"/>
  <c r="K1515" i="1"/>
  <c r="E1515" i="1"/>
  <c r="B1515" i="1"/>
  <c r="U1514" i="1"/>
  <c r="K1514" i="1"/>
  <c r="E1514" i="1"/>
  <c r="B1514" i="1"/>
  <c r="U1513" i="1"/>
  <c r="K1513" i="1"/>
  <c r="H1513" i="1"/>
  <c r="E1513" i="1"/>
  <c r="B1513" i="1"/>
  <c r="U1512" i="1"/>
  <c r="K1512" i="1"/>
  <c r="E1512" i="1"/>
  <c r="B1512" i="1"/>
  <c r="U1511" i="1"/>
  <c r="K1511" i="1"/>
  <c r="E1511" i="1"/>
  <c r="B1511" i="1"/>
  <c r="U1510" i="1"/>
  <c r="K1510" i="1"/>
  <c r="E1510" i="1"/>
  <c r="B1510" i="1"/>
  <c r="U1509" i="1"/>
  <c r="K1509" i="1"/>
  <c r="E1509" i="1"/>
  <c r="B1509" i="1"/>
  <c r="U1508" i="1"/>
  <c r="K1508" i="1"/>
  <c r="E1508" i="1"/>
  <c r="B1508" i="1"/>
  <c r="U1507" i="1"/>
  <c r="K1507" i="1"/>
  <c r="E1507" i="1"/>
  <c r="B1507" i="1"/>
  <c r="U1506" i="1"/>
  <c r="K1506" i="1"/>
  <c r="E1506" i="1"/>
  <c r="B1506" i="1"/>
  <c r="U1505" i="1"/>
  <c r="K1505" i="1"/>
  <c r="E1505" i="1"/>
  <c r="B1505" i="1"/>
  <c r="U1504" i="1"/>
  <c r="K1504" i="1"/>
  <c r="E1504" i="1"/>
  <c r="B1504" i="1"/>
  <c r="U1503" i="1"/>
  <c r="K1503" i="1"/>
  <c r="E1503" i="1"/>
  <c r="B1503" i="1"/>
  <c r="U1502" i="1"/>
  <c r="K1502" i="1"/>
  <c r="E1502" i="1"/>
  <c r="B1502" i="1"/>
  <c r="U1501" i="1"/>
  <c r="K1501" i="1"/>
  <c r="E1501" i="1"/>
  <c r="B1501" i="1"/>
  <c r="U1500" i="1"/>
  <c r="K1500" i="1"/>
  <c r="E1500" i="1"/>
  <c r="B1500" i="1"/>
  <c r="U1499" i="1"/>
  <c r="K1499" i="1"/>
  <c r="E1499" i="1"/>
  <c r="B1499" i="1"/>
  <c r="U1498" i="1"/>
  <c r="K1498" i="1"/>
  <c r="E1498" i="1"/>
  <c r="B1498" i="1"/>
  <c r="U1497" i="1"/>
  <c r="K1497" i="1"/>
  <c r="E1497" i="1"/>
  <c r="B1497" i="1"/>
  <c r="U1496" i="1"/>
  <c r="K1496" i="1"/>
  <c r="E1496" i="1"/>
  <c r="B1496" i="1"/>
  <c r="U1495" i="1"/>
  <c r="K1495" i="1"/>
  <c r="E1495" i="1"/>
  <c r="B1495" i="1"/>
  <c r="U1494" i="1"/>
  <c r="K1494" i="1"/>
  <c r="E1494" i="1"/>
  <c r="B1494" i="1"/>
  <c r="U1493" i="1"/>
  <c r="K1493" i="1"/>
  <c r="E1493" i="1"/>
  <c r="B1493" i="1"/>
  <c r="U1492" i="1"/>
  <c r="K1492" i="1"/>
  <c r="E1492" i="1"/>
  <c r="B1492" i="1"/>
  <c r="U1491" i="1"/>
  <c r="K1491" i="1"/>
  <c r="E1491" i="1"/>
  <c r="B1491" i="1"/>
  <c r="U1490" i="1"/>
  <c r="K1490" i="1"/>
  <c r="E1490" i="1"/>
  <c r="B1490" i="1"/>
  <c r="U1489" i="1"/>
  <c r="K1489" i="1"/>
  <c r="E1489" i="1"/>
  <c r="B1489" i="1"/>
  <c r="U1488" i="1"/>
  <c r="K1488" i="1"/>
  <c r="E1488" i="1"/>
  <c r="B1488" i="1"/>
  <c r="U1487" i="1"/>
  <c r="K1487" i="1"/>
  <c r="E1487" i="1"/>
  <c r="B1487" i="1"/>
  <c r="U1486" i="1"/>
  <c r="K1486" i="1"/>
  <c r="E1486" i="1"/>
  <c r="B1486" i="1"/>
  <c r="U1485" i="1"/>
  <c r="K1485" i="1"/>
  <c r="E1485" i="1"/>
  <c r="B1485" i="1"/>
  <c r="U1484" i="1"/>
  <c r="K1484" i="1"/>
  <c r="E1484" i="1"/>
  <c r="B1484" i="1"/>
  <c r="U1483" i="1"/>
  <c r="K1483" i="1"/>
  <c r="E1483" i="1"/>
  <c r="B1483" i="1"/>
  <c r="U1482" i="1"/>
  <c r="K1482" i="1"/>
  <c r="E1482" i="1"/>
  <c r="B1482" i="1"/>
  <c r="U1481" i="1"/>
  <c r="K1481" i="1"/>
  <c r="E1481" i="1"/>
  <c r="B1481" i="1"/>
  <c r="K1480" i="1"/>
  <c r="E1480" i="1"/>
  <c r="B1480" i="1"/>
  <c r="U1479" i="1"/>
  <c r="K1479" i="1"/>
  <c r="E1479" i="1"/>
  <c r="B1479" i="1"/>
  <c r="U1478" i="1"/>
  <c r="K1478" i="1"/>
  <c r="E1478" i="1"/>
  <c r="B1478" i="1"/>
  <c r="U1477" i="1"/>
  <c r="K1477" i="1"/>
  <c r="E1477" i="1"/>
  <c r="B1477" i="1"/>
  <c r="U1476" i="1"/>
  <c r="K1476" i="1"/>
  <c r="E1476" i="1"/>
  <c r="B1476" i="1"/>
  <c r="U1475" i="1"/>
  <c r="K1475" i="1"/>
  <c r="E1475" i="1"/>
  <c r="B1475" i="1"/>
  <c r="U1474" i="1"/>
  <c r="K1474" i="1"/>
  <c r="E1474" i="1"/>
  <c r="B1474" i="1"/>
  <c r="U1473" i="1"/>
  <c r="K1473" i="1"/>
  <c r="E1473" i="1"/>
  <c r="B1473" i="1"/>
  <c r="U1472" i="1"/>
  <c r="K1472" i="1"/>
  <c r="E1472" i="1"/>
  <c r="B1472" i="1"/>
  <c r="U1471" i="1"/>
  <c r="K1471" i="1"/>
  <c r="E1471" i="1"/>
  <c r="B1471" i="1"/>
  <c r="U1470" i="1"/>
  <c r="K1470" i="1"/>
  <c r="E1470" i="1"/>
  <c r="B1470" i="1"/>
  <c r="U1469" i="1"/>
  <c r="K1469" i="1"/>
  <c r="E1469" i="1"/>
  <c r="B1469" i="1"/>
  <c r="U1468" i="1"/>
  <c r="K1468" i="1"/>
  <c r="E1468" i="1"/>
  <c r="B1468" i="1"/>
  <c r="U1467" i="1"/>
  <c r="K1467" i="1"/>
  <c r="E1467" i="1"/>
  <c r="B1467" i="1"/>
  <c r="U1466" i="1"/>
  <c r="K1466" i="1"/>
  <c r="E1466" i="1"/>
  <c r="B1466" i="1"/>
  <c r="U1465" i="1"/>
  <c r="K1465" i="1"/>
  <c r="E1465" i="1"/>
  <c r="B1465" i="1"/>
  <c r="U1464" i="1"/>
  <c r="K1464" i="1"/>
  <c r="E1464" i="1"/>
  <c r="B1464" i="1"/>
  <c r="U1463" i="1"/>
  <c r="K1463" i="1"/>
  <c r="E1463" i="1"/>
  <c r="B1463" i="1"/>
  <c r="U1462" i="1"/>
  <c r="K1462" i="1"/>
  <c r="E1462" i="1"/>
  <c r="B1462" i="1"/>
  <c r="U1461" i="1"/>
  <c r="K1461" i="1"/>
  <c r="E1461" i="1"/>
  <c r="B1461" i="1"/>
  <c r="U1460" i="1"/>
  <c r="K1460" i="1"/>
  <c r="E1460" i="1"/>
  <c r="B1460" i="1"/>
  <c r="U1459" i="1"/>
  <c r="K1459" i="1"/>
  <c r="E1459" i="1"/>
  <c r="B1459" i="1"/>
  <c r="U1458" i="1"/>
  <c r="K1458" i="1"/>
  <c r="E1458" i="1"/>
  <c r="B1458" i="1"/>
  <c r="U1457" i="1"/>
  <c r="K1457" i="1"/>
  <c r="E1457" i="1"/>
  <c r="B1457" i="1"/>
  <c r="U1456" i="1"/>
  <c r="K1456" i="1"/>
  <c r="E1456" i="1"/>
  <c r="B1456" i="1"/>
  <c r="U1455" i="1"/>
  <c r="K1455" i="1"/>
  <c r="E1455" i="1"/>
  <c r="B1455" i="1"/>
  <c r="U1454" i="1"/>
  <c r="K1454" i="1"/>
  <c r="E1454" i="1"/>
  <c r="B1454" i="1"/>
  <c r="U1453" i="1"/>
  <c r="K1453" i="1"/>
  <c r="E1453" i="1"/>
  <c r="B1453" i="1"/>
  <c r="U1452" i="1"/>
  <c r="K1452" i="1"/>
  <c r="E1452" i="1"/>
  <c r="B1452" i="1"/>
  <c r="U1451" i="1"/>
  <c r="K1451" i="1"/>
  <c r="E1451" i="1"/>
  <c r="B1451" i="1"/>
  <c r="U1450" i="1"/>
  <c r="K1450" i="1"/>
  <c r="E1450" i="1"/>
  <c r="B1450" i="1"/>
  <c r="U1449" i="1"/>
  <c r="K1449" i="1"/>
  <c r="E1449" i="1"/>
  <c r="B1449" i="1"/>
  <c r="U1448" i="1"/>
  <c r="K1448" i="1"/>
  <c r="E1448" i="1"/>
  <c r="B1448" i="1"/>
  <c r="U1447" i="1"/>
  <c r="K1447" i="1"/>
  <c r="E1447" i="1"/>
  <c r="B1447" i="1"/>
  <c r="U1446" i="1"/>
  <c r="K1446" i="1"/>
  <c r="E1446" i="1"/>
  <c r="B1446" i="1"/>
  <c r="U1445" i="1"/>
  <c r="K1445" i="1"/>
  <c r="E1445" i="1"/>
  <c r="B1445" i="1"/>
  <c r="U1444" i="1"/>
  <c r="K1444" i="1"/>
  <c r="E1444" i="1"/>
  <c r="B1444" i="1"/>
  <c r="U1443" i="1"/>
  <c r="K1443" i="1"/>
  <c r="E1443" i="1"/>
  <c r="B1443" i="1"/>
  <c r="U1442" i="1"/>
  <c r="K1442" i="1"/>
  <c r="E1442" i="1"/>
  <c r="B1442" i="1"/>
  <c r="U1441" i="1"/>
  <c r="K1441" i="1"/>
  <c r="E1441" i="1"/>
  <c r="B1441" i="1"/>
  <c r="U1440" i="1"/>
  <c r="K1440" i="1"/>
  <c r="E1440" i="1"/>
  <c r="B1440" i="1"/>
  <c r="U1439" i="1"/>
  <c r="K1439" i="1"/>
  <c r="E1439" i="1"/>
  <c r="B1439" i="1"/>
  <c r="U1438" i="1"/>
  <c r="K1438" i="1"/>
  <c r="E1438" i="1"/>
  <c r="B1438" i="1"/>
  <c r="U1437" i="1"/>
  <c r="K1437" i="1"/>
  <c r="E1437" i="1"/>
  <c r="B1437" i="1"/>
  <c r="K1436" i="1"/>
  <c r="E1436" i="1"/>
  <c r="B1436" i="1"/>
  <c r="U1435" i="1"/>
  <c r="K1435" i="1"/>
  <c r="E1435" i="1"/>
  <c r="B1435" i="1"/>
  <c r="U1434" i="1"/>
  <c r="K1434" i="1"/>
  <c r="E1434" i="1"/>
  <c r="B1434" i="1"/>
  <c r="U1433" i="1"/>
  <c r="K1433" i="1"/>
  <c r="E1433" i="1"/>
  <c r="B1433" i="1"/>
  <c r="U1432" i="1"/>
  <c r="K1432" i="1"/>
  <c r="E1432" i="1"/>
  <c r="B1432" i="1"/>
  <c r="U1431" i="1"/>
  <c r="K1431" i="1"/>
  <c r="E1431" i="1"/>
  <c r="B1431" i="1"/>
  <c r="U1430" i="1"/>
  <c r="K1430" i="1"/>
  <c r="E1430" i="1"/>
  <c r="B1430" i="1"/>
  <c r="U1429" i="1"/>
  <c r="K1429" i="1"/>
  <c r="E1429" i="1"/>
  <c r="B1429" i="1"/>
  <c r="U1428" i="1"/>
  <c r="K1428" i="1"/>
  <c r="E1428" i="1"/>
  <c r="B1428" i="1"/>
  <c r="U1427" i="1"/>
  <c r="K1427" i="1"/>
  <c r="E1427" i="1"/>
  <c r="B1427" i="1"/>
  <c r="U1426" i="1"/>
  <c r="K1426" i="1"/>
  <c r="E1426" i="1"/>
  <c r="B1426" i="1"/>
  <c r="U1425" i="1"/>
  <c r="K1425" i="1"/>
  <c r="E1425" i="1"/>
  <c r="B1425" i="1"/>
  <c r="U1424" i="1"/>
  <c r="K1424" i="1"/>
  <c r="E1424" i="1"/>
  <c r="B1424" i="1"/>
  <c r="U1423" i="1"/>
  <c r="K1423" i="1"/>
  <c r="E1423" i="1"/>
  <c r="B1423" i="1"/>
  <c r="U1422" i="1"/>
  <c r="K1422" i="1"/>
  <c r="E1422" i="1"/>
  <c r="B1422" i="1"/>
  <c r="U1421" i="1"/>
  <c r="K1421" i="1"/>
  <c r="E1421" i="1"/>
  <c r="B1421" i="1"/>
  <c r="U1420" i="1"/>
  <c r="K1420" i="1"/>
  <c r="E1420" i="1"/>
  <c r="B1420" i="1"/>
  <c r="U1419" i="1"/>
  <c r="K1419" i="1"/>
  <c r="E1419" i="1"/>
  <c r="B1419" i="1"/>
  <c r="U1418" i="1"/>
  <c r="K1418" i="1"/>
  <c r="E1418" i="1"/>
  <c r="B1418" i="1"/>
  <c r="U1417" i="1"/>
  <c r="K1417" i="1"/>
  <c r="E1417" i="1"/>
  <c r="B1417" i="1"/>
  <c r="U1416" i="1"/>
  <c r="K1416" i="1"/>
  <c r="E1416" i="1"/>
  <c r="B1416" i="1"/>
  <c r="U1415" i="1"/>
  <c r="K1415" i="1"/>
  <c r="E1415" i="1"/>
  <c r="B1415" i="1"/>
  <c r="U1414" i="1"/>
  <c r="K1414" i="1"/>
  <c r="E1414" i="1"/>
  <c r="B1414" i="1"/>
  <c r="U1413" i="1"/>
  <c r="K1413" i="1"/>
  <c r="E1413" i="1"/>
  <c r="B1413" i="1"/>
  <c r="U1412" i="1"/>
  <c r="K1412" i="1"/>
  <c r="E1412" i="1"/>
  <c r="B1412" i="1"/>
  <c r="U1411" i="1"/>
  <c r="K1411" i="1"/>
  <c r="E1411" i="1"/>
  <c r="B1411" i="1"/>
  <c r="U1410" i="1"/>
  <c r="K1410" i="1"/>
  <c r="E1410" i="1"/>
  <c r="B1410" i="1"/>
  <c r="U1409" i="1"/>
  <c r="K1409" i="1"/>
  <c r="E1409" i="1"/>
  <c r="B1409" i="1"/>
  <c r="U1408" i="1"/>
  <c r="K1408" i="1"/>
  <c r="E1408" i="1"/>
  <c r="B1408" i="1"/>
  <c r="U1407" i="1"/>
  <c r="K1407" i="1"/>
  <c r="E1407" i="1"/>
  <c r="B1407" i="1"/>
  <c r="U1406" i="1"/>
  <c r="K1406" i="1"/>
  <c r="E1406" i="1"/>
  <c r="B1406" i="1"/>
  <c r="U1405" i="1"/>
  <c r="K1405" i="1"/>
  <c r="E1405" i="1"/>
  <c r="B1405" i="1"/>
  <c r="U1404" i="1"/>
  <c r="K1404" i="1"/>
  <c r="E1404" i="1"/>
  <c r="B1404" i="1"/>
  <c r="U1403" i="1"/>
  <c r="K1403" i="1"/>
  <c r="E1403" i="1"/>
  <c r="B1403" i="1"/>
  <c r="U1402" i="1"/>
  <c r="K1402" i="1"/>
  <c r="E1402" i="1"/>
  <c r="B1402" i="1"/>
  <c r="U1401" i="1"/>
  <c r="K1401" i="1"/>
  <c r="E1401" i="1"/>
  <c r="B1401" i="1"/>
  <c r="U1400" i="1"/>
  <c r="K1400" i="1"/>
  <c r="E1400" i="1"/>
  <c r="B1400" i="1"/>
  <c r="U1399" i="1"/>
  <c r="K1399" i="1"/>
  <c r="E1399" i="1"/>
  <c r="B1399" i="1"/>
  <c r="U1398" i="1"/>
  <c r="K1398" i="1"/>
  <c r="E1398" i="1"/>
  <c r="B1398" i="1"/>
  <c r="U1397" i="1"/>
  <c r="K1397" i="1"/>
  <c r="E1397" i="1"/>
  <c r="B1397" i="1"/>
  <c r="U1396" i="1"/>
  <c r="K1396" i="1"/>
  <c r="E1396" i="1"/>
  <c r="B1396" i="1"/>
  <c r="U1395" i="1"/>
  <c r="K1395" i="1"/>
  <c r="E1395" i="1"/>
  <c r="B1395" i="1"/>
  <c r="U1394" i="1"/>
  <c r="K1394" i="1"/>
  <c r="E1394" i="1"/>
  <c r="B1394" i="1"/>
  <c r="U1393" i="1"/>
  <c r="K1393" i="1"/>
  <c r="E1393" i="1"/>
  <c r="B1393" i="1"/>
  <c r="U1392" i="1"/>
  <c r="K1392" i="1"/>
  <c r="E1392" i="1"/>
  <c r="B1392" i="1"/>
  <c r="U1391" i="1"/>
  <c r="K1391" i="1"/>
  <c r="E1391" i="1"/>
  <c r="B1391" i="1"/>
  <c r="U1390" i="1"/>
  <c r="K1390" i="1"/>
  <c r="E1390" i="1"/>
  <c r="B1390" i="1"/>
  <c r="U1389" i="1"/>
  <c r="K1389" i="1"/>
  <c r="E1389" i="1"/>
  <c r="B1389" i="1"/>
  <c r="U1388" i="1"/>
  <c r="K1388" i="1"/>
  <c r="E1388" i="1"/>
  <c r="B1388" i="1"/>
  <c r="U1387" i="1"/>
  <c r="K1387" i="1"/>
  <c r="E1387" i="1"/>
  <c r="B1387" i="1"/>
  <c r="U1386" i="1"/>
  <c r="K1386" i="1"/>
  <c r="E1386" i="1"/>
  <c r="B1386" i="1"/>
  <c r="U1385" i="1"/>
  <c r="K1385" i="1"/>
  <c r="E1385" i="1"/>
  <c r="B1385" i="1"/>
  <c r="U1384" i="1"/>
  <c r="K1384" i="1"/>
  <c r="E1384" i="1"/>
  <c r="B1384" i="1"/>
  <c r="U1383" i="1"/>
  <c r="K1383" i="1"/>
  <c r="E1383" i="1"/>
  <c r="B1383" i="1"/>
  <c r="U1382" i="1"/>
  <c r="K1382" i="1"/>
  <c r="E1382" i="1"/>
  <c r="B1382" i="1"/>
  <c r="U1381" i="1"/>
  <c r="K1381" i="1"/>
  <c r="E1381" i="1"/>
  <c r="B1381" i="1"/>
  <c r="U1380" i="1"/>
  <c r="K1380" i="1"/>
  <c r="E1380" i="1"/>
  <c r="B1380" i="1"/>
  <c r="U1379" i="1"/>
  <c r="K1379" i="1"/>
  <c r="E1379" i="1"/>
  <c r="B1379" i="1"/>
  <c r="U1378" i="1"/>
  <c r="K1378" i="1"/>
  <c r="E1378" i="1"/>
  <c r="B1378" i="1"/>
  <c r="U1377" i="1"/>
  <c r="K1377" i="1"/>
  <c r="E1377" i="1"/>
  <c r="B1377" i="1"/>
  <c r="U1376" i="1"/>
  <c r="K1376" i="1"/>
  <c r="E1376" i="1"/>
  <c r="B1376" i="1"/>
  <c r="U1375" i="1"/>
  <c r="K1375" i="1"/>
  <c r="E1375" i="1"/>
  <c r="B1375" i="1"/>
  <c r="U1374" i="1"/>
  <c r="K1374" i="1"/>
  <c r="E1374" i="1"/>
  <c r="B1374" i="1"/>
  <c r="U1373" i="1"/>
  <c r="K1373" i="1"/>
  <c r="E1373" i="1"/>
  <c r="B1373" i="1"/>
  <c r="U1372" i="1"/>
  <c r="K1372" i="1"/>
  <c r="E1372" i="1"/>
  <c r="B1372" i="1"/>
  <c r="U1371" i="1"/>
  <c r="K1371" i="1"/>
  <c r="E1371" i="1"/>
  <c r="B1371" i="1"/>
  <c r="U1370" i="1"/>
  <c r="K1370" i="1"/>
  <c r="E1370" i="1"/>
  <c r="B1370" i="1"/>
  <c r="U1369" i="1"/>
  <c r="K1369" i="1"/>
  <c r="E1369" i="1"/>
  <c r="B1369" i="1"/>
  <c r="U1368" i="1"/>
  <c r="K1368" i="1"/>
  <c r="E1368" i="1"/>
  <c r="B1368" i="1"/>
  <c r="U1367" i="1"/>
  <c r="K1367" i="1"/>
  <c r="E1367" i="1"/>
  <c r="B1367" i="1"/>
  <c r="U1366" i="1"/>
  <c r="K1366" i="1"/>
  <c r="E1366" i="1"/>
  <c r="B1366" i="1"/>
  <c r="U1365" i="1"/>
  <c r="K1365" i="1"/>
  <c r="E1365" i="1"/>
  <c r="B1365" i="1"/>
  <c r="U1364" i="1"/>
  <c r="K1364" i="1"/>
  <c r="E1364" i="1"/>
  <c r="B1364" i="1"/>
  <c r="U1363" i="1"/>
  <c r="K1363" i="1"/>
  <c r="E1363" i="1"/>
  <c r="B1363" i="1"/>
  <c r="U1362" i="1"/>
  <c r="K1362" i="1"/>
  <c r="E1362" i="1"/>
  <c r="B1362" i="1"/>
  <c r="U1361" i="1"/>
  <c r="K1361" i="1"/>
  <c r="E1361" i="1"/>
  <c r="B1361" i="1"/>
  <c r="U1360" i="1"/>
  <c r="K1360" i="1"/>
  <c r="E1360" i="1"/>
  <c r="B1360" i="1"/>
  <c r="U1359" i="1"/>
  <c r="K1359" i="1"/>
  <c r="E1359" i="1"/>
  <c r="B1359" i="1"/>
  <c r="U1358" i="1"/>
  <c r="K1358" i="1"/>
  <c r="E1358" i="1"/>
  <c r="B1358" i="1"/>
  <c r="U1357" i="1"/>
  <c r="K1357" i="1"/>
  <c r="E1357" i="1"/>
  <c r="B1357" i="1"/>
  <c r="U1356" i="1"/>
  <c r="K1356" i="1"/>
  <c r="E1356" i="1"/>
  <c r="B1356" i="1"/>
  <c r="U1355" i="1"/>
  <c r="K1355" i="1"/>
  <c r="E1355" i="1"/>
  <c r="B1355" i="1"/>
  <c r="U1354" i="1"/>
  <c r="K1354" i="1"/>
  <c r="E1354" i="1"/>
  <c r="B1354" i="1"/>
  <c r="U1353" i="1"/>
  <c r="K1353" i="1"/>
  <c r="E1353" i="1"/>
  <c r="B1353" i="1"/>
  <c r="U1352" i="1"/>
  <c r="K1352" i="1"/>
  <c r="E1352" i="1"/>
  <c r="B1352" i="1"/>
  <c r="U1351" i="1"/>
  <c r="K1351" i="1"/>
  <c r="E1351" i="1"/>
  <c r="B1351" i="1"/>
  <c r="U1350" i="1"/>
  <c r="K1350" i="1"/>
  <c r="E1350" i="1"/>
  <c r="B1350" i="1"/>
  <c r="U1349" i="1"/>
  <c r="K1349" i="1"/>
  <c r="E1349" i="1"/>
  <c r="B1349" i="1"/>
  <c r="U1348" i="1"/>
  <c r="K1348" i="1"/>
  <c r="E1348" i="1"/>
  <c r="B1348" i="1"/>
  <c r="U1347" i="1"/>
  <c r="K1347" i="1"/>
  <c r="E1347" i="1"/>
  <c r="B1347" i="1"/>
  <c r="U1346" i="1"/>
  <c r="K1346" i="1"/>
  <c r="E1346" i="1"/>
  <c r="B1346" i="1"/>
  <c r="U1345" i="1"/>
  <c r="K1345" i="1"/>
  <c r="E1345" i="1"/>
  <c r="B1345" i="1"/>
  <c r="U1344" i="1"/>
  <c r="K1344" i="1"/>
  <c r="E1344" i="1"/>
  <c r="B1344" i="1"/>
  <c r="U1343" i="1"/>
  <c r="K1343" i="1"/>
  <c r="E1343" i="1"/>
  <c r="B1343" i="1"/>
  <c r="U1342" i="1"/>
  <c r="K1342" i="1"/>
  <c r="E1342" i="1"/>
  <c r="B1342" i="1"/>
  <c r="U1341" i="1"/>
  <c r="K1341" i="1"/>
  <c r="E1341" i="1"/>
  <c r="B1341" i="1"/>
  <c r="U1340" i="1"/>
  <c r="K1340" i="1"/>
  <c r="E1340" i="1"/>
  <c r="B1340" i="1"/>
  <c r="U1339" i="1"/>
  <c r="K1339" i="1"/>
  <c r="E1339" i="1"/>
  <c r="B1339" i="1"/>
  <c r="U1338" i="1"/>
  <c r="K1338" i="1"/>
  <c r="E1338" i="1"/>
  <c r="B1338" i="1"/>
  <c r="U1337" i="1"/>
  <c r="K1337" i="1"/>
  <c r="E1337" i="1"/>
  <c r="B1337" i="1"/>
  <c r="U1336" i="1"/>
  <c r="K1336" i="1"/>
  <c r="E1336" i="1"/>
  <c r="B1336" i="1"/>
  <c r="U1335" i="1"/>
  <c r="K1335" i="1"/>
  <c r="E1335" i="1"/>
  <c r="B1335" i="1"/>
  <c r="U1334" i="1"/>
  <c r="K1334" i="1"/>
  <c r="E1334" i="1"/>
  <c r="B1334" i="1"/>
  <c r="U1333" i="1"/>
  <c r="K1333" i="1"/>
  <c r="E1333" i="1"/>
  <c r="B1333" i="1"/>
  <c r="U1332" i="1"/>
  <c r="K1332" i="1"/>
  <c r="E1332" i="1"/>
  <c r="B1332" i="1"/>
  <c r="U1331" i="1"/>
  <c r="K1331" i="1"/>
  <c r="E1331" i="1"/>
  <c r="B1331" i="1"/>
  <c r="U1330" i="1"/>
  <c r="K1330" i="1"/>
  <c r="E1330" i="1"/>
  <c r="B1330" i="1"/>
  <c r="U1329" i="1"/>
  <c r="K1329" i="1"/>
  <c r="E1329" i="1"/>
  <c r="B1329" i="1"/>
  <c r="U1328" i="1"/>
  <c r="K1328" i="1"/>
  <c r="E1328" i="1"/>
  <c r="B1328" i="1"/>
  <c r="U1327" i="1"/>
  <c r="K1327" i="1"/>
  <c r="E1327" i="1"/>
  <c r="B1327" i="1"/>
  <c r="U1326" i="1"/>
  <c r="K1326" i="1"/>
  <c r="E1326" i="1"/>
  <c r="B1326" i="1"/>
  <c r="U1325" i="1"/>
  <c r="K1325" i="1"/>
  <c r="E1325" i="1"/>
  <c r="B1325" i="1"/>
  <c r="U1324" i="1"/>
  <c r="K1324" i="1"/>
  <c r="E1324" i="1"/>
  <c r="B1324" i="1"/>
  <c r="U1323" i="1"/>
  <c r="K1323" i="1"/>
  <c r="E1323" i="1"/>
  <c r="B1323" i="1"/>
  <c r="U1322" i="1"/>
  <c r="K1322" i="1"/>
  <c r="E1322" i="1"/>
  <c r="B1322" i="1"/>
  <c r="U1321" i="1"/>
  <c r="K1321" i="1"/>
  <c r="E1321" i="1"/>
  <c r="B1321" i="1"/>
  <c r="U1320" i="1"/>
  <c r="K1320" i="1"/>
  <c r="E1320" i="1"/>
  <c r="B1320" i="1"/>
  <c r="U1319" i="1"/>
  <c r="K1319" i="1"/>
  <c r="E1319" i="1"/>
  <c r="B1319" i="1"/>
  <c r="U1318" i="1"/>
  <c r="K1318" i="1"/>
  <c r="E1318" i="1"/>
  <c r="B1318" i="1"/>
  <c r="U1317" i="1"/>
  <c r="K1317" i="1"/>
  <c r="E1317" i="1"/>
  <c r="B1317" i="1"/>
  <c r="U1316" i="1"/>
  <c r="K1316" i="1"/>
  <c r="E1316" i="1"/>
  <c r="B1316" i="1"/>
  <c r="U1315" i="1"/>
  <c r="K1315" i="1"/>
  <c r="E1315" i="1"/>
  <c r="B1315" i="1"/>
  <c r="U1314" i="1"/>
  <c r="K1314" i="1"/>
  <c r="E1314" i="1"/>
  <c r="B1314" i="1"/>
  <c r="U1313" i="1"/>
  <c r="K1313" i="1"/>
  <c r="E1313" i="1"/>
  <c r="B1313" i="1"/>
  <c r="K1312" i="1"/>
  <c r="E1312" i="1"/>
  <c r="B1312" i="1"/>
  <c r="U1311" i="1"/>
  <c r="K1311" i="1"/>
  <c r="E1311" i="1"/>
  <c r="B1311" i="1"/>
  <c r="U1310" i="1"/>
  <c r="K1310" i="1"/>
  <c r="E1310" i="1"/>
  <c r="B1310" i="1"/>
  <c r="U1309" i="1"/>
  <c r="K1309" i="1"/>
  <c r="E1309" i="1"/>
  <c r="B1309" i="1"/>
  <c r="U1308" i="1"/>
  <c r="K1308" i="1"/>
  <c r="E1308" i="1"/>
  <c r="B1308" i="1"/>
  <c r="U1307" i="1"/>
  <c r="K1307" i="1"/>
  <c r="E1307" i="1"/>
  <c r="B1307" i="1"/>
  <c r="U1306" i="1"/>
  <c r="K1306" i="1"/>
  <c r="E1306" i="1"/>
  <c r="B1306" i="1"/>
  <c r="U1305" i="1"/>
  <c r="K1305" i="1"/>
  <c r="E1305" i="1"/>
  <c r="B1305" i="1"/>
  <c r="U1304" i="1"/>
  <c r="K1304" i="1"/>
  <c r="E1304" i="1"/>
  <c r="B1304" i="1"/>
  <c r="U1303" i="1"/>
  <c r="K1303" i="1"/>
  <c r="E1303" i="1"/>
  <c r="B1303" i="1"/>
  <c r="U1302" i="1"/>
  <c r="K1302" i="1"/>
  <c r="E1302" i="1"/>
  <c r="B1302" i="1"/>
  <c r="U1301" i="1"/>
  <c r="K1301" i="1"/>
  <c r="E1301" i="1"/>
  <c r="B1301" i="1"/>
  <c r="K1300" i="1"/>
  <c r="E1300" i="1"/>
  <c r="B1300" i="1"/>
  <c r="U1299" i="1"/>
  <c r="K1299" i="1"/>
  <c r="E1299" i="1"/>
  <c r="B1299" i="1"/>
  <c r="U1298" i="1"/>
  <c r="K1298" i="1"/>
  <c r="E1298" i="1"/>
  <c r="B1298" i="1"/>
  <c r="U1297" i="1"/>
  <c r="K1297" i="1"/>
  <c r="E1297" i="1"/>
  <c r="B1297" i="1"/>
  <c r="U1296" i="1"/>
  <c r="K1296" i="1"/>
  <c r="E1296" i="1"/>
  <c r="B1296" i="1"/>
  <c r="U1295" i="1"/>
  <c r="K1295" i="1"/>
  <c r="E1295" i="1"/>
  <c r="B1295" i="1"/>
  <c r="U1294" i="1"/>
  <c r="K1294" i="1"/>
  <c r="E1294" i="1"/>
  <c r="B1294" i="1"/>
  <c r="U1293" i="1"/>
  <c r="K1293" i="1"/>
  <c r="E1293" i="1"/>
  <c r="B1293" i="1"/>
  <c r="U1292" i="1"/>
  <c r="K1292" i="1"/>
  <c r="E1292" i="1"/>
  <c r="B1292" i="1"/>
  <c r="U1291" i="1"/>
  <c r="K1291" i="1"/>
  <c r="E1291" i="1"/>
  <c r="B1291" i="1"/>
  <c r="U1290" i="1"/>
  <c r="K1290" i="1"/>
  <c r="E1290" i="1"/>
  <c r="B1290" i="1"/>
  <c r="U1289" i="1"/>
  <c r="K1289" i="1"/>
  <c r="E1289" i="1"/>
  <c r="B1289" i="1"/>
  <c r="U1288" i="1"/>
  <c r="K1288" i="1"/>
  <c r="E1288" i="1"/>
  <c r="B1288" i="1"/>
  <c r="U1287" i="1"/>
  <c r="K1287" i="1"/>
  <c r="E1287" i="1"/>
  <c r="B1287" i="1"/>
  <c r="U1286" i="1"/>
  <c r="K1286" i="1"/>
  <c r="E1286" i="1"/>
  <c r="B1286" i="1"/>
  <c r="K1285" i="1"/>
  <c r="E1285" i="1"/>
  <c r="B1285" i="1"/>
  <c r="U1284" i="1"/>
  <c r="K1284" i="1"/>
  <c r="E1284" i="1"/>
  <c r="B1284" i="1"/>
  <c r="U1283" i="1"/>
  <c r="K1283" i="1"/>
  <c r="E1283" i="1"/>
  <c r="B1283" i="1"/>
  <c r="U1282" i="1"/>
  <c r="K1282" i="1"/>
  <c r="E1282" i="1"/>
  <c r="B1282" i="1"/>
  <c r="U1281" i="1"/>
  <c r="K1281" i="1"/>
  <c r="E1281" i="1"/>
  <c r="B1281" i="1"/>
  <c r="U1280" i="1"/>
  <c r="K1280" i="1"/>
  <c r="E1280" i="1"/>
  <c r="B1280" i="1"/>
  <c r="U1279" i="1"/>
  <c r="K1279" i="1"/>
  <c r="E1279" i="1"/>
  <c r="B1279" i="1"/>
  <c r="U1278" i="1"/>
  <c r="K1278" i="1"/>
  <c r="E1278" i="1"/>
  <c r="B1278" i="1"/>
  <c r="U1277" i="1"/>
  <c r="K1277" i="1"/>
  <c r="E1277" i="1"/>
  <c r="B1277" i="1"/>
  <c r="U1276" i="1"/>
  <c r="K1276" i="1"/>
  <c r="E1276" i="1"/>
  <c r="B1276" i="1"/>
  <c r="U1275" i="1"/>
  <c r="K1275" i="1"/>
  <c r="E1275" i="1"/>
  <c r="B1275" i="1"/>
  <c r="U1274" i="1"/>
  <c r="K1274" i="1"/>
  <c r="E1274" i="1"/>
  <c r="B1274" i="1"/>
  <c r="U1273" i="1"/>
  <c r="K1273" i="1"/>
  <c r="E1273" i="1"/>
  <c r="B1273" i="1"/>
  <c r="U1272" i="1"/>
  <c r="K1272" i="1"/>
  <c r="E1272" i="1"/>
  <c r="B1272" i="1"/>
  <c r="U1271" i="1"/>
  <c r="K1271" i="1"/>
  <c r="E1271" i="1"/>
  <c r="B1271" i="1"/>
  <c r="U1270" i="1"/>
  <c r="K1270" i="1"/>
  <c r="E1270" i="1"/>
  <c r="B1270" i="1"/>
  <c r="U1269" i="1"/>
  <c r="K1269" i="1"/>
  <c r="E1269" i="1"/>
  <c r="B1269" i="1"/>
  <c r="U1268" i="1"/>
  <c r="K1268" i="1"/>
  <c r="E1268" i="1"/>
  <c r="B1268" i="1"/>
  <c r="U1267" i="1"/>
  <c r="K1267" i="1"/>
  <c r="E1267" i="1"/>
  <c r="B1267" i="1"/>
  <c r="U1266" i="1"/>
  <c r="K1266" i="1"/>
  <c r="E1266" i="1"/>
  <c r="B1266" i="1"/>
  <c r="U1265" i="1"/>
  <c r="K1265" i="1"/>
  <c r="E1265" i="1"/>
  <c r="B1265" i="1"/>
  <c r="U1264" i="1"/>
  <c r="K1264" i="1"/>
  <c r="E1264" i="1"/>
  <c r="B1264" i="1"/>
  <c r="U1263" i="1"/>
  <c r="K1263" i="1"/>
  <c r="E1263" i="1"/>
  <c r="B1263" i="1"/>
  <c r="U1262" i="1"/>
  <c r="K1262" i="1"/>
  <c r="E1262" i="1"/>
  <c r="B1262" i="1"/>
  <c r="U1261" i="1"/>
  <c r="K1261" i="1"/>
  <c r="E1261" i="1"/>
  <c r="B1261" i="1"/>
  <c r="U1260" i="1"/>
  <c r="K1260" i="1"/>
  <c r="E1260" i="1"/>
  <c r="B1260" i="1"/>
  <c r="U1259" i="1"/>
  <c r="K1259" i="1"/>
  <c r="E1259" i="1"/>
  <c r="B1259" i="1"/>
  <c r="U1258" i="1"/>
  <c r="K1258" i="1"/>
  <c r="E1258" i="1"/>
  <c r="B1258" i="1"/>
  <c r="U1257" i="1"/>
  <c r="K1257" i="1"/>
  <c r="E1257" i="1"/>
  <c r="B1257" i="1"/>
  <c r="U1256" i="1"/>
  <c r="K1256" i="1"/>
  <c r="E1256" i="1"/>
  <c r="B1256" i="1"/>
  <c r="U1255" i="1"/>
  <c r="K1255" i="1"/>
  <c r="E1255" i="1"/>
  <c r="B1255" i="1"/>
  <c r="U1254" i="1"/>
  <c r="K1254" i="1"/>
  <c r="E1254" i="1"/>
  <c r="B1254" i="1"/>
  <c r="U1253" i="1"/>
  <c r="K1253" i="1"/>
  <c r="E1253" i="1"/>
  <c r="B1253" i="1"/>
  <c r="U1252" i="1"/>
  <c r="K1252" i="1"/>
  <c r="E1252" i="1"/>
  <c r="B1252" i="1"/>
  <c r="U1251" i="1"/>
  <c r="K1251" i="1"/>
  <c r="E1251" i="1"/>
  <c r="B1251" i="1"/>
  <c r="U1250" i="1"/>
  <c r="K1250" i="1"/>
  <c r="E1250" i="1"/>
  <c r="B1250" i="1"/>
  <c r="U1249" i="1"/>
  <c r="K1249" i="1"/>
  <c r="E1249" i="1"/>
  <c r="B1249" i="1"/>
  <c r="U1248" i="1"/>
  <c r="K1248" i="1"/>
  <c r="E1248" i="1"/>
  <c r="B1248" i="1"/>
  <c r="U1247" i="1"/>
  <c r="K1247" i="1"/>
  <c r="E1247" i="1"/>
  <c r="B1247" i="1"/>
  <c r="U1246" i="1"/>
  <c r="K1246" i="1"/>
  <c r="E1246" i="1"/>
  <c r="B1246" i="1"/>
  <c r="U1245" i="1"/>
  <c r="K1245" i="1"/>
  <c r="E1245" i="1"/>
  <c r="B1245" i="1"/>
  <c r="U1244" i="1"/>
  <c r="K1244" i="1"/>
  <c r="E1244" i="1"/>
  <c r="B1244" i="1"/>
  <c r="U1243" i="1"/>
  <c r="K1243" i="1"/>
  <c r="E1243" i="1"/>
  <c r="B1243" i="1"/>
  <c r="U1242" i="1"/>
  <c r="K1242" i="1"/>
  <c r="E1242" i="1"/>
  <c r="B1242" i="1"/>
  <c r="U1241" i="1"/>
  <c r="K1241" i="1"/>
  <c r="E1241" i="1"/>
  <c r="B1241" i="1"/>
  <c r="U1240" i="1"/>
  <c r="K1240" i="1"/>
  <c r="E1240" i="1"/>
  <c r="B1240" i="1"/>
  <c r="U1239" i="1"/>
  <c r="K1239" i="1"/>
  <c r="E1239" i="1"/>
  <c r="B1239" i="1"/>
  <c r="U1238" i="1"/>
  <c r="K1238" i="1"/>
  <c r="E1238" i="1"/>
  <c r="B1238" i="1"/>
  <c r="U1237" i="1"/>
  <c r="K1237" i="1"/>
  <c r="E1237" i="1"/>
  <c r="B1237" i="1"/>
  <c r="U1236" i="1"/>
  <c r="K1236" i="1"/>
  <c r="E1236" i="1"/>
  <c r="B1236" i="1"/>
  <c r="U1235" i="1"/>
  <c r="K1235" i="1"/>
  <c r="E1235" i="1"/>
  <c r="B1235" i="1"/>
  <c r="U1234" i="1"/>
  <c r="K1234" i="1"/>
  <c r="E1234" i="1"/>
  <c r="B1234" i="1"/>
  <c r="U1233" i="1"/>
  <c r="K1233" i="1"/>
  <c r="E1233" i="1"/>
  <c r="B1233" i="1"/>
  <c r="U1232" i="1"/>
  <c r="K1232" i="1"/>
  <c r="E1232" i="1"/>
  <c r="B1232" i="1"/>
  <c r="U1231" i="1"/>
  <c r="K1231" i="1"/>
  <c r="E1231" i="1"/>
  <c r="B1231" i="1"/>
  <c r="U1230" i="1"/>
  <c r="K1230" i="1"/>
  <c r="E1230" i="1"/>
  <c r="B1230" i="1"/>
  <c r="U1229" i="1"/>
  <c r="K1229" i="1"/>
  <c r="E1229" i="1"/>
  <c r="B1229" i="1"/>
  <c r="U1228" i="1"/>
  <c r="K1228" i="1"/>
  <c r="E1228" i="1"/>
  <c r="B1228" i="1"/>
  <c r="U1227" i="1"/>
  <c r="K1227" i="1"/>
  <c r="E1227" i="1"/>
  <c r="B1227" i="1"/>
  <c r="U1226" i="1"/>
  <c r="K1226" i="1"/>
  <c r="E1226" i="1"/>
  <c r="B1226" i="1"/>
  <c r="U1225" i="1"/>
  <c r="K1225" i="1"/>
  <c r="E1225" i="1"/>
  <c r="B1225" i="1"/>
  <c r="U1224" i="1"/>
  <c r="K1224" i="1"/>
  <c r="E1224" i="1"/>
  <c r="B1224" i="1"/>
  <c r="U1223" i="1"/>
  <c r="K1223" i="1"/>
  <c r="E1223" i="1"/>
  <c r="B1223" i="1"/>
  <c r="U1222" i="1"/>
  <c r="K1222" i="1"/>
  <c r="E1222" i="1"/>
  <c r="B1222" i="1"/>
  <c r="U1221" i="1"/>
  <c r="K1221" i="1"/>
  <c r="E1221" i="1"/>
  <c r="B1221" i="1"/>
  <c r="U1220" i="1"/>
  <c r="K1220" i="1"/>
  <c r="E1220" i="1"/>
  <c r="B1220" i="1"/>
  <c r="U1219" i="1"/>
  <c r="K1219" i="1"/>
  <c r="E1219" i="1"/>
  <c r="B1219" i="1"/>
  <c r="U1218" i="1"/>
  <c r="K1218" i="1"/>
  <c r="E1218" i="1"/>
  <c r="B1218" i="1"/>
  <c r="U1217" i="1"/>
  <c r="K1217" i="1"/>
  <c r="E1217" i="1"/>
  <c r="B1217" i="1"/>
  <c r="U1216" i="1"/>
  <c r="K1216" i="1"/>
  <c r="E1216" i="1"/>
  <c r="B1216" i="1"/>
  <c r="U1215" i="1"/>
  <c r="K1215" i="1"/>
  <c r="E1215" i="1"/>
  <c r="B1215" i="1"/>
  <c r="U1214" i="1"/>
  <c r="K1214" i="1"/>
  <c r="E1214" i="1"/>
  <c r="B1214" i="1"/>
  <c r="U1213" i="1"/>
  <c r="K1213" i="1"/>
  <c r="E1213" i="1"/>
  <c r="B1213" i="1"/>
  <c r="U1212" i="1"/>
  <c r="K1212" i="1"/>
  <c r="E1212" i="1"/>
  <c r="B1212" i="1"/>
  <c r="U1211" i="1"/>
  <c r="K1211" i="1"/>
  <c r="E1211" i="1"/>
  <c r="B1211" i="1"/>
  <c r="U1210" i="1"/>
  <c r="K1210" i="1"/>
  <c r="E1210" i="1"/>
  <c r="B1210" i="1"/>
  <c r="U1209" i="1"/>
  <c r="K1209" i="1"/>
  <c r="E1209" i="1"/>
  <c r="B1209" i="1"/>
  <c r="U1208" i="1"/>
  <c r="K1208" i="1"/>
  <c r="E1208" i="1"/>
  <c r="B1208" i="1"/>
  <c r="U1207" i="1"/>
  <c r="K1207" i="1"/>
  <c r="E1207" i="1"/>
  <c r="B1207" i="1"/>
  <c r="U1206" i="1"/>
  <c r="K1206" i="1"/>
  <c r="E1206" i="1"/>
  <c r="B1206" i="1"/>
  <c r="U1205" i="1"/>
  <c r="K1205" i="1"/>
  <c r="E1205" i="1"/>
  <c r="B1205" i="1"/>
  <c r="U1204" i="1"/>
  <c r="K1204" i="1"/>
  <c r="E1204" i="1"/>
  <c r="B1204" i="1"/>
  <c r="U1203" i="1"/>
  <c r="K1203" i="1"/>
  <c r="E1203" i="1"/>
  <c r="B1203" i="1"/>
  <c r="U1202" i="1"/>
  <c r="K1202" i="1"/>
  <c r="E1202" i="1"/>
  <c r="B1202" i="1"/>
  <c r="U1201" i="1"/>
  <c r="K1201" i="1"/>
  <c r="E1201" i="1"/>
  <c r="B1201" i="1"/>
  <c r="U1200" i="1"/>
  <c r="K1200" i="1"/>
  <c r="E1200" i="1"/>
  <c r="B1200" i="1"/>
  <c r="U1199" i="1"/>
  <c r="K1199" i="1"/>
  <c r="E1199" i="1"/>
  <c r="B1199" i="1"/>
  <c r="U1198" i="1"/>
  <c r="K1198" i="1"/>
  <c r="E1198" i="1"/>
  <c r="B1198" i="1"/>
  <c r="U1197" i="1"/>
  <c r="K1197" i="1"/>
  <c r="E1197" i="1"/>
  <c r="B1197" i="1"/>
  <c r="U1196" i="1"/>
  <c r="K1196" i="1"/>
  <c r="E1196" i="1"/>
  <c r="B1196" i="1"/>
  <c r="U1195" i="1"/>
  <c r="K1195" i="1"/>
  <c r="E1195" i="1"/>
  <c r="B1195" i="1"/>
  <c r="U1194" i="1"/>
  <c r="K1194" i="1"/>
  <c r="E1194" i="1"/>
  <c r="B1194" i="1"/>
  <c r="U1193" i="1"/>
  <c r="K1193" i="1"/>
  <c r="E1193" i="1"/>
  <c r="B1193" i="1"/>
  <c r="U1192" i="1"/>
  <c r="K1192" i="1"/>
  <c r="E1192" i="1"/>
  <c r="B1192" i="1"/>
  <c r="K1191" i="1"/>
  <c r="E1191" i="1"/>
  <c r="B1191" i="1"/>
  <c r="U1190" i="1"/>
  <c r="K1190" i="1"/>
  <c r="E1190" i="1"/>
  <c r="B1190" i="1"/>
  <c r="U1189" i="1"/>
  <c r="K1189" i="1"/>
  <c r="E1189" i="1"/>
  <c r="B1189" i="1"/>
  <c r="U1188" i="1"/>
  <c r="K1188" i="1"/>
  <c r="E1188" i="1"/>
  <c r="B1188" i="1"/>
  <c r="U1187" i="1"/>
  <c r="K1187" i="1"/>
  <c r="E1187" i="1"/>
  <c r="B1187" i="1"/>
  <c r="U1186" i="1"/>
  <c r="K1186" i="1"/>
  <c r="E1186" i="1"/>
  <c r="B1186" i="1"/>
  <c r="U1185" i="1"/>
  <c r="K1185" i="1"/>
  <c r="E1185" i="1"/>
  <c r="B1185" i="1"/>
  <c r="U1184" i="1"/>
  <c r="K1184" i="1"/>
  <c r="E1184" i="1"/>
  <c r="B1184" i="1"/>
  <c r="U1183" i="1"/>
  <c r="K1183" i="1"/>
  <c r="E1183" i="1"/>
  <c r="B1183" i="1"/>
  <c r="U1182" i="1"/>
  <c r="K1182" i="1"/>
  <c r="E1182" i="1"/>
  <c r="B1182" i="1"/>
  <c r="U1181" i="1"/>
  <c r="K1181" i="1"/>
  <c r="E1181" i="1"/>
  <c r="B1181" i="1"/>
  <c r="U1180" i="1"/>
  <c r="K1180" i="1"/>
  <c r="E1180" i="1"/>
  <c r="B1180" i="1"/>
  <c r="U1179" i="1"/>
  <c r="K1179" i="1"/>
  <c r="E1179" i="1"/>
  <c r="B1179" i="1"/>
  <c r="U1178" i="1"/>
  <c r="K1178" i="1"/>
  <c r="E1178" i="1"/>
  <c r="B1178" i="1"/>
  <c r="U1177" i="1"/>
  <c r="K1177" i="1"/>
  <c r="E1177" i="1"/>
  <c r="B1177" i="1"/>
  <c r="U1176" i="1"/>
  <c r="K1176" i="1"/>
  <c r="E1176" i="1"/>
  <c r="B1176" i="1"/>
  <c r="U1175" i="1"/>
  <c r="K1175" i="1"/>
  <c r="E1175" i="1"/>
  <c r="B1175" i="1"/>
  <c r="U1174" i="1"/>
  <c r="K1174" i="1"/>
  <c r="E1174" i="1"/>
  <c r="B1174" i="1"/>
  <c r="U1173" i="1"/>
  <c r="K1173" i="1"/>
  <c r="E1173" i="1"/>
  <c r="B1173" i="1"/>
  <c r="U1172" i="1"/>
  <c r="K1172" i="1"/>
  <c r="E1172" i="1"/>
  <c r="B1172" i="1"/>
  <c r="U1171" i="1"/>
  <c r="K1171" i="1"/>
  <c r="E1171" i="1"/>
  <c r="B1171" i="1"/>
  <c r="U1170" i="1"/>
  <c r="K1170" i="1"/>
  <c r="E1170" i="1"/>
  <c r="B1170" i="1"/>
  <c r="K1169" i="1"/>
  <c r="E1169" i="1"/>
  <c r="B1169" i="1"/>
  <c r="U1168" i="1"/>
  <c r="K1168" i="1"/>
  <c r="E1168" i="1"/>
  <c r="B1168" i="1"/>
  <c r="U1167" i="1"/>
  <c r="K1167" i="1"/>
  <c r="E1167" i="1"/>
  <c r="B1167" i="1"/>
  <c r="U1166" i="1"/>
  <c r="K1166" i="1"/>
  <c r="E1166" i="1"/>
  <c r="B1166" i="1"/>
  <c r="U1165" i="1"/>
  <c r="K1165" i="1"/>
  <c r="E1165" i="1"/>
  <c r="B1165" i="1"/>
  <c r="U1164" i="1"/>
  <c r="K1164" i="1"/>
  <c r="E1164" i="1"/>
  <c r="B1164" i="1"/>
  <c r="U1163" i="1"/>
  <c r="K1163" i="1"/>
  <c r="E1163" i="1"/>
  <c r="B1163" i="1"/>
  <c r="U1162" i="1"/>
  <c r="K1162" i="1"/>
  <c r="E1162" i="1"/>
  <c r="B1162" i="1"/>
  <c r="U1161" i="1"/>
  <c r="K1161" i="1"/>
  <c r="E1161" i="1"/>
  <c r="B1161" i="1"/>
  <c r="U1160" i="1"/>
  <c r="K1160" i="1"/>
  <c r="E1160" i="1"/>
  <c r="B1160" i="1"/>
  <c r="U1159" i="1"/>
  <c r="K1159" i="1"/>
  <c r="E1159" i="1"/>
  <c r="B1159" i="1"/>
  <c r="U1158" i="1"/>
  <c r="K1158" i="1"/>
  <c r="E1158" i="1"/>
  <c r="B1158" i="1"/>
  <c r="U1157" i="1"/>
  <c r="K1157" i="1"/>
  <c r="E1157" i="1"/>
  <c r="B1157" i="1"/>
  <c r="U1156" i="1"/>
  <c r="K1156" i="1"/>
  <c r="E1156" i="1"/>
  <c r="B1156" i="1"/>
  <c r="U1155" i="1"/>
  <c r="K1155" i="1"/>
  <c r="E1155" i="1"/>
  <c r="B1155" i="1"/>
  <c r="U1154" i="1"/>
  <c r="K1154" i="1"/>
  <c r="E1154" i="1"/>
  <c r="B1154" i="1"/>
  <c r="U1153" i="1"/>
  <c r="K1153" i="1"/>
  <c r="E1153" i="1"/>
  <c r="B1153" i="1"/>
  <c r="U1152" i="1"/>
  <c r="K1152" i="1"/>
  <c r="E1152" i="1"/>
  <c r="B1152" i="1"/>
  <c r="U1151" i="1"/>
  <c r="K1151" i="1"/>
  <c r="E1151" i="1"/>
  <c r="B1151" i="1"/>
  <c r="U1150" i="1"/>
  <c r="K1150" i="1"/>
  <c r="E1150" i="1"/>
  <c r="B1150" i="1"/>
  <c r="U1149" i="1"/>
  <c r="K1149" i="1"/>
  <c r="E1149" i="1"/>
  <c r="B1149" i="1"/>
  <c r="U1148" i="1"/>
  <c r="K1148" i="1"/>
  <c r="E1148" i="1"/>
  <c r="B1148" i="1"/>
  <c r="U1147" i="1"/>
  <c r="K1147" i="1"/>
  <c r="E1147" i="1"/>
  <c r="B1147" i="1"/>
  <c r="U1146" i="1"/>
  <c r="K1146" i="1"/>
  <c r="E1146" i="1"/>
  <c r="B1146" i="1"/>
  <c r="U1145" i="1"/>
  <c r="K1145" i="1"/>
  <c r="E1145" i="1"/>
  <c r="B1145" i="1"/>
  <c r="U1144" i="1"/>
  <c r="K1144" i="1"/>
  <c r="E1144" i="1"/>
  <c r="B1144" i="1"/>
  <c r="U1143" i="1"/>
  <c r="K1143" i="1"/>
  <c r="E1143" i="1"/>
  <c r="B1143" i="1"/>
  <c r="U1142" i="1"/>
  <c r="K1142" i="1"/>
  <c r="E1142" i="1"/>
  <c r="B1142" i="1"/>
  <c r="U1141" i="1"/>
  <c r="K1141" i="1"/>
  <c r="E1141" i="1"/>
  <c r="B1141" i="1"/>
  <c r="U1140" i="1"/>
  <c r="K1140" i="1"/>
  <c r="E1140" i="1"/>
  <c r="B1140" i="1"/>
  <c r="U1139" i="1"/>
  <c r="K1139" i="1"/>
  <c r="E1139" i="1"/>
  <c r="B1139" i="1"/>
  <c r="U1138" i="1"/>
  <c r="K1138" i="1"/>
  <c r="E1138" i="1"/>
  <c r="B1138" i="1"/>
  <c r="U1137" i="1"/>
  <c r="K1137" i="1"/>
  <c r="E1137" i="1"/>
  <c r="B1137" i="1"/>
  <c r="U1136" i="1"/>
  <c r="K1136" i="1"/>
  <c r="E1136" i="1"/>
  <c r="B1136" i="1"/>
  <c r="U1135" i="1"/>
  <c r="K1135" i="1"/>
  <c r="E1135" i="1"/>
  <c r="B1135" i="1"/>
  <c r="U1134" i="1"/>
  <c r="K1134" i="1"/>
  <c r="E1134" i="1"/>
  <c r="B1134" i="1"/>
  <c r="U1133" i="1"/>
  <c r="K1133" i="1"/>
  <c r="E1133" i="1"/>
  <c r="B1133" i="1"/>
  <c r="U1132" i="1"/>
  <c r="K1132" i="1"/>
  <c r="E1132" i="1"/>
  <c r="B1132" i="1"/>
  <c r="U1131" i="1"/>
  <c r="K1131" i="1"/>
  <c r="E1131" i="1"/>
  <c r="B1131" i="1"/>
  <c r="U1130" i="1"/>
  <c r="K1130" i="1"/>
  <c r="E1130" i="1"/>
  <c r="B1130" i="1"/>
  <c r="U1129" i="1"/>
  <c r="K1129" i="1"/>
  <c r="E1129" i="1"/>
  <c r="B1129" i="1"/>
  <c r="U1128" i="1"/>
  <c r="K1128" i="1"/>
  <c r="E1128" i="1"/>
  <c r="B1128" i="1"/>
  <c r="U1127" i="1"/>
  <c r="K1127" i="1"/>
  <c r="E1127" i="1"/>
  <c r="B1127" i="1"/>
  <c r="U1126" i="1"/>
  <c r="K1126" i="1"/>
  <c r="E1126" i="1"/>
  <c r="B1126" i="1"/>
  <c r="U1125" i="1"/>
  <c r="K1125" i="1"/>
  <c r="E1125" i="1"/>
  <c r="B1125" i="1"/>
  <c r="U1124" i="1"/>
  <c r="K1124" i="1"/>
  <c r="E1124" i="1"/>
  <c r="B1124" i="1"/>
  <c r="U1123" i="1"/>
  <c r="K1123" i="1"/>
  <c r="E1123" i="1"/>
  <c r="B1123" i="1"/>
  <c r="U1122" i="1"/>
  <c r="K1122" i="1"/>
  <c r="E1122" i="1"/>
  <c r="B1122" i="1"/>
  <c r="U1121" i="1"/>
  <c r="K1121" i="1"/>
  <c r="E1121" i="1"/>
  <c r="B1121" i="1"/>
  <c r="U1120" i="1"/>
  <c r="K1120" i="1"/>
  <c r="E1120" i="1"/>
  <c r="B1120" i="1"/>
  <c r="U1119" i="1"/>
  <c r="K1119" i="1"/>
  <c r="E1119" i="1"/>
  <c r="B1119" i="1"/>
  <c r="U1118" i="1"/>
  <c r="K1118" i="1"/>
  <c r="E1118" i="1"/>
  <c r="B1118" i="1"/>
  <c r="U1117" i="1"/>
  <c r="K1117" i="1"/>
  <c r="E1117" i="1"/>
  <c r="B1117" i="1"/>
  <c r="U1116" i="1"/>
  <c r="K1116" i="1"/>
  <c r="E1116" i="1"/>
  <c r="B1116" i="1"/>
  <c r="U1115" i="1"/>
  <c r="K1115" i="1"/>
  <c r="E1115" i="1"/>
  <c r="B1115" i="1"/>
  <c r="U1114" i="1"/>
  <c r="K1114" i="1"/>
  <c r="E1114" i="1"/>
  <c r="B1114" i="1"/>
  <c r="U1113" i="1"/>
  <c r="K1113" i="1"/>
  <c r="E1113" i="1"/>
  <c r="B1113" i="1"/>
  <c r="U1112" i="1"/>
  <c r="K1112" i="1"/>
  <c r="E1112" i="1"/>
  <c r="B1112" i="1"/>
  <c r="U1111" i="1"/>
  <c r="K1111" i="1"/>
  <c r="E1111" i="1"/>
  <c r="B1111" i="1"/>
  <c r="U1110" i="1"/>
  <c r="K1110" i="1"/>
  <c r="E1110" i="1"/>
  <c r="B1110" i="1"/>
  <c r="U1109" i="1"/>
  <c r="K1109" i="1"/>
  <c r="E1109" i="1"/>
  <c r="B1109" i="1"/>
  <c r="U1108" i="1"/>
  <c r="K1108" i="1"/>
  <c r="E1108" i="1"/>
  <c r="B1108" i="1"/>
  <c r="U1107" i="1"/>
  <c r="K1107" i="1"/>
  <c r="E1107" i="1"/>
  <c r="B1107" i="1"/>
  <c r="U1106" i="1"/>
  <c r="K1106" i="1"/>
  <c r="E1106" i="1"/>
  <c r="B1106" i="1"/>
  <c r="U1105" i="1"/>
  <c r="K1105" i="1"/>
  <c r="E1105" i="1"/>
  <c r="B1105" i="1"/>
  <c r="U1104" i="1"/>
  <c r="K1104" i="1"/>
  <c r="E1104" i="1"/>
  <c r="B1104" i="1"/>
  <c r="U1103" i="1"/>
  <c r="K1103" i="1"/>
  <c r="E1103" i="1"/>
  <c r="B1103" i="1"/>
  <c r="U1102" i="1"/>
  <c r="K1102" i="1"/>
  <c r="E1102" i="1"/>
  <c r="B1102" i="1"/>
  <c r="U1101" i="1"/>
  <c r="K1101" i="1"/>
  <c r="E1101" i="1"/>
  <c r="B1101" i="1"/>
  <c r="U1100" i="1"/>
  <c r="K1100" i="1"/>
  <c r="E1100" i="1"/>
  <c r="B1100" i="1"/>
  <c r="U1099" i="1"/>
  <c r="K1099" i="1"/>
  <c r="E1099" i="1"/>
  <c r="B1099" i="1"/>
  <c r="U1098" i="1"/>
  <c r="K1098" i="1"/>
  <c r="E1098" i="1"/>
  <c r="B1098" i="1"/>
  <c r="U1097" i="1"/>
  <c r="K1097" i="1"/>
  <c r="E1097" i="1"/>
  <c r="B1097" i="1"/>
  <c r="U1096" i="1"/>
  <c r="K1096" i="1"/>
  <c r="E1096" i="1"/>
  <c r="B1096" i="1"/>
  <c r="U1095" i="1"/>
  <c r="K1095" i="1"/>
  <c r="E1095" i="1"/>
  <c r="B1095" i="1"/>
  <c r="U1094" i="1"/>
  <c r="K1094" i="1"/>
  <c r="E1094" i="1"/>
  <c r="B1094" i="1"/>
  <c r="U1093" i="1"/>
  <c r="K1093" i="1"/>
  <c r="E1093" i="1"/>
  <c r="B1093" i="1"/>
  <c r="U1092" i="1"/>
  <c r="K1092" i="1"/>
  <c r="E1092" i="1"/>
  <c r="B1092" i="1"/>
  <c r="U1091" i="1"/>
  <c r="K1091" i="1"/>
  <c r="E1091" i="1"/>
  <c r="B1091" i="1"/>
  <c r="U1090" i="1"/>
  <c r="K1090" i="1"/>
  <c r="E1090" i="1"/>
  <c r="B1090" i="1"/>
  <c r="U1089" i="1"/>
  <c r="K1089" i="1"/>
  <c r="E1089" i="1"/>
  <c r="B1089" i="1"/>
  <c r="U1088" i="1"/>
  <c r="K1088" i="1"/>
  <c r="E1088" i="1"/>
  <c r="B1088" i="1"/>
  <c r="U1087" i="1"/>
  <c r="K1087" i="1"/>
  <c r="E1087" i="1"/>
  <c r="B1087" i="1"/>
  <c r="U1086" i="1"/>
  <c r="K1086" i="1"/>
  <c r="E1086" i="1"/>
  <c r="B1086" i="1"/>
  <c r="U1085" i="1"/>
  <c r="K1085" i="1"/>
  <c r="E1085" i="1"/>
  <c r="B1085" i="1"/>
  <c r="U1084" i="1"/>
  <c r="K1084" i="1"/>
  <c r="E1084" i="1"/>
  <c r="B1084" i="1"/>
  <c r="U1083" i="1"/>
  <c r="K1083" i="1"/>
  <c r="E1083" i="1"/>
  <c r="B1083" i="1"/>
  <c r="U1082" i="1"/>
  <c r="K1082" i="1"/>
  <c r="E1082" i="1"/>
  <c r="B1082" i="1"/>
  <c r="U1081" i="1"/>
  <c r="K1081" i="1"/>
  <c r="E1081" i="1"/>
  <c r="B1081" i="1"/>
  <c r="U1080" i="1"/>
  <c r="K1080" i="1"/>
  <c r="E1080" i="1"/>
  <c r="B1080" i="1"/>
  <c r="U1079" i="1"/>
  <c r="K1079" i="1"/>
  <c r="E1079" i="1"/>
  <c r="B1079" i="1"/>
  <c r="U1078" i="1"/>
  <c r="K1078" i="1"/>
  <c r="E1078" i="1"/>
  <c r="B1078" i="1"/>
  <c r="U1077" i="1"/>
  <c r="K1077" i="1"/>
  <c r="E1077" i="1"/>
  <c r="B1077" i="1"/>
  <c r="U1076" i="1"/>
  <c r="K1076" i="1"/>
  <c r="E1076" i="1"/>
  <c r="B1076" i="1"/>
  <c r="U1075" i="1"/>
  <c r="K1075" i="1"/>
  <c r="E1075" i="1"/>
  <c r="B1075" i="1"/>
  <c r="U1074" i="1"/>
  <c r="K1074" i="1"/>
  <c r="E1074" i="1"/>
  <c r="B1074" i="1"/>
  <c r="U1073" i="1"/>
  <c r="K1073" i="1"/>
  <c r="E1073" i="1"/>
  <c r="B1073" i="1"/>
  <c r="U1072" i="1"/>
  <c r="K1072" i="1"/>
  <c r="E1072" i="1"/>
  <c r="B1072" i="1"/>
  <c r="U1071" i="1"/>
  <c r="K1071" i="1"/>
  <c r="E1071" i="1"/>
  <c r="B1071" i="1"/>
  <c r="U1070" i="1"/>
  <c r="K1070" i="1"/>
  <c r="E1070" i="1"/>
  <c r="B1070" i="1"/>
  <c r="U1069" i="1"/>
  <c r="K1069" i="1"/>
  <c r="E1069" i="1"/>
  <c r="B1069" i="1"/>
  <c r="U1068" i="1"/>
  <c r="K1068" i="1"/>
  <c r="E1068" i="1"/>
  <c r="B1068" i="1"/>
  <c r="U1067" i="1"/>
  <c r="K1067" i="1"/>
  <c r="E1067" i="1"/>
  <c r="B1067" i="1"/>
  <c r="U1066" i="1"/>
  <c r="K1066" i="1"/>
  <c r="E1066" i="1"/>
  <c r="B1066" i="1"/>
  <c r="U1065" i="1"/>
  <c r="K1065" i="1"/>
  <c r="E1065" i="1"/>
  <c r="B1065" i="1"/>
  <c r="U1064" i="1"/>
  <c r="K1064" i="1"/>
  <c r="E1064" i="1"/>
  <c r="B1064" i="1"/>
  <c r="U1063" i="1"/>
  <c r="K1063" i="1"/>
  <c r="E1063" i="1"/>
  <c r="B1063" i="1"/>
  <c r="U1062" i="1"/>
  <c r="K1062" i="1"/>
  <c r="E1062" i="1"/>
  <c r="B1062" i="1"/>
  <c r="U1061" i="1"/>
  <c r="K1061" i="1"/>
  <c r="E1061" i="1"/>
  <c r="B1061" i="1"/>
  <c r="U1060" i="1"/>
  <c r="K1060" i="1"/>
  <c r="E1060" i="1"/>
  <c r="B1060" i="1"/>
  <c r="U1059" i="1"/>
  <c r="K1059" i="1"/>
  <c r="E1059" i="1"/>
  <c r="B1059" i="1"/>
  <c r="U1058" i="1"/>
  <c r="K1058" i="1"/>
  <c r="E1058" i="1"/>
  <c r="B1058" i="1"/>
  <c r="U1057" i="1"/>
  <c r="K1057" i="1"/>
  <c r="E1057" i="1"/>
  <c r="B1057" i="1"/>
  <c r="U1056" i="1"/>
  <c r="K1056" i="1"/>
  <c r="E1056" i="1"/>
  <c r="B1056" i="1"/>
  <c r="U1055" i="1"/>
  <c r="K1055" i="1"/>
  <c r="E1055" i="1"/>
  <c r="B1055" i="1"/>
  <c r="U1054" i="1"/>
  <c r="K1054" i="1"/>
  <c r="E1054" i="1"/>
  <c r="B1054" i="1"/>
  <c r="U1053" i="1"/>
  <c r="K1053" i="1"/>
  <c r="E1053" i="1"/>
  <c r="B1053" i="1"/>
  <c r="U1052" i="1"/>
  <c r="K1052" i="1"/>
  <c r="E1052" i="1"/>
  <c r="B1052" i="1"/>
  <c r="U1051" i="1"/>
  <c r="K1051" i="1"/>
  <c r="E1051" i="1"/>
  <c r="B1051" i="1"/>
  <c r="U1050" i="1"/>
  <c r="K1050" i="1"/>
  <c r="E1050" i="1"/>
  <c r="B1050" i="1"/>
  <c r="U1049" i="1"/>
  <c r="K1049" i="1"/>
  <c r="E1049" i="1"/>
  <c r="B1049" i="1"/>
  <c r="U1048" i="1"/>
  <c r="K1048" i="1"/>
  <c r="E1048" i="1"/>
  <c r="B1048" i="1"/>
  <c r="U1047" i="1"/>
  <c r="K1047" i="1"/>
  <c r="E1047" i="1"/>
  <c r="B1047" i="1"/>
  <c r="U1046" i="1"/>
  <c r="K1046" i="1"/>
  <c r="E1046" i="1"/>
  <c r="B1046" i="1"/>
  <c r="U1045" i="1"/>
  <c r="K1045" i="1"/>
  <c r="E1045" i="1"/>
  <c r="B1045" i="1"/>
  <c r="U1044" i="1"/>
  <c r="K1044" i="1"/>
  <c r="E1044" i="1"/>
  <c r="B1044" i="1"/>
  <c r="U1043" i="1"/>
  <c r="K1043" i="1"/>
  <c r="E1043" i="1"/>
  <c r="B1043" i="1"/>
  <c r="U1042" i="1"/>
  <c r="K1042" i="1"/>
  <c r="E1042" i="1"/>
  <c r="B1042" i="1"/>
  <c r="U1041" i="1"/>
  <c r="K1041" i="1"/>
  <c r="E1041" i="1"/>
  <c r="B1041" i="1"/>
  <c r="U1040" i="1"/>
  <c r="K1040" i="1"/>
  <c r="E1040" i="1"/>
  <c r="B1040" i="1"/>
  <c r="U1039" i="1"/>
  <c r="K1039" i="1"/>
  <c r="E1039" i="1"/>
  <c r="B1039" i="1"/>
  <c r="U1038" i="1"/>
  <c r="K1038" i="1"/>
  <c r="E1038" i="1"/>
  <c r="B1038" i="1"/>
  <c r="U1037" i="1"/>
  <c r="K1037" i="1"/>
  <c r="E1037" i="1"/>
  <c r="B1037" i="1"/>
  <c r="U1036" i="1"/>
  <c r="K1036" i="1"/>
  <c r="E1036" i="1"/>
  <c r="B1036" i="1"/>
  <c r="U1035" i="1"/>
  <c r="K1035" i="1"/>
  <c r="E1035" i="1"/>
  <c r="B1035" i="1"/>
  <c r="U1034" i="1"/>
  <c r="K1034" i="1"/>
  <c r="E1034" i="1"/>
  <c r="B1034" i="1"/>
  <c r="U1033" i="1"/>
  <c r="K1033" i="1"/>
  <c r="E1033" i="1"/>
  <c r="B1033" i="1"/>
  <c r="U1032" i="1"/>
  <c r="K1032" i="1"/>
  <c r="E1032" i="1"/>
  <c r="B1032" i="1"/>
  <c r="U1031" i="1"/>
  <c r="K1031" i="1"/>
  <c r="E1031" i="1"/>
  <c r="B1031" i="1"/>
  <c r="U1030" i="1"/>
  <c r="K1030" i="1"/>
  <c r="E1030" i="1"/>
  <c r="B1030" i="1"/>
  <c r="U1029" i="1"/>
  <c r="K1029" i="1"/>
  <c r="E1029" i="1"/>
  <c r="B1029" i="1"/>
  <c r="U1028" i="1"/>
  <c r="K1028" i="1"/>
  <c r="E1028" i="1"/>
  <c r="B1028" i="1"/>
  <c r="U1027" i="1"/>
  <c r="K1027" i="1"/>
  <c r="E1027" i="1"/>
  <c r="B1027" i="1"/>
  <c r="U1026" i="1"/>
  <c r="K1026" i="1"/>
  <c r="E1026" i="1"/>
  <c r="B1026" i="1"/>
  <c r="K1025" i="1"/>
  <c r="E1025" i="1"/>
  <c r="B1025" i="1"/>
  <c r="U1024" i="1"/>
  <c r="K1024" i="1"/>
  <c r="E1024" i="1"/>
  <c r="B1024" i="1"/>
  <c r="U1023" i="1"/>
  <c r="K1023" i="1"/>
  <c r="E1023" i="1"/>
  <c r="B1023" i="1"/>
  <c r="U1022" i="1"/>
  <c r="K1022" i="1"/>
  <c r="E1022" i="1"/>
  <c r="B1022" i="1"/>
  <c r="U1021" i="1"/>
  <c r="K1021" i="1"/>
  <c r="E1021" i="1"/>
  <c r="B1021" i="1"/>
  <c r="U1020" i="1"/>
  <c r="K1020" i="1"/>
  <c r="E1020" i="1"/>
  <c r="B1020" i="1"/>
  <c r="U1019" i="1"/>
  <c r="K1019" i="1"/>
  <c r="E1019" i="1"/>
  <c r="B1019" i="1"/>
  <c r="U1018" i="1"/>
  <c r="K1018" i="1"/>
  <c r="E1018" i="1"/>
  <c r="B1018" i="1"/>
  <c r="U1017" i="1"/>
  <c r="K1017" i="1"/>
  <c r="E1017" i="1"/>
  <c r="B1017" i="1"/>
  <c r="U1016" i="1"/>
  <c r="K1016" i="1"/>
  <c r="E1016" i="1"/>
  <c r="B1016" i="1"/>
  <c r="U1015" i="1"/>
  <c r="K1015" i="1"/>
  <c r="E1015" i="1"/>
  <c r="B1015" i="1"/>
  <c r="U1014" i="1"/>
  <c r="K1014" i="1"/>
  <c r="E1014" i="1"/>
  <c r="B1014" i="1"/>
  <c r="U1013" i="1"/>
  <c r="K1013" i="1"/>
  <c r="E1013" i="1"/>
  <c r="B1013" i="1"/>
  <c r="U1012" i="1"/>
  <c r="K1012" i="1"/>
  <c r="E1012" i="1"/>
  <c r="B1012" i="1"/>
  <c r="U1011" i="1"/>
  <c r="K1011" i="1"/>
  <c r="E1011" i="1"/>
  <c r="B1011" i="1"/>
  <c r="U1010" i="1"/>
  <c r="K1010" i="1"/>
  <c r="E1010" i="1"/>
  <c r="B1010" i="1"/>
  <c r="U1009" i="1"/>
  <c r="K1009" i="1"/>
  <c r="E1009" i="1"/>
  <c r="B1009" i="1"/>
  <c r="U1008" i="1"/>
  <c r="K1008" i="1"/>
  <c r="E1008" i="1"/>
  <c r="B1008" i="1"/>
  <c r="U1007" i="1"/>
  <c r="K1007" i="1"/>
  <c r="E1007" i="1"/>
  <c r="B1007" i="1"/>
  <c r="U1006" i="1"/>
  <c r="K1006" i="1"/>
  <c r="E1006" i="1"/>
  <c r="B1006" i="1"/>
  <c r="U1005" i="1"/>
  <c r="K1005" i="1"/>
  <c r="E1005" i="1"/>
  <c r="B1005" i="1"/>
  <c r="U1004" i="1"/>
  <c r="K1004" i="1"/>
  <c r="E1004" i="1"/>
  <c r="B1004" i="1"/>
  <c r="U1003" i="1"/>
  <c r="K1003" i="1"/>
  <c r="E1003" i="1"/>
  <c r="B1003" i="1"/>
  <c r="U1002" i="1"/>
  <c r="K1002" i="1"/>
  <c r="E1002" i="1"/>
  <c r="B1002" i="1"/>
  <c r="U1001" i="1"/>
  <c r="K1001" i="1"/>
  <c r="E1001" i="1"/>
  <c r="B1001" i="1"/>
  <c r="U1000" i="1"/>
  <c r="K1000" i="1"/>
  <c r="E1000" i="1"/>
  <c r="B1000" i="1"/>
  <c r="U999" i="1"/>
  <c r="K999" i="1"/>
  <c r="E999" i="1"/>
  <c r="B999" i="1"/>
  <c r="U998" i="1"/>
  <c r="K998" i="1"/>
  <c r="E998" i="1"/>
  <c r="B998" i="1"/>
  <c r="U997" i="1"/>
  <c r="K997" i="1"/>
  <c r="E997" i="1"/>
  <c r="B997" i="1"/>
  <c r="U996" i="1"/>
  <c r="K996" i="1"/>
  <c r="E996" i="1"/>
  <c r="B996" i="1"/>
  <c r="U995" i="1"/>
  <c r="K995" i="1"/>
  <c r="E995" i="1"/>
  <c r="B995" i="1"/>
  <c r="U994" i="1"/>
  <c r="K994" i="1"/>
  <c r="E994" i="1"/>
  <c r="B994" i="1"/>
  <c r="U993" i="1"/>
  <c r="K993" i="1"/>
  <c r="E993" i="1"/>
  <c r="B993" i="1"/>
  <c r="U992" i="1"/>
  <c r="K992" i="1"/>
  <c r="E992" i="1"/>
  <c r="B992" i="1"/>
  <c r="U991" i="1"/>
  <c r="K991" i="1"/>
  <c r="E991" i="1"/>
  <c r="B991" i="1"/>
  <c r="U990" i="1"/>
  <c r="K990" i="1"/>
  <c r="E990" i="1"/>
  <c r="B990" i="1"/>
  <c r="U989" i="1"/>
  <c r="K989" i="1"/>
  <c r="E989" i="1"/>
  <c r="B989" i="1"/>
  <c r="U988" i="1"/>
  <c r="K988" i="1"/>
  <c r="E988" i="1"/>
  <c r="B988" i="1"/>
  <c r="U987" i="1"/>
  <c r="K987" i="1"/>
  <c r="E987" i="1"/>
  <c r="B987" i="1"/>
  <c r="U986" i="1"/>
  <c r="K986" i="1"/>
  <c r="E986" i="1"/>
  <c r="B986" i="1"/>
  <c r="U985" i="1"/>
  <c r="K985" i="1"/>
  <c r="E985" i="1"/>
  <c r="B985" i="1"/>
  <c r="U984" i="1"/>
  <c r="K984" i="1"/>
  <c r="E984" i="1"/>
  <c r="B984" i="1"/>
  <c r="U983" i="1"/>
  <c r="K983" i="1"/>
  <c r="E983" i="1"/>
  <c r="B983" i="1"/>
  <c r="U982" i="1"/>
  <c r="K982" i="1"/>
  <c r="E982" i="1"/>
  <c r="B982" i="1"/>
  <c r="U981" i="1"/>
  <c r="K981" i="1"/>
  <c r="E981" i="1"/>
  <c r="B981" i="1"/>
  <c r="U980" i="1"/>
  <c r="K980" i="1"/>
  <c r="E980" i="1"/>
  <c r="B980" i="1"/>
  <c r="U979" i="1"/>
  <c r="K979" i="1"/>
  <c r="E979" i="1"/>
  <c r="B979" i="1"/>
  <c r="U978" i="1"/>
  <c r="K978" i="1"/>
  <c r="E978" i="1"/>
  <c r="B978" i="1"/>
  <c r="U977" i="1"/>
  <c r="K977" i="1"/>
  <c r="E977" i="1"/>
  <c r="B977" i="1"/>
  <c r="U976" i="1"/>
  <c r="K976" i="1"/>
  <c r="E976" i="1"/>
  <c r="B976" i="1"/>
  <c r="U975" i="1"/>
  <c r="K975" i="1"/>
  <c r="E975" i="1"/>
  <c r="B975" i="1"/>
  <c r="U974" i="1"/>
  <c r="K974" i="1"/>
  <c r="E974" i="1"/>
  <c r="B974" i="1"/>
  <c r="U973" i="1"/>
  <c r="K973" i="1"/>
  <c r="E973" i="1"/>
  <c r="B973" i="1"/>
  <c r="U972" i="1"/>
  <c r="K972" i="1"/>
  <c r="E972" i="1"/>
  <c r="B972" i="1"/>
  <c r="U971" i="1"/>
  <c r="K971" i="1"/>
  <c r="E971" i="1"/>
  <c r="B971" i="1"/>
  <c r="U970" i="1"/>
  <c r="K970" i="1"/>
  <c r="E970" i="1"/>
  <c r="B970" i="1"/>
  <c r="U969" i="1"/>
  <c r="K969" i="1"/>
  <c r="E969" i="1"/>
  <c r="B969" i="1"/>
  <c r="U968" i="1"/>
  <c r="K968" i="1"/>
  <c r="E968" i="1"/>
  <c r="B968" i="1"/>
  <c r="U967" i="1"/>
  <c r="K967" i="1"/>
  <c r="E967" i="1"/>
  <c r="B967" i="1"/>
  <c r="U966" i="1"/>
  <c r="K966" i="1"/>
  <c r="E966" i="1"/>
  <c r="B966" i="1"/>
  <c r="U965" i="1"/>
  <c r="K965" i="1"/>
  <c r="E965" i="1"/>
  <c r="B965" i="1"/>
  <c r="U964" i="1"/>
  <c r="K964" i="1"/>
  <c r="E964" i="1"/>
  <c r="B964" i="1"/>
  <c r="U963" i="1"/>
  <c r="K963" i="1"/>
  <c r="E963" i="1"/>
  <c r="B963" i="1"/>
  <c r="U962" i="1"/>
  <c r="K962" i="1"/>
  <c r="E962" i="1"/>
  <c r="B962" i="1"/>
  <c r="U961" i="1"/>
  <c r="K961" i="1"/>
  <c r="E961" i="1"/>
  <c r="B961" i="1"/>
  <c r="U960" i="1"/>
  <c r="K960" i="1"/>
  <c r="E960" i="1"/>
  <c r="B960" i="1"/>
  <c r="U959" i="1"/>
  <c r="K959" i="1"/>
  <c r="E959" i="1"/>
  <c r="B959" i="1"/>
  <c r="U958" i="1"/>
  <c r="K958" i="1"/>
  <c r="E958" i="1"/>
  <c r="B958" i="1"/>
  <c r="U957" i="1"/>
  <c r="K957" i="1"/>
  <c r="E957" i="1"/>
  <c r="B957" i="1"/>
  <c r="U956" i="1"/>
  <c r="K956" i="1"/>
  <c r="E956" i="1"/>
  <c r="B956" i="1"/>
  <c r="U955" i="1"/>
  <c r="K955" i="1"/>
  <c r="E955" i="1"/>
  <c r="B955" i="1"/>
  <c r="U954" i="1"/>
  <c r="K954" i="1"/>
  <c r="E954" i="1"/>
  <c r="B954" i="1"/>
  <c r="U953" i="1"/>
  <c r="K953" i="1"/>
  <c r="E953" i="1"/>
  <c r="B953" i="1"/>
  <c r="U952" i="1"/>
  <c r="K952" i="1"/>
  <c r="E952" i="1"/>
  <c r="B952" i="1"/>
  <c r="U951" i="1"/>
  <c r="K951" i="1"/>
  <c r="E951" i="1"/>
  <c r="B951" i="1"/>
  <c r="U950" i="1"/>
  <c r="K950" i="1"/>
  <c r="E950" i="1"/>
  <c r="B950" i="1"/>
  <c r="U949" i="1"/>
  <c r="K949" i="1"/>
  <c r="E949" i="1"/>
  <c r="B949" i="1"/>
  <c r="U948" i="1"/>
  <c r="K948" i="1"/>
  <c r="E948" i="1"/>
  <c r="B948" i="1"/>
  <c r="U947" i="1"/>
  <c r="K947" i="1"/>
  <c r="E947" i="1"/>
  <c r="B947" i="1"/>
  <c r="U946" i="1"/>
  <c r="K946" i="1"/>
  <c r="E946" i="1"/>
  <c r="B946" i="1"/>
  <c r="U945" i="1"/>
  <c r="K945" i="1"/>
  <c r="E945" i="1"/>
  <c r="B945" i="1"/>
  <c r="U944" i="1"/>
  <c r="K944" i="1"/>
  <c r="E944" i="1"/>
  <c r="B944" i="1"/>
  <c r="U943" i="1"/>
  <c r="K943" i="1"/>
  <c r="E943" i="1"/>
  <c r="B943" i="1"/>
  <c r="U942" i="1"/>
  <c r="K942" i="1"/>
  <c r="E942" i="1"/>
  <c r="B942" i="1"/>
  <c r="U941" i="1"/>
  <c r="K941" i="1"/>
  <c r="E941" i="1"/>
  <c r="B941" i="1"/>
  <c r="U940" i="1"/>
  <c r="K940" i="1"/>
  <c r="E940" i="1"/>
  <c r="B940" i="1"/>
  <c r="U939" i="1"/>
  <c r="K939" i="1"/>
  <c r="E939" i="1"/>
  <c r="B939" i="1"/>
  <c r="U938" i="1"/>
  <c r="K938" i="1"/>
  <c r="E938" i="1"/>
  <c r="B938" i="1"/>
  <c r="U937" i="1"/>
  <c r="K937" i="1"/>
  <c r="E937" i="1"/>
  <c r="B937" i="1"/>
  <c r="U936" i="1"/>
  <c r="K936" i="1"/>
  <c r="E936" i="1"/>
  <c r="B936" i="1"/>
  <c r="U935" i="1"/>
  <c r="K935" i="1"/>
  <c r="E935" i="1"/>
  <c r="B935" i="1"/>
  <c r="U934" i="1"/>
  <c r="K934" i="1"/>
  <c r="E934" i="1"/>
  <c r="B934" i="1"/>
  <c r="U933" i="1"/>
  <c r="K933" i="1"/>
  <c r="E933" i="1"/>
  <c r="B933" i="1"/>
  <c r="U932" i="1"/>
  <c r="K932" i="1"/>
  <c r="E932" i="1"/>
  <c r="B932" i="1"/>
  <c r="U931" i="1"/>
  <c r="K931" i="1"/>
  <c r="E931" i="1"/>
  <c r="B931" i="1"/>
  <c r="U930" i="1"/>
  <c r="K930" i="1"/>
  <c r="E930" i="1"/>
  <c r="B930" i="1"/>
  <c r="U929" i="1"/>
  <c r="K929" i="1"/>
  <c r="E929" i="1"/>
  <c r="B929" i="1"/>
  <c r="U928" i="1"/>
  <c r="K928" i="1"/>
  <c r="E928" i="1"/>
  <c r="B928" i="1"/>
  <c r="U927" i="1"/>
  <c r="K927" i="1"/>
  <c r="E927" i="1"/>
  <c r="B927" i="1"/>
  <c r="U926" i="1"/>
  <c r="K926" i="1"/>
  <c r="E926" i="1"/>
  <c r="B926" i="1"/>
  <c r="U925" i="1"/>
  <c r="K925" i="1"/>
  <c r="E925" i="1"/>
  <c r="B925" i="1"/>
  <c r="U924" i="1"/>
  <c r="K924" i="1"/>
  <c r="E924" i="1"/>
  <c r="B924" i="1"/>
  <c r="U923" i="1"/>
  <c r="K923" i="1"/>
  <c r="E923" i="1"/>
  <c r="B923" i="1"/>
  <c r="U922" i="1"/>
  <c r="K922" i="1"/>
  <c r="E922" i="1"/>
  <c r="B922" i="1"/>
  <c r="U921" i="1"/>
  <c r="K921" i="1"/>
  <c r="E921" i="1"/>
  <c r="B921" i="1"/>
  <c r="U920" i="1"/>
  <c r="K920" i="1"/>
  <c r="E920" i="1"/>
  <c r="B920" i="1"/>
  <c r="U919" i="1"/>
  <c r="K919" i="1"/>
  <c r="E919" i="1"/>
  <c r="B919" i="1"/>
  <c r="U918" i="1"/>
  <c r="K918" i="1"/>
  <c r="E918" i="1"/>
  <c r="B918" i="1"/>
  <c r="U917" i="1"/>
  <c r="K917" i="1"/>
  <c r="E917" i="1"/>
  <c r="B917" i="1"/>
  <c r="U916" i="1"/>
  <c r="K916" i="1"/>
  <c r="E916" i="1"/>
  <c r="B916" i="1"/>
  <c r="U915" i="1"/>
  <c r="K915" i="1"/>
  <c r="E915" i="1"/>
  <c r="B915" i="1"/>
  <c r="U914" i="1"/>
  <c r="K914" i="1"/>
  <c r="E914" i="1"/>
  <c r="B914" i="1"/>
  <c r="U913" i="1"/>
  <c r="K913" i="1"/>
  <c r="E913" i="1"/>
  <c r="B913" i="1"/>
  <c r="U912" i="1"/>
  <c r="K912" i="1"/>
  <c r="E912" i="1"/>
  <c r="B912" i="1"/>
  <c r="U911" i="1"/>
  <c r="K911" i="1"/>
  <c r="E911" i="1"/>
  <c r="B911" i="1"/>
  <c r="U910" i="1"/>
  <c r="K910" i="1"/>
  <c r="E910" i="1"/>
  <c r="B910" i="1"/>
  <c r="U909" i="1"/>
  <c r="K909" i="1"/>
  <c r="E909" i="1"/>
  <c r="B909" i="1"/>
  <c r="U908" i="1"/>
  <c r="K908" i="1"/>
  <c r="E908" i="1"/>
  <c r="B908" i="1"/>
  <c r="U907" i="1"/>
  <c r="K907" i="1"/>
  <c r="E907" i="1"/>
  <c r="B907" i="1"/>
  <c r="U906" i="1"/>
  <c r="K906" i="1"/>
  <c r="E906" i="1"/>
  <c r="B906" i="1"/>
  <c r="U905" i="1"/>
  <c r="K905" i="1"/>
  <c r="E905" i="1"/>
  <c r="B905" i="1"/>
  <c r="U904" i="1"/>
  <c r="K904" i="1"/>
  <c r="E904" i="1"/>
  <c r="B904" i="1"/>
  <c r="U903" i="1"/>
  <c r="K903" i="1"/>
  <c r="E903" i="1"/>
  <c r="B903" i="1"/>
  <c r="U902" i="1"/>
  <c r="K902" i="1"/>
  <c r="E902" i="1"/>
  <c r="B902" i="1"/>
  <c r="U901" i="1"/>
  <c r="K901" i="1"/>
  <c r="E901" i="1"/>
  <c r="B901" i="1"/>
  <c r="U900" i="1"/>
  <c r="K900" i="1"/>
  <c r="E900" i="1"/>
  <c r="B900" i="1"/>
  <c r="U899" i="1"/>
  <c r="K899" i="1"/>
  <c r="E899" i="1"/>
  <c r="B899" i="1"/>
  <c r="U898" i="1"/>
  <c r="K898" i="1"/>
  <c r="E898" i="1"/>
  <c r="B898" i="1"/>
  <c r="U897" i="1"/>
  <c r="K897" i="1"/>
  <c r="E897" i="1"/>
  <c r="B897" i="1"/>
  <c r="U896" i="1"/>
  <c r="K896" i="1"/>
  <c r="E896" i="1"/>
  <c r="B896" i="1"/>
  <c r="U895" i="1"/>
  <c r="K895" i="1"/>
  <c r="E895" i="1"/>
  <c r="B895" i="1"/>
  <c r="U894" i="1"/>
  <c r="K894" i="1"/>
  <c r="E894" i="1"/>
  <c r="B894" i="1"/>
  <c r="U893" i="1"/>
  <c r="K893" i="1"/>
  <c r="E893" i="1"/>
  <c r="B893" i="1"/>
  <c r="U892" i="1"/>
  <c r="K892" i="1"/>
  <c r="E892" i="1"/>
  <c r="B892" i="1"/>
  <c r="U891" i="1"/>
  <c r="K891" i="1"/>
  <c r="E891" i="1"/>
  <c r="B891" i="1"/>
  <c r="U890" i="1"/>
  <c r="K890" i="1"/>
  <c r="E890" i="1"/>
  <c r="B890" i="1"/>
  <c r="U889" i="1"/>
  <c r="K889" i="1"/>
  <c r="E889" i="1"/>
  <c r="B889" i="1"/>
  <c r="U888" i="1"/>
  <c r="K888" i="1"/>
  <c r="E888" i="1"/>
  <c r="B888" i="1"/>
  <c r="U887" i="1"/>
  <c r="K887" i="1"/>
  <c r="E887" i="1"/>
  <c r="B887" i="1"/>
  <c r="U886" i="1"/>
  <c r="K886" i="1"/>
  <c r="E886" i="1"/>
  <c r="B886" i="1"/>
  <c r="U885" i="1"/>
  <c r="K885" i="1"/>
  <c r="E885" i="1"/>
  <c r="B885" i="1"/>
  <c r="U884" i="1"/>
  <c r="K884" i="1"/>
  <c r="E884" i="1"/>
  <c r="B884" i="1"/>
  <c r="U883" i="1"/>
  <c r="K883" i="1"/>
  <c r="E883" i="1"/>
  <c r="B883" i="1"/>
  <c r="U882" i="1"/>
  <c r="K882" i="1"/>
  <c r="E882" i="1"/>
  <c r="B882" i="1"/>
  <c r="U881" i="1"/>
  <c r="K881" i="1"/>
  <c r="E881" i="1"/>
  <c r="B881" i="1"/>
  <c r="U880" i="1"/>
  <c r="K880" i="1"/>
  <c r="E880" i="1"/>
  <c r="B880" i="1"/>
  <c r="U879" i="1"/>
  <c r="K879" i="1"/>
  <c r="E879" i="1"/>
  <c r="B879" i="1"/>
  <c r="U878" i="1"/>
  <c r="K878" i="1"/>
  <c r="E878" i="1"/>
  <c r="B878" i="1"/>
  <c r="U877" i="1"/>
  <c r="K877" i="1"/>
  <c r="E877" i="1"/>
  <c r="B877" i="1"/>
  <c r="U876" i="1"/>
  <c r="K876" i="1"/>
  <c r="E876" i="1"/>
  <c r="B876" i="1"/>
  <c r="U875" i="1"/>
  <c r="K875" i="1"/>
  <c r="E875" i="1"/>
  <c r="B875" i="1"/>
  <c r="K874" i="1"/>
  <c r="E874" i="1"/>
  <c r="B874" i="1"/>
  <c r="U873" i="1"/>
  <c r="K873" i="1"/>
  <c r="E873" i="1"/>
  <c r="B873" i="1"/>
  <c r="U872" i="1"/>
  <c r="K872" i="1"/>
  <c r="E872" i="1"/>
  <c r="B872" i="1"/>
  <c r="U871" i="1"/>
  <c r="K871" i="1"/>
  <c r="E871" i="1"/>
  <c r="B871" i="1"/>
  <c r="U870" i="1"/>
  <c r="K870" i="1"/>
  <c r="E870" i="1"/>
  <c r="B870" i="1"/>
  <c r="U869" i="1"/>
  <c r="K869" i="1"/>
  <c r="E869" i="1"/>
  <c r="B869" i="1"/>
  <c r="U868" i="1"/>
  <c r="K868" i="1"/>
  <c r="E868" i="1"/>
  <c r="B868" i="1"/>
  <c r="U867" i="1"/>
  <c r="K867" i="1"/>
  <c r="E867" i="1"/>
  <c r="B867" i="1"/>
  <c r="U866" i="1"/>
  <c r="K866" i="1"/>
  <c r="E866" i="1"/>
  <c r="B866" i="1"/>
  <c r="U865" i="1"/>
  <c r="K865" i="1"/>
  <c r="E865" i="1"/>
  <c r="B865" i="1"/>
  <c r="U864" i="1"/>
  <c r="K864" i="1"/>
  <c r="E864" i="1"/>
  <c r="B864" i="1"/>
  <c r="U863" i="1"/>
  <c r="K863" i="1"/>
  <c r="E863" i="1"/>
  <c r="B863" i="1"/>
  <c r="U862" i="1"/>
  <c r="K862" i="1"/>
  <c r="E862" i="1"/>
  <c r="B862" i="1"/>
  <c r="U861" i="1"/>
  <c r="K861" i="1"/>
  <c r="E861" i="1"/>
  <c r="B861" i="1"/>
  <c r="U860" i="1"/>
  <c r="K860" i="1"/>
  <c r="E860" i="1"/>
  <c r="B860" i="1"/>
  <c r="U859" i="1"/>
  <c r="K859" i="1"/>
  <c r="E859" i="1"/>
  <c r="B859" i="1"/>
  <c r="U858" i="1"/>
  <c r="K858" i="1"/>
  <c r="E858" i="1"/>
  <c r="B858" i="1"/>
  <c r="U857" i="1"/>
  <c r="K857" i="1"/>
  <c r="E857" i="1"/>
  <c r="B857" i="1"/>
  <c r="U856" i="1"/>
  <c r="K856" i="1"/>
  <c r="E856" i="1"/>
  <c r="B856" i="1"/>
  <c r="U855" i="1"/>
  <c r="K855" i="1"/>
  <c r="E855" i="1"/>
  <c r="B855" i="1"/>
  <c r="U854" i="1"/>
  <c r="K854" i="1"/>
  <c r="E854" i="1"/>
  <c r="B854" i="1"/>
  <c r="U853" i="1"/>
  <c r="K853" i="1"/>
  <c r="E853" i="1"/>
  <c r="B853" i="1"/>
  <c r="U852" i="1"/>
  <c r="K852" i="1"/>
  <c r="E852" i="1"/>
  <c r="B852" i="1"/>
  <c r="U851" i="1"/>
  <c r="K851" i="1"/>
  <c r="E851" i="1"/>
  <c r="B851" i="1"/>
  <c r="U850" i="1"/>
  <c r="K850" i="1"/>
  <c r="E850" i="1"/>
  <c r="B850" i="1"/>
  <c r="U849" i="1"/>
  <c r="K849" i="1"/>
  <c r="E849" i="1"/>
  <c r="B849" i="1"/>
  <c r="U848" i="1"/>
  <c r="K848" i="1"/>
  <c r="E848" i="1"/>
  <c r="B848" i="1"/>
  <c r="U847" i="1"/>
  <c r="K847" i="1"/>
  <c r="E847" i="1"/>
  <c r="B847" i="1"/>
  <c r="U846" i="1"/>
  <c r="K846" i="1"/>
  <c r="E846" i="1"/>
  <c r="B846" i="1"/>
  <c r="U845" i="1"/>
  <c r="K845" i="1"/>
  <c r="E845" i="1"/>
  <c r="B845" i="1"/>
  <c r="U844" i="1"/>
  <c r="K844" i="1"/>
  <c r="E844" i="1"/>
  <c r="B844" i="1"/>
  <c r="U843" i="1"/>
  <c r="K843" i="1"/>
  <c r="E843" i="1"/>
  <c r="B843" i="1"/>
  <c r="U842" i="1"/>
  <c r="K842" i="1"/>
  <c r="E842" i="1"/>
  <c r="B842" i="1"/>
  <c r="U841" i="1"/>
  <c r="K841" i="1"/>
  <c r="E841" i="1"/>
  <c r="B841" i="1"/>
  <c r="U840" i="1"/>
  <c r="K840" i="1"/>
  <c r="E840" i="1"/>
  <c r="B840" i="1"/>
  <c r="U839" i="1"/>
  <c r="K839" i="1"/>
  <c r="E839" i="1"/>
  <c r="B839" i="1"/>
  <c r="U838" i="1"/>
  <c r="K838" i="1"/>
  <c r="E838" i="1"/>
  <c r="B838" i="1"/>
  <c r="U837" i="1"/>
  <c r="K837" i="1"/>
  <c r="E837" i="1"/>
  <c r="B837" i="1"/>
  <c r="U836" i="1"/>
  <c r="K836" i="1"/>
  <c r="E836" i="1"/>
  <c r="B836" i="1"/>
  <c r="U835" i="1"/>
  <c r="K835" i="1"/>
  <c r="E835" i="1"/>
  <c r="B835" i="1"/>
  <c r="U834" i="1"/>
  <c r="K834" i="1"/>
  <c r="E834" i="1"/>
  <c r="B834" i="1"/>
  <c r="U833" i="1"/>
  <c r="K833" i="1"/>
  <c r="E833" i="1"/>
  <c r="B833" i="1"/>
  <c r="U832" i="1"/>
  <c r="K832" i="1"/>
  <c r="E832" i="1"/>
  <c r="B832" i="1"/>
  <c r="U831" i="1"/>
  <c r="K831" i="1"/>
  <c r="E831" i="1"/>
  <c r="B831" i="1"/>
  <c r="U830" i="1"/>
  <c r="K830" i="1"/>
  <c r="E830" i="1"/>
  <c r="B830" i="1"/>
  <c r="U829" i="1"/>
  <c r="K829" i="1"/>
  <c r="E829" i="1"/>
  <c r="B829" i="1"/>
  <c r="U828" i="1"/>
  <c r="K828" i="1"/>
  <c r="E828" i="1"/>
  <c r="B828" i="1"/>
  <c r="U827" i="1"/>
  <c r="K827" i="1"/>
  <c r="E827" i="1"/>
  <c r="B827" i="1"/>
  <c r="U826" i="1"/>
  <c r="K826" i="1"/>
  <c r="E826" i="1"/>
  <c r="B826" i="1"/>
  <c r="U825" i="1"/>
  <c r="K825" i="1"/>
  <c r="E825" i="1"/>
  <c r="B825" i="1"/>
  <c r="U824" i="1"/>
  <c r="K824" i="1"/>
  <c r="E824" i="1"/>
  <c r="B824" i="1"/>
  <c r="U823" i="1"/>
  <c r="K823" i="1"/>
  <c r="E823" i="1"/>
  <c r="B823" i="1"/>
  <c r="U822" i="1"/>
  <c r="K822" i="1"/>
  <c r="E822" i="1"/>
  <c r="B822" i="1"/>
  <c r="U821" i="1"/>
  <c r="K821" i="1"/>
  <c r="E821" i="1"/>
  <c r="B821" i="1"/>
  <c r="U820" i="1"/>
  <c r="K820" i="1"/>
  <c r="E820" i="1"/>
  <c r="B820" i="1"/>
  <c r="U819" i="1"/>
  <c r="K819" i="1"/>
  <c r="E819" i="1"/>
  <c r="B819" i="1"/>
  <c r="U818" i="1"/>
  <c r="K818" i="1"/>
  <c r="E818" i="1"/>
  <c r="B818" i="1"/>
  <c r="U817" i="1"/>
  <c r="K817" i="1"/>
  <c r="E817" i="1"/>
  <c r="B817" i="1"/>
  <c r="U816" i="1"/>
  <c r="K816" i="1"/>
  <c r="E816" i="1"/>
  <c r="B816" i="1"/>
  <c r="U815" i="1"/>
  <c r="K815" i="1"/>
  <c r="E815" i="1"/>
  <c r="B815" i="1"/>
  <c r="U814" i="1"/>
  <c r="K814" i="1"/>
  <c r="E814" i="1"/>
  <c r="B814" i="1"/>
  <c r="U813" i="1"/>
  <c r="K813" i="1"/>
  <c r="E813" i="1"/>
  <c r="B813" i="1"/>
  <c r="U812" i="1"/>
  <c r="K812" i="1"/>
  <c r="E812" i="1"/>
  <c r="B812" i="1"/>
  <c r="U811" i="1"/>
  <c r="K811" i="1"/>
  <c r="E811" i="1"/>
  <c r="B811" i="1"/>
  <c r="U810" i="1"/>
  <c r="K810" i="1"/>
  <c r="E810" i="1"/>
  <c r="B810" i="1"/>
  <c r="U809" i="1"/>
  <c r="K809" i="1"/>
  <c r="E809" i="1"/>
  <c r="B809" i="1"/>
  <c r="U808" i="1"/>
  <c r="K808" i="1"/>
  <c r="E808" i="1"/>
  <c r="B808" i="1"/>
  <c r="U807" i="1"/>
  <c r="K807" i="1"/>
  <c r="E807" i="1"/>
  <c r="B807" i="1"/>
  <c r="U806" i="1"/>
  <c r="K806" i="1"/>
  <c r="E806" i="1"/>
  <c r="B806" i="1"/>
  <c r="U805" i="1"/>
  <c r="K805" i="1"/>
  <c r="E805" i="1"/>
  <c r="B805" i="1"/>
  <c r="U804" i="1"/>
  <c r="K804" i="1"/>
  <c r="E804" i="1"/>
  <c r="B804" i="1"/>
  <c r="U803" i="1"/>
  <c r="K803" i="1"/>
  <c r="E803" i="1"/>
  <c r="B803" i="1"/>
  <c r="U802" i="1"/>
  <c r="K802" i="1"/>
  <c r="E802" i="1"/>
  <c r="B802" i="1"/>
  <c r="U801" i="1"/>
  <c r="K801" i="1"/>
  <c r="E801" i="1"/>
  <c r="B801" i="1"/>
  <c r="U800" i="1"/>
  <c r="K800" i="1"/>
  <c r="E800" i="1"/>
  <c r="B800" i="1"/>
  <c r="U799" i="1"/>
  <c r="K799" i="1"/>
  <c r="E799" i="1"/>
  <c r="B799" i="1"/>
  <c r="U798" i="1"/>
  <c r="K798" i="1"/>
  <c r="E798" i="1"/>
  <c r="B798" i="1"/>
  <c r="U797" i="1"/>
  <c r="K797" i="1"/>
  <c r="E797" i="1"/>
  <c r="B797" i="1"/>
  <c r="U796" i="1"/>
  <c r="K796" i="1"/>
  <c r="E796" i="1"/>
  <c r="B796" i="1"/>
  <c r="U795" i="1"/>
  <c r="K795" i="1"/>
  <c r="E795" i="1"/>
  <c r="B795" i="1"/>
  <c r="U794" i="1"/>
  <c r="K794" i="1"/>
  <c r="E794" i="1"/>
  <c r="B794" i="1"/>
  <c r="U793" i="1"/>
  <c r="K793" i="1"/>
  <c r="E793" i="1"/>
  <c r="B793" i="1"/>
  <c r="U792" i="1"/>
  <c r="K792" i="1"/>
  <c r="E792" i="1"/>
  <c r="B792" i="1"/>
  <c r="U791" i="1"/>
  <c r="K791" i="1"/>
  <c r="E791" i="1"/>
  <c r="B791" i="1"/>
  <c r="U790" i="1"/>
  <c r="K790" i="1"/>
  <c r="E790" i="1"/>
  <c r="B790" i="1"/>
  <c r="U789" i="1"/>
  <c r="K789" i="1"/>
  <c r="E789" i="1"/>
  <c r="B789" i="1"/>
  <c r="U788" i="1"/>
  <c r="K788" i="1"/>
  <c r="E788" i="1"/>
  <c r="B788" i="1"/>
  <c r="U787" i="1"/>
  <c r="K787" i="1"/>
  <c r="E787" i="1"/>
  <c r="B787" i="1"/>
  <c r="U786" i="1"/>
  <c r="K786" i="1"/>
  <c r="E786" i="1"/>
  <c r="B786" i="1"/>
  <c r="U785" i="1"/>
  <c r="K785" i="1"/>
  <c r="E785" i="1"/>
  <c r="B785" i="1"/>
  <c r="U784" i="1"/>
  <c r="K784" i="1"/>
  <c r="E784" i="1"/>
  <c r="B784" i="1"/>
  <c r="U783" i="1"/>
  <c r="K783" i="1"/>
  <c r="E783" i="1"/>
  <c r="B783" i="1"/>
  <c r="U782" i="1"/>
  <c r="K782" i="1"/>
  <c r="E782" i="1"/>
  <c r="B782" i="1"/>
  <c r="U781" i="1"/>
  <c r="K781" i="1"/>
  <c r="E781" i="1"/>
  <c r="B781" i="1"/>
  <c r="U780" i="1"/>
  <c r="K780" i="1"/>
  <c r="E780" i="1"/>
  <c r="B780" i="1"/>
  <c r="U779" i="1"/>
  <c r="K779" i="1"/>
  <c r="E779" i="1"/>
  <c r="B779" i="1"/>
  <c r="U778" i="1"/>
  <c r="K778" i="1"/>
  <c r="E778" i="1"/>
  <c r="B778" i="1"/>
  <c r="U777" i="1"/>
  <c r="K777" i="1"/>
  <c r="E777" i="1"/>
  <c r="B777" i="1"/>
  <c r="U776" i="1"/>
  <c r="K776" i="1"/>
  <c r="E776" i="1"/>
  <c r="B776" i="1"/>
  <c r="U775" i="1"/>
  <c r="K775" i="1"/>
  <c r="E775" i="1"/>
  <c r="B775" i="1"/>
  <c r="U774" i="1"/>
  <c r="K774" i="1"/>
  <c r="E774" i="1"/>
  <c r="B774" i="1"/>
  <c r="U773" i="1"/>
  <c r="K773" i="1"/>
  <c r="E773" i="1"/>
  <c r="B773" i="1"/>
  <c r="U772" i="1"/>
  <c r="K772" i="1"/>
  <c r="E772" i="1"/>
  <c r="B772" i="1"/>
  <c r="U771" i="1"/>
  <c r="K771" i="1"/>
  <c r="E771" i="1"/>
  <c r="B771" i="1"/>
  <c r="U770" i="1"/>
  <c r="K770" i="1"/>
  <c r="E770" i="1"/>
  <c r="B770" i="1"/>
  <c r="U769" i="1"/>
  <c r="K769" i="1"/>
  <c r="E769" i="1"/>
  <c r="B769" i="1"/>
  <c r="U768" i="1"/>
  <c r="K768" i="1"/>
  <c r="E768" i="1"/>
  <c r="B768" i="1"/>
  <c r="U767" i="1"/>
  <c r="K767" i="1"/>
  <c r="E767" i="1"/>
  <c r="B767" i="1"/>
  <c r="U766" i="1"/>
  <c r="K766" i="1"/>
  <c r="E766" i="1"/>
  <c r="B766" i="1"/>
  <c r="U765" i="1"/>
  <c r="K765" i="1"/>
  <c r="E765" i="1"/>
  <c r="B765" i="1"/>
  <c r="U764" i="1"/>
  <c r="K764" i="1"/>
  <c r="E764" i="1"/>
  <c r="B764" i="1"/>
  <c r="U763" i="1"/>
  <c r="K763" i="1"/>
  <c r="E763" i="1"/>
  <c r="B763" i="1"/>
  <c r="U762" i="1"/>
  <c r="K762" i="1"/>
  <c r="E762" i="1"/>
  <c r="B762" i="1"/>
  <c r="U761" i="1"/>
  <c r="K761" i="1"/>
  <c r="E761" i="1"/>
  <c r="B761" i="1"/>
  <c r="U760" i="1"/>
  <c r="K760" i="1"/>
  <c r="E760" i="1"/>
  <c r="B760" i="1"/>
  <c r="U759" i="1"/>
  <c r="K759" i="1"/>
  <c r="E759" i="1"/>
  <c r="B759" i="1"/>
  <c r="U758" i="1"/>
  <c r="K758" i="1"/>
  <c r="E758" i="1"/>
  <c r="B758" i="1"/>
  <c r="U757" i="1"/>
  <c r="K757" i="1"/>
  <c r="E757" i="1"/>
  <c r="B757" i="1"/>
  <c r="U756" i="1"/>
  <c r="K756" i="1"/>
  <c r="E756" i="1"/>
  <c r="B756" i="1"/>
  <c r="U755" i="1"/>
  <c r="K755" i="1"/>
  <c r="E755" i="1"/>
  <c r="B755" i="1"/>
  <c r="U754" i="1"/>
  <c r="K754" i="1"/>
  <c r="E754" i="1"/>
  <c r="B754" i="1"/>
  <c r="U753" i="1"/>
  <c r="K753" i="1"/>
  <c r="E753" i="1"/>
  <c r="B753" i="1"/>
  <c r="U752" i="1"/>
  <c r="K752" i="1"/>
  <c r="E752" i="1"/>
  <c r="B752" i="1"/>
  <c r="U751" i="1"/>
  <c r="K751" i="1"/>
  <c r="E751" i="1"/>
  <c r="B751" i="1"/>
  <c r="U750" i="1"/>
  <c r="K750" i="1"/>
  <c r="E750" i="1"/>
  <c r="B750" i="1"/>
  <c r="U749" i="1"/>
  <c r="K749" i="1"/>
  <c r="E749" i="1"/>
  <c r="B749" i="1"/>
  <c r="U748" i="1"/>
  <c r="K748" i="1"/>
  <c r="E748" i="1"/>
  <c r="B748" i="1"/>
  <c r="U747" i="1"/>
  <c r="K747" i="1"/>
  <c r="E747" i="1"/>
  <c r="B747" i="1"/>
  <c r="U746" i="1"/>
  <c r="K746" i="1"/>
  <c r="E746" i="1"/>
  <c r="B746" i="1"/>
  <c r="U745" i="1"/>
  <c r="K745" i="1"/>
  <c r="E745" i="1"/>
  <c r="B745" i="1"/>
  <c r="U744" i="1"/>
  <c r="K744" i="1"/>
  <c r="E744" i="1"/>
  <c r="B744" i="1"/>
  <c r="U743" i="1"/>
  <c r="K743" i="1"/>
  <c r="E743" i="1"/>
  <c r="B743" i="1"/>
  <c r="U742" i="1"/>
  <c r="K742" i="1"/>
  <c r="E742" i="1"/>
  <c r="B742" i="1"/>
  <c r="U741" i="1"/>
  <c r="K741" i="1"/>
  <c r="E741" i="1"/>
  <c r="B741" i="1"/>
  <c r="U740" i="1"/>
  <c r="K740" i="1"/>
  <c r="E740" i="1"/>
  <c r="B740" i="1"/>
  <c r="U739" i="1"/>
  <c r="K739" i="1"/>
  <c r="E739" i="1"/>
  <c r="B739" i="1"/>
  <c r="K738" i="1"/>
  <c r="E738" i="1"/>
  <c r="B738" i="1"/>
  <c r="U737" i="1"/>
  <c r="K737" i="1"/>
  <c r="E737" i="1"/>
  <c r="B737" i="1"/>
  <c r="U736" i="1"/>
  <c r="K736" i="1"/>
  <c r="E736" i="1"/>
  <c r="B736" i="1"/>
  <c r="U735" i="1"/>
  <c r="K735" i="1"/>
  <c r="E735" i="1"/>
  <c r="B735" i="1"/>
  <c r="U734" i="1"/>
  <c r="K734" i="1"/>
  <c r="E734" i="1"/>
  <c r="B734" i="1"/>
  <c r="U733" i="1"/>
  <c r="K733" i="1"/>
  <c r="E733" i="1"/>
  <c r="B733" i="1"/>
  <c r="U732" i="1"/>
  <c r="K732" i="1"/>
  <c r="E732" i="1"/>
  <c r="B732" i="1"/>
  <c r="U731" i="1"/>
  <c r="K731" i="1"/>
  <c r="E731" i="1"/>
  <c r="B731" i="1"/>
  <c r="U730" i="1"/>
  <c r="K730" i="1"/>
  <c r="E730" i="1"/>
  <c r="B730" i="1"/>
  <c r="U729" i="1"/>
  <c r="K729" i="1"/>
  <c r="E729" i="1"/>
  <c r="B729" i="1"/>
  <c r="U728" i="1"/>
  <c r="K728" i="1"/>
  <c r="E728" i="1"/>
  <c r="B728" i="1"/>
  <c r="U727" i="1"/>
  <c r="K727" i="1"/>
  <c r="E727" i="1"/>
  <c r="B727" i="1"/>
  <c r="U726" i="1"/>
  <c r="K726" i="1"/>
  <c r="E726" i="1"/>
  <c r="B726" i="1"/>
  <c r="U725" i="1"/>
  <c r="K725" i="1"/>
  <c r="E725" i="1"/>
  <c r="B725" i="1"/>
  <c r="U724" i="1"/>
  <c r="K724" i="1"/>
  <c r="E724" i="1"/>
  <c r="B724" i="1"/>
  <c r="U723" i="1"/>
  <c r="K723" i="1"/>
  <c r="E723" i="1"/>
  <c r="B723" i="1"/>
  <c r="U722" i="1"/>
  <c r="K722" i="1"/>
  <c r="E722" i="1"/>
  <c r="B722" i="1"/>
  <c r="U721" i="1"/>
  <c r="K721" i="1"/>
  <c r="E721" i="1"/>
  <c r="B721" i="1"/>
  <c r="U720" i="1"/>
  <c r="K720" i="1"/>
  <c r="E720" i="1"/>
  <c r="B720" i="1"/>
  <c r="U719" i="1"/>
  <c r="K719" i="1"/>
  <c r="E719" i="1"/>
  <c r="B719" i="1"/>
  <c r="U718" i="1"/>
  <c r="K718" i="1"/>
  <c r="E718" i="1"/>
  <c r="B718" i="1"/>
  <c r="U717" i="1"/>
  <c r="K717" i="1"/>
  <c r="E717" i="1"/>
  <c r="B717" i="1"/>
  <c r="U716" i="1"/>
  <c r="K716" i="1"/>
  <c r="E716" i="1"/>
  <c r="B716" i="1"/>
  <c r="U715" i="1"/>
  <c r="K715" i="1"/>
  <c r="E715" i="1"/>
  <c r="B715" i="1"/>
  <c r="U714" i="1"/>
  <c r="K714" i="1"/>
  <c r="E714" i="1"/>
  <c r="B714" i="1"/>
  <c r="U713" i="1"/>
  <c r="K713" i="1"/>
  <c r="E713" i="1"/>
  <c r="B713" i="1"/>
  <c r="U712" i="1"/>
  <c r="K712" i="1"/>
  <c r="E712" i="1"/>
  <c r="B712" i="1"/>
  <c r="U711" i="1"/>
  <c r="K711" i="1"/>
  <c r="E711" i="1"/>
  <c r="B711" i="1"/>
  <c r="U710" i="1"/>
  <c r="K710" i="1"/>
  <c r="E710" i="1"/>
  <c r="B710" i="1"/>
  <c r="U709" i="1"/>
  <c r="K709" i="1"/>
  <c r="E709" i="1"/>
  <c r="B709" i="1"/>
  <c r="U708" i="1"/>
  <c r="K708" i="1"/>
  <c r="E708" i="1"/>
  <c r="B708" i="1"/>
  <c r="U707" i="1"/>
  <c r="K707" i="1"/>
  <c r="E707" i="1"/>
  <c r="B707" i="1"/>
  <c r="U706" i="1"/>
  <c r="K706" i="1"/>
  <c r="E706" i="1"/>
  <c r="B706" i="1"/>
  <c r="U705" i="1"/>
  <c r="K705" i="1"/>
  <c r="E705" i="1"/>
  <c r="B705" i="1"/>
  <c r="U704" i="1"/>
  <c r="K704" i="1"/>
  <c r="E704" i="1"/>
  <c r="B704" i="1"/>
  <c r="U703" i="1"/>
  <c r="K703" i="1"/>
  <c r="E703" i="1"/>
  <c r="B703" i="1"/>
  <c r="U702" i="1"/>
  <c r="K702" i="1"/>
  <c r="E702" i="1"/>
  <c r="B702" i="1"/>
  <c r="U701" i="1"/>
  <c r="K701" i="1"/>
  <c r="E701" i="1"/>
  <c r="B701" i="1"/>
  <c r="U700" i="1"/>
  <c r="K700" i="1"/>
  <c r="E700" i="1"/>
  <c r="B700" i="1"/>
  <c r="U699" i="1"/>
  <c r="K699" i="1"/>
  <c r="E699" i="1"/>
  <c r="B699" i="1"/>
  <c r="U698" i="1"/>
  <c r="K698" i="1"/>
  <c r="E698" i="1"/>
  <c r="B698" i="1"/>
  <c r="U697" i="1"/>
  <c r="K697" i="1"/>
  <c r="E697" i="1"/>
  <c r="B697" i="1"/>
  <c r="U696" i="1"/>
  <c r="K696" i="1"/>
  <c r="E696" i="1"/>
  <c r="B696" i="1"/>
  <c r="U695" i="1"/>
  <c r="K695" i="1"/>
  <c r="E695" i="1"/>
  <c r="B695" i="1"/>
  <c r="U694" i="1"/>
  <c r="K694" i="1"/>
  <c r="E694" i="1"/>
  <c r="B694" i="1"/>
  <c r="U693" i="1"/>
  <c r="K693" i="1"/>
  <c r="E693" i="1"/>
  <c r="B693" i="1"/>
  <c r="U692" i="1"/>
  <c r="K692" i="1"/>
  <c r="E692" i="1"/>
  <c r="B692" i="1"/>
  <c r="U691" i="1"/>
  <c r="K691" i="1"/>
  <c r="E691" i="1"/>
  <c r="B691" i="1"/>
  <c r="U690" i="1"/>
  <c r="K690" i="1"/>
  <c r="E690" i="1"/>
  <c r="B690" i="1"/>
  <c r="U689" i="1"/>
  <c r="K689" i="1"/>
  <c r="E689" i="1"/>
  <c r="B689" i="1"/>
  <c r="U688" i="1"/>
  <c r="K688" i="1"/>
  <c r="E688" i="1"/>
  <c r="B688" i="1"/>
  <c r="U687" i="1"/>
  <c r="K687" i="1"/>
  <c r="E687" i="1"/>
  <c r="B687" i="1"/>
  <c r="U686" i="1"/>
  <c r="K686" i="1"/>
  <c r="E686" i="1"/>
  <c r="B686" i="1"/>
  <c r="U685" i="1"/>
  <c r="K685" i="1"/>
  <c r="E685" i="1"/>
  <c r="B685" i="1"/>
  <c r="U684" i="1"/>
  <c r="K684" i="1"/>
  <c r="E684" i="1"/>
  <c r="B684" i="1"/>
  <c r="U683" i="1"/>
  <c r="K683" i="1"/>
  <c r="E683" i="1"/>
  <c r="B683" i="1"/>
  <c r="U682" i="1"/>
  <c r="K682" i="1"/>
  <c r="E682" i="1"/>
  <c r="B682" i="1"/>
  <c r="U681" i="1"/>
  <c r="K681" i="1"/>
  <c r="E681" i="1"/>
  <c r="B681" i="1"/>
  <c r="U680" i="1"/>
  <c r="K680" i="1"/>
  <c r="E680" i="1"/>
  <c r="B680" i="1"/>
  <c r="U679" i="1"/>
  <c r="K679" i="1"/>
  <c r="E679" i="1"/>
  <c r="B679" i="1"/>
  <c r="U678" i="1"/>
  <c r="K678" i="1"/>
  <c r="E678" i="1"/>
  <c r="B678" i="1"/>
  <c r="U677" i="1"/>
  <c r="K677" i="1"/>
  <c r="E677" i="1"/>
  <c r="B677" i="1"/>
  <c r="U676" i="1"/>
  <c r="K676" i="1"/>
  <c r="E676" i="1"/>
  <c r="B676" i="1"/>
  <c r="U675" i="1"/>
  <c r="K675" i="1"/>
  <c r="E675" i="1"/>
  <c r="B675" i="1"/>
  <c r="U674" i="1"/>
  <c r="K674" i="1"/>
  <c r="E674" i="1"/>
  <c r="B674" i="1"/>
  <c r="U673" i="1"/>
  <c r="K673" i="1"/>
  <c r="E673" i="1"/>
  <c r="B673" i="1"/>
  <c r="U672" i="1"/>
  <c r="K672" i="1"/>
  <c r="E672" i="1"/>
  <c r="B672" i="1"/>
  <c r="U671" i="1"/>
  <c r="K671" i="1"/>
  <c r="E671" i="1"/>
  <c r="B671" i="1"/>
  <c r="U670" i="1"/>
  <c r="K670" i="1"/>
  <c r="E670" i="1"/>
  <c r="B670" i="1"/>
  <c r="U669" i="1"/>
  <c r="K669" i="1"/>
  <c r="E669" i="1"/>
  <c r="B669" i="1"/>
  <c r="U668" i="1"/>
  <c r="K668" i="1"/>
  <c r="E668" i="1"/>
  <c r="B668" i="1"/>
  <c r="K667" i="1"/>
  <c r="E667" i="1"/>
  <c r="B667" i="1"/>
  <c r="U666" i="1"/>
  <c r="K666" i="1"/>
  <c r="E666" i="1"/>
  <c r="B666" i="1"/>
  <c r="U665" i="1"/>
  <c r="K665" i="1"/>
  <c r="E665" i="1"/>
  <c r="B665" i="1"/>
  <c r="U664" i="1"/>
  <c r="K664" i="1"/>
  <c r="E664" i="1"/>
  <c r="B664" i="1"/>
  <c r="U663" i="1"/>
  <c r="K663" i="1"/>
  <c r="E663" i="1"/>
  <c r="B663" i="1"/>
  <c r="U662" i="1"/>
  <c r="K662" i="1"/>
  <c r="E662" i="1"/>
  <c r="B662" i="1"/>
  <c r="U661" i="1"/>
  <c r="K661" i="1"/>
  <c r="E661" i="1"/>
  <c r="B661" i="1"/>
  <c r="U660" i="1"/>
  <c r="K660" i="1"/>
  <c r="E660" i="1"/>
  <c r="B660" i="1"/>
  <c r="U659" i="1"/>
  <c r="K659" i="1"/>
  <c r="E659" i="1"/>
  <c r="B659" i="1"/>
  <c r="U658" i="1"/>
  <c r="K658" i="1"/>
  <c r="E658" i="1"/>
  <c r="B658" i="1"/>
  <c r="U657" i="1"/>
  <c r="K657" i="1"/>
  <c r="E657" i="1"/>
  <c r="B657" i="1"/>
  <c r="U656" i="1"/>
  <c r="K656" i="1"/>
  <c r="E656" i="1"/>
  <c r="B656" i="1"/>
  <c r="U655" i="1"/>
  <c r="K655" i="1"/>
  <c r="E655" i="1"/>
  <c r="B655" i="1"/>
  <c r="U654" i="1"/>
  <c r="K654" i="1"/>
  <c r="E654" i="1"/>
  <c r="B654" i="1"/>
  <c r="U653" i="1"/>
  <c r="K653" i="1"/>
  <c r="E653" i="1"/>
  <c r="B653" i="1"/>
  <c r="U652" i="1"/>
  <c r="K652" i="1"/>
  <c r="E652" i="1"/>
  <c r="B652" i="1"/>
  <c r="U651" i="1"/>
  <c r="K651" i="1"/>
  <c r="E651" i="1"/>
  <c r="B651" i="1"/>
  <c r="U650" i="1"/>
  <c r="K650" i="1"/>
  <c r="E650" i="1"/>
  <c r="B650" i="1"/>
  <c r="U649" i="1"/>
  <c r="K649" i="1"/>
  <c r="E649" i="1"/>
  <c r="B649" i="1"/>
  <c r="U648" i="1"/>
  <c r="K648" i="1"/>
  <c r="E648" i="1"/>
  <c r="B648" i="1"/>
  <c r="U647" i="1"/>
  <c r="K647" i="1"/>
  <c r="E647" i="1"/>
  <c r="B647" i="1"/>
  <c r="U646" i="1"/>
  <c r="K646" i="1"/>
  <c r="E646" i="1"/>
  <c r="B646" i="1"/>
  <c r="U645" i="1"/>
  <c r="K645" i="1"/>
  <c r="E645" i="1"/>
  <c r="B645" i="1"/>
  <c r="U644" i="1"/>
  <c r="K644" i="1"/>
  <c r="E644" i="1"/>
  <c r="B644" i="1"/>
  <c r="U643" i="1"/>
  <c r="K643" i="1"/>
  <c r="E643" i="1"/>
  <c r="B643" i="1"/>
  <c r="U642" i="1"/>
  <c r="K642" i="1"/>
  <c r="E642" i="1"/>
  <c r="B642" i="1"/>
  <c r="U641" i="1"/>
  <c r="K641" i="1"/>
  <c r="E641" i="1"/>
  <c r="B641" i="1"/>
  <c r="U640" i="1"/>
  <c r="K640" i="1"/>
  <c r="E640" i="1"/>
  <c r="B640" i="1"/>
  <c r="U639" i="1"/>
  <c r="K639" i="1"/>
  <c r="E639" i="1"/>
  <c r="B639" i="1"/>
  <c r="U638" i="1"/>
  <c r="K638" i="1"/>
  <c r="E638" i="1"/>
  <c r="B638" i="1"/>
  <c r="U637" i="1"/>
  <c r="K637" i="1"/>
  <c r="E637" i="1"/>
  <c r="B637" i="1"/>
  <c r="U636" i="1"/>
  <c r="K636" i="1"/>
  <c r="E636" i="1"/>
  <c r="B636" i="1"/>
  <c r="U635" i="1"/>
  <c r="K635" i="1"/>
  <c r="E635" i="1"/>
  <c r="B635" i="1"/>
  <c r="U634" i="1"/>
  <c r="K634" i="1"/>
  <c r="E634" i="1"/>
  <c r="B634" i="1"/>
  <c r="U633" i="1"/>
  <c r="K633" i="1"/>
  <c r="E633" i="1"/>
  <c r="B633" i="1"/>
  <c r="U632" i="1"/>
  <c r="K632" i="1"/>
  <c r="E632" i="1"/>
  <c r="B632" i="1"/>
  <c r="U631" i="1"/>
  <c r="K631" i="1"/>
  <c r="E631" i="1"/>
  <c r="B631" i="1"/>
  <c r="U630" i="1"/>
  <c r="K630" i="1"/>
  <c r="E630" i="1"/>
  <c r="B630" i="1"/>
  <c r="U629" i="1"/>
  <c r="K629" i="1"/>
  <c r="E629" i="1"/>
  <c r="B629" i="1"/>
  <c r="U628" i="1"/>
  <c r="K628" i="1"/>
  <c r="E628" i="1"/>
  <c r="B628" i="1"/>
  <c r="U627" i="1"/>
  <c r="K627" i="1"/>
  <c r="E627" i="1"/>
  <c r="B627" i="1"/>
  <c r="U626" i="1"/>
  <c r="K626" i="1"/>
  <c r="E626" i="1"/>
  <c r="B626" i="1"/>
  <c r="U625" i="1"/>
  <c r="K625" i="1"/>
  <c r="E625" i="1"/>
  <c r="B625" i="1"/>
  <c r="U624" i="1"/>
  <c r="K624" i="1"/>
  <c r="E624" i="1"/>
  <c r="B624" i="1"/>
  <c r="U623" i="1"/>
  <c r="K623" i="1"/>
  <c r="E623" i="1"/>
  <c r="B623" i="1"/>
  <c r="U622" i="1"/>
  <c r="K622" i="1"/>
  <c r="E622" i="1"/>
  <c r="B622" i="1"/>
  <c r="U621" i="1"/>
  <c r="K621" i="1"/>
  <c r="E621" i="1"/>
  <c r="B621" i="1"/>
  <c r="U620" i="1"/>
  <c r="K620" i="1"/>
  <c r="E620" i="1"/>
  <c r="B620" i="1"/>
  <c r="U619" i="1"/>
  <c r="K619" i="1"/>
  <c r="E619" i="1"/>
  <c r="B619" i="1"/>
  <c r="U618" i="1"/>
  <c r="K618" i="1"/>
  <c r="E618" i="1"/>
  <c r="B618" i="1"/>
  <c r="U617" i="1"/>
  <c r="K617" i="1"/>
  <c r="E617" i="1"/>
  <c r="B617" i="1"/>
  <c r="U616" i="1"/>
  <c r="K616" i="1"/>
  <c r="E616" i="1"/>
  <c r="B616" i="1"/>
  <c r="U615" i="1"/>
  <c r="K615" i="1"/>
  <c r="E615" i="1"/>
  <c r="B615" i="1"/>
  <c r="U614" i="1"/>
  <c r="K614" i="1"/>
  <c r="E614" i="1"/>
  <c r="B614" i="1"/>
  <c r="U613" i="1"/>
  <c r="K613" i="1"/>
  <c r="E613" i="1"/>
  <c r="B613" i="1"/>
  <c r="U612" i="1"/>
  <c r="K612" i="1"/>
  <c r="E612" i="1"/>
  <c r="B612" i="1"/>
  <c r="U611" i="1"/>
  <c r="K611" i="1"/>
  <c r="E611" i="1"/>
  <c r="B611" i="1"/>
  <c r="U610" i="1"/>
  <c r="K610" i="1"/>
  <c r="E610" i="1"/>
  <c r="B610" i="1"/>
  <c r="U609" i="1"/>
  <c r="K609" i="1"/>
  <c r="E609" i="1"/>
  <c r="B609" i="1"/>
  <c r="U608" i="1"/>
  <c r="K608" i="1"/>
  <c r="E608" i="1"/>
  <c r="B608" i="1"/>
  <c r="K607" i="1"/>
  <c r="E607" i="1"/>
  <c r="B607" i="1"/>
  <c r="U606" i="1"/>
  <c r="K606" i="1"/>
  <c r="E606" i="1"/>
  <c r="B606" i="1"/>
  <c r="U605" i="1"/>
  <c r="K605" i="1"/>
  <c r="E605" i="1"/>
  <c r="B605" i="1"/>
  <c r="U604" i="1"/>
  <c r="K604" i="1"/>
  <c r="E604" i="1"/>
  <c r="B604" i="1"/>
  <c r="U603" i="1"/>
  <c r="K603" i="1"/>
  <c r="E603" i="1"/>
  <c r="B603" i="1"/>
  <c r="U602" i="1"/>
  <c r="K602" i="1"/>
  <c r="E602" i="1"/>
  <c r="B602" i="1"/>
  <c r="U601" i="1"/>
  <c r="K601" i="1"/>
  <c r="E601" i="1"/>
  <c r="B601" i="1"/>
  <c r="U600" i="1"/>
  <c r="K600" i="1"/>
  <c r="E600" i="1"/>
  <c r="B600" i="1"/>
  <c r="U599" i="1"/>
  <c r="K599" i="1"/>
  <c r="E599" i="1"/>
  <c r="B599" i="1"/>
  <c r="U598" i="1"/>
  <c r="K598" i="1"/>
  <c r="E598" i="1"/>
  <c r="B598" i="1"/>
  <c r="U597" i="1"/>
  <c r="K597" i="1"/>
  <c r="E597" i="1"/>
  <c r="B597" i="1"/>
  <c r="U596" i="1"/>
  <c r="K596" i="1"/>
  <c r="E596" i="1"/>
  <c r="B596" i="1"/>
  <c r="U595" i="1"/>
  <c r="K595" i="1"/>
  <c r="E595" i="1"/>
  <c r="B595" i="1"/>
  <c r="U594" i="1"/>
  <c r="K594" i="1"/>
  <c r="E594" i="1"/>
  <c r="B594" i="1"/>
  <c r="U593" i="1"/>
  <c r="K593" i="1"/>
  <c r="E593" i="1"/>
  <c r="B593" i="1"/>
  <c r="U592" i="1"/>
  <c r="K592" i="1"/>
  <c r="E592" i="1"/>
  <c r="B592" i="1"/>
  <c r="U591" i="1"/>
  <c r="K591" i="1"/>
  <c r="E591" i="1"/>
  <c r="B591" i="1"/>
  <c r="U590" i="1"/>
  <c r="K590" i="1"/>
  <c r="E590" i="1"/>
  <c r="B590" i="1"/>
  <c r="U589" i="1"/>
  <c r="K589" i="1"/>
  <c r="E589" i="1"/>
  <c r="B589" i="1"/>
  <c r="U588" i="1"/>
  <c r="K588" i="1"/>
  <c r="E588" i="1"/>
  <c r="B588" i="1"/>
  <c r="U587" i="1"/>
  <c r="K587" i="1"/>
  <c r="E587" i="1"/>
  <c r="B587" i="1"/>
  <c r="U586" i="1"/>
  <c r="K586" i="1"/>
  <c r="E586" i="1"/>
  <c r="B586" i="1"/>
  <c r="U585" i="1"/>
  <c r="K585" i="1"/>
  <c r="E585" i="1"/>
  <c r="B585" i="1"/>
  <c r="U584" i="1"/>
  <c r="K584" i="1"/>
  <c r="E584" i="1"/>
  <c r="B584" i="1"/>
  <c r="U583" i="1"/>
  <c r="K583" i="1"/>
  <c r="E583" i="1"/>
  <c r="B583" i="1"/>
  <c r="U582" i="1"/>
  <c r="K582" i="1"/>
  <c r="E582" i="1"/>
  <c r="B582" i="1"/>
  <c r="U581" i="1"/>
  <c r="K581" i="1"/>
  <c r="E581" i="1"/>
  <c r="B581" i="1"/>
  <c r="U580" i="1"/>
  <c r="K580" i="1"/>
  <c r="E580" i="1"/>
  <c r="B580" i="1"/>
  <c r="U579" i="1"/>
  <c r="K579" i="1"/>
  <c r="E579" i="1"/>
  <c r="B579" i="1"/>
  <c r="U578" i="1"/>
  <c r="K578" i="1"/>
  <c r="E578" i="1"/>
  <c r="B578" i="1"/>
  <c r="U577" i="1"/>
  <c r="K577" i="1"/>
  <c r="E577" i="1"/>
  <c r="B577" i="1"/>
  <c r="U576" i="1"/>
  <c r="K576" i="1"/>
  <c r="E576" i="1"/>
  <c r="B576" i="1"/>
  <c r="U575" i="1"/>
  <c r="K575" i="1"/>
  <c r="E575" i="1"/>
  <c r="B575" i="1"/>
  <c r="U574" i="1"/>
  <c r="K574" i="1"/>
  <c r="E574" i="1"/>
  <c r="B574" i="1"/>
  <c r="U573" i="1"/>
  <c r="K573" i="1"/>
  <c r="E573" i="1"/>
  <c r="B573" i="1"/>
  <c r="U572" i="1"/>
  <c r="K572" i="1"/>
  <c r="E572" i="1"/>
  <c r="B572" i="1"/>
  <c r="U571" i="1"/>
  <c r="K571" i="1"/>
  <c r="E571" i="1"/>
  <c r="B571" i="1"/>
  <c r="U570" i="1"/>
  <c r="K570" i="1"/>
  <c r="E570" i="1"/>
  <c r="B570" i="1"/>
  <c r="U569" i="1"/>
  <c r="K569" i="1"/>
  <c r="E569" i="1"/>
  <c r="B569" i="1"/>
  <c r="U568" i="1"/>
  <c r="K568" i="1"/>
  <c r="E568" i="1"/>
  <c r="B568" i="1"/>
  <c r="U567" i="1"/>
  <c r="K567" i="1"/>
  <c r="E567" i="1"/>
  <c r="B567" i="1"/>
  <c r="U566" i="1"/>
  <c r="K566" i="1"/>
  <c r="E566" i="1"/>
  <c r="B566" i="1"/>
  <c r="U565" i="1"/>
  <c r="K565" i="1"/>
  <c r="E565" i="1"/>
  <c r="B565" i="1"/>
  <c r="U564" i="1"/>
  <c r="K564" i="1"/>
  <c r="E564" i="1"/>
  <c r="B564" i="1"/>
  <c r="U563" i="1"/>
  <c r="K563" i="1"/>
  <c r="E563" i="1"/>
  <c r="B563" i="1"/>
  <c r="U562" i="1"/>
  <c r="K562" i="1"/>
  <c r="E562" i="1"/>
  <c r="B562" i="1"/>
  <c r="U561" i="1"/>
  <c r="K561" i="1"/>
  <c r="E561" i="1"/>
  <c r="B561" i="1"/>
  <c r="U560" i="1"/>
  <c r="K560" i="1"/>
  <c r="E560" i="1"/>
  <c r="B560" i="1"/>
  <c r="U559" i="1"/>
  <c r="K559" i="1"/>
  <c r="E559" i="1"/>
  <c r="B559" i="1"/>
  <c r="U558" i="1"/>
  <c r="K558" i="1"/>
  <c r="E558" i="1"/>
  <c r="B558" i="1"/>
  <c r="U557" i="1"/>
  <c r="K557" i="1"/>
  <c r="E557" i="1"/>
  <c r="B557" i="1"/>
  <c r="U556" i="1"/>
  <c r="K556" i="1"/>
  <c r="E556" i="1"/>
  <c r="B556" i="1"/>
  <c r="U555" i="1"/>
  <c r="K555" i="1"/>
  <c r="E555" i="1"/>
  <c r="B555" i="1"/>
  <c r="U554" i="1"/>
  <c r="K554" i="1"/>
  <c r="E554" i="1"/>
  <c r="B554" i="1"/>
  <c r="U553" i="1"/>
  <c r="K553" i="1"/>
  <c r="E553" i="1"/>
  <c r="B553" i="1"/>
  <c r="U552" i="1"/>
  <c r="K552" i="1"/>
  <c r="E552" i="1"/>
  <c r="B552" i="1"/>
  <c r="U551" i="1"/>
  <c r="K551" i="1"/>
  <c r="E551" i="1"/>
  <c r="B551" i="1"/>
  <c r="U550" i="1"/>
  <c r="K550" i="1"/>
  <c r="E550" i="1"/>
  <c r="B550" i="1"/>
  <c r="U549" i="1"/>
  <c r="K549" i="1"/>
  <c r="E549" i="1"/>
  <c r="B549" i="1"/>
  <c r="U548" i="1"/>
  <c r="K548" i="1"/>
  <c r="E548" i="1"/>
  <c r="B548" i="1"/>
  <c r="U547" i="1"/>
  <c r="K547" i="1"/>
  <c r="E547" i="1"/>
  <c r="B547" i="1"/>
  <c r="U546" i="1"/>
  <c r="K546" i="1"/>
  <c r="E546" i="1"/>
  <c r="B546" i="1"/>
  <c r="U545" i="1"/>
  <c r="K545" i="1"/>
  <c r="E545" i="1"/>
  <c r="B545" i="1"/>
  <c r="U544" i="1"/>
  <c r="K544" i="1"/>
  <c r="E544" i="1"/>
  <c r="B544" i="1"/>
  <c r="U543" i="1"/>
  <c r="K543" i="1"/>
  <c r="E543" i="1"/>
  <c r="B543" i="1"/>
  <c r="U542" i="1"/>
  <c r="K542" i="1"/>
  <c r="E542" i="1"/>
  <c r="B542" i="1"/>
  <c r="U541" i="1"/>
  <c r="K541" i="1"/>
  <c r="E541" i="1"/>
  <c r="B541" i="1"/>
  <c r="U540" i="1"/>
  <c r="K540" i="1"/>
  <c r="E540" i="1"/>
  <c r="B540" i="1"/>
  <c r="U539" i="1"/>
  <c r="K539" i="1"/>
  <c r="E539" i="1"/>
  <c r="B539" i="1"/>
  <c r="U538" i="1"/>
  <c r="K538" i="1"/>
  <c r="E538" i="1"/>
  <c r="B538" i="1"/>
  <c r="U537" i="1"/>
  <c r="K537" i="1"/>
  <c r="E537" i="1"/>
  <c r="B537" i="1"/>
  <c r="U536" i="1"/>
  <c r="K536" i="1"/>
  <c r="E536" i="1"/>
  <c r="B536" i="1"/>
  <c r="U535" i="1"/>
  <c r="K535" i="1"/>
  <c r="E535" i="1"/>
  <c r="B535" i="1"/>
  <c r="U534" i="1"/>
  <c r="K534" i="1"/>
  <c r="E534" i="1"/>
  <c r="B534" i="1"/>
  <c r="U533" i="1"/>
  <c r="K533" i="1"/>
  <c r="E533" i="1"/>
  <c r="B533" i="1"/>
  <c r="U532" i="1"/>
  <c r="K532" i="1"/>
  <c r="E532" i="1"/>
  <c r="B532" i="1"/>
  <c r="U531" i="1"/>
  <c r="K531" i="1"/>
  <c r="E531" i="1"/>
  <c r="B531" i="1"/>
  <c r="U530" i="1"/>
  <c r="K530" i="1"/>
  <c r="E530" i="1"/>
  <c r="B530" i="1"/>
  <c r="U529" i="1"/>
  <c r="K529" i="1"/>
  <c r="E529" i="1"/>
  <c r="B529" i="1"/>
  <c r="U528" i="1"/>
  <c r="K528" i="1"/>
  <c r="E528" i="1"/>
  <c r="B528" i="1"/>
  <c r="U527" i="1"/>
  <c r="K527" i="1"/>
  <c r="E527" i="1"/>
  <c r="B527" i="1"/>
  <c r="U526" i="1"/>
  <c r="K526" i="1"/>
  <c r="E526" i="1"/>
  <c r="B526" i="1"/>
  <c r="U525" i="1"/>
  <c r="K525" i="1"/>
  <c r="E525" i="1"/>
  <c r="B525" i="1"/>
  <c r="U524" i="1"/>
  <c r="K524" i="1"/>
  <c r="E524" i="1"/>
  <c r="B524" i="1"/>
  <c r="U523" i="1"/>
  <c r="K523" i="1"/>
  <c r="E523" i="1"/>
  <c r="B523" i="1"/>
  <c r="U522" i="1"/>
  <c r="K522" i="1"/>
  <c r="E522" i="1"/>
  <c r="B522" i="1"/>
  <c r="U521" i="1"/>
  <c r="K521" i="1"/>
  <c r="E521" i="1"/>
  <c r="B521" i="1"/>
  <c r="U520" i="1"/>
  <c r="K520" i="1"/>
  <c r="E520" i="1"/>
  <c r="B520" i="1"/>
  <c r="U519" i="1"/>
  <c r="K519" i="1"/>
  <c r="E519" i="1"/>
  <c r="B519" i="1"/>
  <c r="U518" i="1"/>
  <c r="K518" i="1"/>
  <c r="E518" i="1"/>
  <c r="B518" i="1"/>
  <c r="U517" i="1"/>
  <c r="K517" i="1"/>
  <c r="E517" i="1"/>
  <c r="B517" i="1"/>
  <c r="U516" i="1"/>
  <c r="K516" i="1"/>
  <c r="E516" i="1"/>
  <c r="B516" i="1"/>
  <c r="U515" i="1"/>
  <c r="K515" i="1"/>
  <c r="E515" i="1"/>
  <c r="B515" i="1"/>
  <c r="U514" i="1"/>
  <c r="K514" i="1"/>
  <c r="E514" i="1"/>
  <c r="B514" i="1"/>
  <c r="U513" i="1"/>
  <c r="K513" i="1"/>
  <c r="E513" i="1"/>
  <c r="B513" i="1"/>
  <c r="U512" i="1"/>
  <c r="K512" i="1"/>
  <c r="E512" i="1"/>
  <c r="B512" i="1"/>
  <c r="U511" i="1"/>
  <c r="K511" i="1"/>
  <c r="E511" i="1"/>
  <c r="B511" i="1"/>
  <c r="U510" i="1"/>
  <c r="K510" i="1"/>
  <c r="E510" i="1"/>
  <c r="B510" i="1"/>
  <c r="U509" i="1"/>
  <c r="K509" i="1"/>
  <c r="E509" i="1"/>
  <c r="B509" i="1"/>
  <c r="U508" i="1"/>
  <c r="K508" i="1"/>
  <c r="E508" i="1"/>
  <c r="B508" i="1"/>
  <c r="U507" i="1"/>
  <c r="K507" i="1"/>
  <c r="E507" i="1"/>
  <c r="B507" i="1"/>
  <c r="U506" i="1"/>
  <c r="K506" i="1"/>
  <c r="E506" i="1"/>
  <c r="B506" i="1"/>
  <c r="U505" i="1"/>
  <c r="K505" i="1"/>
  <c r="E505" i="1"/>
  <c r="B505" i="1"/>
  <c r="U504" i="1"/>
  <c r="K504" i="1"/>
  <c r="E504" i="1"/>
  <c r="B504" i="1"/>
  <c r="U503" i="1"/>
  <c r="K503" i="1"/>
  <c r="E503" i="1"/>
  <c r="B503" i="1"/>
  <c r="U502" i="1"/>
  <c r="K502" i="1"/>
  <c r="E502" i="1"/>
  <c r="B502" i="1"/>
  <c r="U501" i="1"/>
  <c r="K501" i="1"/>
  <c r="E501" i="1"/>
  <c r="B501" i="1"/>
  <c r="U500" i="1"/>
  <c r="K500" i="1"/>
  <c r="E500" i="1"/>
  <c r="B500" i="1"/>
  <c r="U499" i="1"/>
  <c r="K499" i="1"/>
  <c r="E499" i="1"/>
  <c r="B499" i="1"/>
  <c r="U498" i="1"/>
  <c r="K498" i="1"/>
  <c r="E498" i="1"/>
  <c r="B498" i="1"/>
  <c r="U497" i="1"/>
  <c r="K497" i="1"/>
  <c r="E497" i="1"/>
  <c r="B497" i="1"/>
  <c r="U496" i="1"/>
  <c r="K496" i="1"/>
  <c r="E496" i="1"/>
  <c r="B496" i="1"/>
  <c r="U495" i="1"/>
  <c r="K495" i="1"/>
  <c r="E495" i="1"/>
  <c r="B495" i="1"/>
  <c r="U494" i="1"/>
  <c r="K494" i="1"/>
  <c r="E494" i="1"/>
  <c r="B494" i="1"/>
  <c r="U493" i="1"/>
  <c r="K493" i="1"/>
  <c r="E493" i="1"/>
  <c r="B493" i="1"/>
  <c r="U492" i="1"/>
  <c r="K492" i="1"/>
  <c r="E492" i="1"/>
  <c r="B492" i="1"/>
  <c r="U491" i="1"/>
  <c r="K491" i="1"/>
  <c r="E491" i="1"/>
  <c r="B491" i="1"/>
  <c r="U490" i="1"/>
  <c r="K490" i="1"/>
  <c r="E490" i="1"/>
  <c r="B490" i="1"/>
  <c r="U489" i="1"/>
  <c r="K489" i="1"/>
  <c r="E489" i="1"/>
  <c r="B489" i="1"/>
  <c r="U488" i="1"/>
  <c r="K488" i="1"/>
  <c r="E488" i="1"/>
  <c r="B488" i="1"/>
  <c r="U487" i="1"/>
  <c r="K487" i="1"/>
  <c r="E487" i="1"/>
  <c r="B487" i="1"/>
  <c r="U486" i="1"/>
  <c r="K486" i="1"/>
  <c r="E486" i="1"/>
  <c r="B486" i="1"/>
  <c r="U485" i="1"/>
  <c r="K485" i="1"/>
  <c r="E485" i="1"/>
  <c r="B485" i="1"/>
  <c r="U484" i="1"/>
  <c r="K484" i="1"/>
  <c r="E484" i="1"/>
  <c r="B484" i="1"/>
  <c r="U483" i="1"/>
  <c r="K483" i="1"/>
  <c r="E483" i="1"/>
  <c r="B483" i="1"/>
  <c r="U482" i="1"/>
  <c r="K482" i="1"/>
  <c r="E482" i="1"/>
  <c r="B482" i="1"/>
  <c r="U481" i="1"/>
  <c r="K481" i="1"/>
  <c r="E481" i="1"/>
  <c r="B481" i="1"/>
  <c r="U480" i="1"/>
  <c r="K480" i="1"/>
  <c r="E480" i="1"/>
  <c r="B480" i="1"/>
  <c r="U479" i="1"/>
  <c r="K479" i="1"/>
  <c r="E479" i="1"/>
  <c r="B479" i="1"/>
  <c r="U478" i="1"/>
  <c r="K478" i="1"/>
  <c r="E478" i="1"/>
  <c r="B478" i="1"/>
  <c r="U477" i="1"/>
  <c r="K477" i="1"/>
  <c r="E477" i="1"/>
  <c r="B477" i="1"/>
  <c r="U476" i="1"/>
  <c r="K476" i="1"/>
  <c r="E476" i="1"/>
  <c r="B476" i="1"/>
  <c r="U475" i="1"/>
  <c r="K475" i="1"/>
  <c r="E475" i="1"/>
  <c r="B475" i="1"/>
  <c r="U474" i="1"/>
  <c r="K474" i="1"/>
  <c r="E474" i="1"/>
  <c r="B474" i="1"/>
  <c r="U473" i="1"/>
  <c r="K473" i="1"/>
  <c r="E473" i="1"/>
  <c r="B473" i="1"/>
  <c r="U472" i="1"/>
  <c r="K472" i="1"/>
  <c r="E472" i="1"/>
  <c r="B472" i="1"/>
  <c r="U471" i="1"/>
  <c r="K471" i="1"/>
  <c r="E471" i="1"/>
  <c r="B471" i="1"/>
  <c r="U470" i="1"/>
  <c r="K470" i="1"/>
  <c r="E470" i="1"/>
  <c r="B470" i="1"/>
  <c r="U469" i="1"/>
  <c r="K469" i="1"/>
  <c r="E469" i="1"/>
  <c r="B469" i="1"/>
  <c r="U468" i="1"/>
  <c r="K468" i="1"/>
  <c r="E468" i="1"/>
  <c r="B468" i="1"/>
  <c r="U467" i="1"/>
  <c r="K467" i="1"/>
  <c r="E467" i="1"/>
  <c r="B467" i="1"/>
  <c r="U466" i="1"/>
  <c r="K466" i="1"/>
  <c r="E466" i="1"/>
  <c r="B466" i="1"/>
  <c r="U465" i="1"/>
  <c r="K465" i="1"/>
  <c r="E465" i="1"/>
  <c r="B465" i="1"/>
  <c r="U464" i="1"/>
  <c r="K464" i="1"/>
  <c r="E464" i="1"/>
  <c r="B464" i="1"/>
  <c r="U463" i="1"/>
  <c r="K463" i="1"/>
  <c r="E463" i="1"/>
  <c r="B463" i="1"/>
  <c r="U462" i="1"/>
  <c r="K462" i="1"/>
  <c r="E462" i="1"/>
  <c r="B462" i="1"/>
  <c r="U461" i="1"/>
  <c r="K461" i="1"/>
  <c r="E461" i="1"/>
  <c r="B461" i="1"/>
  <c r="U460" i="1"/>
  <c r="K460" i="1"/>
  <c r="E460" i="1"/>
  <c r="B460" i="1"/>
  <c r="U459" i="1"/>
  <c r="K459" i="1"/>
  <c r="E459" i="1"/>
  <c r="B459" i="1"/>
  <c r="U458" i="1"/>
  <c r="K458" i="1"/>
  <c r="E458" i="1"/>
  <c r="B458" i="1"/>
  <c r="U457" i="1"/>
  <c r="K457" i="1"/>
  <c r="E457" i="1"/>
  <c r="B457" i="1"/>
  <c r="U456" i="1"/>
  <c r="K456" i="1"/>
  <c r="E456" i="1"/>
  <c r="B456" i="1"/>
  <c r="U455" i="1"/>
  <c r="K455" i="1"/>
  <c r="E455" i="1"/>
  <c r="B455" i="1"/>
  <c r="U454" i="1"/>
  <c r="K454" i="1"/>
  <c r="E454" i="1"/>
  <c r="B454" i="1"/>
  <c r="U453" i="1"/>
  <c r="K453" i="1"/>
  <c r="E453" i="1"/>
  <c r="B453" i="1"/>
  <c r="U452" i="1"/>
  <c r="K452" i="1"/>
  <c r="E452" i="1"/>
  <c r="B452" i="1"/>
  <c r="U451" i="1"/>
  <c r="K451" i="1"/>
  <c r="E451" i="1"/>
  <c r="B451" i="1"/>
  <c r="U450" i="1"/>
  <c r="K450" i="1"/>
  <c r="E450" i="1"/>
  <c r="B450" i="1"/>
  <c r="U449" i="1"/>
  <c r="K449" i="1"/>
  <c r="E449" i="1"/>
  <c r="B449" i="1"/>
  <c r="U448" i="1"/>
  <c r="K448" i="1"/>
  <c r="E448" i="1"/>
  <c r="B448" i="1"/>
  <c r="U447" i="1"/>
  <c r="K447" i="1"/>
  <c r="E447" i="1"/>
  <c r="B447" i="1"/>
  <c r="U446" i="1"/>
  <c r="K446" i="1"/>
  <c r="E446" i="1"/>
  <c r="B446" i="1"/>
  <c r="U445" i="1"/>
  <c r="K445" i="1"/>
  <c r="E445" i="1"/>
  <c r="B445" i="1"/>
  <c r="U444" i="1"/>
  <c r="K444" i="1"/>
  <c r="E444" i="1"/>
  <c r="B444" i="1"/>
  <c r="U443" i="1"/>
  <c r="K443" i="1"/>
  <c r="E443" i="1"/>
  <c r="B443" i="1"/>
  <c r="U442" i="1"/>
  <c r="K442" i="1"/>
  <c r="E442" i="1"/>
  <c r="B442" i="1"/>
  <c r="U441" i="1"/>
  <c r="K441" i="1"/>
  <c r="E441" i="1"/>
  <c r="B441" i="1"/>
  <c r="U440" i="1"/>
  <c r="K440" i="1"/>
  <c r="E440" i="1"/>
  <c r="B440" i="1"/>
  <c r="U439" i="1"/>
  <c r="K439" i="1"/>
  <c r="E439" i="1"/>
  <c r="B439" i="1"/>
  <c r="U438" i="1"/>
  <c r="K438" i="1"/>
  <c r="E438" i="1"/>
  <c r="B438" i="1"/>
  <c r="U437" i="1"/>
  <c r="K437" i="1"/>
  <c r="E437" i="1"/>
  <c r="B437" i="1"/>
  <c r="U436" i="1"/>
  <c r="K436" i="1"/>
  <c r="E436" i="1"/>
  <c r="B436" i="1"/>
  <c r="U435" i="1"/>
  <c r="K435" i="1"/>
  <c r="E435" i="1"/>
  <c r="B435" i="1"/>
  <c r="U434" i="1"/>
  <c r="K434" i="1"/>
  <c r="E434" i="1"/>
  <c r="B434" i="1"/>
  <c r="U433" i="1"/>
  <c r="K433" i="1"/>
  <c r="E433" i="1"/>
  <c r="B433" i="1"/>
  <c r="U432" i="1"/>
  <c r="K432" i="1"/>
  <c r="E432" i="1"/>
  <c r="B432" i="1"/>
  <c r="U431" i="1"/>
  <c r="K431" i="1"/>
  <c r="E431" i="1"/>
  <c r="B431" i="1"/>
  <c r="U430" i="1"/>
  <c r="K430" i="1"/>
  <c r="E430" i="1"/>
  <c r="B430" i="1"/>
  <c r="U429" i="1"/>
  <c r="K429" i="1"/>
  <c r="E429" i="1"/>
  <c r="B429" i="1"/>
  <c r="U428" i="1"/>
  <c r="K428" i="1"/>
  <c r="E428" i="1"/>
  <c r="B428" i="1"/>
  <c r="U427" i="1"/>
  <c r="K427" i="1"/>
  <c r="E427" i="1"/>
  <c r="B427" i="1"/>
  <c r="U426" i="1"/>
  <c r="K426" i="1"/>
  <c r="E426" i="1"/>
  <c r="B426" i="1"/>
  <c r="U425" i="1"/>
  <c r="K425" i="1"/>
  <c r="E425" i="1"/>
  <c r="B425" i="1"/>
  <c r="U424" i="1"/>
  <c r="K424" i="1"/>
  <c r="E424" i="1"/>
  <c r="B424" i="1"/>
  <c r="U423" i="1"/>
  <c r="K423" i="1"/>
  <c r="E423" i="1"/>
  <c r="B423" i="1"/>
  <c r="U422" i="1"/>
  <c r="K422" i="1"/>
  <c r="E422" i="1"/>
  <c r="B422" i="1"/>
  <c r="U421" i="1"/>
  <c r="K421" i="1"/>
  <c r="E421" i="1"/>
  <c r="B421" i="1"/>
  <c r="U420" i="1"/>
  <c r="K420" i="1"/>
  <c r="E420" i="1"/>
  <c r="B420" i="1"/>
  <c r="U419" i="1"/>
  <c r="K419" i="1"/>
  <c r="E419" i="1"/>
  <c r="B419" i="1"/>
  <c r="U418" i="1"/>
  <c r="K418" i="1"/>
  <c r="E418" i="1"/>
  <c r="B418" i="1"/>
  <c r="U417" i="1"/>
  <c r="K417" i="1"/>
  <c r="E417" i="1"/>
  <c r="B417" i="1"/>
  <c r="U416" i="1"/>
  <c r="K416" i="1"/>
  <c r="E416" i="1"/>
  <c r="B416" i="1"/>
  <c r="U415" i="1"/>
  <c r="K415" i="1"/>
  <c r="E415" i="1"/>
  <c r="B415" i="1"/>
  <c r="U414" i="1"/>
  <c r="K414" i="1"/>
  <c r="E414" i="1"/>
  <c r="B414" i="1"/>
  <c r="K413" i="1"/>
  <c r="E413" i="1"/>
  <c r="B413" i="1"/>
  <c r="U412" i="1"/>
  <c r="K412" i="1"/>
  <c r="E412" i="1"/>
  <c r="B412" i="1"/>
  <c r="U411" i="1"/>
  <c r="K411" i="1"/>
  <c r="E411" i="1"/>
  <c r="B411" i="1"/>
  <c r="U410" i="1"/>
  <c r="K410" i="1"/>
  <c r="E410" i="1"/>
  <c r="B410" i="1"/>
  <c r="U409" i="1"/>
  <c r="K409" i="1"/>
  <c r="E409" i="1"/>
  <c r="B409" i="1"/>
  <c r="U408" i="1"/>
  <c r="K408" i="1"/>
  <c r="E408" i="1"/>
  <c r="B408" i="1"/>
  <c r="U407" i="1"/>
  <c r="K407" i="1"/>
  <c r="E407" i="1"/>
  <c r="B407" i="1"/>
  <c r="U406" i="1"/>
  <c r="K406" i="1"/>
  <c r="E406" i="1"/>
  <c r="B406" i="1"/>
  <c r="U405" i="1"/>
  <c r="K405" i="1"/>
  <c r="E405" i="1"/>
  <c r="B405" i="1"/>
  <c r="U404" i="1"/>
  <c r="K404" i="1"/>
  <c r="E404" i="1"/>
  <c r="B404" i="1"/>
  <c r="U403" i="1"/>
  <c r="K403" i="1"/>
  <c r="E403" i="1"/>
  <c r="B403" i="1"/>
  <c r="U402" i="1"/>
  <c r="K402" i="1"/>
  <c r="E402" i="1"/>
  <c r="B402" i="1"/>
  <c r="U401" i="1"/>
  <c r="K401" i="1"/>
  <c r="E401" i="1"/>
  <c r="B401" i="1"/>
  <c r="U400" i="1"/>
  <c r="K400" i="1"/>
  <c r="E400" i="1"/>
  <c r="B400" i="1"/>
  <c r="U399" i="1"/>
  <c r="K399" i="1"/>
  <c r="E399" i="1"/>
  <c r="B399" i="1"/>
  <c r="U398" i="1"/>
  <c r="K398" i="1"/>
  <c r="E398" i="1"/>
  <c r="B398" i="1"/>
  <c r="U397" i="1"/>
  <c r="K397" i="1"/>
  <c r="E397" i="1"/>
  <c r="B397" i="1"/>
  <c r="U396" i="1"/>
  <c r="K396" i="1"/>
  <c r="E396" i="1"/>
  <c r="B396" i="1"/>
  <c r="U395" i="1"/>
  <c r="K395" i="1"/>
  <c r="E395" i="1"/>
  <c r="B395" i="1"/>
  <c r="U394" i="1"/>
  <c r="K394" i="1"/>
  <c r="E394" i="1"/>
  <c r="B394" i="1"/>
  <c r="U393" i="1"/>
  <c r="K393" i="1"/>
  <c r="E393" i="1"/>
  <c r="B393" i="1"/>
  <c r="U392" i="1"/>
  <c r="K392" i="1"/>
  <c r="E392" i="1"/>
  <c r="B392" i="1"/>
  <c r="U391" i="1"/>
  <c r="K391" i="1"/>
  <c r="E391" i="1"/>
  <c r="B391" i="1"/>
  <c r="U390" i="1"/>
  <c r="K390" i="1"/>
  <c r="E390" i="1"/>
  <c r="B390" i="1"/>
  <c r="U389" i="1"/>
  <c r="K389" i="1"/>
  <c r="E389" i="1"/>
  <c r="B389" i="1"/>
  <c r="U388" i="1"/>
  <c r="K388" i="1"/>
  <c r="E388" i="1"/>
  <c r="B388" i="1"/>
  <c r="U387" i="1"/>
  <c r="K387" i="1"/>
  <c r="E387" i="1"/>
  <c r="B387" i="1"/>
  <c r="U386" i="1"/>
  <c r="K386" i="1"/>
  <c r="E386" i="1"/>
  <c r="B386" i="1"/>
  <c r="U385" i="1"/>
  <c r="K385" i="1"/>
  <c r="E385" i="1"/>
  <c r="B385" i="1"/>
  <c r="U384" i="1"/>
  <c r="K384" i="1"/>
  <c r="E384" i="1"/>
  <c r="B384" i="1"/>
  <c r="U383" i="1"/>
  <c r="K383" i="1"/>
  <c r="E383" i="1"/>
  <c r="B383" i="1"/>
  <c r="U382" i="1"/>
  <c r="K382" i="1"/>
  <c r="E382" i="1"/>
  <c r="B382" i="1"/>
  <c r="U381" i="1"/>
  <c r="K381" i="1"/>
  <c r="E381" i="1"/>
  <c r="B381" i="1"/>
  <c r="U380" i="1"/>
  <c r="K380" i="1"/>
  <c r="E380" i="1"/>
  <c r="B380" i="1"/>
  <c r="U379" i="1"/>
  <c r="K379" i="1"/>
  <c r="E379" i="1"/>
  <c r="B379" i="1"/>
  <c r="U378" i="1"/>
  <c r="K378" i="1"/>
  <c r="E378" i="1"/>
  <c r="B378" i="1"/>
  <c r="U377" i="1"/>
  <c r="K377" i="1"/>
  <c r="E377" i="1"/>
  <c r="B377" i="1"/>
  <c r="U376" i="1"/>
  <c r="K376" i="1"/>
  <c r="E376" i="1"/>
  <c r="B376" i="1"/>
  <c r="U375" i="1"/>
  <c r="K375" i="1"/>
  <c r="E375" i="1"/>
  <c r="B375" i="1"/>
  <c r="U374" i="1"/>
  <c r="K374" i="1"/>
  <c r="E374" i="1"/>
  <c r="B374" i="1"/>
  <c r="U373" i="1"/>
  <c r="K373" i="1"/>
  <c r="E373" i="1"/>
  <c r="B373" i="1"/>
  <c r="U372" i="1"/>
  <c r="K372" i="1"/>
  <c r="E372" i="1"/>
  <c r="B372" i="1"/>
  <c r="U371" i="1"/>
  <c r="K371" i="1"/>
  <c r="E371" i="1"/>
  <c r="B371" i="1"/>
  <c r="U370" i="1"/>
  <c r="K370" i="1"/>
  <c r="E370" i="1"/>
  <c r="B370" i="1"/>
  <c r="U369" i="1"/>
  <c r="K369" i="1"/>
  <c r="E369" i="1"/>
  <c r="B369" i="1"/>
  <c r="U368" i="1"/>
  <c r="K368" i="1"/>
  <c r="E368" i="1"/>
  <c r="B368" i="1"/>
  <c r="U367" i="1"/>
  <c r="K367" i="1"/>
  <c r="E367" i="1"/>
  <c r="B367" i="1"/>
  <c r="U366" i="1"/>
  <c r="K366" i="1"/>
  <c r="E366" i="1"/>
  <c r="B366" i="1"/>
  <c r="U365" i="1"/>
  <c r="K365" i="1"/>
  <c r="E365" i="1"/>
  <c r="B365" i="1"/>
  <c r="U364" i="1"/>
  <c r="K364" i="1"/>
  <c r="E364" i="1"/>
  <c r="B364" i="1"/>
  <c r="U363" i="1"/>
  <c r="K363" i="1"/>
  <c r="E363" i="1"/>
  <c r="B363" i="1"/>
  <c r="U362" i="1"/>
  <c r="K362" i="1"/>
  <c r="E362" i="1"/>
  <c r="B362" i="1"/>
  <c r="U361" i="1"/>
  <c r="K361" i="1"/>
  <c r="E361" i="1"/>
  <c r="B361" i="1"/>
  <c r="U360" i="1"/>
  <c r="K360" i="1"/>
  <c r="E360" i="1"/>
  <c r="B360" i="1"/>
  <c r="U359" i="1"/>
  <c r="K359" i="1"/>
  <c r="E359" i="1"/>
  <c r="B359" i="1"/>
  <c r="U358" i="1"/>
  <c r="K358" i="1"/>
  <c r="E358" i="1"/>
  <c r="B358" i="1"/>
  <c r="U357" i="1"/>
  <c r="K357" i="1"/>
  <c r="E357" i="1"/>
  <c r="B357" i="1"/>
  <c r="U356" i="1"/>
  <c r="K356" i="1"/>
  <c r="E356" i="1"/>
  <c r="B356" i="1"/>
  <c r="U355" i="1"/>
  <c r="K355" i="1"/>
  <c r="E355" i="1"/>
  <c r="B355" i="1"/>
  <c r="U354" i="1"/>
  <c r="K354" i="1"/>
  <c r="E354" i="1"/>
  <c r="B354" i="1"/>
  <c r="U353" i="1"/>
  <c r="K353" i="1"/>
  <c r="E353" i="1"/>
  <c r="B353" i="1"/>
  <c r="U352" i="1"/>
  <c r="K352" i="1"/>
  <c r="E352" i="1"/>
  <c r="B352" i="1"/>
  <c r="U351" i="1"/>
  <c r="K351" i="1"/>
  <c r="E351" i="1"/>
  <c r="B351" i="1"/>
  <c r="U350" i="1"/>
  <c r="K350" i="1"/>
  <c r="E350" i="1"/>
  <c r="B350" i="1"/>
  <c r="U349" i="1"/>
  <c r="K349" i="1"/>
  <c r="E349" i="1"/>
  <c r="B349" i="1"/>
  <c r="U348" i="1"/>
  <c r="K348" i="1"/>
  <c r="E348" i="1"/>
  <c r="B348" i="1"/>
  <c r="U347" i="1"/>
  <c r="K347" i="1"/>
  <c r="E347" i="1"/>
  <c r="B347" i="1"/>
  <c r="U346" i="1"/>
  <c r="K346" i="1"/>
  <c r="E346" i="1"/>
  <c r="B346" i="1"/>
  <c r="U345" i="1"/>
  <c r="K345" i="1"/>
  <c r="E345" i="1"/>
  <c r="B345" i="1"/>
  <c r="U344" i="1"/>
  <c r="K344" i="1"/>
  <c r="E344" i="1"/>
  <c r="B344" i="1"/>
  <c r="U343" i="1"/>
  <c r="K343" i="1"/>
  <c r="E343" i="1"/>
  <c r="B343" i="1"/>
  <c r="U342" i="1"/>
  <c r="K342" i="1"/>
  <c r="E342" i="1"/>
  <c r="B342" i="1"/>
  <c r="U341" i="1"/>
  <c r="K341" i="1"/>
  <c r="E341" i="1"/>
  <c r="B341" i="1"/>
  <c r="U340" i="1"/>
  <c r="K340" i="1"/>
  <c r="E340" i="1"/>
  <c r="B340" i="1"/>
  <c r="U339" i="1"/>
  <c r="K339" i="1"/>
  <c r="E339" i="1"/>
  <c r="B339" i="1"/>
  <c r="U338" i="1"/>
  <c r="K338" i="1"/>
  <c r="E338" i="1"/>
  <c r="B338" i="1"/>
  <c r="U337" i="1"/>
  <c r="K337" i="1"/>
  <c r="E337" i="1"/>
  <c r="B337" i="1"/>
  <c r="U336" i="1"/>
  <c r="K336" i="1"/>
  <c r="E336" i="1"/>
  <c r="B336" i="1"/>
  <c r="U335" i="1"/>
  <c r="K335" i="1"/>
  <c r="E335" i="1"/>
  <c r="B335" i="1"/>
  <c r="U334" i="1"/>
  <c r="K334" i="1"/>
  <c r="E334" i="1"/>
  <c r="B334" i="1"/>
  <c r="U333" i="1"/>
  <c r="K333" i="1"/>
  <c r="E333" i="1"/>
  <c r="B333" i="1"/>
  <c r="U332" i="1"/>
  <c r="K332" i="1"/>
  <c r="E332" i="1"/>
  <c r="B332" i="1"/>
  <c r="U331" i="1"/>
  <c r="K331" i="1"/>
  <c r="E331" i="1"/>
  <c r="B331" i="1"/>
  <c r="U330" i="1"/>
  <c r="K330" i="1"/>
  <c r="E330" i="1"/>
  <c r="B330" i="1"/>
  <c r="U329" i="1"/>
  <c r="K329" i="1"/>
  <c r="E329" i="1"/>
  <c r="B329" i="1"/>
  <c r="U328" i="1"/>
  <c r="K328" i="1"/>
  <c r="E328" i="1"/>
  <c r="B328" i="1"/>
  <c r="U327" i="1"/>
  <c r="K327" i="1"/>
  <c r="E327" i="1"/>
  <c r="B327" i="1"/>
  <c r="U326" i="1"/>
  <c r="K326" i="1"/>
  <c r="E326" i="1"/>
  <c r="B326" i="1"/>
  <c r="U325" i="1"/>
  <c r="K325" i="1"/>
  <c r="E325" i="1"/>
  <c r="B325" i="1"/>
  <c r="U324" i="1"/>
  <c r="K324" i="1"/>
  <c r="E324" i="1"/>
  <c r="B324" i="1"/>
  <c r="U323" i="1"/>
  <c r="K323" i="1"/>
  <c r="E323" i="1"/>
  <c r="B323" i="1"/>
  <c r="U322" i="1"/>
  <c r="K322" i="1"/>
  <c r="E322" i="1"/>
  <c r="B322" i="1"/>
  <c r="U321" i="1"/>
  <c r="K321" i="1"/>
  <c r="E321" i="1"/>
  <c r="B321" i="1"/>
  <c r="U320" i="1"/>
  <c r="K320" i="1"/>
  <c r="E320" i="1"/>
  <c r="B320" i="1"/>
  <c r="U319" i="1"/>
  <c r="K319" i="1"/>
  <c r="E319" i="1"/>
  <c r="B319" i="1"/>
  <c r="U318" i="1"/>
  <c r="K318" i="1"/>
  <c r="E318" i="1"/>
  <c r="B318" i="1"/>
  <c r="U317" i="1"/>
  <c r="K317" i="1"/>
  <c r="E317" i="1"/>
  <c r="B317" i="1"/>
  <c r="U316" i="1"/>
  <c r="K316" i="1"/>
  <c r="E316" i="1"/>
  <c r="B316" i="1"/>
  <c r="U315" i="1"/>
  <c r="K315" i="1"/>
  <c r="E315" i="1"/>
  <c r="B315" i="1"/>
  <c r="U314" i="1"/>
  <c r="K314" i="1"/>
  <c r="E314" i="1"/>
  <c r="B314" i="1"/>
  <c r="U313" i="1"/>
  <c r="K313" i="1"/>
  <c r="E313" i="1"/>
  <c r="B313" i="1"/>
  <c r="U312" i="1"/>
  <c r="K312" i="1"/>
  <c r="E312" i="1"/>
  <c r="B312" i="1"/>
  <c r="U311" i="1"/>
  <c r="K311" i="1"/>
  <c r="E311" i="1"/>
  <c r="B311" i="1"/>
  <c r="U310" i="1"/>
  <c r="K310" i="1"/>
  <c r="E310" i="1"/>
  <c r="B310" i="1"/>
  <c r="U309" i="1"/>
  <c r="K309" i="1"/>
  <c r="E309" i="1"/>
  <c r="B309" i="1"/>
  <c r="U308" i="1"/>
  <c r="K308" i="1"/>
  <c r="E308" i="1"/>
  <c r="B308" i="1"/>
  <c r="U307" i="1"/>
  <c r="K307" i="1"/>
  <c r="E307" i="1"/>
  <c r="B307" i="1"/>
  <c r="U306" i="1"/>
  <c r="K306" i="1"/>
  <c r="E306" i="1"/>
  <c r="B306" i="1"/>
  <c r="U305" i="1"/>
  <c r="K305" i="1"/>
  <c r="E305" i="1"/>
  <c r="B305" i="1"/>
  <c r="U304" i="1"/>
  <c r="K304" i="1"/>
  <c r="E304" i="1"/>
  <c r="B304" i="1"/>
  <c r="U303" i="1"/>
  <c r="K303" i="1"/>
  <c r="E303" i="1"/>
  <c r="B303" i="1"/>
  <c r="U302" i="1"/>
  <c r="K302" i="1"/>
  <c r="E302" i="1"/>
  <c r="B302" i="1"/>
  <c r="U301" i="1"/>
  <c r="K301" i="1"/>
  <c r="E301" i="1"/>
  <c r="B301" i="1"/>
  <c r="U300" i="1"/>
  <c r="K300" i="1"/>
  <c r="E300" i="1"/>
  <c r="B300" i="1"/>
  <c r="U299" i="1"/>
  <c r="K299" i="1"/>
  <c r="E299" i="1"/>
  <c r="B299" i="1"/>
  <c r="U298" i="1"/>
  <c r="K298" i="1"/>
  <c r="E298" i="1"/>
  <c r="B298" i="1"/>
  <c r="U297" i="1"/>
  <c r="K297" i="1"/>
  <c r="E297" i="1"/>
  <c r="B297" i="1"/>
  <c r="U296" i="1"/>
  <c r="K296" i="1"/>
  <c r="E296" i="1"/>
  <c r="B296" i="1"/>
  <c r="U295" i="1"/>
  <c r="K295" i="1"/>
  <c r="E295" i="1"/>
  <c r="B295" i="1"/>
  <c r="U294" i="1"/>
  <c r="K294" i="1"/>
  <c r="E294" i="1"/>
  <c r="B294" i="1"/>
  <c r="U293" i="1"/>
  <c r="K293" i="1"/>
  <c r="E293" i="1"/>
  <c r="B293" i="1"/>
  <c r="U292" i="1"/>
  <c r="K292" i="1"/>
  <c r="E292" i="1"/>
  <c r="B292" i="1"/>
  <c r="U291" i="1"/>
  <c r="K291" i="1"/>
  <c r="E291" i="1"/>
  <c r="B291" i="1"/>
  <c r="U290" i="1"/>
  <c r="K290" i="1"/>
  <c r="E290" i="1"/>
  <c r="B290" i="1"/>
  <c r="U289" i="1"/>
  <c r="K289" i="1"/>
  <c r="E289" i="1"/>
  <c r="B289" i="1"/>
  <c r="U288" i="1"/>
  <c r="K288" i="1"/>
  <c r="E288" i="1"/>
  <c r="B288" i="1"/>
  <c r="U287" i="1"/>
  <c r="K287" i="1"/>
  <c r="E287" i="1"/>
  <c r="B287" i="1"/>
  <c r="U286" i="1"/>
  <c r="K286" i="1"/>
  <c r="E286" i="1"/>
  <c r="B286" i="1"/>
  <c r="U285" i="1"/>
  <c r="K285" i="1"/>
  <c r="E285" i="1"/>
  <c r="B285" i="1"/>
  <c r="U284" i="1"/>
  <c r="K284" i="1"/>
  <c r="E284" i="1"/>
  <c r="B284" i="1"/>
  <c r="U283" i="1"/>
  <c r="K283" i="1"/>
  <c r="E283" i="1"/>
  <c r="B283" i="1"/>
  <c r="U282" i="1"/>
  <c r="K282" i="1"/>
  <c r="E282" i="1"/>
  <c r="B282" i="1"/>
  <c r="U281" i="1"/>
  <c r="K281" i="1"/>
  <c r="E281" i="1"/>
  <c r="B281" i="1"/>
  <c r="U280" i="1"/>
  <c r="K280" i="1"/>
  <c r="E280" i="1"/>
  <c r="B280" i="1"/>
  <c r="U279" i="1"/>
  <c r="K279" i="1"/>
  <c r="E279" i="1"/>
  <c r="B279" i="1"/>
  <c r="U278" i="1"/>
  <c r="K278" i="1"/>
  <c r="E278" i="1"/>
  <c r="B278" i="1"/>
  <c r="U277" i="1"/>
  <c r="K277" i="1"/>
  <c r="E277" i="1"/>
  <c r="B277" i="1"/>
  <c r="U276" i="1"/>
  <c r="K276" i="1"/>
  <c r="E276" i="1"/>
  <c r="B276" i="1"/>
  <c r="U275" i="1"/>
  <c r="K275" i="1"/>
  <c r="E275" i="1"/>
  <c r="B275" i="1"/>
  <c r="U274" i="1"/>
  <c r="K274" i="1"/>
  <c r="E274" i="1"/>
  <c r="B274" i="1"/>
  <c r="U273" i="1"/>
  <c r="K273" i="1"/>
  <c r="E273" i="1"/>
  <c r="B273" i="1"/>
  <c r="U272" i="1"/>
  <c r="K272" i="1"/>
  <c r="E272" i="1"/>
  <c r="B272" i="1"/>
  <c r="U271" i="1"/>
  <c r="K271" i="1"/>
  <c r="E271" i="1"/>
  <c r="B271" i="1"/>
  <c r="U270" i="1"/>
  <c r="K270" i="1"/>
  <c r="E270" i="1"/>
  <c r="B270" i="1"/>
  <c r="U269" i="1"/>
  <c r="K269" i="1"/>
  <c r="E269" i="1"/>
  <c r="B269" i="1"/>
  <c r="U268" i="1"/>
  <c r="K268" i="1"/>
  <c r="E268" i="1"/>
  <c r="B268" i="1"/>
  <c r="U267" i="1"/>
  <c r="K267" i="1"/>
  <c r="E267" i="1"/>
  <c r="B267" i="1"/>
  <c r="U266" i="1"/>
  <c r="K266" i="1"/>
  <c r="E266" i="1"/>
  <c r="B266" i="1"/>
  <c r="U265" i="1"/>
  <c r="K265" i="1"/>
  <c r="E265" i="1"/>
  <c r="B265" i="1"/>
  <c r="U264" i="1"/>
  <c r="K264" i="1"/>
  <c r="E264" i="1"/>
  <c r="B264" i="1"/>
  <c r="U263" i="1"/>
  <c r="K263" i="1"/>
  <c r="E263" i="1"/>
  <c r="B263" i="1"/>
  <c r="U262" i="1"/>
  <c r="K262" i="1"/>
  <c r="E262" i="1"/>
  <c r="B262" i="1"/>
  <c r="U261" i="1"/>
  <c r="K261" i="1"/>
  <c r="E261" i="1"/>
  <c r="B261" i="1"/>
  <c r="U260" i="1"/>
  <c r="K260" i="1"/>
  <c r="E260" i="1"/>
  <c r="B260" i="1"/>
  <c r="U259" i="1"/>
  <c r="K259" i="1"/>
  <c r="E259" i="1"/>
  <c r="B259" i="1"/>
  <c r="U258" i="1"/>
  <c r="K258" i="1"/>
  <c r="E258" i="1"/>
  <c r="B258" i="1"/>
  <c r="U257" i="1"/>
  <c r="K257" i="1"/>
  <c r="E257" i="1"/>
  <c r="B257" i="1"/>
  <c r="U256" i="1"/>
  <c r="K256" i="1"/>
  <c r="E256" i="1"/>
  <c r="B256" i="1"/>
  <c r="U255" i="1"/>
  <c r="K255" i="1"/>
  <c r="E255" i="1"/>
  <c r="B255" i="1"/>
  <c r="U254" i="1"/>
  <c r="K254" i="1"/>
  <c r="E254" i="1"/>
  <c r="B254" i="1"/>
  <c r="U253" i="1"/>
  <c r="K253" i="1"/>
  <c r="E253" i="1"/>
  <c r="B253" i="1"/>
  <c r="U252" i="1"/>
  <c r="K252" i="1"/>
  <c r="E252" i="1"/>
  <c r="B252" i="1"/>
  <c r="U251" i="1"/>
  <c r="K251" i="1"/>
  <c r="E251" i="1"/>
  <c r="B251" i="1"/>
  <c r="U250" i="1"/>
  <c r="K250" i="1"/>
  <c r="E250" i="1"/>
  <c r="B250" i="1"/>
  <c r="U249" i="1"/>
  <c r="K249" i="1"/>
  <c r="E249" i="1"/>
  <c r="B249" i="1"/>
  <c r="U248" i="1"/>
  <c r="K248" i="1"/>
  <c r="E248" i="1"/>
  <c r="B248" i="1"/>
  <c r="U247" i="1"/>
  <c r="K247" i="1"/>
  <c r="E247" i="1"/>
  <c r="B247" i="1"/>
  <c r="U246" i="1"/>
  <c r="K246" i="1"/>
  <c r="E246" i="1"/>
  <c r="B246" i="1"/>
  <c r="U245" i="1"/>
  <c r="K245" i="1"/>
  <c r="E245" i="1"/>
  <c r="B245" i="1"/>
  <c r="U244" i="1"/>
  <c r="K244" i="1"/>
  <c r="E244" i="1"/>
  <c r="B244" i="1"/>
  <c r="U243" i="1"/>
  <c r="K243" i="1"/>
  <c r="E243" i="1"/>
  <c r="B243" i="1"/>
  <c r="U242" i="1"/>
  <c r="K242" i="1"/>
  <c r="E242" i="1"/>
  <c r="B242" i="1"/>
  <c r="U241" i="1"/>
  <c r="K241" i="1"/>
  <c r="E241" i="1"/>
  <c r="B241" i="1"/>
  <c r="U240" i="1"/>
  <c r="K240" i="1"/>
  <c r="E240" i="1"/>
  <c r="B240" i="1"/>
  <c r="U239" i="1"/>
  <c r="K239" i="1"/>
  <c r="E239" i="1"/>
  <c r="B239" i="1"/>
  <c r="U238" i="1"/>
  <c r="K238" i="1"/>
  <c r="E238" i="1"/>
  <c r="B238" i="1"/>
  <c r="U237" i="1"/>
  <c r="K237" i="1"/>
  <c r="E237" i="1"/>
  <c r="B237" i="1"/>
  <c r="U236" i="1"/>
  <c r="K236" i="1"/>
  <c r="E236" i="1"/>
  <c r="B236" i="1"/>
  <c r="U235" i="1"/>
  <c r="K235" i="1"/>
  <c r="E235" i="1"/>
  <c r="B235" i="1"/>
  <c r="U234" i="1"/>
  <c r="K234" i="1"/>
  <c r="E234" i="1"/>
  <c r="B234" i="1"/>
  <c r="U233" i="1"/>
  <c r="K233" i="1"/>
  <c r="E233" i="1"/>
  <c r="B233" i="1"/>
  <c r="U232" i="1"/>
  <c r="K232" i="1"/>
  <c r="E232" i="1"/>
  <c r="B232" i="1"/>
  <c r="U231" i="1"/>
  <c r="K231" i="1"/>
  <c r="E231" i="1"/>
  <c r="B231" i="1"/>
  <c r="U230" i="1"/>
  <c r="K230" i="1"/>
  <c r="E230" i="1"/>
  <c r="B230" i="1"/>
  <c r="U229" i="1"/>
  <c r="K229" i="1"/>
  <c r="E229" i="1"/>
  <c r="B229" i="1"/>
  <c r="U228" i="1"/>
  <c r="K228" i="1"/>
  <c r="E228" i="1"/>
  <c r="B228" i="1"/>
  <c r="U227" i="1"/>
  <c r="K227" i="1"/>
  <c r="E227" i="1"/>
  <c r="B227" i="1"/>
  <c r="U226" i="1"/>
  <c r="K226" i="1"/>
  <c r="E226" i="1"/>
  <c r="B226" i="1"/>
  <c r="U225" i="1"/>
  <c r="K225" i="1"/>
  <c r="E225" i="1"/>
  <c r="B225" i="1"/>
  <c r="U224" i="1"/>
  <c r="K224" i="1"/>
  <c r="E224" i="1"/>
  <c r="B224" i="1"/>
  <c r="U223" i="1"/>
  <c r="K223" i="1"/>
  <c r="E223" i="1"/>
  <c r="B223" i="1"/>
  <c r="U222" i="1"/>
  <c r="K222" i="1"/>
  <c r="E222" i="1"/>
  <c r="B222" i="1"/>
  <c r="U221" i="1"/>
  <c r="K221" i="1"/>
  <c r="E221" i="1"/>
  <c r="B221" i="1"/>
  <c r="U220" i="1"/>
  <c r="K220" i="1"/>
  <c r="E220" i="1"/>
  <c r="B220" i="1"/>
  <c r="U219" i="1"/>
  <c r="K219" i="1"/>
  <c r="E219" i="1"/>
  <c r="B219" i="1"/>
  <c r="U218" i="1"/>
  <c r="K218" i="1"/>
  <c r="E218" i="1"/>
  <c r="B218" i="1"/>
  <c r="U217" i="1"/>
  <c r="K217" i="1"/>
  <c r="E217" i="1"/>
  <c r="B217" i="1"/>
  <c r="U216" i="1"/>
  <c r="K216" i="1"/>
  <c r="E216" i="1"/>
  <c r="B216" i="1"/>
  <c r="U215" i="1"/>
  <c r="K215" i="1"/>
  <c r="E215" i="1"/>
  <c r="B215" i="1"/>
  <c r="U214" i="1"/>
  <c r="K214" i="1"/>
  <c r="E214" i="1"/>
  <c r="B214" i="1"/>
  <c r="U213" i="1"/>
  <c r="K213" i="1"/>
  <c r="E213" i="1"/>
  <c r="B213" i="1"/>
  <c r="U212" i="1"/>
  <c r="K212" i="1"/>
  <c r="E212" i="1"/>
  <c r="B212" i="1"/>
  <c r="U211" i="1"/>
  <c r="K211" i="1"/>
  <c r="E211" i="1"/>
  <c r="B211" i="1"/>
  <c r="U210" i="1"/>
  <c r="K210" i="1"/>
  <c r="E210" i="1"/>
  <c r="B210" i="1"/>
  <c r="U209" i="1"/>
  <c r="K209" i="1"/>
  <c r="E209" i="1"/>
  <c r="B209" i="1"/>
  <c r="U208" i="1"/>
  <c r="K208" i="1"/>
  <c r="E208" i="1"/>
  <c r="B208" i="1"/>
  <c r="U207" i="1"/>
  <c r="K207" i="1"/>
  <c r="E207" i="1"/>
  <c r="B207" i="1"/>
  <c r="U206" i="1"/>
  <c r="K206" i="1"/>
  <c r="E206" i="1"/>
  <c r="B206" i="1"/>
  <c r="U205" i="1"/>
  <c r="K205" i="1"/>
  <c r="E205" i="1"/>
  <c r="B205" i="1"/>
  <c r="U204" i="1"/>
  <c r="K204" i="1"/>
  <c r="E204" i="1"/>
  <c r="B204" i="1"/>
  <c r="U203" i="1"/>
  <c r="K203" i="1"/>
  <c r="E203" i="1"/>
  <c r="B203" i="1"/>
  <c r="U202" i="1"/>
  <c r="K202" i="1"/>
  <c r="E202" i="1"/>
  <c r="B202" i="1"/>
  <c r="U201" i="1"/>
  <c r="K201" i="1"/>
  <c r="E201" i="1"/>
  <c r="B201" i="1"/>
  <c r="U200" i="1"/>
  <c r="K200" i="1"/>
  <c r="E200" i="1"/>
  <c r="B200" i="1"/>
  <c r="U199" i="1"/>
  <c r="K199" i="1"/>
  <c r="E199" i="1"/>
  <c r="B199" i="1"/>
  <c r="U198" i="1"/>
  <c r="K198" i="1"/>
  <c r="E198" i="1"/>
  <c r="B198" i="1"/>
  <c r="U197" i="1"/>
  <c r="K197" i="1"/>
  <c r="E197" i="1"/>
  <c r="B197" i="1"/>
  <c r="U196" i="1"/>
  <c r="K196" i="1"/>
  <c r="E196" i="1"/>
  <c r="B196" i="1"/>
  <c r="U195" i="1"/>
  <c r="K195" i="1"/>
  <c r="E195" i="1"/>
  <c r="B195" i="1"/>
  <c r="U194" i="1"/>
  <c r="K194" i="1"/>
  <c r="E194" i="1"/>
  <c r="B194" i="1"/>
  <c r="U193" i="1"/>
  <c r="K193" i="1"/>
  <c r="E193" i="1"/>
  <c r="B193" i="1"/>
  <c r="U192" i="1"/>
  <c r="K192" i="1"/>
  <c r="E192" i="1"/>
  <c r="B192" i="1"/>
  <c r="U191" i="1"/>
  <c r="K191" i="1"/>
  <c r="E191" i="1"/>
  <c r="B191" i="1"/>
  <c r="U190" i="1"/>
  <c r="K190" i="1"/>
  <c r="E190" i="1"/>
  <c r="B190" i="1"/>
  <c r="U189" i="1"/>
  <c r="K189" i="1"/>
  <c r="E189" i="1"/>
  <c r="B189" i="1"/>
  <c r="U188" i="1"/>
  <c r="K188" i="1"/>
  <c r="E188" i="1"/>
  <c r="B188" i="1"/>
  <c r="U187" i="1"/>
  <c r="K187" i="1"/>
  <c r="E187" i="1"/>
  <c r="B187" i="1"/>
  <c r="U186" i="1"/>
  <c r="K186" i="1"/>
  <c r="E186" i="1"/>
  <c r="B186" i="1"/>
  <c r="U185" i="1"/>
  <c r="K185" i="1"/>
  <c r="E185" i="1"/>
  <c r="B185" i="1"/>
  <c r="U184" i="1"/>
  <c r="K184" i="1"/>
  <c r="E184" i="1"/>
  <c r="B184" i="1"/>
  <c r="U183" i="1"/>
  <c r="K183" i="1"/>
  <c r="E183" i="1"/>
  <c r="B183" i="1"/>
  <c r="U182" i="1"/>
  <c r="K182" i="1"/>
  <c r="E182" i="1"/>
  <c r="B182" i="1"/>
  <c r="K181" i="1"/>
  <c r="E181" i="1"/>
  <c r="B181" i="1"/>
  <c r="U180" i="1"/>
  <c r="K180" i="1"/>
  <c r="E180" i="1"/>
  <c r="B180" i="1"/>
  <c r="U179" i="1"/>
  <c r="K179" i="1"/>
  <c r="E179" i="1"/>
  <c r="B179" i="1"/>
  <c r="U178" i="1"/>
  <c r="K178" i="1"/>
  <c r="E178" i="1"/>
  <c r="B178" i="1"/>
  <c r="U177" i="1"/>
  <c r="K177" i="1"/>
  <c r="E177" i="1"/>
  <c r="B177" i="1"/>
  <c r="U176" i="1"/>
  <c r="K176" i="1"/>
  <c r="E176" i="1"/>
  <c r="B176" i="1"/>
  <c r="U175" i="1"/>
  <c r="K175" i="1"/>
  <c r="E175" i="1"/>
  <c r="B175" i="1"/>
  <c r="U174" i="1"/>
  <c r="K174" i="1"/>
  <c r="E174" i="1"/>
  <c r="B174" i="1"/>
  <c r="U173" i="1"/>
  <c r="K173" i="1"/>
  <c r="E173" i="1"/>
  <c r="B173" i="1"/>
  <c r="U172" i="1"/>
  <c r="K172" i="1"/>
  <c r="E172" i="1"/>
  <c r="B172" i="1"/>
  <c r="U171" i="1"/>
  <c r="K171" i="1"/>
  <c r="E171" i="1"/>
  <c r="B171" i="1"/>
  <c r="U170" i="1"/>
  <c r="K170" i="1"/>
  <c r="E170" i="1"/>
  <c r="B170" i="1"/>
  <c r="U169" i="1"/>
  <c r="K169" i="1"/>
  <c r="E169" i="1"/>
  <c r="B169" i="1"/>
  <c r="U168" i="1"/>
  <c r="K168" i="1"/>
  <c r="E168" i="1"/>
  <c r="B168" i="1"/>
  <c r="U167" i="1"/>
  <c r="K167" i="1"/>
  <c r="E167" i="1"/>
  <c r="B167" i="1"/>
  <c r="U166" i="1"/>
  <c r="K166" i="1"/>
  <c r="E166" i="1"/>
  <c r="B166" i="1"/>
  <c r="U165" i="1"/>
  <c r="K165" i="1"/>
  <c r="E165" i="1"/>
  <c r="B165" i="1"/>
  <c r="U164" i="1"/>
  <c r="K164" i="1"/>
  <c r="E164" i="1"/>
  <c r="B164" i="1"/>
  <c r="U163" i="1"/>
  <c r="K163" i="1"/>
  <c r="E163" i="1"/>
  <c r="B163" i="1"/>
  <c r="U162" i="1"/>
  <c r="K162" i="1"/>
  <c r="E162" i="1"/>
  <c r="B162" i="1"/>
  <c r="U161" i="1"/>
  <c r="K161" i="1"/>
  <c r="E161" i="1"/>
  <c r="B161" i="1"/>
  <c r="U160" i="1"/>
  <c r="K160" i="1"/>
  <c r="E160" i="1"/>
  <c r="B160" i="1"/>
  <c r="U159" i="1"/>
  <c r="K159" i="1"/>
  <c r="E159" i="1"/>
  <c r="B159" i="1"/>
  <c r="U158" i="1"/>
  <c r="K158" i="1"/>
  <c r="E158" i="1"/>
  <c r="B158" i="1"/>
  <c r="U157" i="1"/>
  <c r="K157" i="1"/>
  <c r="E157" i="1"/>
  <c r="B157" i="1"/>
  <c r="U156" i="1"/>
  <c r="K156" i="1"/>
  <c r="E156" i="1"/>
  <c r="B156" i="1"/>
  <c r="U155" i="1"/>
  <c r="K155" i="1"/>
  <c r="E155" i="1"/>
  <c r="B155" i="1"/>
  <c r="U154" i="1"/>
  <c r="K154" i="1"/>
  <c r="E154" i="1"/>
  <c r="B154" i="1"/>
  <c r="U153" i="1"/>
  <c r="K153" i="1"/>
  <c r="E153" i="1"/>
  <c r="B153" i="1"/>
  <c r="U152" i="1"/>
  <c r="K152" i="1"/>
  <c r="E152" i="1"/>
  <c r="B152" i="1"/>
  <c r="U151" i="1"/>
  <c r="K151" i="1"/>
  <c r="E151" i="1"/>
  <c r="B151" i="1"/>
  <c r="U150" i="1"/>
  <c r="K150" i="1"/>
  <c r="E150" i="1"/>
  <c r="B150" i="1"/>
  <c r="U149" i="1"/>
  <c r="K149" i="1"/>
  <c r="E149" i="1"/>
  <c r="B149" i="1"/>
  <c r="U148" i="1"/>
  <c r="K148" i="1"/>
  <c r="E148" i="1"/>
  <c r="B148" i="1"/>
  <c r="U147" i="1"/>
  <c r="K147" i="1"/>
  <c r="E147" i="1"/>
  <c r="B147" i="1"/>
  <c r="U146" i="1"/>
  <c r="K146" i="1"/>
  <c r="E146" i="1"/>
  <c r="B146" i="1"/>
  <c r="U145" i="1"/>
  <c r="K145" i="1"/>
  <c r="E145" i="1"/>
  <c r="B145" i="1"/>
  <c r="U144" i="1"/>
  <c r="K144" i="1"/>
  <c r="E144" i="1"/>
  <c r="B144" i="1"/>
  <c r="U143" i="1"/>
  <c r="K143" i="1"/>
  <c r="E143" i="1"/>
  <c r="B143" i="1"/>
  <c r="U142" i="1"/>
  <c r="K142" i="1"/>
  <c r="E142" i="1"/>
  <c r="B142" i="1"/>
  <c r="U141" i="1"/>
  <c r="K141" i="1"/>
  <c r="E141" i="1"/>
  <c r="B141" i="1"/>
  <c r="U140" i="1"/>
  <c r="K140" i="1"/>
  <c r="E140" i="1"/>
  <c r="B140" i="1"/>
  <c r="U139" i="1"/>
  <c r="K139" i="1"/>
  <c r="E139" i="1"/>
  <c r="B139" i="1"/>
  <c r="U138" i="1"/>
  <c r="K138" i="1"/>
  <c r="E138" i="1"/>
  <c r="B138" i="1"/>
  <c r="U137" i="1"/>
  <c r="K137" i="1"/>
  <c r="E137" i="1"/>
  <c r="B137" i="1"/>
  <c r="U136" i="1"/>
  <c r="K136" i="1"/>
  <c r="E136" i="1"/>
  <c r="B136" i="1"/>
  <c r="U135" i="1"/>
  <c r="K135" i="1"/>
  <c r="E135" i="1"/>
  <c r="B135" i="1"/>
  <c r="U134" i="1"/>
  <c r="K134" i="1"/>
  <c r="E134" i="1"/>
  <c r="B134" i="1"/>
  <c r="U133" i="1"/>
  <c r="K133" i="1"/>
  <c r="E133" i="1"/>
  <c r="B133" i="1"/>
  <c r="U132" i="1"/>
  <c r="K132" i="1"/>
  <c r="E132" i="1"/>
  <c r="B132" i="1"/>
  <c r="U131" i="1"/>
  <c r="K131" i="1"/>
  <c r="E131" i="1"/>
  <c r="B131" i="1"/>
  <c r="U130" i="1"/>
  <c r="K130" i="1"/>
  <c r="E130" i="1"/>
  <c r="B130" i="1"/>
  <c r="U129" i="1"/>
  <c r="K129" i="1"/>
  <c r="E129" i="1"/>
  <c r="B129" i="1"/>
  <c r="U128" i="1"/>
  <c r="K128" i="1"/>
  <c r="E128" i="1"/>
  <c r="B128" i="1"/>
  <c r="U127" i="1"/>
  <c r="K127" i="1"/>
  <c r="E127" i="1"/>
  <c r="B127" i="1"/>
  <c r="U126" i="1"/>
  <c r="K126" i="1"/>
  <c r="E126" i="1"/>
  <c r="B126" i="1"/>
  <c r="U125" i="1"/>
  <c r="K125" i="1"/>
  <c r="E125" i="1"/>
  <c r="B125" i="1"/>
  <c r="K124" i="1"/>
  <c r="E124" i="1"/>
  <c r="B124" i="1"/>
  <c r="U123" i="1"/>
  <c r="K123" i="1"/>
  <c r="E123" i="1"/>
  <c r="B123" i="1"/>
  <c r="U122" i="1"/>
  <c r="K122" i="1"/>
  <c r="E122" i="1"/>
  <c r="B122" i="1"/>
  <c r="U121" i="1"/>
  <c r="K121" i="1"/>
  <c r="E121" i="1"/>
  <c r="B121" i="1"/>
  <c r="U120" i="1"/>
  <c r="K120" i="1"/>
  <c r="E120" i="1"/>
  <c r="B120" i="1"/>
  <c r="U119" i="1"/>
  <c r="K119" i="1"/>
  <c r="E119" i="1"/>
  <c r="B119" i="1"/>
  <c r="U118" i="1"/>
  <c r="K118" i="1"/>
  <c r="E118" i="1"/>
  <c r="B118" i="1"/>
  <c r="U117" i="1"/>
  <c r="K117" i="1"/>
  <c r="E117" i="1"/>
  <c r="B117" i="1"/>
  <c r="U116" i="1"/>
  <c r="K116" i="1"/>
  <c r="E116" i="1"/>
  <c r="B116" i="1"/>
  <c r="U115" i="1"/>
  <c r="K115" i="1"/>
  <c r="E115" i="1"/>
  <c r="B115" i="1"/>
  <c r="U114" i="1"/>
  <c r="K114" i="1"/>
  <c r="E114" i="1"/>
  <c r="B114" i="1"/>
  <c r="U113" i="1"/>
  <c r="K113" i="1"/>
  <c r="E113" i="1"/>
  <c r="B113" i="1"/>
  <c r="U112" i="1"/>
  <c r="K112" i="1"/>
  <c r="E112" i="1"/>
  <c r="B112" i="1"/>
  <c r="U111" i="1"/>
  <c r="K111" i="1"/>
  <c r="E111" i="1"/>
  <c r="B111" i="1"/>
  <c r="U110" i="1"/>
  <c r="K110" i="1"/>
  <c r="E110" i="1"/>
  <c r="B110" i="1"/>
  <c r="U109" i="1"/>
  <c r="K109" i="1"/>
  <c r="E109" i="1"/>
  <c r="B109" i="1"/>
  <c r="U108" i="1"/>
  <c r="K108" i="1"/>
  <c r="E108" i="1"/>
  <c r="B108" i="1"/>
  <c r="U107" i="1"/>
  <c r="K107" i="1"/>
  <c r="E107" i="1"/>
  <c r="B107" i="1"/>
  <c r="U106" i="1"/>
  <c r="K106" i="1"/>
  <c r="E106" i="1"/>
  <c r="B106" i="1"/>
  <c r="U105" i="1"/>
  <c r="K105" i="1"/>
  <c r="E105" i="1"/>
  <c r="B105" i="1"/>
  <c r="U104" i="1"/>
  <c r="K104" i="1"/>
  <c r="E104" i="1"/>
  <c r="B104" i="1"/>
  <c r="U103" i="1"/>
  <c r="K103" i="1"/>
  <c r="E103" i="1"/>
  <c r="B103" i="1"/>
  <c r="U102" i="1"/>
  <c r="K102" i="1"/>
  <c r="E102" i="1"/>
  <c r="B102" i="1"/>
  <c r="U101" i="1"/>
  <c r="K101" i="1"/>
  <c r="E101" i="1"/>
  <c r="B101" i="1"/>
  <c r="U100" i="1"/>
  <c r="K100" i="1"/>
  <c r="E100" i="1"/>
  <c r="B100" i="1"/>
  <c r="U99" i="1"/>
  <c r="K99" i="1"/>
  <c r="E99" i="1"/>
  <c r="B99" i="1"/>
  <c r="U98" i="1"/>
  <c r="K98" i="1"/>
  <c r="E98" i="1"/>
  <c r="B98" i="1"/>
  <c r="U97" i="1"/>
  <c r="K97" i="1"/>
  <c r="E97" i="1"/>
  <c r="B97" i="1"/>
  <c r="U96" i="1"/>
  <c r="K96" i="1"/>
  <c r="E96" i="1"/>
  <c r="B96" i="1"/>
  <c r="U95" i="1"/>
  <c r="K95" i="1"/>
  <c r="E95" i="1"/>
  <c r="B95" i="1"/>
  <c r="U94" i="1"/>
  <c r="K94" i="1"/>
  <c r="E94" i="1"/>
  <c r="B94" i="1"/>
  <c r="U93" i="1"/>
  <c r="K93" i="1"/>
  <c r="E93" i="1"/>
  <c r="B93" i="1"/>
  <c r="U92" i="1"/>
  <c r="K92" i="1"/>
  <c r="E92" i="1"/>
  <c r="B92" i="1"/>
  <c r="U91" i="1"/>
  <c r="K91" i="1"/>
  <c r="E91" i="1"/>
  <c r="B91" i="1"/>
  <c r="U90" i="1"/>
  <c r="K90" i="1"/>
  <c r="E90" i="1"/>
  <c r="B90" i="1"/>
  <c r="U89" i="1"/>
  <c r="K89" i="1"/>
  <c r="E89" i="1"/>
  <c r="B89" i="1"/>
  <c r="U88" i="1"/>
  <c r="K88" i="1"/>
  <c r="E88" i="1"/>
  <c r="B88" i="1"/>
  <c r="U87" i="1"/>
  <c r="K87" i="1"/>
  <c r="E87" i="1"/>
  <c r="B87" i="1"/>
  <c r="U86" i="1"/>
  <c r="K86" i="1"/>
  <c r="E86" i="1"/>
  <c r="B86" i="1"/>
  <c r="U85" i="1"/>
  <c r="K85" i="1"/>
  <c r="E85" i="1"/>
  <c r="B85" i="1"/>
  <c r="U84" i="1"/>
  <c r="K84" i="1"/>
  <c r="E84" i="1"/>
  <c r="B84" i="1"/>
  <c r="U83" i="1"/>
  <c r="K83" i="1"/>
  <c r="E83" i="1"/>
  <c r="B83" i="1"/>
  <c r="U82" i="1"/>
  <c r="K82" i="1"/>
  <c r="E82" i="1"/>
  <c r="B82" i="1"/>
  <c r="U81" i="1"/>
  <c r="K81" i="1"/>
  <c r="E81" i="1"/>
  <c r="B81" i="1"/>
  <c r="U80" i="1"/>
  <c r="K80" i="1"/>
  <c r="E80" i="1"/>
  <c r="B80" i="1"/>
  <c r="U79" i="1"/>
  <c r="K79" i="1"/>
  <c r="E79" i="1"/>
  <c r="B79" i="1"/>
  <c r="U78" i="1"/>
  <c r="K78" i="1"/>
  <c r="E78" i="1"/>
  <c r="B78" i="1"/>
  <c r="U77" i="1"/>
  <c r="K77" i="1"/>
  <c r="E77" i="1"/>
  <c r="B77" i="1"/>
  <c r="U76" i="1"/>
  <c r="K76" i="1"/>
  <c r="E76" i="1"/>
  <c r="B76" i="1"/>
  <c r="U75" i="1"/>
  <c r="K75" i="1"/>
  <c r="E75" i="1"/>
  <c r="B75" i="1"/>
  <c r="U74" i="1"/>
  <c r="K74" i="1"/>
  <c r="E74" i="1"/>
  <c r="B74" i="1"/>
  <c r="U73" i="1"/>
  <c r="K73" i="1"/>
  <c r="E73" i="1"/>
  <c r="B73" i="1"/>
  <c r="U72" i="1"/>
  <c r="K72" i="1"/>
  <c r="E72" i="1"/>
  <c r="B72" i="1"/>
  <c r="U71" i="1"/>
  <c r="K71" i="1"/>
  <c r="E71" i="1"/>
  <c r="B71" i="1"/>
  <c r="U70" i="1"/>
  <c r="K70" i="1"/>
  <c r="E70" i="1"/>
  <c r="B70" i="1"/>
  <c r="U69" i="1"/>
  <c r="K69" i="1"/>
  <c r="E69" i="1"/>
  <c r="B69" i="1"/>
  <c r="U68" i="1"/>
  <c r="K68" i="1"/>
  <c r="E68" i="1"/>
  <c r="B68" i="1"/>
  <c r="U67" i="1"/>
  <c r="K67" i="1"/>
  <c r="E67" i="1"/>
  <c r="B67" i="1"/>
  <c r="U66" i="1"/>
  <c r="K66" i="1"/>
  <c r="E66" i="1"/>
  <c r="B66" i="1"/>
  <c r="U65" i="1"/>
  <c r="K65" i="1"/>
  <c r="E65" i="1"/>
  <c r="B65" i="1"/>
  <c r="U64" i="1"/>
  <c r="K64" i="1"/>
  <c r="E64" i="1"/>
  <c r="B64" i="1"/>
  <c r="U63" i="1"/>
  <c r="K63" i="1"/>
  <c r="E63" i="1"/>
  <c r="B63" i="1"/>
  <c r="U62" i="1"/>
  <c r="K62" i="1"/>
  <c r="E62" i="1"/>
  <c r="B62" i="1"/>
  <c r="K61" i="1"/>
  <c r="E61" i="1"/>
  <c r="B61" i="1"/>
  <c r="U60" i="1"/>
  <c r="K60" i="1"/>
  <c r="E60" i="1"/>
  <c r="B60" i="1"/>
  <c r="U59" i="1"/>
  <c r="K59" i="1"/>
  <c r="E59" i="1"/>
  <c r="B59" i="1"/>
  <c r="U58" i="1"/>
  <c r="K58" i="1"/>
  <c r="E58" i="1"/>
  <c r="B58" i="1"/>
  <c r="U57" i="1"/>
  <c r="K57" i="1"/>
  <c r="E57" i="1"/>
  <c r="B57" i="1"/>
  <c r="U56" i="1"/>
  <c r="K56" i="1"/>
  <c r="E56" i="1"/>
  <c r="B56" i="1"/>
  <c r="U55" i="1"/>
  <c r="K55" i="1"/>
  <c r="E55" i="1"/>
  <c r="B55" i="1"/>
  <c r="U54" i="1"/>
  <c r="K54" i="1"/>
  <c r="E54" i="1"/>
  <c r="B54" i="1"/>
  <c r="U53" i="1"/>
  <c r="K53" i="1"/>
  <c r="E53" i="1"/>
  <c r="B53" i="1"/>
  <c r="U52" i="1"/>
  <c r="K52" i="1"/>
  <c r="E52" i="1"/>
  <c r="B52" i="1"/>
  <c r="U51" i="1"/>
  <c r="K51" i="1"/>
  <c r="E51" i="1"/>
  <c r="B51" i="1"/>
  <c r="U50" i="1"/>
  <c r="K50" i="1"/>
  <c r="E50" i="1"/>
  <c r="B50" i="1"/>
  <c r="U49" i="1"/>
  <c r="K49" i="1"/>
  <c r="E49" i="1"/>
  <c r="B49" i="1"/>
  <c r="U48" i="1"/>
  <c r="K48" i="1"/>
  <c r="E48" i="1"/>
  <c r="B48" i="1"/>
  <c r="U47" i="1"/>
  <c r="K47" i="1"/>
  <c r="E47" i="1"/>
  <c r="B47" i="1"/>
  <c r="U46" i="1"/>
  <c r="K46" i="1"/>
  <c r="E46" i="1"/>
  <c r="B46" i="1"/>
  <c r="U45" i="1"/>
  <c r="K45" i="1"/>
  <c r="E45" i="1"/>
  <c r="B45" i="1"/>
  <c r="U44" i="1"/>
  <c r="K44" i="1"/>
  <c r="E44" i="1"/>
  <c r="B44" i="1"/>
  <c r="U43" i="1"/>
  <c r="K43" i="1"/>
  <c r="E43" i="1"/>
  <c r="B43" i="1"/>
  <c r="U42" i="1"/>
  <c r="K42" i="1"/>
  <c r="E42" i="1"/>
  <c r="B42" i="1"/>
  <c r="U41" i="1"/>
  <c r="K41" i="1"/>
  <c r="E41" i="1"/>
  <c r="B41" i="1"/>
  <c r="U40" i="1"/>
  <c r="K40" i="1"/>
  <c r="E40" i="1"/>
  <c r="B40" i="1"/>
  <c r="U39" i="1"/>
  <c r="K39" i="1"/>
  <c r="E39" i="1"/>
  <c r="B39" i="1"/>
  <c r="U38" i="1"/>
  <c r="K38" i="1"/>
  <c r="E38" i="1"/>
  <c r="B38" i="1"/>
  <c r="U37" i="1"/>
  <c r="K37" i="1"/>
  <c r="E37" i="1"/>
  <c r="B37" i="1"/>
  <c r="U36" i="1"/>
  <c r="K36" i="1"/>
  <c r="E36" i="1"/>
  <c r="B36" i="1"/>
  <c r="U35" i="1"/>
  <c r="K35" i="1"/>
  <c r="E35" i="1"/>
  <c r="B35" i="1"/>
  <c r="U34" i="1"/>
  <c r="K34" i="1"/>
  <c r="E34" i="1"/>
  <c r="B34" i="1"/>
  <c r="U33" i="1"/>
  <c r="K33" i="1"/>
  <c r="E33" i="1"/>
  <c r="B33" i="1"/>
  <c r="U32" i="1"/>
  <c r="K32" i="1"/>
  <c r="E32" i="1"/>
  <c r="B32" i="1"/>
  <c r="U31" i="1"/>
  <c r="K31" i="1"/>
  <c r="E31" i="1"/>
  <c r="B31" i="1"/>
  <c r="U30" i="1"/>
  <c r="K30" i="1"/>
  <c r="E30" i="1"/>
  <c r="B30" i="1"/>
  <c r="U29" i="1"/>
  <c r="K29" i="1"/>
  <c r="E29" i="1"/>
  <c r="B29" i="1"/>
  <c r="U28" i="1"/>
  <c r="K28" i="1"/>
  <c r="E28" i="1"/>
  <c r="B28" i="1"/>
  <c r="U27" i="1"/>
  <c r="K27" i="1"/>
  <c r="E27" i="1"/>
  <c r="B27" i="1"/>
  <c r="U26" i="1"/>
  <c r="K26" i="1"/>
  <c r="E26" i="1"/>
  <c r="B26" i="1"/>
  <c r="U25" i="1"/>
  <c r="K25" i="1"/>
  <c r="E25" i="1"/>
  <c r="B25" i="1"/>
  <c r="U24" i="1"/>
  <c r="K24" i="1"/>
  <c r="E24" i="1"/>
  <c r="B24" i="1"/>
  <c r="U23" i="1"/>
  <c r="K23" i="1"/>
  <c r="E23" i="1"/>
  <c r="B23" i="1"/>
  <c r="U22" i="1"/>
  <c r="K22" i="1"/>
  <c r="E22" i="1"/>
  <c r="B22" i="1"/>
  <c r="U21" i="1"/>
  <c r="K21" i="1"/>
  <c r="E21" i="1"/>
  <c r="B21" i="1"/>
  <c r="U20" i="1"/>
  <c r="K20" i="1"/>
  <c r="E20" i="1"/>
  <c r="B20" i="1"/>
  <c r="U19" i="1"/>
  <c r="K19" i="1"/>
  <c r="E19" i="1"/>
  <c r="B19" i="1"/>
  <c r="U18" i="1"/>
  <c r="K18" i="1"/>
  <c r="E18" i="1"/>
  <c r="B18" i="1"/>
  <c r="U17" i="1"/>
  <c r="K17" i="1"/>
  <c r="E17" i="1"/>
  <c r="B17" i="1"/>
  <c r="U16" i="1"/>
  <c r="K16" i="1"/>
  <c r="E16" i="1"/>
  <c r="B16" i="1"/>
  <c r="U15" i="1"/>
  <c r="K15" i="1"/>
  <c r="E15" i="1"/>
  <c r="B15" i="1"/>
  <c r="U14" i="1"/>
  <c r="K14" i="1"/>
  <c r="E14" i="1"/>
  <c r="B14" i="1"/>
  <c r="U13" i="1"/>
  <c r="K13" i="1"/>
  <c r="E13" i="1"/>
  <c r="B13" i="1"/>
  <c r="U12" i="1"/>
  <c r="K12" i="1"/>
  <c r="E12" i="1"/>
  <c r="B12" i="1"/>
  <c r="U11" i="1"/>
  <c r="K11" i="1"/>
  <c r="E11" i="1"/>
  <c r="B11" i="1"/>
  <c r="U10" i="1"/>
  <c r="K10" i="1"/>
  <c r="E10" i="1"/>
  <c r="B10" i="1"/>
  <c r="U9" i="1"/>
  <c r="K9" i="1"/>
  <c r="E9" i="1"/>
  <c r="B9" i="1"/>
  <c r="U8" i="1"/>
  <c r="K8" i="1"/>
  <c r="E8" i="1"/>
  <c r="B8" i="1"/>
  <c r="U7" i="1"/>
  <c r="K7" i="1"/>
  <c r="E7" i="1"/>
  <c r="B7" i="1"/>
  <c r="U6" i="1"/>
  <c r="K6" i="1"/>
  <c r="E6" i="1"/>
  <c r="B6" i="1"/>
  <c r="U5" i="1"/>
  <c r="K5" i="1"/>
  <c r="E5" i="1"/>
  <c r="B5" i="1"/>
  <c r="U4" i="1"/>
  <c r="K4" i="1"/>
  <c r="E4" i="1"/>
  <c r="B4" i="1"/>
  <c r="U3" i="1"/>
  <c r="K3" i="1"/>
  <c r="E3" i="1"/>
  <c r="B3" i="1"/>
</calcChain>
</file>

<file path=xl/sharedStrings.xml><?xml version="1.0" encoding="utf-8"?>
<sst xmlns="http://schemas.openxmlformats.org/spreadsheetml/2006/main" count="31911" uniqueCount="26415">
  <si>
    <t>Twitter Query: #TurkishArmy -filter:retweets</t>
  </si>
  <si>
    <t>Date</t>
  </si>
  <si>
    <t>Screen Name</t>
  </si>
  <si>
    <t>Full Name</t>
  </si>
  <si>
    <t>Tweet Text</t>
  </si>
  <si>
    <t>Twitter Query: #JamalKhashoggi OR #خاشقجي -filter:retweets</t>
  </si>
  <si>
    <t>Event Log</t>
  </si>
  <si>
    <t>Tweet ID</t>
  </si>
  <si>
    <t>Link(s)</t>
  </si>
  <si>
    <t>Media</t>
  </si>
  <si>
    <t>Location</t>
  </si>
  <si>
    <t>Retweets</t>
  </si>
  <si>
    <t>Favorites</t>
  </si>
  <si>
    <t>App</t>
  </si>
  <si>
    <t>Followers</t>
  </si>
  <si>
    <t>Follows</t>
  </si>
  <si>
    <t>Listed</t>
  </si>
  <si>
    <t>Verfied</t>
  </si>
  <si>
    <t>User Since</t>
  </si>
  <si>
    <t>Bio</t>
  </si>
  <si>
    <t>Website</t>
  </si>
  <si>
    <t>Timezone</t>
  </si>
  <si>
    <t>Profile Image</t>
  </si>
  <si>
    <t>This sheet will store the Twitter Archiver Logs</t>
  </si>
  <si>
    <t>Fetched 28 tweets for #JamalKhashoggi OR #خاشقجي -filter:retweets</t>
  </si>
  <si>
    <t>آدم الشمس</t>
  </si>
  <si>
    <t>Bülent COŞAN</t>
  </si>
  <si>
    <t>Sırtınızı dayadığınız yer yıkılıyor ağlamanız doğal. Tek tek biteceksiniz. Aldığınız her masum can için ayrı ayrı bedel ödeyeceksiniz. #TurkishArmy #BarışPınarıHarekâtı #PeaceSpringOperation RT @HDPgenelmerkezi: Kürt'ü, Arap'ı, Türkmen'i, Êzidî'si, Müslüman'ı, Hıristiyan'ı; 5 milyondan fazla insanın kardeşlik içerisinde yaşadığı bir bölgeye işgal girişimi başladı. Savaşı desteklemek, bu halklar değil IŞİD çeteleri komşumuz olsun demektir. Bin kez söyledik yine söylüyoruz; SAVAŞA HAYIR!</t>
  </si>
  <si>
    <t>"#JamalKhashoggi #خاشقجي "</t>
  </si>
  <si>
    <t>Fetched 96 tweets for #JamalKhashoggi OR #خاشقجي -filter:retweets</t>
  </si>
  <si>
    <t>https://twitter.com/HDPgenelmerkezi/status/1181936116229902336</t>
  </si>
  <si>
    <t>https://pbs.twimg.com/media/EF-kwdrWwA0yvZy.jpg</t>
  </si>
  <si>
    <t>Fetched 2476 tweets for #TurkishArmy -filter:retweets</t>
  </si>
  <si>
    <t>Fetched 153 tweets for #TurkishArmy -filter:retweets</t>
  </si>
  <si>
    <t>Fetched 40 tweets for #JamalKhashoggi OR #خاشقجي -filter:retweets</t>
  </si>
  <si>
    <t>Fetched 89 tweets for #JamalKhashoggi OR #خاشقجي -filter:retweets</t>
  </si>
  <si>
    <t>Fetched 35 tweets for #JamalKhashoggi OR #خاشقجي -filter:retweets</t>
  </si>
  <si>
    <t xml:space="preserve">   غالب القحطاني</t>
  </si>
  <si>
    <t>حصريا..ادم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#خاشقجي #قطر</t>
  </si>
  <si>
    <t>pic.twitter.com/AAi5kuLk6C</t>
  </si>
  <si>
    <t>Fetched 1525 tweets for #TurkishArmy -filter:retweets</t>
  </si>
  <si>
    <t>Fetched 246 tweets for #TurkishArmy -filter:retweets</t>
  </si>
  <si>
    <t>Fetched 15 tweets for #JamalKhashoggi OR #خاشقجي -filter:retweets</t>
  </si>
  <si>
    <t>زيدان عباس</t>
  </si>
  <si>
    <t>@SaudiNews50 باقي #خاشقجي وكرموهم بالشوارع من قتل الفغم هو من قتل خاشقجي #اين_الجثة</t>
  </si>
  <si>
    <t>Fetched 220 tweets for #TurkishArmy -filter:retweets</t>
  </si>
  <si>
    <t>SA</t>
  </si>
  <si>
    <t>‏لن ترى الدنيا على ارضي وصيا ..</t>
  </si>
  <si>
    <t>Fetched 191 tweets for #TurkishArmy -filter:retweets</t>
  </si>
  <si>
    <t>Fetched 107 tweets for #JamalKhashoggi OR #خاشقجي -filter:retweets</t>
  </si>
  <si>
    <t xml:space="preserve"> مبخوت البريكي</t>
  </si>
  <si>
    <t>أ. عبدالرحمن الملحم - كاتب ومحلل سياسي : قطر قامت بخيانة دول مجلس التعاون بإعطاء احداثيات حول الجنود الاماراتيين والسعوديين .  - جمال خاشقجي #JamalKhashoggi #قطر</t>
  </si>
  <si>
    <t>pic.twitter.com/4cuuD7gqmJ</t>
  </si>
  <si>
    <t>DIAMOND(UTAG)</t>
  </si>
  <si>
    <t>#JamalKhashoggi only wrote a few words that they didn’t like ?and they chopped him into little bits &amp; you @dkhos just lost them how fucking much £££££££ Wouldn’t go to any #worldwide #Saudi #Embassy #functions #bloodmoney #laughingmytitsoff #tflareubersbitch RT @catkins989: @karaswisher  As of Oct 8 2019, Saudi PiF is down about 40% or $1.4 billion from their share price when they bought $3.5 billion of Uber. The PiF bought in at $48.77 a share according to the above article. Call the unicorn protection program @profgalloway.</t>
  </si>
  <si>
    <t>https://twitter.com/catkins989/status/1181707969848729600
https://www.ccn.com/uber-ipo-smacks-saudi-wealth-fund-with-200-million-loss/</t>
  </si>
  <si>
    <t xml:space="preserve">under lambeth bridge </t>
  </si>
  <si>
    <t>I will have justice 4 what TFL &amp; their corrupt government paymasters have done to the trade i love #tflareubersbitch #safteymyass #zackgotfucked</t>
  </si>
  <si>
    <t xml:space="preserve"> سالم ال خريم</t>
  </si>
  <si>
    <t>تقرير: الأمم المتحدة تستعد لعدوان تركي محتمل شمال شرق سوريا .  #خاشقجي #قطر</t>
  </si>
  <si>
    <t>pic.twitter.com/lmDgDBYO25</t>
  </si>
  <si>
    <t>pic.twitter.com/Fiap9muNyn</t>
  </si>
  <si>
    <t>ننس الجلالي</t>
  </si>
  <si>
    <t>Hiçbir şeyin çok güzel olacağı yokta hayat işte bu umut kesilmez. Boğaziçi Üniversitesi 🇹🇷</t>
  </si>
  <si>
    <t>𝓜𝓾𝓱𝓪𝓶𝓶𝓮𝓽 محمد</t>
  </si>
  <si>
    <t>@tcsavunma #TurkishArmy 🇹🇷 #OperationPeaceSpring 🇹🇷 #BarisPinariHarekati 🇹🇷</t>
  </si>
  <si>
    <t>Big Blue Wave</t>
  </si>
  <si>
    <t>@supergeenie #NeverForget #JamalKhashoggi</t>
  </si>
  <si>
    <t>https://pbs.twimg.com/media/EGcTE_5XUAAcG7_.png</t>
  </si>
  <si>
    <t>Bursa, Türkiye</t>
  </si>
  <si>
    <t>İnsan büyüdükçe mi artıyor dertleri? Yoksa insan büyüdükçe mi anlıyor gerçekleri?</t>
  </si>
  <si>
    <t>floating thru twitter space</t>
  </si>
  <si>
    <t>fighter for freedom &amp; human rights. every call matters 202-224-3121 💪🏼 #GeeksResist, #TeamSpock, #ΩGuard #wtp2020, #PCA, textbanker, I WILL VETT YOU!</t>
  </si>
  <si>
    <t>https://indivisible.org/</t>
  </si>
  <si>
    <t>Son Dakika Haberler</t>
  </si>
  <si>
    <t>#BarışPınarıHarekatı - #TurkishArmy - #BarışPınarı #OperationPeaceSpring #PeaceSpring</t>
  </si>
  <si>
    <t>https://pbs.twimg.com/media/EGcbSwKWoAEtwB6.jpg</t>
  </si>
  <si>
    <t xml:space="preserve"> ﻓﻴﺼﻞ ﻋﺴﻴﺮﻱ ‏</t>
  </si>
  <si>
    <t>أ. نايف الحربي: إعلامي وكاتب صحفي: قناة الجزيرة تعتمد على الإعلاميين الهاربين من دولهم .  - جمال خاشقجي #خاشقجي #تركيا</t>
  </si>
  <si>
    <t>pic.twitter.com/1znhg8ncnv</t>
  </si>
  <si>
    <t>İzmir, Türkiye</t>
  </si>
  <si>
    <t>Medyanın yeni hali. | İzmir'den, Türkiye’den ve Dünyadan haberler ❗️#SonDakika</t>
  </si>
  <si>
    <t>http://izmirilkhaber.com</t>
  </si>
  <si>
    <t>أحمد محمد</t>
  </si>
  <si>
    <t>أ. نايف الحربي: إعلامي وكاتب صحفي: الإعلام السعودي أخرص الإعلام القطري والتركي .  - جمال خاشقجي #خاشقجي #عام_على_اغتيال_جمال</t>
  </si>
  <si>
    <t>pic.twitter.com/7xo7Vf5Zfe</t>
  </si>
  <si>
    <t>Ahmet ÖZCAN</t>
  </si>
  <si>
    <t>#TurkishArmy #BarisPinariHarekati #turkmilletiordusununyaninda</t>
  </si>
  <si>
    <t>https://pbs.twimg.com/media/EGcbbP8WoAU--gD.jpg</t>
  </si>
  <si>
    <t>alsaher89</t>
  </si>
  <si>
    <t>هذا مهرج لا اكثر اتذكر مواقفه في قضية #خاشقجي RT @WajdWaqfi: السناتور الجمهوري ليندزي غراهام يحذر #تركيا من القيام بالعملية العسكرية بالقرب من الحدود مع #سوريا، بالتلويح بورقة المعارضة الشديدة في الكونغرس من الحزبين للعملية. هو أحسن له لا يشد كتير ع حالو، لأن هالكونغرس لو فيه خير كان أوقف الدعم للحرب في #اليمن و حاسَب قتلة #خاشقجي.</t>
  </si>
  <si>
    <t>https://twitter.com/wajdwaqfi/status/1181858033925799937
https://twitter.com/lindseygrahamsc/status/1181714248977833984</t>
  </si>
  <si>
    <t>Kadıköy, İstanbul</t>
  </si>
  <si>
    <t>Gazi University CVL.E.</t>
  </si>
  <si>
    <t>اليمن</t>
  </si>
  <si>
    <t>ستنتصر يا يمن الشرفاء..! ! مع #اليمن_حتى_النصر #قطر</t>
  </si>
  <si>
    <t>Bir Parça Tuhaftık</t>
  </si>
  <si>
    <t>#SONDAKİKA | Barış Pınarı Harekatı'nın başlamasının ardından Meclis'teki oturumda HDP'liler harekata ilişkin işgalci benzetmesi yapınca AK Partililerle tartışma yaşandı. #BarışPınarıHarekatı - #TurkishArmy - #BarışPınarı🇹🇷</t>
  </si>
  <si>
    <t xml:space="preserve"> عبدالله فيصل</t>
  </si>
  <si>
    <t>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#تركيا</t>
  </si>
  <si>
    <t>pic.twitter.com/0sRBLgzZBf</t>
  </si>
  <si>
    <t>Dünyadan ve Türkiye'den en önemli haberleri en hızlı şekilde size sunar. Atatürk'ün ışığı altında! eray@birparcatuhaftik.com</t>
  </si>
  <si>
    <t>http://birparcatuhaftik.com</t>
  </si>
  <si>
    <t xml:space="preserve"> بجاد  الراضي </t>
  </si>
  <si>
    <t>د. عدنان محمد: لدى موظفي قناة الجزيرة ولاءها للنظام الإرهابي في ايران أكثر من الشعب الإيراني الحر الأبي الذي يخرج كل يوم ويهتف لإسقاط هذا النظام الذي يحتل ايران .  - جمال خاشقجي #JamalKhashoggi #تركيا</t>
  </si>
  <si>
    <t>pic.twitter.com/1vMeW8GviH</t>
  </si>
  <si>
    <t>Step News Agency</t>
  </si>
  <si>
    <t>عاجل|| اندلاع اشتباكات بين ميليشيا #قسد والجيش التركي في معبر مدينة #الدرباسية بريف #الحسكة. #Syria #Turkey #TurkishArmy #SDF #BarışPınarıHarekati #تركيا #نبع_السلام #شرق_الفرات</t>
  </si>
  <si>
    <t>Syria</t>
  </si>
  <si>
    <t>وكالة إخبارية تهدف لنقل الحقيقة كما هي عن طريق مراسليها المنتشرين في الداخل السوري</t>
  </si>
  <si>
    <t>http://stepagency-sy.net</t>
  </si>
  <si>
    <t>حمود الاحمري</t>
  </si>
  <si>
    <t>اللواء المتقاعد د. زايد العمري: خبير استراتيجي ومحلل سياسي: يشق علينا أن نراء الشعب القطري يمر بهذه التجربة المريرة الذي فرضها النظام القطري عليه .  - جمال خاشقجي #JamalKhashoggi #قطر</t>
  </si>
  <si>
    <t>pic.twitter.com/WPqlXuCTpP</t>
  </si>
  <si>
    <t>Ş. Turgay Altay</t>
  </si>
  <si>
    <t>Selam şanlı mazimize! Selam yarına! Selam zafer ordusunun silahlarına! Ey geçmişin yiğitleri! Selam sizlere! Ey yarının şehitleri! Selam sizlere! #Atsız 🇹🇷 #BarışPınarıHarekatı #TurkishArmy</t>
  </si>
  <si>
    <t>https://pbs.twimg.com/media/EGcbQ_GWoAAWYiP.jpg</t>
  </si>
  <si>
    <t xml:space="preserve">  شعيل مزعل </t>
  </si>
  <si>
    <t>تقرير: الجبير: استرضاء إيران غذى سلوكها العدواني .  - جمال خاشقجي #خاشقجي #عام_على_رحيل_جمال</t>
  </si>
  <si>
    <t>pic.twitter.com/rTEoB2CGbI</t>
  </si>
  <si>
    <t>Alanya, Türkiye</t>
  </si>
  <si>
    <t>Doğa Koleji Tarih Öğretmeni Facabook: http://facebook.com/sturgayaltay</t>
  </si>
  <si>
    <t>http://www.instagram.com/turgayaltay</t>
  </si>
  <si>
    <t>ﻓﺎﻳﺰ ﺍﻟﺤﺎﺭﺛﻲ</t>
  </si>
  <si>
    <t>السفير 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#خاشقجي #عام_على_رحيل_خاشقجي</t>
  </si>
  <si>
    <t>Hakan Onur Taylan⚡️</t>
  </si>
  <si>
    <t>pic.twitter.com/sQcT5RFPhW</t>
  </si>
  <si>
    <t>#BarisPinari #BarisPinariHarekati #OperationPeaceSpring #TurkishArmy</t>
  </si>
  <si>
    <t>https://pbs.twimg.com/media/EGcbOLKWoAARIeO.jpg</t>
  </si>
  <si>
    <t>علي ال معجبه</t>
  </si>
  <si>
    <t>أتصال/ أ. توفيق قويدر شيشي: كاتب صحفي ومحلل سياسي أمني في الشأن الأوروبي – باريس: القرضاوي منع من دخول فرنسا وأوروبا بشكل عام .  - جمال خاشقجي #خاشقجي #عام_على_رحيل_خاشقجي</t>
  </si>
  <si>
    <t>Ne Mutlu Türküm Diyene/Mustafa Kemal Atatürk/Trakya/Keep Calm And Rock On 🤘</t>
  </si>
  <si>
    <t>pic.twitter.com/kvKSto7aPF</t>
  </si>
  <si>
    <t>7Oct My Day 🎂</t>
  </si>
  <si>
    <t>We #Pakistani always stand with our Turkish Brothers and Sisters against the enimies of Turkey and Islam. Trump playing wrong cards with Muslims. They don't know our Power. It's time to stand Togather. #PakistanStandsWithTurkey #PakistanArmy #TurkishArmy</t>
  </si>
  <si>
    <t>Islamabad</t>
  </si>
  <si>
    <t>#HalaMadrid ❤ Cr7❤ zaveyar ❤ W¡Sh YoU WeRe HeRe ❤</t>
  </si>
  <si>
    <t>Sabine Jean Youssef</t>
  </si>
  <si>
    <t>@taqadum @JKhashoggi The Kingdom reaffirms its keenness to achieve justice in respect to the case of Saudi citizen #JamalKhashoggi and to continue until the end.</t>
  </si>
  <si>
    <t>Gamze</t>
  </si>
  <si>
    <t>Rabbim ayağınıza taş değdirmesin. Gâzânız kutlu olsun ey yüce şanlı asker!🇹🇷 #BarışPınarıHarekatı #TurkishArmy</t>
  </si>
  <si>
    <t>https://pbs.twimg.com/media/EGcbHymX0AAVpVU.jpg</t>
  </si>
  <si>
    <t>beirut, Lebanon</t>
  </si>
  <si>
    <t>أنا حرّة، ولا شيء يقيّدني ... أُنزل العقوبات على نفسي ... أنا !! وحدي ... سيّدة نفسي</t>
  </si>
  <si>
    <t>ﺳﻬﻞ ﻣﺪﺧﻠﻲ</t>
  </si>
  <si>
    <t>د. محمد الحلفي : باحث في التاريخ الحديث : قامت قناة الجزيرة من اجل تفكيك المجتمعات العربية وإثارة الفوضى في المنطقة.  #ايران #خاشقجي</t>
  </si>
  <si>
    <t>Bayrampaşa, İstanbul</t>
  </si>
  <si>
    <t>BEŞİKTAŞ JK. UĞUR AKYER.</t>
  </si>
  <si>
    <t>http://www.instagram.com/gamzeaydn74</t>
  </si>
  <si>
    <t>pic.twitter.com/AppF5iaCL9</t>
  </si>
  <si>
    <t>yağmurr💦</t>
  </si>
  <si>
    <t>Sen tarihsin, Sen zafersin, Sen vatansın Vur Mehmedim! Vur ki; Dünya utansın🇹🇷 #TurkishArmy</t>
  </si>
  <si>
    <t>https://pbs.twimg.com/media/EGbMH8-WwAATKqC.jpg</t>
  </si>
  <si>
    <t xml:space="preserve">عناد الرخيمي </t>
  </si>
  <si>
    <t>د. محمد الحلفي – باحث في التاريخ الحديث: لا يمكن لـ قناة الجزيرة ان تُذيع ولو حلقة واحدة عما يجري في الداخل القطري.  #خاشقجي #عام_على_رحيل_خاشقجي</t>
  </si>
  <si>
    <t>pic.twitter.com/N0GNL5cSMm</t>
  </si>
  <si>
    <t>Açan her çiçek, bir ayaza kurban olur... 🌸🌪🥀 Atauni💜ilahiyat 2/5 📚</t>
  </si>
  <si>
    <t xml:space="preserve"> ابراهيم حزام</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</si>
  <si>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#عام_على_اغتيال_جمال</t>
  </si>
  <si>
    <t>Cumhur İttifakı 🇹🇷🇦🇿</t>
  </si>
  <si>
    <t>#TurkishArmy</t>
  </si>
  <si>
    <t>pic.twitter.com/9dKUllkZKk</t>
  </si>
  <si>
    <t xml:space="preserve">Tam Bağımsız Türkiye </t>
  </si>
  <si>
    <t>#Cumhurİttifakı #Mhp #ÜçHilal #Bozkurt #HedefTuran</t>
  </si>
  <si>
    <t>عبدالرحمن عثمان</t>
  </si>
  <si>
    <t>العميد متقاعد. حسن الشهري: الدوحة مُسيرة ولا تملك من امرها شيء فلديها برنامج تخريبي في المنطقة يجب ان تُنفذه فالمُستهدف هو الاسلام.  - جمال خاشقجي #خاشقجي #عام_على_رحيل_خاشقجي</t>
  </si>
  <si>
    <t>pic.twitter.com/s6015qy21t</t>
  </si>
  <si>
    <t>ﻣﺴﺎﻋﺪ ﺍﻟﻌﻮﻓﻲ</t>
  </si>
  <si>
    <t>أ. نايف الحربي: إعلامي وكاتب صحفي: ايران تريد الاضرار بأمن المملكة .  - جمال خاشقجي #خاشقجي #عام_على_رحيل_جمال</t>
  </si>
  <si>
    <t>pic.twitter.com/CloYfcACaL</t>
  </si>
  <si>
    <t>Sami</t>
  </si>
  <si>
    <t>Fırtınalar dursun yana Yol ver Türk'ün bayrağına. #BarışPınarıHarekatı #TurkishArmy</t>
  </si>
  <si>
    <t xml:space="preserve"> سليمان المجادي</t>
  </si>
  <si>
    <t>د. حمدان الشهري: لابد من مُواجهة طهران ومشاريعها في المنطقة.  - جمال خاشقجي #خاشقجي #قطر</t>
  </si>
  <si>
    <t>BURSASPOR 🇳🇬</t>
  </si>
  <si>
    <t>pic.twitter.com/JLIfNKZhlg</t>
  </si>
  <si>
    <t>Maestro</t>
  </si>
  <si>
    <t>You can do that. We are proud of our Turkish soldiers and always support them. You show the power of Turkey.🇹🇷🇹🇷🇹🇷 #TurkishArmy #BarisPinariHarekati #Kurds #BarisPinari #Turkey #Syria</t>
  </si>
  <si>
    <t>https://pbs.twimg.com/media/EGcbBPZX0AE05-l.jpg</t>
  </si>
  <si>
    <t>Bo_Fahad #Qatar</t>
  </si>
  <si>
    <t>@SkCa0z شكله بيصفي جميع من شاركوا بقتل #خاشقجي لين ما يخلصون ومن ثم ينتحر وبيفك العالم من حمار احمق ( اعزكم الله )</t>
  </si>
  <si>
    <t>Qatar #الوطنيه_قبل_القبليه</t>
  </si>
  <si>
    <t>هل اصبح قول الحقيقه جريمه في وقتنا الحاضر ؟! Snapchat : Bo_Fahad974</t>
  </si>
  <si>
    <t>İlginç Bilgiler Kitabı</t>
  </si>
  <si>
    <t>Ordumuz olsun daim muzaffer 🇹🇷 #BarisPinari #TurkishArmy</t>
  </si>
  <si>
    <t>https://pbs.twimg.com/media/EGcbBoYXkAA1aY3.jpg</t>
  </si>
  <si>
    <t>ﻋﺎﻳﺪ ﺍﻟﺠﻬﻨﻲ</t>
  </si>
  <si>
    <t>تقرير : قطر والإخوان في أوروبا .. جمعيات مشبوهة وتمويل للإرهاب  - جمال خاشقجي #خاشقجي #عام_على_اغتيال_جمال</t>
  </si>
  <si>
    <t>pic.twitter.com/JQ4VOxzXXe</t>
  </si>
  <si>
    <t>İlginç Bilgiler Kitabı Instagram Profili Twitter Hesabı</t>
  </si>
  <si>
    <t>https://www.instagram.com/ilgincbilgilerkitabi/</t>
  </si>
  <si>
    <t>supergeenie Σ 🗽🕯⚖️</t>
  </si>
  <si>
    <t>#NeverForget #JamalKhashoggi  RT @maddenifico: Jamal Khashoggi’s torture, mutilation, and murder should have made Saudi Arabia and bone saw assassin Mohammed bin Salman a pariah: Including Mitch McConnell, these are the 7 men who made sure that didn’t happen.</t>
  </si>
  <si>
    <t>https://twitter.com/maddenifico/status/1181924105911750658
https://bit.ly/2p0CdGp</t>
  </si>
  <si>
    <t>https://pbs.twimg.com/media/EGcO0EXUEAA6PFs.jpg</t>
  </si>
  <si>
    <t>🌺</t>
  </si>
  <si>
    <t>Savaş uçaklarımız şehrin üstünden geçerken bize bir mesaj bırakmış🇹🇷#TurkishArmy</t>
  </si>
  <si>
    <t>https://pbs.twimg.com/media/EGca_zbXkAASz5x.jpg</t>
  </si>
  <si>
    <t>Truth and Justice, Constitution, Rule of Law. Make Our World A Better Place For The Future. #VoteBlue #VietnamVetWidow #VetsAgainstTrump</t>
  </si>
  <si>
    <t>http://allheartgia.com</t>
  </si>
  <si>
    <t>Türkiye</t>
  </si>
  <si>
    <t>🌙</t>
  </si>
  <si>
    <t xml:space="preserve"> راكان الصامل </t>
  </si>
  <si>
    <t>محلل قناة ٢٤ سعودي الفضائية د. عمر عبدالستار في نيران ايران : من الوارد أن تتعرض إحدى منشآت إيران النووية إلى ضربة أمريكية  #JamalKhashoggi #السعودية</t>
  </si>
  <si>
    <t>pic.twitter.com/1EfJUi5u5v</t>
  </si>
  <si>
    <t>Teşkilat-ı Mahsusa🇹🇷</t>
  </si>
  <si>
    <t>Tüm sınır hattı boyunca Pyd/Pkk yani mayın eşekleri noktaları vuruluyor. Bunlar yumuşatma dokunuşları süvariler gece girecek. #TurkishArmy #BarışPınarıHarekati</t>
  </si>
  <si>
    <t>Süleymaniye, İstanbul</t>
  </si>
  <si>
    <t>Herkes bilsin ki Sultan Abdulhamid'in hafiyeleri Erdoğan'a biat etti. Savaşı tekrar Viyana kapılarına götürmeye and içtik. - Mir Fahrettin</t>
  </si>
  <si>
    <t>احمد الناصر</t>
  </si>
  <si>
    <t>reckful¹⁹⁰⁷</t>
  </si>
  <si>
    <t>اتصال/ أ. شفان الخابوري: ممثل الإدارة الذاتية الديموقراطية في شمال وشرق سوريا : تركيا تسعى من خلال دعمها للأطراف الإرهابية والمتطرف تحقيق غايتها في الشمال السوري .  #خاشقجي #تركيا</t>
  </si>
  <si>
    <t>@tcsavunma #TurkıshArmy 🇹🇷</t>
  </si>
  <si>
    <t>pic.twitter.com/EHzUfyg68B</t>
  </si>
  <si>
    <t>https://pbs.twimg.com/media/EGca_bMX0AITbBr.jpg</t>
  </si>
  <si>
    <t>Fenerbahçe, İstanbul</t>
  </si>
  <si>
    <t>Bize kimse kızmasın,darılmasın. BİZ FENERBAHÇELİYİZ 💛💙</t>
  </si>
  <si>
    <t xml:space="preserve"> رزق الله حارثي</t>
  </si>
  <si>
    <t>اتصال / أ. خالد الزعتر : محلل سياسي – الرياض : رفع العلم الإسرائيلي في الدوحة هو إثبات للعلاقات الإسرائيلية القطرية وهذا ما تثبته الوقائع التاريخية على مر السنين .  - جمال خاشقجي #JamalKhashoggi #تركيا</t>
  </si>
  <si>
    <t>pic.twitter.com/uQRuCLXWc3</t>
  </si>
  <si>
    <t>GüveN 🇹🇷</t>
  </si>
  <si>
    <t>Ey şanlı ordu,Ey şanlı asker Haydi gazanfer,umman-ı safter Allahu Ekber,Allahu Ekber Ordumuz olsun daim muzaffer ! #TurkishArmy</t>
  </si>
  <si>
    <t>Trabzonspor ❤💙</t>
  </si>
  <si>
    <t xml:space="preserve"> صالح الربيعان</t>
  </si>
  <si>
    <t>أ. نايف الحربي: إعلامي وكاتب صحفي: المملكة أعطت الأدلة والبراهين للمجتمع الدولي بأن ايران خطر على اقتصاد وأمن العالم .  - جمال خاشقجي #JamalKhashoggi #قطر</t>
  </si>
  <si>
    <t>pic.twitter.com/7HKiBRhRMZ</t>
  </si>
  <si>
    <t> وسيم بن حمد</t>
  </si>
  <si>
    <t>د.أنور مالك :الحوثي لم يلتزم بشيء من قرارات الأمم المتحدة بل تعدى إلى العدوان على الدول المجاورة، وكل ذلك بإيعاز من إيران، حيث راحت تزود الحوثيين بأسلحة وصواريخ وعتاد وأموال  - جمال خاشقجي #خاشقجي #عام_على_رحيل_خاشقجي</t>
  </si>
  <si>
    <t>pic.twitter.com/tHDU0K8q1N</t>
  </si>
  <si>
    <t>zeytinciahmet</t>
  </si>
  <si>
    <t>#BarışPınarıHarekatı Başladı, Allah Mehmetçik'in yar ve yardımcınız olsun inşallah, ayağınıza taş değmesin... #TurkishArmy has just started operation to make safe zone for Syrians, May Allah bless you #TurkishArmy</t>
  </si>
  <si>
    <t xml:space="preserve">ودمان سعد </t>
  </si>
  <si>
    <t>تقرير: إعلام الزيف القطري التركي الإخوانجي .. فبركة الأخبار وتضليل الرأي العام .  - جمال خاشقجي #خاشقجي #عام_على_رحيل_خاشقجي</t>
  </si>
  <si>
    <t>pic.twitter.com/qrUnW34JcK</t>
  </si>
  <si>
    <t>İstanbul  Turkey</t>
  </si>
  <si>
    <t>İstanbul Universty this account is driving by Turkish and English</t>
  </si>
  <si>
    <t>Hakan Can</t>
  </si>
  <si>
    <t>Rakka yakınları Türk Hava Kuvvetleri tarafından vuruluyor. Silah depoları ve birçok toplanma alanı imha ediliyor. #BarışPınarı #BarisPinariHarekati #TurkishArmy #OperationPeaceSpring</t>
  </si>
  <si>
    <t xml:space="preserve">   حنيف الشمري</t>
  </si>
  <si>
    <t>د. محمد العوين: على الأوروبيون ان يُدركوا ان النظام الإيراني مُدمر للعالم والحضارات الإنسانية والاقتصاد العالمي.  - جمال خاشقجي #JamalKhashoggi #السعودية</t>
  </si>
  <si>
    <t>pic.twitter.com/XIbWcwJDTZ</t>
  </si>
  <si>
    <t>Ağrı, Türkiye</t>
  </si>
  <si>
    <t>Hakikatı göz değil, kalp görür.. Aşk'ın dermanı yine Aşk'tır.. ...</t>
  </si>
  <si>
    <t>https://instagram.com/ney_neyzen?utm_source=ig_profile_share&amp;igshid=gx8nebcqejxe</t>
  </si>
  <si>
    <t>Yehia El Gammal</t>
  </si>
  <si>
    <t>#اردوغان ابتدى يقبض ثمن سكوته عن اغتيال #خاشقجي بعملية عسكرية موسعة ضد الأكراد في شمال سوريا!</t>
  </si>
  <si>
    <t>Zeynep Yörük</t>
  </si>
  <si>
    <t>Bu nedir arkadaş! Tesettürü kirlettiniz sıra namaza mı geldi!! Dünyayı kıbleleştirmenin ete kemiğe bürünmüş hali resmen! -Alıntıdır- #TurkishArmy #carsamba</t>
  </si>
  <si>
    <t>https://pbs.twimg.com/media/EGca4qbXoAEpX4x.jpg</t>
  </si>
  <si>
    <t>Cairo Egypt</t>
  </si>
  <si>
    <t>FREEDOM Rebel, father, story-teller, against any form of fascism. Author بعد الحفلة وأحلام شمس</t>
  </si>
  <si>
    <t>http://yehiaelgammal.blogspot.com</t>
  </si>
  <si>
    <t>Antalya, Türkiye</t>
  </si>
  <si>
    <t>Gitmeden önce kalmak için elimden gelen her şeyi yaptığımı bilmeni isterim. #Beşiktaş</t>
  </si>
  <si>
    <t xml:space="preserve">ﺻﺎﻟﺢ ﺍﻟﺜﺎﺑﺘﻲ  </t>
  </si>
  <si>
    <t>د. صالح آل ورثان: إعلامي وناقد صحفي: الاتراك خلقوا فتنة ما بين مكونات الشعب السوري وتحديداً بين العرب والأكراد .  #خاشقجي #عام_على_رحيل_جمال</t>
  </si>
  <si>
    <t>pic.twitter.com/bwP2mfYDI1</t>
  </si>
  <si>
    <t>Ugur Furan</t>
  </si>
  <si>
    <t>#BarışPınarıHarekati Tanrım şanlı TSK ordumuzu havada karada denizde muzaffer eylesin,güç versin,Yar ve yardımcı olsun tırnağına taş değdirmesin.🙏🙏🇹🇷🇹🇷#Turkisharmy #BarisPinari</t>
  </si>
  <si>
    <t>https://pbs.twimg.com/media/EGcaLyRXoAAV4j7.png</t>
  </si>
  <si>
    <t xml:space="preserve"> ناصر  الشهري</t>
  </si>
  <si>
    <t>د. محمد الحلفي – الباحث في التاريخ الحديث: اصبح التسويق لـ قناة الجزيرة غير مقبول في ظل ما تقوم به.  #خاشقجي #عام_على_رحيل_جمال</t>
  </si>
  <si>
    <t>Hiçbir partiyi sevmem hepsi yalan tek gerçek,Bu Vatanın Partilere Değil Milli Birliğe Beraberliğe Muhtaçtır.. diyen GAZİ MAREŞAL MUSTAFA KEMAL ATATÜRK'TÜR..</t>
  </si>
  <si>
    <t>pic.twitter.com/COz4y7pFDg</t>
  </si>
  <si>
    <t>öZΞŁ HΛЯΞКΛТ</t>
  </si>
  <si>
    <t>Hainlere fırsat vermeden, yalnız vatanımızı korumak uğruna çıkılan bu yolda sefer bizim zafer Allahın olsun! #BarışPınarıHarekati #OperationPeaceSpring #BarisPinari #TurkishArmy</t>
  </si>
  <si>
    <t>pic.twitter.com/bB0QhV8m5C</t>
  </si>
  <si>
    <t>🇹🇷 TÜRKİYE🇹🇷 Malatya🦅</t>
  </si>
  <si>
    <t>"Sizi üzenlere hala selam veriyorsanız, bu vicdanınızın sadakasıdır"</t>
  </si>
  <si>
    <t>أحمد الجعيد</t>
  </si>
  <si>
    <t>اتصال/ أ. شفان الخابوري: ممثل الإدارة الذاتية الديموقراطية في شمال وشرق سوريا : تركيا تسعى من خلال دعمها للأطراف الإرهابية والمتطرف تحقيق غايتها في الشمال السوري .  #خاشقجي #عام_على_رحيل_خاشقجي</t>
  </si>
  <si>
    <t>pic.twitter.com/95QwOGj7sp</t>
  </si>
  <si>
    <t>PsikologPand</t>
  </si>
  <si>
    <t>🔴📍📍➡#Ceylanpınar'a düşen #havan saldırısında Yaralı veya Şehit yok. #TurkishArmy #BarisPinari</t>
  </si>
  <si>
    <t>https://pbs.twimg.com/media/EGca3meXkAQ3YS0.jpg</t>
  </si>
  <si>
    <t xml:space="preserve">  محمد  الصالح </t>
  </si>
  <si>
    <t>أ. نايف الحربي: إعلامي وكاتب صحفي: ايران تريد الاضرار بأمن المملكة .  - جمال خاشقجي #JamalKhashoggi #تركيا</t>
  </si>
  <si>
    <t>pic.twitter.com/Px53yfEE80</t>
  </si>
  <si>
    <t>Güncel haber paylaşım portalı. Araştırmacı yazar. Habercilikte üst sekment.</t>
  </si>
  <si>
    <t xml:space="preserve">  مفرح  الخثعمي</t>
  </si>
  <si>
    <t>محلل قناة ٢٤ سعودي الفضائية د. عمر عبدالستار في نيران ايران: لا رفع للعقوبات الأمريكية على ايران، ولا لقاء بين ترمب وخامنئي هذا هو السيناريو الأول  #ايران #خاشقجي</t>
  </si>
  <si>
    <t>pic.twitter.com/iFtNZ9uELN</t>
  </si>
  <si>
    <t xml:space="preserve"> مهنا  الزهراني</t>
  </si>
  <si>
    <t>GİZLİ DOSYA</t>
  </si>
  <si>
    <t>اللواء المتقاعد د. زايد العمري: خبير استراتيجي ومحلل سياسي : إيواء قطر لجماعة الاخوان سيجعلها في قائمة الإرهاب في أوروبا .  - جمال خاشقجي #JamalKhashoggi #السعودية</t>
  </si>
  <si>
    <t>#SonDakika 🔴 Almanya, Fransa ve Satılmış 'Araplar Birliği'nden kınama geldi.. Doğru yoldayız, devam! #TurkishArmy 🇹🇷 #BarışPınarıHarekatı</t>
  </si>
  <si>
    <t>pic.twitter.com/dCKQH2J3E9</t>
  </si>
  <si>
    <t>Ankara, Türkiye</t>
  </si>
  <si>
    <t>Yalanın evrensel olduğu bir zamanda, gerçeği anlatmak devrimci bir eylemdir. | http://fb.com/gizlidosya06</t>
  </si>
  <si>
    <t>http://instagram.com/gizlidosya06</t>
  </si>
  <si>
    <t>süмεүяα нαηıм🧚🏻‍♀️</t>
  </si>
  <si>
    <t>Yüce Rabbim ayağınıza taş, gözünüze yaş değdirmesin. Sağ Salim gidin gelin inşallah. “Sefer bizden, zafer Allahtan.” 🇹🇷 #BarısPınarlarıHarekatı #turkmilletiordusununyaninda #Turkey #TurkishArmy #VakitGazaVakti</t>
  </si>
  <si>
    <t>https://pbs.twimg.com/media/EGcay4MXUAEbdLU.jpg</t>
  </si>
  <si>
    <t xml:space="preserve"> جدعان المطيري</t>
  </si>
  <si>
    <t>حصرياً.. السفير ادم ايرلي متحدث الخارجية الأمريكية السابق: اردوغان أكبر منافق في الكرة الأرضية..يذرف الدموع على خاشقجي بينما يزج بالاَف الاتراك بالسجونAdam Ereli: Erdogan is the biggest hypocrite on the plant  #ايران #خاشقجي</t>
  </si>
  <si>
    <t>pic.twitter.com/zxeRAGyROf</t>
  </si>
  <si>
    <t>Sultanbeyli, İstanbul</t>
  </si>
  <si>
    <t>ERZİNCANLI🌸. 22.08.2017🥺. 😢 BURASI BENİM KENDİ ÇÖPLÜĞÜMM⚜️</t>
  </si>
  <si>
    <t>http://www.instagram.com/sumeyrakutsall</t>
  </si>
  <si>
    <t>خالد العرفج</t>
  </si>
  <si>
    <t>د. عدنان محمد: من يتواجد ويعمل على قناة الجزيرة غالبهم لديهم جنسيات إسرائيلية .  - جمال خاشقجي #خاشقجي #عام_على_رحيل_خاشقجي</t>
  </si>
  <si>
    <t>F. Zeyneb Cagiran</t>
  </si>
  <si>
    <t>#Turkey’s “Peace Spring” Operation in eastern Euphrates against terrorists explained in 10 steps 🇹🇷#TurkishArmy #PeaceSpring #OperationPeaceSpring Via @TRDiplomacy</t>
  </si>
  <si>
    <t>pic.twitter.com/1xa0lTblCv</t>
  </si>
  <si>
    <t>https://pbs.twimg.com/media/EGcayHjWkAIKuhs.jpg</t>
  </si>
  <si>
    <t xml:space="preserve"> زكريا  ابراهيم </t>
  </si>
  <si>
    <t>أتصال/ أ. توفيق قويدر شيشي: كاتب صحفي ومحلل سياسي أمني في الشأن الأوروبي – باريس: القرضاوي منع من دخول فرنسا وأوروبا بشكل عام .  - جمال خاشقجي #ايران #خاشقجي</t>
  </si>
  <si>
    <t>Zihnim bu şehirden, bu devirden çok uzakta… Y.K.</t>
  </si>
  <si>
    <t>pic.twitter.com/jVpsruy3Vt</t>
  </si>
  <si>
    <t>Muhammed Eyüp Türker</t>
  </si>
  <si>
    <t>#TürkOrdusu masumları öldürmeden nasıl harekat yapılacağını dünyaya yeniden öğretecek. #BarışPınarıHarekatı #TurkishArmy will teach world again how to perform an operation without killing innocent people. #OperationPeaceSpring</t>
  </si>
  <si>
    <t xml:space="preserve"> علي البسامي</t>
  </si>
  <si>
    <t>أ. سامي المرشد: قطر كدولة مختطفة من الحرس الثوري الإيراني والاخوان المسلمين في انقرة و اسطنبول .  #خاشقجي #قطر</t>
  </si>
  <si>
    <t>İstanbul, Türkiye</t>
  </si>
  <si>
    <t>pic.twitter.com/XFkMmMe5lz</t>
  </si>
  <si>
    <t>celal aydogan</t>
  </si>
  <si>
    <t>#TurkishArmy Şu kopan fırtına Türk ordusudur yâ Rabbi. Senin uğrunda ölen ordu, budur yâ Rabbi.</t>
  </si>
  <si>
    <t>موسى الحليسي</t>
  </si>
  <si>
    <t>فيديو .. شاهد .. محلل قناة ٢٤ سعودي الحصري د . صباح الخزاعي يلجم مذيع وضيوف قناة الجزيرة للمرة الثانية خلال اسبوع  - جمال خاشقجي #خاشقجي #عام_على_رحيل_خاشقجي</t>
  </si>
  <si>
    <t>pic.twitter.com/8yf7he6qUE</t>
  </si>
  <si>
    <t>Çağrı ☪︎</t>
  </si>
  <si>
    <t>Olmadı ama heval ağlayacaksanız oynamayalım. 😂😂 #BarışPınarıHarekatı #TurkishArmy #BarışPınarı</t>
  </si>
  <si>
    <t>pic.twitter.com/EGqhFqiTLx</t>
  </si>
  <si>
    <t>مبارك  السماعيل</t>
  </si>
  <si>
    <t>هام وعاجل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#عام_على_اغتيال_جمال</t>
  </si>
  <si>
    <t>pic.twitter.com/qrLHfCjIHF</t>
  </si>
  <si>
    <t>Yangın Türk</t>
  </si>
  <si>
    <t>2.ORDU SURİYE</t>
  </si>
  <si>
    <t>Pkk #Suriye'de cami hopörlöründen Pkk muzikleri çalmaya başladı.#pyd #ypg #harekat #BarisPinari #operasyon #Öso #erdoğan #Türkiye #suriye #abd #rusya #iran #BarisPinari #BarisPinariHarekati #TurkishArmy #Sondakika #TSK #FıratınDoğusu</t>
  </si>
  <si>
    <t xml:space="preserve"> مرزوق المطيرى</t>
  </si>
  <si>
    <t>د. عبد الله الرفاعي: لا زال اردوغان ونظامه يُمارسون العبث السياسي الذي بدء يدفع ثمنه الداخل التركي.  - جمال خاشقجي #ايران #خاشقجي</t>
  </si>
  <si>
    <t>pic.twitter.com/q7A69h5p0R</t>
  </si>
  <si>
    <t>Suriye başa olmak üzere...‏Barış Pınarı = نبع السلام SON GELİŞMLERDEN HABERDAR OLMAK İÇİN TAKİPTE KALIN🇹🇷</t>
  </si>
  <si>
    <t>ﻧﺎﺻﺮ ﺁﻝ ﺣﺴﻦ</t>
  </si>
  <si>
    <t>محلل قناة ٢٤ سعودي الفضائية د. أنور مالك في المراقب : واضح جداً ومما لا شك فيه أبداً أن الممول للحوثيين هم ملالي طهران ويتم ذلك عبر الحرس الثوري الإيراني أو حزب الله اللبناني  - جمال خاشقجي #خاشقجي #عام_على_رحيل_خاشقجي</t>
  </si>
  <si>
    <t>pic.twitter.com/CJtWGZxUfg</t>
  </si>
  <si>
    <t>حامد الحازمي</t>
  </si>
  <si>
    <t>محلل قناة ٢٤ سعودي الفضائية عبدالجليل السعيد في حقائق في دقائق : ايران تخسر وتفضح وتسقط ايران نمر من ورق يثير القلق..يسقط رويداً رويداً  - جمال خاشقجي #JamalKhashoggi #السعودية</t>
  </si>
  <si>
    <t>pic.twitter.com/mjdMj67HkB</t>
  </si>
  <si>
    <t>himat</t>
  </si>
  <si>
    <t>#YPG shelling #TurkishArmy position opposite to #Qamishli with mortars shelling, Due to #Turkish war planes bombing power is cut off in city of #Qamishli . According to #YPG sources Leaders of #YPG warned #US forces to immediately leave northern #Syria</t>
  </si>
  <si>
    <t xml:space="preserve"> ﻣﺘﻌﺐ ﺍﻟﺤﺮﺑﻲ</t>
  </si>
  <si>
    <t>العميد متقاعد. حسن الشهري: قناة الجزيرة لا تنقل خير قط وتقوم ببث الطائفية والكراهية  - جمال خاشقجي #خاشقجي #قطر</t>
  </si>
  <si>
    <t>humanist ,views are my own .retweet is not endorsement. self proclaimed #ThinkTank</t>
  </si>
  <si>
    <t>pic.twitter.com/ZFiNHTgS4p</t>
  </si>
  <si>
    <t>Kenan 🇹🇷</t>
  </si>
  <si>
    <t>Türk'ün gücünü göreceksiniz. #TurkishArmy #jöh #pöh @TSKGnkur @jandarma</t>
  </si>
  <si>
    <t>https://pbs.twimg.com/media/EGcapXAXUAAOCgV.jpg</t>
  </si>
  <si>
    <t>مهتوف المحمودي</t>
  </si>
  <si>
    <t>محلل قناة ٢٤ سعودي الفضائية: د. رامي خليفة العلي : هناك سوء في السياسة التركية التي سمحت بسيطرة جبهة النصرة على مناطق واسعة ما أعطى مبرراً لروسيا وللنظام السوري للتقدم في تلك المنطقة .  - جمال خاشقجي #ايران #خاشقجي</t>
  </si>
  <si>
    <t>pic.twitter.com/vT18WYbDOz</t>
  </si>
  <si>
    <t>Beylikdüzü, Türkiye</t>
  </si>
  <si>
    <t>Toprağın altını bilmeyenlerdir, üstünde kibirlenenler. Ne Mutlu Türk'üm Diyene!</t>
  </si>
  <si>
    <t>https://www.turkiye.gov.tr</t>
  </si>
  <si>
    <t>👤</t>
  </si>
  <si>
    <t xml:space="preserve"> عبدالعزيز الحارثي</t>
  </si>
  <si>
    <t>د. محمد الحلفي – باحث في التاريخ الحديث: لا يمكن لـ قناة الجزيرة ان تُذيع ولو حلقة واحدة عما يجري في الداخل القطري.  #خاشقجي #عام_على_رحيل_جمال</t>
  </si>
  <si>
    <t>AysLMKA</t>
  </si>
  <si>
    <t>pic.twitter.com/eZvmWyYv77</t>
  </si>
  <si>
    <t>Kahraman TÜRK Askerimizin hep yanında hep arkasındayız TÜRK ORDUSU Gururumuz Onurumuzsunuz Dualarımız Sizinle yürekten inanıyorum BAŞARACAKSINIZ...🇹🇷🙏 #BarışPınarıHarekati 🇹🇷 #TürkMilletiOrdusununYanında 🇹🇷 #TurkishArmy 🇹🇷</t>
  </si>
  <si>
    <t>https://pbs.twimg.com/media/EGcapatWkAAwOS7.jpg</t>
  </si>
  <si>
    <t>Kimsenin Mecburi İstikameti Değilim Kimse de Çıkmaz Sokağım Değil🇹🇷Ölümüne ATATÜRK🇹🇷FENERLİ💙💛Delidir😎Canımı Yakanın Sonucuna Katlanacak Cesareti Olacak✋</t>
  </si>
  <si>
    <t>مزيد العمري</t>
  </si>
  <si>
    <t>http://BeklemeYapmaTicari.com</t>
  </si>
  <si>
    <t>أ. هاني الحجي : العملية الانتخابية التي حدثت ورفضها اردوغان أثرت على مسار الحياة الاقتصادية في تركيا .  - جمال خاشقجي #JamalKhashoggi #تركيا</t>
  </si>
  <si>
    <t>pic.twitter.com/jFRUKGhU01</t>
  </si>
  <si>
    <t xml:space="preserve">عيسى بن علي </t>
  </si>
  <si>
    <t>أ. نايف الحربي: إعلامي وكاتب صحفي: قطر تريد أن تشق الصف العربي والإسلامي .  - جمال خاشقجي #JamalKhashoggi #تركيا</t>
  </si>
  <si>
    <t>pic.twitter.com/hD6lGddXUJ</t>
  </si>
  <si>
    <t xml:space="preserve"> يحيي  العبدلي </t>
  </si>
  <si>
    <t>هام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</si>
  <si>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pic.twitter.com/JZAwFxequ5</t>
  </si>
  <si>
    <t xml:space="preserve">  محمد المنيري </t>
  </si>
  <si>
    <t>د. عبدالرحمن العناد : الوضع الإقتصادي في تركيا متدهور ومن المتوقع أن يزداد تدهوره وهذا دليل على سوء السياسات الاقتصادية التي يتبعها اردوغان .  - جمال خاشقجي #خاشقجي #عام_على_رحيل_خاشقجي</t>
  </si>
  <si>
    <t>pic.twitter.com/heQXifqZjJ</t>
  </si>
  <si>
    <t xml:space="preserve">  ساعد رده </t>
  </si>
  <si>
    <t>اللواء المتقاعد د. زايد العمري: خبير استراتيجي ومحلل سياسي: قطر تحاول أن تتطاول على جمهورية مصر العربية .  - جمال خاشقجي #خاشقجي #قطر</t>
  </si>
  <si>
    <t>pic.twitter.com/VoBvQERXlP</t>
  </si>
  <si>
    <t>Rebecca Rambar</t>
  </si>
  <si>
    <t>#ArabieSaoudite Le meurtre de #Khashoggi aurait dû faire du #KSA un paria. 7 hommes ont fait le maximum pour que cela se passe différemment. #SaudiArabia #JamalKhashoggi #MohammedBinSalman #USA #Trump</t>
  </si>
  <si>
    <t>https://www.huffpost.com/entry/saudi-seven-khashoggi_n_5d975e49e4b02911e11a38b1</t>
  </si>
  <si>
    <t>https://pbs.twimg.com/media/EGcD5CcWkAEVjfC.jpg</t>
  </si>
  <si>
    <t>Cyberland</t>
  </si>
  <si>
    <t>Curieuse de tout. La connaissance permet d'accéder à la Liberté et nul ne devrait être autorisé ni à la museler ni à la travestir à son avantage. #DPRK #OSINT</t>
  </si>
  <si>
    <t xml:space="preserve"> ممدوح الشيخي </t>
  </si>
  <si>
    <t>أ. نايف الحربي: إعلامي وكاتب صحفي : الآلة الإعلامية القطرية و قناة الجزيرة وتوابعها هزموا .  - جمال خاشقجي #ايران #خاشقجي</t>
  </si>
  <si>
    <t>pic.twitter.com/0H3lSXAiwn</t>
  </si>
  <si>
    <t>احمد الغامدى</t>
  </si>
  <si>
    <t>د. محمد الحلفي : باحث في التاريخ الحديث : نشأت قناة الجزيرة من اجل استهداف دول مُعينة.  #JamalKhashoggi #قطر</t>
  </si>
  <si>
    <t>pic.twitter.com/MVb7kLmdS6</t>
  </si>
  <si>
    <t>علي الحارثي</t>
  </si>
  <si>
    <t>د. نايف الوقاع : عندما تقول الولايات المتحدة أنها لن ترفع العقوبات على ايران فإنها تملك دليل قاطع أن هذا النظام لن يتغير .  - جمال خاشقجي #خاشقجي #عام_على_رحيل_خاشقجي</t>
  </si>
  <si>
    <t>pic.twitter.com/fyk0vvkEhB</t>
  </si>
  <si>
    <t>عبيدالله الحربي</t>
  </si>
  <si>
    <t>اتصال هاتفي من : د. نافل النفيعي : خبير استراتيجي ومختص في العلاقات التاريخية بين الدول – الدمام : الدول العظمى تدين ايران .. ودول الخليج أخذت استعدادها العسكري .  - جمال خاشقجي #JamalKhashoggi #تركيا</t>
  </si>
  <si>
    <t>pic.twitter.com/InSLzcuD5D</t>
  </si>
  <si>
    <t xml:space="preserve"> حامد مستور </t>
  </si>
  <si>
    <t>محلل قناة ٢٤ سعودي الفضائية د. فهد الشليمي في مع الحدث : الحملة على مصر تم التحضير لها منذ شهرين بمشاركة تركيا وتنظيم الاخوان الإرهابي و ايران من أجل ضرب الاقتصاد المصري  - جمال خاشقجي #خاشقجي #عام_على_رحيل_جمال</t>
  </si>
  <si>
    <t>pic.twitter.com/P0W3JqwPdV</t>
  </si>
  <si>
    <t>Hamad</t>
  </si>
  <si>
    <t>@alshaikhmhmd ويوم كان اختيارهم ان #خاشقجي يمسك قناه جديده اسمها العرب ليش قتلتوه .. عجل ما يعرفون يحتارون وخاشقجي الله يرحمه كان مجرد ناصح وليس معارض .. عجل يقول ان أتحمل المسؤوليه كامله لاني على راس السلطه 😂😂😂 اقرب تقاطع تصريفه 😂😂😂</t>
  </si>
  <si>
    <t>للاسف الوطن للأغنياء والوطنيه للفقراء</t>
  </si>
  <si>
    <t>علياء أبوتايه</t>
  </si>
  <si>
    <t>#سلمان_العودة_حرا المس به او برموز الدعوة والإسلام في الجزيرة العربيه سيدق المسمارالأخير في نعش ملكك يا #مبس لاتطغى وتتكبرالعودة ورفاقه ليسوا #خاشقجي الذي لم يصنف نفسه معارضاًوكان يعمل لديكم وتاب؟!المشايخ مواطنين مخلصين لم يغادروا وطنهم إنتهكت حرمة بيوتهم وروعت ذويهم وخطفتهم</t>
  </si>
  <si>
    <t>AAbutayah حسابي البديل تابعوه</t>
  </si>
  <si>
    <t>مدربةوفارسةدوليةكاتبة أعشق النُبل،ثوريةضدالظُلم.حلمي وطن عربي كتاباتي لمن يملكون ضمير!الكرامة أغلى مانملك السلك الديبلوماسي سابقاً، مدربة اول فريق فروسيه نسائي</t>
  </si>
  <si>
    <t>https://www.alfaresah.net/</t>
  </si>
  <si>
    <t xml:space="preserve"> مبارك العبداني </t>
  </si>
  <si>
    <t>د. علي الثويني - باحث عراقي: ايران لعبت دور قذر في وضع العراق وأججت أمور لم نكن نحن العراقيين ننتظرها أبداً .  #خاشقجي #تركيا</t>
  </si>
  <si>
    <t>pic.twitter.com/24M61VwUo8</t>
  </si>
  <si>
    <t xml:space="preserve">هادي علي </t>
  </si>
  <si>
    <t>هام وعاجل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#عام_على_رحيل_جمال</t>
  </si>
  <si>
    <t>pic.twitter.com/A4rRqFyd9V</t>
  </si>
  <si>
    <t>Halil Saldız</t>
  </si>
  <si>
    <t>Hani üç yaşında suriyeli bir çocuk vardı ölünce Allaha herşeyi anlatıcam diyen..! Anlatmış Allahın ordusu çocuğun intikamını almaya geldi. ALLAH YAR VE YARDIMCIMIZ OLSUN. #BarışPınarıHarekati #TurkishArmy #DuaOrdusu</t>
  </si>
  <si>
    <t>https://pbs.twimg.com/media/EGcalkJXUAQ9vv5.jpg</t>
  </si>
  <si>
    <t>ﻣﺒﺎﺭﻙ ﺍﻟﺮﺣﻴﻠﻲ</t>
  </si>
  <si>
    <t>تقرير: الجبير : التهدئة لا تنفع مع إيران ونعمل للتوصل إلى خيار دولي للتعامل معها  - جمال خاشقجي #ايران #خاشقجي</t>
  </si>
  <si>
    <t>pic.twitter.com/9I0UqzkAwj</t>
  </si>
  <si>
    <t>Mavi'ye Aşık Terazi / Evli Mutlu Çocuksuz :) #Göztepe</t>
  </si>
  <si>
    <t>https://instagram.com/halil_sldz?igshid=m8nxsf56n9qe</t>
  </si>
  <si>
    <t xml:space="preserve">  هلال  اليزيدي </t>
  </si>
  <si>
    <t>أ. سامي المرشد: قطر كدولة مختطفة من الحرس الثوري الإيراني والاخوان المسلمين في انقرة و اسطنبول .  #خاشقجي #عام_على_اغتيال_جمال</t>
  </si>
  <si>
    <t>pic.twitter.com/qcqljWLqX6</t>
  </si>
  <si>
    <t>Abdul Wahab</t>
  </si>
  <si>
    <t>barışın ardında şehitlerin kanı var. Allah en büyüktür #TurkishArmy</t>
  </si>
  <si>
    <t>https://pbs.twimg.com/media/EGcakCNXkAA1Bhd.jpg</t>
  </si>
  <si>
    <t xml:space="preserve"> ابراهيم حمراني</t>
  </si>
  <si>
    <t>محلل قناة ٢٤ سعودي الفضائية د. عماد الدين الجبوري في سجال خاص : منذ عام 1979م والمسؤولون الإيرانيون يرفعون شعار الموت لأمريكا..ثم يرسلون أبناءهم إلى "الشيطان الأكبر"!!  - جمال خاشقجي #خاشقجي #عام_على_اغتيال_جمال</t>
  </si>
  <si>
    <t>pic.twitter.com/3AMjsfX225</t>
  </si>
  <si>
    <t>Common Man &amp; The Student of Political Science and International Relations. My Dream; Peaceful World.</t>
  </si>
  <si>
    <t>UMUT🇹🇷</t>
  </si>
  <si>
    <t>Fırtınalar dursun yana, yol ver TÜRK’ün bayrağına 🇹🇷 #BarisPinariHarekati #TürkMilletiOrdusununYanında #TurkishArmy #BarisPinari</t>
  </si>
  <si>
    <t>فيصل العنزي</t>
  </si>
  <si>
    <t>أ. نايف الحربي: إعلامي وكاتب صحفي: جماعة الأخوان الإرهابية هي من تسيطر على الإعلام القطري وهي من تدعمهم بالتقارير المزيفة .  - جمال خاشقجي #خاشقجي #عام_على_رحيل_جمال</t>
  </si>
  <si>
    <t>pic.twitter.com/FEINfvgvVP</t>
  </si>
  <si>
    <t>Sakarya/Adapazarı</t>
  </si>
  <si>
    <t>Sarıldığın her insanda beni hatırla</t>
  </si>
  <si>
    <t>https://www.instagram.com/umutsykan</t>
  </si>
  <si>
    <t>الاهلي إن ( فـَآزْ ) آحيآ قلوْب عشّآقھ ! ♥ وإن خسسر آحيآ آمموآت الحـآقدين</t>
  </si>
  <si>
    <t>SUAT KIR</t>
  </si>
  <si>
    <t xml:space="preserve"> يحي شيخي</t>
  </si>
  <si>
    <t>Özellikle şunun altını çizerek belirtiyoruz; #BarışPınarıHarekatı teröristler tarafından işgal edilmiş toprakları temizleme harekatıdır. Duaya devam inşallah! Rabbim ordumuzun ve yöneticilerimizin yardımcısı olsun. #TurkishArmy</t>
  </si>
  <si>
    <t>اللواء متقاعد د. شامي الظاهري : الجناح الرئيسي لـ ايران هم الحوثيين ، إذا كسِر هذا الجناح ستضعف إيران كثيراً .  - جمال خاشقجي #خاشقجي #تركيا</t>
  </si>
  <si>
    <t>pic.twitter.com/qoiWXIdjya</t>
  </si>
  <si>
    <t>Üsküdar, İstanbul</t>
  </si>
  <si>
    <t>Strateji | Yönetim &amp; Organizasyon | Enerji &amp; Bilişim &amp;Teknoloji | Okur &amp; Yazar</t>
  </si>
  <si>
    <t>🇹🇷 Bu Gidiş Nereye 🦁</t>
  </si>
  <si>
    <t>🇹🇷 Anlık Suriye’de Hava Durumu 🇹🇷 #BarışPınarıHarekati #BarisPinari #TurkishArmy</t>
  </si>
  <si>
    <t xml:space="preserve"> ابراهيم  المعشي </t>
  </si>
  <si>
    <t>تقرير: الجبير: استرضاء إيران غذى سلوكها العدواني .  - جمال خاشقجي #خاشقجي #قطر</t>
  </si>
  <si>
    <t>https://pbs.twimg.com/media/EGcahyHWoAA79Ma.jpg</t>
  </si>
  <si>
    <t>pic.twitter.com/oJIpZ6pObD</t>
  </si>
  <si>
    <t>Bu hesapta okuyacaklarınız kurgu anlayacaklarınız gerçektir.</t>
  </si>
  <si>
    <t xml:space="preserve"> سيف  الحربي</t>
  </si>
  <si>
    <t>محلل قناة ٢٤ سعودي الفضائية جيري ماهر في برنامج لمن يهمه الأمر: السعودية تقود سياسة واضحة لفضح إيران وكشفها أمام المجتمع الدولي وكشف سياساتها الخبيثة في المنطقة ومشروعها المدمر  - جمال خاشقجي #خاشقجي #عام_على_رحيل_جمال</t>
  </si>
  <si>
    <t>pic.twitter.com/ykP6K1GMCT</t>
  </si>
  <si>
    <t xml:space="preserve"> منصور  الرعوجي </t>
  </si>
  <si>
    <t>محلل قناة ٢٤ سعودي الفضائية جيري ماهر في برنامج لمن يهمه الأمر: السعودية تقود سياسة واضحة لفضح إيران وكشفها أمام المجتمع الدولي وكشف سياساتها الخبيثة في المنطقة ومشروعها المدمر  - جمال خاشقجي #ايران #خاشقجي</t>
  </si>
  <si>
    <t>pic.twitter.com/MdVm0YwhYz</t>
  </si>
  <si>
    <t>Emre Balıkçı 🇹🇷❤️🇦🇱</t>
  </si>
  <si>
    <t>Ağlayacaksanız oynamayalım😆 #TurkishArmy #BarışPınarıHarekati #OperationPeaceSpring</t>
  </si>
  <si>
    <t>https://pbs.twimg.com/media/EGcaijZX0AAfFWt.jpg</t>
  </si>
  <si>
    <t xml:space="preserve"> ﻋﻠﻲ ﺍﻟﻴﺰﻳﺪﻱ</t>
  </si>
  <si>
    <t>اتصال هاتفي من : د. نافل النفيعي : خبير استراتيجي ومختص في العلاقات التاريخية بين الدول – الدمام : الدول العظمى تدين ايران .. ودول الخليج أخذت استعدادها العسكري .  - جمال خاشقجي #خاشقجي #عام_على_رحيل_جمال</t>
  </si>
  <si>
    <t>pic.twitter.com/RF5pGw4cXZ</t>
  </si>
  <si>
    <t xml:space="preserve">İstanbul Aşığı </t>
  </si>
  <si>
    <t>İstanbulÜniversitesi / Political Science-Consultant / Özü Türk,Davası Ümmed</t>
  </si>
  <si>
    <t xml:space="preserve"> مسفر السهلي</t>
  </si>
  <si>
    <t>محلل قناة ٢٤ سعودي الفضائية جيري ماهر في برنامج لمن يهمه الأمر: السعودية تقود سياسة واضحة لفضح إيران وكشفها أمام المجتمع الدولي وكشف سياساتها الخبيثة في المنطقة ومشروعها المدمر  - جمال خاشقجي #خاشقجي #تركيا</t>
  </si>
  <si>
    <t>Ömer Faruk AKTAŞ</t>
  </si>
  <si>
    <t>#TurkishArmy #BarışPınarıHarekatı #OperationPeaceSpring RT @MevlutCavusoglu: W/#OperationPeaceSpring; - Region will be cleared of terrorists, - Syria’s border security and territorial integrity will be guaranteed, - Displaced people will be able to return safely to their homes, - Peace and safety will prevail in the region.</t>
  </si>
  <si>
    <t>pic.twitter.com/Sm0zamYq5k</t>
  </si>
  <si>
    <t>https://twitter.com/MevlutCavusoglu/status/1181930991377686529?s=20</t>
  </si>
  <si>
    <t>Economy Editor 🍁 finance &amp; energy &amp; foreign policy 🍁 ✉ omerfarukaktas@outlook.com.tr</t>
  </si>
  <si>
    <t>محمد احمد / 2022 🏆 🇶🇦</t>
  </si>
  <si>
    <t>@VoIathll @agent5official وين #خاشقجي</t>
  </si>
  <si>
    <t>qatar ❤️</t>
  </si>
  <si>
    <t xml:space="preserve"> ﺣﺴﻦ ﺁﻝ ﺍﻟﺤﺎﺭﺙ</t>
  </si>
  <si>
    <t>محلل قناة ٢٤ سعودي الفضائية د. صباح الخزاعي في بصريح العبارة : كلمة أردوغان أمام الجمعية العامة الأمم المتحدة تضمنت تصرف أحمق وصلف وعنجهية وتدخُّل فاضح في شؤون مصر .  - جمال خاشقجي #خاشقجي #عام_على_رحيل_خاشقجي</t>
  </si>
  <si>
    <t>pic.twitter.com/FEPGRUXuq1</t>
  </si>
  <si>
    <t>YecBRO</t>
  </si>
  <si>
    <t>Vur şanlı silahınla gönül mülkü düzelsin; Sen öldürüyorken de, vururken de güzelsin! #BarışPınarıHarekati #TurkishArmy</t>
  </si>
  <si>
    <t>https://pbs.twimg.com/media/EGcackMW4AApWoU.jpg</t>
  </si>
  <si>
    <t xml:space="preserve">  عثمان القرني</t>
  </si>
  <si>
    <t>حصرياً. السفير ادم ايرلي متحدث الخارجية الأمريكية السابق: اردوغان المنافق..يذرف دموع التماسيح على جمال خاشقجي بينما يزج بالاَف الاتراك بالسجونAdam Ereli: Erdogan is the biggest hypocrite on the plant  #ايران #خاشقجي</t>
  </si>
  <si>
    <t>pic.twitter.com/qgo5OafLHi</t>
  </si>
  <si>
    <t>https://twitter.com/yecbro</t>
  </si>
  <si>
    <t xml:space="preserve"> بدر القرني </t>
  </si>
  <si>
    <t>هام وعاجل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#ايران #خاشقجي</t>
  </si>
  <si>
    <t>pic.twitter.com/i9proKINJp</t>
  </si>
  <si>
    <t>yusuf bey......</t>
  </si>
  <si>
    <t>Vurun yiğitlerim.... Tüm mazlumlar için vurun.... #TurkishArmy #BarisPinariHarekati</t>
  </si>
  <si>
    <t xml:space="preserve"> فالح  القحطاني </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</si>
  <si>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#عام_على_اغتيال_جمال</t>
  </si>
  <si>
    <t>pic.twitter.com/Priau3MqYJ</t>
  </si>
  <si>
    <t>Hande İlhan</t>
  </si>
  <si>
    <t>@1parcatuhaftik Geliyoruz soyunuzu kurutmaya 🇹🇷🇹🇷🇹🇷 #TurkishArmy #BarışPınarıHarekatı #BarışPınarı</t>
  </si>
  <si>
    <t>Denizli, Türkiye</t>
  </si>
  <si>
    <t>🇹🇷𐱅𐰇𐰼𐰰</t>
  </si>
  <si>
    <t xml:space="preserve"> محمود الحباني</t>
  </si>
  <si>
    <t>هام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#عام_على_رحيل_خاشقجي</t>
  </si>
  <si>
    <t>Vural Selimoğlu</t>
  </si>
  <si>
    <t>pic.twitter.com/KllHmc1oL9</t>
  </si>
  <si>
    <t>Şu kopan fırtına Türk ordusudur Yâ Rabbi Senin uğrunda ölen ordu, budur yâ Rabbi Tâ ki yükselsin ezanlarla müeyyed nâmın Galib et; çünkü bu son ordusudur İslâm’ın.. #BarışPınarıHarekatı #BarışHarekatı #PeaceSpringOperation #TurkishArmy</t>
  </si>
  <si>
    <t>One step ahead of the Qs🆘️</t>
  </si>
  <si>
    <t>@realDonaldTrump None of that justifies allowing a genocide. You aren't bringing anyone home, you just moved them out of the way. Obama held the coalition together, why can't you? #KurdishGenocide #KurdsBetrayedByTrump #JamalKhashoggi</t>
  </si>
  <si>
    <t>Wisconsin, USA</t>
  </si>
  <si>
    <t>airbrush artist, pinstriper, custom painter, guitar player, occasional writer, full time smart ass. PhD from Hard Knocks U, F.U., and Schitt Hapins.</t>
  </si>
  <si>
    <t>anrasa</t>
  </si>
  <si>
    <t>@Progresscdn * Clears throat * the west and its capitalistic society created the monstrous sweat shops of China. Their hardwork has allowed them to stand toe to toe with the leaders of yesterday. while you go about your hipocracy may I remind you of your allies. Heard about #JamalKhashoggi?</t>
  </si>
  <si>
    <t>غازي بن فهد</t>
  </si>
  <si>
    <t>اللواء المتقاعد د. زايد العمري: خبير استراتيجي ومحلل سياسي: قطر تشوه صورة الإسلام داخل أوروبا .  - جمال خاشقجي #خاشقجي #قطر</t>
  </si>
  <si>
    <t>pic.twitter.com/HebvUWDgR0</t>
  </si>
  <si>
    <t>°･aylin･.💀📚</t>
  </si>
  <si>
    <t>the confusion when you are both turkish and an army and you see #TurkishArmy trending</t>
  </si>
  <si>
    <t xml:space="preserve"> هندي البلوي</t>
  </si>
  <si>
    <t>هام..السفير ادم ايرلي متحدث الخارجية الأمريكية السابق: اردوغان المنافق ..يذرف دموع التماسيح على جمال خاشقجي بينما يزج بالاَف الاتراك بالسجونAdam Ereli: Erdogan is the biggest hypocrite on the plant  #JamalKhashoggi #السعودية</t>
  </si>
  <si>
    <t>✨매직샵✨</t>
  </si>
  <si>
    <t>ʳᵉᵃˡˡʸ? (in hobi) https://twitter.com/BTS_twt/status/314075222078808064?s=19</t>
  </si>
  <si>
    <t>pic.twitter.com/pELYLAQL9b</t>
  </si>
  <si>
    <t>lily</t>
  </si>
  <si>
    <t>literally thought this hashtag was for BTS ARMY and im turkish lol i have no idea whats going on in my country #TurkishArmy</t>
  </si>
  <si>
    <t xml:space="preserve">  ناصر  الحمدان</t>
  </si>
  <si>
    <t>العميد متقاعد. حسن الشهري : على ايران إدراك أنها لن تستطيع التطاول على أي دولة من دول الخليج أو تستبيح أجواءها أو تؤثر في إقتصادها.  #JamalKhashoggi #قطر</t>
  </si>
  <si>
    <t>sope world</t>
  </si>
  <si>
    <t>https://curiouscat.me/personachae</t>
  </si>
  <si>
    <t>pic.twitter.com/JZKJpXTsf6</t>
  </si>
  <si>
    <t>Kürşat İzinde</t>
  </si>
  <si>
    <t>Sadece kudurmayın, ağlayın aynı zamanda çünkü geliyor gelmekte olan. #BarışPınarıHarekati #turkisharmy</t>
  </si>
  <si>
    <t>أ. خالد النزر : أين الإعلام القطري من الفضائح التي تحدث داخل قطر  #خاشقجي #قطر</t>
  </si>
  <si>
    <t>https://pbs.twimg.com/media/EGcaV74WkAAB5IF.jpg</t>
  </si>
  <si>
    <t>pic.twitter.com/4LKbC1olZS</t>
  </si>
  <si>
    <t>Tanrı Türk Töre Turan Galatasaray</t>
  </si>
  <si>
    <t xml:space="preserve"> ﺣﻤﺪ ﺍﻟﺠﻬﻨﻲ</t>
  </si>
  <si>
    <t>محلل قناة ٢٤ سعودي الفضائية د. أنور مالك في المراقب : "كتاب أوراق قطر" تحقيق استقصائي أورد أن الدوحة حولت مبالغ مالية كبيرة إلى أوروبا لدعم 140 مشروعاً يرتبط بالتنظيم الدولي للإخوان  - جمال خاشقجي #خاشقجي #قطر</t>
  </si>
  <si>
    <t>pic.twitter.com/cXUF3fnqZt</t>
  </si>
  <si>
    <t xml:space="preserve"> سند ناشي </t>
  </si>
  <si>
    <t>محلل قناة ٢٤ سعودي الفضائية عبدالجليل السعيد في حقائق في دقائق : ايران تخسر وتفضح وتسقط ايران نمر من ورق يثير القلق..يسقط رويداً رويداً  - جمال خاشقجي #JamalKhashoggi #قطر</t>
  </si>
  <si>
    <t>pic.twitter.com/iZiIDM0M1S</t>
  </si>
  <si>
    <t>بوخالد</t>
  </si>
  <si>
    <t>#عبدالرحمن_المطيري بلغ وقدم الصور و افتح بلغ تهديد جنائي افضحهم هولاء الارهابين وخل قضيتك راي عام خاصة عند في امريكا كلم محامي وتوجة لصحفين اعمل فيهم زي قضية #خاشقجي الي خلت يخشون رؤسهم كا النعام</t>
  </si>
  <si>
    <t>Orhan Gazi</t>
  </si>
  <si>
    <t xml:space="preserve">  رمضان جمعان </t>
  </si>
  <si>
    <t>السفير 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#خاشقجي #تركيا</t>
  </si>
  <si>
    <t>Harekat başladı Rabbim Mehmedimi kanadının altına alsın🇹🇷🙏🇹🇷 Fırtınalar dursun yana🇹🇷 Yol ver Türk'ün bayrağına.🇹🇷 #BarışPınarıHarekatı #TurkishArmy #BarışPınarı 🇹🇷 #BarışPınarıHarekati</t>
  </si>
  <si>
    <t>pic.twitter.com/3LTKz2f435</t>
  </si>
  <si>
    <t>https://pbs.twimg.com/media/EGcaRfbWsAIzSHB.jpg</t>
  </si>
  <si>
    <t>🎓Atatürk Üniversitesi 🎨 G.S.F. (Resim)</t>
  </si>
  <si>
    <t>http://instagram.com/orrhangazii</t>
  </si>
  <si>
    <t xml:space="preserve"> يزيد حميدان </t>
  </si>
  <si>
    <t>د. عبد الرحمن العناد: ما يُغيظ الاعلام القطري المُعادي ان الاعلام السعودي قام بكشف ما يقومون به من مشاريع تخريبية في المنطقة.  - جمال خاشقجي #خاشقجي #عام_على_رحيل_خاشقجي</t>
  </si>
  <si>
    <t>pic.twitter.com/XHc8Uh4Pgp</t>
  </si>
  <si>
    <t>AKGAZETE</t>
  </si>
  <si>
    <t>Operasyon başladı! Trump'tan ABD ordusuna YPG talimatı  #BarışPınarıHarekati #BarisPinari #TurkishArmy #BarışPınarı #KurdsSideWithTurkey #VakitGazaVakti #turkmilletiordusununyaninda #AllahBizimledir #başkomutanerdoğan #turkmilletiordusununyaninda</t>
  </si>
  <si>
    <t>Jeffrey M. Stewart</t>
  </si>
  <si>
    <t>⁦⁦@JimInhofe⁩ ⁦Hey, Jimmy. They’re talking about you. And not in a, “What-an-asset-and-credit-to-the-United-States” kind of way. More like a, “He-helped-cover-up-a-murder” kind of way. #JimInhofe #murder #JamalKhashoggi #Oklahoma #GOP</t>
  </si>
  <si>
    <t>http://www.akgazete.com.tr/dunya/son-dakika-operasyon-basladi-trumptan-abd-ordusuna-ypg-talimati/20334</t>
  </si>
  <si>
    <t>Los Angeles, CA</t>
  </si>
  <si>
    <t>https://pbs.twimg.com/media/EGcaPDHWwAA7hdI.jpg</t>
  </si>
  <si>
    <t>http://whocareswhatyouthink.net</t>
  </si>
  <si>
    <t xml:space="preserve"> سليمان زيادي</t>
  </si>
  <si>
    <t>http://akgazete.com.tr</t>
  </si>
  <si>
    <t>أ. سامي المرشد: الدوحة أصبحت مكان لكل الشواذ سياسياً في العالم .. تلاحظ وجود الإسرائيليين، الحرس الثوري الإيراني والاخوان المسلمين المطرودين من بلدانهم .  - جمال خاشقجي #خاشقجي #تركيا</t>
  </si>
  <si>
    <t>pic.twitter.com/otKQwjut1W</t>
  </si>
  <si>
    <t>Hatice Altun</t>
  </si>
  <si>
    <t>Şehidi yok, leşi çok bir harekat olur inşallah. #OperationPeaceSpring #BarisPinariHarekati #TurkishArmy</t>
  </si>
  <si>
    <t>https://pbs.twimg.com/media/EGcaN-jWwAA9mfV.jpg</t>
  </si>
  <si>
    <t xml:space="preserve"> فهد الدوسري</t>
  </si>
  <si>
    <t>أ. هاني الحجي : قطر أُستحدمت من تركيا و ايران كأداة لتدمير المنطقة واقتصادها.  #JamalKhashoggi #تركيا</t>
  </si>
  <si>
    <t>pic.twitter.com/dcJsYWVwMk</t>
  </si>
  <si>
    <t xml:space="preserve"> عبده مجممي</t>
  </si>
  <si>
    <t>د. نايف الوقاع: ما تقوم به عصابة الحوثي المدعومة من ايران في اليمن تعتبر جريمة حرب بكل ما تحمله من معاني.  - جمال خاشقجي #خاشقجي #عام_على_رحيل_خاشقجي</t>
  </si>
  <si>
    <t>İrfan</t>
  </si>
  <si>
    <t>Ordumuzun yanında olmak çocuklarımıza olan borcumuzdur. #TurkishArmy #TuerkMilletiOrdusununYanında</t>
  </si>
  <si>
    <t>pic.twitter.com/U24gGJM2z9</t>
  </si>
  <si>
    <t>İstanbul</t>
  </si>
  <si>
    <t>Lan yoksa?</t>
  </si>
  <si>
    <t>zeze</t>
  </si>
  <si>
    <t>Sen dik dur, biz daima arkandayız @RTErdogan Rabbim ordumuzu muzaffer, birliğimizi daim eylesin. Sefer bizim zafer Allah'ın olsun inşallah!! #BarışPınarıHarekatı #TurkishArmy #PeaceSpringOperation #TürkMilletiOrdusununYanında</t>
  </si>
  <si>
    <t>https://pbs.twimg.com/media/EGcaKK7W4AYYBzZ.jpg</t>
  </si>
  <si>
    <t>ALLAH'ın kulu Gelecekteki eşine aşık Hakkın ve haklının izinde ANTİkamalist Erdoğan gönüllüsü Hayal dünyasında yaşıyor Takibi atıp geri çeken itinayla çıkarılır</t>
  </si>
  <si>
    <t>Mehmet DAĞLI</t>
  </si>
  <si>
    <t>@ctekurumsal  #TurkishArmy #BarışPınarı #BarışPınarıHarekatı #TürkMilletiOrdusununYanında #OperationPeaceSpring #CTETürkordusuyla</t>
  </si>
  <si>
    <t>https://www.facebook.com/EmniyetGM/photos/a.267321400059526/1592388124219507/?type=3&amp;theater</t>
  </si>
  <si>
    <t>https://pbs.twimg.com/media/EGcaJyTWoAIAXJ3.jpg</t>
  </si>
  <si>
    <t>http://www.kamubiz.com/profil/3/mehmet-dagli</t>
  </si>
  <si>
    <t xml:space="preserve"> مشاري  عتيق</t>
  </si>
  <si>
    <t>حصريا.. السفير ادم ايرلي متحدث الخارجية الأمريكية السابق: اردوغان منافق كبير ..يذرف دموع التماسيح على خاشقجي بينما يزج بالاَف الاتراك بالسجونAdam Ereli: Erdogan is the biggest hypocrite on the plant  #JamalKhashoggi #السعودية</t>
  </si>
  <si>
    <t>pic.twitter.com/poUjaO1Qh3</t>
  </si>
  <si>
    <t>Ronald Klijn</t>
  </si>
  <si>
    <t>@Cees_Koole @jesseklaver Huh? Ga je nu acteren dat je niks weet? Succes daarmee. Bye. #kurds #turkey #turkisharmy #Trump #Erdogan</t>
  </si>
  <si>
    <t>https://pbs.twimg.com/media/EGcaHekXkAEiTu6.jpg</t>
  </si>
  <si>
    <t xml:space="preserve"> طه  حلواني </t>
  </si>
  <si>
    <t>د. محمد الحلفي : باحث في التاريخ الحديث : المنبوذين من بلدانهم فقط هم من تجدهم في منصة قناة الجزيرة  #خاشقجي #عام_على_رحيل_جمال</t>
  </si>
  <si>
    <t>The Netherlands</t>
  </si>
  <si>
    <t>Psychology, politics, music/movies, meat=murder, that 1080 snowboarding guy(WR's 2001-2017. #justsaying😎)</t>
  </si>
  <si>
    <t>pic.twitter.com/XyahTFOCL2</t>
  </si>
  <si>
    <t>Gülşen Konuş</t>
  </si>
  <si>
    <t>Allah yar ve yardımcımız olsun #TurkishArmy #BarisPinariHarekati 🇹🇷🇹🇷🇹🇷</t>
  </si>
  <si>
    <t xml:space="preserve">  برجس  الشيباني</t>
  </si>
  <si>
    <t>د. عدنان محمد: من يتواجد ويعمل على قناة الجزيرة غالبهم لديهم جنسيات إسرائيلية .  - جمال خاشقجي #JamalKhashoggi #السعودية</t>
  </si>
  <si>
    <t>İzmir 🇹🇷 Isparta SDÜ🌷</t>
  </si>
  <si>
    <t>pic.twitter.com/uB2AgOGeK9</t>
  </si>
  <si>
    <t>LafOlaYeriGele ⚡🇹🇷 ⚡</t>
  </si>
  <si>
    <t>#TurkishArmy #OperationPeaceSpring #KurdsSideWithTurkey @realDonaldTrump #Putin #Ruhani #Europe</t>
  </si>
  <si>
    <t>https://pbs.twimg.com/media/EGcaDmGXoAIGh54.jpg</t>
  </si>
  <si>
    <t>@BY ⚡⏩⏩ TAKİP</t>
  </si>
  <si>
    <t>Gent</t>
  </si>
  <si>
    <t>#rojava #TurkishArmy #YPJ #YPG #DefendRojava #Kurds #KurdsBetrayed #Kurdistan #delusion #identitycrisis</t>
  </si>
  <si>
    <t>https://pbs.twimg.com/media/EGcaDAcXoAEOY5E.jpg</t>
  </si>
  <si>
    <t>عارف الصامل</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</si>
  <si>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#JamalKhashoggi #قطر</t>
  </si>
  <si>
    <t>pic.twitter.com/sXueBZjQVm</t>
  </si>
  <si>
    <t>hilal öz</t>
  </si>
  <si>
    <t>@MevlutCavusoglu @yusuf84gurbuz With all we have,with our lives and presence we stand behind our country , our Türkiye 💖 #OperationPeaceSpring #KurdsSideWithTurkey #BarisPinariHarekati #TurkishArmy #TürkMilletiOrdusununYanında</t>
  </si>
  <si>
    <t>إذا تحوّل أملك لِ خيبة إبتسم و أنظر للسّماء وقل - ياربّ خاب أمل الأرض و أمل السّماء لايخيب</t>
  </si>
  <si>
    <t>smmm, vatanına bayrağına aşık, su taşıyan karınca</t>
  </si>
  <si>
    <t xml:space="preserve"> ﻣﻄﻠﻖ ﺍﻟﺮﺩﺍﺩﻱ</t>
  </si>
  <si>
    <t>تقرير / الجبير: إيران "دولة عدائية" وعليها احترام سيادة الآخرين .  - جمال خاشقجي #JamalKhashoggi #تركيا</t>
  </si>
  <si>
    <t>N.v.r.z.g.l</t>
  </si>
  <si>
    <t>ALLAH YAR VE YARDIMCIMIZ OLSUN ALLAH ŞEREFLİ TÜRK ASKERİNİ KORUSUN,YÜCELTSİN. DUALARIMIZ YİĞİTLERİMİZLE. VURUN YİĞİTLER VURUN. VATANIMIZA,BAYRAĞIMIZA,TOPRAĞIMIZA GÖZ DİKENLERİ VURUN. #BarisPinariHarekati #TurkishArmy #OperationPeaceSpring #BarisPinari Suriye #KurdsSideWithTurkey</t>
  </si>
  <si>
    <t>pic.twitter.com/3ZvWuuPrT1</t>
  </si>
  <si>
    <t>Hak edene hak ettiği gibi...</t>
  </si>
  <si>
    <t>BURAK</t>
  </si>
  <si>
    <t>Fırtınalar dursun yana Yol ver Türk’ün bayrağına🇹🇷 #TurkishArmy</t>
  </si>
  <si>
    <t>https://pbs.twimg.com/media/EGcaAtSXoAMOdaf.jpg</t>
  </si>
  <si>
    <t>هلال المطيري</t>
  </si>
  <si>
    <t>أ. نايف الحربي: إعلامي وكاتب صحفي: قناة الجزيرة يصرف عليها مليارات .. واستطاع المغرد السعودي بحسابه الشخصي أن يدافع عن وطنه وقادته .  - جمال خاشقجي #ايران #خاشقجي</t>
  </si>
  <si>
    <t>pic.twitter.com/wYH5fr6zG9</t>
  </si>
  <si>
    <t>Buca, İzmir</t>
  </si>
  <si>
    <t>https://www.instagram.com/burakcnsysal/</t>
  </si>
  <si>
    <t xml:space="preserve"> ﺳﻌﻴﺪ ﺍﻟﺸﻬﺮﺍﻧﻲ</t>
  </si>
  <si>
    <t>د. محمد الحلفي – الباحث في التاريخ الحديث: مُهمة قناة الجزيرة ان يُصبح العالم العربي مُضللاً لا يرى الحقيقة.  #JamalKhashoggi #تركيا</t>
  </si>
  <si>
    <t>pic.twitter.com/oHMJnV15lg</t>
  </si>
  <si>
    <t>Fatih1453Tr28Ts</t>
  </si>
  <si>
    <t>Allahü Teala Türk Askerinin yar ve yardımcısı olsun. Hainlere gereken cezayı Yüce Türk Ordusu gerektiği şekilde verecektir inşallah Fırtınalar dursun yana Yol ver Türk'ün bayrağına. #BarışPınarıHarekatı #TurkishArmy #BarışPınarı 🇹🇷</t>
  </si>
  <si>
    <t>https://pbs.twimg.com/media/EGcaAe4XkAAmel5.jpg</t>
  </si>
  <si>
    <t xml:space="preserve"> محمد  المطيري </t>
  </si>
  <si>
    <t>حصريا.. السفير ادم ايرلي متحدث الخارجية الأمريكية السابق: اردوغان منافق كبير ..يذرف دموع التماسيح على خاشقجي بينما يزج بالاَف الاتراك بالسجونAdam Ereli: Erdogan is the biggest hypocrite on the plant  #خاشقجي #عام_على_اغتيال_جمال</t>
  </si>
  <si>
    <t>pic.twitter.com/TR0Rt2ThWe</t>
  </si>
  <si>
    <t>Ölümü Kırmızı Ölümüne Beyaz Ölümüne Bordo Ölümüne Mavidir Sevdamız #İyikivarsınEren #NeMutluTürkümDiyene</t>
  </si>
  <si>
    <t>SC 53 🇹🇷</t>
  </si>
  <si>
    <t>Harekat Başladı, ALLAH’ım, Sen Türk'ü Türk yurtlarını koru! Düşman şerrinden sakla! TÜRK'ü yiğitlikte daim et! TÜRK'ü erlik davasıyla yaşat... #TurkishArmy 🇹🇷 🇹🇷 🇦🇿 🇰🇿 🇺🇿 🇹🇲 🇰🇬 BİR UMUTTUR YAŞAMAK 🇹🇷 🇦🇿 🇰🇿 🇺🇿 🇹🇲 🇰🇬 REİS SEDAT PEKER</t>
  </si>
  <si>
    <t>pic.twitter.com/6zXXOGXGTN</t>
  </si>
  <si>
    <t>mohmmed alahmed</t>
  </si>
  <si>
    <t>#خاشقجي #مظاهرات_العراق The number of people killed in Iraq more than one hundred and all the sections that I saw the dead were due to direct head injuries ..who killed the Iraqi people ?! Where did those who filled the world scream at the killing of # Khashoggi ??#un #news</t>
  </si>
  <si>
    <t>REİS @SEDAT_PEKER 🇹🇷 🇦🇿 🇰🇿 🇺🇿 🇹🇲 🇰🇬</t>
  </si>
  <si>
    <t>الرياض</t>
  </si>
  <si>
    <t>مهتم بالتنميه الاجتماعيه وتطوير المجتمع</t>
  </si>
  <si>
    <t>vive le partage</t>
  </si>
  <si>
    <t>#خواطر #خاشقجي</t>
  </si>
  <si>
    <t>https://pbs.twimg.com/media/EGb3KEMXkAEFpiP.jpg</t>
  </si>
  <si>
    <t>Lost in Morocco تمازيرت</t>
  </si>
  <si>
    <t>‏‏‏‏أتت بنا الاقدار الى هذا العالم الغريب و مازلنا نبحث عن المخرج و المخرج</t>
  </si>
  <si>
    <t>Cebrail Gençoğlu</t>
  </si>
  <si>
    <t xml:space="preserve"> فهد الشامخ </t>
  </si>
  <si>
    <t>أ. نايف الحربي: إعلامي وكاتب صحفي : لايزال سلوك ايران عدواني  - جمال خاشقجي #JamalKhashoggi #تركيا</t>
  </si>
  <si>
    <t>Galib et, çünkü bu son ordusudur İslam’ın. #TurkishArmy</t>
  </si>
  <si>
    <t>pic.twitter.com/4Q3pji3vEN</t>
  </si>
  <si>
    <t>https://pbs.twimg.com/media/EGcZ_JxWwAAHPMF.jpg</t>
  </si>
  <si>
    <t>Kickboxing Europen 3rd and World 2nd🥇🏆 ERZURUM B.B.G.S.K🥊 Atatürk Üni. Beden Eğitimi ve Spor Öğretmenliği-2013-2017🎓</t>
  </si>
  <si>
    <t>Alperen Kara</t>
  </si>
  <si>
    <t>Ordu Marşı  #herdaimmuzaffer #Türkordusu #TurkishArmy Allah yar ve yardımcınız olsun #PeaceSpringOperation #BarisPinariHarekati</t>
  </si>
  <si>
    <t xml:space="preserve"> حسن  المهداوى</t>
  </si>
  <si>
    <t>د. محمد العوين: على الأوروبيون ان يُدركوا ان النظام الإيراني مُدمر للعالم والحضارات الإنسانية والاقتصاد العالمي.  - جمال خاشقجي #خاشقجي #تركيا</t>
  </si>
  <si>
    <t>https://youtu.be/xodr5o2Shck</t>
  </si>
  <si>
    <t>pic.twitter.com/X3UHWiVpY2</t>
  </si>
  <si>
    <t>Turkey</t>
  </si>
  <si>
    <t>Muslim, Turkish, Evlad-i Fatihan, sonuna kadar evet gönüllüsü</t>
  </si>
  <si>
    <t>سعد السهلي</t>
  </si>
  <si>
    <t>عبدالجليل السعيد في حقائق في دقائق :الشأن السوري لن يصلح حاله إلا بإخراج ايران و تركيا وروسيا لأنهم جزء من المشكلة و البلاء والمصيبة..و السعودية قادرة على رأب الصدع وأن تجمع السوريين  - جمال خاشقجي #JamalKhashoggi #تركيا</t>
  </si>
  <si>
    <t>pic.twitter.com/RGeQdO3Gdi</t>
  </si>
  <si>
    <t>Kürşat Bozkurt</t>
  </si>
  <si>
    <t>#BarışPınarıHarekati 'nı gerçekleştiren şanlı ordumuzun yanındayız! 🇹🇷 #TürkSilahlıKuvvetleri #TurkishArmy</t>
  </si>
  <si>
    <t>Ankara-Yozgat</t>
  </si>
  <si>
    <t>🎓Ankara Üniversitesi- Sosyal Bilgiler Öğretmenliği /🎓Gazi Üniversitesi-Tarih Eğitimi (Y. Lisans)/🎓 Hacettepe Üniversitesi-Özel Eğitim Öğretmenliği</t>
  </si>
  <si>
    <t>https://www.instagram.com/kursat.bozkurt66/</t>
  </si>
  <si>
    <t>Abubaker Ahlawe</t>
  </si>
  <si>
    <t>اتصال/ د. فوزية القحطاني: باحثة في الإعلام والأمن الفكري – جدة: الإعلام القطري ينشر الكراهية والبغضاء .. كما تعمل اجهزتهم ليل نهار على التشكيك بكل منجز سعودي .  - جمال خاشقجي #خاشقجي #عام_على_رحيل_خاشقجي</t>
  </si>
  <si>
    <t>pic.twitter.com/BlzWLTybIv</t>
  </si>
  <si>
    <t>🥀</t>
  </si>
  <si>
    <t>Galip et, Çünkü bu SON ORDUSUDUR İSLAMIN ! #TurkishArmy #BarışPınarıHarekatı</t>
  </si>
  <si>
    <t>pic.twitter.com/XYCjSJJv9p</t>
  </si>
  <si>
    <t>ahlawi الأهلي عشق لاينتهي #القلعة_الخضراء #الملكي</t>
  </si>
  <si>
    <t>Sakarya, Türkiye</t>
  </si>
  <si>
    <t>Ak Parti Sakarya | Sosyal Hizmetler | İşaret Dili | e-Ticaret Site Yönetimi | MK</t>
  </si>
  <si>
    <t>http://www.akpartisakarya.com</t>
  </si>
  <si>
    <t xml:space="preserve"> مسعد المالكي</t>
  </si>
  <si>
    <t>العميد متقاعد. حسن الشهري : لم يقف في وجه المملكة دولة أو نظام أو حزب الا خسر وتبقى المملكة منتصرة .  - جمال خاشقجي #JamalKhashoggi #قطر</t>
  </si>
  <si>
    <t>pic.twitter.com/TRm2QNX8hD</t>
  </si>
  <si>
    <t>شــرقاوى.</t>
  </si>
  <si>
    <t>وفاة محمد العتيبى سفير السعودية السابق لدى تركيا. اثر أزمة قلبية...!!؟ هما بيقولوا كده ازمة قلبية لعنة دماء الشهيد #خاشقجي تلاحقكم أيها المناشير. هتروح فين الشمس من على قفا الفلاح يا #مبس</t>
  </si>
  <si>
    <t>https://pbs.twimg.com/media/EGb1khVXYAA0nuh.jpg</t>
  </si>
  <si>
    <t>‏‏‏‏‏‏ هي أشياءُ لا تُشتَرى.</t>
  </si>
  <si>
    <t>Murat Özdemir</t>
  </si>
  <si>
    <t>#OperationPeaceSpring #KurdsSideWithTurkey #TurkishArmy</t>
  </si>
  <si>
    <t>https://pbs.twimg.com/media/EGcZ5GxWwAAL8ex.jpg</t>
  </si>
  <si>
    <t>kayseri  yahyalı</t>
  </si>
  <si>
    <t>canal 24 Saoudien</t>
  </si>
  <si>
    <t>Les forces navales saoudiennes continuent d'effectuer des manœuvres (pont 20) avec la participation de l'armée de l'air, de la défense aérienne saoudienne et de la marine bahreïnienne dans les eaux du golfe Persique #France #Saudi #JamalKhashoggi #جمال_خاشقجي</t>
  </si>
  <si>
    <t>𐱅𐰇 𐰼 𐰰 🇹🇷</t>
  </si>
  <si>
    <t>#TurkishArmy #OperationPeaceSpring #BarışPınarıHarekati</t>
  </si>
  <si>
    <t>https://pbs.twimg.com/media/EGb1KSqX0AAe30x.jpg</t>
  </si>
  <si>
    <t>https://pbs.twimg.com/media/EGcZ5BrWkAAgXna.jpg</t>
  </si>
  <si>
    <t>La chaine Saoudi 24 - Nous vous livrons des nouvelles et des événements audio-visuel en continu- Arabie Saoudite</t>
  </si>
  <si>
    <t>Türkei</t>
  </si>
  <si>
    <t>#BarışPınarıHarekati 🇹🇷</t>
  </si>
  <si>
    <t xml:space="preserve"> رضا  المؤمن </t>
  </si>
  <si>
    <t>محلل قناة ٢٤ سعودي الفضائية د. فهد الشليمي في مع الحدث :الضغط على مصر .. وجعل مصر غير آمنة وغير مستقرة.. هو مربح للأتراك بطريقة مباشرة على المستوى السياحي والاقتصادي والاستثماري  - جمال خاشقجي #خاشقجي #عام_على_رحيل_خاشقجي</t>
  </si>
  <si>
    <t>pic.twitter.com/IF8mVj8dDY</t>
  </si>
  <si>
    <t>Basri Tesviyeci</t>
  </si>
  <si>
    <t>Türkler geliyor! #TurkishArmy</t>
  </si>
  <si>
    <t>Kayseri / Sakarya</t>
  </si>
  <si>
    <t>Nerede olduğumu hatırlamaya çalışıyorum. http://instagram.com/basritesviyeci</t>
  </si>
  <si>
    <t>ﻋﺎﻳﺾ ﻧﺎﺻﺮ</t>
  </si>
  <si>
    <t>أ. عبدالرحمن الملحم - كاتب ومحلل سياسي : ايران استغلت ضعف الإدارة الامريكية السابقة إدارة "أوباما" .. حين تم توقيع موضوع الملف النووي .  - جمال خاشقجي #خاشقجي #عام_على_اغتيال_جمال</t>
  </si>
  <si>
    <t>pic.twitter.com/aJy2vDZ1x5</t>
  </si>
  <si>
    <t>Emre İzmirli</t>
  </si>
  <si>
    <t>Amerika parayla satıyor biz bedava mühimmat veriyoruz adamlar tutamıyor. Allah yar ve yardımcınız olsun #BarisPinariHarekati #Turkisharmy</t>
  </si>
  <si>
    <t>GAZİ ÜNİVERSİTESİ-ÇEKO</t>
  </si>
  <si>
    <t>ﻋﺎﺋﺾ ﺍﻟﺠﻬﻨﻲ</t>
  </si>
  <si>
    <t>محلل قناة ٢٤ سعودي الفضائية د. فهد الشليمي في مع الحدث :الضغط على مصر .. وجعل مصر غير آمنة وغير مستقرة.. هو مربح للأتراك بطريقة مباشرة على المستوى السياحي والاقتصادي والاستثماري  - جمال خاشقجي #خاشقجي #تركيا</t>
  </si>
  <si>
    <t>pic.twitter.com/hkrwl6Tf7O</t>
  </si>
  <si>
    <t>MeCeKaSoft</t>
  </si>
  <si>
    <t>short tales by legendary Russian writers. Dostoevsky, Tolstoy, Pushkin, Gogol, Chekhov and so on #BarışPınarıHarekati #BarisPinari Rebekah Vardy #TurkishArmy #同期のサクラ Coleen Rooney Taina</t>
  </si>
  <si>
    <t>https://play.google.com/store/apps/details?id=mecekasoft.com.rustale</t>
  </si>
  <si>
    <t xml:space="preserve">  عطيه  المالكي</t>
  </si>
  <si>
    <t>د. نايف الوقاع : عندما تقول الولايات المتحدة أنها لن ترفع العقوبات على ايران فإنها تملك دليل قاطع أن هذا النظام لن يتغير .  - جمال خاشقجي #JamalKhashoggi #السعودية</t>
  </si>
  <si>
    <t>pic.twitter.com/cj59bS8gdN</t>
  </si>
  <si>
    <t>Android App Development. Followback. Geritakip</t>
  </si>
  <si>
    <t>https://play.google.com/store/apps/developer?id=MeCeKaSoft</t>
  </si>
  <si>
    <t>فالح العسير</t>
  </si>
  <si>
    <t>أ. نايف الحربي: إعلامي وكاتب صحفي : لايزال سلوك ايران عدواني  - جمال خاشقجي #خاشقجي #عام_على_رحيل_جمال</t>
  </si>
  <si>
    <t>pic.twitter.com/DN0froIqOf</t>
  </si>
  <si>
    <t>#ANDIMIZ #VATAN SAĞOLSUN</t>
  </si>
  <si>
    <t>Çok güzel 👨🏻‍🎤❤️🇹🇷⚔️👊💪 #BarışPınarıHarekatı #TurkishArmy #OperationPeaceSpring #BarisPinariHarekati #TürkMilletiOrdusununYanında RT @8Peyok: Güzelliğe bak</t>
  </si>
  <si>
    <t>https://twitter.com/8peyok/status/1181930640993853440</t>
  </si>
  <si>
    <t>تنبيش</t>
  </si>
  <si>
    <t>https://pbs.twimg.com/media/EGcPpSqWsAAoIV_.jpg</t>
  </si>
  <si>
    <t>The Simple question is.. WHY? &amp; here are some HARD answers #Thehiddentruth #JamalKhashoggi #VeGiziliOrtayaÇıktı #Kaşıkçı #Qatar #وانكشف_المستور</t>
  </si>
  <si>
    <t>pic.twitter.com/sbNw56Otgn</t>
  </si>
  <si>
    <t>‏‏صح ان الحقيقه واضحه بس بعض الامور تحتاج تنبيش</t>
  </si>
  <si>
    <t>Türkiye Cumhuriyeti Devleti</t>
  </si>
  <si>
    <t>MİLLÎ SEFERBERLİK başladı👨🏻‍🎤eğlence bitti👊ÖNCE #VATAN diyenler BİR ADIM ÖNE🤗🇹🇷 GERÇEK AŞK, VATAN AŞKIDIR DİYENLERE SELAM OLSUN🙋‍♂️❤️🇹🇷</t>
  </si>
  <si>
    <t>joan kunze</t>
  </si>
  <si>
    <t>#JamalKhashoggi RT @Brasilmagic: Khashoggi's Murder Should Have Made Saudi Arabia A Pariah. 7 Men Made Sure That Didn't Happen.</t>
  </si>
  <si>
    <t>https://twitter.com/Brasilmagic/status/1181899541970333696
https://www.huffpost.com/entry/saudi-seven-khashoggi_n_5d975e49e4b02911e11a38b1</t>
  </si>
  <si>
    <t>The Blue Marble</t>
  </si>
  <si>
    <t>a part of It All - swimming in the Haiku Ocean - an iced chocolate svp - shook Neil Armstrong's hand - sand buckets at the ready</t>
  </si>
  <si>
    <t>مبارك الخاطر</t>
  </si>
  <si>
    <t>محلل قناة ٢٤ سعودي الفضائية د. عمر عبدالستار في نيران ايران : ايران بهذا النظام غير قابلة للتغيير، ولكنها في نفس الوقت هي عرضة للتفكك  - جمال خاشقجي #خاشقجي #عام_على_اغتيال_جمال</t>
  </si>
  <si>
    <t>pic.twitter.com/s12wvxeeqQ</t>
  </si>
  <si>
    <t>チャンネル 24 サウジ</t>
  </si>
  <si>
    <t>サウジアラビア海軍は、アラビア湾の海域でサウジアラビア空軍、防空、バーレーン海軍の参加を得て、（ブリッジ-20）という機動演習の実行を続けている。 #ジャマル・カショギ #日本 #サウジ #Saudi #جمال_خاشقجي ⁦#JamalKhashoggi</t>
  </si>
  <si>
    <t>https://pbs.twimg.com/media/EGbyzqTW4AAG5MS.jpg</t>
  </si>
  <si>
    <t>ニュースとイベントを24時間体制で音声と写真でご提供しています- サウジテレビチャンネル</t>
  </si>
  <si>
    <t xml:space="preserve">أحمد مسفر </t>
  </si>
  <si>
    <t>أ. نايف الحربي: إعلامي وكاتب صحفي: ايران دولة ليست موثوقة .. ولا أحد يثق فيها .  - جمال خاشقجي #خاشقجي #عام_على_اغتيال_جمال</t>
  </si>
  <si>
    <t>pic.twitter.com/XWrlKvkhPI</t>
  </si>
  <si>
    <t xml:space="preserve">  عبدالعزيز الدريويش</t>
  </si>
  <si>
    <t>عبدالجليل السعيد في حقائق في دقائق :الشأن السوري لن يصلح حاله إلا بإخراج ايران و تركيا وروسيا لأنهم جزء من المشكلة و البلاء والمصيبة..و السعودية قادرة على رأب الصدع وأن تجمع السوريين  - جمال خاشقجي #خاشقجي #قطر</t>
  </si>
  <si>
    <t>pic.twitter.com/G72H9K7Huc</t>
  </si>
  <si>
    <t xml:space="preserve">  مسفر القحطاني</t>
  </si>
  <si>
    <t>محلل قناة ٢٤ سعودي الفضائية د. أنور مالك في المراقب : نظام الملالي يعيش في مرحلة رعب حقيقي فهو ينشر تهديداته في محاولة لإبعاد شبح الحرب عنه  #خاشقجي #قطر</t>
  </si>
  <si>
    <t>pic.twitter.com/oxsiFhmugP</t>
  </si>
  <si>
    <t>kanal 24 Suudi</t>
  </si>
  <si>
    <t>Suudi deniz kuvvetleri, Arap Körfezi sularında Suudi hava kuvvetleri, hava savunma ve Bahreyn donanmasının katılımıyla manevralar (köprü-20) yapmaya devam ediyor. #Türkiye #Saudi #JamalKhashoggi #جمال_خاشقجي</t>
  </si>
  <si>
    <t>https://pbs.twimg.com/media/EGbxmZFWkAA5w2n.jpg</t>
  </si>
  <si>
    <t>https://twitter.com/Saudi_24</t>
  </si>
  <si>
    <t>uzaysal 24 kanalı Suudi sitesi - 24 saat boyunca sesli ve resimli haber ve etkinlikleri size sunmaktadır - Suudi Arabistan</t>
  </si>
  <si>
    <t>ﺑﺠﺎﺩ ﺍﻝ ﻓﺎﺿﻞ</t>
  </si>
  <si>
    <t>أ. عبدالرحمن الملحم - كاتب ومحلل سياسي : قطر قامت بخيانة دول مجلس التعاون بإعطاء احداثيات حول الجنود الاماراتيين والسعوديين .  - جمال خاشقجي #خاشقجي #قطر</t>
  </si>
  <si>
    <t>pic.twitter.com/okEXy07nsD</t>
  </si>
  <si>
    <t>Chris</t>
  </si>
  <si>
    <t>@DavidPepper @daytondailynews @senrobportman He is only interested in trickle down economics, gun rights, &amp; protecting discrimination based on religious beliefs. #Charlottesville #JamalKhashoggi</t>
  </si>
  <si>
    <t>Cuyahoga Falls, OH</t>
  </si>
  <si>
    <t>It was a bright cold day in April, and the clocks were striking thirteen.</t>
  </si>
  <si>
    <t xml:space="preserve">  رافع  المالكي </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</si>
  <si>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#خاشقجي #عام_على_اغتيال_جمال</t>
  </si>
  <si>
    <t>pic.twitter.com/S2bcDjnhTa</t>
  </si>
  <si>
    <t>TURKS</t>
  </si>
  <si>
    <t>pkk=ypg= baby murderer       #OperationPeaceSpring @realDonaldTrump @Oprah USA #TurkishArmy #Syria #Turks #Turkey JOKER</t>
  </si>
  <si>
    <t>https://youtube.com/watch?v=6O7crIJAU2w
https://dailysabah.com/war-on-terror/2019/07/19/pkks-reputation-as-baby-killer-has-a-long-history-of-bloody-attacks-targeting-children
https://aa.com.tr/en/turkey/turkey-pkk-have-killed-14-000-since-1984/5598
https://yenisafak.com/en/news/once-again-terrorist-pkk-proves-itself-baby-killer-3437746
https://ayrintilihaber.com.tr/turkiye/bebek-katili-pkk-11-ayda-23-cocuk-oldurdu-h3780.html
http://hurriyet.com.tr/gundem/pkk-dan-gungoren-de-sivil-katliam-17-olu-154-yarali-9528680</t>
  </si>
  <si>
    <t>https://pbs.twimg.com/media/EGcZuE_XYAA5Pzx.jpg</t>
  </si>
  <si>
    <t>ﻋﻠﻲ ﺍﻟﺮﺍﺷﺪ</t>
  </si>
  <si>
    <t>اللواء المتقاعد د. زايد العمري: خبير استراتيجي ومحلل سياسي: قطر تحاول أن تتطاول على جمهورية مصر العربية .  - جمال خاشقجي #خاشقجي #عام_على_رحيل_جمال</t>
  </si>
  <si>
    <t>pic.twitter.com/7YRgSSET7D</t>
  </si>
  <si>
    <t>OTTOMAN_EMPİRE</t>
  </si>
  <si>
    <t>#ÖNEMLİ Operasyon başlamıştır. Ecdâdımızın heybeti ma'rûf-u cihândır Fıtrat değişir sanma bu kan yine o kandır. Şu kopan fırtına Türk ordusudur yâ rabbi. Sen bizi utandırma. #TurkishArmy</t>
  </si>
  <si>
    <t xml:space="preserve">  ناصر سليمان </t>
  </si>
  <si>
    <t>https://pbs.twimg.com/media/EGcZuAHWwAACISM.jpg</t>
  </si>
  <si>
    <t>أ. نايف الحربي: إعلامي وكاتب صحفي: ايران تريد الاضرار بأمن المملكة .  - جمال خاشقجي #JamalKhashoggi #قطر</t>
  </si>
  <si>
    <t>pic.twitter.com/OMMcYEFkTK</t>
  </si>
  <si>
    <t>TARAFIM BELLİ - YOLUM BELLİ - TAVRIM BELLİ- CEVABIM BELLİ - DERDİM VATAN - DAVAM BEKA - YOLUM İSLAM</t>
  </si>
  <si>
    <t>حسن العبسي</t>
  </si>
  <si>
    <t>د. أنور مالك :"كتاب أوراق قطر"أشار إلى أن موظفاً كبيراً في السفارة القطرية في باريس، يقوم بدور بارز في تسهيل الإمدادات المالية في إطار صناعة النفوذ في قطر، عبر شبكات تابعة لتنظيم الإخوان  - جمال خاشقجي #خاشقجي #عام_على_اغتيال_جمال</t>
  </si>
  <si>
    <t>pic.twitter.com/RVfgYqSrJt</t>
  </si>
  <si>
    <t>الرآقي ♥ v هؤ : گآلذي يمشي . . . علئ آلرّمل : لآ تسمع صؤت خطوآتھہ‘ ؤلگن ترئ أثرھہ ' $ |</t>
  </si>
  <si>
    <t>中文24saudi</t>
  </si>
  <si>
    <t>沙特海军，沙特空军，沙特防空和巴林海军在阿拉伯海湾的水域继续进行演习（20_桥） #沙特 #中国 #Saudi #جمال_خاشقجي ⁦#JamalKhashoggi</t>
  </si>
  <si>
    <t>https://pbs.twimg.com/media/EGbxAkhW4AAerVz.jpg</t>
  </si>
  <si>
    <t>Mete Bilgehan</t>
  </si>
  <si>
    <t>@1parcatuhaftik Keşke bu arkadaşa bir şey yedirip içirmeseydiniz #TurkishArmy 🇹🇷</t>
  </si>
  <si>
    <t>24沙特频道网站-全天把新闻和活动传递到您-沙特阿拉伯</t>
  </si>
  <si>
    <t xml:space="preserve"> نشمي  العلوي</t>
  </si>
  <si>
    <t>محلل قناة ٢٤ سعودي الفضائية د. فهد الشليمي في مع الحدث :الضغط على مصر .. وجعل مصر غير آمنة وغير مستقرة.. هو مربح للأتراك بطريقة مباشرة على المستوى السياحي والاقتصادي والاستثماري  - جمال خاشقجي #خاشقجي #عام_على_اغتيال_جمال</t>
  </si>
  <si>
    <t>🇹🇷</t>
  </si>
  <si>
    <t>pic.twitter.com/Mn9If91XOa</t>
  </si>
  <si>
    <t>سرور بن سفران</t>
  </si>
  <si>
    <t>كل يوم يموت #خاشقجي في العراق!!</t>
  </si>
  <si>
    <t>شارع 5</t>
  </si>
  <si>
    <t>لو كانت الدنيا سهلة ميسره لما كان الصبر أحد أبواب الجنة</t>
  </si>
  <si>
    <t>24 Saudí canal</t>
  </si>
  <si>
    <t>Las fuerzas navales sauditas continúan realizando maniobras (puente-20) con la participación de la fuerza aérea saudita, la defensa aérea y la marina de Bahrein en las aguas del Golfo Arábigo #جمال_خاشقجي #تركيا ⁦#JamalKhashoggi #España #Saudi</t>
  </si>
  <si>
    <t>https://pbs.twimg.com/media/EGbwgzZW4AADSdf.jpg</t>
  </si>
  <si>
    <t>Beybaba 🇹🇷</t>
  </si>
  <si>
    <t>TSK’nın havadan uçaklarla ve karadan topçu birlikleri ile PKK hedeflerini vurduğu bölgeler #BarışPınarıHarekatı #OperationPeaceSpring #TurkishArmy Resulayn Ayn İsa ve Tel Abyad</t>
  </si>
  <si>
    <t>https://pbs.twimg.com/media/EGcZqVFWoAAHybM.jpg</t>
  </si>
  <si>
    <t>En el sitio web del canal 24 de Arabia Saudita os transferimos las noticias y los eventos de sonido e imágenes a todas horas - La Arabia Saudita</t>
  </si>
  <si>
    <t xml:space="preserve">   احمد الزهراني</t>
  </si>
  <si>
    <t>د. عبد الله الرفاعي: لا زال اردوغان ونظامه يُمارسون العبث السياسي الذي بدء يدفع ثمنه الداخل التركي.  - جمال خاشقجي #خاشقجي #قطر</t>
  </si>
  <si>
    <t>pic.twitter.com/3NRvPgRhG1</t>
  </si>
  <si>
    <t>Resat Mursaloglu</t>
  </si>
  <si>
    <t>Allah Turk Askerini korusun... May God Protect the Turkish soldiers and lead them to victory in #BarışPınarıHarekatı #PeaceSpringOperation #TurkishArmy</t>
  </si>
  <si>
    <t>Dursun Kaptan</t>
  </si>
  <si>
    <t>#Kurdish people are supporting #TurkishArmy.. #OperationPeaceSpring #BarisPinariHarekati #TwitterKurds #TurkishArmy #Rojava #Kurds #syria #kurdistan #kurd #RojavaKazanacak #RojavaicinAyağaKalk #RiseUp4Rojava RT @malikejder_: Önemli bir iddia: PKK elebaşları kaçtı. Kalanların bir kısmı teslim olmaya başlamış. ÖSO çağrı yapıp teslim olanın canına dokunulmayacak açıklaması yapmıştı.</t>
  </si>
  <si>
    <t>https://twitter.com/malikejder_/status/1181939525393829888</t>
  </si>
  <si>
    <t>https://pbs.twimg.com/media/EGcXt-VXUAEmgT2.jpg</t>
  </si>
  <si>
    <t>vatan üzerine pazarlık yapılmaz</t>
  </si>
  <si>
    <t>حصريا.. السفير ادم ايرلي متحدث الخارجية الأمريكية السابق: اردوغان منافق كبير ..يذرف دموع التماسيح على خاشقجي بينما يزج بالاَف الاتراك بالسجونAdam Ereli: Erdogan is the biggest hypocrite on the plant  #خاشقجي #عام_على_رحيل_خاشقجي</t>
  </si>
  <si>
    <t>pic.twitter.com/GyyVoqmbvs</t>
  </si>
  <si>
    <t>Hakan Kanso</t>
  </si>
  <si>
    <t>Bu ülke için yaşayan/ölen kim varsa, Allah, muvaffak ve muzaffer kılsın... #BarisPinari #BarisPinariHarekati #TurkishArmy</t>
  </si>
  <si>
    <t xml:space="preserve">  عادل الحازمي</t>
  </si>
  <si>
    <t>أ. سامي المرشد: المال القطري أنفق بسخاء على الإرهاب والعصابات وتهييج الشعوب .  - جمال خاشقجي #خاشقجي #تركيا</t>
  </si>
  <si>
    <t>pic.twitter.com/ep13hRUl3j</t>
  </si>
  <si>
    <t>Türkmeneli Cephesi</t>
  </si>
  <si>
    <t>Selam şanlı mazimize! Selam yarına! Selam zafer ordusunun silahlarına! Ey geçmişin yiğitleri! Selam sizlere! Ey yarının şehitleri! Selam sizlere! #Atsız 🇹🇷 F-16 #BarışPınarıHarekatı #Syria #ıraq #BarışHarekatı #PeaceSpringOperation #TurkishArmy #BarisPinari #GameOverABD</t>
  </si>
  <si>
    <t>https://pbs.twimg.com/media/EGcZhsNXkAADqD-.jpg</t>
  </si>
  <si>
    <t xml:space="preserve">عبدالله عسيري </t>
  </si>
  <si>
    <t>د. عدنان محمد : تركيا هي السوق الأكثر استهلاكا و إنتاجا للأخبار الكاذبة و المزيفة في العالم.  - جمال خاشقجي #JamalKhashoggi #تركيا</t>
  </si>
  <si>
    <t>pic.twitter.com/YvhW6BjH7U</t>
  </si>
  <si>
    <t>جمعان الغامدى</t>
  </si>
  <si>
    <t>مهم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#السعودية</t>
  </si>
  <si>
    <t>Türkmeneli Cephesi Resmi Twitter Hesabı الحساب الرسمي لـجبهة توركمن ايلي http://www.turkmenelicumhuriyeti.com #türkmeneli #ıraq #sryia #azerbjan #southturkestan</t>
  </si>
  <si>
    <t>pic.twitter.com/MP0BLn7UOr</t>
  </si>
  <si>
    <t>http://www.turkmenelicephesi.com</t>
  </si>
  <si>
    <t xml:space="preserve"> يوسف القرشي </t>
  </si>
  <si>
    <t>أ. مؤنس المردي – رئيس تحرير جريدة البلاد البحرينية: نظام اردوغان وإرهاب ايران وجهان لعملة واحدة.  - جمال خاشقجي #JamalKhashoggi #تركيا</t>
  </si>
  <si>
    <t>Mary Wilson</t>
  </si>
  <si>
    <t>pic.twitter.com/JHVSgtU6UE</t>
  </si>
  <si>
    <t>Dear Turk brothers, We all Pakistanis are with you !!! 🇵🇰"Two flags ONE nation" 🇹🇷 #BarışPınarı  #BarışPınarıHarekati #Turkisharmy @alikeskin_tr 💕😘</t>
  </si>
  <si>
    <t>https://pbs.twimg.com/media/EGbCA85WkAEgcP0.jpg</t>
  </si>
  <si>
    <t xml:space="preserve"> عيسى الحربي</t>
  </si>
  <si>
    <t>محلل قناة ٢٤ سعودي الفضائية صباح الخزاعي في بصريح العبارة : ارتباط دبلوماسيين إيرانيين بمخطط الهجوم على مباراة كرة القدم في كأس العالم عام 2016م في ألبانيا  #خاشقجي #قطر</t>
  </si>
  <si>
    <t>pic.twitter.com/WAbQ4YXyN9</t>
  </si>
  <si>
    <t>California, USA</t>
  </si>
  <si>
    <t>Erol Şapaloglu</t>
  </si>
  <si>
    <t>Kılınıza Zarar Gelmesin ASLAN Parçaları...🇹🇷 🇹🇷🇹🇷 Rabbim yardımcınız olsun... #TurkishArmy #BarışPınarıHarekati</t>
  </si>
  <si>
    <t>istanbul</t>
  </si>
  <si>
    <t>Bir ALLAH aşkından Bir VATAN sevdasından Gecerse bu YÜREK solsun, yok olsun !!!</t>
  </si>
  <si>
    <t>https://instagram.com/erol.sapaloglu/</t>
  </si>
  <si>
    <t xml:space="preserve"> جاسم الماضي </t>
  </si>
  <si>
    <t>د. محمد الحلفي – الباحث في التاريخ الحديث: مُهمة قناة الجزيرة ان يُصبح العالم العربي مُضللاً لا يرى الحقيقة.  #خاشقجي #قطر</t>
  </si>
  <si>
    <t>pic.twitter.com/XR8s9HuTms</t>
  </si>
  <si>
    <t>YokYokCom</t>
  </si>
  <si>
    <t>YPG/SDG/KCK/PKK... "Barış, hemen şimdi" demiş. Niye şimdi? Karpuz kesmeden olmaz ki... #BarışPınarıHarekati #BarisPinariHarekati #TurkishArmy #OperationPeaceSpring</t>
  </si>
  <si>
    <t>Istanbul, Florida, London</t>
  </si>
  <si>
    <t>Yurtdışı Türkler Platformu... Türk Restoran, Türk Avukat, Doktor, Türk Market, Helal Yemek, THY Ofisleri ve Elçilikler...#yokyok</t>
  </si>
  <si>
    <t>https://yokyok.com</t>
  </si>
  <si>
    <t xml:space="preserve"> سعيد  الفارس</t>
  </si>
  <si>
    <t>أتصال/ أ. توفيق قويدر شيشي: كاتب صحفي ومحلل سياسي أمني في الشأن الأوروبي – باريس: القرضاوي منع من دخول فرنسا وأوروبا بشكل عام .  - جمال خاشقجي #خاشقجي #قطر</t>
  </si>
  <si>
    <t>pic.twitter.com/X9HIcDCc2A</t>
  </si>
  <si>
    <t xml:space="preserve"> حسام وصل </t>
  </si>
  <si>
    <t>أ. عبدالرحمن الملحم - كاتب ومحلل سياسي : ايران استغلت ضعف الإدارة الامريكية السابقة إدارة "أوباما" .. حين تم توقيع موضوع الملف النووي .  - جمال خاشقجي #خاشقجي #عام_على_رحيل_جمال</t>
  </si>
  <si>
    <t>pic.twitter.com/oZCrEKoj6Y</t>
  </si>
  <si>
    <t>KC</t>
  </si>
  <si>
    <t>Şu kopan fırtına Türk ordusudur yâ Rabbi. Senin uğrunda ölen ordu budur yâ Rabbi. Tâ ki yükselsin ezanlarla müeyyed nâmın, Galib et, çünkü bu son ordusudur İslâm'ın. 🇹🇷 #BarisPinariHarekati #TurkishArmy</t>
  </si>
  <si>
    <t xml:space="preserve"> ﻣﺎﻧﻊ ﺍﻟﻘﺮﻧﻲ  </t>
  </si>
  <si>
    <t>أ. نايف الحربي: إعلامي وكاتب صحفي: جماعة الأخوان الإرهابية هي من تسيطر على الإعلام القطري وهي من تدعمهم بالتقارير المزيفة .  - جمال خاشقجي #JamalKhashoggi #السعودية</t>
  </si>
  <si>
    <t>pic.twitter.com/RB28xT7XGT</t>
  </si>
  <si>
    <t>pic.twitter.com/9JuaKz0OlY</t>
  </si>
  <si>
    <t>Wikipedia is blocked in Turkey since 4/29/2017 s2k fc20 ft €46 GANG</t>
  </si>
  <si>
    <t>https://www.instagram.com/kaanceelik/</t>
  </si>
  <si>
    <t xml:space="preserve"> محمد عسيري</t>
  </si>
  <si>
    <t>أ. نايف الحربي: إعلامي وكاتب صحفي: قناة الجزيرة يصرف عليها مليارات .. واستطاع المغرد السعودي بحسابه الشخصي أن يدافع عن وطنه وقادته .  - جمال خاشقجي #JamalKhashoggi #تركيا</t>
  </si>
  <si>
    <t>pic.twitter.com/eHDFdyEHyF</t>
  </si>
  <si>
    <t>s£vâL</t>
  </si>
  <si>
    <t>Yüreğimiz de duamızda askerimizle. Ya Rabbi, hiç birinin burnu dahi kanamadan sen zafer ile şereflendir ordumuzu. Ve duamız odur ki; hayırla sonuçlandır, hayırlara vesile kıl. #BarışPınarıHarekatı #OperationPeaceSpring #TurkishArmy</t>
  </si>
  <si>
    <t xml:space="preserve">Hiçbir yere ait değilmiş gibi </t>
  </si>
  <si>
    <t>|Mütevâzı hayâllerim var|</t>
  </si>
  <si>
    <t>𝚌𝚎𝚗𝚐!𝚣</t>
  </si>
  <si>
    <t>Ecdâdının heybeti ma'rûf-ı cihândır, Fıtrat değişir sanma, Bu KAN yine o kandır! Kahraman TÜRKLER geliyor!🇹🇷 #BarışPınarıHarekatı #TurkishArmy</t>
  </si>
  <si>
    <t>https://pbs.twimg.com/media/EGcZaySXoAE8Nq7.jpg</t>
  </si>
  <si>
    <t xml:space="preserve"> ﻣﺎﻃﺮ ﻋﺴﻴﺮﻱ ‏ </t>
  </si>
  <si>
    <t>اتصال/ أ. شفان الخابوري: ممثل الإدارة الذاتية الديموقراطية في شمال وشرق سوريا : تركيا تسعى من خلال دعمها للأطراف الإرهابية والمتطرف تحقيق غايتها في الشمال السوري .  #ايران #خاشقجي</t>
  </si>
  <si>
    <t>pic.twitter.com/tb6c1fInfu</t>
  </si>
  <si>
    <t>Kahramanmaraş, Türkiye</t>
  </si>
  <si>
    <t>𝑊ℎ𝑎𝑡 𝑠ℎ𝑜𝑢𝑙𝑑 𝑖 𝑤𝑟𝑖𝑡𝑒 ℎ𝑒𝑟𝑒</t>
  </si>
  <si>
    <t>AbdullahYılmazer</t>
  </si>
  <si>
    <t>Fırtınalar dursun yana Yol ver Türk'ün bayrağına. #BarışPınarıHarekatı #TurkishArmy #BarışPınarı 🇹🇷</t>
  </si>
  <si>
    <t>https://pbs.twimg.com/media/EGcZYG9WoBASVVz.jpg</t>
  </si>
  <si>
    <t>Fenerbahçe Vatan Sevdalısı</t>
  </si>
  <si>
    <t>Samet Temurtaş</t>
  </si>
  <si>
    <t>Bölgedeki kardeşlerimin, tüm Mehmetçiklerimizin Allah yar ve yardımcısı olsun. Gazanız mübarek ola #BarisPinariHarekati #TurkishArmy</t>
  </si>
  <si>
    <t>ترى سكه علي</t>
  </si>
  <si>
    <t>"Watch .. Saudi SABIC .. the leader company #JamalKhashoggi #خاشقجي "</t>
  </si>
  <si>
    <t>🇹🇷 🇸🇰 🇦🇹 🇨🇿 🇩🇪 🇳🇱 🇧🇪 🇫🇷 🇮🇹 🇧🇬 🇭🇺</t>
  </si>
  <si>
    <t>http://www.cansizhatira.com</t>
  </si>
  <si>
    <t>pic.twitter.com/SXbLf62iwD</t>
  </si>
  <si>
    <t>Al Kharj</t>
  </si>
  <si>
    <t>اجتنب مصاحبة الكذاب فإن اضطررت إليه فلا تُصَدِّقْهُ</t>
  </si>
  <si>
    <t>خوله الدين علي</t>
  </si>
  <si>
    <t>"#JamalKhashoggi #جمال_خاشقجي "</t>
  </si>
  <si>
    <t>Abbondanzieri</t>
  </si>
  <si>
    <t>And your nightmare #TurkishArmy is on the field 🇹🇷 #BarışPınarıHarekatı #PeaceSpringOperation #TürkOrdusu Ayağınıza taş değmesin aslanlarım 🤲</t>
  </si>
  <si>
    <t>https://pbs.twimg.com/media/EF-k-QmWkAIXsMv.jpg</t>
  </si>
  <si>
    <t>Ankara</t>
  </si>
  <si>
    <t>Ben yalnızca söylediklerimden sorumluyum, sizin ne anladığınızdan değil... Maden Mühendisi</t>
  </si>
  <si>
    <t>Sakaka</t>
  </si>
  <si>
    <t>إبتسم دائما.،.،. كي يحتآر النآس في فهمك</t>
  </si>
  <si>
    <t>تانية بين أحمد</t>
  </si>
  <si>
    <t>"Saudi Aramco .. Our people #JamalKhashoggi #خاشقجي "</t>
  </si>
  <si>
    <t>pic.twitter.com/9pAnJ4NzBU</t>
  </si>
  <si>
    <t>اتق شر الحليم اذا غضب</t>
  </si>
  <si>
    <t>خلود الكمالي</t>
  </si>
  <si>
    <t>Tunahan Nalbant</t>
  </si>
  <si>
    <t>King Abdullah Economic City</t>
  </si>
  <si>
    <t>ﺃﺷﺒﻌﻮﻧﻲ ﻗﺮﺑﺎً ﻑَ ﻳﻮﻣﺎً ﻡَ ﺳﺄﺭﺣﻞ ﻋﻨﻜﻢ ﺩﻭﻥ ﻭﺩﺁﻉ</t>
  </si>
  <si>
    <t>https://pbs.twimg.com/media/EGcZVJVW4AU82Vq.jpg</t>
  </si>
  <si>
    <t xml:space="preserve"> سعيد  الزهراني</t>
  </si>
  <si>
    <t>محلل قناة ٢٤ سعودي الفضائية د. عماد الدين الجبوري في سجال خاص : منذ عام 1979م والمسؤولون الإيرانيون يرفعون شعار الموت لأمريكا..ثم يرسلون أبناءهم إلى "الشيطان الأكبر"!!  - جمال خاشقجي #خاشقجي #عام_على_رحيل_خاشقجي</t>
  </si>
  <si>
    <t>pic.twitter.com/lieHFWzvtN</t>
  </si>
  <si>
    <t xml:space="preserve">Sakarya /Ankara </t>
  </si>
  <si>
    <t>İnancım o ki, söz Mahfî'dir. * AYBÜ İİF</t>
  </si>
  <si>
    <t>تنشا الدين علي</t>
  </si>
  <si>
    <t>"Watch .. The Saudi Nawras aircraft #JamalKhashoggi #خاشقجي "</t>
  </si>
  <si>
    <t>pic.twitter.com/BaoiSeXje8</t>
  </si>
  <si>
    <t>Al Ula</t>
  </si>
  <si>
    <t xml:space="preserve"> احمد  الجنيدل</t>
  </si>
  <si>
    <t>أ. خالد النزر : الدولة القطرية تريد أن تجعل لها دور فعال في عديد من المواضيع فأصبحت سلم تمتطيه العديد من الدول .  - جمال خاشقجي #خاشقجي #قطر</t>
  </si>
  <si>
    <t>pic.twitter.com/9bNStf2rRk</t>
  </si>
  <si>
    <t>رابية السبت</t>
  </si>
  <si>
    <t>"Watch .. In Saudi Arabia .. part of Chemicals industry . #JamalKhashoggi #جمال_خاشقجي "</t>
  </si>
  <si>
    <t>pic.twitter.com/k5cHtqL9gq</t>
  </si>
  <si>
    <t>Reis RTE</t>
  </si>
  <si>
    <t>Üniversite Sınavına Hazırlanan Öğrencilere,Üçretli Öğretmenlere, Özel Okulda Çalışan Öğretmenlere AK PARTİ'den Müjde! AK PARTİ Grubunun Teklifiyle Ankara'da Ulaşımdan İndirimli Yararlanmaları İçin Teklif Verildi.. #BarışPınarıHarekatı #TürkMilletiOrdusununYanında #TurkishArmy</t>
  </si>
  <si>
    <t>pic.twitter.com/Z53Attc7oo</t>
  </si>
  <si>
    <t>Rabigh</t>
  </si>
  <si>
    <t>ﺃُﺣﺪﺛﻜﻢ ﻋﻦ ﻋﺎﺷﻘَﻴﻦ ﻓﺮﻗﻬﻤﺎ ﺍﻟﻨﺼﻴﺐُ ﺑﺤﻜﻢِ ﺍﻟﻌﺎﺩﺍﺕِ ﻭ ﺍﻟﺘﻘﺎﻟﻴﺪ ﻭَ ﺍﻟﻤَﺴَﺎﺀْ ﺑِﻶ ﺻَﻮﺗِﻚِ ﻛَﻴْﻒَ ﻳَﻜﻮﻥْ</t>
  </si>
  <si>
    <t>تمارة الحبيبي</t>
  </si>
  <si>
    <t>"The Saudi technology .. Saqr aircraft #JamalKhashoggi #خاشقجي "</t>
  </si>
  <si>
    <t>pic.twitter.com/OcTB1OqZVv</t>
  </si>
  <si>
    <t>Sen yürüyeceksin,Millet yürüyecek ardından REİS. RT ya da FV yaptığım twitler onayladığım anlamına gelmez. 👉 Ak hesaplar Ak guruplara alabilirsiniz</t>
  </si>
  <si>
    <t>اتَّكَلْنا منه على خُصٍّ الاتحاد قوة</t>
  </si>
  <si>
    <t>Metocumhur 🇹🇷</t>
  </si>
  <si>
    <t>Açılın Türk Geldi ! 🇹🇷 #TurkishArmy #BarışPınarı #BarışPınarıHarekati</t>
  </si>
  <si>
    <t>https://pbs.twimg.com/media/EGcZRrqXYAAb1zA.jpg</t>
  </si>
  <si>
    <t>اخبار قناة 24 سعودي</t>
  </si>
  <si>
    <t>Geri Takip Ediyorum 👍🏽🇹🇷⚡️YEDEK HESABIMA DESTEK OLMAYI UNUTMAYIN @metorte</t>
  </si>
  <si>
    <t>تواصل القوات البحرية السعودية تنفيذ مناورات (جسر - 20) بمشاركة القوات الجويةوالدفاع الجوي السعودي وسلاح البحرية البحريني وذلك في مياه الخليج العربي #JamalKhashoggi #جمال_خاشقجي</t>
  </si>
  <si>
    <t>https://www.instagram.com/metocumhur</t>
  </si>
  <si>
    <t>https://pbs.twimg.com/media/EGbsBFTWoAIeDHQ.jpg</t>
  </si>
  <si>
    <t>Kingdom of Saudi Arabia</t>
  </si>
  <si>
    <t>🇹🇷☪️...ϜϓſϞ..DERYA...Ћץґи...☪️🇹🇷</t>
  </si>
  <si>
    <t>▪️9 Ekim 2015 : Terör örgütü SDG kuruldu. ▪️9 Ekim 2019 : Türk Silahlı Kuvvetleri SDG’ye doğum gününde süpriz yaptı. 😎😎 #BarisPinari #BarisPinariHarekati #TurkishArmy #turkmilletiordusununyaninda</t>
  </si>
  <si>
    <t>زلفى المهدي</t>
  </si>
  <si>
    <t>"Watch .. Saudi Arabia .. a focus in technology . #JamalKhashoggi #جمال_خاشقجي "</t>
  </si>
  <si>
    <t>pic.twitter.com/HGNS9AbFb3</t>
  </si>
  <si>
    <t>Sarıyer, İstanbul</t>
  </si>
  <si>
    <t>Ziya Gökalp der ki: Vatan ne Türkiye'dir Türklere, ne Türkistan, Vatan büyük ve müebbet bir ülkedir Turan🇹🇷🐺🤘🇹🇷</t>
  </si>
  <si>
    <t>Al Ahsa</t>
  </si>
  <si>
    <t>ﺃﺑﺴﻂ ﺷﻲﺀ ﻓﻲ ﺍﻷﻧﺎﻗﺔ ﻧﻈﺎﻓﺔ ﻗﻠﺒﻚ ؛ ﻻ ﺗﺆﺫﻱ ﺃﺣﺪﺍً ﻭﻻ ﺗﺠﺮﺡ ﺃﺣﺪﺍً ؛ ﻛﻦ ﺷﻴﺌﺎً ﺟﻤﻴﻼً ﻻ ﻳﻨﺴﺎﻩ ﺃﺣﺪ</t>
  </si>
  <si>
    <t>AHMED ABBAD</t>
  </si>
  <si>
    <t xml:space="preserve"> مساعد  الحضريتي</t>
  </si>
  <si>
    <t>The operation of the Peace Spring began when the Turkish Air Forces Command's war planes hit the targets. #OperationPeaceSpring #TurkishArmy</t>
  </si>
  <si>
    <t>تقرير: قطر وإعلام التضليل والأكاذيب وخداع الإعلامي الدولي .  - جمال خاشقجي #خاشقجي #عام_على_اغتيال_جمال</t>
  </si>
  <si>
    <t>pic.twitter.com/EENCRYUqX8</t>
  </si>
  <si>
    <t>Iraq, Syria, TR</t>
  </si>
  <si>
    <t>☪ ﷽ ☪ Biz Türkiye’nin gözü ve kulağıyız. Biz Türkiye’nin aklından geçen ama kimselere söyleyemediği herşeyiz..! Devletci, Araştırmacı.📝</t>
  </si>
  <si>
    <t>Takvim</t>
  </si>
  <si>
    <t>#Sondakika... Suriye'de kullanılacak o milli silah! Sadece 4 ülkede var #BarisPinari #TurkishArmy</t>
  </si>
  <si>
    <t>http://takvim.im/1682c2_smt</t>
  </si>
  <si>
    <t>✅</t>
  </si>
  <si>
    <t>Son dakika ve en güncel haberler için http://facebook.com/takvim / http://youtube.com/takvimtv/ http://instagram.com/takvim/</t>
  </si>
  <si>
    <t>https://www.takvim.com.tr</t>
  </si>
  <si>
    <t>Erman Dinçel</t>
  </si>
  <si>
    <t>Barış Pınarı Harekatı başladı. Dualarımız Türk Ordusu için, beklentimiz, başarılı olmaları ve bir an önce evlerine, yurtlarına dönmeleri...🇹🇷 #barispinariharekati #TurkishArmy #OperationPeaceSpring #BarisPinari #BarisPinariHarekati</t>
  </si>
  <si>
    <t>https://pbs.twimg.com/media/EGcZPC_XkAAazR2.jpg</t>
  </si>
  <si>
    <t>ﻋﻤﺮﺍﻥ ﺍﻟﺼﺎﻋﺪﻱ</t>
  </si>
  <si>
    <t>اللواء المتقاعد د. زايد العمري: خبير استراتيجي ومحلل سياسي: قطر تشوه صورة الإسلام داخل أوروبا .  - جمال خاشقجي #JamalKhashoggi #قطر</t>
  </si>
  <si>
    <t>pic.twitter.com/qXF5vLJPIk</t>
  </si>
  <si>
    <t>Türkiye / İstanbul</t>
  </si>
  <si>
    <t>Ekonomi Danışmanı &amp; Eğitimci / İYİ Parti Ekonomi Başkan Yardımcısı</t>
  </si>
  <si>
    <t>Welatparêz</t>
  </si>
  <si>
    <t>İşgalciler bu kürt halkını böyle ağlattığınız için lanet gelsin size #TurkishArmy #Tuerksilahlıkuvvetleri #TuerkMilletiOrdusununYanında #RojavaKazanacak RT @ArgesArmanc: Şivan Perwer açıklama yaptı; Kürt halkını birlik ve beraberliğe davet etti. Bu saldırılar Tüm Kürt halkina yapılıyor... Şivan Perwer konuşma sırasında sinirden ağlıyor!</t>
  </si>
  <si>
    <t xml:space="preserve"> ﺳﻌﺪ ﺍﻟﺜﻘﻔﻲ ‏ </t>
  </si>
  <si>
    <t>اتصال هاتفي من: أ. محمد الحلفي – محلل سياسي – الرياض. عندما انكشف مُخطط قناة الجزيرة بدأ الظهور لأذرعها الإعلامية لتبث سمومها في المنطقة وخصوصاً ضد المملكة  - جمال خاشقجي #ايران #خاشقجي</t>
  </si>
  <si>
    <t>https://twitter.com/ArgesArmanc/status/1181933166354948096</t>
  </si>
  <si>
    <t>pic.twitter.com/IcoTXOBVEq</t>
  </si>
  <si>
    <t>pic.twitter.com/FrlTFMgF0h</t>
  </si>
  <si>
    <t xml:space="preserve"> خلف العنزي</t>
  </si>
  <si>
    <t>د. محمد الحلفي : باحث في التاريخ الحديث : قامت قناة الجزيرة من اجل تفكيك المجتمعات العربية وإثارة الفوضى في المنطقة.  #خاشقجي #قطر</t>
  </si>
  <si>
    <t>Sovyet Sosyalist Türkiye Cumhu</t>
  </si>
  <si>
    <t>insan</t>
  </si>
  <si>
    <t>pic.twitter.com/M8A5MFbU0x</t>
  </si>
  <si>
    <t>JÖNTÜRK 🦅</t>
  </si>
  <si>
    <t>"Bütün Türkler bir gün ansızın delirecektir. O zaman tanrı Türk'ü değil sizi korusun!" #BarisPinariHarekati #TurkıshArmy #turkmilletiordusununyaninda 🇹🇷</t>
  </si>
  <si>
    <t>https://pbs.twimg.com/media/EGcZOKuXoAQ8klW.jpg</t>
  </si>
  <si>
    <t xml:space="preserve"> سعد الرشيدي</t>
  </si>
  <si>
    <t>اللواء متقاعد د. شامي الظاهري : الجناح الرئيسي لـ ايران هم الحوثيين ، إذا كسِر هذا الجناح ستضعف إيران كثيراً .  - جمال خاشقجي #خاشقجي #عام_على_رحيل_خاشقجي</t>
  </si>
  <si>
    <t>pic.twitter.com/LicRP2zQYq</t>
  </si>
  <si>
    <t>Yazar ve Yönetmen ✍️ 🎬 RTV MUSTAFA KEMAL ATATÜRK 🇹🇷 @besiktas</t>
  </si>
  <si>
    <t>Operation Barış Pınarları</t>
  </si>
  <si>
    <t>Birçok nokta hava kuvvetleri tarafından vuruluyor. Tel Abyad,Aynel İsa,Derik Silah depoları birçok gözetleme alanı teker teker imha ediliyor. #TurkishArmy #OperationPeaceSpring</t>
  </si>
  <si>
    <t>Kısmetse Şehid.</t>
  </si>
  <si>
    <t>иσσн 🇸🇦</t>
  </si>
  <si>
    <t>من كتب وتباكى عن قضية #خاشقجي ملايين التغريدات والاف البرامج واستعانت بالمحللين من كل دول العالم لم تستطيع ان تكتب عن #العراق_ينتفض وقتل المتظاهرين بالمئات واعتقالات بالالاف الا تغريده ( رجوع الاحتجاجات ) في العراق قناة الجزيرة @AJArabic #قطر سرطان العرب</t>
  </si>
  <si>
    <t>Barış Pınarı Harekatı 🇹🇷</t>
  </si>
  <si>
    <t>Üniformasını çıkartan siviller arasına karışıp Rasulayn'dan ayrılıyor. #TurkishArmy #OperationPeaceSpring</t>
  </si>
  <si>
    <t>pic.twitter.com/gT76pxx9s3</t>
  </si>
  <si>
    <t xml:space="preserve">فيصل جبريل </t>
  </si>
  <si>
    <t>أ. سامي المرشد: المال القطري أنفق بسخاء على الإرهاب والعصابات وتهييج الشعوب .  - جمال خاشقجي #خاشقجي #عام_على_رحيل_جمال</t>
  </si>
  <si>
    <t>pic.twitter.com/cfDsS2al0V</t>
  </si>
  <si>
    <t>Barış Pınarı Harekâtı, Türk Silahlı Kuvvetleri tarafından yürütülen, İstiklal savaşımızın ardından küresel dizayna karşı en büyük en uzun soluklu operasyondur.</t>
  </si>
  <si>
    <t>Yusuf Hanedangil</t>
  </si>
  <si>
    <t>Türk Hava kuvvetlerinin Rakka'dan desteğe gelen büyük bir YPG konvoyunu vurdu.. #TurkishArmy #BarışPınarıHarekati</t>
  </si>
  <si>
    <t>https://pbs.twimg.com/media/EGcZJc0XUAAMlu_.jpg</t>
  </si>
  <si>
    <t>شرائح البلوش</t>
  </si>
  <si>
    <t>"Watch .. Saudi Aramco : A global company . #JamalKhashoggi #جمال_خاشقجي "</t>
  </si>
  <si>
    <t>pic.twitter.com/wU4foFaEht</t>
  </si>
  <si>
    <t>DADAŞ</t>
  </si>
  <si>
    <t>GBO Kurucusu/ Yöneticisi</t>
  </si>
  <si>
    <t>باسيل الأبدي</t>
  </si>
  <si>
    <t>عوض الوداعي</t>
  </si>
  <si>
    <t>العميد متقاعد. حسن الشهري: قناة الجزيرة لا تنقل خير قط وتقوم ببث الطائفية والكراهية  - جمال خاشقجي #JamalKhashoggi #قطر</t>
  </si>
  <si>
    <t>pic.twitter.com/VdZK75eZX9</t>
  </si>
  <si>
    <t>ĆévápÁńáhťáří™🔑🇹🇷🇵🇼🇦🇿</t>
  </si>
  <si>
    <t>#BarisPinariHarekati #carsamba günü resmi olarak başladı.!! pkk (eğer Rusya ve esad sahip çıkmazsa)#TurkishArmy tarafından telef edilecek...😉 #Barışpınarı Türk Milletine, Türkiyeye candan ve kandan bağlı olan Kürt kardeşlerimize hayırlı olsun...🙏...cCc..🤘</t>
  </si>
  <si>
    <t xml:space="preserve">TürkÜstAkılÜssü ™  [TTIQB] ® </t>
  </si>
  <si>
    <t>Aslen İnebolu,lu Dursun,dan olma Ayşe,den doğma Murat Öz…3 oğul babası 8yeğen amcası ;)…Ülkücü olup olmadığıma sen karar ver bende kendimi çözemedim ;) Esenyurt</t>
  </si>
  <si>
    <t>مبشر ال شبلان</t>
  </si>
  <si>
    <t>أ. هاني الحجي : العملية الانتخابية التي حدثت ورفضها اردوغان أثرت على مسار الحياة الاقتصادية في تركيا .  - جمال خاشقجي #ايران #خاشقجي</t>
  </si>
  <si>
    <t>Hüseyin TURAN 🇹🇷🇹🇷🇹🇷🇹🇷</t>
  </si>
  <si>
    <t>Allah ŞANLI TÜRK ordumuzun yâr ve yardımcısı olsun ve muzaffer kılsın 🙏 🇹🇷🇹🇷🇹🇷🇹🇷🇹🇷 #BarışPınarıHarekatı #TurkishArmy</t>
  </si>
  <si>
    <t>pic.twitter.com/MGfK5zpUn2</t>
  </si>
  <si>
    <t>TEK VE EBEDİ BAŞKOMUTAN MUSTAFA KEMAL ATATÜRK 🇹🇷🇹🇷🇹🇷🇹🇷🇹🇷🇹🇷</t>
  </si>
  <si>
    <t>vet.hek.altınok</t>
  </si>
  <si>
    <t>Allah devletimizi muzaffer eylesin inşallah #BarisPinariHarekati #TurkishArmy</t>
  </si>
  <si>
    <t>https://pbs.twimg.com/media/EGcZGbAWwAEufUX.jpg</t>
  </si>
  <si>
    <t>Şarkikaraağaç, Isparta</t>
  </si>
  <si>
    <t>حسن عبثان</t>
  </si>
  <si>
    <t>اتصال / أ. أيمن إبراهيم : إعلامي وباحث إستقصائي - القاهرة : منذ سقوط الإخوان الإرهابيين عام 2013 في مصر سقطت نسبة المشاهدين لـ قناة الجزيرة بشكل كبير جدا.  #خاشقجي #قطر</t>
  </si>
  <si>
    <t>pic.twitter.com/Inc7oQ2HUj</t>
  </si>
  <si>
    <t>king Yujin ⭐龙云天</t>
  </si>
  <si>
    <t>I wish that terrorism be defeated soon and peace came back to the Middle East and the world again .. Gazamız mübarek olsun türkler kardeşlerim ❤️#TurkishArmy #OperationPeaceSpring</t>
  </si>
  <si>
    <t>https://pbs.twimg.com/media/EGcZGpMXoAUvu-4.jpg</t>
  </si>
  <si>
    <t xml:space="preserve"> محمود الزيادي</t>
  </si>
  <si>
    <t>د. عبد الله الرفاعي: لا زال اردوغان ونظامه يُمارسون العبث السياسي الذي بدء يدفع ثمنه الداخل التركي.  - جمال خاشقجي #JamalKhashoggi #قطر</t>
  </si>
  <si>
    <t>Look up to the stars not down to your feet 🌟🌟</t>
  </si>
  <si>
    <t>pic.twitter.com/AUEVLfp3ln</t>
  </si>
  <si>
    <t>CİHAN CANSIZ</t>
  </si>
  <si>
    <t>Ecdâdının heybeti ma'rûf-ı cihândır, Fıtrat değişir sanma, Bu KAN yine o kandır! Kahraman TÜRKLER geliyor!🇹🇷 #BarışPınarıHarekatı #TurkishArmy #TürkMilletiOrdusununYanında</t>
  </si>
  <si>
    <t xml:space="preserve"> يوسف  مرزوق</t>
  </si>
  <si>
    <t>د. عبد الله الرفاعي: لا زال اردوغان ونظامه يُمارسون العبث السياسي الذي بدء يدفع ثمنه الداخل التركي.  - جمال خاشقجي #خاشقجي #عام_على_رحيل_خاشقجي</t>
  </si>
  <si>
    <t>Zonguldak, Türkiye</t>
  </si>
  <si>
    <t>Yeni Nesil Din Kültürü ve Ahlak Bilgisi Öğretmeni 😎 #NewGeneration #ReligionCultureTeacher FENERBAHÇE 💛💙</t>
  </si>
  <si>
    <t>pic.twitter.com/KoxPW7dhl2</t>
  </si>
  <si>
    <t>Ömer</t>
  </si>
  <si>
    <t>VER MEHTERİ !! #BarisPinariHarekati #TurkishArmy</t>
  </si>
  <si>
    <t>لينا قدري</t>
  </si>
  <si>
    <t>Halkasında Satürn’ün</t>
  </si>
  <si>
    <t>http://instagram.com/o_durmuss</t>
  </si>
  <si>
    <t>pic.twitter.com/uM6MiXF0BG</t>
  </si>
  <si>
    <t>إذا قصرت يدك عن المكافأة فليصل لسانك بالشكر</t>
  </si>
  <si>
    <t>AK Gençlik Savur</t>
  </si>
  <si>
    <t>#BarisPinariHarekati #TurkishArmy</t>
  </si>
  <si>
    <t>بادي الدوسري</t>
  </si>
  <si>
    <t>د. محمد الحلفي : باحث في التاريخ الحديث : نشأت قناة الجزيرة من اجل استهداف دول مُعينة.  #خاشقجي #عام_على_رحيل_خاشقجي</t>
  </si>
  <si>
    <t>https://pbs.twimg.com/media/EGcY_r1XkAAnNP2.jpg</t>
  </si>
  <si>
    <t>pic.twitter.com/bCVh8mXS7Y</t>
  </si>
  <si>
    <t>Mardin/Savur</t>
  </si>
  <si>
    <t>Ak Parti Mardin/Savur İlçe Gençlik Kolları Başkanlığı Resmî Twitter Hesabı..</t>
  </si>
  <si>
    <t>https://www.instagram.com/akgencliksavurr</t>
  </si>
  <si>
    <t xml:space="preserve">  حمد معروف</t>
  </si>
  <si>
    <t>تقرير: الجبير: استرضاء إيران غذى سلوكها العدواني .  - جمال خاشقجي #خاشقجي #تركيا</t>
  </si>
  <si>
    <t>pic.twitter.com/KXqFCCm4QR</t>
  </si>
  <si>
    <t xml:space="preserve"> عبدالله العنزا </t>
  </si>
  <si>
    <t>محلل قناة ٢٤ سعودي الفضائية د. عمر عبدالستار في نيران ايران: لا رفع للعقوبات الأمريكية على ايران، ولا لقاء بين ترمب وخامنئي هذا هو السيناريو الأول  #JamalKhashoggi #قطر</t>
  </si>
  <si>
    <t>pic.twitter.com/koQkPzCDGJ</t>
  </si>
  <si>
    <t>Salih Gedikoğlu</t>
  </si>
  <si>
    <t xml:space="preserve"> يحيى الصميت </t>
  </si>
  <si>
    <t>Şu kopan fırtına Türk ordusudur yâ Rabbi. Senin uğrunda ölen ordu, budur yâ Rabbi. Tâ ki yükselsin ezanlarla müeyyed nâmın, Galip et, çünkü bu son ordusudur İslâm'ın! #BarışPınarıHarekatı #BarışPınarı #TurkishArmy #TürkMilletiOrdusununYanında</t>
  </si>
  <si>
    <t>اللواء متقاعد. عبدالله القحطاني : تنظيم الإخوان تنظيم عميق وخطير ومتغلغل في القارة الأوروبية وصل لمراحل خطيرة جداً .  - جمال خاشقجي #خاشقجي #تركيا</t>
  </si>
  <si>
    <t>pic.twitter.com/LPl9x1vAG2</t>
  </si>
  <si>
    <t>https://pbs.twimg.com/media/EGcY_uPWsAMfPdP.jpg</t>
  </si>
  <si>
    <t>61 🇹🇷 Çaykara</t>
  </si>
  <si>
    <t xml:space="preserve">ﻣﻄﻠﻖ ﺍﻷﺣﻤﺮﻱ </t>
  </si>
  <si>
    <t>أ. نايف الحربي: إعلامي وكاتب صحفي: جماعة الأخوان الإرهابية هي من تسيطر على الإعلام القطري وهي من تدعمهم بالتقارير المزيفة .  - جمال خاشقجي #JamalKhashoggi #تركيا</t>
  </si>
  <si>
    <t>pic.twitter.com/vu1KpkTOpz</t>
  </si>
  <si>
    <t xml:space="preserve"> عبد الرزاق الدوسرى</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</si>
  <si>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#عام_على_رحيل_جمال</t>
  </si>
  <si>
    <t>pic.twitter.com/QcFLa7urKl</t>
  </si>
  <si>
    <t>Çağatay Özdemir</t>
  </si>
  <si>
    <t>Operation Peace Spring has just started to ensure peace, security and a safe future for all. #TurkishArmy #OperationPeaceSpring #Turkey🇹🇷</t>
  </si>
  <si>
    <t>جومانا الخوالد</t>
  </si>
  <si>
    <t>"watch .. Noel from USA talking about his 20 years of living in Saudi Arabia #JamalKhashoggi #خاشقجي "</t>
  </si>
  <si>
    <t>https://pbs.twimg.com/media/EGcY9d8XYAAwhes.jpg</t>
  </si>
  <si>
    <t>pic.twitter.com/Ql4zCPnbwW</t>
  </si>
  <si>
    <t>اختر أهون الشرين</t>
  </si>
  <si>
    <t>İstanbul/Ankara</t>
  </si>
  <si>
    <t>Dr. (Uluslararası İlişkiler) | Ph.D. IR | @iletisim Başkanlığı | think-tanker @setavakfi | @UNESCO Türkiye Milli Komisyonu</t>
  </si>
  <si>
    <t>https://instagram.com/cagatay_ozdemirr?r=nametag</t>
  </si>
  <si>
    <t xml:space="preserve"> علي  الزوبيري </t>
  </si>
  <si>
    <t>أتصال/ أ. مهدي عفيفي: عضو الحزب الديموقراطي الأمريكي السابق – نيويورك: هذه ليست المرة الأولى للعصابة القطرية في تمويلها للمؤسسات المشبوهة .. وخاصةً التابعة لجماعة الاخوان الإرهابية .  - جمال خاشقجي #خاشقجي #قطر</t>
  </si>
  <si>
    <t>pic.twitter.com/PaN5V6ioSm</t>
  </si>
  <si>
    <t>Zafer Yılmaz</t>
  </si>
  <si>
    <t>... Vur şanlı silahınla gönül mülkü düzelsin; Sen öldürüyorken de vururken de güzelsin! ... #BarisPinariHarekati #TurkishArmy</t>
  </si>
  <si>
    <t xml:space="preserve">قاسم الشطيري </t>
  </si>
  <si>
    <t>أ. سامي المرشد: قطر كدولة مختطفة من الحرس الثوري الإيراني والاخوان المسلمين في انقرة و اسطنبول .  #ايران #خاشقجي</t>
  </si>
  <si>
    <t>pic.twitter.com/XD23CW8Mm1</t>
  </si>
  <si>
    <t>ALI CICEK 🌏</t>
  </si>
  <si>
    <t>ALLAH yar ve yardimciniz olsun🇹🇷 #TurkishArmy</t>
  </si>
  <si>
    <t>https://www.pscp.tv/w/cG3nBjQxODEyNzd8MU1ZR05QTkFFWnZ4dyw5yz1vwObSL96j6fCM_ngwaUXxjf3ohks3kFJNwnUH</t>
  </si>
  <si>
    <t xml:space="preserve">  مشهور المالكي   </t>
  </si>
  <si>
    <t>محلل قناة ٢٤ سعودي الفضائية د. عمر عبدالستار في نيران ايران : من الوارد أن تتعرض إحدى منشآت إيران النووية إلى ضربة أمريكية  #ايران #خاشقجي</t>
  </si>
  <si>
    <t>pic.twitter.com/Sa2OOUo5rz</t>
  </si>
  <si>
    <t>Australia</t>
  </si>
  <si>
    <t>Twitter Takipçi Arttırma : http://takipcikazandir.info/Ref.php?Ref=AliMalatyabir</t>
  </si>
  <si>
    <t>"watch .. Norman from UK : my experience in Saudi Arabia is great #JamalKhashoggi #جمال_خاشقجي "</t>
  </si>
  <si>
    <t>pic.twitter.com/bIGefs2Suo</t>
  </si>
  <si>
    <t>No name</t>
  </si>
  <si>
    <t>Riyadh</t>
  </si>
  <si>
    <t>Allah Türk askerini korusun, ayağınıza taş değmesin... #BarışPınarı May Allah bless you #TurkishArmy.</t>
  </si>
  <si>
    <t>أباد الله خضراءهم ابذل لصديقك دمك ومالك</t>
  </si>
  <si>
    <t>ﺭﺍﺷﺪ ﺍﻟﺴﻨﺎﻧﻲ</t>
  </si>
  <si>
    <t>فيديوجرافيكس .. انتهاكات قناة الجزيرة القطرية وسقوطها المهني والأخلاقي .  - جمال خاشقجي #ايران #خاشقجي</t>
  </si>
  <si>
    <t>İstanbul Turkey</t>
  </si>
  <si>
    <t>IU Management of Civil Aviation ,Türkçe English Lock of Communication 🗝️</t>
  </si>
  <si>
    <t>pic.twitter.com/o3XzmTPr65</t>
  </si>
  <si>
    <t>Fahadkorai</t>
  </si>
  <si>
    <t>Wana be a US ally? US used kurd in defeating isis in syria then left them and letting turky army to start a military operation agianst kurds? Think again before siding with US. #turkisharmy</t>
  </si>
  <si>
    <t xml:space="preserve"> ﺍﺳﻤﺎﻋﻴﻞ ﻧﺎﺻﺮ ‏ </t>
  </si>
  <si>
    <t>أ. نايف الحربي: إعلامي وكاتب صحفي: الإعلام السعودي أخرص الإعلام القطري والتركي .  - جمال خاشقجي #خاشقجي #تركيا</t>
  </si>
  <si>
    <t>dm for bio</t>
  </si>
  <si>
    <t>pic.twitter.com/b1aiwmcV84</t>
  </si>
  <si>
    <t>Feyzi Taha Çokgün</t>
  </si>
  <si>
    <t>#BarisPinariHarekati #BarisPinari #TurkishArmy</t>
  </si>
  <si>
    <t xml:space="preserve"> عقاب الحربي</t>
  </si>
  <si>
    <t>Mersin, Türkiye</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</si>
  <si>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#عام_على_رحيل_جمال</t>
  </si>
  <si>
    <t>pic.twitter.com/ZfAJ8VPJ4Y</t>
  </si>
  <si>
    <t>غُدَيْ</t>
  </si>
  <si>
    <t>@AlArabiya_Brk صلاح بين أمرين .. إما مكرها أو صادقا، فإن كانت الأولى، فهى تعكس مدى خسة السلطة وما تملك من سطوة إلى درجة تجعلنا نزداد ازدراءا لكل حاكم عنوانه الظلم والدموية. وإن كانت الأخرى فذلك يدفعنا، نحن الموجوعون بهذه الجريمة النكراء، أن نعيد النظر في شكل رباط الدم بين الأب وبنيه. #خاشقجي</t>
  </si>
  <si>
    <t xml:space="preserve">في المفضلة | #غُدَيْ | #ن </t>
  </si>
  <si>
    <t>انا حرف كثير الزلل | لا اكتب بل ارسم صورة | اكره الوعاظ وخصوصا رجال الدين منهم | لا احترم السياسيين لإمتهانهم الكذب ..</t>
  </si>
  <si>
    <t>Hatice Kübra</t>
  </si>
  <si>
    <t>@RTErdogan Allah kahraman ordumuza en kısa zamanda zaferle dönmeyi nasip etsin 🇹🇷 Dualarımızla yanınızdayız. #BarışPınarı #BarışPınarıHarekatı #OrdumuzunYanındayız #TurkishArmy</t>
  </si>
  <si>
    <t xml:space="preserve"> اسماعيل الحوشان </t>
  </si>
  <si>
    <t>تقرير: علم إسرائيل يرفرف مجدداً في سماء الدوحة في بطولة ألعاب القوى.  - جمال خاشقجي #JamalKhashoggi #قطر</t>
  </si>
  <si>
    <t>Evli</t>
  </si>
  <si>
    <t>pic.twitter.com/DngZWuVWJS</t>
  </si>
  <si>
    <t>Hasan YAVUZ ☇</t>
  </si>
  <si>
    <t>Ver mehteri... #TurkishArmy #BarisPinariHarekati #BarışPınarı RT @themarginale: Mehter Marşı eşliğinde terörist bombalamak mı? Çok kral hareket 😎🇹🇷 #BarışPınarıHarekatı</t>
  </si>
  <si>
    <t>https://twitter.com/themarginale/status/1181939761168228353</t>
  </si>
  <si>
    <t>pic.twitter.com/u0fRa0ptu9</t>
  </si>
  <si>
    <t xml:space="preserve"> عبدالكريم  الحاسري </t>
  </si>
  <si>
    <t>محلل قناة ٢٤ سعودي الفضائية د. أنور مالك في المراقب : "كتاب أوراق قطر" تحقيق استقصائي أورد أن الدوحة حولت مبالغ مالية كبيرة إلى أوروبا لدعم 140 مشروعاً يرتبط بالتنظيم الدولي للإخوان  - جمال خاشقجي #JamalKhashoggi #تركيا</t>
  </si>
  <si>
    <t>pic.twitter.com/2NnRzkbHXF</t>
  </si>
  <si>
    <t>Beylikdüzü / İstanbul... Ofli.... #Trabzonspor @Trabzonspor</t>
  </si>
  <si>
    <t>ﻣﺴﻔﺮ ﺍﻟﺸﻤﺮﺍﻧﻲ</t>
  </si>
  <si>
    <t>اللواء متقاعد. عبدالله القحطاني : أينما وجدت ايران و قطر و تركيا وُجد الارهاب .  - جمال خاشقجي #ايران #خاشقجي</t>
  </si>
  <si>
    <t>pic.twitter.com/tP35oXx6EZ</t>
  </si>
  <si>
    <t>Türkçü Polis</t>
  </si>
  <si>
    <t>Türkiye Cumhuriyeti Devleti'nin gücünü göreceksiniz!!! #TurkishArmy #BarışPınarıHarekatı #OperationPeaceSpring</t>
  </si>
  <si>
    <t>EGM 👮, Silah Atış Eğitmeni Eğiticisi, Türkçü</t>
  </si>
  <si>
    <t>لارا البيشي</t>
  </si>
  <si>
    <t>"watch .. Karl from USA talking about his 11 years experience working in Saudi Arabia #JamalKhashoggi #خاشقجي "</t>
  </si>
  <si>
    <t>URAL ALTAY ÇANKAL</t>
  </si>
  <si>
    <t>Şehitlerimiz rahat uyuyun kanınız yerde kalmayacak! #Turkisharmy #turkmilletiordusununyaninda</t>
  </si>
  <si>
    <t>pic.twitter.com/G15pTgGTlA</t>
  </si>
  <si>
    <t>https://pbs.twimg.com/media/EGcYz65WoAAQqVB.jpg</t>
  </si>
  <si>
    <t>σяιgιиαℓ ρяσfιℓє 2019 © Business Administration Faculty of Economy and Administarive Science Denizli Денизлиспор 💚🖤🐓 Pamukkale Üniversitesi TTK🐺💪 🇹🇷</t>
  </si>
  <si>
    <t>اسماعيل ابوالسعود</t>
  </si>
  <si>
    <t>محلل قناة ٢٤ سعودي الفضائية د. فهد الشليمي في مع الحدث : الحملة على مصر تم التحضير لها منذ شهرين بمشاركة تركيا وتنظيم الاخوان الإرهابي و ايران من أجل ضرب الاقتصاد المصري  - جمال خاشقجي #JamalKhashoggi #السعودية</t>
  </si>
  <si>
    <t>pic.twitter.com/jt1W4jYG4l</t>
  </si>
  <si>
    <t>Ahmet Turan Aydoğan</t>
  </si>
  <si>
    <t>@1parcatuhaftik #TurkishArmy #BarisPinariHarekati</t>
  </si>
  <si>
    <t>أية قدري</t>
  </si>
  <si>
    <t>https://pbs.twimg.com/media/EGcYy-FXYAE69nY.jpg</t>
  </si>
  <si>
    <t>pic.twitter.com/vzhZ3zfxVn</t>
  </si>
  <si>
    <t>Madina</t>
  </si>
  <si>
    <t>Sivas, Türkiye</t>
  </si>
  <si>
    <t xml:space="preserve"> حسين الهمامي</t>
  </si>
  <si>
    <t>أ. نايف الحربي: إعلامي وكاتب صحفي: قطر تريد أن تشق الصف العربي والإسلامي .  - جمال خاشقجي #ايران #خاشقجي</t>
  </si>
  <si>
    <t>Ali Kemal TATLIBAL</t>
  </si>
  <si>
    <t>Yüce Allah Ordumuza Yâr Olsun, Milletimiz Var Olsun. Barış Pınarı Harekatında kalbimiz ve dualarımız kahraman Mehmetçiklerimizle. Yüce Rabbim Şanlı ordumuzu muzaffer eylesin. #BarışPınarıHarekatı #TurkishArmy 🇹🇷</t>
  </si>
  <si>
    <t>pic.twitter.com/8cX9dmUqOz</t>
  </si>
  <si>
    <t>pic.twitter.com/tWmusfX6eL</t>
  </si>
  <si>
    <t>Türkiye Sivil Havacılık Sendikası ( Hava-İş ) Genel Başkanı / GençBirlik Kurucular Krl. Üyesi - 7.Dn Genel Başkanı / MTTB Kurucular Krl. Üyesi</t>
  </si>
  <si>
    <t>http://www.alikemaltatlibal.com.tr</t>
  </si>
  <si>
    <t xml:space="preserve">  طلآل رحيل   </t>
  </si>
  <si>
    <t>أ. نايف الحربي: إعلامي وكاتب صحفي: قناة الجزيرة يصرف عليها مليارات .. واستطاع المغرد السعودي بحسابه الشخصي أن يدافع عن وطنه وقادته .  - جمال خاشقجي #JamalKhashoggi #قطر</t>
  </si>
  <si>
    <t>pic.twitter.com/G2FpZuP73Z</t>
  </si>
  <si>
    <t>Tuğce</t>
  </si>
  <si>
    <t>Birgün paçavrasının icabına artık bakmalısınız. Sinir hatlarımızı oynatmasınlar! @iletisim @tcbestepe @suleymansoylu @TC_icisleri #BarısPınarıHarekatı #TurkishArmy</t>
  </si>
  <si>
    <t xml:space="preserve">   نشط الامامي</t>
  </si>
  <si>
    <t>أ. هاني الحجي : قطر أُستحدمت من تركيا و ايران كأداة لتدمير المنطقة واقتصادها.  #ايران #خاشقجي</t>
  </si>
  <si>
    <t>pic.twitter.com/S04I2Gif0y</t>
  </si>
  <si>
    <t>İst. Bilgi Üniv. İletişim ''Söz büyüdür.''</t>
  </si>
  <si>
    <t>Sümeyye Sultan Usta</t>
  </si>
  <si>
    <t>Allah yar ve yardımcınız olsun Rabbim ayağınıza taş dahi değdirmesin kahraman yiğitler🙏🇹🇷#BarışPınarıHarekatı #TurkishArmy</t>
  </si>
  <si>
    <t xml:space="preserve"> مشاري الصعب</t>
  </si>
  <si>
    <t>اللواء متقاعد. عبدالله القحطاني : أينما وجدت ايران و قطر و تركيا وُجد الارهاب .  - جمال خاشقجي #خاشقجي #قطر</t>
  </si>
  <si>
    <t>pic.twitter.com/G2DUJds8i2</t>
  </si>
  <si>
    <t>Belediyeler hoparlörlerden mehter marşları çalsın #TurkishArmy #BarisPinari #BarışPınarıHarekatı</t>
  </si>
  <si>
    <t> حمود  الصالح</t>
  </si>
  <si>
    <t>محلل قناة ٢٤ سعودي الفضائية د. عمر عبدالستار في نيران ايران: نجحت السعودية في رد الصاع صاعين، أمام الهجمة المجنونة، ونقل المعركة إلى داخل ايران و عزل ايران دولياً وإقليمياً  #JamalKhashoggi #السعودية</t>
  </si>
  <si>
    <t>pic.twitter.com/LnVOooLzqw</t>
  </si>
  <si>
    <t>gündemi belirleyemezsek gündemimizi belirlerler...</t>
  </si>
  <si>
    <t>Sassy Blonde</t>
  </si>
  <si>
    <t>And so it begins..... God help the Kurdish people! #Kurds #TurkishArmy #Trump RT @euronews: BREAKING: Turkey begins military offensive in northern Syria after US pulls out troops</t>
  </si>
  <si>
    <t>عبد الرحمن الخالدي</t>
  </si>
  <si>
    <t>https://twitter.com/euronews/status/1181927094684651520
http://bit.ly/33cu5RO</t>
  </si>
  <si>
    <t>pic.twitter.com/UHvH9CYRwT</t>
  </si>
  <si>
    <t>Live, Love b a voice 4 change</t>
  </si>
  <si>
    <t>#indiefilmmaker #womeninfilm Freedom is the ability 2 b creative w/o boundaries.Advocate 4 #mentalhealth #ClimateCrisis #Resist #ERA #VoteBlue DONT GIVEUP No DM</t>
  </si>
  <si>
    <t>Khafji</t>
  </si>
  <si>
    <t>Uçuş Modu ®️</t>
  </si>
  <si>
    <t>Vur vur vur vur 🇹🇷🇹🇷🇹🇷🇹🇷#BarışPınarıHarekati #TurkishArmy</t>
  </si>
  <si>
    <t xml:space="preserve">  فهيد الشايع </t>
  </si>
  <si>
    <t>محلل قناة ٢٤ سعودي الفضائية د. أنور مالك في المراقب : نظام الملالي يعيش في مرحلة رعب حقيقي فهو ينشر تهديداته في محاولة لإبعاد شبح الحرب عنه  #JamalKhashoggi #السعودية</t>
  </si>
  <si>
    <t>pic.twitter.com/sLt5tBfoSe</t>
  </si>
  <si>
    <t>pic.twitter.com/jopjWhSTyT</t>
  </si>
  <si>
    <t>O da gazi oImak istedi, fakat ona anIatmak gerekti ki, şehid oImayı göze aIamayan gazi oIamazdı.</t>
  </si>
  <si>
    <t>"watch .. Saudi Arabia .. continuous progress #JamalKhashoggi #جمال_خاشقجي "</t>
  </si>
  <si>
    <t>nur</t>
  </si>
  <si>
    <t>#BarışPınarıHarekati #turkisharmy #carsamba #turkmilletiordusununyaninda Allah her daim yar ve yardimcimiz olsun</t>
  </si>
  <si>
    <t>http://mihr.com</t>
  </si>
  <si>
    <t>https://pbs.twimg.com/media/EGcYodVXYAAo0hY.jpg</t>
  </si>
  <si>
    <t xml:space="preserve"> حمود الصلبي</t>
  </si>
  <si>
    <t>اللواء متقاعد. عبدالله القحطاني : النظام القطري ليس ممولاً للجماعات الإرهابية فقط بل هو يهيء الغطاء الدبلوماسي و السياسي لهم  - جمال خاشقجي #خاشقجي #عام_على_اغتيال_جمال</t>
  </si>
  <si>
    <t>pic.twitter.com/C5LjviAWqi</t>
  </si>
  <si>
    <t>R.Z.S.</t>
  </si>
  <si>
    <t>عبدلله أبقار محمد</t>
  </si>
  <si>
    <t>One of us dies and one thousand comes #TurkishArmy By the way I do not like Erdoğan and this is the result of his wrong policies #BarışPınarıHarekati</t>
  </si>
  <si>
    <t>pic.twitter.com/iFvH6mtcAl</t>
  </si>
  <si>
    <t>Rasim Zafer SAMANLI İST. TURKIYE🇹🇷 💖Alize👨‍👧💞 Beşiktaş 1903 🦅 http://instagram.com/r____z____s</t>
  </si>
  <si>
    <t>Jeddah</t>
  </si>
  <si>
    <t>мυѕтaғa мerт 🇹🇷</t>
  </si>
  <si>
    <t>Esirgeyen ve bağışlayan ALLAHın adıyla, {İnna fetahna leke fetham mubina} Doğrusu biz sana apaçık bir fetih ihsan ettik. Fetih 1 #BarışPınarıHarekati #TurkishArmy #BarisPinari</t>
  </si>
  <si>
    <t>عبد الملك الحيدري</t>
  </si>
  <si>
    <t>pic.twitter.com/vRpfw4OzmP</t>
  </si>
  <si>
    <t>Vilayet-i Çepni</t>
  </si>
  <si>
    <t>İslama Her Kim Düşmansa Benim de Düşmanımdır... Hüküm ve Zafer yanlızca ALLAHındır azze vecelle... skype: bysonsuzluk</t>
  </si>
  <si>
    <t>Yerli ve Milli Epikür</t>
  </si>
  <si>
    <t>@tasdemir_cemile Sahi, başkomutan Amerika’da okuttuğu oğullarını neden #TurkishArmy’den kaçırdı? Çocuklarını Amerika’da doğum yaptırıp torunlarını Amerikan vatandaşı yaptı? #BarisPinariHarekati ile #BarisPinari mı yaratıyor yoksa pahalılıktan kavranan halkımızın dikkatini başka yere mi çekiyor?</t>
  </si>
  <si>
    <t>أحضر الناس جوابا من لم يغضب</t>
  </si>
  <si>
    <t xml:space="preserve"> ﺍﺑﺮﺍﻫﻴﻢ ﺍﻟﻤﺤﻴﺴﻦ</t>
  </si>
  <si>
    <t>محلل قناة ٢٤ سعودي الفضائية د. عمر عبدالستار في نيران ايران : قد يسقط نظام ايران النووي.. قبل سقوط نظام ايران الثوري  #JamalKhashoggi #السعودية</t>
  </si>
  <si>
    <t>pic.twitter.com/d4brMlN0oK</t>
  </si>
  <si>
    <t>İçinde Ütopya olmayan haritaya bakılmaz. (Takip yerine, izlemek istediklerimi uygun listeme ekliyorum, daha kolay takip ediyorum)</t>
  </si>
  <si>
    <t>ً</t>
  </si>
  <si>
    <t>Rebekah Vardy #TurkishArmy #BarisPinari #BarışPınarıHarekati</t>
  </si>
  <si>
    <t>pic.twitter.com/kZsocVZwpG</t>
  </si>
  <si>
    <t>يوسف المسرحي</t>
  </si>
  <si>
    <t>https://pbs.twimg.com/media/EF-m1ZpXUAAvExx.jpg</t>
  </si>
  <si>
    <t>재민 🕊</t>
  </si>
  <si>
    <t>Muhammad Araib🇹🇷💚❤️🇵🇰</t>
  </si>
  <si>
    <t>محمد الصالحي</t>
  </si>
  <si>
    <t xml:space="preserve">Abha </t>
  </si>
  <si>
    <t>k2🦌</t>
  </si>
  <si>
    <t>Proud to be a Pakistani 🇵🇰💕#TeamPakistanZindabad❤️😘 100%follow back.....</t>
  </si>
  <si>
    <t>حمدي الأذى</t>
  </si>
  <si>
    <t>pic.twitter.com/uTnYhZ1roY</t>
  </si>
  <si>
    <t>Najran</t>
  </si>
  <si>
    <t>احذر عدوك مرة وصديقك ألف مرة فإن انقلب الصديق فهو أعلم بالمضرة</t>
  </si>
  <si>
    <t>ريدا المحمد</t>
  </si>
  <si>
    <t>pic.twitter.com/GRRqWkNPIh</t>
  </si>
  <si>
    <t>Taif</t>
  </si>
  <si>
    <t>أرسل حكيما ولا توصه</t>
  </si>
  <si>
    <t>سهل للباز</t>
  </si>
  <si>
    <t>pic.twitter.com/d8NSM2xjsx</t>
  </si>
  <si>
    <t>yanbu</t>
  </si>
  <si>
    <t>لا يهم كم أنت بطيئ طالما أنك لن تتوقف</t>
  </si>
  <si>
    <t>أصغر الرحمن</t>
  </si>
  <si>
    <t>pic.twitter.com/V6aIGtUNgJ</t>
  </si>
  <si>
    <t>Dhahran</t>
  </si>
  <si>
    <t>Ayşenur Kıymet KOÇAK</t>
  </si>
  <si>
    <t>kediyi merhametiyle saran tek ordu 🇹🇷 #TurkishArmy🇹🇷 🐈☺</t>
  </si>
  <si>
    <t>علي الاحمري</t>
  </si>
  <si>
    <t>https://pbs.twimg.com/media/EGcYhzHXUAM-3LO.jpg</t>
  </si>
  <si>
    <t>د. عدنان محمد : مكاتب قناة الجزيرة في البلدان هي وكر للتجسس وزرع الخلايا التي تريد نشر الفوضى.  - جمال خاشقجي #خاشقجي #عام_على_اغتيال_جمال</t>
  </si>
  <si>
    <t>pic.twitter.com/tTHhsZnuRb</t>
  </si>
  <si>
    <t>☔</t>
  </si>
  <si>
    <t>🐦</t>
  </si>
  <si>
    <t>أطيقه أل قحطاني</t>
  </si>
  <si>
    <t>Mesut Avcı 🇹🇷 🇵🇰</t>
  </si>
  <si>
    <t>@RTErdogan Bugün ülkem Barış operasyonu başlattı, Suriye'de BM subayı olarak çalışıyorum, Ülkemi seviyorum ve onlara güveniyorum! Liderim ve Askerim cesur, Dünya'ya Terörizme nasıl son verileceğini gösterecekler! 🇹🇷🇹🇷🇹🇷🇹🇷🇹🇷 #BarisPinariHarekati #BarışPinariHarekati #TurkishArmy 🇹🇷🇹🇷</t>
  </si>
  <si>
    <t>pic.twitter.com/n0FIPaNOgO</t>
  </si>
  <si>
    <t>Damascus</t>
  </si>
  <si>
    <t>@UNHCRSyria CF Görevlisi @UN İletişim DOL Eski Türk İstihbarat Subayı Ana Alan Alanları Suriye, Lübnan, Filistin ve Türkiye Fe 🇹🇷 CSD Officer @UNHCR</t>
  </si>
  <si>
    <t xml:space="preserve"> صالح الدسوقى</t>
  </si>
  <si>
    <t>اتصال/ د. فوزية القحطاني: باحثة في الإعلام والأمن الفكري – جدة: الإعلام القطري ينشر الكراهية والبغضاء .. كما تعمل اجهزتهم ليل نهار على التشكيك بكل منجز سعودي .  - جمال خاشقجي #JamalKhashoggi #قطر</t>
  </si>
  <si>
    <t>pic.twitter.com/RxMxO63Zvp</t>
  </si>
  <si>
    <t>Burak Tunç</t>
  </si>
  <si>
    <t>NE MUTLU BANA Kİ BÖYLESİNE ŞEREFLİ, BÖYLESİNE GÜÇLÜ BİR ORDUYA SAHİP BİR ÜLKENİN VATANDAŞIYIM NE MUTLU TÜRKÜM DİYENE ! #BarisPinariHarekati #TurkishArmy #OperationPeaceSpring</t>
  </si>
  <si>
    <t>نويفع الحربي</t>
  </si>
  <si>
    <t>أ. هاني الحجي : قطر أُستحدمت من تركيا و ايران كأداة لتدمير المنطقة واقتصادها.  #خاشقجي #عام_على_رحيل_خاشقجي</t>
  </si>
  <si>
    <t>pic.twitter.com/7oBiCnOVwK</t>
  </si>
  <si>
    <t>S.Mali Müşavir</t>
  </si>
  <si>
    <t>DarkWeb Haber</t>
  </si>
  <si>
    <t>#TurkishArmy #BarisPinariHarekati</t>
  </si>
  <si>
    <t>https://pbs.twimg.com/media/EGcYfwjWwAAd1_o.jpg</t>
  </si>
  <si>
    <t xml:space="preserve"> ياسين الفقيه </t>
  </si>
  <si>
    <t>محلل قناة ٢٤ سعودي الفضائية صباح الخزاعي في بصريح العبارة : ارتباط دبلوماسيين إيرانيين بمخطط الهجوم على مباراة كرة القدم في كأس العالم عام 2016م في ألبانيا  #خاشقجي #تركيا</t>
  </si>
  <si>
    <t>pic.twitter.com/9jGCKIAjzb</t>
  </si>
  <si>
    <t>Güncel ve önemli haberleri ışık hızında sizlere ulaştırıyoruz. Reklam ve İletişim: darkwebhaber@gmail.com</t>
  </si>
  <si>
    <t>http://instagr.am/darkwebhaber</t>
  </si>
  <si>
    <t>YSNgraphic</t>
  </si>
  <si>
    <t>Şu kopan fırtına Türk ordusudur yâ Rabbi 🇹🇷 #BarışPınarıHarekatı #TurkishArmy</t>
  </si>
  <si>
    <t>https://pbs.twimg.com/media/EGcYd9HWkAAnKie.jpg</t>
  </si>
  <si>
    <t>حديد الأمر</t>
  </si>
  <si>
    <t>pic.twitter.com/uWO0HNS2Vp</t>
  </si>
  <si>
    <t>Beşiktaş , Germany</t>
  </si>
  <si>
    <t>Graphic Designer / Video Editor #Beşiktaş #BVB #Graphic #Design ~Y🖤Y~ 🇹🇷 #Laz #Sakarya #Rize</t>
  </si>
  <si>
    <t>http://instagram.com/ysngraphic</t>
  </si>
  <si>
    <t>Ad Diriyah</t>
  </si>
  <si>
    <t>علي ساد الدرن</t>
  </si>
  <si>
    <t>pic.twitter.com/DrN6admuZD</t>
  </si>
  <si>
    <t>Atila Mete</t>
  </si>
  <si>
    <t>#BarışPınarıHarekati Mazlumların duası #TurkishArmy Mehmetçik geliyor. Biz yine geliyoruz. Şimdi zalimlerin kaçma zamanı...</t>
  </si>
  <si>
    <t>جزاء سنمار جزاء مُجيرِ أُمِّ عامِرٍ الجزاء من جنس العمل</t>
  </si>
  <si>
    <t xml:space="preserve"> حميد البلوي</t>
  </si>
  <si>
    <t>د.أنور مالك :الحوثي لم يلتزم بشيء من قرارات الأمم المتحدة بل تعدى إلى العدوان على الدول المجاورة، وكل ذلك بإيعاز من إيران، حيث راحت تزود الحوثيين بأسلحة وصواريخ وعتاد وأموال  - جمال خاشقجي #JamalKhashoggi #السعودية</t>
  </si>
  <si>
    <t>pic.twitter.com/1qMME05IGC</t>
  </si>
  <si>
    <t>Mehmet Emin GÜVEN 🇹🇷</t>
  </si>
  <si>
    <t>“Şu kopan fırtına Türk ordusudur yâ Rabbi. Senin uğrunda ölen ordu budur yâ Rabbi. Tâ ki yükselsin ezanlarla müeyyed nâmın, Galib et, çünkü bu son ordusudur İslâm'ın.” 🇹🇷🇹🇷🇹🇷 #BarışPınarıHarekati #OperationPeaceSpring #TurkishArmy</t>
  </si>
  <si>
    <t>https://pbs.twimg.com/media/EGcYa7tXUAwKNaT.jpg</t>
  </si>
  <si>
    <t>تركي الحسيني</t>
  </si>
  <si>
    <t>تقرير / الجزيرة وحديث الرويبضه وتحويل الحقائق وتحريفها عن مواضعها للفتنة.  - جمال خاشقجي #خاشقجي #عام_على_رحيل_جمال</t>
  </si>
  <si>
    <t>pic.twitter.com/9nrWXEiezm</t>
  </si>
  <si>
    <t>Malatya, Türkiye</t>
  </si>
  <si>
    <t>Bu vatan, bu din ve tüm insanlık için...🇹🇷 Biz, kendimiz ne yapıyoruz?🇹🇷 İnönü Üniversitesi Siyaset Bilimi-Kamu Yönetimi/DR.</t>
  </si>
  <si>
    <t>muradsaatli</t>
  </si>
  <si>
    <t>I don’t know if you understand Kurdish watch and see why Turkey is in Syria #TurkishArmy @Partisangirl RT @seldasoyer_: Türklerin Suriye'de ne işi var diyenler iyi izle! - Türkler, müslümanlar gelmişler. - Allah'a şükür YPG/PKK kopeklerinden kurtulduk. - Ne namus bıraktılar, ne çocuk bıraktılar. - 8 çocuğum vardı hepsi gitti. Hiçbiri kalmadı. Askerin tesellisine bakın 🇹🇷 #TurkishArmy</t>
  </si>
  <si>
    <t>صائد شداد الأسمري</t>
  </si>
  <si>
    <t>https://twitter.com/seldasoyer_/status/1181881158130425858</t>
  </si>
  <si>
    <t>pic.twitter.com/Wy4Dq7gdQ3</t>
  </si>
  <si>
    <t>pic.twitter.com/qtbRivKGWd</t>
  </si>
  <si>
    <t>غلام موحدين الجود</t>
  </si>
  <si>
    <t>Before Erdoğan , Turkish economy was so bad that borthel-house boss was paying the most tax in Turkey.</t>
  </si>
  <si>
    <t>Aczmendi Abdullah</t>
  </si>
  <si>
    <t>Ey Nihayetsiz Güç ve İzzet Sahibi olan ZAT-I ZÜLCELAL, #BarısPınarıHarekatı nda #TurkishArmy Aslanlarımızın pençesine daha büyük güç kuvvet ver ki, Şer çakalları kendini cehennemde bulsun amin.</t>
  </si>
  <si>
    <t>Macca</t>
  </si>
  <si>
    <t>https://pbs.twimg.com/media/EGcYap1XkAUGRAD.jpg</t>
  </si>
  <si>
    <t xml:space="preserve">  حسين الزيدي </t>
  </si>
  <si>
    <t>محلل قناة ٢٤ سعودي الفضائية جيري ماهر في برنامج لمن يهمه الأمر: السعودية تقود سياسة واضحة لفضح إيران وكشفها أمام المجتمع الدولي وكشف سياساتها الخبيثة في المنطقة ومشروعها المدمر  - جمال خاشقجي #خاشقجي #عام_على_اغتيال_جمال</t>
  </si>
  <si>
    <t>pic.twitter.com/oldW2owSvD</t>
  </si>
  <si>
    <t>ÇEVRE MÜHENDİSİ 'TÜKÜRÜN MİLLETİ ALÇAKÇA VURAN DARBELERE! TÜKÜRÜN ONLARA ALKIŞ DAĞITAN KAHPELERE! ' MEHMET AKİF ERSOY</t>
  </si>
  <si>
    <t>http://aczmendi.tv</t>
  </si>
  <si>
    <t>غلام فاروق الأمر</t>
  </si>
  <si>
    <t>pic.twitter.com/ud2nItJQZH</t>
  </si>
  <si>
    <t>عبد الحليم</t>
  </si>
  <si>
    <t>Necip ordumuz Gökyüzünde bayrağımızı çizerken 😎🇹🇷 #Rasulayn #TurkishArmy #BarisPinari</t>
  </si>
  <si>
    <t>https://pbs.twimg.com/media/EGcYaIMWkAAevgF.jpg</t>
  </si>
  <si>
    <t>Al Qatib</t>
  </si>
  <si>
    <t>اسم النور</t>
  </si>
  <si>
    <t>pic.twitter.com/jJR8JBzSuq</t>
  </si>
  <si>
    <t>Ant/Urfa</t>
  </si>
  <si>
    <t>Torosların zirvesinde bir imam.</t>
  </si>
  <si>
    <t>M İ R A L İ</t>
  </si>
  <si>
    <t>Hayır, sakın yolunda kalma sen. Dağları yıkan gücünle sars yerleri Atam diyor, öğün çalış güven Durma yürü, haydi ileri. #TurkishArmy #BarisPinariHarekati #TürkSilahlıKuvvetleri</t>
  </si>
  <si>
    <t>https://pbs.twimg.com/media/EGcYYbGXUAQVkjD.jpg</t>
  </si>
  <si>
    <t>غسان أل قحطاني</t>
  </si>
  <si>
    <t>pic.twitter.com/GvHQqFyuzV</t>
  </si>
  <si>
    <t>Kemalöz, Uşak</t>
  </si>
  <si>
    <t>ΖΗΤΩ Ο ΠΟΛΕΜΟΣ</t>
  </si>
  <si>
    <t>Hail</t>
  </si>
  <si>
    <t xml:space="preserve">محمود احمد </t>
  </si>
  <si>
    <t>د. عبد الله الرفاعي: لا زال اردوغان ونظامه يُمارسون العبث السياسي الذي بدء يدفع ثمنه الداخل التركي.  - جمال خاشقجي #خاشقجي #عام_على_اغتيال_جمال</t>
  </si>
  <si>
    <t>pic.twitter.com/3ls9RB6wyW</t>
  </si>
  <si>
    <t>صالح علي</t>
  </si>
  <si>
    <t>محلل قناة ٢٤ سعودي الفضائية د. عمر عبدالستار في نيران ايران : العلاقة بين أمريكا و ايران هي في مرحلة ردع  - جمال خاشقجي #JamalKhashoggi #السعودية</t>
  </si>
  <si>
    <t>pic.twitter.com/jjEWZqB1J5</t>
  </si>
  <si>
    <t>غانم الأسمري</t>
  </si>
  <si>
    <t>pic.twitter.com/XTGReFhxOl</t>
  </si>
  <si>
    <t>Savaş Güzel</t>
  </si>
  <si>
    <t>Onlarla savaşın ki Allah sizin ellerinizle onlara azap etsin, onları rezil etsin, onlara karşı size yardım etsin. İnanan halkın göğüslerine şifa versin.(Tevbe Suresi / 14. Ayet) #TurkishArmy</t>
  </si>
  <si>
    <t>https://pbs.twimg.com/media/EGcYUb1WkAkQlpa.jpg</t>
  </si>
  <si>
    <t>غانم الشديد</t>
  </si>
  <si>
    <t>Elazığ, Türkiye</t>
  </si>
  <si>
    <t>🇹🇷🇹🇷🇹🇷🇹🇷🇹🇷🇹🇷#Dünya sulh istiyorsa #Türk’e biat etmek zorundadır# ALLAHA VASIL OLMAK VAR #🇹🇷🇹🇷🇹🇷🇹🇷#IYI🇹🇷#𐱅𐰇𐰼𐰰 #Evli</t>
  </si>
  <si>
    <t>pic.twitter.com/qJ7zZ9q2Ng</t>
  </si>
  <si>
    <t>volkan giritli</t>
  </si>
  <si>
    <t>Tabuk</t>
  </si>
  <si>
    <t>Türk Askerini gören bir çocuğun neden böyle güldüğünü anlayamazlar. Onlara bunu anlatacağız. Kafalarına sokacağız... Vefalı Türk Geldi yine... #BarışPınarıHarekati #BarisPinari #OperationPeaceSpring #TurkishArmy</t>
  </si>
  <si>
    <t>https://pbs.twimg.com/media/EGcYWfqWkAE3uNq.jpg</t>
  </si>
  <si>
    <t>Türkçü, Atatürkçü, Türk Milliyetçisi. Amatör tarihçi, Gezgin, Kaşif... Her şeyi eleştiririm, partizanlığı hiç sevmem.</t>
  </si>
  <si>
    <t>http://tarihturklerdebaslar.wordpress.com</t>
  </si>
  <si>
    <t>طريق أحمد الأمر</t>
  </si>
  <si>
    <t>pic.twitter.com/55P7RyMPC8</t>
  </si>
  <si>
    <t>Orhan S.</t>
  </si>
  <si>
    <t>#BarisPinariHarekati #TurkMilletiOrdusununYanındadır #TurkishArmy Biz kötü değiliz siz iyi olmamızı haketmediniz 🇹🇷🇹🇷🇹🇷</t>
  </si>
  <si>
    <t>Al Hofuf</t>
  </si>
  <si>
    <t>https://pbs.twimg.com/media/EGcYV6ZWkAAwcsC.jpg</t>
  </si>
  <si>
    <t>غازية اللهم</t>
  </si>
  <si>
    <t>Kars, Türkiye</t>
  </si>
  <si>
    <t>Sanmaki fıtrat değişir bu kan yine o kan 🇹🇷🇹🇷🇹🇷</t>
  </si>
  <si>
    <t xml:space="preserve">   خالد  عنزي</t>
  </si>
  <si>
    <t>حصرياً. السفير ادم ايرلي متحدث الخارجية الأمريكية السابق: اردوغان المنافق..يذرف دموع التماسيح على جمال خاشقجي بينما يزج بالاَف الاتراك بالسجونAdam Ereli: Erdogan is the biggest hypocrite on the plant  #خاشقجي #قطر</t>
  </si>
  <si>
    <t>pic.twitter.com/oarxygVFmk</t>
  </si>
  <si>
    <t>Enes Doğan</t>
  </si>
  <si>
    <t>Vur şanlı silahınla gönül mülkü düzelsin; Sen öldürüyorken de vururken de güzelsin! 🇹🇷🇹🇷🇹🇷 #BarışPınarıHarekati #OperationPeaceSpring #BarisPinari #TurkishArmy #TürkMilletiOrdusununYanında</t>
  </si>
  <si>
    <t>https://pbs.twimg.com/media/EGcYR0SXYAAQt6o.jpg</t>
  </si>
  <si>
    <t>🇹🇷Beşiktaş 🇹🇷👨‍🚒🚒☎️</t>
  </si>
  <si>
    <t>Fatih SELÇUK</t>
  </si>
  <si>
    <t>#TurkishArmy tüm soysuzlar gebersin.</t>
  </si>
  <si>
    <t>هديل الشبيلي</t>
  </si>
  <si>
    <t>pic.twitter.com/htyrzC8ZNU</t>
  </si>
  <si>
    <t>İstanbul/ Türkiye</t>
  </si>
  <si>
    <t>Badr</t>
  </si>
  <si>
    <t>🇹🇷 Şükrü Morgül 53🇹🇷</t>
  </si>
  <si>
    <t>Metin Özkan sözleriyle duygularımıza tercüman olmuş.. #TurkishArmy 🇹🇷@sedat_peker🇹🇷</t>
  </si>
  <si>
    <t>pic.twitter.com/c2JYajaGsY</t>
  </si>
  <si>
    <t>حسين اليامي</t>
  </si>
  <si>
    <t>pic.twitter.com/GTvdEHGuVk</t>
  </si>
  <si>
    <t>Al Bahah</t>
  </si>
  <si>
    <t xml:space="preserve"> أول الغضب جنون وآخره ندم</t>
  </si>
  <si>
    <t>Duygusallık Kötü Bir Zafiyettir..🥊</t>
  </si>
  <si>
    <t>https://www.instagram.com/</t>
  </si>
  <si>
    <t>هادي سواءا الصميلي</t>
  </si>
  <si>
    <t>pic.twitter.com/1eknzHEFIH</t>
  </si>
  <si>
    <t>impreza</t>
  </si>
  <si>
    <t>Nerede onur, nerede direniş çakal sürüleri? :D :D #TurkishArmy #BarisPinariHarekati RT @mmalgerokk: Çağın onurlu, direnişçi savaşçıları #YPG #YPJ ve #QSD iyi takip edin. İsgalcilere gerekli cevap veriliyor.</t>
  </si>
  <si>
    <t>Dmmam</t>
  </si>
  <si>
    <t>الباب الذي يأتيك بالريح سده واسترح</t>
  </si>
  <si>
    <t>https://twitter.com/mmalgerokk/status/1181935960952639496</t>
  </si>
  <si>
    <t>كارينا مرزوق</t>
  </si>
  <si>
    <t>pic.twitter.com/yiUun4m53I</t>
  </si>
  <si>
    <t>İAÜ'de saNa nE aQ okuyor</t>
  </si>
  <si>
    <t>أفضل توقيت لزرع شجرة كان قبل 20 سنة و أفضل ثاني توقيت هو الآن</t>
  </si>
  <si>
    <t>علي أحمد الأمر</t>
  </si>
  <si>
    <t>Metin KRTS</t>
  </si>
  <si>
    <t>Allah yâr ve yardımcınız olsun Aslanlar... #BarisPinariHarekati #turkisharmy</t>
  </si>
  <si>
    <t>pic.twitter.com/gafkc8ptSR</t>
  </si>
  <si>
    <t>https://pbs.twimg.com/media/EGcYNkZXYAEMyLW.jpg</t>
  </si>
  <si>
    <t>TÜRKİYE CUMHURİYETİ VATANDAŞI............ NE MUTLU TÜRKÜM DİYENE..................... #Galatasaray #Titia #KTÜ #Twitter benim için bir taraftar platformudur...</t>
  </si>
  <si>
    <t xml:space="preserve"> محمد  الشقاق</t>
  </si>
  <si>
    <t>تقرير / الجبير: إيران "دولة عدائية" وعليها احترام سيادة الآخرين .  - جمال خاشقجي #خاشقجي #عام_على_رحيل_جمال</t>
  </si>
  <si>
    <t>pic.twitter.com/4SN3RrX3pp</t>
  </si>
  <si>
    <t>جوليا بين اسغف</t>
  </si>
  <si>
    <t>pic.twitter.com/JndMpA9pca</t>
  </si>
  <si>
    <t>Buraydah</t>
  </si>
  <si>
    <t>لن تكون قادراً على قطع المحيط إذا لم يكن لديك الشجاعة أن تخسر مرآى الشاطئ.</t>
  </si>
  <si>
    <t>Selami Haktan</t>
  </si>
  <si>
    <t>Turkey is aiming to create a buffer zone between its borders and the terrorists through its Peace Spring Operation. #TurkishArmy #BarisPinariHarekati #PeaceSpringOperation</t>
  </si>
  <si>
    <t>خيرونيسى الحبيبي</t>
  </si>
  <si>
    <t>https://pbs.twimg.com/media/EGcYI3IXYAAFoke.jpg</t>
  </si>
  <si>
    <t>pic.twitter.com/YIGPgiLu0A</t>
  </si>
  <si>
    <t>Istanbul, Turkey</t>
  </si>
  <si>
    <t>Turkey based journalist. For Turkish @slmhktn, for Kurdish @slmhktn_KR, for Arabic @slmhktn_ar</t>
  </si>
  <si>
    <t>البعثة الدبلوماسية الوحيدة في الولايات المتحدة ، يمكنك التنقل الى السفارة الكويتية و</t>
  </si>
  <si>
    <t>Reyhan Gençosman</t>
  </si>
  <si>
    <t>مبارك أتى مبارك</t>
  </si>
  <si>
    <t>@sametdgn1 Amin #TurkishArmy #OperationPeaceSpring #BarışPınarıHareketi</t>
  </si>
  <si>
    <t>pic.twitter.com/ot9oCfIRAs</t>
  </si>
  <si>
    <t>Trabzon - İstanbul-Üsküdar</t>
  </si>
  <si>
    <t>Burası Dünya..burada işler hep yarım kalır.</t>
  </si>
  <si>
    <t>بالأرض ولدتك أمك بالتأني تُدْرَكُ الفُرَصُ</t>
  </si>
  <si>
    <t>ÖNDER BOLTÜRK</t>
  </si>
  <si>
    <t>#OperationPeaceSpring #TurkishArmy Mazlumların umudu, Zalimlerin korkulu rüyası...</t>
  </si>
  <si>
    <t>https://pbs.twimg.com/media/EGcYI-SXoAATFoX.jpg</t>
  </si>
  <si>
    <t>أل خبر</t>
  </si>
  <si>
    <t>pic.twitter.com/8XTUjbXczS</t>
  </si>
  <si>
    <t>🇹🇷1 🇹🇷 4 🇹🇷 5 🇹🇷 3 🇹🇷 AK PARTİ 💡 💡 💡 💡</t>
  </si>
  <si>
    <t>بالقنصلية المملكة العربية السعودية في هيوستن في هذه الصفحة، لن تشكل القنصلية</t>
  </si>
  <si>
    <t>ERTUGRUL BEY</t>
  </si>
  <si>
    <t>Galip Et Ya Rabbim! Çünkü Son Ordusudur Bu İslâm'ın! Allah Türk'ü Korusun ve Muzaffer Eylesin #TurkishArmy #BarisPinariHarekati</t>
  </si>
  <si>
    <t>وضحاء العنزي</t>
  </si>
  <si>
    <t>https://pbs.twimg.com/media/EGcYHK1W4AIQiIi.jpg</t>
  </si>
  <si>
    <t>pic.twitter.com/r3CPICmZ7t</t>
  </si>
  <si>
    <t>جمال السفر</t>
  </si>
  <si>
    <t>pic.twitter.com/32ihARedyf</t>
  </si>
  <si>
    <t>Selâmi Haktan 🇹🇷</t>
  </si>
  <si>
    <t>@keslencuk Üniformasını çıkartan siviller arasına karışıp Rasulayn'dan ayrılıyor. #TurkishArmy #OperationPeaceSpring</t>
  </si>
  <si>
    <t>pic.twitter.com/WoRe3XQflU</t>
  </si>
  <si>
    <t>إختيار الدين</t>
  </si>
  <si>
    <t>Şırnak, Türkiye</t>
  </si>
  <si>
    <t>Kul köle ol ki azad olasın, öl ki hayat bulasın. English: @slmhktn_eng Kurdî: @slmhktn_KR عربى: @slmhktn_ar</t>
  </si>
  <si>
    <t>http://www.instagram.com/selamihaktan</t>
  </si>
  <si>
    <t>و أن الفرق بين القنصليات المملكة العربية السعودية والتي تقع في الولايات المتحدة هو مستوى الصلاحيات و حجم هذه</t>
  </si>
  <si>
    <t>محمد علي البيشي</t>
  </si>
  <si>
    <t>pic.twitter.com/ySavTcCkKl</t>
  </si>
  <si>
    <t xml:space="preserve"> البياض نصف الحسن بيت الظالم خراب</t>
  </si>
  <si>
    <t>عبر الحبشي</t>
  </si>
  <si>
    <t>البحث في متناول اليد لإستكشاف إختيارك لبقاءك في فندق أو دار الضيافة قرب السفارة</t>
  </si>
  <si>
    <t>Berceste</t>
  </si>
  <si>
    <t>#TurkishArmy RT @dalierzincanli: İşte bir Kürt anasının, Şanlı ordusundan isteği: Onları ezin! #TurkishArmy</t>
  </si>
  <si>
    <t>https://twitter.com/dalierzincanli/status/1181877982132129792</t>
  </si>
  <si>
    <t>فسيح السكر</t>
  </si>
  <si>
    <t>pic.twitter.com/S4nFBEIT8l</t>
  </si>
  <si>
    <t>Youssef Al-Masrahi</t>
  </si>
  <si>
    <t>حازم الصميلي</t>
  </si>
  <si>
    <t>pic.twitter.com/rjnBFlt3R5</t>
  </si>
  <si>
    <t>يرجى الانتباه بأنه لم يقدم جميع القنصليات نفس مستوى</t>
  </si>
  <si>
    <t>عويس الكامل</t>
  </si>
  <si>
    <t>N. Muhammet ÇORUH</t>
  </si>
  <si>
    <t>@ForeksTurkey Güçlü bir şekilde #TurkishArmy giriyor !!!</t>
  </si>
  <si>
    <t>pic.twitter.com/HLoHNwLLOP</t>
  </si>
  <si>
    <t>Elektrik Mühendisi</t>
  </si>
  <si>
    <t>Savaş Postası</t>
  </si>
  <si>
    <t>Bir kaç dakika sonra derik ve malikiye bölgelerini vurduğumuz haberini geçeceğim hazır olun vurulsun yazıyorum. #BarisPinari #TurkishArmy #BarisPinariHarekati</t>
  </si>
  <si>
    <t>محمد عبيد الساحليف</t>
  </si>
  <si>
    <t>pic.twitter.com/T7fkyFRqbi</t>
  </si>
  <si>
    <t>Hasan Kucuk 🇹🇷🇹🇷</t>
  </si>
  <si>
    <t>https://pbs.twimg.com/media/EGcYDWoX0AExbKf.jpg</t>
  </si>
  <si>
    <t>بشير أل قحطاني</t>
  </si>
  <si>
    <t>pic.twitter.com/EeqK0dqEpH</t>
  </si>
  <si>
    <t>Fikir Turu</t>
  </si>
  <si>
    <t>#Fırat’ın doğusuna operasyon başladı. Neden şimdi? Nasıl bir operasyon bekleniyor? #YPG’nin karşı hamlesi ne olabilir? Operasyon nasıl sonuçlanır? Doç. Dr. Serhat Erkmen yazdı. #BarışPınarıHarekati #OperationPeaceSpring #TurkishArmy</t>
  </si>
  <si>
    <t>https://fikirturu.com/2019/10/06/firatin-dogusunda-neler-olacak/</t>
  </si>
  <si>
    <t>حسن الأمر</t>
  </si>
  <si>
    <t>pic.twitter.com/BPnzhfRMBf</t>
  </si>
  <si>
    <t>Gündem veya önemli meseleler hakkında konunun uzmanlarınca kaleme alınmış makaleler yayımlar.</t>
  </si>
  <si>
    <t>http://www.fikirturu.com</t>
  </si>
  <si>
    <t>Al Jubail</t>
  </si>
  <si>
    <t>قد قمنا بإدراج كافة القنصليات المملكة العربية السعودية في الولايات المتحدة لسهولة استعمالك ، انقر على أقرب مدينة لك في القائمة التالية</t>
  </si>
  <si>
    <t>Şaire Münhasır</t>
  </si>
  <si>
    <t>Terörist demirtaşa tv verin Fırat’ın Doğusuna baksın. @adalet_bakanlik @abdulhamitgul #BarışPınarı #TurkishArmy #BarışPınarıHarekatı</t>
  </si>
  <si>
    <t>عبد اللطيف الشعلان</t>
  </si>
  <si>
    <t>Recep Tayyip Erdoğan en sevdiğim üçlü.</t>
  </si>
  <si>
    <t>Dammam</t>
  </si>
  <si>
    <t>ﻣﻨﺎﻭﺭ ﻋﻮﻳﺪ</t>
  </si>
  <si>
    <t>محلل قناة ٢٤ سعودي الفضائية د. عمر عبدالستار في نيران ايران : العلاقة بين أمريكا و ايران هي في مرحلة ردع  - جمال خاشقجي #ايران #خاشقجي</t>
  </si>
  <si>
    <t>pic.twitter.com/859btrloAl</t>
  </si>
  <si>
    <t>İ K .</t>
  </si>
  <si>
    <t>https://pbs.twimg.com/media/EGcYCJKW4AEuSa0.jpg</t>
  </si>
  <si>
    <t>داليا الحميدي</t>
  </si>
  <si>
    <t>pic.twitter.com/CZ2Dk4rYiC</t>
  </si>
  <si>
    <t>دارين السفر</t>
  </si>
  <si>
    <t>pic.twitter.com/SkxYnw5wFI</t>
  </si>
  <si>
    <t>هارون الأسمري</t>
  </si>
  <si>
    <t>pic.twitter.com/0O3nt7rcYG</t>
  </si>
  <si>
    <t>Ercan Aktaş🧢</t>
  </si>
  <si>
    <t>@cumhuriyetgzt1 Yook öyle oyun oynanırken kaçmak yok adi şerefsizler. Sonunuz geldi #TurkishArmy #BarisPinariHarekati 🇹🇷🇹🇷🇹🇷</t>
  </si>
  <si>
    <t>قنصلية دولة المملكة العربية السعودية ـ تُعد هذه القنصلية بعثة ثنائية في هيوستن و تقوم بإقامة مصلحة المملكة العربية</t>
  </si>
  <si>
    <t>بطرس المولد</t>
  </si>
  <si>
    <t xml:space="preserve"> İstanbul</t>
  </si>
  <si>
    <t>🇹🇷 TEK VATAN 🇹🇷 🇹🇷 TEK BAYRAK 🇹🇷 🇹🇷 TEK DEVLET 🇹🇷 🇹🇷 TEK MİLLET 🇹🇷</t>
  </si>
  <si>
    <t>pic.twitter.com/VACfyDWjXY</t>
  </si>
  <si>
    <t>إذا تم العقل نقص الكلام</t>
  </si>
  <si>
    <t>دينا البيشي</t>
  </si>
  <si>
    <t>Enes Özbey 🇹🇷</t>
  </si>
  <si>
    <t>Bebek katili pkk devlet kuracakmış' Ne kürdıstanı ULAN! Bu bölgede Türk devletinin iradesi dışında hiç kimse birşey yapamaz! Bölücülerin arkasında “abd, ab, israil, rusya..” olsa bile! Türk’e kefen biçenin ölümü korkunç olur #TurkishArmy #BarışPınarıHarekatı</t>
  </si>
  <si>
    <t>برهان السكر</t>
  </si>
  <si>
    <t>pic.twitter.com/1fQhzxHDVM</t>
  </si>
  <si>
    <t>pic.twitter.com/PEnVpW4arA</t>
  </si>
  <si>
    <t>دستغير الياسين</t>
  </si>
  <si>
    <t>pic.twitter.com/6GxbGxNo4C</t>
  </si>
  <si>
    <t>DADAŞ BEY ® 🇹🇷</t>
  </si>
  <si>
    <t>#TurkishArmy #TürkMilletiOrdusununYanında #BarışPınarı #BarışPınarıHarekati özel klip</t>
  </si>
  <si>
    <t>pic.twitter.com/umUY8z2Cyc</t>
  </si>
  <si>
    <t>Al khobar</t>
  </si>
  <si>
    <t>الأفعال أبلغ من الأقوال</t>
  </si>
  <si>
    <t>إسم الساحلي</t>
  </si>
  <si>
    <t>Erzurum, Türkiye</t>
  </si>
  <si>
    <t>Ey îmân edenler Sabredin Sabırda (düşmanlarınıza) üstün gelin! (Her an cihâda) hazırlıklı olun ve Allah’dan sakının! Tâ ki kurtuluşa eresiniz. Âli İmran 200</t>
  </si>
  <si>
    <t>https://www.twitter.com</t>
  </si>
  <si>
    <t>عدي قدري</t>
  </si>
  <si>
    <t>bihaylikarışık</t>
  </si>
  <si>
    <t>pic.twitter.com/yIhmG8iD3F</t>
  </si>
  <si>
    <t>Bi keresinde babamı korkutmuştum ve gözümü açtığımda aradan 3 yıl geçmişti. #BABA #aileherseydir #dayak #siddet #CocukRuhum #carsamba #hastane #doktor #saglik #egitim #TurkishArmy #BarisPinari</t>
  </si>
  <si>
    <t>her konuda aklıma gelenleri tweetliyorum.</t>
  </si>
  <si>
    <t>IRKÇI KURT</t>
  </si>
  <si>
    <t>#BarisPinariHarekati F-16 kahramanları Resulayan bölgesinde bulunan terör örgütü YPG’ye ait silah deposunu imha etti. #TurkishArmy #BarisPinari</t>
  </si>
  <si>
    <t>pic.twitter.com/ySW0ly8bZh</t>
  </si>
  <si>
    <t>Türkiye cumhuriyeti</t>
  </si>
  <si>
    <t>@1Asil_Turk // http://instagram.com//1Asil_kurt ▪🇹🇷▪🇦🇿▪🇰🇿▪🇹🇲▪🇰🇬▪🇺🇿▪🇲🇳 ▪Irkçı ▪ Türk ▪ Türkçü ▪</t>
  </si>
  <si>
    <t>إيفا بين اسغف</t>
  </si>
  <si>
    <t>İbrahim Yüksel</t>
  </si>
  <si>
    <t>#TurkishArmy #BarışPınarıHarekatı #OperationPeaceSpring Hepiniz Allaha emanetsiniz aslanlar. Son durak kızılelma</t>
  </si>
  <si>
    <t>Boş beleş zaman kaybı biri</t>
  </si>
  <si>
    <t>http://www.instagram.com/ibrahimyukseell</t>
  </si>
  <si>
    <t>وديه الجود</t>
  </si>
  <si>
    <t>pic.twitter.com/CSJHMntXec</t>
  </si>
  <si>
    <t>riyadh</t>
  </si>
  <si>
    <t>فرح الخوالد</t>
  </si>
  <si>
    <t>pic.twitter.com/RJhUpSTZsC</t>
  </si>
  <si>
    <t>___KatRe-i Su___</t>
  </si>
  <si>
    <t>🔺HeR ŞEYİ göRen HesapLarı DÖNDÜREN vAr❗ İsteMeseLer dE HeR şeYi TAKDİR eDen vAr❗ 🔺 DÜN_(!) kenDinCe PLAN yaPanLarıN BUGÜN_(!) karŞısıNa 🔺Bir MUSA çıKaraN vAr❗ Ey ŞANLI OrDu ArkaNa bakMa❗ ALLÂH'IN iZniyLe 🔺BiziM YERİMİZ HeP ayNı 🇹🇷BİR NUMARA🇹🇷 🇹🇷#TurkishArmy🇹🇷</t>
  </si>
  <si>
    <t>pic.twitter.com/Z16dYS85xw</t>
  </si>
  <si>
    <t>سلمى الأمر</t>
  </si>
  <si>
    <t>pic.twitter.com/c0mWbHNkdC</t>
  </si>
  <si>
    <t xml:space="preserve">      ⚊⚊⚊EVLİYİM⚊⚊⚊</t>
  </si>
  <si>
    <t>AraDa《KENDİM》yaZar___GeNeLde《ALINTI》 yaParıM___YoLun yaRısıNı geÇtim___İLLâ eDêp deRim___EdêPsiZi RaBBime haVâLe eDeriM.!!!⚊⚊⚊LüTFeN birŞey《DM》yin..!!⚊⚊⚊</t>
  </si>
  <si>
    <t>أصنع من دود القز</t>
  </si>
  <si>
    <t>فيروز الحبشي</t>
  </si>
  <si>
    <t>pic.twitter.com/UmTFRLK7ju</t>
  </si>
  <si>
    <t>Mete TIĞLI ⚡🇹🇷</t>
  </si>
  <si>
    <t>Ne mutlu ne onurlu bir vazife askerime en güzel isim olarak MUHAMMED (s. a.v) in askerleri demek elhamdülillah 🇹🇷🇹🇷🇹🇷 Allah c.c size engüzel fetihler nasip etsin #TurkishArmy #BarisPinari #BarisPinariHarekati</t>
  </si>
  <si>
    <t>https://pbs.twimg.com/media/EGcX6xzXkAEkwzw.jpg</t>
  </si>
  <si>
    <t>حفصة الدين علي</t>
  </si>
  <si>
    <t>pic.twitter.com/BMD6AOAEMV</t>
  </si>
  <si>
    <t>Ak Parti Güngören ilçe Yönetim Kurul üyesi</t>
  </si>
  <si>
    <t>أرى كل إنسان يرى عيب غيره ويعمى عن العيب الذي هو فيه</t>
  </si>
  <si>
    <t>Yusuf</t>
  </si>
  <si>
    <t>Bismillahirrahmanirrahim Allah vatanımızı muzaffer eylesin. Ordumuza güç, kuvvet ihsan eylesin. #BarisPinariHarekati #TurkıshArmy</t>
  </si>
  <si>
    <t>مهدي المير</t>
  </si>
  <si>
    <t>https://pbs.twimg.com/media/EGcX69sX0Ag7XS9.jpg</t>
  </si>
  <si>
    <t>pic.twitter.com/6bvPB5SmgI</t>
  </si>
  <si>
    <t>Khamis Mushait</t>
  </si>
  <si>
    <t xml:space="preserve">عبدالكريم عدلان </t>
  </si>
  <si>
    <t>محلل قناة ٢٤ سعودي الفضائية جيري ماهر في برنامج لمن يهمه الأمر: تعهد الرئيس التركي بشراء النفط الإيراني هو دليل على أن اردوغان يدعم الإرهاب الإيراني  - جمال خاشقجي #JamalKhashoggi #قطر</t>
  </si>
  <si>
    <t>pic.twitter.com/5vQMJ6rcJd</t>
  </si>
  <si>
    <t>@tugvaistunik Tanıtım Medya Sorumlusu | Ölüm bir kez, doğmak her gün.</t>
  </si>
  <si>
    <t>Mehmet Şakir Saraç</t>
  </si>
  <si>
    <t>@DefenseUnits You said this before for Afrin and Euphrates Shield area and we all know what happened ;) Skirts up guys ! #TurkeyTheLiberator #TurkishArmy #PKKDefeated</t>
  </si>
  <si>
    <t>https://pbs.twimg.com/media/EGcX5YiXUAAEvso.jpg</t>
  </si>
  <si>
    <t>منيف الحسن</t>
  </si>
  <si>
    <t>pic.twitter.com/s4CXBZFPBQ</t>
  </si>
  <si>
    <t>İzmir</t>
  </si>
  <si>
    <t>YeniŞafak'ta Muhabir #Reporter</t>
  </si>
  <si>
    <t xml:space="preserve"> إنك تضرب في حديد بارد</t>
  </si>
  <si>
    <t>أ. خالد النزر : هناك أطماع تركية واضحة في الأراضي السورية ، وأصبحت سوريا قابلة للتقسيم في ظل الظروف التي تمر بها.  #خاشقجي #تركيا</t>
  </si>
  <si>
    <t>Mehmet Kosif</t>
  </si>
  <si>
    <t>Rabbim tüm Ortadoğu halklarının kardeşliğini tesis edecek #Siyonizm in ve #Emperyalizmin tüm planlarını boşa çıkaracak hayırlı bir zafer ihsan eylesin #TurkishArmy #Rojova #Erdogan #BarısPınarHarekatı #carsamba</t>
  </si>
  <si>
    <t>pic.twitter.com/adbV6BuFJw</t>
  </si>
  <si>
    <t>Rize-İstanbul, Türkiye</t>
  </si>
  <si>
    <t>Hades</t>
  </si>
  <si>
    <t>أود الافظل</t>
  </si>
  <si>
    <t>https://pbs.twimg.com/media/EGcX4Q9X0AEEIjO.jpg</t>
  </si>
  <si>
    <t>27🇹🇷</t>
  </si>
  <si>
    <t>محمد الشهري</t>
  </si>
  <si>
    <t>محلل قناة ٢٤ سعودي الفضائية د. أنور مالك في المراقب : إيران تعاني من ضغوط داخلية وخارجية بسب العقوبات الأمريكية التي استهدفت تصفير صادرات النفط الإيراني  #JamalKhashoggi #تركيا</t>
  </si>
  <si>
    <t>Ayşe Turan</t>
  </si>
  <si>
    <t>Allah yar ve yardımcımız olsun. Türk milleti ordusunun yanındadır. 🇹🇷 #BarisPinariHarekati #TurkishArmy</t>
  </si>
  <si>
    <t>pic.twitter.com/RkK5G8vn81</t>
  </si>
  <si>
    <t>Kayseri, Türkiye</t>
  </si>
  <si>
    <t>Yoo yoo siz kısa değilsiniz ben uzunum. 🌼</t>
  </si>
  <si>
    <t>فطين الغطاس</t>
  </si>
  <si>
    <t>Sbom</t>
  </si>
  <si>
    <t>لاتشيل هم ي #عبدالرحمن_المطيري التهديدات لقلت حيلتهم.. والله صدمه ي حكومتنا كل يوم تصدمينا اكثر واكثر. كنت اقول مستحيل ان ولي العهد قتل #خاشقجي ولاكن توصلك هذه التهديدات شيء عجيب ومخيف اصبحنا في عصر الجاهلية قسمبالله. نحن الشعب من دول العالم الاول ولاكن حكومتنا كلهم جهله متأخرين</t>
  </si>
  <si>
    <t>يوسف الحربي</t>
  </si>
  <si>
    <t>العميد متقاعد. حسن الشهري: قناة الجزيرة لا تنقل خير قط وتقوم ببث الطائفية والكراهية  - جمال خاشقجي #خاشقجي #عام_على_رحيل_خاشقجي</t>
  </si>
  <si>
    <t>pic.twitter.com/luuXJTwfrC</t>
  </si>
  <si>
    <t>İsa Atik</t>
  </si>
  <si>
    <t>#BarışPınarıHarekati #OperationPeaceSpring #BarisPinari #TurkishArmy</t>
  </si>
  <si>
    <t>https://pbs.twimg.com/media/EGcX2RlWkAA7gTK.jpg</t>
  </si>
  <si>
    <t>محمد العمودي</t>
  </si>
  <si>
    <t>أ. نايف الحربي: إعلامي وكاتب صحفي: قناة الجزيرة لديها مزاعم واكاذيب تحاول أن تخدع الرأي العام للنيل من المملكة .  - جمال خاشقجي #JamalKhashoggi #تركيا</t>
  </si>
  <si>
    <t>pic.twitter.com/Z3p5tbr928</t>
  </si>
  <si>
    <t>راشد المهنا</t>
  </si>
  <si>
    <t>pic.twitter.com/Ez3q9zpMIB</t>
  </si>
  <si>
    <t xml:space="preserve">  حسين بن علي</t>
  </si>
  <si>
    <t>أ. نايف الحربي: إعلامي وكاتب صحفي: قناة الجزيرة تعتمد على الإعلاميين الهاربين من دولهم .  - جمال خاشقجي #JamalKhashoggi #تركيا</t>
  </si>
  <si>
    <t>Ali Eren</t>
  </si>
  <si>
    <t>Madem ki uyuyan devi uyandırdınız, öyleyse sonuçlarına katlanacaksınız! #BarışPınarıHarekatı #TurkishArmy</t>
  </si>
  <si>
    <t>pic.twitter.com/VEsArWlEIX</t>
  </si>
  <si>
    <t>pic.twitter.com/oIVGcDbNeP</t>
  </si>
  <si>
    <t>Necmettin Erbakan Üniversitesi</t>
  </si>
  <si>
    <t>http://Instagram.com/aliiern</t>
  </si>
  <si>
    <t>عشاق السليم</t>
  </si>
  <si>
    <t>Künenfes</t>
  </si>
  <si>
    <t>Barış Pınarı harekatı başladı. Milletin gücü ve duları sizlerle olsun! #BarisPinari #TurkishArmy #TürkOrdusu</t>
  </si>
  <si>
    <t>https://pbs.twimg.com/media/EGcXzijXYAAq_uE.jpg</t>
  </si>
  <si>
    <t>ﻣﻨﺼﻮﺭ ﺍﺑﻮﺍﻟﺴﻌﻮﺩ</t>
  </si>
  <si>
    <t>تقرير: وثائقي فرنسي يكشف علاقة قطر بتمويل التطرف الإرهاب في أوروبا .  - جمال خاشقجي #خاشقجي #عام_على_رحيل_جمال</t>
  </si>
  <si>
    <t>pic.twitter.com/rdFMsesrAe</t>
  </si>
  <si>
    <t>Pratik ve Enfes Lezzet #herdilimindemutlulukvar</t>
  </si>
  <si>
    <t>http://www.kunenfes.com.tr/</t>
  </si>
  <si>
    <t>كنانة السلطنة</t>
  </si>
  <si>
    <t>Atilla Gökçe DB</t>
  </si>
  <si>
    <t>@sinanates16 Başkanım ;"Koç yiğitlerimize 9 adet KOÇ Kurban ediyoruz" ALLAH kabul etsin Başkanım. Azîz Olun. @Ulku_Ocaklari @dbdevletbahceli @RTErdogan #BarışPınarıHarekatı #TurkishArmy</t>
  </si>
  <si>
    <t>İstanbul - Amasya</t>
  </si>
  <si>
    <t>Ne Mutlu Türküm Diyene</t>
  </si>
  <si>
    <t>wendiwadish</t>
  </si>
  <si>
    <t>@boukatt @GeorgeTakei All of this #GOPComplicitTraitors #TurkishArmy during turkey’s fighting in Cypress many dead Greeks were missing their ears Turks were collecting war trophies-sickening</t>
  </si>
  <si>
    <t>خالد علي</t>
  </si>
  <si>
    <t>محلل قناة ٢٤ سعودي الفضائية د. عمر عبدالستار في نيران ايران : لم تكن الحملة المجنونة على السعودية من أجل خاشقجي بقدر ما كانت ضد سياسة السعودية في مواجهة ايران و الجماعات المتطرفة  #خاشقجي #قطر</t>
  </si>
  <si>
    <t>pic.twitter.com/cIeHMpnCjr</t>
  </si>
  <si>
    <t>somewhere</t>
  </si>
  <si>
    <t>donc, je suis....</t>
  </si>
  <si>
    <t>Emin Oğuzhan Uğuz</t>
  </si>
  <si>
    <t>#TurkishArmy kalın giyin heval.</t>
  </si>
  <si>
    <t xml:space="preserve">  مبارك الامامي </t>
  </si>
  <si>
    <t>د. عدنان محمد : تركيا هي السوق الأكثر استهلاكا و إنتاجا للأخبار الكاذبة و المزيفة في العالم.  - جمال خاشقجي #خاشقجي #عام_على_اغتيال_جمال</t>
  </si>
  <si>
    <t>https://pbs.twimg.com/media/EGcXuMEWsAE2Y3X.jpg</t>
  </si>
  <si>
    <t>pic.twitter.com/U7gr4rhiiv</t>
  </si>
  <si>
    <t>Galatasaray ANKARA</t>
  </si>
  <si>
    <t>ريم العنزي</t>
  </si>
  <si>
    <t>pic.twitter.com/hXNiZ4fTLh</t>
  </si>
  <si>
    <t>jayhunt🏳️‍🌈</t>
  </si>
  <si>
    <t>@realDonaldTrump would never have abandoned our allies the #Kurds to the hands of the authoritarian #TurkishArmy if the Kurds had money or, like Turkey had land that the #TrumpCrimeFamily could build a hotel on. #KurdsBetrayedByTrump #TurkeyIsNotOurFriend</t>
  </si>
  <si>
    <t>Kentucky, USA</t>
  </si>
  <si>
    <t>Off duty drag queen. Always tryin to better myself. out and proud. logically opinionated. harbinger of smiles, laughter and entertainment.</t>
  </si>
  <si>
    <t>Rochelle Riley</t>
  </si>
  <si>
    <t>A powerful tribute - and demand - from the amazing @KarenAttiah honoring a stolen journalist. Let the world hear #JamalKhashoggi's last words in Arabic #RememberJamal … @washingtonpost @MSNBC @NABJ @soledadobrien @pressfreedom</t>
  </si>
  <si>
    <t>http://washingtonpost.com/opinions/2019/</t>
  </si>
  <si>
    <t>https://pbs.twimg.com/media/EGbdFH4W4AAp0rU.png</t>
  </si>
  <si>
    <t>Detroit and Everywhere</t>
  </si>
  <si>
    <t>Emmanouel Alexis</t>
  </si>
  <si>
    <t>Director | Arts &amp; Culture | City of Detroit | still a writer | "I am not just my ancestors' wildest dream. I am their victory."</t>
  </si>
  <si>
    <t>http://www.rochelleriley.com</t>
  </si>
  <si>
    <t>Θα γενικευτεί η σύρραξη στη #Συρία.#SyrianArmy. #Syria #Syrie #NorthEast #Peace #PeaceSpringOperation #PeaceSpring #Turkey #TurkeyKurds #Kurdish #TurkishArmy #Syrien #SyrianKurds #KurdsBetrayed #Kurds RT @capitalgr: Συρία: Θα αντιμετωπίσουμε οποιαδήποτε τουρκική επίθεση</t>
  </si>
  <si>
    <t>https://twitter.com/capitalgr/status/1181937631883644930
https://www.capital.gr/diethni/3386833/suria-tha-antimetopisoume-opoiadipote-tourkiki-epithesi?utm_term=Autofeed&amp;utm_medium=Social&amp;utm_source=Twitter#Echobox=1570626905</t>
  </si>
  <si>
    <t>Help anyone in need</t>
  </si>
  <si>
    <t xml:space="preserve">  مبارك شديد </t>
  </si>
  <si>
    <t>اتصال/ أ. رامي العلي: محلل قنوات سعودي 24 – باريس: أردوغان أرسل وزير خارجيته إلى الولايات المتحدة الأمريكية من أجل دفع الطبقة السياسية لتغير العلاقات التاريخية بين المملكة و أمريكا .  - جمال خاشقجي #JamalKhashoggi #السعودية</t>
  </si>
  <si>
    <t>pic.twitter.com/cQ7vQX8frB</t>
  </si>
  <si>
    <t>Rüştü Terzi</t>
  </si>
  <si>
    <t>Allah kahraman ordumuzun yar ve yardımcısı olsun. Ayaklarına taş değmesin inşallah #TurkishArmy #BarisPinariHarekati #turkmilletiordusununyaninda</t>
  </si>
  <si>
    <t xml:space="preserve"> ﻣﺒﺎﺭﻙ ﺍﻟﻌﺠﻠﻪ</t>
  </si>
  <si>
    <t>محلل قناة ٢٤ سعودي الفضائية د. عمر عبدالستار في نيران ايران: لا رفع للعقوبات الأمريكية على ايران، ولا لقاء بين ترمب وخامنئي هذا هو السيناريو الأول  #خاشقجي #تركيا</t>
  </si>
  <si>
    <t>ABDULLAH NOYAN</t>
  </si>
  <si>
    <t>Operasyon Başlasın 🇹🇷 #OperationPeaceSpring #TurkishArmy #BarisPinariHarekati</t>
  </si>
  <si>
    <t>pic.twitter.com/TFrs0YKt5k</t>
  </si>
  <si>
    <t>https://pbs.twimg.com/media/EGcXpLOWwAEXN2d.jpg</t>
  </si>
  <si>
    <t>Siyaset Bilimi ve Uluslararası İlişkiler</t>
  </si>
  <si>
    <t>سلطان بن سلمان آل سعود</t>
  </si>
  <si>
    <t>pic.twitter.com/JtdR1TOuzq</t>
  </si>
  <si>
    <t>مواطنون عاديون و تسمى هي القنصليات الفخرية و تلك القنصليات لديها صلاحيات محدودة ولن تقوم بإصدار التأشيرات</t>
  </si>
  <si>
    <t>حسني المواد</t>
  </si>
  <si>
    <t>Trish Tess</t>
  </si>
  <si>
    <t>@SenateGOP @LindseyGrahamSC @RepAdamSchiff @SpeakerPelosi #TREASON needs to be another article of impeachment. He's allowing #TurkishArmy to slaughter our allies #TrumpGenocide must not be tolerated RT @SethAbramson: Trump condoned Russia invading Europe. Trump let Turkey invade Syria. Trump let Kim develop nuclear weapons. Trump sought to weaken NATO. Trump threatened to invade Venezuela. Trump praised Duterte for extrajudicial killings. Trump helped MBS cover up a murder. Enough is enough.</t>
  </si>
  <si>
    <t>pic.twitter.com/CWOuqKo46H</t>
  </si>
  <si>
    <t>https://twitter.com/SethAbramson/status/1181937614032687108
https://twitter.com/CNNnewsroom/status/1181929208806694912</t>
  </si>
  <si>
    <t>Florida, USA</t>
  </si>
  <si>
    <t>Avid reader, political junkie,music lover, foodie. I may be in FL,my heart is in NY. Go Bucs, Bolts&amp; Rays!*Trump trolls blocked* #VoteBlue *No DM*🌊🆘</t>
  </si>
  <si>
    <t>Cemil Bilsel</t>
  </si>
  <si>
    <t>Bizim Kürt kardeşlerimizle bir dertimiz yok... Türk silahlı kuvvetleri Kürtleri vuruyor diyerek algı yapan fitneciler iyi seyretin sınır da Askerimizi uğurlayan Kürt annemiz.. Ezin onları diyor.. #TurkishArmy</t>
  </si>
  <si>
    <t xml:space="preserve"> عدنان المغربي</t>
  </si>
  <si>
    <t>محلل قناة ٢٤ سعودي الفضائية جيري ماهر في برنامج لمن يهمه الأمر: السعودية تقود سياسة واضحة لفضح إيران وكشفها أمام المجتمع الدولي وكشف سياساتها الخبيثة في المنطقة ومشروعها المدمر  - جمال خاشقجي #JamalKhashoggi #السعودية</t>
  </si>
  <si>
    <t>pic.twitter.com/374LdraOMZ</t>
  </si>
  <si>
    <t>pic.twitter.com/ta4ks9KhUJ</t>
  </si>
  <si>
    <t>Umutunu kaybetme .... her zaman şükret...</t>
  </si>
  <si>
    <t>~DeliGönlüm~</t>
  </si>
  <si>
    <t>Etekler hazır hewaller 😎allı morlu güllü 💃🏾renk ,renk ,desen ,desen😁 #BarisPinariHarekati #pornocusezgin #TurkishArmy #carsamba #OperationPeaceSpring</t>
  </si>
  <si>
    <t>ﻋﻠﻲ ﺍﻻﺣﻤﺪﻱ</t>
  </si>
  <si>
    <t>أ. نايف الحربي: إعلامي وكاتب صحفي: ايران قابلت الاتفاق النووي بالمزيد من العمليات الإرهابية والتخريبية .  - جمال خاشقجي #خاشقجي #عام_على_رحيل_خاشقجي</t>
  </si>
  <si>
    <t>pic.twitter.com/2jWrxdLD0A</t>
  </si>
  <si>
    <t>#ÖnceVatan 🤘🏾🇹🇷</t>
  </si>
  <si>
    <t>Mükremin Baykuş</t>
  </si>
  <si>
    <t>Sefer Bizim Zafer Allah’ındır ! 🇹🇷 #BarışPınarıHarekatı #TurkishArmy</t>
  </si>
  <si>
    <t>https://pbs.twimg.com/media/EGcXlV_WsAEirUI.jpg</t>
  </si>
  <si>
    <t>karim belkyal</t>
  </si>
  <si>
    <t>@mesokyk @RassdNewsN لا مش لدرجة ده الله غفور رحيم ويقبل التوبة يستاهل حبس حتى 30 سنة لكن إعدام الي يستاهلو الإعدام هم من قتلو #خاشقجي الي قتلو #الفغم ولي قتلو أطفال في حروب مثل اليمن سوريا ده جرايم تستأهل الإعدام مع أني ضد فكرة الإعدام ماعدا الارهابيون انا مع إعدام الإرهاب لكن مخدرات السجاير مخدرات</t>
  </si>
  <si>
    <t>Trabzon, Türkiye</t>
  </si>
  <si>
    <t>AK Parti Trabzon / Düzköy İlçe Gençlik Kolları Başkanı. #Trabzonspor</t>
  </si>
  <si>
    <t>http://facebook.com/BaykusMukremin</t>
  </si>
  <si>
    <t>Conflans-Sainte-Honorine</t>
  </si>
  <si>
    <t>Ma façon de penser</t>
  </si>
  <si>
    <t>http://r2kim.skyblog.com</t>
  </si>
  <si>
    <t>جريدة برواز الإلكترونية🇰🇼</t>
  </si>
  <si>
    <t>بداية العمليات العسكرية التركية شمال شرقي سوريا وأردوغان يوضح - #تركيا #TurkishArmy</t>
  </si>
  <si>
    <t>http://www.berwaz.com.kw/?p=34053</t>
  </si>
  <si>
    <t>بدرد الألم</t>
  </si>
  <si>
    <t>https://pbs.twimg.com/media/EGcXktRWsAIBNYZ.jpg</t>
  </si>
  <si>
    <t>سماعك بالْمُعَيْدِيِّ خير من أن تراه سمك في ماء</t>
  </si>
  <si>
    <t>Info@berwaz.com.kw</t>
  </si>
  <si>
    <t>الفائز كأفضل مشروع اعلامي واعد في الوطن العربي٢٠١٩(واشنطن) ترخيص اعلام 172/2017 رئيس التحرير -بدور المطيري-للتواصل وتسب 66000175 في المفضلة تقاريرنا المميزة</t>
  </si>
  <si>
    <t>http://www.berwaz.com.kw</t>
  </si>
  <si>
    <t xml:space="preserve"> نواف  المطيري</t>
  </si>
  <si>
    <t>تقرير / خامنئي : احتجاجات العراق مؤامرة .. وضبط قناصة إيرانيين يقتلون المتظاهرين.  #خاشقجي #عام_على_رحيل_جمال</t>
  </si>
  <si>
    <t>pic.twitter.com/wQLcnqfjMl</t>
  </si>
  <si>
    <t>Ayşegül Karagözlü</t>
  </si>
  <si>
    <t>🇹🇷🇹🇷🇹🇷 #BarışPınarıHarekati #TurkishArmy</t>
  </si>
  <si>
    <t xml:space="preserve"> ﺳﻌﺪ ﺍﻟﺤﺪﺍﺭﻱ  </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</si>
  <si>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#قطر</t>
  </si>
  <si>
    <t>pic.twitter.com/KE6RG8MyvE</t>
  </si>
  <si>
    <t>Ölümüne 🇹🇷</t>
  </si>
  <si>
    <t>غسان القبر</t>
  </si>
  <si>
    <t>pic.twitter.com/popbOYZ6Ge</t>
  </si>
  <si>
    <t>F5Haber</t>
  </si>
  <si>
    <t>#BarışPınarıHarekati'ndan ilk kare geldi! #TurkishArmy #OperationPeaceSpring</t>
  </si>
  <si>
    <t>https://pbs.twimg.com/media/EGcXjSrX0AEVbm3.jpg</t>
  </si>
  <si>
    <t xml:space="preserve"> محمد  العريني</t>
  </si>
  <si>
    <t>حصرياً..السفير ادم ايرلي متحدث الخارجية الأمريكية السابق: اردوغان أكبر منافق ..يذرف دموع التماسيح على جمال خاشقجي بينما يزج بالاَف الاتراك بالسجونAdam Ereli: Erdogan is the biggest hypocrite on the plant  #JamalKhashoggi #السعودية</t>
  </si>
  <si>
    <t>F5Haber'de tüm haberlere anında ve en objektif haliyle ulaşabilirsiniz.</t>
  </si>
  <si>
    <t>http://www.f5haber.com</t>
  </si>
  <si>
    <t>pic.twitter.com/VXOnrS7bFI</t>
  </si>
  <si>
    <t>غالب السبيعي</t>
  </si>
  <si>
    <t>عاجل و 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</si>
  <si>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pic.twitter.com/x3qJHIHyrZ</t>
  </si>
  <si>
    <t xml:space="preserve">   حمد الزهراني</t>
  </si>
  <si>
    <t>اتصال/ أ. شفان الخابوري: ممثل الإدارة الذاتية الديموقراطية في شمال وشرق سوريا : تركيا تسعى من خلال دعمها للأطراف الإرهابية والمتطرف تحقيق غايتها في الشمال السوري .  #خاشقجي #عام_على_اغتيال_جمال</t>
  </si>
  <si>
    <t>pic.twitter.com/nWsmPszPYL</t>
  </si>
  <si>
    <t>كنان الزيديه</t>
  </si>
  <si>
    <t>pic.twitter.com/zK1OnZ3iys</t>
  </si>
  <si>
    <t>السعادة ليست شيئاً يحصل بسهولة, فإنها تأتي من أفعالك.</t>
  </si>
  <si>
    <t>Abdul Rehman Arfan</t>
  </si>
  <si>
    <t>@alikeskin_tr #TurkishArmy #BarisPinari</t>
  </si>
  <si>
    <t> فهد سليمان</t>
  </si>
  <si>
    <t>العميد متقاعد. حسن الشهري : على ايران إدراك أنها لن تستطيع التطاول على أي دولة من دول الخليج أو تستبيح أجواءها أو تؤثر في إقتصادها.  #خاشقجي #عام_على_اغتيال_جمال</t>
  </si>
  <si>
    <t>pic.twitter.com/3R63SMvG8L</t>
  </si>
  <si>
    <t>Lahore, Pakistan</t>
  </si>
  <si>
    <t>•Sprinkle kindness everywhere u Go• •Humanitarian• •Love ISI• •Muslim Pakistani 🇵🇰• •Imran Khan•</t>
  </si>
  <si>
    <t>Emily</t>
  </si>
  <si>
    <t>"I feel like we're on Saturday Night Live..." Tragically it's no laughing matter. #TurkishArmy #Erdogan #KurdsBetrayedByTrump Ralph Peters can't contain his laughter at Trump's tweet - CNN  via @GoogleNews</t>
  </si>
  <si>
    <t>https://www.cnn.com/videos/politics/2019/10/08/ralph-peters-responds-to-president-trumps-tweet-cooper-ac360-vpx.cnn</t>
  </si>
  <si>
    <t> احمد الكنهل</t>
  </si>
  <si>
    <t>محلل قناة ٢٤ سعودي الفضائية د. عمر عبدالستار في نيران ايران : من الوارد أن تتعرض إحدى منشآت إيران النووية إلى ضربة أمريكية  #خاشقجي #عام_على_اغتيال_جمال</t>
  </si>
  <si>
    <t>pic.twitter.com/Bi7rbERjev</t>
  </si>
  <si>
    <t>United States</t>
  </si>
  <si>
    <t>#SOCIALJUSTICE advocate. I reject new norms of social violence. #RESISTER. Caregive #CATS w #FELINEDIABETES. Post #OUTSIDERART at http://www.instagram.com/emmyhk7</t>
  </si>
  <si>
    <t>https://www.patreon.com/emilysfolkart</t>
  </si>
  <si>
    <t>🐊🇹🇷UluŞehirBursa🐊🇹🇷</t>
  </si>
  <si>
    <t xml:space="preserve">   سلمان الصبحي</t>
  </si>
  <si>
    <t>د. محمد الحلفي – باحث في التاريخ الحديث: لا يمكن لـ قناة الجزيرة ان تُذيع ولو حلقة واحدة عما يجري في الداخل القطري.  #خاشقجي #تركيا</t>
  </si>
  <si>
    <t>pic.twitter.com/04k7fOQSzS</t>
  </si>
  <si>
    <t>yörük ruhum yorma kendini ,saçlarım da kışlar yüreğim de düşler yaktım #ÖnceVatan 🇹🇷🤘🏾</t>
  </si>
  <si>
    <t>sıradan çinko karbon özgür</t>
  </si>
  <si>
    <t>Ululardan bir kutlu ferman ola Ferman ola derdime derman ola Vur yiğidim vur ki vatan var ola #BarisPinariHarekati #TurkishArmy #BarisPinari</t>
  </si>
  <si>
    <t>pic.twitter.com/3UHYAB5bzj</t>
  </si>
  <si>
    <t>سامر الساده</t>
  </si>
  <si>
    <t>pic.twitter.com/Z6kTrRiXNu</t>
  </si>
  <si>
    <t>Yeşil BURSA</t>
  </si>
  <si>
    <t>سلطان فهيد</t>
  </si>
  <si>
    <t>أ. نايف الحربي: إعلامي وكاتب صحفي : الآلة الإعلامية القطرية و قناة الجزيرة وتوابعها هزموا .  - جمال خاشقجي #خاشقجي #عام_على_رحيل_خاشقجي</t>
  </si>
  <si>
    <t>pic.twitter.com/ZuQ8gOANno</t>
  </si>
  <si>
    <t>Tarık Emre EKŞİ</t>
  </si>
  <si>
    <t>Gazamız mübarek ola! Rabbim ordumuzu muzaffer eyle! 🇹🇷#BarisPinariHarekati #TurkishArmy</t>
  </si>
  <si>
    <t>https://pbs.twimg.com/media/EGcXe-tXkAA0qRH.jpg</t>
  </si>
  <si>
    <t xml:space="preserve">عوده الدغيمات </t>
  </si>
  <si>
    <t>ادم ايرلي متحدث الخارجية الأمريكية السابق: اردوغان أكبر منافق في العالم..يذرف دموع التماسيح على جمال خاشقجي بينما يزج بالاَف الاتراك بالسجونAdam Ereli: Erdogan is the biggest hypocrite on the plant  #خاشقجي #عام_على_رحيل_جمال</t>
  </si>
  <si>
    <t>pic.twitter.com/gmi1N3l1OC</t>
  </si>
  <si>
    <t>Istanbul</t>
  </si>
  <si>
    <t>Avukat / iühf ⚖️/ 53</t>
  </si>
  <si>
    <t>http://Instagram.com/tarikemreeksi</t>
  </si>
  <si>
    <t>صفوان المتين</t>
  </si>
  <si>
    <t>pic.twitter.com/gP5xiRiYgy</t>
  </si>
  <si>
    <t>Efe 🌐</t>
  </si>
  <si>
    <t>Stromausfall in Kamisli #Syrien Erste Meldungen aus verschiedenen Teilen des Ooerationsgebiets treffen ein. #BarisPinari #TurkishArmy #Syria</t>
  </si>
  <si>
    <t>| Dr. sc. pol. | Macht teilweise vom deutschen Recht auf Satirefreiheit Gebrauch RT+♥≠endorsement</t>
  </si>
  <si>
    <t>Jazan</t>
  </si>
  <si>
    <t>مهما تصور أو صدق عقل الإنسان, فإنه قادر على تحقيقه.</t>
  </si>
  <si>
    <t>نوري المحمد</t>
  </si>
  <si>
    <t>pic.twitter.com/WPi2uxaG3E</t>
  </si>
  <si>
    <t>تجوع الحرة ولا تأكل بثدييها التخطيط نصف المعيشة</t>
  </si>
  <si>
    <t>نايلة الأكبر</t>
  </si>
  <si>
    <t>pic.twitter.com/rGD1YSHT9j</t>
  </si>
  <si>
    <t>Gürcü Selçuk🇹🇷</t>
  </si>
  <si>
    <t>@Tugce_official Dilini kesmekle kalmamak lazım😊 #TurkishArmy #BarisPinari #Sözverdimbirkere</t>
  </si>
  <si>
    <t>مسفر المارون</t>
  </si>
  <si>
    <t>Bana arkadaşını göster seni takip edeyim @gurcu61</t>
  </si>
  <si>
    <t>pic.twitter.com/xTURayEubl</t>
  </si>
  <si>
    <t>Rabbim ordumuzu milletimizi devletimizi muzaffer karşısında yer alan her türlü fitne ve terör odaklarını destekçilerini kahrı perişan eylesin. "ve yensurekallahu nesran aziza" #BarışPınarıHarekati #TurkishArmy #BarisPinariHarekati</t>
  </si>
  <si>
    <t>Ad DiriyaAl Kharjh</t>
  </si>
  <si>
    <t>أن تخفق 100% في الطلقات التي لا تطلقها</t>
  </si>
  <si>
    <t>Samsun, Türkiye</t>
  </si>
  <si>
    <t>braingarbage</t>
  </si>
  <si>
    <t>@razhael hey congrats for cracking some black cube v. citizen lab on #JamalKhashoggi murder spy software link</t>
  </si>
  <si>
    <t>https://www.newyorker.com/news/annals-of-espionage/the-black-cube-chronicles-the-private-investigators</t>
  </si>
  <si>
    <t>Askeri Millet</t>
  </si>
  <si>
    <t>Fırat'ın doğusu ! Geleceğiz demiştik ! 🇹🇷 #BarışPınarıHarekatı #BarışPınarı #BarisPinariHarekati - #askerimillet #tsk #genelkurmaybaşkanlığı #millet #TürkMilletiOrdusununYanında #TurkishArmy 🇹🇷 #fıratındoğusu…</t>
  </si>
  <si>
    <t>https://www.instagram.com/p/B3Zpk_ZF34y/?igshid=ete5hhs7ff2y</t>
  </si>
  <si>
    <t>guantanamo</t>
  </si>
  <si>
    <t>http://braingarbagedystopie.blogspot.com/</t>
  </si>
  <si>
    <t>Askeri Millet Instagram: @askerimillet</t>
  </si>
  <si>
    <t>https://instagram.com/askerimillet?igshid=1wcewegiootl2</t>
  </si>
  <si>
    <t>ÜMİT AKDAĞ</t>
  </si>
  <si>
    <t>Allahım herdaim senin hukukunu gözetmiş nerde senin kalbi kırık bir kulun varsa orda yardıma gitmiş bu Milletin evlatlarını senden başka emanet edecek kimsemiz yok kaldı ki sen emanetleri kaybolmayan Rabbimizsin. Bizi küffara karşı koru Ordumuzu Muzaffer eyle yarabbi #TurkishArmy</t>
  </si>
  <si>
    <t>https://pbs.twimg.com/media/EGcXbQ2XkAIexYk.jpg</t>
  </si>
  <si>
    <t>Ablamın da dediği gibi Ayy Harika</t>
  </si>
  <si>
    <t>(((Feddi Up)))</t>
  </si>
  <si>
    <t>@Diana13042694 @IgnatiusPost @realDonaldTrump #TrumpBetrayedTheKurds and #TrumpBetraysAllies because it is his own interest. Putin rigging 2020, Erdogan promised not to tell about #ShiftyDonald helping #JamalKhashoggi murder, and he keeps his #TrumpBedBug hotel in Istanbul Turkey which Turkish parliament was going to take</t>
  </si>
  <si>
    <t>Vatan Aşkı</t>
  </si>
  <si>
    <t>VUR MEHMEDİM VUR. ŞEHİTLER HAKKI İÇİN VUR.. #OperationPeaceSpring #TurkishArmy #Barışpınarıharekatı</t>
  </si>
  <si>
    <t>Nevernever Land, PA</t>
  </si>
  <si>
    <t>Liberalism is the foundational principle of the United States. It is what makes America great. 🏳️‍🌈🏳️‍🌈🏳️‍🌈🏳️‍🌈🏳️‍🌈🏳️‍🌈#ImpeachmentHearingsNow</t>
  </si>
  <si>
    <t>https://pbs.twimg.com/media/EGcXY1PXoAMNzYV.jpg</t>
  </si>
  <si>
    <t>سبيكة السلام</t>
  </si>
  <si>
    <t>TÜRK DEVLETİ VE MİLLETİ BAKİ KALSIN.. VATAN NAMUSTUR.. #VatanAşkı https://www.facebook.com/VatanBayrak2353/</t>
  </si>
  <si>
    <t>pic.twitter.com/EtYcDUgSO1</t>
  </si>
  <si>
    <t>https://www.facebook.com/VatanBayrak2353/</t>
  </si>
  <si>
    <t>الثروة تأتي كالسلحفاة وتذهب كالغزال</t>
  </si>
  <si>
    <t>Mustafa Kürşad ÖZER</t>
  </si>
  <si>
    <t>#TurkishArmy #BarisPinari #BarışPınarıHarekati</t>
  </si>
  <si>
    <t xml:space="preserve">  براك الدوسري </t>
  </si>
  <si>
    <t>أ. نايف الحربي: إعلامي وكاتب صحفي : لايزال سلوك ايران عدواني  - جمال خاشقجي #خاشقجي #تركيا</t>
  </si>
  <si>
    <t>https://pbs.twimg.com/media/EGcXZjhX0AM-ynj.jpg</t>
  </si>
  <si>
    <t>pic.twitter.com/shZyGLgz9b</t>
  </si>
  <si>
    <t>#İnsanıYaşatKiDevletYaşasın #KamudaSakalaÖzgürlük</t>
  </si>
  <si>
    <t>عقيلة الفزر</t>
  </si>
  <si>
    <t>Sakınca Haber (Sondakika)</t>
  </si>
  <si>
    <t>Milli Savunma Bakanlığı'ndan harekat açıklaması  #barışpınarıharekatı #turkisharmy</t>
  </si>
  <si>
    <t>pic.twitter.com/7cLPdwVgEs</t>
  </si>
  <si>
    <t>https://sakinca.com/haber/18632/milli-savunma-bakanligindan-harekat-aciklamasi.html</t>
  </si>
  <si>
    <t>Türkiye'nin gerçekçi ve sansürsüz Haber Portalı sitesi http://sakinca.com 'un resmi twitter hesabıdır.</t>
  </si>
  <si>
    <t>https://sakinca.com</t>
  </si>
  <si>
    <t>حمدونة البسكوص</t>
  </si>
  <si>
    <t>pic.twitter.com/E1RelDzCb8</t>
  </si>
  <si>
    <t>Ufuk YÜKSEK</t>
  </si>
  <si>
    <t>@HDPgenelmerkezi Osmanlının Torunları, Muhammedin Ordusu sancağı açtı bir kere... Sancağın sapını size dikmeden durmak yok... Allah sizleri yerle yeksan etsin inşallah. Muhammedin Ordusunu Muzaffer Eylesin İnşallah... #BarisPinariHarekati #BarisPinari #TurkishArmy</t>
  </si>
  <si>
    <t>https://pbs.twimg.com/media/EGcXXexWoAAA7GI.jpg</t>
  </si>
  <si>
    <t xml:space="preserve"> خالد  الحازمي    </t>
  </si>
  <si>
    <t>محلل قناة ٢٤ سعودي الفضائية د. أنور مالك في المراقب : "كتاب أوراق قطر" تحقيق استقصائي أورد أن الدوحة حولت مبالغ مالية كبيرة إلى أوروبا لدعم 140 مشروعاً يرتبط بالتنظيم الدولي للإخوان  - جمال خاشقجي #خاشقجي #عام_على_اغتيال_جمال</t>
  </si>
  <si>
    <t>pic.twitter.com/vinCFmhlT1</t>
  </si>
  <si>
    <t>KaraBudun</t>
  </si>
  <si>
    <t>#TurkishArmy RT @bureauofeconomy: Yarına kalır, yanına kalmaz...</t>
  </si>
  <si>
    <t>سعيد الشامسي</t>
  </si>
  <si>
    <t>حصرياً. السفير ادم ايرلي متحدث الخارجية الأمريكية السابق: اردوغان المنافق..يذرف دموع التماسيح على جمال خاشقجي بينما يزج بالاَف الاتراك بالسجونAdam Ereli: Erdogan is the biggest hypocrite on the plant  #خاشقجي #عام_على_اغتيال_جمال</t>
  </si>
  <si>
    <t>https://twitter.com/bureauofeconomy/status/1181923532336447489</t>
  </si>
  <si>
    <t>pic.twitter.com/003jA2vrTo</t>
  </si>
  <si>
    <t>https://pbs.twimg.com/media/EGcJLR9XYAAkKF1.jpg</t>
  </si>
  <si>
    <t xml:space="preserve">   محمد العويدي</t>
  </si>
  <si>
    <t>اللواء متقاعد. عبدالله القحطاني : أينما وجدت ايران و قطر و تركيا وُجد الارهاب .  - جمال خاشقجي #خاشقجي #تركيا</t>
  </si>
  <si>
    <t>pic.twitter.com/DWh7Iip9fp</t>
  </si>
  <si>
    <t>“Ulusal varlığımıza düşman olanlarla dost olmayalım. Böylelerine karşı…’Türk’üm ve düşmanım sana, kalsam da bir kişi!’ diyelim.” M.K.ATATÜRK</t>
  </si>
  <si>
    <t>Serkan Güngör</t>
  </si>
  <si>
    <t>#TurkishArmy 🇹🇷✊✊</t>
  </si>
  <si>
    <t>الاية الأذى</t>
  </si>
  <si>
    <t>future</t>
  </si>
  <si>
    <t>نسيمة النائم</t>
  </si>
  <si>
    <t>pic.twitter.com/DItq3Fp8kE</t>
  </si>
  <si>
    <t>Hafar Al batin</t>
  </si>
  <si>
    <t>أقل الناس سروراً الحسود</t>
  </si>
  <si>
    <t>Songül BATMAZ</t>
  </si>
  <si>
    <t>#OperationPeaceSpring Sefer Bizim Zafer Allah’ındır ! 🇹🇷 #BarışPınarıHarekatı #TurkishArmy</t>
  </si>
  <si>
    <t>https://pbs.twimg.com/media/EGcXSINW4AI3hXc.jpg</t>
  </si>
  <si>
    <t>عفاف الرمنف</t>
  </si>
  <si>
    <t>pic.twitter.com/0WDT16DTRU</t>
  </si>
  <si>
    <t>🇹🇷Reis 🇹🇷 Biz makam mevki düşkünü değiliz. Allah için İnsanımızı seviyoruz 🇹🇷Ak parti Yalova Kadınkolları 🇹🇷</t>
  </si>
  <si>
    <t>الصحة تاج على رؤوس الأصحاء لا يراه إلا المرضى</t>
  </si>
  <si>
    <t>alparslan avcı</t>
  </si>
  <si>
    <t>Siz toprağın üstündekilerden bahsederken Biz toprağın sahibi Türklerden bahsediyoruz. Söyleyeceğim bukadar bayım.Şimdi operasyon zamanı🐺 #BarışPınarıHarekatı #sryia #BarışHarekatı #PeaceSpringOperation #TurkishArmy #BarisPinari</t>
  </si>
  <si>
    <t>طاهر الدوغان</t>
  </si>
  <si>
    <t>د.عمر عبدالستار: الخرق الثالث لإيران في الملف النووي قد يؤدي لإنسحاب أوروبي من الاتفاق النووي وصولاً إلى تفعيل آلية فض النزاع التي قد تؤدي إلى عودة إيران إلى البند السابع مرورا بمجلس الأمن الدولي  - جمال خاشقجي #خاشقجي #عام_على_رحيل_خاشقجي</t>
  </si>
  <si>
    <t>pic.twitter.com/9clHsVGkF9</t>
  </si>
  <si>
    <t>instagram:alpi_1925</t>
  </si>
  <si>
    <t>Zeki İPEKÇİ</t>
  </si>
  <si>
    <t>Sefer bizimdir ! Zafer ALLAH’ın ! 🇹🇷 #BarisPinari #BarisPinariHarekati #TurkishArmy 🇹🇷</t>
  </si>
  <si>
    <t>فوز الأذى</t>
  </si>
  <si>
    <t>BEŞİKTAŞ🦅</t>
  </si>
  <si>
    <t>pic.twitter.com/b6YNe1OX6X</t>
  </si>
  <si>
    <t>Trouske Sadeghi-تروسکە صادقی</t>
  </si>
  <si>
    <t>#BREAKING our reporter in #Qamishli confirmed #TurkishArmy are targeting city while Qamishli is outside of the designated #Turkish safe zone! #Rojava</t>
  </si>
  <si>
    <t>taif</t>
  </si>
  <si>
    <t>Erbil. Iraq</t>
  </si>
  <si>
    <t>ذاكر السليمان</t>
  </si>
  <si>
    <t>#Journalist &amp; #Presenter:@Kurdistan24tv |Focus: #Kurdistan,#Iran,#MiddleEast,#HumanRights,#Women |B.E.Agr.|Tweets=my opinions/RTs &amp; links≠endorsement📚🌧</t>
  </si>
  <si>
    <t>http://www.kurdistan24.net</t>
  </si>
  <si>
    <t>pic.twitter.com/FeGKR8rm0T</t>
  </si>
  <si>
    <t>دائما خذ في عين الإعتبيار أن قرار النجاح هو أهم من أي شيئ آخر</t>
  </si>
  <si>
    <t>ساحر الشمال</t>
  </si>
  <si>
    <t>pic.twitter.com/dLOXbqAYGM</t>
  </si>
  <si>
    <t>Gökalp Öztürk</t>
  </si>
  <si>
    <t>Başka Türkiye yok, başka ordumuzda yok. Allah yardımcımız olsun, Allah askerimizi korusun 🇹🇷 #BarisPinari #TurkishArmy</t>
  </si>
  <si>
    <t>TR: Basketbolsever ve Yazılımcı. ENG: Self-Tought Web Developer #Javascript #ReactJS #NodeJS</t>
  </si>
  <si>
    <t>http://gokalpozturk.com</t>
  </si>
  <si>
    <t>عفرين الصبي</t>
  </si>
  <si>
    <t>Tuğba Bakış Avcı⚡</t>
  </si>
  <si>
    <t>@RTErdogan Rabbim yar ve yardımcımız olsun🇹🇷askerimizin ayağına taş değmesin🇹🇷 vurduğu boşa gitmesin 🇹🇷 Sonunda zafer bizim inşallah 🇹🇷 #TurkishArmy #BarisPinari</t>
  </si>
  <si>
    <t xml:space="preserve">   ماطر العصيمي </t>
  </si>
  <si>
    <t>اللواء المتقاعد د. زايد العمري: خبير استراتيجي ومحلل سياسي: سيكون هناك دول ستلحق بـ فرنسا قريباً وستوقف قطر وجمعيتها التي ظاهرها الرحمة وباطنها العذاب .  - جمال خاشقجي #JamalKhashoggi #قطر</t>
  </si>
  <si>
    <t>pic.twitter.com/6MtLTogomY</t>
  </si>
  <si>
    <t xml:space="preserve"> ﻏﺎﻟﺐ ﺍﻟﻤﻄﻴﺮﻱ</t>
  </si>
  <si>
    <t>محلل قناة ٢٤ سعودي الفضائية د. عمر عبدالستار في نيران ايران : قد يسقط نظام ايران النووي.. قبل سقوط نظام ايران الثوري  #خاشقجي #قطر</t>
  </si>
  <si>
    <t>serbes33</t>
  </si>
  <si>
    <t>Son gelişmelerden sonra kibir abidesi,işçi emekçi dostu (😂😂) @fatih_yasli 'nin varsa billurları tranbept çalıyordur #BarisPinari #TurkishArmy</t>
  </si>
  <si>
    <t>pic.twitter.com/TDOQXVtslv</t>
  </si>
  <si>
    <t>O kadar cahilsiniz ki;dininiz var diye ahlaka ihtiyaciniz kalmadigini düşünüyorsunuz -F.Bahce - ATATURK not:Her retweet onay değildir</t>
  </si>
  <si>
    <t>الشبيلية</t>
  </si>
  <si>
    <t>أين دكاكين حقوق الإنسان والعفو وكل من ملأ الدنيا ضجيجاوعويلا على #خاشقجي عن #ثورة_العراق! هل تعلمون لمَ يصمت العالم عما يحصل ب #العراق؟ لأن هذاالتقتيل هومايريدونه للمسلمين؛ وماصياحهم على خاشقجي وبوعزيزي ومحمدسعيد سوى حجةووسيلةبغرض تأجيج الشعوب ثم تركهم يتقاتلون كفاناهم ﷲ بمايشاء</t>
  </si>
  <si>
    <t>{كنتم خير أمة أُخر جت للناس تأمرون بالمعروف وتنهونَ عن المنكر لاحظ(تأمرون)و(تنهون)… اللهم إنا نجعلك في نحور دعاةالفتنة ونعوذ بك من شرورهم، اللهم اكفناهم بماتشاء</t>
  </si>
  <si>
    <t xml:space="preserve"> جعفر الطلال </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</si>
  <si>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#عام_على_رحيل_خاشقجي</t>
  </si>
  <si>
    <t>pic.twitter.com/TjHXcvJOLj</t>
  </si>
  <si>
    <t>جبل الخوالد</t>
  </si>
  <si>
    <t>pic.twitter.com/p9oF070eID</t>
  </si>
  <si>
    <t>Aklınızda Her Şey</t>
  </si>
  <si>
    <t>Reuters, "Terör örgütü YPG/PKK'ya ait mühimmat depoları vuruldu" dedi. #SONDAKIKA #TurkishArmy</t>
  </si>
  <si>
    <t>https://pbs.twimg.com/media/EGcXRT8WoAIlARI.jpg</t>
  </si>
  <si>
    <t>أبيها بين اسغف</t>
  </si>
  <si>
    <t>pic.twitter.com/KNI5jW9bRZ</t>
  </si>
  <si>
    <t>Haberler'den haberdar olmak için takip et</t>
  </si>
  <si>
    <t xml:space="preserve"> الضامن غارم الضحك بلا سبب من قلة الأدب</t>
  </si>
  <si>
    <t>إسماعيل الأمر</t>
  </si>
  <si>
    <t>pic.twitter.com/2IQUkkR7uj</t>
  </si>
  <si>
    <t>مقداد الهشيم</t>
  </si>
  <si>
    <t>Fadime Çetinkaya 🇹🇷</t>
  </si>
  <si>
    <t>Kimimiz Atlıdır Kimimiz Yaya İstikametimiz Kızıl Elmaya Selam Durarak Güneşe ve Aya Bozkurtlar Ulusun Allah Türkü Korusun #BarışPınarıHarekati #TurkishArmy #OperationPeaceSpring</t>
  </si>
  <si>
    <t>http://qoshe.com @40larkulubu</t>
  </si>
  <si>
    <t>http://fikirkazani.com/author/fadime-cetinkaya/</t>
  </si>
  <si>
    <t>بحيص عزيبي</t>
  </si>
  <si>
    <t>محلل قناة ٢٤ سعودي الفضائية د. أنور مالك في المراقب : "كتاب أوراق قطر" تحقيق استقصائي أورد أن الدوحة حولت مبالغ مالية كبيرة إلى أوروبا لدعم 140 مشروعاً يرتبط بالتنظيم الدولي للإخوان  - جمال خاشقجي #خاشقجي #عام_على_رحيل_خاشقجي</t>
  </si>
  <si>
    <t>pic.twitter.com/VHO2yBlj8l</t>
  </si>
  <si>
    <t>▪️◾◼️⬛ İ S A ⬜◻️◽▫️</t>
  </si>
  <si>
    <t>#OperationPeaceSpring #TurkishArmy #BarisPinariHarekati Şimdi söz bizde</t>
  </si>
  <si>
    <t>https://pbs.twimg.com/media/EGcXP-KWwAAfZda.jpg</t>
  </si>
  <si>
    <t>كمالد الشبان</t>
  </si>
  <si>
    <t>Tarih öğretmeni 📜📚 #Beşiktaş Ya Gök'yüzünse</t>
  </si>
  <si>
    <t>Uğur Kantar</t>
  </si>
  <si>
    <t>Vurduğunuz yerden ses gelsin aslanlar 🔥💥☄️💥🔥 #TurkishArmy #BarisPinari #BarışPınarıHarekati</t>
  </si>
  <si>
    <t>SAMSUN</t>
  </si>
  <si>
    <t>❤28.7.2015❤ ...🔴⚪⚫ S A M S U N S P O R🔴 ⚪⚫... Marine Engineer ⚓🚢🛠🔧🔩</t>
  </si>
  <si>
    <t>Salem Ittihad</t>
  </si>
  <si>
    <t>د. نايف الوقاع : عندما تقول الولايات المتحدة أنها لن ترفع العقوبات على ايران فإنها تملك دليل قاطع أن هذا النظام لن يتغير .  - جمال خاشقجي #JamalKhashoggi #تركيا</t>
  </si>
  <si>
    <t>pic.twitter.com/jJG3O8mzzJ</t>
  </si>
  <si>
    <t>Fixxx</t>
  </si>
  <si>
    <t>@CLEVERXYX @nevsinmengu Hayyyy Allah'ına kurban, Nevşin neyin peşindesin nevşin Ordu seferde nevşin Mustafa Kemal de savaşarak kazandı nevşin Sen diş göstermezsen seni ezer geçerler nevşin Vatan toprağı mesele nevşin #BarisPinariHarekati #BarisPinari #StrayKids_DoubleKnot #TurkishArmy @RTErdogan</t>
  </si>
  <si>
    <t>لوّ تٍْنزفُ{ عُْيّونٍي بّدْالٍ دَمًٍعهاُ دْم نِآ اتحادي</t>
  </si>
  <si>
    <t>رافي الكريم</t>
  </si>
  <si>
    <t>زيد الأمر</t>
  </si>
  <si>
    <t>pic.twitter.com/KpOWnqncHk</t>
  </si>
  <si>
    <t>ertuğrul</t>
  </si>
  <si>
    <t>İşinin ehli... #TurkishArmy #BarisPinari #BarisPinariHarekati</t>
  </si>
  <si>
    <t>لا بد دون الشهد من إبر النحل لا بد للمصدور من أن ينفث لا تؤجل عمل اليوم إلى الغد</t>
  </si>
  <si>
    <t>pic.twitter.com/GPoH3fXZFI</t>
  </si>
  <si>
    <t>محلل قناة ٢٤ سعودي الفضائية د. عمر عبدالستار في نيران ايران : لم تكن الحملة المجنونة على السعودية من أجل خاشقجي بقدر ما كانت ضد سياسة السعودية في مواجهة ايران و الجماعات المتطرفة  #خاشقجي #عام_على_اغتيال_جمال</t>
  </si>
  <si>
    <t>pic.twitter.com/2SG0McMYdB</t>
  </si>
  <si>
    <t>*_*</t>
  </si>
  <si>
    <t>Samsun</t>
  </si>
  <si>
    <t>http://instagram.com/ertugrullt_</t>
  </si>
  <si>
    <t xml:space="preserve">  اسعد  الحزيفي</t>
  </si>
  <si>
    <t>د.عمر عبدالستار: الخرق الثالث لإيران في الملف النووي قد يؤدي لإنسحاب أوروبي من الاتفاق النووي وصولاً إلى تفعيل آلية فض النزاع التي قد تؤدي إلى عودة إيران إلى البند السابع مرورا بمجلس الأمن الدولي  - جمال خاشقجي #ايران #خاشقجي</t>
  </si>
  <si>
    <t>misal</t>
  </si>
  <si>
    <t>pic.twitter.com/LzvwB80MVP</t>
  </si>
  <si>
    <t>Rabbim askerimizin yar ve yardımcısı olsun #TurkishArmy #BarisPinariHarekati</t>
  </si>
  <si>
    <t>gelsin hayat bildiği gibi...</t>
  </si>
  <si>
    <t>سيرجيود الكامل</t>
  </si>
  <si>
    <t>Ali Tuğrul KAYA</t>
  </si>
  <si>
    <t>Şu kopan fırtına Türk ordusudur ya Rabbi... #TurkishArmy #BarisPinariHarekati #OperationPeaceSpring</t>
  </si>
  <si>
    <t>pic.twitter.com/TdGbMnYjCR</t>
  </si>
  <si>
    <t>pic.twitter.com/bnPn0nAfFT</t>
  </si>
  <si>
    <t>İSTANBUL</t>
  </si>
  <si>
    <t>_--ATK--_</t>
  </si>
  <si>
    <t>ﺧﺎﻟﺪ ﺩﻭﺍﺱ</t>
  </si>
  <si>
    <t>محلل قناة ٢٤ سعودي الفضائية د. عمر عبدالستار في نيران ايران: نجحت السعودية في رد الصاع صاعين، أمام الهجمة المجنونة، ونقل المعركة إلى داخل ايران و عزل ايران دولياً وإقليمياً  #خاشقجي #عام_على_اغتيال_جمال</t>
  </si>
  <si>
    <t>pic.twitter.com/xPaAVC9SMr</t>
  </si>
  <si>
    <t>🇹🇷CAMBAZ MEHMET®🇹🇷</t>
  </si>
  <si>
    <t>#BarisPinariHarekati #BarisPinari #OperationPeaceSpring #TurkishArmy Ayağınıza taş değmesin Allah derman versin Sağ salim gidip Sağ salim dönün Kahraman Türk Ordusu 🇹🇷</t>
  </si>
  <si>
    <t>https://pbs.twimg.com/media/EGcXOY0XkAA0-J6.jpg</t>
  </si>
  <si>
    <t>قاعدة الزمان</t>
  </si>
  <si>
    <t>pic.twitter.com/arjHquvaDh</t>
  </si>
  <si>
    <t>Wakanda</t>
  </si>
  <si>
    <t>🇹🇷GAZİ MUSTAFA KEMAL ATATÜRK 🇹🇷 🇹🇷NE MUTLU TÜRKÜM DİYENE🇹🇷 💙💛FENERBAHÇE💙💛</t>
  </si>
  <si>
    <t>ﻧﺎﺻﺮ ﺍﻟﺤﻤﺎﻧﻲ</t>
  </si>
  <si>
    <t>عون</t>
  </si>
  <si>
    <t>محلل قناة ٢٤ سعودي الفضائية جيري ماهر في برنامج لمن يهمه الأمر: تعهد الرئيس التركي بشراء النفط الإيراني هو دليل على أن اردوغان يدعم الإرهاب الإيراني  - جمال خاشقجي #JamalKhashoggi #تركيا</t>
  </si>
  <si>
    <t>#BarışPınarıHarekatı #TurkishArmy</t>
  </si>
  <si>
    <t>pic.twitter.com/Yxa4ElbgRt</t>
  </si>
  <si>
    <t>https://pbs.twimg.com/media/EGcXMuDXYAIxExG.jpg</t>
  </si>
  <si>
    <t>suudi</t>
  </si>
  <si>
    <t>حسن البارقي</t>
  </si>
  <si>
    <t>محلل قناة ٢٤ سعودي الفضائية صباح الخزاعي في بصريح العبارة : ارتباط دبلوماسيين إيرانيين بمخطط الهجوم على مباراة كرة القدم في كأس العالم عام 2016م في ألبانيا  #JamalKhashoggi #السعودية</t>
  </si>
  <si>
    <t>pic.twitter.com/9eno0JIcZp</t>
  </si>
  <si>
    <t>AYDOĞDU BEG🐺</t>
  </si>
  <si>
    <t>Sizinkilere söyle sarı torbaları hazır etsinler,TÜRK ordusu emaneti olanı almaya geliyor @HDPgenelmerkezi #BarisPinariHarekati #OperationPeaceSpring #TurkishArmy #TürkMilletiOrdusununYanında #BarisPinari</t>
  </si>
  <si>
    <t>Konya, Türkiye</t>
  </si>
  <si>
    <t>محمد فارس</t>
  </si>
  <si>
    <t>SELÇUKİ 🇹🇷🐺KİMSEYE DEĞİŞMEM ŞU ÖKSÜZ TÜRKLÜĞÜMÜ</t>
  </si>
  <si>
    <t>اتصال هاتفي من : د. نافل النفيعي : خبير استراتيجي ومختص في العلاقات التاريخية بين الدول – الدمام : الدول العظمى تدين ايران .. ودول الخليج أخذت استعدادها العسكري .  - جمال خاشقجي #خاشقجي #عام_على_اغتيال_جمال</t>
  </si>
  <si>
    <t>pic.twitter.com/yizw6sZrgA</t>
  </si>
  <si>
    <t>рАਹомį 🚴🏽‍♂️</t>
  </si>
  <si>
    <t>Serious in Syria #TurkishArmy #GivePeaceAChance</t>
  </si>
  <si>
    <t xml:space="preserve">عبدالله بن حصيص </t>
  </si>
  <si>
    <t>العميد متقاعد. حسن الشهري: الدوحة مُسيرة ولا تملك من امرها شيء فلديها برنامج تخريبي في المنطقة يجب ان تُنفذه فالمُستهدف هو الاسلام.  - جمال خاشقجي #JamalKhashoggi #السعودية</t>
  </si>
  <si>
    <t>pic.twitter.com/jVQHY8NdLC</t>
  </si>
  <si>
    <t>Nizam-ı Cedid</t>
  </si>
  <si>
    <t>SkyNews Arabia: "Tel Abyad sakinleri kenti güneye doğru terk etmeye başladı. ÖSO silahlı üyelerine, SDF'ye karşı şiddeti arttırma çağrısı yaptı." ÖSO/Ulusal Ordu lideri bu sabah açıklama yapmış ve SDF'lileri silah bırakmaya çağırmıştı. #TurkishArmy</t>
  </si>
  <si>
    <t>Kızıl Elma</t>
  </si>
  <si>
    <t>Güncel Haberler. Askeri haberler. Gizli gündem. 🇹🇷 Tarafsız değiliz, Hakkın tarafındayız.</t>
  </si>
  <si>
    <t>https://instagram.com/nizamicedidhaber</t>
  </si>
  <si>
    <t>صالحة الموحدين</t>
  </si>
  <si>
    <t>pic.twitter.com/SkxqVPFGNw</t>
  </si>
  <si>
    <t xml:space="preserve"> عباده مناع </t>
  </si>
  <si>
    <t>أ. سامي المرشد: الدوحة أصبحت مكان لكل الشواذ سياسياً في العالم .. تلاحظ وجود الإسرائيليين، الحرس الثوري الإيراني والاخوان المسلمين المطرودين من بلدانهم .  - جمال خاشقجي #خاشقجي #قطر</t>
  </si>
  <si>
    <t>pic.twitter.com/Vj1bDsrU8s</t>
  </si>
  <si>
    <t xml:space="preserve"> ﻣﻌﺠﺐ ﺍﻟﻤﻄﻴﺮﻱ ‏ </t>
  </si>
  <si>
    <t>د. عدنان محمد : مكاتب قناة الجزيرة في البلدان هي وكر للتجسس وزرع الخلايا التي تريد نشر الفوضى.  - جمال خاشقجي #خاشقجي #قطر</t>
  </si>
  <si>
    <t>Sefa Koca</t>
  </si>
  <si>
    <t>"Korkma, sönmez bu şafaklarda yüzen al,sancak!"#TurkishArmy</t>
  </si>
  <si>
    <t>pic.twitter.com/TCJAJWm8zU</t>
  </si>
  <si>
    <t>https://pbs.twimg.com/media/EGcXNArWkAA9hMV.jpg</t>
  </si>
  <si>
    <t>asap boys came with the flame</t>
  </si>
  <si>
    <t>عبدالرحمن مبارك</t>
  </si>
  <si>
    <t>تقرير: الجبير : التهدئة لا تنفع مع إيران ونعمل للتوصل إلى خيار دولي للتعامل معها  - جمال خاشقجي #JamalKhashoggi #قطر</t>
  </si>
  <si>
    <t>pic.twitter.com/K1W1199mhZ</t>
  </si>
  <si>
    <t>kayseriradarsayfa</t>
  </si>
  <si>
    <t>#BarışPınarıHarekatı | Bağımsız Suriye Kürt Rabıtası, Türkiye ve Milli Ordu'nun başlattığı Barış Pınarı Harekatı'nı desteklediğini açıkladı. #SONDAKİKA - #TurkishArmy - #BarışPınarı🇹🇷</t>
  </si>
  <si>
    <t>https://www.instagram.com/p/B3ZpdpRFhHR/?igshid=1i0tb9qyv2vyl</t>
  </si>
  <si>
    <t>حميد الشام</t>
  </si>
  <si>
    <t>pic.twitter.com/2CiJlOwnt2</t>
  </si>
  <si>
    <t>Kayseri Radar Trafik Kaza ve Gündem Sayfası. Radar, Trafik, Kaza ve Yol durum bilgisini çek, detay yaz ve DM'den gönder.</t>
  </si>
  <si>
    <t>Ahmet Umut ELTAS</t>
  </si>
  <si>
    <t>@tcsavunma @TSKGnkur Allah'ım yüce Türk askerini korusun. Mehmedim emin olun, 82 milyon Mehmet olmaya hazır şüheda sevdalısı var... Muzaffer eyle Ya Rab! #TurkishArmy</t>
  </si>
  <si>
    <t xml:space="preserve"> التدبير يثمر اليسير والتبذير يبدد الكثير ترك الذنب أيسر من الاعتذار</t>
  </si>
  <si>
    <t>Had Bilmek Akıllı İnsan İşidir... Ne Mutlu Türk'üm Diyene!</t>
  </si>
  <si>
    <t xml:space="preserve"> رشيد الدوسري</t>
  </si>
  <si>
    <t>محلل قناة ٢٤ سعودي الفضائية د. عمر عبدالستار في نيران ايران : من الوارد أن تتعرض إحدى منشآت إيران النووية إلى ضربة أمريكية  #JamalKhashoggi #قطر</t>
  </si>
  <si>
    <t>pic.twitter.com/I4bhVO4Wzy</t>
  </si>
  <si>
    <t>Turgay Cebir</t>
  </si>
  <si>
    <t>Sefer sizden, zafer Allah’tan inşallah Rabbim tüm kahraman mehmetçiklerimizin yâr ve yardımcısı olsun..🇹🇷🇹🇷 #TurkishArmy #BarışPınarıHarekati #BarisPinari #OperationPeaceSpring #carsamba</t>
  </si>
  <si>
    <t>pic.twitter.com/SAC4jEyNyP</t>
  </si>
  <si>
    <t xml:space="preserve"> عادل ابوالفرج</t>
  </si>
  <si>
    <t>حصريا.. السفير ادم ايرلي متحدث الخارجية الأمريكية السابق: اردوغان منافق كبير ..يذرف دموع التماسيح على خاشقجي بينما يزج بالاَف الاتراك بالسجونAdam Ereli: Erdogan is the biggest hypocrite on the plant  #JamalKhashoggi #قطر</t>
  </si>
  <si>
    <t>pic.twitter.com/NQQhk4yjFP</t>
  </si>
  <si>
    <t xml:space="preserve">Trabzon/Rize/İstanbul </t>
  </si>
  <si>
    <t>Halil</t>
  </si>
  <si>
    <t>Türk milleti olarak askerimizin sonuna kadar yanındayız ❤️ #TurkishArmy #BarışPınarıHarekatı</t>
  </si>
  <si>
    <t>https://pbs.twimg.com/media/EGcXLMrXYAENwY0.jpg</t>
  </si>
  <si>
    <t>فايز المالكي </t>
  </si>
  <si>
    <t>د. نايف الوقاع: ما تقوم به عصابة الحوثي المدعومة من ايران في اليمن تعتبر جريمة حرب بكل ما تحمله من معاني.  - جمال خاشقجي #JamalKhashoggi #قطر</t>
  </si>
  <si>
    <t>pic.twitter.com/yxHZLSJkKC</t>
  </si>
  <si>
    <t>Her şeyi yapabilirsin. Sadece kalk ve yap!</t>
  </si>
  <si>
    <t>عبدال خلق الأحمد</t>
  </si>
  <si>
    <t>pic.twitter.com/q9Q0k1VAf3</t>
  </si>
  <si>
    <t>ذكي الباشه</t>
  </si>
  <si>
    <t>pic.twitter.com/XViuhEmzP7</t>
  </si>
  <si>
    <t>munasebet siz</t>
  </si>
  <si>
    <t>Ananizi sikmeye geliyoruz. #BarisPinari #TurkishArmy bekleyin amin feryatlari RT @TSKGnkur: Ben Türk Komandosuyum!!! 🇹🇷 #TürkSilahlıKuvvetleri</t>
  </si>
  <si>
    <t>https://twitter.com/tskgnkur/status/1181566115996196865</t>
  </si>
  <si>
    <t>Mohamad hamid</t>
  </si>
  <si>
    <t>@MbsMeToo مقتل #خاشقجي ومقتل #الفغم المنفذ واحد لكن تختلف الطريقة في القتل ومن يريد ان يعرف التفاصيل فليبحث عن #سعود_القحطاني المتواري عن الأنظار والمقيم في إحدى القصور الملكية🚶</t>
  </si>
  <si>
    <t>pic.twitter.com/pLHcBpaug5</t>
  </si>
  <si>
    <t>هناك حدود شخصية غير قابلة للنقاش وهناك ميول لكل شخص يجب علينا احترامها فالجميع حر بما يفعل مالا يتعدى حدود الأدب</t>
  </si>
  <si>
    <t>مغرده اماراتيه🇦🇪🇸🇦🇪🇬</t>
  </si>
  <si>
    <t>@Meshal_Alnami .أين الذين ملأوا العالم صراخا على مقتل #خاشقجي ؟؟</t>
  </si>
  <si>
    <t>o niye amk</t>
  </si>
  <si>
    <t>Dubai, United Arab Emirates</t>
  </si>
  <si>
    <t>وطن لا تحميه لا تستحق العيش فيه🇦🇪🇸🇦🇪🇬🇧🇭</t>
  </si>
  <si>
    <t>Zafer MahLe</t>
  </si>
  <si>
    <t>Ya Allah Bismillah.. Allah Ordumuza Devletimize zeval vermesin yardımcısı olsun Muzaffer eylesin inşallah #BarışPınarıHarekatı #OperationPeaceSpring #TurkishArmy</t>
  </si>
  <si>
    <t xml:space="preserve">    آل حرث</t>
  </si>
  <si>
    <t>تقرير / الجبير: إيران "دولة عدائية" وعليها احترام سيادة الآخرين .  - جمال خاشقجي #JamalKhashoggi #قطر</t>
  </si>
  <si>
    <t>pic.twitter.com/OyIM1ynNDZ</t>
  </si>
  <si>
    <t>Zafer mah. resmi twitter hesabı. #Arnavut #Bursaspor #Zaferspor</t>
  </si>
  <si>
    <t>Free Kurdistan</t>
  </si>
  <si>
    <t>@IlzEast #standwithkurds #StandWithTheKurds #fuck #TurkishArmy #TurkeyIsNotOurFriend</t>
  </si>
  <si>
    <t>شرائح الأقل</t>
  </si>
  <si>
    <t>BAKURÉ</t>
  </si>
  <si>
    <t>❤💛💚 hacked at 300k</t>
  </si>
  <si>
    <t>Sblkkn</t>
  </si>
  <si>
    <t>@JenGriffinFNC Gireceğimiz yeri biliriz! Sende bunu çevir #TurkishArmy</t>
  </si>
  <si>
    <t xml:space="preserve"> سليمان البلوي</t>
  </si>
  <si>
    <t>أ. خالد النزر : هناك أطماع تركية واضحة في الأراضي السورية ، وأصبحت سوريا قابلة للتقسيم في ظل الظروف التي تمر بها.  #JamalKhashoggi #قطر</t>
  </si>
  <si>
    <t>pic.twitter.com/x5wzT4WjL8</t>
  </si>
  <si>
    <t>aklımızı oyaladıık</t>
  </si>
  <si>
    <t>İrfan Bayazıtoğlu</t>
  </si>
  <si>
    <t>#TurkishArmy #BarışPınarıHarekati #TürkMilletiOrdusununYanında Selam Hama ve Humus,selam Kerkük ve Musul, Türk Ordusu geliyor,toz olun usul usul...</t>
  </si>
  <si>
    <t>https://pbs.twimg.com/media/EGcXGn-XkAArpVs.jpg</t>
  </si>
  <si>
    <t>محروس السيلة</t>
  </si>
  <si>
    <t>pic.twitter.com/4OhBNa2JXi</t>
  </si>
  <si>
    <t>Mine'l-kalbi ile'l-kalbi sebîlâ. Kalpten kalbe yol vardır.</t>
  </si>
  <si>
    <t>delikurtHD</t>
  </si>
  <si>
    <t>Bir Özbek atasözü der ki; Kurt kurdu korur... #BarisPinariHarekati #TurkishArmy @SEDAT_PEKER</t>
  </si>
  <si>
    <t>نجمة سكه علي</t>
  </si>
  <si>
    <t>https://pbs.twimg.com/media/EGcXGNSXoAEja9F.jpg</t>
  </si>
  <si>
    <t>pic.twitter.com/Ljd2W9sY81</t>
  </si>
  <si>
    <t>Sadece Türk...</t>
  </si>
  <si>
    <t xml:space="preserve"> عبدالمحسين دوسرى</t>
  </si>
  <si>
    <t>د. محمد الحلفي – الباحث في التاريخ الحديث: مُهمة قناة الجزيرة ان يُصبح العالم العربي مُضللاً لا يرى الحقيقة.  #خاشقجي #تركيا</t>
  </si>
  <si>
    <t>pic.twitter.com/VUo9g6HE55</t>
  </si>
  <si>
    <t>Süleyman Yıldırım</t>
  </si>
  <si>
    <t>Bize Blöf yapıyorsunuz diyen Amerikaya Askerlerine kapak olsun. Türkler geliyor. Yemin ol sun ki Barış Bayraklarını asmaya geliyoruz #TurkishArmy #BarisPinari #BarisPinariHarekati 🇹🇷🇹🇷🇹🇷🇹🇷🇹🇷</t>
  </si>
  <si>
    <t>https://pbs.twimg.com/media/EGcXF2AWoAAR3eN.jpg</t>
  </si>
  <si>
    <t>سهل  العتيبي</t>
  </si>
  <si>
    <t>محلل قناة ٢٤ سعودي الفضائية عبدالجليل السعيد في حقائق في دقائق : ايران تخسر وتفضح وتسقط ايران نمر من ورق يثير القلق..يسقط رويداً رويداً  - جمال خاشقجي #خاشقجي #عام_على_اغتيال_جمال</t>
  </si>
  <si>
    <t>pic.twitter.com/0Yxd1thYbS</t>
  </si>
  <si>
    <t>📌seref kocaman</t>
  </si>
  <si>
    <t>Son yılların en büyük operasyonu yapılıyor. Türk milleti tamamıyla Türk ordusunun Türk askerinin yanındadır. Gazanız/mız mübarek ola. Halk olarak destek tamdır. Sizi seviyoruz “Türk Ordusu”... #BarisPinari #TurkishArmy #OperationPeaceSpring</t>
  </si>
  <si>
    <t xml:space="preserve">   سند  السبيعي</t>
  </si>
  <si>
    <t>https://pbs.twimg.com/media/EGcXFmjWoAE2H0b.jpg</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</si>
  <si>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#السعودية</t>
  </si>
  <si>
    <t>pic.twitter.com/hXbLGkOke7</t>
  </si>
  <si>
    <t xml:space="preserve">GÖRSEL İLETİŞİM UZM. </t>
  </si>
  <si>
    <t>Dik dur, eğilme.</t>
  </si>
  <si>
    <t>http://serefkocaman.com</t>
  </si>
  <si>
    <t xml:space="preserve"> سعد  الرميح </t>
  </si>
  <si>
    <t>اللواء متقاعد. عبدالله القحطاني : تنظيم الإخوان تنظيم عميق وخطير ومتغلغل في القارة الأوروبية وصل لمراحل خطيرة جداً .  - جمال خاشقجي #خاشقجي #قطر</t>
  </si>
  <si>
    <t>pic.twitter.com/agm36zxx9o</t>
  </si>
  <si>
    <t>elmadilim soğan yanında rench</t>
  </si>
  <si>
    <t>Hazırlansın tabutluklar yine girip çıkacağız !!!! 🇹🇷🇹🇷🇹🇷🇹🇷💪🏼💪🏼💪🏼 #BarisPinari #BarisPinariHarekati #TuerkMilletiOrdusununYanında #TurkishArmy</t>
  </si>
  <si>
    <t>pic.twitter.com/MnY4NeuFp4</t>
  </si>
  <si>
    <t>اتيكا الأمر</t>
  </si>
  <si>
    <t>pic.twitter.com/eU1bQe8mAh</t>
  </si>
  <si>
    <t>Biraz Tedirgin</t>
  </si>
  <si>
    <t>Gazamız mübarek olsun 🇹🇷🇹🇷#BarışPınarıHarekatı #TurkishArmy #GaziMustafaKemalAtaTürk #TürkMilletiOrdusununYanında #TSK</t>
  </si>
  <si>
    <t>https://pbs.twimg.com/media/EGcXE5eXUAYO2HA.jpg</t>
  </si>
  <si>
    <t>ممن الدين علي</t>
  </si>
  <si>
    <t>pic.twitter.com/TuH9DTjWHk</t>
  </si>
  <si>
    <t>Türkistan</t>
  </si>
  <si>
    <t>HİÇBİR SİYASİ PARTİYE MENSUP DEĞİL... ””🇹🇷TÜRK MİLLİYETÇİSİ🇹🇷””</t>
  </si>
  <si>
    <t>𝕭𝖞 𝕭𝖚𝖗𝖞𝖞 𝕰𝖋𝖋𝖊𝖈𝖙 🐾</t>
  </si>
  <si>
    <t>#TurkishArmy 👉 İLERİ 🇹🇷</t>
  </si>
  <si>
    <t>https://pbs.twimg.com/media/EGcXEXXWkAAPU0X.jpg</t>
  </si>
  <si>
    <t>أ. نايف الحربي: إعلامي وكاتب صحفي: من يضع يده بيد طهران و أنقرة سيجد الخراب والدمار .  - جمال خاشقجي #خاشقجي #عام_على_اغتيال_جمال</t>
  </si>
  <si>
    <t>pic.twitter.com/HmXFFBRpfU</t>
  </si>
  <si>
    <t>Okyanus🏴‍☠️⚓️</t>
  </si>
  <si>
    <t>𝒢𝒶𝓁𝒶𝓉𝒶𝓈𝒶𝓇𝒶𝓎 ¹⁹⁰⁵</t>
  </si>
  <si>
    <t>http://byburyy.com</t>
  </si>
  <si>
    <t xml:space="preserve"> عبدالله القحطاني</t>
  </si>
  <si>
    <t>د. عدنان محمد: لدى موظفي قناة الجزيرة ولاءها للنظام الإرهابي في ايران أكثر من الشعب الإيراني الحر الأبي الذي يخرج كل يوم ويهتف لإسقاط هذا النظام الذي يحتل ايران .  - جمال خاشقجي #JamalKhashoggi #السعودية</t>
  </si>
  <si>
    <t>pic.twitter.com/FdV9oyvgbH</t>
  </si>
  <si>
    <t>Fatma Güldemet Sarı</t>
  </si>
  <si>
    <t>The world must support Turkey’s #OperationPeaceSpring for northeastern Syria. #OperationPeaceSpring #TurkishArmy</t>
  </si>
  <si>
    <t>https://pbs.twimg.com/media/EGcW41wWwAEPi_9.jpg</t>
  </si>
  <si>
    <t xml:space="preserve"> طلال المطيري </t>
  </si>
  <si>
    <t>محلل قناة ٢٤ سعودي الفضائية جيري ماهر في برنامج لمن يهمه الأمر: السعودية تقود سياسة واضحة لفضح إيران وكشفها أمام المجتمع الدولي وكشف سياساتها الخبيثة في المنطقة ومشروعها المدمر  - جمال خاشقجي #JamalKhashoggi #قطر</t>
  </si>
  <si>
    <t>Adana, Türkiye</t>
  </si>
  <si>
    <t>64. Hükümet Çevre ve Şehircilik Bakanı - 25. ve 26. Dönem Adana Milletvekili</t>
  </si>
  <si>
    <t>http://www.fdemetsari.com</t>
  </si>
  <si>
    <t>pic.twitter.com/G0V7QBxpAl</t>
  </si>
  <si>
    <t>ممن الأبدي</t>
  </si>
  <si>
    <t>pic.twitter.com/zoKWQKsgtn</t>
  </si>
  <si>
    <t>👍</t>
  </si>
  <si>
    <t>I Curdi sono stati USAti e scaricati...#TurkishArmy #Turchia</t>
  </si>
  <si>
    <t xml:space="preserve">   خلف  الدوسري</t>
  </si>
  <si>
    <t>أ. خالد النزر : هناك أطماع تركية واضحة في الأراضي السورية ، وأصبحت سوريا قابلة للتقسيم في ظل الظروف التي تمر بها.  #JamalKhashoggi #السعودية</t>
  </si>
  <si>
    <t>pic.twitter.com/bCnGscEK1v</t>
  </si>
  <si>
    <t>Seregno, Lombardia</t>
  </si>
  <si>
    <t>Alla ricerca dell'isola che non c'è.. Milan,Italy.</t>
  </si>
  <si>
    <t>Seyyah-ı Âlem</t>
  </si>
  <si>
    <t>Allah askerimizi korusun Rabbim yollarını açık etsin! #TurkishArmy</t>
  </si>
  <si>
    <t>حليمة الأسد</t>
  </si>
  <si>
    <t>pic.twitter.com/NYw8Amq9Jn</t>
  </si>
  <si>
    <t>Psychomentalist Hypnosist</t>
  </si>
  <si>
    <t>http://www.bayramaydin.com</t>
  </si>
  <si>
    <t>مين الحبيبي</t>
  </si>
  <si>
    <t>Tuğrul Bekar 🇹🇷</t>
  </si>
  <si>
    <t>Dualarımız sizinle Ey Şanlı #Mehmetçik ❤ 🇹🇷 Allah sizleri korusun. #BarışPınarıHarekatı #TürkMilletiOrdusununYanında #TurkishArmy #çarşamba</t>
  </si>
  <si>
    <t>pic.twitter.com/3ArAkZn1Tx</t>
  </si>
  <si>
    <t>https://pbs.twimg.com/media/EGcXBJ5WoAAGYlD.jpg</t>
  </si>
  <si>
    <t>Pendik, İstanbul</t>
  </si>
  <si>
    <t>İnsanlar vardır sevginin her türüne layıktır. İnsanlar vardır her ne verirsen ver yine de aşağılıktır. #YakarsaDünyayıGariplerYakar</t>
  </si>
  <si>
    <t>http://instagram.com/tugrul.bekar24</t>
  </si>
  <si>
    <t>زين عددين الحميدي</t>
  </si>
  <si>
    <t>Yalçın_Z</t>
  </si>
  <si>
    <t>Our Moon Star Banner has always been a symbol of peace and trust in the vast borders of our heart geography, transcending physical boundaries from East to West and from North to South. #BarışPınarıHarekati #OperationPeaceSpring #TurkishArmy @Reuters @BBCWorld @cnni @AFP</t>
  </si>
  <si>
    <t>https://pbs.twimg.com/media/EGcXAOOWsAAPbXi.jpg</t>
  </si>
  <si>
    <t>سيدة الدرن</t>
  </si>
  <si>
    <t>pic.twitter.com/f350ud66Wt</t>
  </si>
  <si>
    <t>Altaylardan_Tunaya</t>
  </si>
  <si>
    <t>"İmansız ve idealsiz nesiller türettik. Pusuda bekleyen yabancı ideolojiler setleri yıkılan ırmaklar gibi yayıldılar ülkeye." Siyah_S_0629</t>
  </si>
  <si>
    <t>زهراء الأسد</t>
  </si>
  <si>
    <t>pic.twitter.com/fYpuxkRqRj</t>
  </si>
  <si>
    <t>هيوستن و تقوم بإقامة مصلحة المملكة العربية السعودية في الولايات المتحدة</t>
  </si>
  <si>
    <t>مرزوق العتيبي</t>
  </si>
  <si>
    <t>أ. هاني الحجي : النظام القطري لا يقوم على أسس ومبادئ سياسية وأخلاقية.  #JamalKhashoggi #تركيا</t>
  </si>
  <si>
    <t>pic.twitter.com/0Yvyq4SL2B</t>
  </si>
  <si>
    <t>Serpil Özkan</t>
  </si>
  <si>
    <t>Turkey wants to ward off threats and attacks of the terror groups PKK/PYD-YPG and Deash .. #TurkishArmy #OperationPeaceSpring</t>
  </si>
  <si>
    <t>https://pbs.twimg.com/media/EGcW_2oWsAE9ZG9.jpg</t>
  </si>
  <si>
    <t>Bir tekstil mimarıyım.ITU 'de sanat dersi yoktu.Mühendis oldum.İş hayatında rekabet çok sert olduğu için işime aşkla birlikte sanatı da ilave ettim.</t>
  </si>
  <si>
    <t>https://www.perde-mobilya-dekorasyon.com</t>
  </si>
  <si>
    <t xml:space="preserve">  منصور القاسم</t>
  </si>
  <si>
    <t>أ. عبدالرحمن الملحم - كاتب ومحلل سياسي : ايران استغلت ضعف الإدارة الامريكية السابقة إدارة "أوباما" .. حين تم توقيع موضوع الملف النووي .  - جمال خاشقجي #ايران #خاشقجي</t>
  </si>
  <si>
    <t>pic.twitter.com/teDsE9QvZn</t>
  </si>
  <si>
    <t>[E]</t>
  </si>
  <si>
    <t>Vur şanlı silahınla gönül mülkü düzelsin. Sen ölürüyorken de vururken de güzelsin. Allah yar ve yardımcınız olsun. #TurkishArmy #BarışPınarıHarekati</t>
  </si>
  <si>
    <t>https://pbs.twimg.com/media/EGcW_RPXYAAMAmu.jpg</t>
  </si>
  <si>
    <t>مدحت الصبي</t>
  </si>
  <si>
    <t>pic.twitter.com/UJAm05uqLG</t>
  </si>
  <si>
    <t>Wajd Waqfi وجد وقفي</t>
  </si>
  <si>
    <t>السناتور الجمهوري ليندزي غراهام يحذر #تركيا من القيام بالعملية العسكرية بالقرب من الحدود مع #سوريا، بالتلويح بورقة المعارضة الشديدة في الكونغرس من الحزبين للعملية. هو أحسن له لا يشد كتير ع حالو، لأن هالكونغرس لو فيه خير كان أوقف الدعم للحرب في #اليمن و حاسَب قتلة #خاشقجي. RT @LindseyGrahamSC: To the Turkish Government: You do NOT have a green light to enter into northern Syria. There is massive bipartisan opposition in Congress, which you should see as a red line you should not cross.</t>
  </si>
  <si>
    <t>https://twitter.com/lindseygrahamsc/status/1181714248977833984</t>
  </si>
  <si>
    <t>Washington DC, The World</t>
  </si>
  <si>
    <t>Architect| Senior Correspondent #AlJazeera| Comments my own تعليقاتي آرائي الخاصة| مراسلة #الجزيرة في واشنطن</t>
  </si>
  <si>
    <t>https://m.facebook.com/wajd.waqfi.5</t>
  </si>
  <si>
    <t>SELMAN</t>
  </si>
  <si>
    <t>Muzaffer eyle Ya rabbi #BarisPinari #TurkishArmy</t>
  </si>
  <si>
    <t>https://pbs.twimg.com/media/EGcW_CjWoAAlB0b.jpg</t>
  </si>
  <si>
    <t xml:space="preserve"> منور عبيدالله</t>
  </si>
  <si>
    <t>اتصال هاتفي من : د. نافل النفيعي : خبير استراتيجي ومختص في العلاقات التاريخية بين الدول – الدمام : الدول العظمى تدين ايران .. ودول الخليج أخذت استعدادها العسكري .  - جمال خاشقجي #JamalKhashoggi #قطر</t>
  </si>
  <si>
    <t>pic.twitter.com/2VpbBAO8NL</t>
  </si>
  <si>
    <t>Ordu</t>
  </si>
  <si>
    <t>Hiç</t>
  </si>
  <si>
    <t>http://instagram.com/selmancee</t>
  </si>
  <si>
    <t xml:space="preserve"> أحمد بن وصل</t>
  </si>
  <si>
    <t>د. محمد الحلفي : باحث في التاريخ الحديث : لا يمكن للشعب القطري القبول بما تقوم به قناة الجزيرة  #خاشقجي #عام_على_رحيل_خاشقجي</t>
  </si>
  <si>
    <t>pic.twitter.com/QccNIIzgt0</t>
  </si>
  <si>
    <t>Harun Köksal</t>
  </si>
  <si>
    <t>Ordumuz olsun daim muzaffer! #BarisPinariHarekati #TurkishArmy #BarisPinari</t>
  </si>
  <si>
    <t>https://pbs.twimg.com/media/EGcW-xmXkAERi54.jpg</t>
  </si>
  <si>
    <t>ميشيل مرزوق</t>
  </si>
  <si>
    <t>Eskişehir, Türkiye</t>
  </si>
  <si>
    <t>iki ölüm olmadığına göre , o bir ölüm yiğitçe olsun @erköksigorta</t>
  </si>
  <si>
    <t>pic.twitter.com/IGDZzQrKtk</t>
  </si>
  <si>
    <t>Melike</t>
  </si>
  <si>
    <t>Allah kahraman mehmetçiğimizin yanında olsun, ordumuzu muzaffer eylesin. Dualarımız sizlerle... 🇹🇷🇹🇷🇹🇷 #BarisPinariHarekati #TurkishArmy #BarisPinari</t>
  </si>
  <si>
    <t>نصيرا الذكرية</t>
  </si>
  <si>
    <t>Who So Serious? 🎭 @hayalhane2</t>
  </si>
  <si>
    <t>pic.twitter.com/QltHUsBgEj</t>
  </si>
  <si>
    <t>🇹🇷🇹🇷Salime ÇAKIR🇹🇷🇹🇷</t>
  </si>
  <si>
    <t>https://pbs.twimg.com/media/EGcW71-W4AAfxct.jpg</t>
  </si>
  <si>
    <t>سائر القنصليات المملكة العربية السعودية في الولايات المتحدة</t>
  </si>
  <si>
    <t>تفعيل المسرحي</t>
  </si>
  <si>
    <t>🇹🇷-IRMAĞININ AKIŞINA ÖLÜRÜM TÜRKİYE'M-🇹🇷</t>
  </si>
  <si>
    <t>ı̇вяαнıм уıℓ∂ıяıм</t>
  </si>
  <si>
    <t>🇹🇷 #BarisPinari #TurkishArmy #BarışPınarıHarekati</t>
  </si>
  <si>
    <t>https://pbs.twimg.com/media/EGcW-LPWkAEi7ow.jpg</t>
  </si>
  <si>
    <t>زان السكر</t>
  </si>
  <si>
    <t>Düşünüyorum da biz, Büyüyerek çocukluk etmişiz...</t>
  </si>
  <si>
    <t>Kassandra</t>
  </si>
  <si>
    <t>Yol ver Türk'ün bayrağına. #TurkishArmy #pınarbarısharekatı</t>
  </si>
  <si>
    <t>https://pbs.twimg.com/media/EGcW9uQWsAAwYWR.jpg</t>
  </si>
  <si>
    <t>زكي السيد</t>
  </si>
  <si>
    <t>Türkçem benim ses bayrağım.</t>
  </si>
  <si>
    <t>pic.twitter.com/gZbCH5zciM</t>
  </si>
  <si>
    <t>علياء العباسي</t>
  </si>
  <si>
    <t>pic.twitter.com/ttzVEVd4HK</t>
  </si>
  <si>
    <t>KupaBeyi #Hedef23 #BEN23RSİZ</t>
  </si>
  <si>
    <t>#BarisPinariHarekatı nın amacı, ülkemizin barışı, refahını korumaktır. Bu harekata karşı çıkan vatan hainidir. Allah yar ve yardımcınız olsun. #TurkishArmy #turkmilletiordusununyaninda</t>
  </si>
  <si>
    <t>https://pbs.twimg.com/media/EGcW769WsAEAfME.jpg</t>
  </si>
  <si>
    <t>Ali Sami Yen</t>
  </si>
  <si>
    <t>#Hedef23 #Galatasaray #FatihTerim #SaldırGalatasaray #BugünGünlerdenGalatasaray</t>
  </si>
  <si>
    <t>http://www.galatasaray.org</t>
  </si>
  <si>
    <t xml:space="preserve"> علي المالكي</t>
  </si>
  <si>
    <t>د. محمد الحلفي : باحث في التاريخ الحديث : نشأت قناة الجزيرة من اجل استهداف دول مُعينة.  #JamalKhashoggi #تركيا</t>
  </si>
  <si>
    <t>pic.twitter.com/IVnn8rMPgZ</t>
  </si>
  <si>
    <t>Scope Markets Kenya</t>
  </si>
  <si>
    <t>Watch #USDTRY as it breaks weekly resistance held since June and #usoil heads towards 52 #dollar consolidation after eminent attack on Syrian Kurdistan region starts. #ScopeMarketsKE #ScopeTradersKE #SmartScopeInvestors #TurkishArmy</t>
  </si>
  <si>
    <t>Westside Towers, 4th Floor.</t>
  </si>
  <si>
    <t>We are a globally recognized Non-Dealing Online Foreign Exchange broker, licensed and regulated by the Capital Markets Authority. Join our community today.</t>
  </si>
  <si>
    <t>http://www.scopemarkets.co.ke</t>
  </si>
  <si>
    <t>مسعود الياسين</t>
  </si>
  <si>
    <t>pic.twitter.com/R0gv9HrCeH</t>
  </si>
  <si>
    <t>elif</t>
  </si>
  <si>
    <t>#TurkishArmy presents : “i believe I can flyyy” RT @gokborudiyorki: Hayat kısa hevaller uçuyor... #TurkishArmy kanatlandırır😎</t>
  </si>
  <si>
    <t>https://twitter.com/gokborudiyorki/status/1181921702550343680</t>
  </si>
  <si>
    <t>pic.twitter.com/XdLd4UZsrn</t>
  </si>
  <si>
    <t>زكي الصميلي</t>
  </si>
  <si>
    <t>Galatasaray</t>
  </si>
  <si>
    <t>rien n’est plus comme avant un peu comme les gens</t>
  </si>
  <si>
    <t>طيفور سكه علي</t>
  </si>
  <si>
    <t>Ali</t>
  </si>
  <si>
    <t>Her daim senin yanındayız. Senin gibi hazır, senin gibi güçlüyüz Türk Silahlı Kuvvetleri. Taş üstünde taş, baş üstünde baş bırakma. #BarışPınarıHarekati #TurkishArmy</t>
  </si>
  <si>
    <t>Dünya denen mezellete dalsın her isteyen, Ben ırkımın şeref taşan efsanesindeyim</t>
  </si>
  <si>
    <t>Türk Hack Team</t>
  </si>
  <si>
    <t>Suriye’nin Kuzeyinde Terör Örgütlerine Yönelik Başlatılan Harekatta Kahraman Türk Ordusuna Muvaffakiyetler Dileriz. Kalbimiz ve Dualarımız Sizinle. #OperationPeaceSpring #TurkishArmy #turkmilletiordusununyaninda #BarisPinariHarekati #BarisPinari</t>
  </si>
  <si>
    <t>حمد المري</t>
  </si>
  <si>
    <t>د. عدنان محمد : مكاتب قناة الجزيرة في البلدان هي وكر للتجسس وزرع الخلايا التي تريد نشر الفوضى.  - جمال خاشقجي #ايران #خاشقجي</t>
  </si>
  <si>
    <t>https://pbs.twimg.com/media/EGcUmwtX0AAyo__.jpg</t>
  </si>
  <si>
    <t>pic.twitter.com/J8Vy14GVF2</t>
  </si>
  <si>
    <t>Türkiye / Azerbaycan</t>
  </si>
  <si>
    <t>Türk Hack Team resmi twitter hesabıdır. #THT Wiki: https://tr.wikipedia.org/wiki/TurkHackTeam #cybersecurity #sibergüvenlik</t>
  </si>
  <si>
    <t>http://www.turkhackteam.org</t>
  </si>
  <si>
    <t>زكريا المولد</t>
  </si>
  <si>
    <t>pic.twitter.com/pAheHyZVxU</t>
  </si>
  <si>
    <t>توفيق الدين علي</t>
  </si>
  <si>
    <t>مروان السفر</t>
  </si>
  <si>
    <t>#BarışPınarıHarekati #BarisPinari #TurkishArmy</t>
  </si>
  <si>
    <t>pic.twitter.com/0csrT2obDW</t>
  </si>
  <si>
    <t xml:space="preserve"> مبارك الحوشاني  </t>
  </si>
  <si>
    <t>تقرير: وثائقي فرنسي يكشف علاقة قطر بتمويل التطرف الإرهاب في أوروبا .  - جمال خاشقجي #JamalKhashoggi #قطر</t>
  </si>
  <si>
    <t>Ahmet</t>
  </si>
  <si>
    <t>pic.twitter.com/MrYQFFYSRA</t>
  </si>
  <si>
    <t>Aslanlar #TurkishArmy</t>
  </si>
  <si>
    <t>Balıkesir, Türkiye</t>
  </si>
  <si>
    <t>Musab polat öz</t>
  </si>
  <si>
    <t>Şu bakışı hatırladınız mı?, Biz hiç unutmadık da.. #BarisPinari #BarisPinariHarekati #TurkishArmy</t>
  </si>
  <si>
    <t>https://pbs.twimg.com/media/EGcW501XYAAag6j.jpg</t>
  </si>
  <si>
    <t xml:space="preserve">   سعيد الرباني</t>
  </si>
  <si>
    <t>تقرير: الجبير: استرضاء إيران غذى سلوكها العدواني .  - جمال خاشقجي #خاشقجي #عام_على_رحيل_خاشقجي</t>
  </si>
  <si>
    <t>pic.twitter.com/S17WiWwR4l</t>
  </si>
  <si>
    <t>İsa Peri</t>
  </si>
  <si>
    <t>Mazlumların Son Umudu Barış ve Huzurun Teminatı Ümmetin Gözbebeği Kahraman MEHMETÇİK'ler Hareketa Başladı Gün Birlik Gün Can,Mal ve Dua ile Destek Günüdür İnşAllah Askerimiz "Ak Sütün İçindeki Ak Kılı Bile Ayıracak Ferasetle" Zalimlere Galip Gelecektir #TurkishArmy #BarisPinari</t>
  </si>
  <si>
    <t>https://pbs.twimg.com/media/EGcW5MtXUAIFpx3.jpg</t>
  </si>
  <si>
    <t xml:space="preserve">  مسلم منور </t>
  </si>
  <si>
    <t>اللواء المتقاعد د. زايد العمري: خبير استراتيجي ومحلل سياسي: قطر تشوه صورة الإسلام داخل أوروبا .  - جمال خاشقجي #خاشقجي #تركيا</t>
  </si>
  <si>
    <t>pic.twitter.com/LQM8rtpRmC</t>
  </si>
  <si>
    <t>Zeytinburnu Şehitler Bilim ve Sanat Merkezi Müdürü👨‍🔬🎨 Genç Memur-Sen İstanbul İL Başkan Yardımcısı🗺 Üniversiteler Komisyonu Başkanı🏢Malatya🇹🇷Beşiktaş🏟</t>
  </si>
  <si>
    <t>http://intagram.com/isaperi44</t>
  </si>
  <si>
    <t xml:space="preserve">  علي   العمري</t>
  </si>
  <si>
    <t>أ. نايف الحربي: إعلامي وكاتب صحفي: جماعة الأخوان الإرهابية هي من تسيطر على الإعلام القطري وهي من تدعمهم بالتقارير المزيفة .  - جمال خاشقجي #JamalKhashoggi #قطر</t>
  </si>
  <si>
    <t>pic.twitter.com/pH1pXOrlPY</t>
  </si>
  <si>
    <t>huysuzyazar</t>
  </si>
  <si>
    <t>#BarisPinariHarekati #BarisPinari #DevletBahceli #RecepTayyipErdogan #TurkishArmy 🇹🇷🇹🇷🇹🇷</t>
  </si>
  <si>
    <t>pic.twitter.com/Dd7TMIwtUd</t>
  </si>
  <si>
    <t>طريق الحبيبي</t>
  </si>
  <si>
    <t>HuysuzYazar Bir Portal Bir Sayfadır.</t>
  </si>
  <si>
    <t>http://www.huysuzyazar.com</t>
  </si>
  <si>
    <t>pic.twitter.com/seEh6NODjT</t>
  </si>
  <si>
    <t>كن التغير الذي تريد أن تراه في العالم</t>
  </si>
  <si>
    <t>زعيم الجود</t>
  </si>
  <si>
    <t>Furkan ARMAN</t>
  </si>
  <si>
    <t>Her yerde inlerinize giricez sizde MAL MAL bakacaksınız @hdpdemirtas #TurkishArmy #BarisPinariHarekati</t>
  </si>
  <si>
    <t>pic.twitter.com/ckqfnkK1Rn</t>
  </si>
  <si>
    <t xml:space="preserve"> ﺃُﺅْﻣِﻦُ ﻛَﺜِﻴﺮﺍً ﺑِـ ﺃَﻥْ ﺍَﻟْﻤﺴَﺎﺣَﺔ ﺍﻟْﻔـــَﺂﺻِﻠﺔ ﺑَﻴْﻦْ ” ﺍﻟْﺤُﻠﻢ ” ﻭ ” ﺍﻟَﻮﺍﻗﻊْ ” [ ﻣُﺠﺮﺩْ ﺩُﻋﺂﺀ جَميلٌ ذلِكَ القَدر الذِي يُبعَدنَاا عَن أشيَااء لاا تَست</t>
  </si>
  <si>
    <t xml:space="preserve"> علي الاسمري</t>
  </si>
  <si>
    <t>أ. نايف الحربي: إعلامي وكاتب صحفي: جماعة الأخوان الإرهابية هي من تسيطر على الإعلام القطري وهي من تدعمهم بالتقارير المزيفة .  - جمال خاشقجي #خاشقجي #عام_على_اغتيال_جمال</t>
  </si>
  <si>
    <t>pic.twitter.com/RTLYiZSUrQ</t>
  </si>
  <si>
    <t>عبدالله الراجحي</t>
  </si>
  <si>
    <t>pic.twitter.com/9HKLOw0umv</t>
  </si>
  <si>
    <t>Mustafa Kemal Bayram</t>
  </si>
  <si>
    <t>Hakkımızda hayırlısı.. #BarışPınarıHarekati #TurkishArmy #BarisPinari</t>
  </si>
  <si>
    <t>https://pbs.twimg.com/media/EGcW3nZX0AA5yVq.jpg</t>
  </si>
  <si>
    <t>إن مع اليوم غدا يا مسعدة</t>
  </si>
  <si>
    <t>Derviş... Siktiri çekermiş.. İnsanı onurlu yapan yürüdüğü yoldur.. Linguist, Comp. Engineer, Ex IT Manager, Software Analyst, Still Human..</t>
  </si>
  <si>
    <t xml:space="preserve"> نبيل  السالمي </t>
  </si>
  <si>
    <t>حصريا..ادم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#JamalKhashoggi #تركيا</t>
  </si>
  <si>
    <t>pic.twitter.com/XnI1sFOc95</t>
  </si>
  <si>
    <t>Güçlü_ϜϓſϞ_☾✫_1907</t>
  </si>
  <si>
    <t>#TurkishArmy #TuerkMilletiOrdusununYanında #BarışPınarıHarekati Ezelden ne gelmişsek, ebede kadar oyuz! Hem Göktürk hem Osmanlı, hem Selçuklu hem Hunuz!</t>
  </si>
  <si>
    <t>https://pbs.twimg.com/media/EGcW2nJX0AEzh_v.jpg</t>
  </si>
  <si>
    <t>تقي الصبي</t>
  </si>
  <si>
    <t>MUSTAFA KEMAL ATATÜRK. #Türkçü #ϜϓſϞ #Daima #Fenerbahçe 💛💙</t>
  </si>
  <si>
    <t>pic.twitter.com/rQApJ8e3GB</t>
  </si>
  <si>
    <t>Cecilia Bartholemew</t>
  </si>
  <si>
    <t>Let's pray that only the terrorists die.Surely #Erdogan will not commit atrocities...🙁 #TurkishArmy RT @peterdaou: #Kurds are now dying because of Trump's reckless behavior.</t>
  </si>
  <si>
    <t>https://twitter.com/peterdaou/status/1181927218664091649
https://twitter.com/sam_vinograd/status/1181908753265958912</t>
  </si>
  <si>
    <t>حبل الكذب قصير</t>
  </si>
  <si>
    <t>Henley on Thames</t>
  </si>
  <si>
    <t>.Life long conservative and opponent of socialism. .Chair of my local tory party branch. Support a #nodealbrexit ! Proud to #BackBoris, best British PM ever!</t>
  </si>
  <si>
    <t xml:space="preserve">رائد محمد </t>
  </si>
  <si>
    <t>تقرير: الأمم المتحدة تستعد لعدوان تركي محتمل شمال شرق سوريا .  #خاشقجي #عام_على_اغتيال_جمال</t>
  </si>
  <si>
    <t>pic.twitter.com/cIXwSRBc1f</t>
  </si>
  <si>
    <t>Burhan DİNLER</t>
  </si>
  <si>
    <t>Biz teröristleri vuruyoruz acısı AB'den çıkıyor. #TurkishArmy #BarisPinariHarekati #BarisPinari #OperationPeaceSpring RT @sputnik_TR: AB'den Türkiye'ye: Suriye harekatını durdurun, 'güvenli bölge' için ödeme yapmayacağız</t>
  </si>
  <si>
    <t>https://twitter.com/sputnik_TR/status/1181938080816734208
https://sptnkne.ws/9Zhy</t>
  </si>
  <si>
    <t>pic.twitter.com/LjZPjhEd0e</t>
  </si>
  <si>
    <t>ميسرة العباسي</t>
  </si>
  <si>
    <t>pic.twitter.com/kPssIVyduo</t>
  </si>
  <si>
    <t>arkadaşlar kalanıma hoşgeldiniz</t>
  </si>
  <si>
    <t>🇹🇷Hüseyin🇹🇷</t>
  </si>
  <si>
    <t>pic.twitter.com/qhnKaqS8Sf</t>
  </si>
  <si>
    <t>#TurkishArmy we are coming🇹🇷🇹🇷✌🏻 victory is ours inşallah🇹🇷✌🏻</t>
  </si>
  <si>
    <t>https://pbs.twimg.com/media/EGcW1y9XoAAYDaq.jpg</t>
  </si>
  <si>
    <t>طلحه الخوالد</t>
  </si>
  <si>
    <t>Yurtta Sulh Cihanda Sulh🇹🇷</t>
  </si>
  <si>
    <t>pic.twitter.com/Ntly8nbDoW</t>
  </si>
  <si>
    <t>تعاشروا كالإخوان وتعاملوا كالأغراب</t>
  </si>
  <si>
    <t xml:space="preserve"> محمد  عوجان </t>
  </si>
  <si>
    <t>اللواء المتقاعد د. زايد العمري: خبير استراتيجي ومحلل سياسي: سيكون هناك دول ستلحق بـ فرنسا قريباً وستوقف قطر وجمعيتها التي ظاهرها الرحمة وباطنها العذاب .  - جمال خاشقجي #خاشقجي #تركيا</t>
  </si>
  <si>
    <t>pic.twitter.com/cX4qxprj4j</t>
  </si>
  <si>
    <t>⭐hamuş⭐</t>
  </si>
  <si>
    <t>Serhadde doğru ey şanlı asker. Deryada olsa her şey muzaffer Dillerde tekbir, Allahü ekber Allahü ekber, Allahü ekber Ordumuz olsun daim muzaffer #BarışPınarıHarekati #TurkishArmy #OperationPeaceSpring #carsamba</t>
  </si>
  <si>
    <t>https://pbs.twimg.com/media/EGcWztiXUAAvlIl.jpg</t>
  </si>
  <si>
    <t xml:space="preserve"> مسلم بن حميدان</t>
  </si>
  <si>
    <t>اتصال/ أ. رامي العلي: محلل قنوات سعودي 24 – باريس: أردوغان أرسل وزير خارجيته إلى الولايات المتحدة الأمريكية من أجل دفع الطبقة السياسية لتغير العلاقات التاريخية بين المملكة و أمريكا .  - جمال خاشقجي #خاشقجي #تركيا</t>
  </si>
  <si>
    <t>pic.twitter.com/iMgksgL44g</t>
  </si>
  <si>
    <t>Muallim MEB - 🇹🇷- ⭐⭐⭐⭐- ❤️💛 Ve Sadece bir fani...! 🥀sağıra sözünü köre yüzünü süsleme gönül, yorulursun... 🥀 Neşet Ertaş</t>
  </si>
  <si>
    <t>زهير الدين العتيبي</t>
  </si>
  <si>
    <t>pic.twitter.com/6Kz07UJ43d</t>
  </si>
  <si>
    <t>زهير قدري</t>
  </si>
  <si>
    <t>pic.twitter.com/QdqRlq1qsA</t>
  </si>
  <si>
    <t>منجد الأسد</t>
  </si>
  <si>
    <t>pic.twitter.com/6b7gQYPGvG</t>
  </si>
  <si>
    <t>Selamı Ustundag</t>
  </si>
  <si>
    <t>Allah ordumuza zafer nasip etsin, vatanımızı, milletimizi korusun. #OperationPeaceSpring #BarışPınarıHarekatı #TurkishArmy</t>
  </si>
  <si>
    <t>https://pbs.twimg.com/media/EGcWxxVWwAAXO5r.jpg</t>
  </si>
  <si>
    <t>أشد الفاقة عدم العقل</t>
  </si>
  <si>
    <t>صالحة الأسد</t>
  </si>
  <si>
    <t>Fatiha'lar eksilmesin, emanetimiz var sende Harput...</t>
  </si>
  <si>
    <t>pic.twitter.com/j3fR1RunjJ</t>
  </si>
  <si>
    <t>Tello</t>
  </si>
  <si>
    <t>Allah yar ve yardımcınız olsun. Gönlümüz ve tüm benliğimizle yanınızdayız.#tsk #TurkishArmy #BarisPinari #BarisPinariHarekati</t>
  </si>
  <si>
    <t>ردعان الهاجري</t>
  </si>
  <si>
    <t>‏‏‏‏وَمَا رَمَيْتَ إِذْ رَمَيْتَ وَلَكِنَّ اللّهَ رَمَى</t>
  </si>
  <si>
    <t>greenstone</t>
  </si>
  <si>
    <t>#BarisPinariHarekati #TurkishArmy #BarisPinari</t>
  </si>
  <si>
    <t>https://pbs.twimg.com/media/EGcWxy3XUAE6CP2.jpg</t>
  </si>
  <si>
    <t xml:space="preserve"> هلال الحربي</t>
  </si>
  <si>
    <t>العميد متقاعد. حسن الشهري : على ايران إدراك أنها لن تستطيع التطاول على أي دولة من دول الخليج أو تستبيح أجواءها أو تؤثر في إقتصادها.  #JamalKhashoggi #السعودية</t>
  </si>
  <si>
    <t>pic.twitter.com/qOBmteEaVA</t>
  </si>
  <si>
    <t>BEŞİKTAŞ⚪⚫</t>
  </si>
  <si>
    <t>HUDER ESKİŞEHİR</t>
  </si>
  <si>
    <t>https://pbs.twimg.com/media/EGcWwcKWkAAEecu.jpg</t>
  </si>
  <si>
    <t>إبراهيم آل حمود</t>
  </si>
  <si>
    <t>عاجل و هام: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</si>
  <si>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pic.twitter.com/m0AaSsWmqU</t>
  </si>
  <si>
    <t>Hukuki Araştırmalar Derneği Eskişehir Şubesi #Hukuk #Adalet #Eskişehir</t>
  </si>
  <si>
    <t>عريية الأشراف</t>
  </si>
  <si>
    <t>xena: warrior princess</t>
  </si>
  <si>
    <t>" yine şanlar alınıp nice canlar verilir yiğit akınımızdan dünya yine şaşalar! " #BarışPınarıHarekati #PeaceSpringOperation #TurkishArmy</t>
  </si>
  <si>
    <t>pic.twitter.com/kSPOjGYBzd</t>
  </si>
  <si>
    <t>https://pbs.twimg.com/media/EGcWw89WoAA-J_O.jpg</t>
  </si>
  <si>
    <t>البعثة الدبلوماسية المملكة العربية السعودية في الولايات المتحدة : تجد معلومات الاتصال</t>
  </si>
  <si>
    <t>non si sa mai</t>
  </si>
  <si>
    <t xml:space="preserve"> مالح الظفيري</t>
  </si>
  <si>
    <t>أ. عبدالرحمن الملحم - كاتب ومحلل سياسي : ايران استغلت ضعف الإدارة الامريكية السابقة إدارة "أوباما" .. حين تم توقيع موضوع الملف النووي .  - جمال خاشقجي #خاشقجي #تركيا</t>
  </si>
  <si>
    <t>pic.twitter.com/7h4qpEtwMN</t>
  </si>
  <si>
    <t>Barış Gültekin</t>
  </si>
  <si>
    <t>Gazamız mübarek olsun , Rabbim ordumuzu korusun sağ sağlim dönmeyi nasip eylesin mehmetlerimize 🙏 #BarışPınarıHarekatı #TurkishArmy RT @tcbestepe: Cumhurbaşkanı ve Başkomutan @RTErdogan, Millî Savunma Bakanı Hulusi Akar’dan bilgi alarak #BarışPınarıHarekatı’nın başlama emrini verdi.</t>
  </si>
  <si>
    <t>https://twitter.com/tcbestepe/status/1181928485868232705</t>
  </si>
  <si>
    <t>https://pbs.twimg.com/media/EGcNsKIXYAETgWc.jpg</t>
  </si>
  <si>
    <t xml:space="preserve"> جميل  العتيبي</t>
  </si>
  <si>
    <t>اللواء متقاعد. عبدالله القحطاني : النظام القطري ليس ممولاً للجماعات الإرهابية فقط بل هو يهيء الغطاء الدبلوماسي و السياسي لهم  - جمال خاشقجي #JamalKhashoggi #السعودية</t>
  </si>
  <si>
    <t>pic.twitter.com/QaY2jKqrch</t>
  </si>
  <si>
    <t>Haliç Üniversitesi</t>
  </si>
  <si>
    <t>عبدوس سلام القليل</t>
  </si>
  <si>
    <t>Osman ŞENGÜL 🇹🇷</t>
  </si>
  <si>
    <t>pic.twitter.com/eMN3gFGH9A</t>
  </si>
  <si>
    <t>Allahım sen Ordumuzu koru onları muzaffer eyle.attıkları boşa gitmesin sen hedeflerinden şaşırtma Ya Rab. #TurkishArmy</t>
  </si>
  <si>
    <t>http://www.pruvadis.com</t>
  </si>
  <si>
    <t xml:space="preserve"> عبدالرحمن الشثري  </t>
  </si>
  <si>
    <t>عاجل و 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#تركيا</t>
  </si>
  <si>
    <t>pic.twitter.com/6MWtp9UuYG</t>
  </si>
  <si>
    <t>H4RuN YeLKeN</t>
  </si>
  <si>
    <t>Gazamız mübarek ola... Türk'e mayasını hatırlatan bu sefer hayr ola şerler def ola... Sefer bizden, zafer Allah'tandır... Ya Allah Bismillah ☝️☝️☝️#BarışPınarıHarekati #TurkishArmy #OperationPeaceSpring</t>
  </si>
  <si>
    <t>حسنى الحبيب</t>
  </si>
  <si>
    <t>pic.twitter.com/Jvo3XjD6RY</t>
  </si>
  <si>
    <t>vahit aksuy</t>
  </si>
  <si>
    <t>Allah türk’ü korusun ve yüceltsin. Ayağınıza taş, gözümüze yaş değmesin mehmedim. Gazanız mübarek, yolunuz açık olsun... #TurkishArmy #BarışPınarıHarekati</t>
  </si>
  <si>
    <t xml:space="preserve"> علي  بن سعود</t>
  </si>
  <si>
    <t>اللواء متقاعد د. شامي الظاهري : الجناح الرئيسي لـ ايران هم الحوثيين ، إذا كسِر هذا الجناح ستضعف إيران كثيراً .  - جمال خاشقجي #JamalKhashoggi #السعودية</t>
  </si>
  <si>
    <t>pic.twitter.com/U54kwhGzSW</t>
  </si>
  <si>
    <t>🇹🇷 Istanbulls 🇹🇷</t>
  </si>
  <si>
    <t>Fenerbahçe Kuruluş Amacı madde 2: kulübün takip ettiği amaç ve gaye; vatan gençlerini; vatanın korunmasına, zorluklara ve askeri seferberliklere alıştırmaktır. Allah yardımcımız olsun 🇹🇷🇹🇷 #TurkishArmy #Tuerksilahlıkuvvetleri #TuerkMilletiOrdusununYanında #BarisPinariHarekati RT @Fenerbahce: İstiklal ve istikbalimizin korkusuz bekçisi olan Türk Silahlı Kuvvetlerimize muvaffakiyetler diliyoruz. 🇹🇷 Kalbimiz ve dualarımız Barış Pınarı Harekatı’nda görev alan askerlerimizle... #TürkMilletiOrdusununYanında</t>
  </si>
  <si>
    <t>https://twitter.com/fenerbahce/status/1181927957377540097</t>
  </si>
  <si>
    <t>https://pbs.twimg.com/media/EGcNNLAWoAAvXMz.jpg</t>
  </si>
  <si>
    <t>مالك السكر</t>
  </si>
  <si>
    <t>Hangi yolda yürürsen o yolun yolcusuna denk gelirsin... Retweet’ler sahibini bağlar.</t>
  </si>
  <si>
    <t>小松慎之介(こましん)</t>
  </si>
  <si>
    <t>トレンドの設定を日本語にしてないから #TurkishArmy ってタグがトレンドに出てくるけどこれ見てるとなんか色んなことモヤモヤしちゃうね。</t>
  </si>
  <si>
    <t>زاهد أل قحطاني</t>
  </si>
  <si>
    <t>pic.twitter.com/76qcBMImU4</t>
  </si>
  <si>
    <t>Amman, Hashemite Kingdom of Jordan</t>
  </si>
  <si>
    <t>自称ミュージシャン。ヨルダンのパレスチナ難民キャンプの小学校と女性支援施設で音楽教師とかやってます。日本にいた頃は東北の高校にて教師やってました。生まれも育ちも神奈川県。フォロー・リムーブご自由に。作品集→ https://youtu.be/ICODMmhEzIQ</t>
  </si>
  <si>
    <t>http://www.stevekaufmann.xyz</t>
  </si>
  <si>
    <t>جنت على نفسها براقش الجهل شر الأصحاب</t>
  </si>
  <si>
    <t>مغرد</t>
  </si>
  <si>
    <t>عدد القتلى في #مظاهرات_العراق زاد عن المئة وجميع المقاطع التي رأيتها للقتلى كانت بسبب إصابات مباشرة بالرأس..فأين منظمات حقوق الإنسان من قتل الشعب العراقي ؟! ..أين الذين ملأوا العالم صراخا على مقتل #خاشقجي ؟؟</t>
  </si>
  <si>
    <t>Hakan Önen</t>
  </si>
  <si>
    <t>Her şeyi başkahramanlar yapar ama kimse başkahramanları göremez. Allah yardımcınız olsun... #BarışPınarıHarekati #TurkishArmy #</t>
  </si>
  <si>
    <t>https://pbs.twimg.com/media/EGcWt8wXoAAfrDe.jpg</t>
  </si>
  <si>
    <t>ظافر الأسمري</t>
  </si>
  <si>
    <t>pic.twitter.com/yTIwisWzg7</t>
  </si>
  <si>
    <t>Midyat, Türkiye</t>
  </si>
  <si>
    <t>طلال الساحلي</t>
  </si>
  <si>
    <t>pic.twitter.com/8dXgLaDv8q</t>
  </si>
  <si>
    <t>تجري الرياح بما لا تشتهي السفن</t>
  </si>
  <si>
    <t xml:space="preserve">  ابراهيم العبداني </t>
  </si>
  <si>
    <t>أ. نايف الحربي: إعلامي وكاتب صحفي : الآلة الإعلامية القطرية و قناة الجزيرة وتوابعها هزموا .  - جمال خاشقجي #خاشقجي #عام_على_اغتيال_جمال</t>
  </si>
  <si>
    <t>pic.twitter.com/ds1fh2uGZV</t>
  </si>
  <si>
    <t>أتصال/ أ. توفيق قويدر شيشي: كاتب صحفي ومحلل سياسي أمني في الشأن الأوروبي – باريس: القرضاوي منع من دخول فرنسا وأوروبا بشكل عام .  - جمال خاشقجي #JamalKhashoggi #السعودية</t>
  </si>
  <si>
    <t>pic.twitter.com/Yqa99YIBKU</t>
  </si>
  <si>
    <t xml:space="preserve">  محمد المرزوقي </t>
  </si>
  <si>
    <t>اللواء المتقاعد د. زايد العمري: خبير استراتيجي ومحلل سياسي: قطر اصابتها الغيرة من هذا النموذج الإسلامي الوسطي الصحيح .  - جمال خاشقجي #خاشقجي #قطر</t>
  </si>
  <si>
    <t>pic.twitter.com/MtZq7GybEE</t>
  </si>
  <si>
    <t>resul parlak 🇹🇷</t>
  </si>
  <si>
    <t>@BirGun_Gazetesi anlaşılan o ki teröristler ülkemize sızmış.Ben de vatandaşlık görevimi yapıp emniyete bildireyim o zaman @TC_icisleri @suleymansoylu @RTErdogan @dbdevletbahceli @TC_Disisleri #BarisPinariHarekati #BarisPinari #TurkishArmy #EmineBulut #OperationPeaceSpring</t>
  </si>
  <si>
    <t>https://pbs.twimg.com/media/EGcWtGMX0AIcnsb.jpg</t>
  </si>
  <si>
    <t xml:space="preserve"> عبد الله الدهش</t>
  </si>
  <si>
    <t>ادم ايرلي متحدث الخارجية الأمريكية السابق: اردوغان أكبر منافق في العالم..يذرف دموع التماسيح على جمال خاشقجي بينما يزج بالاَف الاتراك بالسجونAdam Ereli: Erdogan is the biggest hypocrite on the plant  #JamalKhashoggi #تركيا</t>
  </si>
  <si>
    <t>pic.twitter.com/opvooKkM7b</t>
  </si>
  <si>
    <t>Erzurum İl Gençlik Kolları Bşk.Yrd. Erzurum Büyükşehir Bel. Kültür A.Ş Gen. Müd. Yrd. Atatürk Üniversitesi Sosyal Bilimler Enstitüsü Yüksek Lisans mezunu</t>
  </si>
  <si>
    <t>مشعل النامي</t>
  </si>
  <si>
    <t>Mert</t>
  </si>
  <si>
    <t>🇹🇷🇹🇷🇹🇷🇹🇷🇹🇷🇹🇷🇹🇷🇹🇷🇹🇷🇹🇷🇹🇷🇹🇷🇹🇷🇹🇷🇹🇷🇹🇷🇹🇷🇹🇷🇹🇷🇹🇷🇹🇷🇹🇷🇹🇷🇹🇷🇹🇷🇹🇷🇹🇷🇹🇷🇹🇷🇹🇷🇹🇷🇹🇷🇹🇷🇹🇷🇹🇷🇹🇷🇹🇷🇹🇷🇹🇷🇹🇷🇹🇷🇹🇷🇹🇷🇹🇷🇹🇷🇹🇷🇹🇷🇹🇷🇹🇷🇹🇷🇹🇷🇹🇷🇹🇷🇹🇷🇹🇷🇹🇷🇹🇷🇹🇷🇹🇷🇹🇷🇹🇷🇹🇷🇹🇷🇹🇷🇹🇷🇹🇷🇹🇷🇹🇷🇹🇷🇹🇷🇹🇷🇹🇷🇹🇷🇹🇷🇹🇷🇹🇷🇹🇷🇹🇷🇹🇷🇹🇷🇹🇷🇹🇷🇹🇷🇹🇷🇹🇷🇹🇷🇹🇷🇹🇷🇹🇷🇹🇷🇹🇷🇹🇷🇹🇷🇹🇷🇹🇷🇹🇷🇹🇷🇹🇷🇹🇷🇹🇷🇹🇷🇹🇷🇹🇷🇹🇷 #BarışPınarıHarekati #BarisPinari #TurkishArmy #OperationPeaceSpring</t>
  </si>
  <si>
    <t xml:space="preserve">Kuwait </t>
  </si>
  <si>
    <t>كاتب وباحث سياسي سناب + انستغرام: meshal_alnami</t>
  </si>
  <si>
    <t>https://www.youtube.com/channel/UCo0yPlNMUgBkIby7Xhxij-A</t>
  </si>
  <si>
    <t xml:space="preserve"> سلطان  ابو روحين </t>
  </si>
  <si>
    <t>أتصال/ أ. أحمد محارم: كاتب صحفي ومحلل سياسي – نيويورك: تاريخ ايران على مدار 40سنه كان عدواني ولاسيما ضد المملكة .  - جمال خاشقجي #خاشقجي #قطر</t>
  </si>
  <si>
    <t>pic.twitter.com/OkGQAwXQjt</t>
  </si>
  <si>
    <t>Random Dude</t>
  </si>
  <si>
    <t>#Erdogan #Rojava #TurkishArmy Wird wohl Zeit was zu unternehmen liebe Bundesregierung und zwar sofort ! NATO Dringlichkeitssitzung oder was auch immer. Stoppt den Wahnsinn.</t>
  </si>
  <si>
    <t>Das Fucking geile Internet</t>
  </si>
  <si>
    <t>Say no to rascism. Memento Mori https://www.youtube.com/channel/UCqo5GO0AhEdHJUX3mP83qLQ XBL : xSoulHunterDKx http://www.Mixer.com/xSoulHunterDKx</t>
  </si>
  <si>
    <t xml:space="preserve"> ﺣﺴﻦ ﺁﻝ ﺣﻤﻮﺩ ‏ </t>
  </si>
  <si>
    <t>فيديو .. شاهد .. محلل قناة ٢٤ سعودي الحصري د . صباح الخزاعي يلجم مذيع وضيوف قناة الجزيرة للمرة الثانية خلال اسبوع  - جمال خاشقجي #ايران #خاشقجي</t>
  </si>
  <si>
    <t>pic.twitter.com/Oz9O07th3U</t>
  </si>
  <si>
    <t>Ali Osman</t>
  </si>
  <si>
    <t>Aziz şehitlerimizin intikamı için binlerce pkklı leş istiyoruz! 🇹🇷🇹🇷🇹🇷Allah yardımcınız olsun @TSKGnkur 🇹🇷🇹🇷🇹🇷 #OperationPeaceSpring #TurkishArmy #Barışpınarıharekatı</t>
  </si>
  <si>
    <t>ويس المسرحي</t>
  </si>
  <si>
    <t>pic.twitter.com/GwurqvBdX2</t>
  </si>
  <si>
    <t>TuRGuT-7</t>
  </si>
  <si>
    <t>FIRTINALAR DURSUN YANA YOL VER TÜRK'ÜN BAYRAĞINA #TurkishArmy #BarisPinariHarekati #BarisPinari #TürklerGeliyor #TürkMilletiOrdusununYanında</t>
  </si>
  <si>
    <t>https://pbs.twimg.com/media/EGcWqlRX0AAZpFG.jpg</t>
  </si>
  <si>
    <t>محمود المولد</t>
  </si>
  <si>
    <t>GALATASARAY</t>
  </si>
  <si>
    <t>-7- SAÜ🔚 Your time is limited..</t>
  </si>
  <si>
    <t>https://www.instagram.com/turgutcelikk7/</t>
  </si>
  <si>
    <t xml:space="preserve"> سليم  همام </t>
  </si>
  <si>
    <t>حصرياً.. السفير ادم ايرلي متحدث الخارجية الأمريكية السابق: اردوغان أكبر منافق في الكرة الأرضية..يذرف الدموع على خاشقجي بينما يزج بالاَف الاتراك بالسجونAdam Ereli: Erdogan is the biggest hypocrite on the plant  #خاشقجي #عام_على_رحيل_جمال</t>
  </si>
  <si>
    <t>pic.twitter.com/ZETglBrRBV</t>
  </si>
  <si>
    <t>يشا الدين علي</t>
  </si>
  <si>
    <t>pic.twitter.com/M33e2AY0ao</t>
  </si>
  <si>
    <t>Murat Keskin</t>
  </si>
  <si>
    <t>#TurkishArmy #BarisPinari</t>
  </si>
  <si>
    <t>https://pbs.twimg.com/media/EGcWofsXkAAT7VT.jpg</t>
  </si>
  <si>
    <t>ﻫﺎﺩﻱ ﺍﺑﻮﻃﺎﻟﺐ</t>
  </si>
  <si>
    <t>محلل قناة ٢٤ سعودي الفضائية د. عمر عبدالستار في نيران ايران : لم تكن الحملة المجنونة على السعودية من أجل خاشقجي بقدر ما كانت ضد سياسة السعودية في مواجهة ايران و الجماعات المتطرفة  #JamalKhashoggi #قطر</t>
  </si>
  <si>
    <t>Beyoğlu, İstanbul</t>
  </si>
  <si>
    <t>sm_murat keskin #istgram</t>
  </si>
  <si>
    <t>pic.twitter.com/m57CScUi1v</t>
  </si>
  <si>
    <t>Ali Yahya</t>
  </si>
  <si>
    <t>@KopruluSeral #TurkishArmy</t>
  </si>
  <si>
    <t xml:space="preserve"> فيصل ضبعان </t>
  </si>
  <si>
    <t>Manavgat, Antalya</t>
  </si>
  <si>
    <t>محلل قناة ٢٤ سعودي الفضائية جيري ماهر في برنامج لمن يهمه الأمر: السعودية تقود سياسة واضحة لفضح إيران وكشفها أمام المجتمع الدولي وكشف سياساتها الخبيثة في المنطقة ومشروعها المدمر  - جمال خاشقجي #JamalKhashoggi #تركيا</t>
  </si>
  <si>
    <t>VATANSEVER , ATATÜRKÇÜ , TÜRK-İSLAM BİRLİĞİ SEVDÂLISI ve MEHDİYET AŞIĞI</t>
  </si>
  <si>
    <t>pic.twitter.com/ajuN18ErBH</t>
  </si>
  <si>
    <t>mehmet körnüş</t>
  </si>
  <si>
    <t>BİZ, Ülkeleri değil kıtaları altüst ederiz...!!! #TurkishArmy #OperationPeaceSpring #BarışPınarıHarekati</t>
  </si>
  <si>
    <t>https://twitter.com/BLNT_KRN/status/1181936835733475330/photo/1</t>
  </si>
  <si>
    <t xml:space="preserve"> حميد ثواب </t>
  </si>
  <si>
    <t>حصري .. السفير ادم ايرلي متحدث الخارجية الأمريكية السابق : اردوغان أكبر منافق في العالم..يذرف دموع التماسيح على خاشقجي بينما يزج بالاَف الاتراك بالسجونAdam Ereli: Erdogan is the biggest hypocrite on the plant  #خاشقجي #عام_على_رحيل_خاشقجي</t>
  </si>
  <si>
    <t>pic.twitter.com/Gjpfjiyrd7</t>
  </si>
  <si>
    <t>konya</t>
  </si>
  <si>
    <t>Zulme Karşı Duranları, Karşısına Alanların, Karşısında Bende Varım.</t>
  </si>
  <si>
    <t>ϜϓſϞmerim 🇹🇷 TSK</t>
  </si>
  <si>
    <t>Aynı heyecanları paylaşmıyorsak kardeş değiliz ! #TurkishArmy #Türksilahlıkuvvetleri #BarısPınarıHarekatı</t>
  </si>
  <si>
    <t>https://pbs.twimg.com/media/EGcWnddW4AcKfcA.jpg</t>
  </si>
  <si>
    <t xml:space="preserve"> بركة الصبحي</t>
  </si>
  <si>
    <t>العميد متقاعد. حسن الشهري : لم يقف في وجه المملكة دولة أو نظام أو حزب الا خسر وتبقى المملكة منتصرة .  - جمال خاشقجي #خاشقجي #قطر</t>
  </si>
  <si>
    <t>pic.twitter.com/6x9XKIMWVv</t>
  </si>
  <si>
    <t>Vatan-Türk-Atatürk-Turan 🇹🇷🤘🇦🇿🤘🇰🇿🤘🇹🇲🤘🇰🇬🤘 DM ☠️ ⛔️ ChPkk ⛔️ Akp &amp; k*rt &amp; ermeni&amp;şeriaatçı&amp;tarikatçı⛔️ NO ‼️ STOP‼️Partisiz</t>
  </si>
  <si>
    <t>Sevim Gzm Tmc</t>
  </si>
  <si>
    <t>@debuffer1 #BarışPınarıHarekati #TurkishArmy</t>
  </si>
  <si>
    <t>يونس الحبيبي</t>
  </si>
  <si>
    <t>https://pbs.twimg.com/media/EGcWmcyXoAAbbHy.jpg</t>
  </si>
  <si>
    <t>pic.twitter.com/fDt9WA8h8l</t>
  </si>
  <si>
    <t>Aslen Erzurum İstanbul sevdalısı 🍁 Evli 🌹💛💙Fenerbahçe 💛💙</t>
  </si>
  <si>
    <t xml:space="preserve"> فهد  الدعجاني</t>
  </si>
  <si>
    <t>ادم ايرلي متحدث الخارجية الأمريكية السابق: اردوغان أكبر منافق في العالم..يذرف دموع التماسيح على جمال خاشقجي بينما يزج بالاَف الاتراك بالسجونAdam Ereli: Erdogan is the biggest hypocrite on the plant  #خاشقجي #قطر</t>
  </si>
  <si>
    <t>pic.twitter.com/oD84CTYMa3</t>
  </si>
  <si>
    <t>#BarışPınarıHarekatı</t>
  </si>
  <si>
    <t>#OperationPeaceSpring Ecdâdının heybeti ma'rûf-ı cihândır, Fıtrat değişir sanma, Bu KAN yine o kandır! Kahraman TÜRKLER geliyor!🇹🇷 #BarışPınarıHarekatı #TurkishArmy #tsk</t>
  </si>
  <si>
    <t>pic.twitter.com/Dnl5pKTx5K</t>
  </si>
  <si>
    <t>ᏠᎧᏕᏂᏬᏗ  ᎷᏗᏕᎧᏁ</t>
  </si>
  <si>
    <t>The FACE OF THE US Government and Agencies #TwitterKurds #Kurd #SDF #YPG #YPJ #Rojava #Kurdish #TurkishArmy</t>
  </si>
  <si>
    <t>https://pbs.twimg.com/media/EGcWRbDW4AAGn00.jpg</t>
  </si>
  <si>
    <t>عبدالرحمن مفلح</t>
  </si>
  <si>
    <t>أ. نايف الحربي: إعلامي وكاتب صحفي: من يضع يده بيد طهران و أنقرة سيجد الخراب والدمار .  - جمال خاشقجي #JamalKhashoggi #قطر</t>
  </si>
  <si>
    <t>pic.twitter.com/s3EsKrrhVY</t>
  </si>
  <si>
    <t>..........🇸🇾⏳👽⌛️🇱🇧.......... Independent, Realist. I refuse to get sucked into the Illusion of left and right! .. RT's does not always mean endorsement..</t>
  </si>
  <si>
    <t>Oğuzhan Sümer</t>
  </si>
  <si>
    <t>Heval gökyüzüne bakma hevaaaaal #TurkishArmy RT @1parcatuhaftik: #BarışPınarıHarekatı | HEVAL TUT GELİYOR #SONDAKİKA - #TurkishArmy - #BarışPınarı🇹🇷</t>
  </si>
  <si>
    <t>https://twitter.com/1parcatuhaftik/status/1181936293581864960</t>
  </si>
  <si>
    <t>يعقوب الصبي</t>
  </si>
  <si>
    <t>https://pbs.twimg.com/media/EGcUyl-WwAUSPe5.png</t>
  </si>
  <si>
    <t>Kendi çapında bilime meraklı şahsiyet 🌍</t>
  </si>
  <si>
    <t>احمد العصيمي</t>
  </si>
  <si>
    <t>تقرير: علم إسرائيل يرفرف مجدداً في سماء الدوحة في بطولة ألعاب القوى.  - جمال خاشقجي #خاشقجي #تركيا</t>
  </si>
  <si>
    <t>pic.twitter.com/ScglNQHpEU</t>
  </si>
  <si>
    <t>TheBeşiktaş</t>
  </si>
  <si>
    <t>Yaptıklarını konuşurken bile ar eden, yüreği yanan bu amcanın ve nice mazlumun ahını yerde bırakma Allah'ım. Ordumuza güç ve ayaklarını taşa değdirme inşallah. Amin... #TurkishArmy RT @aybers: "Türkler, müslümanlar gelmişler. Allah'a şükür o köpeklerden kurtulduk. YPG/PKK'dan kurtulduk. Ne namus bıraktılar, ne çocuk bıraktılar. 8 çocuğum vardı hepsi gitti. Hiçbiri kalmadı." #TurkishArmy</t>
  </si>
  <si>
    <t>https://twitter.com/aybers/status/1181864711836639232</t>
  </si>
  <si>
    <t>pic.twitter.com/iyD9AR9bCZ</t>
  </si>
  <si>
    <t>مهدي الجود</t>
  </si>
  <si>
    <t>pic.twitter.com/HSAKaSxMjB</t>
  </si>
  <si>
    <t>\☻-------☻/---\☻/ --▌\-BiR-/▌-iKi---▌-ÜÇ-- -/\------ /\---- /\ BEŞİKTAŞŞŞŞŞŞŞKK</t>
  </si>
  <si>
    <t>BaySukut</t>
  </si>
  <si>
    <t>Herkes bilsin ki biz ihanet içinde olanları biliriz celalimizi tatmayanlar bizi çekiniyor sanmasınlar sadece cezalarının vaktini beklesinler La Galibe İllallah 🇹🇷🇹🇷🇹🇷 #OperationPeaceSpring #TurkishArmy #Barışpınarıharekatı</t>
  </si>
  <si>
    <t> محمد بن مخلف </t>
  </si>
  <si>
    <t>د. عدنان محمد: يٌقاتل ترامب الإيرانيين بالسلاح الذي يخشونه وليس بالسلاح الذي يُريدونه.  - جمال خاشقجي #خاشقجي #قطر</t>
  </si>
  <si>
    <t>pic.twitter.com/cE1BAg8UY7</t>
  </si>
  <si>
    <t>pic.twitter.com/qzEXHtjrV7</t>
  </si>
  <si>
    <t>TR</t>
  </si>
  <si>
    <t>BaySukut Official twitter account social media Expert #BaySukutTR 🇹🇷🇹🇷🇹🇷</t>
  </si>
  <si>
    <t xml:space="preserve"> غيث  الثبيتي </t>
  </si>
  <si>
    <t>تقرير / الجبير: إيران "دولة عدائية" وعليها احترام سيادة الآخرين .  - جمال خاشقجي #خاشقجي #عام_على_اغتيال_جمال</t>
  </si>
  <si>
    <t>pic.twitter.com/BvWNzS4XZ5</t>
  </si>
  <si>
    <t>Suat 🇹🇷</t>
  </si>
  <si>
    <t>✈ 💥 ✈ 💥 ✈ 💥#TurkishArmy #BarisPinariHarekati 🇹🇷🇹🇷</t>
  </si>
  <si>
    <t>https://pbs.twimg.com/media/EGcWlDjW4AMItkb.jpg</t>
  </si>
  <si>
    <t>ناصر الصفار</t>
  </si>
  <si>
    <t>Merkez, Karabük</t>
  </si>
  <si>
    <t>Sevdamız Asuman , Önce Vatan 🇹🇷👨‍✈️✈✈ Dumanlı Kentin Puslu Çocukları 💪 Karabük / İstanbul</t>
  </si>
  <si>
    <t>http://Instagram.com/suatbsky</t>
  </si>
  <si>
    <t>Halil Erdoğdu</t>
  </si>
  <si>
    <t>Rabbim Mehmetçiğimiz yar ve yardımcısı olsun, ayaklarına taş değmesin inşallah 🤲 #BarisPinariHarekati #TurkishArmy #BarisPinari #OperationPeaceSpring</t>
  </si>
  <si>
    <t xml:space="preserve"> أكرم  الغامدي</t>
  </si>
  <si>
    <t>أ. عبدالرحمن الملحم - كاتب ومحلل سياسي : قطر قامت بخيانة دول مجلس التعاون بإعطاء احداثيات حول الجنود الاماراتيين والسعوديين .  - جمال خاشقجي #JamalKhashoggi #السعودية</t>
  </si>
  <si>
    <t>https://pbs.twimg.com/media/EGcWi3FXYAApa_g.jpg</t>
  </si>
  <si>
    <t>pic.twitter.com/LSENQfNic5</t>
  </si>
  <si>
    <t>عبد الحفيظ</t>
  </si>
  <si>
    <t>pic.twitter.com/j9v57ni3sZ</t>
  </si>
  <si>
    <t>علي آل سوده</t>
  </si>
  <si>
    <t>اللواء المتقاعد د. زايد العمري: خبير استراتيجي ومحلل سياسي: قطر تشوه صورة الإسلام داخل أوروبا .  - جمال خاشقجي #JamalKhashoggi #تركيا</t>
  </si>
  <si>
    <t>pic.twitter.com/mezGCNuV94</t>
  </si>
  <si>
    <t>Türker Gözaçanlar</t>
  </si>
  <si>
    <t>Gurur.. #TurkishArmy 🇹🇷</t>
  </si>
  <si>
    <t>https://pbs.twimg.com/media/EGcWjrAX0AA0-xW.jpg</t>
  </si>
  <si>
    <t xml:space="preserve"> ﺳﻠﻴﻤﺎﻥ ﺑﻦ ﻣﻌﻴﻮﻑ </t>
  </si>
  <si>
    <t>تقرير : قطر والإخوان في أوروبا .. جمعيات مشبوهة وتمويل للإرهاب  - جمال خاشقجي #خاشقجي #تركيا</t>
  </si>
  <si>
    <t>pic.twitter.com/4NPUgqPpa1</t>
  </si>
  <si>
    <t>محبوبر الأمر</t>
  </si>
  <si>
    <t>Ömer HEDEF 🇹🇷</t>
  </si>
  <si>
    <t>#BarisPinariHarekati #OperationPeaceSpring #TurkishArmy</t>
  </si>
  <si>
    <t>pic.twitter.com/PliDHa0L02</t>
  </si>
  <si>
    <t>pic.twitter.com/QBaIoYFifZ</t>
  </si>
  <si>
    <t xml:space="preserve"> ﻋﺒﻴﺪ ﺍﻟﺤﺠﻴﻠﻲ</t>
  </si>
  <si>
    <t>أ. نايف الحربي: إعلامي وكاتب صحفي: ايران تريد الاضرار بأمن المملكة .  - جمال خاشقجي #ايران #خاشقجي</t>
  </si>
  <si>
    <t>pic.twitter.com/SL8DawJVVs</t>
  </si>
  <si>
    <t>Van, Türkiye</t>
  </si>
  <si>
    <t>Paşa Denizin Baba sı</t>
  </si>
  <si>
    <t>Harun Tatlıpınar</t>
  </si>
  <si>
    <t>Üstte mavi gök çökmedikçe, altta yağız yer yarılmadıkça kimse #TurkishArmy durduramaz. Gururumu satarsam Türklüğe su katarsam İte kemik atarsam Yürümezsem hak yolda Erimezsem hak yolda Çürümezsem hak yolda #GökGirsinKızılÇıksın #OperationPeaceSpring #BarışPınarıHarekati</t>
  </si>
  <si>
    <t>نصري عطا مبارك</t>
  </si>
  <si>
    <t>Ötüken 4 Yön 7 Kıta 🇹🇷</t>
  </si>
  <si>
    <t>🇹🇷 Yükün dürüstlükse,gücün düşer belki,fakat başın düşmez. ☾ Türk İslâm Milliyetçisi ✮ Zalim için Alp,Mazlum için Eren ☽🇹🇷 Hiçlik makamı 🖤A</t>
  </si>
  <si>
    <t>Freeze</t>
  </si>
  <si>
    <t xml:space="preserve"> ﻓﺎﻟﺢ ﺑﻦ ﺟﺎﺯﻉ</t>
  </si>
  <si>
    <t>عاجل و هام: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#قطر</t>
  </si>
  <si>
    <t>Vur şanlı silahınla gönül mülkü düzelsin; Sen öldürüyorken de vururken de güzelsin!! 🇹🇷🇹🇷🇹🇷 #TurkishArmy #BarisPinariHarekati #OperationPeaceSpring</t>
  </si>
  <si>
    <t>pic.twitter.com/JKvO6kcn1D</t>
  </si>
  <si>
    <t>Ex @GuardOfValhalla Fetocuların can düşmanı. Küfür sevmeyen varsa anfaro etsin hemen.</t>
  </si>
  <si>
    <t xml:space="preserve"> تركي آل فطيح</t>
  </si>
  <si>
    <t>تقرير / قطر وإعلام التضليل والأكاذيب وخداع الإعلام الدولي.  - جمال خاشقجي #خاشقجي #قطر</t>
  </si>
  <si>
    <t>pic.twitter.com/MG9QLMEzT0</t>
  </si>
  <si>
    <t>ناظم السبيعي</t>
  </si>
  <si>
    <t>pic.twitter.com/Vk2xWICqo0</t>
  </si>
  <si>
    <t>Simphiwe Majola</t>
  </si>
  <si>
    <t>عمر  ال سعيد</t>
  </si>
  <si>
    <t>Trump's unmatched wisdom was ignored 😔 #TurkishArmy RT @SkyNews: "What we're seeing is one of the greatest betrayals in military history." @DominicWaghorn has the latest as Turkey launches its military operation in northern Syria. Read more:</t>
  </si>
  <si>
    <t>أ. نايف الحربي: إعلامي وكاتب صحفي: قناة الجزيرة لديها مزاعم واكاذيب تحاول أن تخدع الرأي العام للنيل من المملكة .  - جمال خاشقجي #JamalKhashoggi #السعودية</t>
  </si>
  <si>
    <t>pic.twitter.com/eNT3m9jnRS</t>
  </si>
  <si>
    <t>https://twitter.com/SkyNews/status/1181928623948931072
http://po.st/INKvJZ</t>
  </si>
  <si>
    <t>https://pbs.twimg.com/media/EGcNqAIW4AAJM_m.jpg</t>
  </si>
  <si>
    <t>Johannesburg South Africa</t>
  </si>
  <si>
    <t>ibhinca</t>
  </si>
  <si>
    <t>ياسين عبد الله</t>
  </si>
  <si>
    <t>محلل قناة ٢٤ سعودي الفضائية صباح الخزاعي في بصريح العبارة : ارتباط دبلوماسيين إيرانيين بمخطط الهجوم على مباراة كرة القدم في كأس العالم عام 2016م في ألبانيا  #خاشقجي #عام_على_رحيل_خاشقجي</t>
  </si>
  <si>
    <t>pic.twitter.com/8MoFeHhbmM</t>
  </si>
  <si>
    <t>Mr.Feri</t>
  </si>
  <si>
    <t>Havada,karada,denizde,çölde çatakta ve batakta Her zaman ve heryerde🇹🇷 #TurkishArmy #BarisPinariHarekati</t>
  </si>
  <si>
    <t>https://pbs.twimg.com/media/EGcWfWzXkAEqLmU.jpg</t>
  </si>
  <si>
    <t>Rize, Türkiye</t>
  </si>
  <si>
    <t>🦅♥️</t>
  </si>
  <si>
    <t xml:space="preserve"> فهيد الشمري</t>
  </si>
  <si>
    <t>محلل قناة ٢٤ سعودي الفضائية د. عمر عبدالستار في نيران ايران : العلاقة بين أمريكا و ايران هي في مرحلة ردع  - جمال خاشقجي #JamalKhashoggi #تركيا</t>
  </si>
  <si>
    <t>pic.twitter.com/m9Us0viqw1</t>
  </si>
  <si>
    <t>SU P Hİ 🤦🏻‍♂️</t>
  </si>
  <si>
    <t>#TurkishArmy RT @eskibirmuhtar: Çocukların korkmadığı tek ordu... #TurkishArmy</t>
  </si>
  <si>
    <t>https://twitter.com/eskibirmuhtar/status/1181830089085992960</t>
  </si>
  <si>
    <t>https://pbs.twimg.com/media/EGa0LsjW4AMa0UL.jpg</t>
  </si>
  <si>
    <t>Hatay Merkez, Hatay</t>
  </si>
  <si>
    <t>Bitmiş değil de bitirilmiş biri..</t>
  </si>
  <si>
    <t>pic.twitter.com/uawFlZy5Kw</t>
  </si>
  <si>
    <t>♈miskeceli♈✒</t>
  </si>
  <si>
    <t>Türk olmak zordur, çünkü dünya ile savaşırsın. Türk olmamak daha zordur, çünkü Türk ile savaşırsın. Dualarımız ve Kalplerimiz sizinle #TurkishArmy 🇹🇷 Allah yar ve yardımcınız olsun..🙏🇹🇷 #BarışPınarıHarekati #BarışPınarıOperasyonu</t>
  </si>
  <si>
    <t>pic.twitter.com/pnHqUjWDxa</t>
  </si>
  <si>
    <t>الخطر الأعظمم على معظمنا هو ليس أن يكون هدفنا عال جداً, و أن نخفق في تحقيقه, بل أن يكون سهلاً جداً و نحققه.</t>
  </si>
  <si>
    <t xml:space="preserve">İstanbul, Türkiye 🇹🇷 </t>
  </si>
  <si>
    <t>~~~~~~ ❥ ~❤~ ❥ ~~~~~~ #ATATÜRK #Fenerbahçe #interiordesigner #kitchendesign</t>
  </si>
  <si>
    <t>http://instagram.com/miskeceli1</t>
  </si>
  <si>
    <t xml:space="preserve"> سلطان الغانم</t>
  </si>
  <si>
    <t>تقرير / قطر وإعلام التضليل والأكاذيب وخداع الإعلام الدولي.  - جمال خاشقجي #JamalKhashoggi #السعودية</t>
  </si>
  <si>
    <t>pic.twitter.com/8YDeavXdnq</t>
  </si>
  <si>
    <t>güneş🇹🇷</t>
  </si>
  <si>
    <t>Biz, "ülke" diyoruz, "vatan" diyoruz, "sınır güvenliği" diyoruz, "terör koridoru yok edilmeli" diyoruz. Kemal Kılıçdaroğlu,hâlâ"hangi gerekçeyle" diyor. #TurkishArmy</t>
  </si>
  <si>
    <t>🌙 Hilal'in altında bir olalım.Çok kalabalık olacağız göreceksiniz🌟 Azgın dalgalara direnen insanlığın son adası 🌊cCc🌊</t>
  </si>
  <si>
    <t>نعيم الأسمري</t>
  </si>
  <si>
    <t>pic.twitter.com/fhFw9cBxzc</t>
  </si>
  <si>
    <t>منيب الجلالي</t>
  </si>
  <si>
    <t>pic.twitter.com/0Qv9yaVmMy</t>
  </si>
  <si>
    <t>ALP</t>
  </si>
  <si>
    <t>Turkish army comes to protect innocent civilians 🇹🇷 #TurkishArmy</t>
  </si>
  <si>
    <t>MB</t>
  </si>
  <si>
    <t>http://ultrAslan.net</t>
  </si>
  <si>
    <t>احمد الزهراني</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</si>
  <si>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#عام_على_رحيل_خاشقجي</t>
  </si>
  <si>
    <t>pic.twitter.com/Z7UZpOrvyO</t>
  </si>
  <si>
    <t>Salih Şahin</t>
  </si>
  <si>
    <t>https://pbs.twimg.com/media/EGcWakdWsAE0W7-.jpg</t>
  </si>
  <si>
    <t>هزاع الشريف</t>
  </si>
  <si>
    <t>أ. نايف الحربي: إعلامي وكاتب صحفي : الآلة الإعلامية القطرية و قناة الجزيرة وتوابعها هزموا .  - جمال خاشقجي #JamalKhashoggi #قطر</t>
  </si>
  <si>
    <t>pic.twitter.com/tthpjTovTW</t>
  </si>
  <si>
    <t>Özgür Türkyılmaz</t>
  </si>
  <si>
    <t>Tarihin En Şanlı Ordusu, gururumuz #TSK #TurkishArmy Allah'ın izniyle kahraman Mehmetçiğimiz tüm terörist unsurları yokedecek. Dünyaya meydan okuyoruz. Allah ayağınıza taş değdirmesin yiğitler.</t>
  </si>
  <si>
    <t>https://pbs.twimg.com/media/EGcWZ-LXkAATcnj.jpg</t>
  </si>
  <si>
    <t>جبران الفيفي</t>
  </si>
  <si>
    <t>أتصال/ أ. أحمد محارم: كاتب صحفي ومحلل سياسي – نيويورك: تاريخ ايران على مدار 40سنه كان عدواني ولاسيما ضد المملكة .  - جمال خاشقجي #خاشقجي #تركيا</t>
  </si>
  <si>
    <t>Selçuk Üniversitesi, Beden eğitimi ve spor öğretmenliği, Motorsikletli Trafik polisi, “Şahinler” İzmir, 🇹🇷Kahramanlar can verir Yurdu yaşatmak için...🇹🇷</t>
  </si>
  <si>
    <t>pic.twitter.com/wWmRB9dlzA</t>
  </si>
  <si>
    <t>Ahmet Durmuş</t>
  </si>
  <si>
    <t>SEFER BIZIM ZAFER ALLAHIN DIR. ŞANLI TÜRK ORDUSU DÜNYAYA UMUT VERMEYE GELDI #TurkishArmy #BarisPinari</t>
  </si>
  <si>
    <t>https://pbs.twimg.com/media/EGcWZRuXYAAX0tQ.jpg</t>
  </si>
  <si>
    <t xml:space="preserve"> ﻋﺒﺪﺍﻟﺮﺣﻤﻦ ﺍﻟﻤﺴﻴﻄﺮ</t>
  </si>
  <si>
    <t>د. محمد العوين : الحكومة القطرية ليس لها أي توجه إسلامي فهي لديها شعور بالضآلة وهو ما أوصلها للحقد والكراهية نحو المملكة .  - جمال خاشقجي #ايران #خاشقجي</t>
  </si>
  <si>
    <t xml:space="preserve">İstanbul </t>
  </si>
  <si>
    <t>pic.twitter.com/mP6kbsvVRW</t>
  </si>
  <si>
    <t>⚫İstanbul/Giresun ⚫Drift King👑🔥 ⚫Arabaları Sevin Insanlar Alışık Değil ⚫Chef 🔪 ⚫Bozkurt 🐺 ϜϓſϞ ! MUSTAFA KEMAL ATATÜRK ⛳</t>
  </si>
  <si>
    <t>https://instagram.com/ahmetdurmu/</t>
  </si>
  <si>
    <t>BağımsızDeli</t>
  </si>
  <si>
    <t>#OperationPeaceSpring #TurkishArmy #BarisPinariHarekati #BarisPinari Korkma! Sönmez bu şafaklarda yüzen al sancak, Sönmeden yurdumun üstünde tüten en son ocak, O benim milletimin yıldızıdır parlayacak, O benimdir o benim milletimindir ancak.</t>
  </si>
  <si>
    <t>Khalil Elkerdi | خليل الكردي</t>
  </si>
  <si>
    <t>https://pbs.twimg.com/media/EGcWZMSXoAUdl-w.jpg</t>
  </si>
  <si>
    <t>@ActualidadRT @AlRodriguezGar ¡#MBS está pateando traseros Houthi en Yemen! ¡#Catar eligió traicionar a los países árabes hermanos! ¡MBS está luchando contra los representantes terroristas de #Iran ¡MBS traerá justicia a #JamalKhashoggi! Aquí están las actualizaciones:</t>
  </si>
  <si>
    <t>pic.twitter.com/mCU522P3KM</t>
  </si>
  <si>
    <t>turkey izmir</t>
  </si>
  <si>
    <t>Cahilliği okul okutarak geçirmek zordur. Öncelikle kendi düşüncelerinin olduğunu öğretmek gerek insanlara... İrade önemli...</t>
  </si>
  <si>
    <t>Lebanon</t>
  </si>
  <si>
    <t>ʀᴇᴛᴡᴇᴇᴛ ≠ ᴇɴᴅᴏʀꜱᴇ ʟᴇᴛ'ꜱ ᴛᴀʟᴋ, ᴄʟɪᴄᴋ ᴛʜᴇ ʟɪɴᴋ ᴘꜱ. ɴᴏᴛ ᴀ ʏᴇꜱ ꜱɪʀ, ɴᴏᴛ ᴀ ꜰᴏʟʟᴏᴡᴇʀ</t>
  </si>
  <si>
    <t>https://api.whatsapp.com/send?phone=96171373252</t>
  </si>
  <si>
    <t>gflowersss #FBPE #FBR 🇬🇧🇺🇸🇪🇺</t>
  </si>
  <si>
    <t>Whilst we are worrying and distracted about Brexit, a genocide is taking place in northern Syria. And we are just watching. #TurkishArmy #KurdsBetrayedByTrump #TrumpWillBeImpeached #TurkeyIsNotOurFriend</t>
  </si>
  <si>
    <t>United Kingdom</t>
  </si>
  <si>
    <t>British American dual citizen. ex United Nations. British Foreign Office. Resister and Remainer. REVOKE A50. Mother. teacher. traveller. dog rescuer #ynwa</t>
  </si>
  <si>
    <t xml:space="preserve">  فالح المجحد</t>
  </si>
  <si>
    <t>أ. هاني الحجي : قطر أُستحدمت من تركيا و ايران كأداة لتدمير المنطقة واقتصادها.  #خاشقجي #عام_على_رحيل_جمال</t>
  </si>
  <si>
    <t>pic.twitter.com/umpvCWdsn9</t>
  </si>
  <si>
    <t>عبدالله آل بن علي</t>
  </si>
  <si>
    <t>فيديو .. شاهد .. محلل قناة ٢٤ سعودي الحصري د . صباح الخزاعي يلجم مذيع وضيوف قناة الجزيرة للمرة الثانية خلال اسبوع  - جمال خاشقجي #خاشقجي #عام_على_رحيل_جمال</t>
  </si>
  <si>
    <t>pic.twitter.com/QX7BHZ4a8h</t>
  </si>
  <si>
    <t>محمد عوض</t>
  </si>
  <si>
    <t>أتصال/ أ. أحمد محارم: كاتب صحفي ومحلل سياسي – نيويورك: تاريخ ايران على مدار 40سنه كان عدواني ولاسيما ضد المملكة .  - جمال خاشقجي #خاشقجي #عام_على_رحيل_خاشقجي</t>
  </si>
  <si>
    <t>pic.twitter.com/ZZYtPYOyn6</t>
  </si>
  <si>
    <t>سهيل الصميلي</t>
  </si>
  <si>
    <t>بالسفر الى هيوستن من أماكن بعيدة أو بحاجة الى العودة الى السفارة</t>
  </si>
  <si>
    <t>Kubilay Kızıldenizli</t>
  </si>
  <si>
    <t>#BarisPinariHarekati başladı. Ordumuzun yolu açık, Mehmetçiğimizin kılıcı keskin olsun. #TurkishArmy</t>
  </si>
  <si>
    <t>تحسين الياسين</t>
  </si>
  <si>
    <t>https://pbs.twimg.com/media/EGcWTQaWkAACS0H.jpg</t>
  </si>
  <si>
    <t>pic.twitter.com/rwKbByPT3x</t>
  </si>
  <si>
    <t>TEORİ YAZI KURULU ÜYESİ ”Bütün Bunların, Şunların, Onların, Hepsi, Hepsi Aydınlıkçılardan Hepsi Aydınlıkçı”Nazım Hikmet</t>
  </si>
  <si>
    <t>Ömer Faruk</t>
  </si>
  <si>
    <t>#BarışPınarıHarekati #TurkishArmy</t>
  </si>
  <si>
    <t xml:space="preserve">   مالك  العتيبي</t>
  </si>
  <si>
    <t>محلل قناة ٢٤ سعودي الفضائية د. أنور مالك في المراقب : إيران تعاني من ضغوط داخلية وخارجية بسب العقوبات الأمريكية التي استهدفت تصفير صادرات النفط الإيراني  #خاشقجي #عام_على_رحيل_جمال</t>
  </si>
  <si>
    <t>pic.twitter.com/KhVIx3LH3v</t>
  </si>
  <si>
    <t>https://pbs.twimg.com/media/EGcWQ6JWkAM4ErN.jpg</t>
  </si>
  <si>
    <t>Yığın hale hükmeder, Büyük adam istikbale. #NationalFighter🇹🇷</t>
  </si>
  <si>
    <t>Zafer inananlarındır. Gazamız mübarek olsun. #TurkishArmy #BarisPinariHarekati #OperationPeaceSpring</t>
  </si>
  <si>
    <t>تحميض البيشي</t>
  </si>
  <si>
    <t>pic.twitter.com/QAmUGdzcdJ</t>
  </si>
  <si>
    <t>Abha</t>
  </si>
  <si>
    <t>Fetih Başlıyor</t>
  </si>
  <si>
    <t>Fırat'ın doğusunda Rasulayn üzerinde uçan savaş uçaklarımız gökyüzünü ay yıldız ile süslüyor... #BarışPınarıHarekati #OperationPeaceSpring #TurkishArmy #BarisPinari</t>
  </si>
  <si>
    <t>pic.twitter.com/zwARSBI9Ka</t>
  </si>
  <si>
    <t>رايد ابراهيم</t>
  </si>
  <si>
    <t>اللواء متقاعد. عبدالله القحطاني : النظام القطري ليس ممولاً للجماعات الإرهابية فقط بل هو يهيء الغطاء الدبلوماسي و السياسي لهم  - جمال خاشقجي #خاشقجي #قطر</t>
  </si>
  <si>
    <t>pic.twitter.com/gipB0MA4U8</t>
  </si>
  <si>
    <t>Ankara • Turkey</t>
  </si>
  <si>
    <t>Eğitimci•Educator &amp; Öğretmen•Teacher DEĞİŞİMİ gerçekleştirecek nitelikteki niyet gücü, adım atma gücü "ben"de, "sen"de ve "biz"dedir. Ali İmran│137, 138, 139.</t>
  </si>
  <si>
    <t>Çiğdem Koncagül</t>
  </si>
  <si>
    <t>#BarisPinariHarekati 🇹🇷🇹🇷 #OperationPeaceSpring #TurkishArmy</t>
  </si>
  <si>
    <t>https://pbs.twimg.com/media/EGcWRK8WwAAeviq.jpg</t>
  </si>
  <si>
    <t>شكري الجود</t>
  </si>
  <si>
    <t>AK Parti Genel Merkez Kadın Kolları MKYK ve MYK Üyesi, Yerel Yönetimler Başkanı, AK Parti Tekirdağ Milletvekili</t>
  </si>
  <si>
    <t>و عادة تساعد على المسائل القنصلية في نطاق واسع و سائر القنصليات المملكة العربية السعودية الصغرى غالبا قام بإدارتها</t>
  </si>
  <si>
    <t>YUSUFTAŞ</t>
  </si>
  <si>
    <t>Ayağınıza taş değmesin #TurkishArmy #BarisPinariHarekati</t>
  </si>
  <si>
    <t xml:space="preserve"> ماهر  القرشي</t>
  </si>
  <si>
    <t>محلل قناة ٢٤ سعودي الفضائية د. عمر عبدالستار في نيران ايران : ايران بهذا النظام غير قابلة للتغيير، ولكنها في نفس الوقت هي عرضة للتفكك  - جمال خاشقجي #خاشقجي #عام_على_رحيل_جمال</t>
  </si>
  <si>
    <t>https://pbs.twimg.com/media/EGcWRJSXUAAJ2XD.jpg</t>
  </si>
  <si>
    <t>pic.twitter.com/HhyolfSYvM</t>
  </si>
  <si>
    <t>siz beni 2019 da görücektiniz</t>
  </si>
  <si>
    <t>https://www.youtube.com/yusufta%C5%9F</t>
  </si>
  <si>
    <t>شريفلله الأسمري</t>
  </si>
  <si>
    <t>السفارة المملكة العربية السعودية في الولايات المتحدة ـ في حال عدم إمكانية القنصلية في هيوستن أو أية قنصلية المملكة العربية السعودية في</t>
  </si>
  <si>
    <t xml:space="preserve">محمد ابراهيم </t>
  </si>
  <si>
    <t>تقرير / خامنئي : احتجاجات العراق مؤامرة .. وضبط قناصة إيرانيين يقتلون المتظاهرين.  #خاشقجي #تركيا</t>
  </si>
  <si>
    <t>pic.twitter.com/CyuCoettun</t>
  </si>
  <si>
    <t>orhan_eralp</t>
  </si>
  <si>
    <t>Allah yar ve yardımcınız olsun inşallah 🇹🇷🇹🇷🇹🇷🇹🇷 #BarisPinariHarekati #TurkishArmy</t>
  </si>
  <si>
    <t>طاهر السفر</t>
  </si>
  <si>
    <t>pic.twitter.com/QOQGwXpmhl</t>
  </si>
  <si>
    <t>GAZİANTEP</t>
  </si>
  <si>
    <t>beyaz atlı prensi bekleme seyise razı ol yoksa ata kalırsın 😉😉</t>
  </si>
  <si>
    <t>EBRK 1903</t>
  </si>
  <si>
    <t>Ölünüzü dirinizi her gün birinizi 🇹🇷🇹🇷🇹🇷🇹🇷🇹🇷 #TurkishArmy #BarışPınarıHarekati</t>
  </si>
  <si>
    <t>pic.twitter.com/Vz3bCVxiWI</t>
  </si>
  <si>
    <t>Rose Ann Witt</t>
  </si>
  <si>
    <t>World #Leaders Claim 2 #Represent #Justice But Lack #Morality: #JamalKhashoggi's killing wasn't just a #journalist's #murder but an #assault on basic #values, #HumanRights, #RuleOfLaw &amp; norms of #diplomacy:  #SaudiArabia #MbS #accountability #FreeSpeech</t>
  </si>
  <si>
    <t>https://time.com/5690601/jamal-khashoggi-anniversary/</t>
  </si>
  <si>
    <t>Beşiktaş</t>
  </si>
  <si>
    <t>USA</t>
  </si>
  <si>
    <t>D.İNCİ</t>
  </si>
  <si>
    <t>Allah yardımcınız olsun #turkmilletiordusununyaninda #TurkishArmy RT @Fenerbahce: İstiklal ve istikbalimizin korkusuz bekçisi olan Türk Silahlı Kuvvetlerimize muvaffakiyetler diliyoruz. 🇹🇷 Kalbimiz ve dualarımız Barış Pınarı Harekatı’nda görev alan askerlerimizle... #TürkMilletiOrdusununYanında</t>
  </si>
  <si>
    <t xml:space="preserve">  عوده الجهني </t>
  </si>
  <si>
    <t>تقرير / الجزيرة وحديث الرويبضه وتحويل الحقائق وتحريفها عن مواضعها للفتنة.  - جمال خاشقجي #خاشقجي #عام_على_رحيل_خاشقجي</t>
  </si>
  <si>
    <t>pic.twitter.com/8GKZFcj1W7</t>
  </si>
  <si>
    <t>London, England</t>
  </si>
  <si>
    <t xml:space="preserve"> محمد الجبيري</t>
  </si>
  <si>
    <t>Pearl Logistics Services 🇹🇷🇬🇧</t>
  </si>
  <si>
    <t>أ. خالد النزر : الدولة القطرية تريد أن تجعل لها دور فعال في عديد من المواضيع فأصبحت سلم تمتطيه العديد من الدول .  - جمال خاشقجي #JamalKhashoggi #السعودية</t>
  </si>
  <si>
    <t>pic.twitter.com/MRoSKFGld8</t>
  </si>
  <si>
    <t xml:space="preserve"> سعيد آل منعه</t>
  </si>
  <si>
    <t>أتصال/ العميد د. سمير راغب: رئيس المؤسسة العربية للتنمية والدراسات الاستراتيجية – القاهرة:ايران لن تكتفي بما فعلت داخل العراق .. فقامت بدفع الخلايا النائمة لإشعال حرب أهلية في العراق .  #خاشقجي #عام_على_اغتيال_جمال</t>
  </si>
  <si>
    <t>pic.twitter.com/EwIdjga9do</t>
  </si>
  <si>
    <t>خويشان المطيري</t>
  </si>
  <si>
    <t>د. عدنان محمد: لدى موظفي قناة الجزيرة ولاءها للنظام الإرهابي في ايران أكثر من الشعب الإيراني الحر الأبي الذي يخرج كل يوم ويهتف لإسقاط هذا النظام الذي يحتل ايران .  - جمال خاشقجي #خاشقجي #تركيا</t>
  </si>
  <si>
    <t>pic.twitter.com/zG101pNZBJ</t>
  </si>
  <si>
    <t>maroontr</t>
  </si>
  <si>
    <t>If it wasn't for the West's blatant support for the YPG/PKK, which is a separatist Kurdish terrorist group that we've fought for well over 40 years, we would have wiped them off the face of this earth with this op. May Allah protect the Turks! #BarisPinariHarekati #TurkishArmy</t>
  </si>
  <si>
    <t>https://pbs.twimg.com/media/EGcWP1lXkAAssbc.jpg</t>
  </si>
  <si>
    <t xml:space="preserve"> هلآل السنان  </t>
  </si>
  <si>
    <t>حصرياً. السفير ادم ايرلي متحدث الخارجية الأمريكية السابق: اردوغان المنافق..يذرف دموع التماسيح على جمال خاشقجي بينما يزج بالاَف الاتراك بالسجونAdam Ereli: Erdogan is the biggest hypocrite on the plant  #خاشقجي #عام_على_رحيل_خاشقجي</t>
  </si>
  <si>
    <t>pic.twitter.com/DUi9YepQHG</t>
  </si>
  <si>
    <t>Rahim Türk</t>
  </si>
  <si>
    <t>#OperationPeaceSpring #TurkishArmy</t>
  </si>
  <si>
    <t xml:space="preserve"> أحمد الضبيب </t>
  </si>
  <si>
    <t>https://pbs.twimg.com/media/EGcWPA0XYAIAFos.jpg</t>
  </si>
  <si>
    <t>اللواء متقاعد د. شامي الظاهري : الجناح الرئيسي لـ ايران هم الحوثيين ، إذا كسِر هذا الجناح ستضعف إيران كثيراً .  - جمال خاشقجي #ايران #خاشقجي</t>
  </si>
  <si>
    <t>pic.twitter.com/4G7DHGptXI</t>
  </si>
  <si>
    <t>Fatih, İstanbul</t>
  </si>
  <si>
    <t>Eğitimci | Yazar | İktisat Bilim Uzmanı | İş Adamı Uluslararası Vizyon Gençlik Derneği Genel Başkanı | Evlatlarının Babası Eğitimler İçin Menajer +905443760913</t>
  </si>
  <si>
    <t>http://www.rahimturk.com</t>
  </si>
  <si>
    <t>شهيد الأمر</t>
  </si>
  <si>
    <t>pic.twitter.com/WKaW9MauDX</t>
  </si>
  <si>
    <t xml:space="preserve"> ﻧﺎﺻﺮ ﺍﻟﺤﺎﺭﺛﻲ ‏ </t>
  </si>
  <si>
    <t>د. محمد العوين: على الأوروبيون ان يُدركوا ان النظام الإيراني مُدمر للعالم والحضارات الإنسانية والاقتصاد العالمي.  - جمال خاشقجي #خاشقجي #عام_على_رحيل_جمال</t>
  </si>
  <si>
    <t>pic.twitter.com/Ai2TX7N6UP</t>
  </si>
  <si>
    <t>شقير سكه علي</t>
  </si>
  <si>
    <t>Voyage Around My Dad, Harry Leslie Smith</t>
  </si>
  <si>
    <t>pic.twitter.com/iGtGSeEi9h</t>
  </si>
  <si>
    <t>As the #TurkishArmy begins to invade Northern Syria to eradicate Kurdish military forces, we should be prepared for many crimes of humanity being committed by Turkish forces or their allies. This is going to push the region closer to total war and us towards disaster. #Kurds</t>
  </si>
  <si>
    <t>Survivor of the Great Depression, WW2 Vet Activist for the many Author of Harry's Last Stand &amp; 4 other books. Feb 25,1923-Nov 28, 2018. Now curated by his son</t>
  </si>
  <si>
    <t>https://www.facebook.com/harryslaststand/</t>
  </si>
  <si>
    <t>العربية السعودية في هيوستن موقع الكتروني يمكنك الحصول على معلومات الدوام و تحديد الموعد منه</t>
  </si>
  <si>
    <t xml:space="preserve">  مسفر ال مقرح</t>
  </si>
  <si>
    <t>محلل قناة ٢٤ سعودي الفضائية د. أنور مالك في المراقب : نظام الملالي يعيش في مرحلة رعب حقيقي فهو ينشر تهديداته في محاولة لإبعاد شبح الحرب عنه  #JamalKhashoggi #قطر</t>
  </si>
  <si>
    <t>pic.twitter.com/JHoTthIIax</t>
  </si>
  <si>
    <t>حمد الشلوي</t>
  </si>
  <si>
    <t>أ. نايف الحربي: إعلامي وكاتب صحفي: قناة الجزيرة تعتمد على الإعلاميين الهاربين من دولهم .  - جمال خاشقجي #خاشقجي #عام_على_رحيل_جمال</t>
  </si>
  <si>
    <t>pic.twitter.com/F7sTQJxDc3</t>
  </si>
  <si>
    <t>شاكيل بين أحمد</t>
  </si>
  <si>
    <t>pic.twitter.com/3td4TSkxMI</t>
  </si>
  <si>
    <t>تحديد الموعد مع القنصلية : في هذه الأيام كثير من قنصليات دولة المملكة العربية السعودية تطلب منك تحديد الموعد قبلما</t>
  </si>
  <si>
    <t>Yiğit Yazgılı</t>
  </si>
  <si>
    <t>سلطان الحميدي</t>
  </si>
  <si>
    <t>#BarışPınarıHarekatı başladı ! Amerika ve maşaları bölgeden silinene kadar durmak yok. Mehmetçiğimizin ayağına taş değmesin, kılıcı keskin olsun ! #TurkishArmy</t>
  </si>
  <si>
    <t>pic.twitter.com/gumPZUjFaU</t>
  </si>
  <si>
    <t>https://pbs.twimg.com/media/EGcWMi8WkAMR-Ci.jpg</t>
  </si>
  <si>
    <t>Vatan Partisi İstanbul İl Yöneticisi</t>
  </si>
  <si>
    <t xml:space="preserve"> حسن عبسي</t>
  </si>
  <si>
    <t>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#السعودية</t>
  </si>
  <si>
    <t>pic.twitter.com/GPGt7Jbxwe</t>
  </si>
  <si>
    <t>Erdem Özbülbül</t>
  </si>
  <si>
    <t>Türk Milleti Ordusunun Yanında #BarışPınarıHarekatı - #TurkishArmy - #BarışPınarı🇹🇷</t>
  </si>
  <si>
    <t>https://pbs.twimg.com/media/EGcWMmCXoAIGF_s.jpg</t>
  </si>
  <si>
    <t>سالم الشهراني</t>
  </si>
  <si>
    <t>اللواء متقاعد. عبدالله القحطاني : أينما وجدت ايران و قطر و تركيا وُجد الارهاب .  - جمال خاشقجي #JamalKhashoggi #السعودية</t>
  </si>
  <si>
    <t>pic.twitter.com/9fTY26hYOB</t>
  </si>
  <si>
    <t>Yase</t>
  </si>
  <si>
    <t>Ayağınıza taş değmesin inşallah Allah yar ve yardımcınız olsun dualarımız sizlerle mazlumun yanında olan zalimlere karşı duran başı dik bileği bükülmez şanlı Türk ordusu #BarisPinariHarekati #TurkishArmy</t>
  </si>
  <si>
    <t xml:space="preserve"> عمر اسحاق </t>
  </si>
  <si>
    <t>أ. هاني الحجي : النظام القطري لا يقوم على أسس ومبادئ سياسية وأخلاقية.  #JamalKhashoggi #السعودية</t>
  </si>
  <si>
    <t>pic.twitter.com/zd5AEmZbwJ</t>
  </si>
  <si>
    <t>Salih Sarıbaş</t>
  </si>
  <si>
    <t>Allah yar ve yardımcınız olsun 🇹🇷🇹🇷 #TurkishArmy #BarisPinariHarekati</t>
  </si>
  <si>
    <t>https://pbs.twimg.com/media/EGcWL7RWsAANGNt.jpg</t>
  </si>
  <si>
    <t xml:space="preserve"> ﺳﻌﻴﺪ ﺍﻟﻐﺎﻣﺪﻱ</t>
  </si>
  <si>
    <t>محلل قناة ٢٤ سعودي الفضائية د. عمر عبدالستار في نيران ايران : لم تكن الحملة المجنونة على السعودية من أجل خاشقجي بقدر ما كانت ضد سياسة السعودية في مواجهة ايران و الجماعات المتطرفة  #JamalKhashoggi #تركيا</t>
  </si>
  <si>
    <t>pic.twitter.com/umvrXnVa0k</t>
  </si>
  <si>
    <t>Düzce</t>
  </si>
  <si>
    <t>- DÜ SBF - Kick Boks Milli Takım Sporcusu 🇹🇷🥊</t>
  </si>
  <si>
    <t>https://www.instagram.com/salih.saribass/</t>
  </si>
  <si>
    <t>ص شاهد الدين علي</t>
  </si>
  <si>
    <t>pic.twitter.com/WvXdgY7ArC</t>
  </si>
  <si>
    <t>Erhan</t>
  </si>
  <si>
    <t>Allah askerimizin yar ve yardımcısı olsun. Dualarımız sizlerle..#BarisPinari #TurkishArmy #BarisPinariHarekati</t>
  </si>
  <si>
    <t>الملاحظة: يخضع دوام السفارة للتغير بشكل غير متوقع ، يرجى التأكد مع السفارة دائما قبل أن تقوم بزيارته</t>
  </si>
  <si>
    <t xml:space="preserve"> ﺳﻌﻴﺪ ﺍﻟﺼﺤﺎﺑﻲ</t>
  </si>
  <si>
    <t>محلل قناة ٢٤ سعودي الفضائية د. عمر عبدالستار في نيران ايران : ايران بهذا النظام غير قابلة للتغيير، ولكنها في نفس الوقت هي عرضة للتفكك  - جمال خاشقجي #JamalKhashoggi #السعودية</t>
  </si>
  <si>
    <t>pic.twitter.com/5pEP2XVhMb</t>
  </si>
  <si>
    <t>İNŞ .MÜH .KENTSEL DÖNÜŞÜM UZMANI SELÇUK TASALI</t>
  </si>
  <si>
    <t>09 .10. 19 ..........hareket tarihi !RAKAMLAR mesajını veriyor #SonDakika #TurkishArmy #OperationPeaceSpring #BarisPinariHarekati #Syria #vizyon #startup #yaratıcıfikirler #ekonomi #Piyasalar #usdtry #TL #DolarTL #Dolar #BORSA #Bist #bist100 #Faiz #ekonomi #türkiye #dünya</t>
  </si>
  <si>
    <t>ﻋﺎﻳﺶ ﺍﻟﺘﻤﻴﻤﻲ</t>
  </si>
  <si>
    <t>محلل قناة ٢٤ سعودي الفضائية د. فهد الشليمي في مع الحدث : الحملة على مصر تم التحضير لها منذ شهرين بمشاركة تركيا وتنظيم الاخوان الإرهابي و ايران من أجل ضرب الاقتصاد المصري  - جمال خاشقجي #خاشقجي #تركيا</t>
  </si>
  <si>
    <t>SELÇUK TASALI İnşaat mühendisi , KOZATA MÜHENDİSLİK İNŞAAT Ltd.Şti SAHİBİ, Tarih ,ekonomi , politika analisti .Görüşlerim bulgularla değişebilir</t>
  </si>
  <si>
    <t>pic.twitter.com/ZYJjYXUxf5</t>
  </si>
  <si>
    <t>Kalender Semavi</t>
  </si>
  <si>
    <t>Karar verildi ve TSK görev emrini uygulamaya başladı. Bu noktada, doğru mu yanlış mı tartışması yapmak yersiz. Şimdi dualarımız ulusumuzun bekası, Mehmetçiğin güvenliği ve başarısı için. 🇹🇷 #TurkishArmy #BarışPınarıHarekati #BarisPinari</t>
  </si>
  <si>
    <t>This too shall pass... 🏴🏳️🏴🏳️🏴</t>
  </si>
  <si>
    <t>بركات علي البيشي</t>
  </si>
  <si>
    <t>pic.twitter.com/OB6oxsemyD</t>
  </si>
  <si>
    <t>K.Kerem KIRDEMİR</t>
  </si>
  <si>
    <t>#TurkishArmy #BarisPinariHarekati Sefer Türk'ün , zafer Allah'ın...</t>
  </si>
  <si>
    <t>https://pbs.twimg.com/media/EGcWKBlXYAI13xU.jpg</t>
  </si>
  <si>
    <t>الزعيم الهلالي</t>
  </si>
  <si>
    <t>اتصال/ أ. رامي العلي: محلل قنوات سعودي 24 – باريس: أردوغان أرسل وزير خارجيته إلى الولايات المتحدة الأمريكية من أجل دفع الطبقة السياسية لتغير العلاقات التاريخية بين المملكة و أمريكا .  - جمال خاشقجي #JamalKhashoggi #قطر</t>
  </si>
  <si>
    <t>pic.twitter.com/CZZ4f4xaEz</t>
  </si>
  <si>
    <t>TANRI TÜRK’Ü KORUSUN 🇹🇷 💙💛</t>
  </si>
  <si>
    <t>يانادي القرن ياجعلك على القوه، زهيت بالمجد والتاريخ يزهى بك،</t>
  </si>
  <si>
    <t>Adnan</t>
  </si>
  <si>
    <t>🇹🇷Beni TÜRK yaratan ALLAH'a binlerce kez şükürler olsun. Bu nasıl bir ırk.Bu nasıl bir VATAN aşkı.Savaşa giriyoruz herkeste bir cepheye gitme isteği doğuyor.Bunu dünyanın hiçbir yerinde göremezsiniz ve bundan daha büyük bir gözdağınıda ! 🇹🇷 #BarisPinariHarekati #TurkishArmy</t>
  </si>
  <si>
    <t>https://pbs.twimg.com/media/EGcWKbDX0AEERF_.jpg</t>
  </si>
  <si>
    <t>شفيقلله الحبيب</t>
  </si>
  <si>
    <t>pic.twitter.com/3oc3RE1K2h</t>
  </si>
  <si>
    <t>Çerkezköy/Tekirdağ</t>
  </si>
  <si>
    <t>Maltepe Üniversitesi 🇹🇷 𐱅𐰼𐰇𐰰</t>
  </si>
  <si>
    <t>تزورها و في معظم الأحوال يمكنك تحديد الموعد بواسطة تليفون أو البريد الإلكتروني ، إذا كان لدى القنصلية المملكة</t>
  </si>
  <si>
    <t xml:space="preserve"> ﻋﻠﻲ ﺍﻝ ﺭﺿﻮﺍﻥ ‏ </t>
  </si>
  <si>
    <t>أ. نايف الحربي: إعلامي وكاتب صحفي: قطر تريد أن تشق الصف العربي والإسلامي .  - جمال خاشقجي #خاشقجي #تركيا</t>
  </si>
  <si>
    <t>Yusuf Usta</t>
  </si>
  <si>
    <t>BAŞKOMUTAN EMİR VERDİ... "TERÖRÜ TEMİZLEYİN" DEDİ. CANDAN AZİZ BİLDİN EMRİ. SEN YİĞİTSİN ANADOLU... #BarisPinariHarekati #BarisPinari #MehmetçikİçinDuacıyız #TurkishArmy</t>
  </si>
  <si>
    <t>pic.twitter.com/rJJBVnRkiL</t>
  </si>
  <si>
    <t>Manavgat Milli Eğitim Şube Müdürü , Editör, Taekwondo ...</t>
  </si>
  <si>
    <t>Emre Gümüşbaş</t>
  </si>
  <si>
    <t>عبدالدائم عبدالدائم</t>
  </si>
  <si>
    <t>د. عثمان البريكان : ما تقوم به قطر بإستقبالها الإيرانيين المنتمين لنظام إرهابي ورفعها لعلم اسرائيل في الدوحة ينافي كل القيم الإنسانية والإسلامية .  - جمال خاشقجي #JamalKhashoggi #قطر</t>
  </si>
  <si>
    <t>pic.twitter.com/rwNMXIB8hw</t>
  </si>
  <si>
    <t>https://pbs.twimg.com/media/EGcWJgiWwAAwaMz.jpg</t>
  </si>
  <si>
    <t>http://Instagram.com/emregumusbass</t>
  </si>
  <si>
    <t>عزيزر رحمن الساحلي</t>
  </si>
  <si>
    <t>pic.twitter.com/Dew2KnLodv</t>
  </si>
  <si>
    <t>التجربة العلم الكبير</t>
  </si>
  <si>
    <t xml:space="preserve"> عياد العتيبي</t>
  </si>
  <si>
    <t>فيديو .. شاهد .. محلل قناة ٢٤ سعودي الحصري د . صباح الخزاعي يلجم مذيع وضيوف قناة الجزيرة للمرة الثانية خلال اسبوع  - جمال خاشقجي #JamalKhashoggi #قطر</t>
  </si>
  <si>
    <t>pic.twitter.com/V3NUx1ZqJJ</t>
  </si>
  <si>
    <t xml:space="preserve">   بن علي آل عسكر</t>
  </si>
  <si>
    <t>أ. سامي المرشد: الدوحة أصبحت مكان لكل الشواذ سياسياً في العالم .. تلاحظ وجود الإسرائيليين، الحرس الثوري الإيراني والاخوان المسلمين المطرودين من بلدانهم .  - جمال خاشقجي #خاشقجي #عام_على_اغتيال_جمال</t>
  </si>
  <si>
    <t>pic.twitter.com/hQy2uPijfk</t>
  </si>
  <si>
    <t>شد الحبشي</t>
  </si>
  <si>
    <t>Mehmet ÇALI</t>
  </si>
  <si>
    <t>Sefer bizim Zafer Allah’ındır. Ey kendini gerçek sanan zahir! Çekil kenara;Hak geldi batıl zail oldu #BarisPinariHarekati #BarisPinari #TurkishArmy</t>
  </si>
  <si>
    <t>pic.twitter.com/4uTOlxShEv</t>
  </si>
  <si>
    <t>جاسم الدوسري</t>
  </si>
  <si>
    <t>د. محمد الحلفي – باحث في التاريخ الحديث: لا يمكن لـ قناة الجزيرة ان تُذيع ولو حلقة واحدة عما يجري في الداخل القطري.  #JamalKhashoggi #تركيا</t>
  </si>
  <si>
    <t>Halitbaskent</t>
  </si>
  <si>
    <t>Şimdi konuş soysuz #TurkishArmy</t>
  </si>
  <si>
    <t>pic.twitter.com/2oK7JKyN7U</t>
  </si>
  <si>
    <t>pic.twitter.com/J1uMoG4BfI</t>
  </si>
  <si>
    <t>Group Of The Gecekondu</t>
  </si>
  <si>
    <t xml:space="preserve">سلطان بن عائض </t>
  </si>
  <si>
    <t>د. حمدان الشهري: ما تريده تركيا هو التمدد داخل الأراضي السورية وليس لنصرة الشعب السوري.  #خاشقجي #عام_على_اغتيال_جمال</t>
  </si>
  <si>
    <t>pic.twitter.com/QTb4jeQ8oP</t>
  </si>
  <si>
    <t>Hilal</t>
  </si>
  <si>
    <t>Ayağınıza taş değmesin inşallah 🙏🏻 🇹🇷 #TurkishArmy</t>
  </si>
  <si>
    <t xml:space="preserve"> محمد غرم الله</t>
  </si>
  <si>
    <t>محلل قناة ٢٤ سعودي الفضائية د. فهد الشليمي في مع الحدث :الضغط على مصر .. وجعل مصر غير آمنة وغير مستقرة.. هو مربح للأتراك بطريقة مباشرة على المستوى السياحي والاقتصادي والاستثماري  - جمال خاشقجي #JamalKhashoggi #السعودية</t>
  </si>
  <si>
    <t>Üsküdar Üniversitesi</t>
  </si>
  <si>
    <t>pic.twitter.com/PdaMsJkFkc</t>
  </si>
  <si>
    <t>child rights advocate🇹🇷</t>
  </si>
  <si>
    <t>"İnnâ fetahnâ leke fethan mubînâ" #TurkishArmy #BarisPinari #BarisPinariHarekati #TürkMilletiOrdusununYanında #WeAreWithTurkey 🇹🇷🇹🇷🇹🇷</t>
  </si>
  <si>
    <t>güçlü ve milliyetçi, Dadaş, Nenehatun torunu 🇹🇷🐺☝️</t>
  </si>
  <si>
    <t xml:space="preserve">إبراهيم حسن </t>
  </si>
  <si>
    <t>د. أحمد الأنصاري: مستشار أمني وباحث في العلاقات الدولية: المسؤولين الإيرانيين لا ينامون الليل خوفاً من انتقال عدوى المظاهرات إلى ايران .  #JamalKhashoggi #السعودية</t>
  </si>
  <si>
    <t>pic.twitter.com/8MgC6x1xC8</t>
  </si>
  <si>
    <t>Nathali Von Hollstein 🇿🇦</t>
  </si>
  <si>
    <t>#TurkishArmy launches push into #Syria, air strikes hit border town |</t>
  </si>
  <si>
    <t>https://reut.rs/2MpTGQx</t>
  </si>
  <si>
    <t>https://pbs.twimg.com/media/EGcWF0SXkAc4neb.jpg</t>
  </si>
  <si>
    <t>عبدوس صابر</t>
  </si>
  <si>
    <t>pic.twitter.com/yY53K0O42j</t>
  </si>
  <si>
    <t>South Africa</t>
  </si>
  <si>
    <t>Love Technology; Universe; Nature; Life; Science; Arts; Wildlife &amp; Great books. I'm a Christian &amp; Happily Married.✝️- Note: I will unfollow if you unfollow.</t>
  </si>
  <si>
    <t>البخيل عظيم الرواق صغير الأخلاق</t>
  </si>
  <si>
    <t xml:space="preserve"> مفرج القويفلي </t>
  </si>
  <si>
    <t>حصريا..ادم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#JamalKhashoggi #السعودية</t>
  </si>
  <si>
    <t>Ömer BİRİNCİ ( عمر برنجی )</t>
  </si>
  <si>
    <t>yaşasın ırkımız çin'e bedel kırkımız söylenir türkümüz çağlardan çağlara ... ... koş yürü, yürü, yürü yürü yolumuz uzun gökbörü, börü, börü düşmanların kahrolsun. Şahlandı artık Türk'ün Atı. Şimdi onlar düşünsün.😉 #BarisPinari #BarisPinariHarekati #TurkishArmy</t>
  </si>
  <si>
    <t>pic.twitter.com/vgCBbWshrW</t>
  </si>
  <si>
    <t>https://pbs.twimg.com/media/EGcWFugWwAIuMkA.jpg</t>
  </si>
  <si>
    <t>راشد الجهني</t>
  </si>
  <si>
    <t>د. صالح آل ورثان: إعلامي وناقد صحفي: الاتراك خلقوا فتنة ما بين مكونات الشعب السوري وتحديداً بين العرب والأكراد .  #JamalKhashoggi #تركيا</t>
  </si>
  <si>
    <t>KaradenizTeknikÜniversitesi/Tarih. AnadoluÜniversitesi/HavacılıkYönetimi. EGM🇹🇷 #LeylaİleMecnun</t>
  </si>
  <si>
    <t>http://instagram.com/omerbirincii</t>
  </si>
  <si>
    <t>pic.twitter.com/md8ZZl45nG</t>
  </si>
  <si>
    <t>berkay</t>
  </si>
  <si>
    <t>KARDEŞ KARDEŞİ GURBETTE SİKERMİŞ #BarışPınarıHarekati #TurkishArmy #TuerkMilletiOrdusununYanında RT @HDPgenelmerkezi: Kürt'ü, Arap'ı, Türkmen'i, Êzidî'si, Müslüman'ı, Hıristiyan'ı; 5 milyondan fazla insanın kardeşlik içerisinde yaşadığı bir bölgeye işgal girişimi başladı. Savaşı desteklemek, bu halklar değil IŞİD çeteleri komşumuz olsun demektir. Bin kez söyledik yine söylüyoruz; SAVAŞA HAYIR!</t>
  </si>
  <si>
    <t>عيد السكر</t>
  </si>
  <si>
    <t>https://twitter.com/hdpgenelmerkezi/status/1181936116229902336</t>
  </si>
  <si>
    <t>اعف عما أغضبك لما أرضاك أَعقَلُ الناس أَعْذَرُهُمْ للناس</t>
  </si>
  <si>
    <t>@fenerbahce vesselam</t>
  </si>
  <si>
    <t>http://Instagram.com/berkay.kabalar</t>
  </si>
  <si>
    <t>Esra Yücel</t>
  </si>
  <si>
    <t>Bismillah! Rabbim yâr ve yardımcımız olsun🙏 Rabbim ülkemizi muzaffer eylesin🙏 Mehmetçiğimiz anasına, babasına, eşine, evladına sağlıkla zaferle dönmek nasip olsun🙏 #BarisPinariHarekati #TurkishArmy</t>
  </si>
  <si>
    <t xml:space="preserve"> يحيى اليامي</t>
  </si>
  <si>
    <t>حصرياً..السفير ادم ايرلي متحدث الخارجية الأمريكية السابق: اردوغان أكبر منافق ..يذرف دموع التماسيح على جمال خاشقجي بينما يزج بالاَف الاتراك بالسجونAdam Ereli: Erdogan is the biggest hypocrite on the plant  #خاشقجي #عام_على_اغتيال_جمال</t>
  </si>
  <si>
    <t>pic.twitter.com/Jj9eifT0kr</t>
  </si>
  <si>
    <t>Xulam!!!</t>
  </si>
  <si>
    <t>#BarisPinari Hûr hûr lexın..🇹🇷 #TurkishArmy</t>
  </si>
  <si>
    <t>https://pbs.twimg.com/media/EGcWFAkXoAA6OzE.jpg</t>
  </si>
  <si>
    <t xml:space="preserve"> عاطف المدهون</t>
  </si>
  <si>
    <t>حصري .. السفير ادم ايرلي متحدث الخارجية الأمريكية السابق : اردوغان أكبر منافق في العالم..يذرف دموع التماسيح على خاشقجي بينما يزج بالاَف الاتراك بالسجونAdam Ereli: Erdogan is the biggest hypocrite on the plant  #خاشقجي #قطر</t>
  </si>
  <si>
    <t>pic.twitter.com/Fe7XQXiQUv</t>
  </si>
  <si>
    <t>Hâlâ aynı yerdeyim...</t>
  </si>
  <si>
    <t>Nasihat İstersen ÖLÜM yeter.... Zilanlı Dedenin Malazğırtlı Torunu...</t>
  </si>
  <si>
    <t>Dominique</t>
  </si>
  <si>
    <t>"Des avions de guerre frappent des zones civiles" #Erdogan a commencé à bombarder les milices #kurdes du nord de la #Syrie. #hitlerdogan #Turquie #TurkishArmy</t>
  </si>
  <si>
    <t>بدور ريوف</t>
  </si>
  <si>
    <t>pic.twitter.com/9b9lBr5M5r</t>
  </si>
  <si>
    <t>https://www.lalibre.be/international/asie/detruire-le-corridor-terroriste-erdogan-annonce-le-lancement-de-son-operation-militaire-en-syrie-5d9ddd309978e22374c65f58#.XZ3sn5NxxIY.twitter</t>
  </si>
  <si>
    <t>أول الشجرة بذرة</t>
  </si>
  <si>
    <t xml:space="preserve"> احمد المحمادي</t>
  </si>
  <si>
    <t>Brussels</t>
  </si>
  <si>
    <t>اللواء المتقاعد د. زايد العمري: خبير استراتيجي ومحلل سياسي: قطر تحاول أن تتطاول على جمهورية مصر العربية .  - جمال خاشقجي #ايران #خاشقجي</t>
  </si>
  <si>
    <t>Alleï, hein, rire c'est rire, mais quand même ... Dans un SPF / Bij een FOD</t>
  </si>
  <si>
    <t>http://instagram.com/petrodom/</t>
  </si>
  <si>
    <t>pic.twitter.com/oXIRdq9DLE</t>
  </si>
  <si>
    <t>Metin Kaptan</t>
  </si>
  <si>
    <t>ALLAH(CC) ORDUMUZU MUZAFFER EYLESİN.YERİ GÖĞÜ YARATAN YÜCE RABBİM ZAFER NASİP ETSİN...ALLAHUEKBER...🇹🇷🇹🇷🇹🇷 #BarisPinari #BarisPinariHarekati #TurkishArmy #carsamba</t>
  </si>
  <si>
    <t>https://pbs.twimg.com/media/EGcWE27XYAA-DXf.jpg</t>
  </si>
  <si>
    <t>ﻣﺘﻌﺐ ﺍﻟﺤﺮﺑﻲ</t>
  </si>
  <si>
    <t>أتصال/ أ. مهدي عفيفي: عضو الحزب الديموقراطي الأمريكي السابق – نيويورك: هذه ليست المرة الأولى للعصابة القطرية في تمويلها للمؤسسات المشبوهة .. وخاصةً التابعة لجماعة الاخوان الإرهابية .  - جمال خاشقجي #خاشقجي #عام_على_رحيل_جمال</t>
  </si>
  <si>
    <t>pic.twitter.com/az3GhB2jqv</t>
  </si>
  <si>
    <t xml:space="preserve"> ﻓﻬﺪ ﺟﻤﻌﺎﻥ</t>
  </si>
  <si>
    <t>العميد متقاعد. حسن الشهري : على ايران إدراك أنها لن تستطيع التطاول على أي دولة من دول الخليج أو تستبيح أجواءها أو تؤثر في إقتصادها.  #خاشقجي #تركيا</t>
  </si>
  <si>
    <t>pic.twitter.com/75p8PXIHuz</t>
  </si>
  <si>
    <t>esra</t>
  </si>
  <si>
    <t>Rabbim Sen yiğitlerimizin yardımcısı ol. Zaferle sağ salim dönmelerini nasip et 🤲🏼🇹🇷🇹🇷🇹🇷 #BarısPınarlarıHarekatı #TurkishArmy RT @tcsavunma: Kahraman Türk Silahlı Kuvvetleri, Fırat’ın doğusunda #BarışPınarıHarekatı’na başladı.  🇹🇷#MSB #TSK🇹🇷</t>
  </si>
  <si>
    <t>https://twitter.com/tcsavunma/status/1181935432625528832
https://www.msb.gov.tr/SlaytHaber/9102019-53737</t>
  </si>
  <si>
    <t>https://pbs.twimg.com/media/EGcUAhJWkAEIaNq.jpg</t>
  </si>
  <si>
    <t>سامر منصور</t>
  </si>
  <si>
    <t>أ. نايف الحربي: إعلامي وكاتب صحفي : الآلة الإعلامية القطرية و قناة الجزيرة وتوابعها هزموا .  - جمال خاشقجي #خاشقجي #قطر</t>
  </si>
  <si>
    <t>pic.twitter.com/VuIcwFIKHo</t>
  </si>
  <si>
    <t>işte böyle</t>
  </si>
  <si>
    <t>Harekatın başladığını, uçakların teröristleri bombaladığını milletimize biran evvel göstermek isteyen muhabir, Rabbim askerlerimizi korusun sefer bizim zafer Allahın inşaallah #TurkishArmy #BarisPinari #BarisPinariHarekatı</t>
  </si>
  <si>
    <t>pic.twitter.com/qv9TApUscB</t>
  </si>
  <si>
    <t>بدور رقيب</t>
  </si>
  <si>
    <t>pic.twitter.com/VpkmFSvdZl</t>
  </si>
  <si>
    <t>الرأي قبل شجاعة الشجعان</t>
  </si>
  <si>
    <t xml:space="preserve">  عايض القحطاني </t>
  </si>
  <si>
    <t>حصريا..ادم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#ايران #خاشقجي</t>
  </si>
  <si>
    <t>hakan ayyildiz</t>
  </si>
  <si>
    <t>Turan eller var olsun, Tanrı Türk'e Yar Olsun. #BarisPinariHarekati #BarisPinari #BarısPınarlarıHarekatı #BarısPınarıOperasyonu #TurkishArmy #turkmilletiordusununyaninda #Turkish</t>
  </si>
  <si>
    <t>pic.twitter.com/15yQfirWj9</t>
  </si>
  <si>
    <t>https://pbs.twimg.com/media/EGcWEGtXoAAleY2.jpg</t>
  </si>
  <si>
    <t>أود الصميلي</t>
  </si>
  <si>
    <t>Vatanına,ailesine ve Fenerbahçe'ye düşkün.Oğuzhan ve Emirhan'a kurban...</t>
  </si>
  <si>
    <t>http://www.tamgaoyun.com</t>
  </si>
  <si>
    <t>آفة العِلْم النسيان</t>
  </si>
  <si>
    <t xml:space="preserve"> سعود الخيبري</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</si>
  <si>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#خاشقجي #قطر</t>
  </si>
  <si>
    <t>pic.twitter.com/QnwhHIdjnu</t>
  </si>
  <si>
    <t>ﻓﻴﺼﻞ ﻓﻠﺤﺎﻥ</t>
  </si>
  <si>
    <t>د. أنور مالك :"كتاب أوراق قطر"أشار إلى أن موظفاً كبيراً في السفارة القطرية في باريس، يقوم بدور بارز في تسهيل الإمدادات المالية في إطار صناعة النفوذ في قطر، عبر شبكات تابعة لتنظيم الإخوان  - جمال خاشقجي #JamalKhashoggi #قطر</t>
  </si>
  <si>
    <t>pic.twitter.com/OBbvFXkuAL</t>
  </si>
  <si>
    <t>Eren Koç</t>
  </si>
  <si>
    <t>Vatan ne Türkiyedir Türklere, ne Türkistan Vatan, büyük ve müebbet bir ülkedir: Turan #BarisPinariHarekati #TurkishArmy #BarisPinari #OperationPeaceSpring #TuerkMilletiOrdusununYanında</t>
  </si>
  <si>
    <t>https://pbs.twimg.com/media/EGcWB8QX0AEAlx6.jpg</t>
  </si>
  <si>
    <t>عبدال زهرة</t>
  </si>
  <si>
    <t>SAÜ/ultrAslan!</t>
  </si>
  <si>
    <t>pic.twitter.com/aiKq0MZB6A</t>
  </si>
  <si>
    <t>Ö.</t>
  </si>
  <si>
    <t>#Tsk bu sarı yerleri yeşertecek Allah’ın izniyle #TurkishArmy #OperationPeaceSpring #KurdsSideWithTurkey Hadi Bismillah.</t>
  </si>
  <si>
    <t>اصبر تنل</t>
  </si>
  <si>
    <t>https://pbs.twimg.com/media/EGcWBcgWoAAod6r.jpg</t>
  </si>
  <si>
    <t xml:space="preserve">     محي الغرباني</t>
  </si>
  <si>
    <t>أ. نايف الحربي: إعلامي وكاتب صحفي: قناة الجزيرة تعتمد على الإعلاميين الهاربين من دولهم .  - جمال خاشقجي #خاشقجي #عام_على_رحيل_خاشقجي</t>
  </si>
  <si>
    <t>pic.twitter.com/EwnnUsb0CX</t>
  </si>
  <si>
    <t>Ertuğrul YEŞİLKAYA</t>
  </si>
  <si>
    <t>Askerine düşman olan, Düşmanın askeri olur... Ayağınıza taş değmesin Kılıcınız keskin olsun #TurkishArmy #BarışPınarıHarekati</t>
  </si>
  <si>
    <t>عبدال زهير</t>
  </si>
  <si>
    <t>pic.twitter.com/Ukf5N28sKw</t>
  </si>
  <si>
    <t>MÜSLÜMAN BİR ATATÜRKÇÜ ... .... ... Bilmediklerimi ayaklarımın altına alsam, Başım göğe değerdi...</t>
  </si>
  <si>
    <t>https://instagram.com/turgayyesilkaya?igshid=kgf39l4cr468</t>
  </si>
  <si>
    <t>تقوله المولد</t>
  </si>
  <si>
    <t>Ahmet KÜÇÜKKAHVECİ</t>
  </si>
  <si>
    <t>Haydi Bismillah La galibe illallah #TurkishArmy #BarisPinariHarekati</t>
  </si>
  <si>
    <t>https://pbs.twimg.com/media/EGcWAopWsAAqQr8.jpg</t>
  </si>
  <si>
    <t>أقسى من الحجر</t>
  </si>
  <si>
    <t>عبدال قدير</t>
  </si>
  <si>
    <t>SINIF ÖGRETMENI (KAYSERI)</t>
  </si>
  <si>
    <t>#DEVAM</t>
  </si>
  <si>
    <t>pic.twitter.com/aCi4fq5GyT</t>
  </si>
  <si>
    <t>yasir 🇹🇷</t>
  </si>
  <si>
    <t>Türkler geliyor. Kılıcınız keskin, gazanız mübarek olsun. 🇹🇷🇹🇷🇹🇷 #BarışPınarıHarekati #TurkishArmy #OperationPeaceSpring</t>
  </si>
  <si>
    <t>https://pbs.twimg.com/media/EGcVwzQX0AMOJ9z.jpg</t>
  </si>
  <si>
    <t xml:space="preserve"> ناصر  الضويحي</t>
  </si>
  <si>
    <t>محلل قناة ٢٤ سعودي الفضائية د. فهد الشليمي في مع الحدث : الحملة على مصر تم التحضير لها منذ شهرين بمشاركة تركيا وتنظيم الاخوان الإرهابي و ايران من أجل ضرب الاقتصاد المصري  - جمال خاشقجي #خاشقجي #قطر</t>
  </si>
  <si>
    <t>pic.twitter.com/G8vZS2MXdD</t>
  </si>
  <si>
    <t>Tokat, Türkiye</t>
  </si>
  <si>
    <t>Furkan</t>
  </si>
  <si>
    <t>Her vurduğunuz leş olsun #BarisPinari #BarisPinariHarekati #TurkishArmy #TuerkMilletiOrdusununYanında RT @tcsavunma: Kahraman Türk Silahlı Kuvvetleri, Fırat’ın doğusunda #BarışPınarıHarekatı’na başladı.  🇹🇷#MSB #TSK🇹🇷</t>
  </si>
  <si>
    <t xml:space="preserve"> محمد جبران</t>
  </si>
  <si>
    <t>أ. سامي المرشد: قطر كدولة مختطفة من الحرس الثوري الإيراني والاخوان المسلمين في انقرة و اسطنبول .  #خاشقجي #تركيا</t>
  </si>
  <si>
    <t>pic.twitter.com/1SNKQz4tLv</t>
  </si>
  <si>
    <t>Gaziosmanpaşa, İstanbul</t>
  </si>
  <si>
    <t>🇹🇷 NE MUTLU TÜRK'ÜM DİYENE 🇹🇷 •Saü 📚</t>
  </si>
  <si>
    <t>http://instagram.com/desisarap/</t>
  </si>
  <si>
    <t xml:space="preserve"> قطران الدغيثر </t>
  </si>
  <si>
    <t>محلل قناة ٢٤ سعودي الفضائية د. عمر عبدالستار في نيران ايران : قد يسقط نظام ايران النووي.. قبل سقوط نظام ايران الثوري  #خاشقجي #عام_على_رحيل_جمال</t>
  </si>
  <si>
    <t>pic.twitter.com/D2xUy8EYnm</t>
  </si>
  <si>
    <t>4hmet Şükrü YILDIZ⚡️</t>
  </si>
  <si>
    <t>🇹🇷Haydi BİSMİLLAH “Lâ gâlibe illallah” 🇹🇷 #BarisPinariHarekati #OperationPeaceSpring #TurkishArmy</t>
  </si>
  <si>
    <t>https://pbs.twimg.com/media/EGcWAGGXUAc7mQY.jpg</t>
  </si>
  <si>
    <t>ﻳﻮﺳﻒ ﺣﻤﺰﺓ</t>
  </si>
  <si>
    <t>تقرير: علم إسرائيل يرفرف مجدداً في سماء الدوحة في بطولة ألعاب القوى.  - جمال خاشقجي #خاشقجي #عام_على_رحيل_جمال</t>
  </si>
  <si>
    <t>pic.twitter.com/8iTP6KeAg1</t>
  </si>
  <si>
    <t>33 ü çevir 15e bağla</t>
  </si>
  <si>
    <t>🌪</t>
  </si>
  <si>
    <t>Rabbim yar ve yardimciniz olsun Kahraman Türk Askeri #OperationPeaceSpring #BarışPınarıHarekatı #TurkishArmy</t>
  </si>
  <si>
    <t>عطالله الجود</t>
  </si>
  <si>
    <t>pic.twitter.com/ezvW0dUOQq</t>
  </si>
  <si>
    <t>hem de ne.</t>
  </si>
  <si>
    <t>أقلل طعامك تجد منامك</t>
  </si>
  <si>
    <t>عبدالله العباد</t>
  </si>
  <si>
    <t>د. صالح آل ورثان: إعلامي وناقد صحفي: الاتراك خلقوا فتنة ما بين مكونات الشعب السوري وتحديداً بين العرب والأكراد .  #JamalKhashoggi #السعودية</t>
  </si>
  <si>
    <t>Emre Baltık</t>
  </si>
  <si>
    <t>You will see the power of the Turkish state ! #TurkishArmy</t>
  </si>
  <si>
    <t>pic.twitter.com/RMJ28cEOve</t>
  </si>
  <si>
    <t>https://pbs.twimg.com/media/EGcV-ddX0AIJTdj.jpg</t>
  </si>
  <si>
    <t xml:space="preserve"> ﻫﺎﺩﻱ ﺑﻦ ﻧﺎﺣﻲ</t>
  </si>
  <si>
    <t>اتصال / أ. خالد الزعتر : محلل سياسي – الرياض : رفع العلم الإسرائيلي في الدوحة هو إثبات للعلاقات الإسرائيلية القطرية وهذا ما تثبته الوقائع التاريخية على مر السنين .  - جمال خاشقجي #خاشقجي #تركيا</t>
  </si>
  <si>
    <t>Ataşehir</t>
  </si>
  <si>
    <t>Benim menfaatim olmayan şeyler için lütfen iletişime geçmeyiniz.. 🇹🇷</t>
  </si>
  <si>
    <t>pic.twitter.com/cYdkhgIkb5</t>
  </si>
  <si>
    <t>زاكي العنزي</t>
  </si>
  <si>
    <t>د. عثمان البريكان : ما تقوم به قطر بإستقبالها الإيرانيين المنتمين لنظام إرهابي ورفعها لعلم اسرائيل في الدوحة ينافي كل القيم الإنسانية والإسلامية .  - جمال خاشقجي #JamalKhashoggi #السعودية</t>
  </si>
  <si>
    <t>pic.twitter.com/Y8gBtTBwwP</t>
  </si>
  <si>
    <t xml:space="preserve">  منصور الخليجي</t>
  </si>
  <si>
    <t>اللواء المتقاعد د. زايد العمري: خبير استراتيجي ومحلل سياسي: قطر تشوه صورة الإسلام داخل أوروبا .  - جمال خاشقجي #ايران #خاشقجي</t>
  </si>
  <si>
    <t>pic.twitter.com/d080mOElG0</t>
  </si>
  <si>
    <t>Sefa Tıkız</t>
  </si>
  <si>
    <t>#TurkishArmy #BarisPinariHarekati #OperationPeaceSpring #BarisPinari</t>
  </si>
  <si>
    <t>https://pbs.twimg.com/media/EGcV-xSXUAMzuJt.jpg</t>
  </si>
  <si>
    <t>عبدال مالك</t>
  </si>
  <si>
    <t>better call saul</t>
  </si>
  <si>
    <t>http://sefatikiz.com</t>
  </si>
  <si>
    <t>Bayrampaşa Kaymakamlığı</t>
  </si>
  <si>
    <t>Kalbimiz ve dualarımız #BarisPinariHarekati ’nda görev alan kahraman askerlerimizle! 🇹🇷 #BarisPinariHarekati #TurkishArmy @soner_senel77</t>
  </si>
  <si>
    <t xml:space="preserve">حمزه الزايدي </t>
  </si>
  <si>
    <t>عبدالجليل السعيد في حقائق في دقائق :الشأن السوري لن يصلح حاله إلا بإخراج ايران و تركيا وروسيا لأنهم جزء من المشكلة و البلاء والمصيبة..و السعودية قادرة على رأب الصدع وأن تجمع السوريين  - جمال خاشقجي #ايران #خاشقجي</t>
  </si>
  <si>
    <t>https://pbs.twimg.com/media/EGcV-2cXkAAGnSC.jpg</t>
  </si>
  <si>
    <t>pic.twitter.com/dk2zn1sq1O</t>
  </si>
  <si>
    <t>Bayrampaşa Kaymakamlığı Resmi Twitter Hesabı</t>
  </si>
  <si>
    <t>http://www.bayrampasa.gov.tr</t>
  </si>
  <si>
    <t>عبدال خلق</t>
  </si>
  <si>
    <t>pic.twitter.com/o6l8u30FCe</t>
  </si>
  <si>
    <t>إصلاح الموجود خير من انتظار المفقود</t>
  </si>
  <si>
    <t>George</t>
  </si>
  <si>
    <t>Foreign policy is one of the *broad* areas where most Republicans have stayed *broadly* the same as they were in pre-Trump era. I imagine 20-40 or-so #Republicans are absolutely furious with what is happening. In private, obviously. #Trump #TurkishArmy #Syria</t>
  </si>
  <si>
    <t xml:space="preserve"> عمر نشات</t>
  </si>
  <si>
    <t>Have a read if you’re interested in unoriginal observations on US politics: https://link.medium.com/g47pq5I1wV</t>
  </si>
  <si>
    <t>محلل قناة ٢٤ سعودي الفضائية د. عماد الدين الجبوري في سجال خاص : منذ عام 1979م والمسؤولون الإيرانيون يرفعون شعار الموت لأمريكا..ثم يرسلون أبناءهم إلى "الشيطان الأكبر"!!  - جمال خاشقجي #ايران #خاشقجي</t>
  </si>
  <si>
    <t>pic.twitter.com/A7WIM8X11l</t>
  </si>
  <si>
    <t>Kadir Akpınar</t>
  </si>
  <si>
    <t>Yüce Rabbim #BarisPinariHarekati nda ordumuzu #TurkishArmy #muzaffer kılsın.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</si>
  <si>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https://twitter.com/RTErdogan/status/1181919804619407360</t>
  </si>
  <si>
    <t>عبدال كريم</t>
  </si>
  <si>
    <t>pic.twitter.com/Mh6NIa0NbT</t>
  </si>
  <si>
    <t>Karaman, Türkiye</t>
  </si>
  <si>
    <t>Kazım Karabekir MYO öğretim görevlilerinden birisi..</t>
  </si>
  <si>
    <t>Habertürk</t>
  </si>
  <si>
    <t>https://www.haberturk.com/son-dakika-cumhurbaskani-erdogan-dan-harekat-aciklamasi-2529427</t>
  </si>
  <si>
    <t>dr. basma</t>
  </si>
  <si>
    <t>#السعودية حرفيا بقيوا يهود ، يعني محمد بن سلمان يقتل #خاشقجي ويسيبوه عادي لكن مصري بريء معملش حاجة يلبسوه تهمة قتل كفيل انتوا قيادة وشعب عايزين تولعوا واللي بيعملوه فيكم الحوثيين قليل #انقذوا_المهندس_علي_ابو_القاسمْ</t>
  </si>
  <si>
    <t>إعداد البحوث ورسائل الماجستير والدكتوراه وعروض البرزينتشن</t>
  </si>
  <si>
    <t>https://pbs.twimg.com/media/EGcV9teXYAM6_0Q.jpg</t>
  </si>
  <si>
    <t>أسلم الأمر</t>
  </si>
  <si>
    <t>pic.twitter.com/T0ki674ISE</t>
  </si>
  <si>
    <t>Türkiye'nin en büyük internet gazetesi! Whatsapp hattı: 536 266 79 69 http://www.facebook.com/Haberturk http://instagram.com/haberturk http://www.youtube.com/user/gucuozgurlugunde</t>
  </si>
  <si>
    <t>http://www.haberturk.com</t>
  </si>
  <si>
    <t>إن غدا لناظره قريب</t>
  </si>
  <si>
    <t xml:space="preserve"> عبدالعزيز قاسم </t>
  </si>
  <si>
    <t>أ. هاني الحجي : النظام القطري لا يقوم على أسس ومبادئ سياسية وأخلاقية.  #خاشقجي #عام_على_رحيل_خاشقجي</t>
  </si>
  <si>
    <t>pic.twitter.com/VJstF4qlaY</t>
  </si>
  <si>
    <t>RIDVAN KAMALİ</t>
  </si>
  <si>
    <t>Allah Mehmetçiğimizin yar ve yardımcısı olsun. Dualarımız sizinle. 🇹🇷🙏 #TurkishArmy #BarisPinariHarekati</t>
  </si>
  <si>
    <t xml:space="preserve"> علي  الشهراني</t>
  </si>
  <si>
    <t>تقرير: ايران تصرخ: المتظاهرين العراقيون تدربوا في معسكرات السعودية وأمريكا .  #JamalKhashoggi #قطر</t>
  </si>
  <si>
    <t>BAHRİ AYTAN</t>
  </si>
  <si>
    <t>#BarışPınarıHarekati #TurkishArmy #TürkMilletiOrdusununYanında Sarı torbalar hazır sürüngen avı bereketli olsun INŞAALLAH</t>
  </si>
  <si>
    <t>pic.twitter.com/8d7Mx7uO6S</t>
  </si>
  <si>
    <t>https://pbs.twimg.com/media/EGcV8kXWkAYEdot.jpg</t>
  </si>
  <si>
    <t>عبدال جميل</t>
  </si>
  <si>
    <t>pic.twitter.com/DIbdVC9nG0</t>
  </si>
  <si>
    <t>Aydın YAĞIZ</t>
  </si>
  <si>
    <t>Allah ayağınıza taş değdirmesin🙏. Olur lazım olursak diye; "Yurduma bahar yaparım, Göğsüme taktığım gülleri..." @TSKGnkur #BarisPinariHarekati #TurkishArmy #turkmilletiordusununyaninda</t>
  </si>
  <si>
    <t>⚫⚪⚫⚪⚫</t>
  </si>
  <si>
    <t xml:space="preserve"> عثمان الضراب </t>
  </si>
  <si>
    <t>اتصال/ د. فوزية القحطاني: باحثة في الإعلام والأمن الفكري – جدة: الإعلام القطري ينشر الكراهية والبغضاء .. كما تعمل اجهزتهم ليل نهار على التشكيك بكل منجز سعودي .  - جمال خاشقجي #JamalKhashoggi #تركيا</t>
  </si>
  <si>
    <t>Dr. Pangloss</t>
  </si>
  <si>
    <t>Wait till he sees his statement regarding #Kurds #TurkishArmy a mere 14 hrs ago re: "red line" RT @BillKristol: Lindsey Graham: A president who doesn't comply with Congressional requests for information is subject to impeachment.</t>
  </si>
  <si>
    <t>pic.twitter.com/KySs4NMDy7</t>
  </si>
  <si>
    <t>https://twitter.com/BillKristol/status/1181682899424350209</t>
  </si>
  <si>
    <t>pic.twitter.com/Dhw5VBxbf0</t>
  </si>
  <si>
    <t xml:space="preserve">بندر محمد </t>
  </si>
  <si>
    <t>اللواء متقاعد. عبدالله القحطاني : تنظيم الإخوان تنظيم عميق وخطير ومتغلغل في القارة الأوروبية وصل لمراحل خطيرة جداً .  - جمال خاشقجي #خاشقجي #عام_على_رحيل_خاشقجي</t>
  </si>
  <si>
    <t>pic.twitter.com/Xf9LDpjYD2</t>
  </si>
  <si>
    <t>Xanadu</t>
  </si>
  <si>
    <t>Speaker of truth, diffuser of knowledge. Proud parent, teacher &amp; organized labor enthusiast.</t>
  </si>
  <si>
    <t>سعيد القحطاني</t>
  </si>
  <si>
    <t>اللواء متقاعد. عبدالله القحطاني : تنظيم الإخوان تنظيم عميق وخطير ومتغلغل في القارة الأوروبية وصل لمراحل خطيرة جداً .  - جمال خاشقجي #JamalKhashoggi #السعودية</t>
  </si>
  <si>
    <t>pic.twitter.com/0Uk5p7cQiM</t>
  </si>
  <si>
    <t xml:space="preserve">محمد علي </t>
  </si>
  <si>
    <t>حصريا..ادم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#خاشقجي #عام_على_اغتيال_جمال</t>
  </si>
  <si>
    <t>мαѕυм υуgυη</t>
  </si>
  <si>
    <t>Vur şanlı silahınla gönül mülkü düzelsin Sen öldürüyorken de, vururken de güzelsin ! #TurkishArmy</t>
  </si>
  <si>
    <t>pic.twitter.com/Kkx55DvuDz</t>
  </si>
  <si>
    <t>Nazilli, Türkiye</t>
  </si>
  <si>
    <t>Her NASİP vaktine esirdir..</t>
  </si>
  <si>
    <t xml:space="preserve">  وصل الله  الحربي</t>
  </si>
  <si>
    <t>اللواء المتقاعد د. زايد العمري: خبير استراتيجي ومحلل سياسي : إيواء قطر لجماعة الاخوان سيجعلها في قائمة الإرهاب في أوروبا .  - جمال خاشقجي #خاشقجي #عام_على_اغتيال_جمال</t>
  </si>
  <si>
    <t>pic.twitter.com/m5HtgqyGtT</t>
  </si>
  <si>
    <t>Mücahit Şeker</t>
  </si>
  <si>
    <t>Operation Peace Spring is to shower east of euphrates with peace. #TurkishArmy will orchestrate to destroy terrorist #Ypg and #Pkk and lead Syrians to go back to their lands safely.</t>
  </si>
  <si>
    <t>SC/MN-USA-GALATASARAY</t>
  </si>
  <si>
    <t>د. عثمان البريكان : ما تقوم به قطر بإستقبالها الإيرانيين المنتمين لنظام إرهابي ورفعها لعلم اسرائيل في الدوحة ينافي كل القيم الإنسانية والإسلامية .  - جمال خاشقجي #خاشقجي #قطر</t>
  </si>
  <si>
    <t>pic.twitter.com/dOEI1GmSJr</t>
  </si>
  <si>
    <t>🇹🇷FATİH_1461🇹🇷</t>
  </si>
  <si>
    <t>Başladık 🇹🇷 Allah ordumuzu muzaffer kılsın 🙏 #BarisPinariHarekati #KOMANDO #turkmilletiordusununyaninda #TurkishArmy #Trump 🇹🇷🇹🇷🇹🇷🇹🇷🇹🇷🇹🇷🇹🇷🇹🇷🇹🇷🇹🇷🇹🇷🇹🇷</t>
  </si>
  <si>
    <t>T R A B Z O N 🇹🇷👈 COMPUTER ENGENİEER 👈 BRUXELLES BELGİQUE. 🇹🇷KUTSAL ULKEM TURKİYE KUTSAL SEHİRİM TRABZON ♥️💙ALLAH TÜRK'Ü KORUSUN🙏🇹🇷🇹🇷🇹🇷🇹🇷🇹🇷</t>
  </si>
  <si>
    <t xml:space="preserve">  ابراهيم الكنعان</t>
  </si>
  <si>
    <t>تقرير / قطر وإعلام التضليل والأكاذيب وخداع الإعلام الدولي.  - جمال خاشقجي #خاشقجي #عام_على_رحيل_جمال</t>
  </si>
  <si>
    <t>pic.twitter.com/RvOgf8kX9e</t>
  </si>
  <si>
    <t xml:space="preserve"> ﻓﻬـــﺪ ﻋﻄﺎ ﺍﻟﻠﻪ</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</si>
  <si>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#خاشقجي #عام_على_رحيل_خاشقجي</t>
  </si>
  <si>
    <t>pic.twitter.com/2F1AVjNZlj</t>
  </si>
  <si>
    <t>KayseriBilgi</t>
  </si>
  <si>
    <t>#TurkishArmy #BarisPinari #BarışPınarıHarekatı</t>
  </si>
  <si>
    <t xml:space="preserve"> ﻣﻘﺒﻞ ﺍﻟﺤﺒﻴﺸﻲ</t>
  </si>
  <si>
    <t>محلل قناة ٢٤ سعودي الفضائية ا. يوسف علاونه في الحقيقة :التلاقي في الأهداف بين الترك و الفرس هو تدمير العرب أو إضعاف العرب لصالح المشروعين الإيراني والتركي  - جمال خاشقجي #ايران #خاشقجي</t>
  </si>
  <si>
    <t>pic.twitter.com/PdD335L8yz</t>
  </si>
  <si>
    <t xml:space="preserve"> مبروك الحسيني</t>
  </si>
  <si>
    <t>THEGOREN</t>
  </si>
  <si>
    <t>د. عدنان محمد : تركيا هي السوق الأكثر استهلاكا و إنتاجا للأخبار الكاذبة و المزيفة في العالم.  - جمال خاشقجي #ايران #خاشقجي</t>
  </si>
  <si>
    <t>‘Bu vatan, toprağın kara bağrında Sıra dağlar gibi duranlarındır...’ #TurkishArmy #BarışPınarıHarekati</t>
  </si>
  <si>
    <t>pic.twitter.com/2G6uQUnjie</t>
  </si>
  <si>
    <t>https://pbs.twimg.com/media/EGcV4f4WwAIvoF4.jpg</t>
  </si>
  <si>
    <t xml:space="preserve"> حمد الشمري</t>
  </si>
  <si>
    <t>د.عمر عبدالستار: الخرق الثالث لإيران في الملف النووي قد يؤدي لإنسحاب أوروبي من الاتفاق النووي وصولاً إلى تفعيل آلية فض النزاع التي قد تؤدي إلى عودة إيران إلى البند السابع مرورا بمجلس الأمن الدولي  - جمال خاشقجي #JamalKhashoggi #السعودية</t>
  </si>
  <si>
    <t>pic.twitter.com/S3ksTPEmDB</t>
  </si>
  <si>
    <t>أحمد الغدير</t>
  </si>
  <si>
    <t>محلل قناة ٢٤ سعودي الفضائية د. عمر عبدالستار في نيران ايران : قد يسقط نظام ايران النووي.. قبل سقوط نظام ايران الثوري  #ايران #خاشقجي</t>
  </si>
  <si>
    <t>pic.twitter.com/GZMR9iPk13</t>
  </si>
  <si>
    <t>Serhat Çavuş</t>
  </si>
  <si>
    <t xml:space="preserve"> عباس الشريف</t>
  </si>
  <si>
    <t>محلل قناة ٢٤ سعودي الفضائية د. عمر عبدالستار في نيران ايران : العلاقة بين أمريكا و ايران هي في مرحلة ردع  - جمال خاشقجي #خاشقجي #عام_على_رحيل_جمال</t>
  </si>
  <si>
    <t>pic.twitter.com/Tb3w2fFrF0</t>
  </si>
  <si>
    <t>Son Feci Merve</t>
  </si>
  <si>
    <t>Ecdadımızın heybeti mâ’ruf-u cihandır. Fıtrat değişir sanma! Bu kan yine o kan'dır!.. 🇹🇷🇹🇷🇹🇷 #TurkishArmy</t>
  </si>
  <si>
    <t>https://pbs.twimg.com/media/EGcV05MWsAU7hEo.jpg</t>
  </si>
  <si>
    <t xml:space="preserve"> ﺟﺮﻭﺍﻥ ﺍﻟﻔﺰﻱ  </t>
  </si>
  <si>
    <t>أ. نايف الحربي: إعلامي وكاتب صحفي: الإعلام السعودي أخرص الإعلام القطري والتركي .  - جمال خاشقجي #JamalKhashoggi #تركيا</t>
  </si>
  <si>
    <t>Dip, Son, Depresyon</t>
  </si>
  <si>
    <t>Desem de inanma.</t>
  </si>
  <si>
    <t>pic.twitter.com/OZ5LJzdRzd</t>
  </si>
  <si>
    <t>recep tekin</t>
  </si>
  <si>
    <t>Biz Türküz oğul Bozkırın yağız savaşçılarıyız. Kaybetmeden bulmak, Haketmeden almak, Savaşmadan ölmek Yoktur... #BarisPinariHarekati #BarisPinari #TurkishArmy</t>
  </si>
  <si>
    <t>محمد مسعود</t>
  </si>
  <si>
    <t>أ. هاني الحجي: التقاسم العثماني الصفوي على العالم العربي بدأ بين ايران و تركيا .  #خاشقجي #عام_على_رحيل_خاشقجي</t>
  </si>
  <si>
    <t>antalya</t>
  </si>
  <si>
    <t>pic.twitter.com/OpoY6kC67U</t>
  </si>
  <si>
    <t xml:space="preserve">  زيد  الدوسري</t>
  </si>
  <si>
    <t>السفير 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#خاشقجي #عام_على_رحيل_جمال</t>
  </si>
  <si>
    <t>pic.twitter.com/qvoOaoAgpV</t>
  </si>
  <si>
    <t>alparslan</t>
  </si>
  <si>
    <t>#BarışPınarıHarekatı #TurkishArmy RT @tcsavunma: Kahraman Türk Silahlı Kuvvetleri, Fırat’ın doğusunda #BarışPınarıHarekatı’na başladı.  🇹🇷#MSB #TSK🇹🇷</t>
  </si>
  <si>
    <t xml:space="preserve">محمد عبد الله </t>
  </si>
  <si>
    <t>العميد متقاعد. حسن الشهري : لم يقف في وجه المملكة دولة أو نظام أو حزب الا خسر وتبقى المملكة منتصرة .  - جمال خاشقجي #ايران #خاشقجي</t>
  </si>
  <si>
    <t>pic.twitter.com/gaEqPEFWZY</t>
  </si>
  <si>
    <t>Ötüken</t>
  </si>
  <si>
    <t>Kayda değer bir şey yok.</t>
  </si>
  <si>
    <t>عبدالهادي العتيبي</t>
  </si>
  <si>
    <t>أ. نايف الحربي: إعلامي وكاتب صحفي: قطر صرفت المليارات على وسائل التواصل الاجتماعي .. والهدف الترويج لبرامجها الكاذبة .  - جمال خاشقجي #خاشقجي #تركيا</t>
  </si>
  <si>
    <t>pic.twitter.com/QDADHXJH86</t>
  </si>
  <si>
    <t xml:space="preserve">   محمد  العسيري</t>
  </si>
  <si>
    <t>حصرياً..السفير ادم ايرلي متحدث الخارجية الأمريكية السابق: اردوغان أكبر منافق ..يذرف دموع التماسيح على جمال خاشقجي بينما يزج بالاَف الاتراك بالسجونAdam Ereli: Erdogan is the biggest hypocrite on the plant  #خاشقجي #عام_على_رحيل_جمال</t>
  </si>
  <si>
    <t>pic.twitter.com/IJyQyu2thI</t>
  </si>
  <si>
    <t>Ali Samet Karakuş</t>
  </si>
  <si>
    <t>Anavatan boğulurken kıpkızıl kanda Yalnız gönül verdiniz siz zevke, cazbanda... #BarisPinari #TurkishArmy #BarışPınarıHarekati</t>
  </si>
  <si>
    <t>https://pbs.twimg.com/media/EGcVz0BWwAEdGQN.jpg</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</si>
  <si>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#ايران #خاشقجي</t>
  </si>
  <si>
    <t>pic.twitter.com/TmEjpUCKQI</t>
  </si>
  <si>
    <t>https://instagram.com/alisametkarakus</t>
  </si>
  <si>
    <t xml:space="preserve">عبدالله عوض </t>
  </si>
  <si>
    <t>محلل قناة ٢٤ سعودي الفضائية د. أنور مالك في المراقب : إيران تعاني من ضغوط داخلية وخارجية بسب العقوبات الأمريكية التي استهدفت تصفير صادرات النفط الإيراني  #خاشقجي #قطر</t>
  </si>
  <si>
    <t>pic.twitter.com/jGVSb9fMY8</t>
  </si>
  <si>
    <t xml:space="preserve">ثاقب عقيل </t>
  </si>
  <si>
    <t>د. عبد الرحمن العناد: ما يُغيظ الاعلام القطري المُعادي ان الاعلام السعودي قام بكشف ما يقومون به من مشاريع تخريبية في المنطقة.  - جمال خاشقجي #خاشقجي #عام_على_اغتيال_جمال</t>
  </si>
  <si>
    <t>pic.twitter.com/NRxnTfo16M</t>
  </si>
  <si>
    <t>Bravenhaurten</t>
  </si>
  <si>
    <t>The #TurkishArmy has just launched operation #PeaceSpring in NE Syria. With the US granting greenlight, Russia interestingly turning a blind eye, Europe standing still, the Turks long preparing for it, the Kurds are bound for an unprecedented mass scale massacre. Gonna be scary!</t>
  </si>
  <si>
    <t>Don't worry mon cher, he's reconciled with his incapacitation. So..visiting us any time soon, alone?</t>
  </si>
  <si>
    <t xml:space="preserve">  هلال  السبيعي</t>
  </si>
  <si>
    <t>محلل قناة ٢٤ سعودي الفضائية د. عمر عبدالستار في نيران ايران : العلاقة بين أمريكا و ايران هي في مرحلة ردع  - جمال خاشقجي #خاشقجي #تركيا</t>
  </si>
  <si>
    <t>pic.twitter.com/mo5QbHLb07</t>
  </si>
  <si>
    <t>Mert Aslan</t>
  </si>
  <si>
    <t>Tommy Shelby emri verdi. Peaky blinders yanımızda! #TurkishArmy #BarisPinariHarekati RT @PisayPi: Anlık Türkiye #BarışPınarıHarekati</t>
  </si>
  <si>
    <t>https://twitter.com/PisayPi/status/1181935310759968770</t>
  </si>
  <si>
    <t>pic.twitter.com/Rst690hgm2</t>
  </si>
  <si>
    <t xml:space="preserve"> ﻣﻮﺳﻰ ﻣﺮﺯﻭﻕ</t>
  </si>
  <si>
    <t>أ. نايف الحربي: إعلامي وكاتب صحفي: ايران قابلت الاتفاق النووي بالمزيد من العمليات الإرهابية والتخريبية .  - جمال خاشقجي #JamalKhashoggi #السعودية</t>
  </si>
  <si>
    <t>pic.twitter.com/yqTfWrAibF</t>
  </si>
  <si>
    <t>Çomü(Biga) - Mezun</t>
  </si>
  <si>
    <t>Hasan Samet</t>
  </si>
  <si>
    <t>Biz bu yolda kelle aldık baş verdik! Sefer bizden zafer Allah’tan! #TurkishArmy RT @tcsavunma: Kahraman Türk Silahlı Kuvvetleri, Fırat’ın doğusunda #BarışPınarıHarekatı’na başladı.  🇹🇷#MSB #TSK🇹🇷</t>
  </si>
  <si>
    <t>ﻓﺎﻟﺢ ﺍﻟﺒﻠﻮﻱ</t>
  </si>
  <si>
    <t>أ. سامي المرشد: المال القطري أنفق بسخاء على الإرهاب والعصابات وتهييج الشعوب .  - جمال خاشقجي #خاشقجي #عام_على_اغتيال_جمال</t>
  </si>
  <si>
    <t>pic.twitter.com/JJVTkiW6Sg</t>
  </si>
  <si>
    <t>güzel</t>
  </si>
  <si>
    <t>paramedik ama sürücü</t>
  </si>
  <si>
    <t>Allah yar ve yardimcimiz olsun. #BarisPinariHarekati #TurkishArmy</t>
  </si>
  <si>
    <t>عبدالله الغامدي</t>
  </si>
  <si>
    <t>د. محمد الحلفي – الباحث في التاريخ الحديث: اصبح التسويق لـ قناة الجزيرة غير مقبول في ظل ما تقوم به.  #خاشقجي #عام_على_اغتيال_جمال</t>
  </si>
  <si>
    <t>pic.twitter.com/WS4RRb3Svq</t>
  </si>
  <si>
    <t>sizi seviyorum teşekkürler ama abartmayın</t>
  </si>
  <si>
    <t>http://twitch.tv/aliicetinkaya</t>
  </si>
  <si>
    <t>sıradan biri</t>
  </si>
  <si>
    <t>Allah askerlerimizin yar ve yardımcısı olsun. #TurkishArmy</t>
  </si>
  <si>
    <t> حسين اليامي</t>
  </si>
  <si>
    <t>د. نايف الوقاع : عندما تقول الولايات المتحدة أنها لن ترفع العقوبات على ايران فإنها تملك دليل قاطع أن هذا النظام لن يتغير .  - جمال خاشقجي #خاشقجي #تركيا</t>
  </si>
  <si>
    <t>pic.twitter.com/FgYJOvegiB</t>
  </si>
  <si>
    <t>TURKEY</t>
  </si>
  <si>
    <t>Sıradan biri.</t>
  </si>
  <si>
    <t>Atilla UZUN</t>
  </si>
  <si>
    <t>#BarisPinari #BarisPinariHarekati #TurkishArmy Barış Pınarı Harekatı başladı. İlk görüntüler Allah yar ve yardımcınız olsun, Aslan parçaları. Korkun Terörist köpekler, MUHAMMED'İN ORDUSU Türkiye Cumhuriyeti'nin yağız delikanlıları geliyor. @anadoluagency</t>
  </si>
  <si>
    <t>https://www.aa.com.tr/tr/vg/video-galeri/baris-pinari-harekati-basladi</t>
  </si>
  <si>
    <t>غرمان الشهري</t>
  </si>
  <si>
    <t>محلل قناة ٢٤ سعودي الفضائية د. عمر عبدالستار في نيران ايران : من الوارد أن تتعرض إحدى منشآت إيران النووية إلى ضربة أمريكية  #خاشقجي #تركيا</t>
  </si>
  <si>
    <t>pic.twitter.com/CpHx98snPG</t>
  </si>
  <si>
    <t>Önce çalışmak sonra dua dinin esası, Kabul olunur ancak çalışanın duası</t>
  </si>
  <si>
    <t>İhlas Haber Ajansı</t>
  </si>
  <si>
    <t>DİYARBAKIR’DA HAVA HAREKETLİLİĞİ Cumhurbaşkanı Recep Tayyip Erdoğan’ın Barış Pınarı Harekatı’nın başladığını açıklamasının ardından Diyarbakır’da hava hareketliliği yaşanıyor. #BarışPınarıHarekati #TurkishArmy</t>
  </si>
  <si>
    <t>https://pbs.twimg.com/media/EGcUT5VXUAYAiWG.jpg</t>
  </si>
  <si>
    <t xml:space="preserve"> ﻣﺤﻤﺪ ﺍﻝ ﻏﺮﻣﺎﻥ</t>
  </si>
  <si>
    <t>أ. هاني الحجي : قطر أُستحدمت من تركيا و ايران كأداة لتدمير المنطقة واقتصادها.  #خاشقجي #تركيا</t>
  </si>
  <si>
    <t>pic.twitter.com/M1HN8p3MLB</t>
  </si>
  <si>
    <t>İhlas Haber Ajansı resmi hesabıdır.⠀⠀⠀⠀⠀⠀⠀⠀⠀⠀ 📸Fotoğraf sayfamız: @ihafoto ⠀⠀⠀⠀⠀⠀⠀⠀⠀⠀⠀🌐Youtube/İnstagram/Facebook: ihacomtr</t>
  </si>
  <si>
    <t>http://www.iha.com.tr</t>
  </si>
  <si>
    <t>⚡ ASLISI HACEGÂNTT ⚡</t>
  </si>
  <si>
    <t>Şanlı ordumuz için dua vakti . Ordumuzun zaferi Fetih sureleri okuyalım Sayı bildirirseniz sevinirim #TurkishArmy #TürkSilahlıKuvvetleri</t>
  </si>
  <si>
    <t xml:space="preserve"> ﺣﻤﺪ ﺳﺎﻟﻢ</t>
  </si>
  <si>
    <t>اتصال هاتفي من : د. نافل النفيعي : خبير استراتيجي ومختص في العلاقات التاريخية بين الدول – الدمام : الدول العظمى تدين ايران .. ودول الخليج أخذت استعدادها العسكري .  - جمال خاشقجي #JamalKhashoggi #السعودية</t>
  </si>
  <si>
    <t>https://pbs.twimg.com/media/EGcVvqgXYAAJBBB.jpg</t>
  </si>
  <si>
    <t>pic.twitter.com/eX7ygk2iuU</t>
  </si>
  <si>
    <t>HİÇ #MEC</t>
  </si>
  <si>
    <t>http://google.com.tr</t>
  </si>
  <si>
    <t>ﺛﻮﺍﺏ ﺍﻟﺴﻬﻠﻲ</t>
  </si>
  <si>
    <t>أ. نايف الحربي: إعلامي وكاتب صحفي: المملكة أعطت الأدلة والبراهين للمجتمع الدولي بأن ايران خطر على اقتصاد وأمن العالم .  - جمال خاشقجي #JamalKhashoggi #تركيا</t>
  </si>
  <si>
    <t>pic.twitter.com/yC2b2F6vf3</t>
  </si>
  <si>
    <t>K🕶b®️a</t>
  </si>
  <si>
    <t>#BarisPinariHarekati #BarisPinari #TurkishArmy RT @slmhktn: Almanya'da yayımlanan ARD'nin ''Panorama'' programında, terör örgütü PKK'nın Suriye kolu YPG ile ABD ordusu arasındaki yakın ilişki belgeleri ile böyle deşifre edilmişti. #BarisPinari #BarisPinariHarekati #operationspringsofpeace</t>
  </si>
  <si>
    <t>https://twitter.com/slmhktn/status/1181693753234321408</t>
  </si>
  <si>
    <t>pic.twitter.com/bMslvgMLfl</t>
  </si>
  <si>
    <t>Larissa Collins</t>
  </si>
  <si>
    <t>@JohnWDean This beaks my heart. Innocent people will die. The same way #JamalKhashoggi still haunts me. AMERICA what have we become?</t>
  </si>
  <si>
    <t>Concerned citizen.</t>
  </si>
  <si>
    <t>📌 Istanbul University / Sociology '4 ▪️NLP Trainer ▪️Life Coach ◽️Coiffeur ◽️Estheticians ☄️</t>
  </si>
  <si>
    <t xml:space="preserve">  عبدالرحمن  الشعلان</t>
  </si>
  <si>
    <t>اللواء المتقاعد د. زايد العمري: خبير استراتيجي ومحلل سياسي: يشق علينا أن نراء الشعب القطري يمر بهذه التجربة المريرة الذي فرضها النظام القطري عليه .  - جمال خاشقجي #خاشقجي #قطر</t>
  </si>
  <si>
    <t>pic.twitter.com/i9ZLbZcgRD</t>
  </si>
  <si>
    <t>AHMET ALP&amp;EREN</t>
  </si>
  <si>
    <t>"Şu kopan fırtına Türk ordusudur yâ Rabbi. Senin uğrunda ölen ordu, budur yâ Rabbi. Tâ ki yükselsin ezanlarla müeyyed nâmın, Galib et, çünkü bu son ordusudur İslâm'ın." #BarışPınarıHarekati #OperationPeaceSpring #BarisPinari #TurkishArmy</t>
  </si>
  <si>
    <t>https://pbs.twimg.com/media/EGcVuqTXoAA-XxR.jpg</t>
  </si>
  <si>
    <t>İstanbul/Fatih Ülkü Ocak’larında Nefer...</t>
  </si>
  <si>
    <t>https://m.facebook.com/home.php?rand=1837608572&amp;refsrc=https%3A%2F%2Fm.facebook.com%2Ferealp5905&amp;ref</t>
  </si>
  <si>
    <t xml:space="preserve"> إبراهيم الجهني</t>
  </si>
  <si>
    <t>تقرير / الجبير: إيران "دولة عدائية" وعليها احترام سيادة الآخرين .  - جمال خاشقجي #ايران #خاشقجي</t>
  </si>
  <si>
    <t>pic.twitter.com/F3MQgseQMN</t>
  </si>
  <si>
    <t xml:space="preserve">خالد عائض </t>
  </si>
  <si>
    <t>أ. نايف الحربي: إعلامي وكاتب صحفي: الإعلام السعودي أخرص الإعلام القطري والتركي .  - جمال خاشقجي #خاشقجي #قطر</t>
  </si>
  <si>
    <t>pic.twitter.com/vek9OSklga</t>
  </si>
  <si>
    <t>Ebubekir Kızılkaya</t>
  </si>
  <si>
    <t>#TurkishArmy #BarisPinariHarekati #TürkMilletiOrdusununYanında</t>
  </si>
  <si>
    <t>https://pbs.twimg.com/media/EGcVt6DWsAUIYMt.jpg</t>
  </si>
  <si>
    <t xml:space="preserve"> ﻋﺜﻤﺎﻥ ﻋﺒﺪﺍﻟﻠﻪ</t>
  </si>
  <si>
    <t>أ. نايف الحربي: إعلامي وكاتب صحفي: من يضع يده بيد طهران و أنقرة سيجد الخراب والدمار .  - جمال خاشقجي #خاشقجي #عام_على_رحيل_جمال</t>
  </si>
  <si>
    <t>pic.twitter.com/77TalqwDEz</t>
  </si>
  <si>
    <t>Bu 🇹🇷vatanın 😎delisi Aynı zamanda İstanbul büyük şehir belediye başkanı</t>
  </si>
  <si>
    <t>كمانجة💫🎻</t>
  </si>
  <si>
    <t>@Qatariforqtr @hassanalishaq73 وبعطيك هشتاق تقدر تحلل تدفق التويترات من اي دولة تحريضية( #خاشقجي ) وتتاكد بنفسك لان احنا مسوين تجربه وطلعت النتيجة للاسف ان اغلب التغريدات الوهمية المدفوع لها من دولة قطر الحسابات ضعف عدد سكان قطر يمكن بثلاث مرات😂اتمنى منك اخي الفاضل انك قبل ماتكنب كلام تتاكد من مجتمعك اولا</t>
  </si>
  <si>
    <t>Su Ece Taşcı</t>
  </si>
  <si>
    <t>Ruh aynı ruh ! 🇹🇷 #TurkishArmy #BarışPınarıHarekati RT @ttahaber: Akçakale'de şehir megafonlarından mehter marşı çalıyor.</t>
  </si>
  <si>
    <t>https://twitter.com/ttahaber/status/1181935910809669633</t>
  </si>
  <si>
    <t>المملكة العربية السعودية</t>
  </si>
  <si>
    <t>.ان كان حزناً فـ " كُن من الصابرين " وان كان فراق "فـ كلنا راحلون ".</t>
  </si>
  <si>
    <t>pic.twitter.com/0VvRCyUFdo</t>
  </si>
  <si>
    <t xml:space="preserve">  عادل حسن </t>
  </si>
  <si>
    <t>أ. نايف الحربي: إعلامي وكاتب صحفي: قناة الجزيرة لديها مزاعم واكاذيب تحاول أن تخدع الرأي العام للنيل من المملكة .  - جمال خاشقجي #JamalKhashoggi #قطر</t>
  </si>
  <si>
    <t>pic.twitter.com/B2CxCXbJlE</t>
  </si>
  <si>
    <t>Türk Milliyetçisi 🇹🇷</t>
  </si>
  <si>
    <t>https://suecetasci.wordpress.com/</t>
  </si>
  <si>
    <t>خالد المبارك</t>
  </si>
  <si>
    <t>أتصال/ العميد د. سمير راغب: رئيس المؤسسة العربية للتنمية والدراسات الاستراتيجية – القاهرة:ايران لن تكتفي بما فعلت داخل العراق .. فقامت بدفع الخلايا النائمة لإشعال حرب أهلية في العراق .  #JamalKhashoggi #السعودية</t>
  </si>
  <si>
    <t>pic.twitter.com/15FvOBV8yX</t>
  </si>
  <si>
    <t>GRKM🤙</t>
  </si>
  <si>
    <t>Sefer Bizim Zafer Allah'ın Olsun Ayağımıza Taş Değmesin. Allah milletimize ve ülkemize zafer nasip etsin! 🇹🇷 #BarisPinariHarekati #TurkishArmy</t>
  </si>
  <si>
    <t>https://pbs.twimg.com/media/EGcVtUVW4AAfae3.jpg</t>
  </si>
  <si>
    <t xml:space="preserve"> ﺭﺍﺟﺢ ﺍﻟﺴﻨﺎﻧﻲ </t>
  </si>
  <si>
    <t>أ. نايف الحربي: إعلامي وكاتب صحفي: المملكة أعطت الأدلة والبراهين للمجتمع الدولي بأن ايران خطر على اقتصاد وأمن العالم .  - جمال خاشقجي #خاشقجي #عام_على_اغتيال_جمال</t>
  </si>
  <si>
    <t>Bu dünyayı yakarız senin için şampiyonluk gelince.💛💙</t>
  </si>
  <si>
    <t>pic.twitter.com/Uy6WLhvfo8</t>
  </si>
  <si>
    <t>Güney Tribünü</t>
  </si>
  <si>
    <t>Mezopotamya Farelerine Etek Giydirmeye Geliyoruz 😎 #BarisPinariHarekati #TurkishArmy!</t>
  </si>
  <si>
    <t>https://pbs.twimg.com/media/EGcVs1_XUAQLV1c.jpg</t>
  </si>
  <si>
    <t xml:space="preserve">  صالح الناصر </t>
  </si>
  <si>
    <t>محلل قناة ٢٤ سعودي الفضائية د. عمر عبدالستار في نيران ايران: نجحت السعودية في رد الصاع صاعين، أمام الهجمة المجنونة، ونقل المعركة إلى داخل ايران و عزل ايران دولياً وإقليمياً  #خاشقجي #عام_على_رحيل_خاشقجي</t>
  </si>
  <si>
    <t>pic.twitter.com/KhjkoV2UYU</t>
  </si>
  <si>
    <t>4 YILDIZI OLMAYAN GİREMEZ ! ⭐⭐⭐⭐</t>
  </si>
  <si>
    <t>#</t>
  </si>
  <si>
    <t>#BarışPınarıHarekatı operasyonu kapsamında Rasulayn ve Tel-Abyad’daki hedeflere topçu ateşi başladı. #TurkishArmy</t>
  </si>
  <si>
    <t xml:space="preserve"> عبدالله  العتيبي </t>
  </si>
  <si>
    <t>pic.twitter.com/9gibn8yZQ0</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</si>
  <si>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#JamalKhashoggi #تركيا</t>
  </si>
  <si>
    <t>pic.twitter.com/8jlitTE5Gk</t>
  </si>
  <si>
    <t xml:space="preserve"> فالح  الهاجري</t>
  </si>
  <si>
    <t>أ. نايف الحربي: إعلامي وكاتب صحفي: المملكة أعطت الأدلة والبراهين للمجتمع الدولي بأن ايران خطر على اقتصاد وأمن العالم .  - جمال خاشقجي #ايران #خاشقجي</t>
  </si>
  <si>
    <t>pic.twitter.com/P0Mv8ktDmK</t>
  </si>
  <si>
    <t>CİHAT ÇELİK</t>
  </si>
  <si>
    <t xml:space="preserve"> محمد كريري </t>
  </si>
  <si>
    <t>#Zafer’e Bismillah #OperationPeaceSpring #BarisPinari #BarisPinariHarekati #turkmilletiordusununyaninda #TurkishArmy #carsamba #OperationPeaceSpring</t>
  </si>
  <si>
    <t>عبدالجليل السعيد في حقائق في دقائق :الشأن السوري لن يصلح حاله إلا بإخراج ايران و تركيا وروسيا لأنهم جزء من المشكلة و البلاء والمصيبة..و السعودية قادرة على رأب الصدع وأن تجمع السوريين  - جمال خاشقجي #خاشقجي #تركيا</t>
  </si>
  <si>
    <t>pic.twitter.com/6k7VBXQ4dq</t>
  </si>
  <si>
    <t>https://pbs.twimg.com/media/EGcVqroW4AAdENg.jpg</t>
  </si>
  <si>
    <t>AK Parti Gençlik Kolları / İşimi, niyetimi yolumu ve yarınımı hayırlı kıl Allahım</t>
  </si>
  <si>
    <t xml:space="preserve">   حسن  الدهان </t>
  </si>
  <si>
    <t>هام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#ايران #خاشقجي</t>
  </si>
  <si>
    <t>pic.twitter.com/B5v0AsvHQf</t>
  </si>
  <si>
    <t xml:space="preserve"> علي الشهري </t>
  </si>
  <si>
    <t>د. عدنان محمد: لدى موظفي قناة الجزيرة ولاءها للنظام الإرهابي في ايران أكثر من الشعب الإيراني الحر الأبي الذي يخرج كل يوم ويهتف لإسقاط هذا النظام الذي يحتل ايران .  - جمال خاشقجي #خاشقجي #عام_على_اغتيال_جمال</t>
  </si>
  <si>
    <t>pic.twitter.com/oFm3kvvkXG</t>
  </si>
  <si>
    <t xml:space="preserve"> بجاد السهلي</t>
  </si>
  <si>
    <t>أ. هاني الحجي: التقاسم العثماني الصفوي على العالم العربي بدأ بين ايران و تركيا .  #خاشقجي #تركيا</t>
  </si>
  <si>
    <t>pic.twitter.com/L7MNqjFHH4</t>
  </si>
  <si>
    <t>ege</t>
  </si>
  <si>
    <t>Say what now #TurkishArmy</t>
  </si>
  <si>
    <t>i love games and music and movies</t>
  </si>
  <si>
    <t xml:space="preserve"> فهيد العلي </t>
  </si>
  <si>
    <t>أ. عبدالرحمن الملحم - كاتب ومحلل سياسي : قطر مصابة بعمى سياسي كبير ولا تعرف إلى اين تتجه .  - جمال خاشقجي #ايران #خاشقجي</t>
  </si>
  <si>
    <t>pic.twitter.com/BGcwEv36VV</t>
  </si>
  <si>
    <t>Özge Tunak</t>
  </si>
  <si>
    <t>Başladı . Tüm dualarımız sizinle . 🙏🙏🙏 Allah mehmetçiklerimizin yar ve yardımcısı olsun. Hadi Bismillah #BarışPınarıHarekati #BarisPinari #BarısPınarıOperasyonu #TurkishArmy</t>
  </si>
  <si>
    <t xml:space="preserve"> طراد  الخالدي </t>
  </si>
  <si>
    <t>أ. نايف الحربي: إعلامي وكاتب صحفي : الآلة الإعلامية القطرية و قناة الجزيرة وتوابعها هزموا .  - جمال خاشقجي #خاشقجي #تركيا</t>
  </si>
  <si>
    <t>-İZMİR- Always smile ☺️⌛ 16.05.2017 💑 MT ♥️ http://ozgeakbas21.blogspot.com</t>
  </si>
  <si>
    <t>pic.twitter.com/EdhCxQllhY</t>
  </si>
  <si>
    <t>A.Sametciftcioglu07</t>
  </si>
  <si>
    <t>KURDUN DİŞİNE KAN DEĞDİ BİR KERE! #TurkishArmy 🇹🇷🇹🇷</t>
  </si>
  <si>
    <t>هشام الحاج</t>
  </si>
  <si>
    <t>تقرير: قطر وإعلام التضليل والأكاذيب وخداع الإعلامي الدولي .  - جمال خاشقجي #ايران #خاشقجي</t>
  </si>
  <si>
    <t>𐱅𐰇𐰼𐰜</t>
  </si>
  <si>
    <t>pic.twitter.com/dge0EbE6cp</t>
  </si>
  <si>
    <t>Mustafa ARIKAN</t>
  </si>
  <si>
    <t>AND OLSUN Kİ YİNE GİRİP ÇIKACAĞIZ! RABBİM TÜM ASKERLERİMİZ KORUSUN. 🇹🇷🇹🇷🇹🇷🇹🇷🇹🇷🇹🇷 #OperationPeaceSpring #operationspringsofpeace #TurkishArmy #BarışPınarıHarekati</t>
  </si>
  <si>
    <t>pic.twitter.com/Xd2ZQd5TTo</t>
  </si>
  <si>
    <t>- أستطيع أن ألخص كل شيء تعلمته عن الحياة في ثلاث كلمات؛ أن الحياة تستمر. - روبرت فروست.</t>
  </si>
  <si>
    <t xml:space="preserve">سليم بن احمد </t>
  </si>
  <si>
    <t>اتصال / أ. أيمن إبراهيم : إعلامي وباحث إستقصائي - القاهرة : منذ سقوط الإخوان الإرهابيين عام 2013 في مصر سقطت نسبة المشاهدين لـ قناة الجزيرة بشكل كبير جدا.  #خاشقجي #تركيا</t>
  </si>
  <si>
    <t>Matematik öğretmeni. Mersin</t>
  </si>
  <si>
    <t>http://instagram.com/marikann33</t>
  </si>
  <si>
    <t>pic.twitter.com/a5b5pmLEfc</t>
  </si>
  <si>
    <t>Shkurta Rama</t>
  </si>
  <si>
    <t>https://pbs.twimg.com/media/EGcVnDPWoAA4Mkp.jpg</t>
  </si>
  <si>
    <t>سعيد الشهراني</t>
  </si>
  <si>
    <t>د. عبد الله الرفاعي: لا زال اردوغان ونظامه يُمارسون العبث السياسي الذي بدء يدفع ثمنه الداخل التركي.  - جمال خاشقجي #JamalKhashoggi #السعودية</t>
  </si>
  <si>
    <t>pic.twitter.com/g7mcRhuKJx</t>
  </si>
  <si>
    <t>Vushtrri/Mitrovica/Kosovo 🇽🇰</t>
  </si>
  <si>
    <t>🇽🇰</t>
  </si>
  <si>
    <t>http://Instagram.com/shkurtta.rama</t>
  </si>
  <si>
    <t xml:space="preserve">   عبدالله الزهراني </t>
  </si>
  <si>
    <t>اللواء المتقاعد د. زايد العمري: خبير استراتيجي ومحلل سياسي: قطر اصابتها الغيرة من هذا النموذج الإسلامي الوسطي الصحيح .  - جمال خاشقجي #خاشقجي #عام_على_اغتيال_جمال</t>
  </si>
  <si>
    <t>Odds Comparison</t>
  </si>
  <si>
    <t>Sure Match: Turkey - Albania 11.10.2019 20:45 EUROPE EURO Cup. Bet on TURKEY (#TurkishArmy) at Bet at home 1.44  MORE SURE MATCHES at</t>
  </si>
  <si>
    <t>pic.twitter.com/9yyx2GY85k</t>
  </si>
  <si>
    <t>http://www.oddsmeter.com/soccer/europe/euro-cup/turkey-vs-albania/
http://www.oddsmeter.com/sure-matches.aspx</t>
  </si>
  <si>
    <t>Compare the latest betting offers and find the best bookmakers odds, Free Sure Bets, Dropping Odds, Sure Matches, Free Bets, Live Sport Streaming</t>
  </si>
  <si>
    <t>http://www.oddsmeter.com</t>
  </si>
  <si>
    <t>ﺳﻌﻴﺪ ﺍﺑﻦ ﺩﺣﻤﺎﻥ</t>
  </si>
  <si>
    <t>د.أنور مالك :الحوثي لم يلتزم بشيء من قرارات الأمم المتحدة بل تعدى إلى العدوان على الدول المجاورة، وكل ذلك بإيعاز من إيران، حيث راحت تزود الحوثيين بأسلحة وصواريخ وعتاد وأموال  - جمال خاشقجي #ايران #خاشقجي</t>
  </si>
  <si>
    <t>pic.twitter.com/T0xqe3Nxwf</t>
  </si>
  <si>
    <t>ÜSTÜNER</t>
  </si>
  <si>
    <t>Allah yâr ve yardımcınız olsun baba yiğitler Gazamız mübarek olsun #TurkishArmy #BarışPınarıHarekatı</t>
  </si>
  <si>
    <t>https://pbs.twimg.com/media/EGcVm0QXkAIoFUp.jpg</t>
  </si>
  <si>
    <t xml:space="preserve"> سعيد الخيبري</t>
  </si>
  <si>
    <t>حصري .. السفير ادم ايرلي متحدث الخارجية الأمريكية السابق : اردوغان أكبر منافق في العالم..يذرف دموع التماسيح على خاشقجي بينما يزج بالاَف الاتراك بالسجونAdam Ereli: Erdogan is the biggest hypocrite on the plant  #JamalKhashoggi #تركيا</t>
  </si>
  <si>
    <t>pic.twitter.com/BBoyZHpA01</t>
  </si>
  <si>
    <t>Seyhan, Adana</t>
  </si>
  <si>
    <t>Fenerbahçe SK 🇹🇷</t>
  </si>
  <si>
    <t>Sadecegs</t>
  </si>
  <si>
    <t>#TurkishArmy #TuerkMilletiOrdusununYanında</t>
  </si>
  <si>
    <t>https://pbs.twimg.com/media/EGcVlSrXUAEfHoi.jpg</t>
  </si>
  <si>
    <t xml:space="preserve">   عبدالرحمن الحبيشي</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</si>
  <si>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#تركيا</t>
  </si>
  <si>
    <t>pic.twitter.com/CLtB6Qqw5s</t>
  </si>
  <si>
    <t>Ercü</t>
  </si>
  <si>
    <t>#BarisPinari #BarışPınarıHarekati #TurkishArmy #OperationPeaceSpring “Muhtaç olduğun kudret, damarlarındaki asil kanda mevcuttur.” Mustafa Kemal ATATÜRK 🇹🇷🇹🇷🇹🇷🇹🇷🇹🇷🇹🇷🇹🇷🇹🇷🇹🇷🇹🇷🇹🇷🇹🇷</t>
  </si>
  <si>
    <t>مبارك العنزي</t>
  </si>
  <si>
    <t>محلل قناة ٢٤ سعودي الفضائية د. عمر عبدالستار في نيران ايران : قد يسقط نظام ايران النووي.. قبل سقوط نظام ايران الثوري  #خاشقجي #عام_على_اغتيال_جمال</t>
  </si>
  <si>
    <t>Grafikatör</t>
  </si>
  <si>
    <t>pic.twitter.com/O9Eo9eDxYg</t>
  </si>
  <si>
    <t>Ofansif Oyun Kurucu</t>
  </si>
  <si>
    <t>Vur şanlı silahınla gönül mülkü düzelsin; Sen öldürüyorken de vururken de güzelsin! #TurkishArmy</t>
  </si>
  <si>
    <t xml:space="preserve"> صالح الحجي</t>
  </si>
  <si>
    <t>أ. عبدالرحمن الملحم - كاتب ومحلل سياسي : قطر مصابة بعمى سياسي كبير ولا تعرف إلى اين تتجه .  - جمال خاشقجي #خاشقجي #عام_على_رحيل_خاشقجي</t>
  </si>
  <si>
    <t>Sadece şans denen orospu benimle yatmaz</t>
  </si>
  <si>
    <t>pic.twitter.com/xktuM2YG3u</t>
  </si>
  <si>
    <t>Duygu KG ϜϓſϞ</t>
  </si>
  <si>
    <t>Allahü Ekber! Ordumuz olsun daim muzaffer.. #BarisPinariHarekati #TurkishArmy #BarisPinari #</t>
  </si>
  <si>
    <t>MHP Genel Merkez Disiplin Kurulu Üyesi - Ank.Hukuk Fak. Mezunu - Asya Hukuk Kurucu Avukat- Ank. 27. Dönem Milletvekili Adayı- Türk Hukuk Enstitüsü G.Bsk.Yard</t>
  </si>
  <si>
    <t xml:space="preserve"> عزام  الحليله </t>
  </si>
  <si>
    <t>د. فايز النشوان في أبعاد : تركيا التي قادت حملة شرسة ضد السعودية، لديها 220 ألف معتقل في السجون التركية بتهمة الانقلاب 2016 معظمهم صحفيين وقضاة وأساتذة جامعيين هم تابعين لتيار عبدالله كولن  - جمال خاشقجي #خاشقجي #عام_على_رحيل_جمال</t>
  </si>
  <si>
    <t>pic.twitter.com/aAne1ePlsK</t>
  </si>
  <si>
    <t>Steve Atkins</t>
  </si>
  <si>
    <t>Right so we have captured 70,000 IS fighters which are being held in camps &amp; we are now allowing Turkey to start a war with Syria which could see them all escape...makes sense🤔 #TurkishArmy #Kurds</t>
  </si>
  <si>
    <t>England, United Kingdom</t>
  </si>
  <si>
    <t>TRIPLET FAMILY ⚽ #Partofthepride #AVFC⛥ #STANDUPTOCANCER 🎗 Socialist 🌹</t>
  </si>
  <si>
    <t>#TheSilenceEp🔥😪</t>
  </si>
  <si>
    <t>#تركي_الشيخ_رد_على_ابيار #موسم_الرياض_احلى_مع_المسافر #TurkishArmy #poweroutage #VivoV17ProLaunchPH #jokerquotes #StrayKids_DoubleKnot #StrayKidsComeback #IwonderifMyCrush #아름다운_강다니엘 #BIGILFootballTournament #WednesdayThoughts #WednesdayWisdom RT @Blacksearch1: Nah ma nizzle you gotta hear this out on full blast!!! #blessedFlamesB_RT_S #MTVEMA #SundayThoughts #SundayMorning @SoundCloud @audiomack @YouTube @slikouron @ReverbNation #MondayMotivaton #MondayMood #MondayMorning  🏆🏆👑👑💯💯💯</t>
  </si>
  <si>
    <t>https://twitter.com/Blacksearch1/status/1059315177143894019
https://www.slikouronlife.co.za/artist/3694</t>
  </si>
  <si>
    <t>pic.twitter.com/SPERiFehNd</t>
  </si>
  <si>
    <t>Johannesburg, South Africa</t>
  </si>
  <si>
    <t>@zeal66F main account suspended @ 24.9K👑💯💯 ask for more I'll let you know... #follow @zeal66F and @zeal66FF🤬</t>
  </si>
  <si>
    <t>http://slikouronlife.co.za/artist/3694</t>
  </si>
  <si>
    <t>حماد ونس</t>
  </si>
  <si>
    <t>د. صالح آل ورثان: إعلامي وناقد صحفي: الاتراك خلقوا فتنة ما بين مكونات الشعب السوري وتحديداً بين العرب والأكراد .  #خاشقجي #تركيا</t>
  </si>
  <si>
    <t>pic.twitter.com/l0DMIywrXS</t>
  </si>
  <si>
    <t>Abdul Samet Bekâr</t>
  </si>
  <si>
    <t>Bismillah, Rabbim yâr ve yardımcımız olsun. 🇹🇷🇹🇷🇹🇷🤲#TurkishArmy</t>
  </si>
  <si>
    <t xml:space="preserve">İstanbul, Türkiye </t>
  </si>
  <si>
    <t>Kalp gözüyle görenlerden ol, dışardan cahil sansınlar seni. Hususî ve güzel bir gidiştir şu ki sen akıllı ol da seni deli sansınlar. #İstanbul🌴 #OGM #OBM🌱</t>
  </si>
  <si>
    <t>http://instagram.com/abdulsametbekar61</t>
  </si>
  <si>
    <t>حصري .. السفير ادم ايرلي متحدث الخارجية الأمريكية السابق : اردوغان أكبر منافق في العالم..يذرف دموع التماسيح على خاشقجي بينما يزج بالاَف الاتراك بالسجونAdam Ereli: Erdogan is the biggest hypocrite on the plant  #خاشقجي #عام_على_رحيل_جمال</t>
  </si>
  <si>
    <t>pic.twitter.com/yzLM2iwcmV</t>
  </si>
  <si>
    <t>Kadir Doğan 🔥💧⚡</t>
  </si>
  <si>
    <t>Ulusal kanalların hepsi ekrana şanlı Türk Bayrağı"nı asmalı... #TurkishArmy #BarışPınarıHarekatı @rtk_turk</t>
  </si>
  <si>
    <t>https://pbs.twimg.com/media/EGcViR4XkAIdcFC.jpg</t>
  </si>
  <si>
    <t>Melisa L - Bleasdale</t>
  </si>
  <si>
    <t>@BrexitResist @realDonaldTrump He is complicit in many deaths. #JamalKhashoggi</t>
  </si>
  <si>
    <t>Büyükçekmece, Türkiye</t>
  </si>
  <si>
    <t>Nuri Aşıroglu  ‎</t>
  </si>
  <si>
    <t>TÜRK’ün gücünü göreceksiniz! #TurkishArmy</t>
  </si>
  <si>
    <t>San Mateo, CA</t>
  </si>
  <si>
    <t>Mom to M, Gov security analyst, tech IR exec, journalist, interior designer, music geek, Mopar muscle. Cleveland-born. Instagram: Apartment46 ANTI-TRUMP</t>
  </si>
  <si>
    <t>Paramedic-Hair Transplant / Galatasaray / 𐱅𐰇𐰼𐰰 🇹🇷</t>
  </si>
  <si>
    <t xml:space="preserve"> عبدالمجيد الهذلى</t>
  </si>
  <si>
    <t>تقرير : قطر والإخوان في أوروبا .. جمعيات مشبوهة وتمويل للإرهاب  - جمال خاشقجي #JamalKhashoggi #تركيا</t>
  </si>
  <si>
    <t>pic.twitter.com/oPYgMDjbaT</t>
  </si>
  <si>
    <t>Furkan Songelen</t>
  </si>
  <si>
    <t>"Şu kopan fırtına Türk ordusudur yâ Rabbi. Senin uğrunda ölen ordu, budur yâ Rabbi. Tâ ki yükselsin ezanlarla müeyyed nâmın, Galib et, çünkü bu son ordusudur İslâm'ın."#BarisPinariHarekati #TurkishArmy</t>
  </si>
  <si>
    <t>https://pbs.twimg.com/media/EGcVhaxXYAIHr5I.jpg</t>
  </si>
  <si>
    <t xml:space="preserve"> محمد الاعجم</t>
  </si>
  <si>
    <t>تقرير: علم إسرائيل يرفرف مجدداً في سماء الدوحة في بطولة ألعاب القوى.  - جمال خاشقجي #JamalKhashoggi #تركيا</t>
  </si>
  <si>
    <t>pic.twitter.com/GD0TGr9j6d</t>
  </si>
  <si>
    <t>Muhammed Arif AYGÖK</t>
  </si>
  <si>
    <t>Ve Allah sana şanlı bir zafer ile yardım etsin . Fetih 3 #BarışPınarıHarekati #TurkishArmy</t>
  </si>
  <si>
    <t>https://pbs.twimg.com/media/EGcVhAtWsAUpwJW.jpg</t>
  </si>
  <si>
    <t xml:space="preserve">   مبروك الحربي</t>
  </si>
  <si>
    <t>أ. سامي المرشد: المال القطري أنفق بسخاء على الإرهاب والعصابات وتهييج الشعوب .  - جمال خاشقجي #JamalKhashoggi #قطر</t>
  </si>
  <si>
    <t>pic.twitter.com/hjqyzfb4b2</t>
  </si>
  <si>
    <t xml:space="preserve"> هادي الرشيدي</t>
  </si>
  <si>
    <t>محلل قناة ٢٤ سعودي الفضائية عبدالجليل السعيد في حقائق في دقائق : ايران اليوم تُغْرق العراق في المنتجات الإيرانية الفاسدة وتنهب من بلاد الرافدين النفط والثروات للإنفاق على نظام الملالي  - جمال خاشقجي #JamalKhashoggi #السعودية</t>
  </si>
  <si>
    <t>pic.twitter.com/yppCy0JnJh</t>
  </si>
  <si>
    <t>Yasin Güler</t>
  </si>
  <si>
    <t>🇹🇷🇹🇷 Haydir Allah.. #TurkishArmy #BarisPinari #BarisPinariHarekati #carsamba</t>
  </si>
  <si>
    <t xml:space="preserve"> ﻣﺤﻤﺪ ﺍﻟﻘﺤﻄﺎﻧﻲ ‏</t>
  </si>
  <si>
    <t>د. محمد الحلفي : باحث في التاريخ الحديث : قامت قناة الجزيرة من اجل تفكيك المجتمعات العربية وإثارة الفوضى في المنطقة.  #خاشقجي #عام_على_اغتيال_جمال</t>
  </si>
  <si>
    <t>pic.twitter.com/q4benpiNpi</t>
  </si>
  <si>
    <t>Diyarbakır</t>
  </si>
  <si>
    <t>Sosyal Medya ve Bireysel Güvenlik Uzmanı</t>
  </si>
  <si>
    <t>Ferit Ali Seçkin</t>
  </si>
  <si>
    <t>BARIŞ PINARI HAREKATI BAŞLADI - CANLI YAYIN İZLEME  #BarisPinari #BarışPınarıHarekati #OperationPeaceSpring #TurkishArmy</t>
  </si>
  <si>
    <t xml:space="preserve"> نزال العنزي</t>
  </si>
  <si>
    <t>https://youtu.be/mijHAWa-2V4</t>
  </si>
  <si>
    <t>د. نايف الوقاع: ما تقوم به عصابة الحوثي المدعومة من ايران في اليمن تعتبر جريمة حرب بكل ما تحمله من معاني.  - جمال خاشقجي #خاشقجي #عام_على_رحيل_جمال</t>
  </si>
  <si>
    <t>pic.twitter.com/oTjoMlajPH</t>
  </si>
  <si>
    <t>şukella</t>
  </si>
  <si>
    <t>http://www.sakinca.com</t>
  </si>
  <si>
    <t xml:space="preserve"> مفلح  الدوسري </t>
  </si>
  <si>
    <t>العميد متقاعد. حسن الشهري: قناة الجزيرة تستهدف الشعب السعودي منذ عام 96 وعندما فشلت انتقلت إلى صف الأعداء .  - جمال خاشقجي #خاشقجي #عام_على_رحيل_خاشقجي</t>
  </si>
  <si>
    <t>pic.twitter.com/GBnfBgOsis</t>
  </si>
  <si>
    <t>🇹🇷 HAKKI BİLGEN 🇹🇷</t>
  </si>
  <si>
    <t>Allah ordumuza zeval vermesin. La galibe illallah.#BarisPinariHarekati #TurkishArmy #BarisPinari</t>
  </si>
  <si>
    <t xml:space="preserve"> ﺟﺎﺳﻢ ﺍﻟﻤﺎﺟﺪ</t>
  </si>
  <si>
    <t>اللواء متقاعد. عبدالله القحطاني : النظام القطري ليس ممولاً للجماعات الإرهابية فقط بل هو يهيء الغطاء الدبلوماسي و السياسي لهم  - جمال خاشقجي #JamalKhashoggi #تركيا</t>
  </si>
  <si>
    <t>Retweet ettiğim tweetler, her görüşü onayladığım, beğendiğim anlamına gelmez...</t>
  </si>
  <si>
    <t>pic.twitter.com/h6nQ703oki</t>
  </si>
  <si>
    <t xml:space="preserve"> حمزه الحرداني </t>
  </si>
  <si>
    <t>أ. نايف الحربي: إعلامي وكاتب صحفي: ايران قابلت الاتفاق النووي بالمزيد من العمليات الإرهابية والتخريبية .  - جمال خاشقجي #خاشقجي #عام_على_اغتيال_جمال</t>
  </si>
  <si>
    <t>pic.twitter.com/F6kO8DvPfS</t>
  </si>
  <si>
    <t>Yaşar</t>
  </si>
  <si>
    <t>Çocukların korkmadığı tek ordu...Türk Ordusu.... #BarisPinariHarekati #TurkishArmy</t>
  </si>
  <si>
    <t>https://pbs.twimg.com/media/EGcVe_RXYAEF6UX.jpg</t>
  </si>
  <si>
    <t xml:space="preserve"> محمد آل فروان</t>
  </si>
  <si>
    <t>اتصال / أ. أيمن إبراهيم : إعلامي وباحث إستقصائي - القاهرة : منذ سقوط الإخوان الإرهابيين عام 2013 في مصر سقطت نسبة المشاهدين لـ قناة الجزيرة بشكل كبير جدا.  #JamalKhashoggi #السعودية</t>
  </si>
  <si>
    <t>pic.twitter.com/K7PwT2Gqgt</t>
  </si>
  <si>
    <t>Vatan ne Türkiyedir Türklere, ne Türkistan Vatan, büyük ve müebbet bir Ülkedir: Turan 🇹🇷🇹🇷🇹🇷🇹🇷🇹🇷</t>
  </si>
  <si>
    <t>Onur Ağca</t>
  </si>
  <si>
    <t>#BarisPinariHarekati #TurkishArmy Bahar geçti yavrum ekimde giyiceksiniz. Ama neyse giyince alışırsınız..</t>
  </si>
  <si>
    <t>https://pbs.twimg.com/media/EGcVefXXoAMBURk.jpg</t>
  </si>
  <si>
    <t>🇺🇸 #IMPEACHTrump 🇷🇺 + ⚖️ #DisbarBARR ⚖️</t>
  </si>
  <si>
    <t>Seth, what do you believe is motivating this reckless move involving Syria by an incompetent and compromised Donald J. TRUMP? What does Erdogan and Turkey have on tRUMP and @GOP? #Kompromat #JamalKhashoggi #Syria #KurdsBetrayed also. RT @SethAbramson: I fear this will get very bad very fast.</t>
  </si>
  <si>
    <t>https://twitter.com/SethAbramson/status/1181782575708278784
https://twitter.com/thehill/status/1181772786441838592</t>
  </si>
  <si>
    <t>The Best Goddamn Closer in the City</t>
  </si>
  <si>
    <t xml:space="preserve">Global Citizen </t>
  </si>
  <si>
    <t>- Healer by profession &amp; passion. Naïve enough to still believe in democracy and justice. Image of ocean floor Hopewell Rocks @ low tide - that sense of PEACE.</t>
  </si>
  <si>
    <t>🇹🇷 Mustafa KAYNAK 🇹🇷</t>
  </si>
  <si>
    <t>@realDonaldTrump #TurkishArmy القوات المسلحة التركية بالتعاون مع الجيش الوطني السوري تطلق عملية نبع السلام العسكرية في شمالي سوريا لتطهير المنطقة من منظمتي بي كي كي/ واي بي جي وداعش الإرهابيتين. هدفنا القضاء على الممر الإرهابي المراد تشكيله على حدودنا الجنوبية إحلال السلام والأمان في المنطقة</t>
  </si>
  <si>
    <t xml:space="preserve"> شكرى زمزمي </t>
  </si>
  <si>
    <t>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#قطر</t>
  </si>
  <si>
    <t>pic.twitter.com/bfO63BRYSP</t>
  </si>
  <si>
    <t>#MHP 🇹🇷 &amp; ‎‎‎‎‎‎‎‎‎‎@Besiktas 🏁 ☆☆☆ 1903</t>
  </si>
  <si>
    <t>Emre</t>
  </si>
  <si>
    <t>Vur, sen de mukaddes hürriyet için, Dünyanın diktiği bayrak için vur! #TurkishArmy #BarışPınarıHarekati #OperationPeaceSpring</t>
  </si>
  <si>
    <t>https://pbs.twimg.com/media/EGcVde9XoAA2HS8.jpg</t>
  </si>
  <si>
    <t xml:space="preserve"> محمد آل مسعد</t>
  </si>
  <si>
    <t>د. عبد الله الرفاعي: لا زال اردوغان ونظامه يُمارسون العبث السياسي الذي بدء يدفع ثمنه الداخل التركي.  - جمال خاشقجي #خاشقجي #عام_على_رحيل_جمال</t>
  </si>
  <si>
    <t>pic.twitter.com/qBAnxkNvZJ</t>
  </si>
  <si>
    <t>Hayatım Olmuş Beşiktaş...🦅 TURKİSH NAVY⚓ 🇹🇷🇹🇷🇹🇷🇹🇷🇹🇷🇹🇷🇹🇷🇹🇷🇹🇷🇹🇷🇹🇷🇹🇷 👉👉👉http://youtu.be/-PlBQDBTJ1M</t>
  </si>
  <si>
    <t>https://www.instagram.com/emreu00</t>
  </si>
  <si>
    <t>Benhur Özübek</t>
  </si>
  <si>
    <t>Harekatın başlama emrinin verildiği an. Anlayana mesaj büyük..#BarışPınarıHarekati #TurkishArmy</t>
  </si>
  <si>
    <t>عبدالرحمن ابولحيه</t>
  </si>
  <si>
    <t>تقرير: ايران تصرخ: المتظاهرين العراقيون تدربوا في معسكرات السعودية وأمريكا .  #خاشقجي #تركيا</t>
  </si>
  <si>
    <t>https://pbs.twimg.com/media/EGcVc5XWkAE9pBB.jpg</t>
  </si>
  <si>
    <t>pic.twitter.com/oqBq1Lka1l</t>
  </si>
  <si>
    <t xml:space="preserve"> هشام الدوسرى</t>
  </si>
  <si>
    <t>Dursun Yasar</t>
  </si>
  <si>
    <t>تقرير: وثائقي فرنسي يكشف علاقة قطر بتمويل التطرف الإرهاب في أوروبا .  - جمال خاشقجي #خاشقجي #عام_على_اغتيال_جمال</t>
  </si>
  <si>
    <t>https://pbs.twimg.com/media/EGcVdbkWoAQulya.jpg</t>
  </si>
  <si>
    <t>pic.twitter.com/aerem846Bc</t>
  </si>
  <si>
    <t xml:space="preserve"> علي  غنيمي </t>
  </si>
  <si>
    <t>العميد متقاعد. حسن الشهري: الدوحة مُسيرة ولا تملك من امرها شيء فلديها برنامج تخريبي في المنطقة يجب ان تُنفذه فالمُستهدف هو الاسلام.  - جمال خاشقجي #خاشقجي #عام_على_اغتيال_جمال</t>
  </si>
  <si>
    <t>pic.twitter.com/0FOOqFtg9C</t>
  </si>
  <si>
    <t> ظافر الشهراني</t>
  </si>
  <si>
    <t>أ. نايف الحربي: إعلامي وكاتب صحفي: قطر تريد أن تشق الصف العربي والإسلامي .  - جمال خاشقجي #خاشقجي #عام_على_رحيل_خاشقجي</t>
  </si>
  <si>
    <t>pic.twitter.com/h0XEjMrP7F</t>
  </si>
  <si>
    <t>SAMET SERBEST</t>
  </si>
  <si>
    <t>Savaş devletler arasında olur. Türk Silahlı Kuvvetleri sınırımızdaki KÖPEKLERİ temizliyor. #BarışPınarıHarekatı #TurkishArmy #OperationPeaceSpring RT @HDPgenelmerkezi: Kürt'ü, Arap'ı, Türkmen'i, Êzidî'si, Müslüman'ı, Hıristiyan'ı; 5 milyondan fazla insanın kardeşlik içerisinde yaşadığı bir bölgeye işgal girişimi başladı. Savaşı desteklemek, bu halklar değil IŞİD çeteleri komşumuz olsun demektir. Bin kez söyledik yine söylüyoruz; SAVAŞA HAYIR!</t>
  </si>
  <si>
    <t xml:space="preserve"> فهد سعيد</t>
  </si>
  <si>
    <t>ادم ايرلي متحدث الخارجية الأمريكية السابق: اردوغان أكبر منافق في العالم..يذرف دموع التماسيح على جمال خاشقجي بينما يزج بالاَف الاتراك بالسجونAdam Ereli: Erdogan is the biggest hypocrite on the plant  #ايران #خاشقجي</t>
  </si>
  <si>
    <t>pic.twitter.com/htoGIXhDbh</t>
  </si>
  <si>
    <t>http://instagram.com/sametserbest Mağrur olanın değil, mağdur olanın yanında olun! Devletin bekası her şeyden önemlidir. #KentselDönüşüm #Medya</t>
  </si>
  <si>
    <t>http://kalyongrup.com</t>
  </si>
  <si>
    <t xml:space="preserve"> عبدالمجيد عبدالله</t>
  </si>
  <si>
    <t>اتصال / أ. أيمن إبراهيم : إعلامي وباحث إستقصائي - القاهرة : منذ سقوط الإخوان الإرهابيين عام 2013 في مصر سقطت نسبة المشاهدين لـ قناة الجزيرة بشكل كبير جدا.  #JamalKhashoggi #تركيا</t>
  </si>
  <si>
    <t>pic.twitter.com/FCrg77fm5i</t>
  </si>
  <si>
    <t xml:space="preserve"> ﺧﺎﻟﺪ ﺳﻌﻴﺪ</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</si>
  <si>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#السعودية</t>
  </si>
  <si>
    <t>pic.twitter.com/me2UGhYAUK</t>
  </si>
  <si>
    <t>Halil Ozturk</t>
  </si>
  <si>
    <t>The very last hope of world's oppressed and faithful people is on the move #TurkishArmy</t>
  </si>
  <si>
    <t xml:space="preserve"> ﺳﻌﻴﺪ ﺍﻟﻘﺤﻄﺎﻧﻲ </t>
  </si>
  <si>
    <t>ادم ايرلي متحدث الخارجية الأمريكية السابق: اردوغان أكبر منافق في العالم..يذرف دموع التماسيح على جمال خاشقجي بينما يزج بالاَف الاتراك بالسجونAdam Ereli: Erdogan is the biggest hypocrite on the plant  #JamalKhashoggi #قطر</t>
  </si>
  <si>
    <t>pic.twitter.com/mczwpRE1oc</t>
  </si>
  <si>
    <t>Software Engineer</t>
  </si>
  <si>
    <t>علي عسيري</t>
  </si>
  <si>
    <t>أ. نايف الحربي: إعلامي وكاتب صحفي: ايران دولة ليست موثوقة .. ولا أحد يثق فيها .  - جمال خاشقجي #خاشقجي #عام_على_رحيل_جمال</t>
  </si>
  <si>
    <t>pic.twitter.com/CPK8N9mVjr</t>
  </si>
  <si>
    <t xml:space="preserve"> صالح  آل منصور</t>
  </si>
  <si>
    <t>اللواء متقاعد د. شامي الظاهري : تنظيم الإخوان هو المحرك الأساسي للدولتين قطر و تركيا .  - جمال خاشقجي #JamalKhashoggi #قطر</t>
  </si>
  <si>
    <t>pic.twitter.com/7t6Vxx7Q6g</t>
  </si>
  <si>
    <t>Mhammed Enes Özçelik</t>
  </si>
  <si>
    <t>Yolumuz Gazadır Sonu Şehadet.. Harekat Başlamıştır Rabbim Yar Ve Yardımcımız Olsun Rabbim Düşmanı Kahreyle Ordumuzu Muzaffer Eyle.. #TurkishArmy #BarisPinari #BarisPinariHarekati</t>
  </si>
  <si>
    <t>19🌿7 MEÜ 📚 Ayak Bizdede Var Ama Namımız Yürüyor 😉</t>
  </si>
  <si>
    <t>http://instagram.com/enesmhammed/</t>
  </si>
  <si>
    <t xml:space="preserve"> طلال العتيبي</t>
  </si>
  <si>
    <t>العميد متقاعد. حسن الشهري: قناة الجزيرة لا تنقل خير قط وتقوم ببث الطائفية والكراهية  - جمال خاشقجي #خاشقجي #تركيا</t>
  </si>
  <si>
    <t>pic.twitter.com/2i4JmuBVA9</t>
  </si>
  <si>
    <t xml:space="preserve"> تامر الصانع</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</si>
  <si>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#ايران #خاشقجي</t>
  </si>
  <si>
    <t>Aslı Koca</t>
  </si>
  <si>
    <t>Allah yar ve yardımcınız olsun, dualarımız sizinle... Ayağınıza taş değmesin🙏🏻🇹🇷 #BarisPinariHarekati #TurkishArmy</t>
  </si>
  <si>
    <t>pic.twitter.com/OSywChINXd</t>
  </si>
  <si>
    <t>Kocatepe Üniversitesi</t>
  </si>
  <si>
    <t xml:space="preserve"> محمد  الحربي </t>
  </si>
  <si>
    <t>د.عمر عبدالستار: الخرق الثالث لإيران في الملف النووي قد يؤدي لإنسحاب أوروبي من الاتفاق النووي وصولاً إلى تفعيل آلية فض النزاع التي قد تؤدي إلى عودة إيران إلى البند السابع مرورا بمجلس الأمن الدولي  - جمال خاشقجي #خاشقجي #تركيا</t>
  </si>
  <si>
    <t>pic.twitter.com/tEkMLPgxr5</t>
  </si>
  <si>
    <t>arif k.</t>
  </si>
  <si>
    <t>Burnunuz dahi kanamadan tırnağınıza zarar gelmeden vurun sağsalim dönün evlatlar. Gazamız mubarek olsun #TurkishArmy #BarisPinari #BarisPinariHarekati</t>
  </si>
  <si>
    <t xml:space="preserve"> بداح آل صويان</t>
  </si>
  <si>
    <t>أ. عبدالرحمن الملحم - كاتب ومحلل سياسي : قطر قامت بخيانة دول مجلس التعاون بإعطاء احداثيات حول الجنود الاماراتيين والسعوديين .  - جمال خاشقجي #ايران #خاشقجي</t>
  </si>
  <si>
    <t>pic.twitter.com/BZkuR3YWkw</t>
  </si>
  <si>
    <t>Ahmet Esad Çelik</t>
  </si>
  <si>
    <t>Allah Yar ve Yardımcımız Olsun.🇹🇷 #BarisPinariHarekati #TurkishArmy</t>
  </si>
  <si>
    <t>ﺿﻴﻒ ﺍﻟﻠﻪ ﺍﻟﻌﻮﻓﻲ</t>
  </si>
  <si>
    <t>مهم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#قطر</t>
  </si>
  <si>
    <t>pic.twitter.com/j4eKXIjHOv</t>
  </si>
  <si>
    <t>Fenerbahçe🌿</t>
  </si>
  <si>
    <t>محمد عاشور</t>
  </si>
  <si>
    <t>العميد متقاعد. حسن الشهري : لم يقف في وجه المملكة دولة أو نظام أو حزب الا خسر وتبقى المملكة منتصرة .  - جمال خاشقجي #خاشقجي #عام_على_رحيل_خاشقجي</t>
  </si>
  <si>
    <t>Atakan Gençarslan</t>
  </si>
  <si>
    <t>pic.twitter.com/e5du3xx1Qd</t>
  </si>
  <si>
    <t>Vur şanlı silahınla, gönül mülkü düzelsin; sen öldürüyorken de, vuruyorken de güzelsin. #TurkishArmy</t>
  </si>
  <si>
    <t>çok düşünme, sadece eğlenmene bak</t>
  </si>
  <si>
    <t xml:space="preserve"> بشر العنزي</t>
  </si>
  <si>
    <t>محلل قناة ٢٤ سعودي الفضائية د. أنور مالك في المراقب : "كتاب أوراق قطر" تحقيق استقصائي أورد أن الدوحة حولت مبالغ مالية كبيرة إلى أوروبا لدعم 140 مشروعاً يرتبط بالتنظيم الدولي للإخوان  - جمال خاشقجي #JamalKhashoggi #السعودية</t>
  </si>
  <si>
    <t>pic.twitter.com/u0xABds5OS</t>
  </si>
  <si>
    <t>IntelScout</t>
  </si>
  <si>
    <t>16 strikes so far according to reports. #TurkishArmy #syria</t>
  </si>
  <si>
    <t>https://twitter.com/Deven_Intel/status/1181935132451753984</t>
  </si>
  <si>
    <t xml:space="preserve">  موسي  العنزي</t>
  </si>
  <si>
    <t>محلل قناة ٢٤ سعودي الفضائية: د. رامي خليفة العلي : هناك سوء في السياسة التركية التي سمحت بسيطرة جبهة النصرة على مناطق واسعة ما أعطى مبرراً لروسيا وللنظام السوري للتقدم في تلك المنطقة .  - جمال خاشقجي #JamalKhashoggi #قطر</t>
  </si>
  <si>
    <t>pic.twitter.com/mo1wi3ggcC</t>
  </si>
  <si>
    <t>Germany</t>
  </si>
  <si>
    <t>Keeping an eye on current events. Focusing on Military and foreign affairs! Will post my opinion from time to time. #OSINT #NEWS</t>
  </si>
  <si>
    <t>نقطة نظام</t>
  </si>
  <si>
    <t>#اين_جثة_جمال_خاشقجي #جمال_خاشقجي where is #JamalKhashoggi body ? #karenAttiah #therealdonald #cnn @ #nbc #nytimes #jkhashoggi #foxnews #OKAZ_online #kbsalsaud #AlArabiya #Turki_alalshikh #Adhwan</t>
  </si>
  <si>
    <t>ZEYNEP GÜNGÖR🇹🇷</t>
  </si>
  <si>
    <t>Îmân edenler, ALLÂH yolunda savaşırlar,inkâr edenler ise tâgut yolunda savaşırlar.O halde siz şeytanın dostlarını öldürmeye bakın! Kesinlikle şeytanın hîlesi zayıftır Nisa 56.ayet #BarisPinariHarekati 🇹🇷 #BarisPinari 🇹🇷#OperationPeaceSpring 🇹🇷#KurdsSideWithTurkey🇹🇷 #TurkishArmy</t>
  </si>
  <si>
    <t>pic.twitter.com/ZXKbkpsPds</t>
  </si>
  <si>
    <t>‏‏مربي حيوانات ناطقة😱😡🧐🤓 مثقف محارب ملاكم الحديث على مستوى الحدث و المتحدث.. لا مساومة على الحرية</t>
  </si>
  <si>
    <t> أحمد البراك</t>
  </si>
  <si>
    <t>اتصال / أ. أيمن إبراهيم : إعلامي وباحث إستقصائي - القاهرة : منذ سقوط الإخوان الإرهابيين عام 2013 في مصر سقطت نسبة المشاهدين لـ قناة الجزيرة بشكل كبير جدا.  #ايران #خاشقجي</t>
  </si>
  <si>
    <t>istanbul/türkiye</t>
  </si>
  <si>
    <t>pic.twitter.com/G0UH5EYanQ</t>
  </si>
  <si>
    <t>Göklerin ve yerin yegâne sahibi olan Allah’ın yolu,iyi bilinmeli ki bütün işler dönüp DOLAŞIP ALLAH'A varır. MUHASEBECİ http://vatantek.net EDİTÖR VE KÖŞE YAZAR</t>
  </si>
  <si>
    <t>http://www.vatantek.net</t>
  </si>
  <si>
    <t>Özgür Çetinkaya</t>
  </si>
  <si>
    <t>#BarışPınarıHarekati #TurkMilletiOrdusununYanındadır #TurkishArmy Sefer bizim, Zafer ALLAH'INDIR. Yolunuz açık olsun Koçyiğitler!</t>
  </si>
  <si>
    <t>خالد بن عبد العزيز</t>
  </si>
  <si>
    <t>تقرير: خالد بن سلمان: آن الأوان ليقف اليمنيون صفاً واحداً أمام مشروع الدمار الإيراني.  #JamalKhashoggi #السعودية</t>
  </si>
  <si>
    <t>https://pbs.twimg.com/media/EGcVYTiW4AEb2RE.jpg</t>
  </si>
  <si>
    <t>pic.twitter.com/k1AQkfTISl</t>
  </si>
  <si>
    <t>𐱅𐰼𐰇𐰰</t>
  </si>
  <si>
    <t xml:space="preserve"> سمير الوادعي</t>
  </si>
  <si>
    <t>تقرير: وثائقي فرنسي يكشف علاقة قطر بتمويل التطرف الإرهاب في أوروبا .  - جمال خاشقجي #خاشقجي #عام_على_رحيل_خاشقجي</t>
  </si>
  <si>
    <t>pic.twitter.com/ozPQBf1Xx4</t>
  </si>
  <si>
    <t>EFKAN YILMAZ</t>
  </si>
  <si>
    <t>"Allah sana, şanlı bir zaferle yardım etsin." 🇹🇷 Fetih Sûresi, 2-3 Rabb'im ayağınıza taş değdirmesin. Allah yâr ve yardımcınız olsun.🇹🇷 #TurkishArmy #BarisPinariHarekati #turkmilletiordusununyaninda</t>
  </si>
  <si>
    <t>https://pbs.twimg.com/media/EGcVXIcXYAAHkgM.jpg</t>
  </si>
  <si>
    <t>Sahar Khamis</t>
  </si>
  <si>
    <t>Commenting on 1st anniversary of #JamalKhashoggi's murder in the #program "#Press Mirror" on #AlJazeera #television, I talked about needing better protection for #journalists &amp; #opponents  @shesource @She_Source @womenalsoknow @UMDResearch @AljazeeraAR</t>
  </si>
  <si>
    <t>https://youtu.be/IKwbTMB6p04</t>
  </si>
  <si>
    <t>İskenderun, Türkiye</t>
  </si>
  <si>
    <t>🇹🇷 ADALET BAKANLIĞI 🇹🇷 ☪ Türkiye Gençlik Vakfı (İl Eğitim Koor.) ☪ Gençlik Divanı (Y.K.Kurucu Başkanı) İSTE-Makine Mühendisi🔧 AÖF-İşletme 📈</t>
  </si>
  <si>
    <t>https://pbs.twimg.com/media/EGaTXU0XUAAeL7H.jpg</t>
  </si>
  <si>
    <t>Orhan OĞUZ</t>
  </si>
  <si>
    <t>Elbet Bir Gün Yeniden Mazlumun Olduğu Her Yerde Dalgalanacak Şanlı Bayrak 🇹🇷🇹🇷🇹🇷 #OperationPeaceSpring #BarisPinariHarekati #TurkishArmy</t>
  </si>
  <si>
    <t>https://pbs.twimg.com/media/EGcVWqIX0AIa3Pr.jpg</t>
  </si>
  <si>
    <t>Silver Spring, MD U.S.A</t>
  </si>
  <si>
    <t>I'm an Associate Professor of Communication at the University of Maryland, an expert on Arab &amp; Muslim media, a public speaker, media commentator, &amp; radio host</t>
  </si>
  <si>
    <t>أحمد آل عواد</t>
  </si>
  <si>
    <t>اتصال / أ. خالد الزعتر : محلل سياسي – الرياض : رفع العلم الإسرائيلي في الدوحة هو إثبات للعلاقات الإسرائيلية القطرية وهذا ما تثبته الوقائع التاريخية على مر السنين .  - جمال خاشقجي #خاشقجي #قطر</t>
  </si>
  <si>
    <t>pic.twitter.com/4lYd7Ihql6</t>
  </si>
  <si>
    <t>mailru</t>
  </si>
  <si>
    <t>🇹🇷🇹🇷🇹🇷🇹🇷🇹🇷🇹🇷🇹🇷🇹🇷🇹🇷🇹🇷🇹🇷🇹🇷🇹🇷🇹🇷🇹🇷🇹🇷🇹🇷🇹🇷🇹🇷🇹🇷🇹🇷🇹🇷🇹🇷🇹🇷🇹🇷🇹🇷🇹🇷🇹🇷🇹🇷🇹🇷🇹🇷🇹🇷🇹🇷🇹🇷🇹🇷🇹🇷🇹🇷🇹🇷🇹🇷🇹🇷🇹🇷🇹🇷🇹🇷🇹🇷🇹🇷🇹🇷🇹🇷🇹🇷🇹🇷🇹🇷🇹🇷🇹🇷🇹🇷🇹🇷🇹🇷🇹🇷🇹🇷🇹🇷🇹🇷🇹🇷🇹🇷🇹🇷🇹🇷🇹🇷🇹🇷🇹🇷🇹🇷🇹🇷🇹🇷🇹🇷🇹🇷🇹🇷🇹🇷🇹🇷🇹🇷🇹🇷🇹🇷🇹🇷🇹🇷🇹🇷🇹🇷🇹🇷🇹🇷🇹🇷🇹🇷🇹🇷🇹🇷🇹🇷🇹🇷🇹🇷🇹🇷🇹🇷🇹🇷🇹🇷🇹🇷🇹🇷🇹🇷🇹🇷🇹🇷🇹🇷🇹🇷🇹🇷🇹🇷🇹🇷 #BarışPınarıHarekatı #TurkishArmy #OperationPeaceSpring</t>
  </si>
  <si>
    <t xml:space="preserve"> خالد القرني</t>
  </si>
  <si>
    <t>هام..السفير ادم ايرلي متحدث الخارجية الأمريكية السابق: اردوغان المنافق ..يذرف دموع التماسيح على جمال خاشقجي بينما يزج بالاَف الاتراك بالسجونAdam Ereli: Erdogan is the biggest hypocrite on the plant  #خاشقجي #قطر</t>
  </si>
  <si>
    <t>pic.twitter.com/xGcLx6orNv</t>
  </si>
  <si>
    <t>İAK</t>
  </si>
  <si>
    <t>Duydum ki silah bırakıp kaçmaya başlamışsınız olmaz öyle daha yeni başladık 😎 #TurkishArmy #BarisPinari #BarisPinariHarekati</t>
  </si>
  <si>
    <t>https://pbs.twimg.com/media/EGcVWciXkAETY-A.jpg</t>
  </si>
  <si>
    <t xml:space="preserve">  ناصر  المرزوقي</t>
  </si>
  <si>
    <t>د. محمد الحلفي : باحث في التاريخ الحديث : لا يمكن للشعب القطري القبول بما تقوم به قناة الجزيرة  #خاشقجي #عام_على_رحيل_جمال</t>
  </si>
  <si>
    <t>pic.twitter.com/S7bUvtjQEA</t>
  </si>
  <si>
    <t>İçimde yaşayan filozoflar var.</t>
  </si>
  <si>
    <t>Burak Kurt</t>
  </si>
  <si>
    <t>“Tâ ki yükselsin ezanlarla müeyyed nâmın, Galip et çünkü bu son ordusudur İslamın!” #BarışPınarı #TurkishArmy #BarışPınarıHarekatı</t>
  </si>
  <si>
    <t>https://pbs.twimg.com/media/EGcVUZbWoAAw1g3.jpg</t>
  </si>
  <si>
    <t>AL Ahli Live</t>
  </si>
  <si>
    <t>د. محمد العوين : الحكومة القطرية ليس لها أي توجه إسلامي فهي لديها شعور بالضآلة وهو ما أوصلها للحقد والكراهية نحو المملكة .  - جمال خاشقجي #JamalKhashoggi #تركيا</t>
  </si>
  <si>
    <t>pic.twitter.com/zjzCDHNXqm</t>
  </si>
  <si>
    <t>أبـــيـــض مــع أخـــــضـــر أهــــــلاوي مـن قــد ك</t>
  </si>
  <si>
    <t>Gaziantep | İzmir</t>
  </si>
  <si>
    <t>Ölmeye Yüzümüz Olsun Diye...</t>
  </si>
  <si>
    <t>http://instagram.com/UBKurt</t>
  </si>
  <si>
    <t xml:space="preserve"> سمير الفرحان </t>
  </si>
  <si>
    <t>د. فايز النشوان في أبعاد : تركيا التي قادت حملة شرسة ضد السعودية، لديها 220 ألف معتقل في السجون التركية بتهمة الانقلاب 2016 معظمهم صحفيين وقضاة وأساتذة جامعيين هم تابعين لتيار عبدالله كولن  - جمال خاشقجي #خاشقجي #قطر</t>
  </si>
  <si>
    <t>pic.twitter.com/ITNr9EUP0O</t>
  </si>
  <si>
    <t>Dakika HABER</t>
  </si>
  <si>
    <t>Terör örgütü YPG/PKK, ABD öncülüğündeki Koalisyon'dan, Suriye kuzeyini acilen uçuşa yakın bölge ilan etmelerini istedi. #TurkishArmy #BarisPinariHarekati</t>
  </si>
  <si>
    <t>Son Dakika Haberleri</t>
  </si>
  <si>
    <t>ﻣﺴﻔﺮ ﺍﻻﺳﻤﺮﻱ</t>
  </si>
  <si>
    <t>د. حمدان الشهري: لابد من مُواجهة طهران ومشاريعها في المنطقة.  - جمال خاشقجي #خاشقجي #عام_على_اغتيال_جمال</t>
  </si>
  <si>
    <t>pic.twitter.com/O4G328wSx4</t>
  </si>
  <si>
    <t>Metin Nurlu</t>
  </si>
  <si>
    <t>Allah Askerimizin Mehmetçiğimizin Yardımcımız Olsun. Sefer Bizden Zafer Allah’tandır. Gazamız Mübarek Olsun. Haydi Yâ Allah, Bismillah. #BarisPinariHarekati #TurkishArmy #BarışPınarıHarekatı #BarisPinari #OperationPeaceSpring</t>
  </si>
  <si>
    <t>pic.twitter.com/RQlBTQAzXw</t>
  </si>
  <si>
    <t> ابراهيم العبدي</t>
  </si>
  <si>
    <t>أ. سامي المرشد: المال القطري أنفق بسخاء على الإرهاب والعصابات وتهييج الشعوب .  - جمال خاشقجي #خاشقجي #عام_على_رحيل_خاشقجي</t>
  </si>
  <si>
    <t>9.10.19 was für ein scheiß Tag. #TurkishArmy hat mit ihrer Militäroffensive gegen die Kurden &amp; ihre Verbündeten in Nordsyrien aka #rojava begonnen. #riseup4rojava #Halle: Schüsse vor einer Synagoge, es ist #YomKippur, und einem Dönerladen. 2 Menschen sterben. #halle0910</t>
  </si>
  <si>
    <t>pic.twitter.com/KGMTMVfrAh</t>
  </si>
  <si>
    <t>https://pbs.twimg.com/media/EGcVTI7XoAUxGQ4.jpg</t>
  </si>
  <si>
    <t>محمد الشهراني</t>
  </si>
  <si>
    <t>د. عدنان محمد: يٌقاتل ترامب الإيرانيين بالسلاح الذي يخشونه وليس بالسلاح الذي يُريدونه.  - جمال خاشقجي #خاشقجي #عام_على_اغتيال_جمال</t>
  </si>
  <si>
    <t>Chemnitz, Sachsen</t>
  </si>
  <si>
    <t>Links-grün versiffter Gutmensch, #Chemnitz Sachsen</t>
  </si>
  <si>
    <t>pic.twitter.com/hhPj0TLxpU</t>
  </si>
  <si>
    <t xml:space="preserve">  موسي  الديار</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</si>
  <si>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#خاشقجي #قطر</t>
  </si>
  <si>
    <t>pic.twitter.com/MPADjqt748</t>
  </si>
  <si>
    <t>İYYÜ İDEAL GENÇLİK KULÜBÜ</t>
  </si>
  <si>
    <t>Allah Ordumuza Yâr Olsun, Milletimiz Var Olsun. Barış Pınarı Harekatında kalbimiz ve dualarımız kahraman Mehmetçiklerimizle. Rabbim Şanlı ordumuzu muzaffer kılsın. #BarışPınarıHarekatı #TurkishArmy</t>
  </si>
  <si>
    <t xml:space="preserve"> عبدالوهاب المدلج </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</si>
  <si>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#خاشقجي #عام_على_رحيل_جمال</t>
  </si>
  <si>
    <t>Ne zemin, ne de bir teras katıyız; Biz vatan köşkünde çökmez ÇATI'yız.</t>
  </si>
  <si>
    <t>pic.twitter.com/42ugi53qBo</t>
  </si>
  <si>
    <t>STURRIDGE'nin Sol Ayağı</t>
  </si>
  <si>
    <t>Pkk lı hainler acizlikten lastik yakarak jetlerin görüşünü kapatıyormuş ananizin amina kadar girecekler görüş nasıl olur göreceksiniz #BarisPinariHarekati #BarisPinari #OperationPeaceSpring #TurkishArmy</t>
  </si>
  <si>
    <t xml:space="preserve">ﺿﻴﻒ ﺍﻟﻠﻪ ﺑﺪﺭ </t>
  </si>
  <si>
    <t>محلل قناة ٢٤ سعودي الفضائية د. عمر عبدالستار في نيران ايران: نجحت السعودية في رد الصاع صاعين، أمام الهجمة المجنونة، ونقل المعركة إلى داخل ايران و عزل ايران دولياً وإقليمياً  #ايران #خاشقجي</t>
  </si>
  <si>
    <t>pic.twitter.com/GFAoSYmo7J</t>
  </si>
  <si>
    <t>sem🧚🏻‍♀️</t>
  </si>
  <si>
    <t>Siyah bir kabus karartsa da afakı, yolumuza mihmandar hilalimiz var bizim. Gür çıksa ne olur nadanın baykuş sesi, gök kubbeyi titreten ezanımız ve bayrağımız var bizim! NFK #BarisPinari #BarisPinariHarekati #TurkishArmy</t>
  </si>
  <si>
    <t>https://pbs.twimg.com/media/EGcVR1tXYAcojU-.jpg</t>
  </si>
  <si>
    <t xml:space="preserve"> يوسف الدوسري</t>
  </si>
  <si>
    <t>تقرير: ايران تصرخ: المتظاهرين العراقيون تدربوا في معسكرات السعودية وأمريكا .  #JamalKhashoggi #تركيا</t>
  </si>
  <si>
    <t>pic.twitter.com/QeLWzx03BT</t>
  </si>
  <si>
    <t>ölü|nefsime yazıyorum</t>
  </si>
  <si>
    <t>nevişahsınamünhasırbirkişilik</t>
  </si>
  <si>
    <t>Jimmy</t>
  </si>
  <si>
    <t>Big balls by Erdogan. #TurkishArmy</t>
  </si>
  <si>
    <t xml:space="preserve">معصوم عبدالله </t>
  </si>
  <si>
    <t>د. عبد الرحمن العناد: ما يُغيظ الاعلام القطري المُعادي ان الاعلام السعودي قام بكشف ما يقومون به من مشاريع تخريبية في المنطقة.  - جمال خاشقجي #JamalKhashoggi #تركيا</t>
  </si>
  <si>
    <t>pic.twitter.com/WAm1k7VFxz</t>
  </si>
  <si>
    <t>United States Minor Outlying I</t>
  </si>
  <si>
    <t>Football. Hiphop. Soul. Funk. Boxing. Adult humour/controversy. Films, the occasional tv show. I'm joining you from an undisclosed location. ☺</t>
  </si>
  <si>
    <t>Stef🏛️👌🏻</t>
  </si>
  <si>
    <t>Het moet niet gekker worden, ik ben het eens 100% met @jesseklaver eens! 😅 Maar alle gekkigheid op een stokje, het is natuurlijk bezopen dat we straks met zijn alle de #koerden kunnen beschermen van een #NAVO lidstaat. #TurkishArmy #Turkije #Erdogan RT @jesseklaver: Dit is een ramp voor de Koerdische burgerbevolking. De EU moet nu leiderschap tonen en Turkije tot de orde roepen. Schort met onmiddellijke ingang iedere vorm van militaire samenwerking met Turkije op.</t>
  </si>
  <si>
    <t>https://twitter.com/jesseklaver/status/1181935254573129729
https://nos.nl/artikel/2305397-erdogan-inval-noordoost-syrie-is-begonnen.html</t>
  </si>
  <si>
    <t>عبدالاله محمد</t>
  </si>
  <si>
    <t>د. أنور مالك :"كتاب أوراق قطر"أشار إلى أن موظفاً كبيراً في السفارة القطرية في باريس، يقوم بدور بارز في تسهيل الإمدادات المالية في إطار صناعة النفوذ في قطر، عبر شبكات تابعة لتنظيم الإخوان  - جمال خاشقجي #JamalKhashoggi #تركيا</t>
  </si>
  <si>
    <t>pic.twitter.com/xWUP0Fy0Y8</t>
  </si>
  <si>
    <t>Fırat Demir</t>
  </si>
  <si>
    <t>Selamın aleyküm @realDonaldTrump biz fragmanı başlattık izle istersen aşkım..! #TurkishArmy #BarisPinariHarekati</t>
  </si>
  <si>
    <t>Zebu's rose</t>
  </si>
  <si>
    <t>N’oublions pas le journaliste du ⁦@washingtonpost⁩ #JamalKhashoggi. Il y a un an, il disparaissait derrière cette porte, #ArabieSaoudite #SaudiArabia</t>
  </si>
  <si>
    <t>https://pbs.twimg.com/media/EGaHu2JXYAEej9V.jpg</t>
  </si>
  <si>
    <t>#Bizik 🌨 Adana’ #K1REMİTHANE</t>
  </si>
  <si>
    <t>https://youtu.be/yS4ojx7Om6o</t>
  </si>
  <si>
    <t>France</t>
  </si>
  <si>
    <t>Je ne suis pas sûr d'avoir du goût, mais j'ai le dégoût très sûr</t>
  </si>
  <si>
    <t>Mine Okutan</t>
  </si>
  <si>
    <t>#TurkishArmy #BarisPinariHarekati dualarımızz yüreğimizz her daim Türk ordumuzlaaa 🇹🇷🇹🇷🇹🇷🇹🇷🤲🏼🤲🏼🤲🏼🤲🏼 Rabbim hepsini korusunn inşaallah</t>
  </si>
  <si>
    <t>abdalla abdeen</t>
  </si>
  <si>
    <t>د. فايز النشوان في أبعاد : تركيا التي قادت حملة شرسة ضد السعودية، لديها 220 ألف معتقل في السجون التركية بتهمة الانقلاب 2016 معظمهم صحفيين وقضاة وأساتذة جامعيين هم تابعين لتيار عبدالله كولن  - جمال خاشقجي #خاشقجي #عام_على_اغتيال_جمال</t>
  </si>
  <si>
    <t>pic.twitter.com/6sO6mskLyh</t>
  </si>
  <si>
    <t xml:space="preserve">Gaziantep </t>
  </si>
  <si>
    <t>Endüstri Mühendisi, Boğa ♉ Hayat bize verilen en güzel ödül kıymetini bilelim...</t>
  </si>
  <si>
    <t>Elizabeth</t>
  </si>
  <si>
    <t>@ImThatFriend @cliveboyce77 @RepBrianMast #TurkishArmy now attacking @realDonaldTrump YOU have blood on your hands!</t>
  </si>
  <si>
    <t>https://www.bbc.com/news/world-middle-east-49978567</t>
  </si>
  <si>
    <t xml:space="preserve"> أحمد الوادعي</t>
  </si>
  <si>
    <t>أ. خالد النزر : أين الإعلام القطري من الفضائح التي تحدث داخل قطر  #ايران #خاشقجي</t>
  </si>
  <si>
    <t>pic.twitter.com/GA91TLTJLY</t>
  </si>
  <si>
    <t>"He who accepts evil without PROTESTING AGAINST IT is really cooperating with it." Martin Luther King Jr. #TheResistance #ImpeachTrumpNOW Please NO lists-DM's</t>
  </si>
  <si>
    <t xml:space="preserve"> ﺳﻌﺪ ﺍﻟﺪﻭﺳﺮﻱ</t>
  </si>
  <si>
    <t>أ. نايف الحربي: إعلامي وكاتب صحفي: قناة الجزيرة يصرف عليها مليارات .. واستطاع المغرد السعودي بحسابه الشخصي أن يدافع عن وطنه وقادته .  - جمال خاشقجي #خاشقجي #عام_على_رحيل_خاشقجي</t>
  </si>
  <si>
    <t>pic.twitter.com/9KNZs5br0D</t>
  </si>
  <si>
    <t>Seren Çelebi</t>
  </si>
  <si>
    <t>Rabbim yar ve yardımcınız olsun.🙏 🇹🇷#TurkishArmy</t>
  </si>
  <si>
    <t xml:space="preserve"> احمد الكثيري</t>
  </si>
  <si>
    <t>أ. نايف الحربي: إعلامي وكاتب صحفي: جماعة الأخوان الإرهابية هي من تسيطر على الإعلام القطري وهي من تدعمهم بالتقارير المزيفة .  - جمال خاشقجي #خاشقجي #تركيا</t>
  </si>
  <si>
    <t>https://pbs.twimg.com/media/EGcVOrAWkAEC-yM.jpg</t>
  </si>
  <si>
    <t>pic.twitter.com/sU5514EaW6</t>
  </si>
  <si>
    <t>Dikili, izmir</t>
  </si>
  <si>
    <t>🦋</t>
  </si>
  <si>
    <t>اللواء المتقاعد د. زايد العمري: خبير استراتيجي ومحلل سياسي: قطر تحاول أن تتطاول على جمهورية مصر العربية .  - جمال خاشقجي #خاشقجي #عام_على_رحيل_خاشقجي</t>
  </si>
  <si>
    <t>pic.twitter.com/XRPiCEQqjK</t>
  </si>
  <si>
    <t>Allahım askerimizin, ordumuzun başarıyla dönmesini nasip etsin #BarisPinari #TurkishArmy #TurkAskeri Bu arada bedelli askerlik olmasa keşke.</t>
  </si>
  <si>
    <t>Yay Burcu. 9 yılını Londra'da gazeteci olarak geçirdi. Sonra İstanbul'a döndü. Anadolu Üniversitesi Basın Yayımcılık mezunu. Anadolu Ajansı'nda Başmuhabir</t>
  </si>
  <si>
    <t>Ma Joad</t>
  </si>
  <si>
    <t>@hawks_sox @RepKinzinger now, now, McBarb. Good ol'Adam will ask for ""civility"". IF @SecPompeo can cover-up #JamalKhashoggi , they got this one cover too (redrum)</t>
  </si>
  <si>
    <t>sebber</t>
  </si>
  <si>
    <t>Varlığın güven veriyor ❤️ 🇹🇷 ❤️ #BarisPinariHarekati #TurkishArmy</t>
  </si>
  <si>
    <t>https://pbs.twimg.com/media/EGcVN4IXUAAm7af.jpg</t>
  </si>
  <si>
    <t>Illinois, USA</t>
  </si>
  <si>
    <t>The quality of owning freezes you forever into "I", and cuts you off forever from the "we".~The Grapes of Wrath 🆘🌊🇺🇸🇲🇽</t>
  </si>
  <si>
    <t xml:space="preserve">  سعد داغم </t>
  </si>
  <si>
    <t>محلل قناة ٢٤ سعودي الفضائية د. عمر عبدالستار في نيران ايران : لم تكن الحملة المجنونة على السعودية من أجل خاشقجي بقدر ما كانت ضد سياسة السعودية في مواجهة ايران و الجماعات المتطرفة  #خاشقجي #عام_على_رحيل_خاشقجي</t>
  </si>
  <si>
    <t>pic.twitter.com/gBUcR5bfcB</t>
  </si>
  <si>
    <t>Senden gelen ne varsa bu hayatta kabulumdur Ya Rabb'im yeter ki sen herşeyin üstesinden gelecek gücü ver ve beni sensiz bırakma</t>
  </si>
  <si>
    <t>Allah ayağınıza taş değdirmesin. #BarışPınarıHarekati #mehmetçik #TurkishArmy</t>
  </si>
  <si>
    <t>ﺳﻌﻴﺪ ﺁﻝ ﻗﻨﻴﻨﻪ</t>
  </si>
  <si>
    <t>عاجل و 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#تركيا</t>
  </si>
  <si>
    <t>pic.twitter.com/chwmgqGN8I</t>
  </si>
  <si>
    <t>Aşçı 🔪🍅 Pastacı🍩</t>
  </si>
  <si>
    <t xml:space="preserve"> براك السليس</t>
  </si>
  <si>
    <t>gülişannn</t>
  </si>
  <si>
    <t>د. عدنان محمد: يٌقاتل ترامب الإيرانيين بالسلاح الذي يخشونه وليس بالسلاح الذي يُريدونه.  - جمال خاشقجي #JamalKhashoggi #تركيا</t>
  </si>
  <si>
    <t>Çok kötü bomba patlama sesleri geliyor. Biz burdan bomba seslerini duyup korkuyoruz Allah yardımcıları olsun #TurkishArmy</t>
  </si>
  <si>
    <t>pic.twitter.com/YyoH5tJFBO</t>
  </si>
  <si>
    <t>👉MSKÜ💉🚑 👉Mardin 👉Fenerbahçe💙💛</t>
  </si>
  <si>
    <t>على الرشيد</t>
  </si>
  <si>
    <t>عاجل و 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#ايران #خاشقجي</t>
  </si>
  <si>
    <t>pic.twitter.com/LuuPrRCqJU</t>
  </si>
  <si>
    <t>مسفر  الأحمري</t>
  </si>
  <si>
    <t>أتصال/ أ. مهدي عفيفي: عضو الحزب الديموقراطي الأمريكي السابق – نيويورك: هذه ليست المرة الأولى للعصابة القطرية في تمويلها للمؤسسات المشبوهة .. وخاصةً التابعة لجماعة الاخوان الإرهابية .  - جمال خاشقجي #خاشقجي #عام_على_اغتيال_جمال</t>
  </si>
  <si>
    <t>pic.twitter.com/qILLVvjrZ6</t>
  </si>
  <si>
    <t>طارق مهدى</t>
  </si>
  <si>
    <t>@AlRajhiBankCare طب الحمد لله ظنيت تاق #خاشقجى ليه علاقه!! .. وبدعى ربنا فى هذا الوقت ان اخذ حقى منكم كالجزية بايديكم و ليس من ايديكم و لا برضاكم .. الرسالة رقم 107; .. ملحوظة اتواصل معكم بفضل الله منذ 729يوم #الراجحى #استغفر_الله</t>
  </si>
  <si>
    <t>Trolliten</t>
  </si>
  <si>
    <t>#BarışPınarıHarekati #BarisPinari #TurkishArmy #OperationPeaceSpring Yine siyasi sorumsuzluklarin bedelini gariban ödeyecek. Kazanan Türkiye degil, iktidar sahipleri olacak. Türkiye kaybedeli en az 10 sene oldu cünkü. (bkz. Stratejik Derinlik) RT @trolliten: SAVAS Sürekli oksanan milliyetci gururdan mi, asiri film izlemekten mi yoksa aptalliktan mi bilmiyorum ama savas kelimesini duyar duymaz saha kalkan büyük bir kalabalik var. Ünlü, ünsüz, zengin, fakir, sanatci, müzisyen, is adami hepsinin barindiran büyük bir kalabalik var.</t>
  </si>
  <si>
    <t>اشهد ان لا اله الا الله محمد رسول الله #القدس_اسلاميه وَمَا يُلَقَّاهَا إِلَّا الَّذِينَ صَبَرُوا وَمَا يُلَقَّاهَا إِلَّا ذُو حَظٍّ عَظِيمٍ #مبرمج عاطل</t>
  </si>
  <si>
    <t>https://twitter.com/trolliten/status/1181622910198407168</t>
  </si>
  <si>
    <t>https://www.linkedin.com/in/tarek-mahedy/</t>
  </si>
  <si>
    <t>عبد الرحمن أبو جرة</t>
  </si>
  <si>
    <t>اللواء المتقاعد د. زايد العمري: خبير استراتيجي ومحلل سياسي : إيواء قطر لجماعة الاخوان سيجعلها في قائمة الإرهاب في أوروبا .  - جمال خاشقجي #ايران #خاشقجي</t>
  </si>
  <si>
    <t>Feel like a bird</t>
  </si>
  <si>
    <t>pic.twitter.com/XHEdDVRfwz</t>
  </si>
  <si>
    <t>أنت على الدنيا عابر سبيل ، فكن ذا آثر جميل ..!</t>
  </si>
  <si>
    <t>Ahmet Eriş</t>
  </si>
  <si>
    <t>Şüphesiz biz sana apaçık bir fetih verdik... #BarisPinariHarekati #BarisPinari #OperationPeaceSpring #TurkishArmy #KurdsSideWithTurkey</t>
  </si>
  <si>
    <t>راضي الشريف</t>
  </si>
  <si>
    <t>أ. نايف الحربي: إعلامي وكاتب صحفي: ايران دولة ليست موثوقة .. ولا أحد يثق فيها .  - جمال خاشقجي #ايران #خاشقجي</t>
  </si>
  <si>
    <t>pic.twitter.com/jtHkEx2OjL</t>
  </si>
  <si>
    <t>https://pbs.twimg.com/media/EGcVNVAX0AERtwv.jpg</t>
  </si>
  <si>
    <t>الديرية - السعودية</t>
  </si>
  <si>
    <t>السهر جميل حين تختاره ، ولكنه مؤلم حين يختارك</t>
  </si>
  <si>
    <t>عبد الجواد الفافلي</t>
  </si>
  <si>
    <t>أتصال/ العميد د. سمير راغب: رئيس المؤسسة العربية للتنمية والدراسات الاستراتيجية – القاهرة:ايران لن تكتفي بما فعلت داخل العراق .. فقامت بدفع الخلايا النائمة لإشعال حرب أهلية في العراق .  #خاشقجي #عام_على_رحيل_جمال</t>
  </si>
  <si>
    <t>Allah'a kul olmayan davasına Er olamaz</t>
  </si>
  <si>
    <t>pic.twitter.com/0JEs2v2tbd</t>
  </si>
  <si>
    <t>اللهم لا تحرمنا.... من أمنية تفرح قلوبنا وتوبة تجلي همومنا وتوفيقا ينير دروبنا وسعادة تذهب أحزاننا</t>
  </si>
  <si>
    <t>عبد الجواد الزامل</t>
  </si>
  <si>
    <t>فيديوجرافيكس .. انتهاكات قناة الجزيرة القطرية وسقوطها المهني والأخلاقي .  - جمال خاشقجي #خاشقجي #عام_على_رحيل_جمال</t>
  </si>
  <si>
    <t>pic.twitter.com/x67JfSRH2I</t>
  </si>
  <si>
    <t>إشتقت لمن يعرف قيمتى</t>
  </si>
  <si>
    <t>عماد الحميدي</t>
  </si>
  <si>
    <t>عاجل و 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#عام_على_رحيل_خاشقجي</t>
  </si>
  <si>
    <t>pic.twitter.com/1Y6q5L7apI</t>
  </si>
  <si>
    <t>أبسط أنواع العطاء ، أن تعيد البسمة على شفاه من فقدها</t>
  </si>
  <si>
    <t>عبد الرحيم المهيدب</t>
  </si>
  <si>
    <t>تقرير : قطر والإخوان في أوروبا .. جمعيات مشبوهة وتمويل للإرهاب  - جمال خاشقجي #JamalKhashoggi #قطر</t>
  </si>
  <si>
    <t>Chn Mnd</t>
  </si>
  <si>
    <t>#TurkishArmy All the best success with you..🙏</t>
  </si>
  <si>
    <t>pic.twitter.com/BOfjkNiIsf</t>
  </si>
  <si>
    <t>يشرفني متابعة من يمثل الإحترام..واعتذر لغيره</t>
  </si>
  <si>
    <t>1881- Mustafa Kemal 20133-Fenerbahçe Kongre 105-FBİAD Vakfı 2008-Türk Savunma Sanayii</t>
  </si>
  <si>
    <t>فواز بن طلال</t>
  </si>
  <si>
    <t>د. عدنان محمد : تركيا هي السوق الأكثر استهلاكا و إنتاجا للأخبار الكاذبة و المزيفة في العالم.  - جمال خاشقجي #خاشقجي #تركيا</t>
  </si>
  <si>
    <t>pic.twitter.com/VKY6IfkgAH</t>
  </si>
  <si>
    <t>Kamyar Ahmadi</t>
  </si>
  <si>
    <t>#TurkishArmy این هشگ تهوع‌آور که ترند جهانی‌ست را ببینی فقط یک چیز را می‌شنوی: #فاشیسم پای روی گلوی #انسانیت گذاشته است و ارتشی که برای کشتن می‌رود با "بال‌های سفیدی برشانه". این تصویر کودکیِ مرده که می‌بینم، این جهان که می‌بینم، جایی در اعماقِ وجودم آرزوی #مرگ می‌کند.</t>
  </si>
  <si>
    <t>pic.twitter.com/VifIS5TkwK</t>
  </si>
  <si>
    <t>الأفلاج - السعودية</t>
  </si>
  <si>
    <t>سيبقى حبك افضل واجمل شي عشتها في حياتي الله يوفقك يارب ويسخر لك</t>
  </si>
  <si>
    <t>نهاري حدادي</t>
  </si>
  <si>
    <t>د. عبدالرحمن العناد : الوضع الإقتصادي في تركيا متدهور ومن المتوقع أن يزداد تدهوره وهذا دليل على سوء السياسات الاقتصادية التي يتبعها اردوغان .  - جمال خاشقجي #JamalKhashoggi #قطر</t>
  </si>
  <si>
    <t>pic.twitter.com/e2dI9wmfiT</t>
  </si>
  <si>
    <t>الخرج - السعودية</t>
  </si>
  <si>
    <t>أكثروا من التفكر في قوله تعالى : ياليتني قدمت لحياتي لتعلموا أن حياتكم الحقيقة … ليست الآن</t>
  </si>
  <si>
    <t>Melike Soylu</t>
  </si>
  <si>
    <t>Savaş kapıda..ne yapıyoruzz, tüm güzel dilek ve dualarımızla MEHMETCİĞİN yanında oluyoruz..Ayaklarınıza taş yüreğinize keder değmesin inşallah..Sağ salim gidin görevimizi yapın ve sağ salim geri gelin KAHRAMANLAR...Sizi seviyoruz #Mehmetcik #TurkishArmy</t>
  </si>
  <si>
    <t>ذكي الموسى</t>
  </si>
  <si>
    <t>د. عثمان البريكان : ما تقوم به قطر بإستقبالها الإيرانيين المنتمين لنظام إرهابي ورفعها لعلم اسرائيل في الدوحة ينافي كل القيم الإنسانية والإسلامية .  - جمال خاشقجي #خاشقجي #عام_على_رحيل_جمال</t>
  </si>
  <si>
    <t>pic.twitter.com/4krbgPcGcT</t>
  </si>
  <si>
    <t>sempatik...asil...duygusal...tabii ki güzel bir kadın...</t>
  </si>
  <si>
    <t>Melih Şen</t>
  </si>
  <si>
    <t>Kahraman TÜRK Ordusu, yolun açık olsun! Dualarımız, kalbimiz sizinle. Allah yar ve yardımcımız olsun. #TurkishArmy 🇹🇷 #BarışPınarıHarekatı</t>
  </si>
  <si>
    <t>نفس النكهه ، اللون ، الروتين مع ذلك لا نملها ! . . . هكذا هي الأشياء عندما نُحبها</t>
  </si>
  <si>
    <t>https://pbs.twimg.com/media/EGcVJAKXYAAYjdI.jpg</t>
  </si>
  <si>
    <t>نايف المعيقلي</t>
  </si>
  <si>
    <t>محلل قناة ٢٤ سعودي الفضائية د. فهد الشليمي في مع الحدث : الحملة على مصر تم التحضير لها منذ شهرين بمشاركة تركيا وتنظيم الاخوان الإرهابي و ايران من أجل ضرب الاقتصاد المصري  - جمال خاشقجي #JamalKhashoggi #تركيا</t>
  </si>
  <si>
    <t>pic.twitter.com/pXbc8lizlJ</t>
  </si>
  <si>
    <t>#TürkMilliyeçisi🇹🇷 #Bursa</t>
  </si>
  <si>
    <t>دارين - السعودية</t>
  </si>
  <si>
    <t>من انواع الابتلاء; شخص مو لك بس عايش فيك !</t>
  </si>
  <si>
    <t>ENDER SARILACİVERT</t>
  </si>
  <si>
    <t>Rabbim ayağınıza taş değdirmesin, Sağlıcakla gidip sağlıcakla geri dönmeyi nasip etsin inşallah 🙏🤲🇹🇷🇹🇷🇹🇷🇹🇷🇹🇷🇹🇷🇹🇷🇹🇷🇹🇷🇹🇷🇹🇷🇹🇷🇹🇷 #BarisPinariHarekati #BarisPinari #TurkishArmy 👊💪 RT @tcsavunma: Kahraman Türk Silahlı Kuvvetleri, Fırat’ın doğusunda #BarışPınarıHarekatı’na başladı.  🇹🇷#MSB #TSK🇹🇷</t>
  </si>
  <si>
    <t>أبوعبيدة فجر</t>
  </si>
  <si>
    <t>اللواء متقاعد د. شامي الظاهري : تنظيم الإخوان هو المحرك الأساسي للدولتين قطر و تركيا .  - جمال خاشقجي #خاشقجي #عام_على_اغتيال_جمال</t>
  </si>
  <si>
    <t>pic.twitter.com/UbHU6LjVAq</t>
  </si>
  <si>
    <t>Fenerbahçe,Istanbul 🇹🇷🇺🇦</t>
  </si>
  <si>
    <t>SADECE FENERBAHÇELİYİM 💙💛 FETÖSARAYLILAR DEFOLUN Fetohdpkk defol ülkemden🇹🇷 Bana parti lazım değil ALLAH (c.c.) yeterli🇹🇷 yedekhesap GT @ENDERSARI1907</t>
  </si>
  <si>
    <t>إستودعتك يارب شخص تراه ولا أراه</t>
  </si>
  <si>
    <t>زاهر مناور</t>
  </si>
  <si>
    <t>أ. هاني الحجي : النظام القطري لا يقوم على أسس ومبادئ سياسية وأخلاقية.  #خاشقجي #عام_على_اغتيال_جمال</t>
  </si>
  <si>
    <t>pic.twitter.com/wnGnpxxWCd</t>
  </si>
  <si>
    <t>Yahyâ İhsânî 🇹🇷</t>
  </si>
  <si>
    <t>Yâ Rabbî! Ordumuzu muzaffer eyle. Zâlimlere, kâfirlere ve münâfıklara fırsat verme. Onları zelîl ve kahr-u perişân eyle. Sen bizim Mevlâmızsın, ancak Sana kulluk eder ve ancak Senden yardım dileriz. #BarışPınarıHarekatı #OperationPeaceSpring #TurkishArmy #KurdsSideWithTurkey RT @yahyaihsani: Türk Ordusu, İslâm Ordusu'dur. Zâlime gazap, mazlûma merhamettir. Kâfir ve münâfıkların korkusu, mü'minlerin ümîdidir. Cenâb-ı Hakk (c.c), ordumuzu her dâim muzaffer eylesin. Allah'tan başka gâlip yoktur! #BarışPınarıHarekatı #Zaferİnananlarındır #TürkMilletiOrdusununYanında</t>
  </si>
  <si>
    <t>https://twitter.com/yahyaihsani/status/1181617282692386817</t>
  </si>
  <si>
    <t>أصفان - السعودية</t>
  </si>
  <si>
    <t>الاكتفاء بالأمر والاجتهاد في الطاعة</t>
  </si>
  <si>
    <t>https://pbs.twimg.com/media/EGXyp7pW4AAP757.jpg</t>
  </si>
  <si>
    <t>فايز بن مسفر</t>
  </si>
  <si>
    <t>محلل قناة ٢٤ سعودي الفضائية عبدالجليل السعيد في حقائق في دقائق : ايران تخسر وتفضح وتسقط ايران نمر من ورق يثير القلق..يسقط رويداً رويداً  - جمال خاشقجي #خاشقجي #تركيا</t>
  </si>
  <si>
    <t>pic.twitter.com/KN04Abrn3H</t>
  </si>
  <si>
    <t>Fezâ</t>
  </si>
  <si>
    <t>...hiç ile şey arasında bir sarkaç... #15Temmuz #BarışPınarı</t>
  </si>
  <si>
    <t>عرقة - السعودية</t>
  </si>
  <si>
    <t>Ahmet SOLGUN</t>
  </si>
  <si>
    <t>Sefer bizden Zafer Allah’tan 🇹🇷 Sen koru güç ver Yarabbim #BarisPinari #BarisPinariHarekati #TurkishArmy</t>
  </si>
  <si>
    <t>https://pbs.twimg.com/media/EGcVIAgWkAARK11.jpg</t>
  </si>
  <si>
    <t>طلحان السحيمي</t>
  </si>
  <si>
    <t>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#عام_على_اغتيال_جمال</t>
  </si>
  <si>
    <t>pic.twitter.com/mLibR3c8Bm</t>
  </si>
  <si>
    <t>MERSİN</t>
  </si>
  <si>
    <t>MERSİN SMMM</t>
  </si>
  <si>
    <t>اللهمَّ ارزقني عملًا صالحًا يقرّبني إلى رحمتك ولسانًا ذاكرًا شاكرًا لنعمتك وثبتني اللهمَّ بالقول الثابت في الحياة الدنيا وفي الآخـرة</t>
  </si>
  <si>
    <t>عبد الواحد النويصر</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</si>
  <si>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#تركيا</t>
  </si>
  <si>
    <t>pic.twitter.com/yvcAqGX7FK</t>
  </si>
  <si>
    <t>bnjmin trbzn</t>
  </si>
  <si>
    <t>Kılıç kınından çıktı bir kere,bundan sonrasını kahpeler ve kahpe sevicileri düşünsün. Allah Türk askerini muzaffer eylesin.#TurkishArmy #BarisPinari #BarisPinariHarekati</t>
  </si>
  <si>
    <t>lewhndlewbrwlerwe rewr</t>
  </si>
  <si>
    <t>خميس الزامل</t>
  </si>
  <si>
    <t>أ. نايف الحربي: إعلامي وكاتب صحفي: قناة الجزيرة تعتمد على الإعلاميين الهاربين من دولهم .  - جمال خاشقجي #خاشقجي #قطر</t>
  </si>
  <si>
    <t>pic.twitter.com/bz8HABxoCE</t>
  </si>
  <si>
    <t>Selamın aleyküm hayırdır biz geldik. #BarisPinariHarekati #TurkishArmy 🇹🇷</t>
  </si>
  <si>
    <t>البرزه - السعودية</t>
  </si>
  <si>
    <t>ا تبدأ صباحك بالتّفكير بما يُقلقك .. ولكن ابدأه بالتّفكير بما يُسعدك . فالمُلك كُلّهُ لله وليس لأحدٍ سواه ..</t>
  </si>
  <si>
    <t>https://pbs.twimg.com/media/EGcVHHNWkAEVzjM.jpg</t>
  </si>
  <si>
    <t>رضا الطويلعي</t>
  </si>
  <si>
    <t>د. محمد الحلفي – الباحث في التاريخ الحديث: اصبح التسويق لـ قناة الجزيرة غير مقبول في ظل ما تقوم به.  #خاشقجي #عام_على_رحيل_خاشقجي</t>
  </si>
  <si>
    <t>pic.twitter.com/kLlJf9Q9Mj</t>
  </si>
  <si>
    <t>من المؤلم : أن يؤلمك من تخشى عليه من الألم !</t>
  </si>
  <si>
    <t>Adana, Ankara</t>
  </si>
  <si>
    <t>توفيق العالي</t>
  </si>
  <si>
    <t>د. حمدان الشهري: ما تريده تركيا هو التمدد داخل الأراضي السورية وليس لنصرة الشعب السوري.  #خاشقجي #تركيا</t>
  </si>
  <si>
    <t>pic.twitter.com/zdDyP0L5ZM</t>
  </si>
  <si>
    <t>Mert Tan</t>
  </si>
  <si>
    <t>Şehitlerden selam geldi, Savaşan tüm sağlara..! #BarışPınarı #BarışPınarıHarekatı #TurkishArmy</t>
  </si>
  <si>
    <t>الراقي - السعودية</t>
  </si>
  <si>
    <t>الابتلاء في الحياة ليس اختباراً لقوتك ، بل هو اختبار لقوة استعانتك بالله !”</t>
  </si>
  <si>
    <t>Mavi gözlü bir devin asaleti var kanımda ! J.Ö.H. 🇹🇷 Ne Mutlu TÜRKÜM Diyene!</t>
  </si>
  <si>
    <t>مروان بن معاذ</t>
  </si>
  <si>
    <t>أ. سامي المرشد: الدوحة أصبحت مكان لكل الشواذ سياسياً في العالم .. تلاحظ وجود الإسرائيليين، الحرس الثوري الإيراني والاخوان المسلمين المطرودين من بلدانهم .  - جمال خاشقجي #JamalKhashoggi #قطر</t>
  </si>
  <si>
    <t>pic.twitter.com/CfeXlOvSVK</t>
  </si>
  <si>
    <t>Samet Aydoğan</t>
  </si>
  <si>
    <t>Biz bu vatana biz bu topraklara biz bu bayrağa 🇹🇷🇹🇷 AŞIĞIZ. Hiç bir ülke hiç bir örgüt hiç bir ırk yıkamadı bölemedi bölemicekte. Türk’ün Türk’ten başka dostu yoktur! #BarisPinariHarekati #TurkishArmy SİZİNLEYİZ! Allah yardımcınız olsun !!</t>
  </si>
  <si>
    <t>GALATASARAY. Aldığın her nefesi geri verdiğin şu dünyada neyin sahibisin ? Ne için varsan, onun için yaşa ..</t>
  </si>
  <si>
    <t>عندما تتعلق بأحد ، كُن دائماً مستعداً لغيابه !</t>
  </si>
  <si>
    <t>على الكعبي</t>
  </si>
  <si>
    <t>محلل قناة ٢٤ سعودي الفضائية د. أنور مالك في المراقب : واضح جداً ومما لا شك فيه أبداً أن الممول للحوثيين هم ملالي طهران ويتم ذلك عبر الحرس الثوري الإيراني أو حزب الله اللبناني  - جمال خاشقجي #خاشقجي #عام_على_رحيل_جمال</t>
  </si>
  <si>
    <t>GÖKHAN ALTAY ‎  ‎ كوكحان التاى</t>
  </si>
  <si>
    <t>Unutmayalım ki‼️ “Doların yeri dolar ama #Vatan’ın yeri dolmaz!” Hiç bir hesabın insanın Memleketinden,Devletinden daha kıymetli olmadığına inanıyoruz. Âgâh olalım kardeşlerim! zira başka #Türkiye yok... #BarışPınarıHarekati #TurkishArmy #OperationPeaceSpring #BarisPinari</t>
  </si>
  <si>
    <t>pic.twitter.com/bN9ET71X3v</t>
  </si>
  <si>
    <t>Silivri,İstanbul/Eleşkirt,Ağrı</t>
  </si>
  <si>
    <t>DAVA ADAMI HAPSEDİLMEYİ HALVET SÜRGÜN EDİLMEYİ SEYAHAT ÖLDÜRÜLMEYİ ŞAHADET BİLİR #EvladıOsmanlı silivri@tugva.org’da ÇALIŞAN GENÇLİK MEDYA İLETİŞİM KOORDİNATÖRÜ</t>
  </si>
  <si>
    <t>أصعب لحظات حياتك عندما يتهمك أغلى الناس بأشياء ليست فيك أصلا ..</t>
  </si>
  <si>
    <t>http://www.instagram.com/gokhanaltay04</t>
  </si>
  <si>
    <t>يحيي الحوشاني</t>
  </si>
  <si>
    <t>محلل قناة ٢٤ سعودي الفضائية عبدالجليل السعيد في حقائق في دقائق : ايران تخسر وتفضح وتسقط ايران نمر من ورق يثير القلق..يسقط رويداً رويداً  - جمال خاشقجي #خاشقجي #عام_على_رحيل_جمال</t>
  </si>
  <si>
    <t>pic.twitter.com/7UM5DuE2Th</t>
  </si>
  <si>
    <t>هُناك يوَم يمَر على الإنسانَ , كأنهُ سَنه وأخَر يمَر عَليه كأنهُ سَاعه كلاهمَا يوَم ولكن بمَشاعَر مُختلفه</t>
  </si>
  <si>
    <t>🇹🇷KitabınOrtasından🇹🇷</t>
  </si>
  <si>
    <t>#BarışPınarıHarekati #SAVASAHAYIR #SavasaHayır #TurkishArmy #TuerkMilletiOrdusununYanında #turkmilletiordusununyaninda #SavasFelakettir RT @EmrAlp__: Ekonomi zorlanıyordu, işsizlik artıyordu, memnuniyetsizlik yayılıyordu.. Sonra harika bir fikir geldi aklına, savaş-mak!!!</t>
  </si>
  <si>
    <t>https://twitter.com/EmrAlp__/status/1181831623484018688</t>
  </si>
  <si>
    <t>ساهر الشايع</t>
  </si>
  <si>
    <t>محلل قناة ٢٤ سعودي الفضائية عبدالجليل السعيد في حقائق في دقائق : ايران اليوم تُغْرق العراق في المنتجات الإيرانية الفاسدة وتنهب من بلاد الرافدين النفط والثروات للإنفاق على نظام الملالي  - جمال خاشقجي #خاشقجي #قطر</t>
  </si>
  <si>
    <t>pic.twitter.com/Cq9UJd7Qpp</t>
  </si>
  <si>
    <t>pic.twitter.com/WCwIvfmmTU</t>
  </si>
  <si>
    <t>الجوف - السعودية</t>
  </si>
  <si>
    <t>لسـان حال المسلم بعد خروج روحه أن يقول لأهـله : لا تبكوا على ولا تجاهروا بالنياح ولا تلطموا الخدود ولكن أسألوا لي الثبات عنـد سـؤال الملكيـن</t>
  </si>
  <si>
    <t>Maher Ben Abdulla</t>
  </si>
  <si>
    <t>إذا بدأت التحقيقات لعزل ترمب فالفضائح الثقيلة لن تكون متعلقة ب #أوكرانيا بل بمحادثاته ومراسلاته بخصوص مقتل #خاشقجي وتغطية أمريكا لضلوع #مبس فيها والسكوت عن ذلك!</t>
  </si>
  <si>
    <t>درب التّبانة</t>
  </si>
  <si>
    <t>Köşe Yazılarımı bu linklerden takip edebilirsiniz. http://qolumnist.com/tr/author/huse…</t>
  </si>
  <si>
    <t>الحمدلله تعافيتُ من #متلازمة_ستوكهولم!رغم أنني حرٌّ في جوار #النجاشي لكننّي أفتقد بلادي رغم جور #أبي_جهل وأذى #أبي_لهب !</t>
  </si>
  <si>
    <t>https://www.youtube.com/watch?v=qib7qcInOZQ</t>
  </si>
  <si>
    <t>رمزي الحارثي</t>
  </si>
  <si>
    <t>أ. نايف الحربي: إعلامي وكاتب صحفي : لايزال سلوك ايران عدواني  - جمال خاشقجي #JamalKhashoggi #السعودية</t>
  </si>
  <si>
    <t>pic.twitter.com/jWiVXrGkyG</t>
  </si>
  <si>
    <t>Art Jakobsson</t>
  </si>
  <si>
    <t>I'm watching @Rudawkurdish. The #Kurds in North Syria are fleeing for their lives from the Daesh supporting #TurkishArmy. 😡 #TwitterKurds</t>
  </si>
  <si>
    <t>رغم كميّة البرودة في الشتاء … إلا أن هناك أشخاص يُشعرونك بالدفء والفرح العميق جدًا لمجرّد سماعك لأصواتهم.</t>
  </si>
  <si>
    <t>https://pbs.twimg.com/media/EGcVD96WwAAsLD6.jpg</t>
  </si>
  <si>
    <t>رامي البكاري</t>
  </si>
  <si>
    <t>د. محمد العوين: على الأوروبيون ان يُدركوا ان النظام الإيراني مُدمر للعالم والحضارات الإنسانية والاقتصاد العالمي.  - جمال خاشقجي #خاشقجي #عام_على_رحيل_خاشقجي</t>
  </si>
  <si>
    <t>pic.twitter.com/Y8QjFww8OK</t>
  </si>
  <si>
    <t>مسدح - السعودية</t>
  </si>
  <si>
    <t>البعض عند نقاشه معك لا يحتاج لنقاشگ .. بل لدعاء له بأن الله يشفية ..!</t>
  </si>
  <si>
    <t>I work, drink, eat, sleep, watch International TV, and listen to an eclectic mix of music; but not necessary in that order.</t>
  </si>
  <si>
    <t>فراس الحوشاني</t>
  </si>
  <si>
    <t>اللواء المتقاعد د. زايد العمري: خبير استراتيجي ومحلل سياسي : إيواء قطر لجماعة الاخوان سيجعلها في قائمة الإرهاب في أوروبا .  - جمال خاشقجي #خاشقجي #تركيا</t>
  </si>
  <si>
    <t>pic.twitter.com/Qu1SVqeMKM</t>
  </si>
  <si>
    <t>لا تتمنى الموت لأحد حتى لو كان عدوك ..</t>
  </si>
  <si>
    <t>فياض مخلف</t>
  </si>
  <si>
    <t>تقرير: قطر وإعلام التضليل والأكاذيب وخداع الإعلامي الدولي .  - جمال خاشقجي #خاشقجي #عام_على_رحيل_خاشقجي</t>
  </si>
  <si>
    <t>pic.twitter.com/PZRk4zhYN8</t>
  </si>
  <si>
    <t>الرفيع - السعودية</t>
  </si>
  <si>
    <t>ادعوا لمن تحبون سراً فبعض الحب .. دعاء</t>
  </si>
  <si>
    <t>Osman</t>
  </si>
  <si>
    <t>Sefer bizim zafer Allahın. Sen yardım et ya Rabbim. #TurkishArmy</t>
  </si>
  <si>
    <t>صهيب الكبيشي</t>
  </si>
  <si>
    <t>أ. مؤنس المردي – رئيس تحرير جريدة البلاد البحرينية: نظام اردوغان وإرهاب ايران وجهان لعملة واحدة.  - جمال خاشقجي #خاشقجي #عام_على_رحيل_جمال</t>
  </si>
  <si>
    <t>pic.twitter.com/irYmmFyYw6</t>
  </si>
  <si>
    <t>Poğalmiş</t>
  </si>
  <si>
    <t>البجادية  - السعودية</t>
  </si>
  <si>
    <t>اللهم لا تحرم احبتي نفحات رحمتك ووافي مغفرتك اللهم كما تحي الأرض بمائك احي قلوب من احببت بذكرك وثنائك</t>
  </si>
  <si>
    <t>ربيع الزعاق</t>
  </si>
  <si>
    <t>أ. عبدالرحمن الملحم - كاتب ومحلل سياسي : قطر قامت بخيانة دول مجلس التعاون بإعطاء احداثيات حول الجنود الاماراتيين والسعوديين .  - جمال خاشقجي #خاشقجي #عام_على_رحيل_خاشقجي</t>
  </si>
  <si>
    <t>pic.twitter.com/6nHorDu5gn</t>
  </si>
  <si>
    <t>جلجيل - السعودية</t>
  </si>
  <si>
    <t>أحسنوآ نوآيآكم فنحن لن نبقى هنا ! أننــآ رآحلوون ..</t>
  </si>
  <si>
    <t>مالك الجاسم</t>
  </si>
  <si>
    <t>أ. نايف الحربي: إعلامي وكاتب صحفي: قناة الجزيرة لديها مزاعم واكاذيب تحاول أن تخدع الرأي العام للنيل من المملكة .  - جمال خاشقجي #خاشقجي #عام_على_اغتيال_جمال</t>
  </si>
  <si>
    <t>pic.twitter.com/7kg4GFnoJD</t>
  </si>
  <si>
    <t>شقرة - السعودية</t>
  </si>
  <si>
    <t>اللهم احرمني لذة معصيتك وارزقني لذة طاعتك</t>
  </si>
  <si>
    <t>ونيس عويس</t>
  </si>
  <si>
    <t>أتصال/ أ. توفيق قويدر شيشي: كاتب صحفي ومحلل سياسي أمني في الشأن الأوروبي – باريس: القرضاوي منع من دخول فرنسا وأوروبا بشكل عام .  - جمال خاشقجي #JamalKhashoggi #قطر</t>
  </si>
  <si>
    <t>Arjunprasad</t>
  </si>
  <si>
    <t>Truth always prevails and God always stands besides the truth , more power to the KURDS ,the are not terrorist , they fight against them risking their lifes . ALLHA BE WITH KURDS #Syria #TurkeyIsNotOurFriend #TurkishMilitary #TurkishArmy</t>
  </si>
  <si>
    <t>pic.twitter.com/kxLPZWkinM</t>
  </si>
  <si>
    <t>pic.twitter.com/T3Ji0PVo6V</t>
  </si>
  <si>
    <t>اراكِ كل شيء حتى أيقنتُ أنكِ جمالٌ لكل شيء</t>
  </si>
  <si>
    <t>حازم المسعد</t>
  </si>
  <si>
    <t>محلل قناة ٢٤ سعودي الفضائية د. صباح الخزاعي في بصريح العبارة : كلمة أردوغان أمام الجمعية العامة الأمم المتحدة تضمنت تصرف أحمق وصلف وعنجهية وتدخُّل فاضح في شؤون مصر .  - جمال خاشقجي #خاشقجي #تركيا</t>
  </si>
  <si>
    <t>pic.twitter.com/Yz81IZlmBk</t>
  </si>
  <si>
    <t>Bengaluru, India</t>
  </si>
  <si>
    <t xml:space="preserve"> जननी जन्मभूमिश्च स्वर्गादपि गरीयसी</t>
  </si>
  <si>
    <t>قال سُفيان : لا شيء أقطع لِظهر إبليسُ ألا قول لا إله إلا الله</t>
  </si>
  <si>
    <t>Mehmet Raşit K.</t>
  </si>
  <si>
    <t>#BarisPinari #TurkishArmy #BarisPinariHarekati</t>
  </si>
  <si>
    <t>Raj Meister</t>
  </si>
  <si>
    <t>Watching a very intense documentary on #AlternativeMedia #AlJazeera about the murder of #JamalKhashoggi &amp; the involvement from #SaudiArabia from the #SaudiGovernment, if this shit happened in #Russia it wouldn’t ever END! But in a #Corrupt state anything goes... #QuestionMore</t>
  </si>
  <si>
    <t>https://pbs.twimg.com/media/EGcVBeOXoAYKEHS.jpg</t>
  </si>
  <si>
    <t>Leeds, England</t>
  </si>
  <si>
    <t>We are about Alternative Media we bring you inspirational &amp; motivational News/Stories. http://www.facebook.com/EndPrejudiceMedia</t>
  </si>
  <si>
    <t>https://www.paypal.me/RajMeister</t>
  </si>
  <si>
    <t>🇹🇷ϜϓſϞ KSU Coğrafya Benim Hayatım, Benim Tercihim, Benim Doğrum. La Vita Giallo Rosso</t>
  </si>
  <si>
    <t>http://Instagram.com/mehmtrastkahrman</t>
  </si>
  <si>
    <t>ثابت جويبر</t>
  </si>
  <si>
    <t>السفير 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#JamalKhashoggi #قطر</t>
  </si>
  <si>
    <t>pic.twitter.com/yg7ssiXfyD</t>
  </si>
  <si>
    <t>Müfettiş</t>
  </si>
  <si>
    <t>Haydi Bakalım , Allah utandırmasın. Başladık. #TurkishArmy #BarisPinari</t>
  </si>
  <si>
    <t>الصفانية  - السعودية</t>
  </si>
  <si>
    <t>حُسن الكلام وجمال العبارات تسحر الناس وتأسر قلوبهم فـ الإنسان لا لحمه يؤكل ولا جلده يُلبس لكن حلاوة لسانه تجّذب !</t>
  </si>
  <si>
    <t>fikirsever... Anne şefkatiyle avlanan bir avcı gibi...</t>
  </si>
  <si>
    <t>https://www.egm.gov.tr/sayfalar/ihbar.aspx</t>
  </si>
  <si>
    <t>حصين الغامدي</t>
  </si>
  <si>
    <t>اتصال/ د. فوزية القحطاني: باحثة في الإعلام والأمن الفكري – جدة: الإعلام القطري ينشر الكراهية والبغضاء .. كما تعمل اجهزتهم ليل نهار على التشكيك بكل منجز سعودي .  - جمال خاشقجي #خاشقجي #عام_على_اغتيال_جمال</t>
  </si>
  <si>
    <t>pic.twitter.com/kq8Qw82CXF</t>
  </si>
  <si>
    <t>الدمّام - السعودية</t>
  </si>
  <si>
    <t>Ufuk ZAN</t>
  </si>
  <si>
    <t>Oradaki mazlumlar önce Allah'a sonra size emanet. Gidin ve ezin o teröristleri inşallah #BarisPinari #TurkishArmy #BarisPinariHarekati</t>
  </si>
  <si>
    <t>أسامه العبود</t>
  </si>
  <si>
    <t>محلل قناة ٢٤ سعودي الفضائية د. عمر عبدالستار في نيران ايران : لم تكن الحملة المجنونة على السعودية من أجل خاشقجي بقدر ما كانت ضد سياسة السعودية في مواجهة ايران و الجماعات المتطرفة  #ايران #خاشقجي</t>
  </si>
  <si>
    <t>pic.twitter.com/771JWqgX3G</t>
  </si>
  <si>
    <t>Dünya üzerinde</t>
  </si>
  <si>
    <t>Beşer</t>
  </si>
  <si>
    <t>أحياناً {تفوز} عِندما {تخسر} من لايستحقك !</t>
  </si>
  <si>
    <t>سعيد العتيبي</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</si>
  <si>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</si>
  <si>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pic.twitter.com/ycbeQieauy</t>
  </si>
  <si>
    <t>قَليل مِن الحُب ،،، وكثيراً مِن الاهتِمام يَكفِي !!</t>
  </si>
  <si>
    <t>رميح بن حمد</t>
  </si>
  <si>
    <t>أ. نايف الحربي: إعلامي وكاتب صحفي: قطر صرفت المليارات على وسائل التواصل الاجتماعي .. والهدف الترويج لبرامجها الكاذبة .  - جمال خاشقجي #خاشقجي #عام_على_رحيل_جمال</t>
  </si>
  <si>
    <t>pic.twitter.com/0bmRNzux5T</t>
  </si>
  <si>
    <t>Murat Efe</t>
  </si>
  <si>
    <t>“Zaferleri ve mazisi insanlık tarihiyle başlayan, her zaman zaferle beraber medeniyet nurları taşıyan kahraman #Türk Ordusu!” (29Ekim1938 #Atatürk) Kurtuluş Savaşı ve Kıbrıs’ta da birleşti dünya; bu bizi o gün de durdurmadı, bugün de durduramaz 🇹🇷 #BarisPinari #TurkishArmy #TSK</t>
  </si>
  <si>
    <t>بريدة - السعودية</t>
  </si>
  <si>
    <t>لا يهمني شكلك ولاأهلك ولا أموالك ولا منصبك..!تهمني شخصيتك عقليتك اخلاقك ضميرك وعلى هذا الاساس سأحترمك..</t>
  </si>
  <si>
    <t>pic.twitter.com/kSI8QuMjOy</t>
  </si>
  <si>
    <t>مصطفي الشيخي</t>
  </si>
  <si>
    <t>تقرير : قطر والإخوان في أوروبا .. جمعيات مشبوهة وتمويل للإرهاب  - جمال خاشقجي #ايران #خاشقجي</t>
  </si>
  <si>
    <t>pic.twitter.com/PNwZwpRnXu</t>
  </si>
  <si>
    <t>Turkish-Arab Economic Forum / TAF Founder &amp; Coordinator / Event Manager &amp; Advisor &amp; Photographer / Fenerbahçe (CM) / Mülkiye / Animals come 1st 😻🐶</t>
  </si>
  <si>
    <t>http://www.tafclub.com</t>
  </si>
  <si>
    <t>العيينة - السعودية</t>
  </si>
  <si>
    <t>لاإله إلا الله محمد رسول الله تابعني اتابعك</t>
  </si>
  <si>
    <t>بديع الحسان</t>
  </si>
  <si>
    <t>تقرير / قطر وإعلام التضليل والأكاذيب وخداع الإعلام الدولي.  - جمال خاشقجي #خاشقجي #تركيا</t>
  </si>
  <si>
    <t>pic.twitter.com/XOE7NWnqyp</t>
  </si>
  <si>
    <t>Siyasi Cambaz⚡</t>
  </si>
  <si>
    <t>ALLAH YAR VE YARDIMCIMIZ OLSUN #BarisPinari #BarisPinariHarekati #TurkishArmy</t>
  </si>
  <si>
    <t>https://pbs.twimg.com/media/EGcVADmXYAIMsSI.jpg</t>
  </si>
  <si>
    <t>الصدقة تطفئ الخطيئة ، و تسر القلب ، و تذهب الهم ، و تزيد في الرزق</t>
  </si>
  <si>
    <t>جابر عتيق</t>
  </si>
  <si>
    <t>د. محمد الحلفي : باحث في التاريخ الحديث : قامت قناة الجزيرة من اجل تفكيك المجتمعات العربية وإثارة الفوضى في المنطقة.  #JamalKhashoggi #تركيا</t>
  </si>
  <si>
    <t>#AkParti #RecepTayyipErdogan</t>
  </si>
  <si>
    <t>pic.twitter.com/6zOIoo2Yj2</t>
  </si>
  <si>
    <t>اللهم اجعلنا من آلمستبشرين برحمتک أدعوک ربي أن تشرح صدورنآ و تيسر أمورنآ وتغفر ذنوبنآ وترضى عنآ وتفرج كُرَبِنآ وتقضي حوائجنآالغنوة - السعودية</t>
  </si>
  <si>
    <t>محمد هزازي</t>
  </si>
  <si>
    <t>العميد متقاعد. حسن الشهري: قناة الجزيرة تستهدف الشعب السعودي منذ عام 96 وعندما فشلت انتقلت إلى صف الأعداء .  - جمال خاشقجي #خاشقجي #عام_على_رحيل_جمال</t>
  </si>
  <si>
    <t>pic.twitter.com/oP4g9YDfgM</t>
  </si>
  <si>
    <t>كُن قوياً حتى لايشفق عليك أحد.</t>
  </si>
  <si>
    <t>مهنا الشراحي</t>
  </si>
  <si>
    <t>د. حمدان الشهري: لابد من مُواجهة طهران ومشاريعها في المنطقة.  - جمال خاشقجي #JamalKhashoggi #السعودية</t>
  </si>
  <si>
    <t>pic.twitter.com/5meMVgYgSJ</t>
  </si>
  <si>
    <t>الأثرية - السعودية</t>
  </si>
  <si>
    <t>شخصآن لا تبرر لهمآ مآ فعلت شخص يعرفگ جيدآ وشخص ينتظر منگ زلهہ</t>
  </si>
  <si>
    <t>Kerim A.K.A</t>
  </si>
  <si>
    <t>Yine girip çıkacaz 🇹🇷 🇹🇷 🇹🇷 #BarisPinariHarekati #TurkishArmy #OperationPeaceSpring</t>
  </si>
  <si>
    <t>pic.twitter.com/xZfyu5aRch</t>
  </si>
  <si>
    <t>💧 pauline hollywood</t>
  </si>
  <si>
    <t>@Senator_Patrick @Richard_D_Boyle @KKeneally @AustralianLabor @centre_alliance 4/ Then you have #Israel selling its extremely high-tech hacking technology to those who would use it to spy on anyone for nefarious reasons, including #media #reporters like #JamalKhashoggi! Which law holds them accountable? #auspol #PressFreedom RT @paulinehollywoo: @Kalanyr @jpwarren #Australian gov should be more concerned about #Israel’s #NSO Group which makes some of the most invasive, powerful spyware on the planet. Anyone with an iPhone or Android device could be targets; watched &amp; listened too via their phones, &amp;amp; data stolen!</t>
  </si>
  <si>
    <t>https://twitter.com/paulinehollywoo/status/1181531719796609027?s=20
https://www.youtube.com/watch?time_continue=97&amp;v=Tl3mpywMYFA</t>
  </si>
  <si>
    <t>Brisbane, Queensland</t>
  </si>
  <si>
    <t>http://workingclasswhistles.webs.com/</t>
  </si>
  <si>
    <t>Rapper,Tattoo http://instagram.com/askarkerim</t>
  </si>
  <si>
    <t>http://youtu.be/Cgrl1h7eJUk</t>
  </si>
  <si>
    <t>شادي الكريزي</t>
  </si>
  <si>
    <t>محلل قناة ٢٤ سعودي الفضائية د. عمر عبدالستار في نيران ايران: نجحت السعودية في رد الصاع صاعين، أمام الهجمة المجنونة، ونقل المعركة إلى داخل ايران و عزل ايران دولياً وإقليمياً  #خاشقجي #قطر</t>
  </si>
  <si>
    <t>Mirakuru</t>
  </si>
  <si>
    <t>Şimdi Suriye'den vuracağız İstanbul'dan Avrupa'dan sesi çıkacak Gazamız mübarek olsun..... #BarisPinariHarekati #TurkishArmy</t>
  </si>
  <si>
    <t>pic.twitter.com/VlT5xGZ417</t>
  </si>
  <si>
    <t>Dünya</t>
  </si>
  <si>
    <t>Şair olmak isteyen bir gezgin...</t>
  </si>
  <si>
    <t>السعيرة - السعودية</t>
  </si>
  <si>
    <t>فيه ناس ودنا إنهم يكونون كل الناس على وجه هذه الأرض</t>
  </si>
  <si>
    <t>УunuS</t>
  </si>
  <si>
    <t>#TurkishArmy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</si>
  <si>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عياد العزام</t>
  </si>
  <si>
    <t>هام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#عام_على_رحيل_جمال</t>
  </si>
  <si>
    <t>pic.twitter.com/me8TzasKpg</t>
  </si>
  <si>
    <t>bozkır</t>
  </si>
  <si>
    <t>sade olanın, öylece duranın, sessizliğin, yavaşlığın, hafifliğin tarafındayım. başka türlüsü iyi gelmiyor</t>
  </si>
  <si>
    <t>رأيتك من بعيد كنت أجمل ، ليتني لم أقترب</t>
  </si>
  <si>
    <t>🇮🇹 M74⭐⭐⭐</t>
  </si>
  <si>
    <t>the extermination of the #Kurds has begun, thanks to #US betrayal #Trump #Turchia #Turkey #TurkishArmy #WednesdayThoughts</t>
  </si>
  <si>
    <t>وردان المسحل</t>
  </si>
  <si>
    <t>تقرير: الأمم المتحدة تستعد لعدوان تركي محتمل شمال شرق سوريا .  #ايران #خاشقجي</t>
  </si>
  <si>
    <t>pic.twitter.com/TBi88C9Dqy</t>
  </si>
  <si>
    <t>Italia</t>
  </si>
  <si>
    <t>I hate bullies</t>
  </si>
  <si>
    <t>الحلوة - السعودية</t>
  </si>
  <si>
    <t>Emrullah Küçük</t>
  </si>
  <si>
    <t>Allahu Ekber. #TurkishArmy #BarisPinariHarekati #OperationPeaceSpring RT @themarginale: #BarışPınarıHarekatı an itibariyle başlamıştır. Allah, mehmetçiğin ayağına taş değdirmesin. Şehitler aşkına vurun! 🇹🇷 #OperationPeaceSpring</t>
  </si>
  <si>
    <t>https://twitter.com/themarginale/status/1181922112103211011</t>
  </si>
  <si>
    <t>عبد الرزاق كريري</t>
  </si>
  <si>
    <t>تقرير: وثائقي فرنسي يكشف علاقة قطر بتمويل التطرف الإرهاب في أوروبا .  - جمال خاشقجي #JamalKhashoggi #السعودية</t>
  </si>
  <si>
    <t>pic.twitter.com/m4aSEB4ThE</t>
  </si>
  <si>
    <t>pic.twitter.com/i81xlwbq5g</t>
  </si>
  <si>
    <t>الشقيق - السعودية</t>
  </si>
  <si>
    <t>أصبر فإن الله مع الصابرين ..</t>
  </si>
  <si>
    <t>Nevi Şahsına Münahsır.</t>
  </si>
  <si>
    <t>غازي مربع</t>
  </si>
  <si>
    <t>حصري .. السفير ادم ايرلي متحدث الخارجية الأمريكية السابق : اردوغان أكبر منافق في العالم..يذرف دموع التماسيح على خاشقجي بينما يزج بالاَف الاتراك بالسجونAdam Ereli: Erdogan is the biggest hypocrite on the plant  #خاشقجي #تركيا</t>
  </si>
  <si>
    <t>pic.twitter.com/oKFcEi2vue</t>
  </si>
  <si>
    <t>❝ Aʀᴢᴜ ❞</t>
  </si>
  <si>
    <t>Tarih bunu yazacak! Türk ordusu tarih yazacak! #BarışPınarıHarekatı #OperationPeaceSpring #TurkishArmy 🇹🇷</t>
  </si>
  <si>
    <t>جنوبية سدير  - السعودية</t>
  </si>
  <si>
    <t>في مجتمعنا … يمارس التقبيل في الخفاء ، ويمارس الضرب بالعلن !</t>
  </si>
  <si>
    <t>https://pbs.twimg.com/media/EGcU7P5XkAAyn6a.jpg</t>
  </si>
  <si>
    <t>ابراهيم المرحبي</t>
  </si>
  <si>
    <t>أ. نايف الحربي: إعلامي وكاتب صحفي: جماعة الأخوان الإرهابية هي من تسيطر على الإعلام القطري وهي من تدعمهم بالتقارير المزيفة .  - جمال خاشقجي #خاشقجي #قطر</t>
  </si>
  <si>
    <t>pic.twitter.com/IhKmIHq0h6</t>
  </si>
  <si>
    <t>Öğretmen //Ak Parti Bursa-Yıldırım İlçe Yöneticisi // Tanıtım Medya // Yıldırım Kent Konseyi</t>
  </si>
  <si>
    <t>إذا اعطاك الله ما تُحب . . فـ افعل ما يُحب ?</t>
  </si>
  <si>
    <t>#TurkishArmy 🇹🇷🇹🇷🇹🇷</t>
  </si>
  <si>
    <t>عاصي الزهراوي</t>
  </si>
  <si>
    <t>د. حمدان الشهري: ما تريده تركيا هو التمدد داخل الأراضي السورية وليس لنصرة الشعب السوري.  #خاشقجي #عام_على_رحيل_جمال</t>
  </si>
  <si>
    <t>pic.twitter.com/3M1LkWCpZI</t>
  </si>
  <si>
    <t>الخصرة - السعودية</t>
  </si>
  <si>
    <t>اذا وجدت شخص يتصف بالمرح وحس الدعابه واسعاد الناس..فهذا لا يعني ان قلبه ليس ملى بالهموم.. بل فقط انه شخص يجيد التعامل معها</t>
  </si>
  <si>
    <t>هاني الهشبول</t>
  </si>
  <si>
    <t>تقرير / الجبير: إيران "دولة عدائية" وعليها احترام سيادة الآخرين .  - جمال خاشقجي #خاشقجي #قطر</t>
  </si>
  <si>
    <t>pic.twitter.com/itbB8Q70Om</t>
  </si>
  <si>
    <t>Adnan_Dani ❤🇵🇰</t>
  </si>
  <si>
    <t>Turkey's beautiful flag may God always keep it high 🇵🇰🇹🇷🇵🇰🇹🇷🇵🇰🇹🇷 #TurkishArmy</t>
  </si>
  <si>
    <t>https://pbs.twimg.com/media/EGcU8olXUAAIElE.jpg</t>
  </si>
  <si>
    <t>فيصل عطرجي</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</si>
  <si>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#خاشقجي #تركيا</t>
  </si>
  <si>
    <t>pic.twitter.com/3XNmAy64FZ</t>
  </si>
  <si>
    <t xml:space="preserve">faisalabad  Pakistan </t>
  </si>
  <si>
    <t>العيون - السعودية</t>
  </si>
  <si>
    <t>إذا اعطاك الله ما تُحب . . فـ افعل ما يُحب</t>
  </si>
  <si>
    <t>vildantopak</t>
  </si>
  <si>
    <t>عبد الرزاق السهيمي</t>
  </si>
  <si>
    <t>محلل قناة ٢٤ سعودي الفضائية د. عمر عبدالستار في نيران ايران : من الوارد أن تتعرض إحدى منشآت إيران النووية إلى ضربة أمريكية  #خاشقجي #قطر</t>
  </si>
  <si>
    <t>https://pbs.twimg.com/media/EGcUv4XXoAAeVtY.jpg</t>
  </si>
  <si>
    <t>pic.twitter.com/8u3TmQLP29</t>
  </si>
  <si>
    <t>مكة - السعودية</t>
  </si>
  <si>
    <t>لا تخذل فتاه أختبأت خلف ظهرك آمنت بعشقك لها أحبتك برغم أن الحب ف بلدنا شبه محرم ف بربك كن وفياً ل أجلها ..!! رجوتكم كونوا آوفياء ..!!</t>
  </si>
  <si>
    <t>فضل النعيمي</t>
  </si>
  <si>
    <t>السفير 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#JamalKhashoggi #تركيا</t>
  </si>
  <si>
    <t>Michele Testoni</t>
  </si>
  <si>
    <t>Is #Turkey (this Turkey) still a Western ally? The answer, as usual, rests necessarily upon the vitaly of Turkish civil society. #TurkishArmy #Rojava #Peace</t>
  </si>
  <si>
    <t>pic.twitter.com/uVEIvKEdP1</t>
  </si>
  <si>
    <t>Madrid, Spain</t>
  </si>
  <si>
    <t>Professor of International Relations @IEUniversity. Interests: beer, food, politics and sports. Not necessarily in this order.</t>
  </si>
  <si>
    <t>https://micheletestoni.com/</t>
  </si>
  <si>
    <t>العمارية  - السعودية</t>
  </si>
  <si>
    <t>لا يغني الحذر عن القـدر</t>
  </si>
  <si>
    <t>ذكي المطيوي</t>
  </si>
  <si>
    <t>محلل قناة ٢٤ سعودي الفضائية د. عمر عبدالستار في نيران ايران : ايران بهذا النظام غير قابلة للتغيير، ولكنها في نفس الوقت هي عرضة للتفكك  - جمال خاشقجي #خاشقجي #تركيا</t>
  </si>
  <si>
    <t>pic.twitter.com/nK7tEyILIm</t>
  </si>
  <si>
    <t>Yüksel MİNİÇ</t>
  </si>
  <si>
    <t>Sana secde eden ordularına yenilgi gösterme Allah’ım 🇹🇷🇹🇷🇹🇷🇹🇷🇹🇷🇹🇷 #BarisPinariHarekati #TurkishArmy</t>
  </si>
  <si>
    <t>https://pbs.twimg.com/media/EGcU7QUXYAE-FyK.jpg</t>
  </si>
  <si>
    <t>بديع الفايز</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</si>
  <si>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t>
  </si>
  <si>
    <t>pic.twitter.com/kXAuQvlbSe</t>
  </si>
  <si>
    <t>Baba, Eş, Evlat, Fenerbahçe, Giresun</t>
  </si>
  <si>
    <t>اللهم ارحم طفلاً يرتجف في هذا البرد، اللهم إني أسألك برحمتك أن تجعل هذا الشتاء أمناً وسلاماً علي أهلنا في بلاد الشام ومن يعيشون في الخيامSaudi Arabia</t>
  </si>
  <si>
    <t>سعد مشرقي</t>
  </si>
  <si>
    <t>العميد متقاعد. حسن الشهري: قناة الجزيرة لا تنقل خير قط وتقوم ببث الطائفية والكراهية  - جمال خاشقجي #خاشقجي #عام_على_اغتيال_جمال</t>
  </si>
  <si>
    <t>pic.twitter.com/QNW7iivj87</t>
  </si>
  <si>
    <t>Martin Dunphy</t>
  </si>
  <si>
    <t>@Turki_alalshikh @RiyadhSeason Imagine! How many journalists will want to travel to your country! #kashoggi #JamalKhashoggi #HumanRights</t>
  </si>
  <si>
    <t>M. Furkan Koca</t>
  </si>
  <si>
    <t>"Bismillahirrahmânirrahîm. İzâ câe nasrullahi velfeth" "Allah'ın yardımı ve fetih geldiği zaman" "Şu kopan fırtına Türk ordusudur ya Rabbi, Galip et, çünkü bu son ordusudur İslam'ın" #BarisPinariHarekati #TurkishArmy Hevaller, Azrail'e merhaba deyin🙈</t>
  </si>
  <si>
    <t>Vancouver</t>
  </si>
  <si>
    <t>Senior editor of the Georgia Straight, one of the first alternative newspapers in North America. Rational empiricist, opinionated, outré... Views my own. Really</t>
  </si>
  <si>
    <t>http://www.straight.com/</t>
  </si>
  <si>
    <t>https://pbs.twimg.com/media/EGcU6a2X0AIwSTK.jpg</t>
  </si>
  <si>
    <t>رياض الدوسري</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</si>
  <si>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#ايران #خاشقجي</t>
  </si>
  <si>
    <t>AYBÜ-Hukuk</t>
  </si>
  <si>
    <t>pic.twitter.com/sRPtoPYq5j</t>
  </si>
  <si>
    <t>Muhammet özkur</t>
  </si>
  <si>
    <t>الطائف - السعودية</t>
  </si>
  <si>
    <t>Tarih boyunca nice zaferler yaşatan bu şanlı orduya Yüce Rabbimiz yardım etsin. #BarisPinariHarekati #BarisPinari #TurkishArmy</t>
  </si>
  <si>
    <t>أعجز الناس من عجز عن دعاء الله وأبخل الناس من بخل بالسلام</t>
  </si>
  <si>
    <t>حميدان ال حوفان</t>
  </si>
  <si>
    <t>د. حمدان الشهري: لابد من مُواجهة طهران ومشاريعها في المنطقة.  - جمال خاشقجي #خاشقجي #عام_على_رحيل_خاشقجي</t>
  </si>
  <si>
    <t>pic.twitter.com/IojunZCapX</t>
  </si>
  <si>
    <t xml:space="preserve">Solhan, Bingöl </t>
  </si>
  <si>
    <t>English Teacher</t>
  </si>
  <si>
    <t>تبوك - السعودية</t>
  </si>
  <si>
    <t>اصبر على الحصرم يصير عنب</t>
  </si>
  <si>
    <t>عكاب الجابر</t>
  </si>
  <si>
    <t>محلل قناة ٢٤ سعودي الفضائية جيري ماهر في برنامج لمن يهمه الأمر: أردوغان يستخدم القضية الفلسطينية فقط من أجل الدعاية والاستهلاك الإعلامي و تركيا لم تقدم لـ فلسطين أو سوريا أي شيء  - جمال خاشقجي #ايران #خاشقجي</t>
  </si>
  <si>
    <t>pic.twitter.com/FWB0EnvAlV</t>
  </si>
  <si>
    <t>أنان - السعودية</t>
  </si>
  <si>
    <t>كلما تقدم بنا العمر نصبح أقل قابلية للجرح ، ولكن في ذات الوقت أقل قابلية للشفاء ..!</t>
  </si>
  <si>
    <t>إلياس الهندي</t>
  </si>
  <si>
    <t>د. محمد العوين: على الأوروبيون ان يُدركوا ان النظام الإيراني مُدمر للعالم والحضارات الإنسانية والاقتصاد العالمي.  - جمال خاشقجي #JamalKhashoggi #تركيا</t>
  </si>
  <si>
    <t>pic.twitter.com/M2lrsmu14y</t>
  </si>
  <si>
    <t>ferhat bengisu</t>
  </si>
  <si>
    <t>Bayrağı görünce gözleri dolanlara selam olsun. #OperationPeaceSpring #VakitGazaVakti #BarisPinariHarekati #TurkishArmy #vakitturanvakti</t>
  </si>
  <si>
    <t>https://pbs.twimg.com/media/EGcU5hpWsAELaHU.jpg</t>
  </si>
  <si>
    <t>تمرة - السعودية</t>
  </si>
  <si>
    <t>اللهم ارحم من رحل عنا وجاء اليك</t>
  </si>
  <si>
    <t>Jo wants Im🍑ment</t>
  </si>
  <si>
    <t>@TeaPainUSA Trump is evil, but he isn't "murder a reporter and cut him up with a bone saw in the embassy" evil and that guy isnt even in your list. #JamalKhashoggi</t>
  </si>
  <si>
    <t>Tokat Merkez, Tokat</t>
  </si>
  <si>
    <t>😎</t>
  </si>
  <si>
    <t>USAF Vet, Mom, Pro-Choice, Anti-corruption. Trolls and Trumpers get a 🚫</t>
  </si>
  <si>
    <t>Blackstone</t>
  </si>
  <si>
    <t>زاهر الغامدي</t>
  </si>
  <si>
    <t>د. محمد الحلفي – الباحث في التاريخ الحديث: اصبح التسويق لـ قناة الجزيرة غير مقبول في ظل ما تقوم به.  #ايران #خاشقجي</t>
  </si>
  <si>
    <t>pic.twitter.com/vUCRjq5xxW</t>
  </si>
  <si>
    <t>الصرّار - السعودية</t>
  </si>
  <si>
    <t>MTTB Sivas</t>
  </si>
  <si>
    <t>أكتموا صدقاتكم من المن والأذى كما كتمتم سيئاتكم من أعين الناس</t>
  </si>
  <si>
    <t>https://pbs.twimg.com/media/EGcU5NEXkAAjDmC.jpg</t>
  </si>
  <si>
    <t>مشاري بن معاذ</t>
  </si>
  <si>
    <t>محلل قناة ٢٤ سعودي الفضائية: د. رامي خليفة العلي : هناك سوء في السياسة التركية التي سمحت بسيطرة جبهة النصرة على مناطق واسعة ما أعطى مبرراً لروسيا وللنظام السوري للتقدم في تلك المنطقة .  - جمال خاشقجي #JamalKhashoggi #السعودية</t>
  </si>
  <si>
    <t>pic.twitter.com/u7VKZ50mSs</t>
  </si>
  <si>
    <t>Milli Türk Talebe Birliği Sivas İl Temsilciliği</t>
  </si>
  <si>
    <t>https://www.facebook.com/MttbSivas/</t>
  </si>
  <si>
    <t>سنه تمضي وسنه تأتي ، اللهم اجعل القادم اجمل</t>
  </si>
  <si>
    <t>عبد الوهاب القطان</t>
  </si>
  <si>
    <t>ادم ايرلي متحدث الخارجية الأمريكية السابق: اردوغان أكبر منافق في العالم..يذرف دموع التماسيح على جمال خاشقجي بينما يزج بالاَف الاتراك بالسجونAdam Ereli: Erdogan is the biggest hypocrite on the plant  #JamalKhashoggi #السعودية</t>
  </si>
  <si>
    <t>pic.twitter.com/RX5qmoUcWv</t>
  </si>
  <si>
    <t>إذا أحبك الله سبحانه صرف عنك كل سوء يا رب إجعلنا من أحبابك</t>
  </si>
  <si>
    <t>علاوي باطرفي</t>
  </si>
  <si>
    <t>Aliş</t>
  </si>
  <si>
    <t>أ. نايف الحربي: إعلامي وكاتب صحفي: جماعة الأخوان الإرهابية هي من تسيطر على الإعلام القطري وهي من تدعمهم بالتقارير المزيفة .  - جمال خاشقجي #ايران #خاشقجي</t>
  </si>
  <si>
    <t>#ZaferBismillah #TurkishArmy #FıratınDoğusu #FıratınDoğusuTürkiyeninBekası</t>
  </si>
  <si>
    <t>pic.twitter.com/U0rZ8UwFcy</t>
  </si>
  <si>
    <t>https://pbs.twimg.com/media/EGcU3f-X0AAcziE.jpg</t>
  </si>
  <si>
    <t>يارب الجنّه العُرالميد لـ أبي و أمي</t>
  </si>
  <si>
    <t>Iğdır, Türkiye</t>
  </si>
  <si>
    <t>Bin Cihana Değişmem Şu Öksüz Türklüğümü🇹🇷🐺 Voleybol Antrenörü 🏐</t>
  </si>
  <si>
    <t>OpelYourMind</t>
  </si>
  <si>
    <t>@Turki_alalshikh @RiyadhSeason And bone saws waiting for anyone caught telling the truth. #JamalKhashoggi</t>
  </si>
  <si>
    <t>Engin ARDA</t>
  </si>
  <si>
    <t>ALLAH YOLUNA CENK EDELİM ŞAN ALALIM ŞAN KURAN’DA ZAFER VADEDİYOR HAZRETİ YEZDAN 🇹🇷🇹🇷🇹🇷🇹🇷🇹🇷🇹🇷🇹🇷#BarisPinariHarekati #BarisPinari #TurkishArmy</t>
  </si>
  <si>
    <t>Artist Scholar Activist Filmmaker Musician who believes another world is possible.</t>
  </si>
  <si>
    <t>Devlet-i Ebed Müddet-Hak şerleri hayr eyler Zan etme ki ğayr eyler Ârif ânı seyr eyler Mevlâ görelim neyler Neylerse güzel eyler</t>
  </si>
  <si>
    <t>‎ Ⓥ عديلة</t>
  </si>
  <si>
    <t>The story of #JamalKhashoggi murder and how the world looked the other way  via @thisisinsider</t>
  </si>
  <si>
    <t>https://www.insider.com/the-murder-of-jamal-khashoggi-2019-10?utmSource=twitter&amp;utmContent=referral&amp;utmTerm=topbar&amp;referrer=twitter</t>
  </si>
  <si>
    <t>Yusuf Yılmaz</t>
  </si>
  <si>
    <t>#BarisPinariHarekati başlamıştır. Gün bizim günümüzdür,Zafer ve cennet yalnız bize yazılmıştır. Gökler bizden yanadır. Tengri biz menen ! #TurkishArmy</t>
  </si>
  <si>
    <t>Middle East - North Africa</t>
  </si>
  <si>
    <t>26 yrs | muslim | vegan 4 the animals Ⓥ | activist | anti Assad | #freeSyria #detaineesfirst IG : @rinaadeelah @voicelessrevolution</t>
  </si>
  <si>
    <t>https://instagram.com/rinaadeelah?igshid=1klku5mcwdk55</t>
  </si>
  <si>
    <t>Sapanca, Türkiye</t>
  </si>
  <si>
    <t>Gemilerde kaptanlık yaparak geçimini sağlayan,Türk milliyetçisi,müslüman ama çomar olmayan,Atatürkçü ama chpkklı olmayan,hatununa aşık bir kişi.</t>
  </si>
  <si>
    <t>Okan TURAN 🇹🇷</t>
  </si>
  <si>
    <t>برهان خبراني</t>
  </si>
  <si>
    <t>https://pbs.twimg.com/media/EGcU27iXoAA_7De.jpg</t>
  </si>
  <si>
    <t>اتصال هاتفي من: أ. طارق أبو زينب – إعلامي ومحلل سياسي – لبنان. قطر نموذج للمطابخ الإعلامية السوداء لتكون خِنجر في قلب الامة العربية.  - جمال خاشقجي #ايران #خاشقجي</t>
  </si>
  <si>
    <t>pic.twitter.com/N0514V2di1</t>
  </si>
  <si>
    <t>Çankaya, Ankara</t>
  </si>
  <si>
    <t>instagram / okanturan_1903</t>
  </si>
  <si>
    <t>أبها - السعودية</t>
  </si>
  <si>
    <t>سئل أحد الحكماء: لماذا احسنت إلى من اساء إليك؟ فقال: لانني بالإحسان، أجعل حياته أفضل، ويومي أجمل، ومبادئي أقوى،وروحى أنقى ونفسي أصفى!</t>
  </si>
  <si>
    <t>Fatma BOLAÇ 🇹🇷 🇹🇷 💛💙</t>
  </si>
  <si>
    <t>طارق الشقري</t>
  </si>
  <si>
    <t>Kahraman askerlerimizin Allah yar ve yardımcısı olsun. 🙏 🇹🇷🇹🇷 #BarışPınarıHarekatı #TürkMilletiOrdusununYanında #TurkishArmy RT @tcsavunma: Kahraman Türk Silahlı Kuvvetleri, Fırat’ın doğusunda #BarışPınarıHarekatı’na başladı.  🇹🇷#MSB #TSK🇹🇷</t>
  </si>
  <si>
    <t>اللواء متقاعد. عبدالله القحطاني : النظام القطري ليس ممولاً للجماعات الإرهابية فقط بل هو يهيء الغطاء الدبلوماسي و السياسي لهم  - جمال خاشقجي #خاشقجي #عام_على_رحيل_خاشقجي</t>
  </si>
  <si>
    <t>pic.twitter.com/ssYugMf8Ql</t>
  </si>
  <si>
    <t>يريد الرجل من المرأة أن تفهمه، وتريد هى منه أن يحبها، وهذا هو منشأ الخلاف بين كل زوجين</t>
  </si>
  <si>
    <t>ϜϓſϞ 🇹🇷 🇹🇷 Sakin, sade böyle en iyisi, demli, dingin boş inan ki ötesi. FENERBAHÇE'm 💛💙</t>
  </si>
  <si>
    <t>muhammad alssayeri</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</si>
  <si>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#JamalKhashoggi #تركيا</t>
  </si>
  <si>
    <t>pic.twitter.com/0fgTIksPoM</t>
  </si>
  <si>
    <t>Harekât - Barış Pınarı</t>
  </si>
  <si>
    <t>#OperationPeaceSpring #TurkMilletiOrdusununYanında #TurkishArmy #BarışPınarı #BarışPınarıHarekatı Özgür Suriye Ordusu #çarşamba "Barış Pınarı Harekatı"</t>
  </si>
  <si>
    <t>https://pbs.twimg.com/media/EGcU2LgXoAA0vZw.jpg</t>
  </si>
  <si>
    <t>فؤاد بن حيزون</t>
  </si>
  <si>
    <t>أ. خالد النزر : أين الإعلام القطري من الفضائح التي تحدث داخل قطر  #JamalKhashoggi #قطر</t>
  </si>
  <si>
    <t>pic.twitter.com/GfpL2JV9xj</t>
  </si>
  <si>
    <t>Yozgat, Türkiye</t>
  </si>
  <si>
    <t>Ruhum depremlere gebe,sükûnetim deliliğimden🖋</t>
  </si>
  <si>
    <t>Serhat Mustafa SENER</t>
  </si>
  <si>
    <t>#BarışPınarıHarekati basladi. Rabb'im sanli ordumuzu muzaffer kilsin, ayagina tas degdirmesin insaAllah. Dualarimiz Mehmetciklerimizle... #BarisPinari #TurkishArmy</t>
  </si>
  <si>
    <t>أيمن برهومي</t>
  </si>
  <si>
    <t>تقرير / الجزيرة وحديث الرويبضه وتحويل الحقائق وتحريفها عن مواضعها للفتنة.  - جمال خاشقجي #خاشقجي #تركيا</t>
  </si>
  <si>
    <t>pic.twitter.com/CmbvNR9AJE</t>
  </si>
  <si>
    <t>izmir</t>
  </si>
  <si>
    <t>Danisman / Ekonomi / IT</t>
  </si>
  <si>
    <t>http://www.smsener.com</t>
  </si>
  <si>
    <t>الخوار - السعودية</t>
  </si>
  <si>
    <t>نصيحة من ذهب: لكي لا تموت مرتين .. لا تعد أبداً لمن خذلك مرة !!</t>
  </si>
  <si>
    <t>عزام الأخضر</t>
  </si>
  <si>
    <t>اتصال / أ. خالد الزعتر : محلل سياسي – الرياض : رفع العلم الإسرائيلي في الدوحة هو إثبات للعلاقات الإسرائيلية القطرية وهذا ما تثبته الوقائع التاريخية على مر السنين .  - جمال خاشقجي #خاشقجي #عام_على_اغتيال_جمال</t>
  </si>
  <si>
    <t>pic.twitter.com/sIGXVooYWk</t>
  </si>
  <si>
    <t>DoğaN 💛❤️GS ✌️</t>
  </si>
  <si>
    <t>Umarım Bilal Erdoğan okçu birlikleri ile en ön safta yerini almıştır..... #SAVASAHAYIR #BarışPınarıHarekati #TurkishArmy #BarisPinari #carsamba</t>
  </si>
  <si>
    <t>Biz yaşayarak öğrendik ateş'in düştüğü yeri yaktığını .iKİ GÖZÜM.✌️ 💛❤ GALATASARAY🦁🌟🌟🌟🌟</t>
  </si>
  <si>
    <t>مسعود صويمل</t>
  </si>
  <si>
    <t>حصريا.. السفير ادم ايرلي متحدث الخارجية الأمريكية السابق: اردوغان منافق كبير ..يذرف دموع التماسيح على خاشقجي بينما يزج بالاَف الاتراك بالسجونAdam Ereli: Erdogan is the biggest hypocrite on the plant  #خاشقجي #عام_على_رحيل_جمال</t>
  </si>
  <si>
    <t>pic.twitter.com/LHlzhEv0Nq</t>
  </si>
  <si>
    <t>العمران الشمالية - السعودية</t>
  </si>
  <si>
    <t>لستُ .. أعرف نوع معاناتكٓم لكنيِ أعرف أنُ القرآن شفاء كل عناء</t>
  </si>
  <si>
    <t>سالم الجاسر</t>
  </si>
  <si>
    <t>محلل قناة ٢٤ سعودي الفضائية جيري ماهر في برنامج لمن يهمه الأمر: تعهد الرئيس التركي بشراء النفط الإيراني هو دليل على أن اردوغان يدعم الإرهاب الإيراني  - جمال خاشقجي #خاشقجي #تركيا</t>
  </si>
  <si>
    <t>pic.twitter.com/HayAFuU5yp</t>
  </si>
  <si>
    <t>ليست الألقاب هي التي تكسب المجد.. بل الناس من يكسبون الألقاب مجدا</t>
  </si>
  <si>
    <t>Unknown</t>
  </si>
  <si>
    <t>#SonDakika 💥 ABD Başkanı Trump Savunma Bakanlığına YPG'ye yardım edilmemesi için talimat verdi. #BarisPinari #BarisPinariHarekati #TurkishArmy</t>
  </si>
  <si>
    <t xml:space="preserve">Syria ~ Turkey </t>
  </si>
  <si>
    <t>IR ~ Barış Pınarı Harekatı Son Dakika Gelişmeler ~ 🇹🇷</t>
  </si>
  <si>
    <t>abuAlkhattabe</t>
  </si>
  <si>
    <t>Do you want to be a part of a terrorist murder case of Mr #JamalKhashoggi and a supporter of a dictatorship regimes I guess no one wants that You alwayes be a safe place for free people #تغيير_مكتب_تويتر_بدبي @jack @Twitter @TwitterSupport</t>
  </si>
  <si>
    <t>kech</t>
  </si>
  <si>
    <t>‏النقد الدولي 🤔</t>
  </si>
  <si>
    <t>رهق الجريبي</t>
  </si>
  <si>
    <t>تقرير: إعلام الزيف القطري التركي الإخوانجي .. فبركة الأخبار وتضليل الرأي العام .  - جمال خاشقجي #ايران #خاشقجي</t>
  </si>
  <si>
    <t>pic.twitter.com/SPOcjxSZMT</t>
  </si>
  <si>
    <t>لكي تتجنب النقد, لا تفعل أي شيء ولا تقل أي شيء ولا تكن أي شيء !!</t>
  </si>
  <si>
    <t>خبرگزاری ایمنا</t>
  </si>
  <si>
    <t>فرار اهالی شهر تل ابیض از حملات هوایی ارتش ترکیه همزمان با مشاهده ستون های دود در شهر تل ابیض سوریه در پی آغاز حملات هوایی ارتش ترکیه به این شهر، فرار اهالی از آن آغاز شده است. #syria #TurkishArmy</t>
  </si>
  <si>
    <t>pic.twitter.com/RIh3X8JGJc</t>
  </si>
  <si>
    <t>فواز الجغيمان</t>
  </si>
  <si>
    <t>اللواء المتقاعد د. زايد العمري: خبير استراتيجي ومحلل سياسي: سيكون هناك دول ستلحق بـ فرنسا قريباً وستوقف قطر وجمعيتها التي ظاهرها الرحمة وباطنها العذاب .  - جمال خاشقجي #خاشقجي #عام_على_رحيل_خاشقجي</t>
  </si>
  <si>
    <t>pic.twitter.com/N6KhYmZDps</t>
  </si>
  <si>
    <t>Islamic Republic of Iran</t>
  </si>
  <si>
    <t>اولين خبرگزاری شهر و شهروندی ايران</t>
  </si>
  <si>
    <t>http://www.imna.ir</t>
  </si>
  <si>
    <t>المكسيك: السجن لكل شاب يوعد فتاة بالزواج ولا يفي بوعده !!</t>
  </si>
  <si>
    <t>خلف العساف</t>
  </si>
  <si>
    <t>أ. سامي المرشد: قطر كدولة مختطفة من الحرس الثوري الإيراني والاخوان المسلمين في انقرة و اسطنبول .  #JamalKhashoggi #تركيا</t>
  </si>
  <si>
    <t>Bedirhan</t>
  </si>
  <si>
    <t>Yıldırımlar yaratan bir ırkın ahfadıyız ! 💪🇹🇷 #TurkishArmy #BarisPinariHarekati</t>
  </si>
  <si>
    <t>pic.twitter.com/NukVccMwYH</t>
  </si>
  <si>
    <t>https://pbs.twimg.com/media/EGcUxD0XUAAe7nY.jpg</t>
  </si>
  <si>
    <t>فرج الأسلمي</t>
  </si>
  <si>
    <t>pic.twitter.com/cekJbpfUqr</t>
  </si>
  <si>
    <t>كي لا تصاب بالخيبة .. لا ترسم في مخيلتك .. أن أحدهم لا يستطيع الإستغناء عنك.</t>
  </si>
  <si>
    <t>مروعي جبر</t>
  </si>
  <si>
    <t>محلل قناة ٢٤ سعودي الفضائية د. عمر عبدالستار في نيران ايران : قد يسقط نظام ايران النووي.. قبل سقوط نظام ايران الثوري  #JamalKhashoggi #تركيا</t>
  </si>
  <si>
    <t>pic.twitter.com/VVr2NYxVuV</t>
  </si>
  <si>
    <t>اللهم اني استغفرك من كل ذنب اذنبته . .اللهم اغفر لي ولجميع المسلمين . .سبحان الله وبحمده سبحان الله العظيم عدد خلقه ورضى نفسه</t>
  </si>
  <si>
    <t>Serkan Yıldırım</t>
  </si>
  <si>
    <t>Orta Doğu'dan aşacağız, Türklüğe şan katacağız, Türk'ün şanlı bayrağını, Turan ile asacağız !!! #TurkishArmy #BarışPınarıHarekatı #OperationPeaceSpring</t>
  </si>
  <si>
    <t>عودة الشتيفي</t>
  </si>
  <si>
    <t>https://pbs.twimg.com/media/EGcUx4nX0AABa1D.jpg</t>
  </si>
  <si>
    <t>pic.twitter.com/L3VI7wW3UA</t>
  </si>
  <si>
    <t>بيشة - السعودية</t>
  </si>
  <si>
    <t>حمصه في حريه ولا وليمه في عبوديه</t>
  </si>
  <si>
    <t>حسان عبد الرحمن</t>
  </si>
  <si>
    <t>أ. نايف الحربي: إعلامي وكاتب صحفي: ايران دولة ليست موثوقة .. ولا أحد يثق فيها .  - جمال خاشقجي #خاشقجي #قطر</t>
  </si>
  <si>
    <t>pic.twitter.com/IwBd4AgXSW</t>
  </si>
  <si>
    <t>!</t>
  </si>
  <si>
    <t>Ya Allah Bismillah #TurkishArmy #BarışPınarıHarekati</t>
  </si>
  <si>
    <t>https://pbs.twimg.com/media/EGcUwxpWoAoM8iN.jpg</t>
  </si>
  <si>
    <t>مرد الكلب للقصاب.</t>
  </si>
  <si>
    <t>ابراهيم الدعيع</t>
  </si>
  <si>
    <t>د. حمدان الشهري: ما تريده تركيا هو التمدد داخل الأراضي السورية وليس لنصرة الشعب السوري.  #JamalKhashoggi #السعودية</t>
  </si>
  <si>
    <t>pic.twitter.com/GbpcxsBnxE</t>
  </si>
  <si>
    <t>Turkey/İSTANBUL</t>
  </si>
  <si>
    <t>Küçük çaplı Esnaf..</t>
  </si>
  <si>
    <t>جدة - السعودية</t>
  </si>
  <si>
    <t>أبشع إحساس إنك تتصنع التجاهل لشخص وبداخلك حب كبير له</t>
  </si>
  <si>
    <t>صقر جعيشن</t>
  </si>
  <si>
    <t>أ. سامي المرشد: المال القطري أنفق بسخاء على الإرهاب والعصابات وتهييج الشعوب .  - جمال خاشقجي #JamalKhashoggi #تركيا</t>
  </si>
  <si>
    <t>eaisnowhere</t>
  </si>
  <si>
    <t>Ecdadımızın heybeti ma’rûf-ı cihandır, Fıtrat değişir sanma bu kan yine o kandır 🇹🇷 #TurkishArmy #BarisPinariHarekati</t>
  </si>
  <si>
    <t>pic.twitter.com/bUtwhFawYc</t>
  </si>
  <si>
    <t>خليص - السعودية</t>
  </si>
  <si>
    <t>اترك بصمة جميلة في العلاقات والمواقف.. تُذكر لك</t>
  </si>
  <si>
    <t>Halı,Klim,Travel İnstagram: yuzbasiselimpusat</t>
  </si>
  <si>
    <t>𝚁𝚎𝚍 𝚁𝚎𝚟𝚘𝚕𝚞𝚝𝚒𝚘𝚗 𝙼𝚎𝚍𝚒𝚊</t>
  </si>
  <si>
    <t>#France Should Hold Firm Against Saudi Abuses #EmmanuelMacron #JamalKhashoggi #MohammedBinSalman #SaudiArabia</t>
  </si>
  <si>
    <t>https://redrevolution.co.uk/2019/10/09/france-should-hold-firm-against-saudi-abuses/</t>
  </si>
  <si>
    <t>https://pbs.twimg.com/media/EGZWbEjXkAYehHM.jpg</t>
  </si>
  <si>
    <t>Mert Çelik</t>
  </si>
  <si>
    <t>Trump'ın açıklamalarından anlaşılacağı üzere Türkiye, ABD'den operasyon izni alma karşılığında, esir IŞİD savaşçılarını devralacak. Yunanistan, 10 bin Suriyeli mülteciyi Türkiye'ye iade edecek. Ülke resmen Suriye'nin arka bahçesi olmuş durumda. #BarisPinariHarekati #TurkishArmy</t>
  </si>
  <si>
    <t>Red Revolution is an independent news source with a global focus on socialist politics, activism, protest &amp; the fight against imperialism, racism &amp; intolerance.</t>
  </si>
  <si>
    <t>http://redrevolution.co.uk</t>
  </si>
  <si>
    <t>DEU - Tarih</t>
  </si>
  <si>
    <t>Mustafa Ayar</t>
  </si>
  <si>
    <t>رميح عميش</t>
  </si>
  <si>
    <t>Mehmetçik ilk olarak YPG terör örgütüne ait silah depolarını vuruyor. Resulayn'da siviller şehri terk ediyor. YPG'li teröristler uçakların görüşünü kısıtlamak için lastik yakıyor. YPG sivilleri zorla şehirde tutmaya da çalışıyor #TurkishArmy #BarisPinari #BarisPinariHarekati</t>
  </si>
  <si>
    <t>pic.twitter.com/MHhkfx20ir</t>
  </si>
  <si>
    <t>pic.twitter.com/bQ54aGEL48</t>
  </si>
  <si>
    <t>القطيف - السعودية</t>
  </si>
  <si>
    <t>جابر العبدلي</t>
  </si>
  <si>
    <t>محلل قناة ٢٤ سعودي الفضائية جيري ماهر في برنامج لمن يهمه الأمر: أردوغان يستخدم القضية الفلسطينية فقط من أجل الدعاية والاستهلاك الإعلامي و تركيا لم تقدم لـ فلسطين أو سوريا أي شيء  - جمال خاشقجي #JamalKhashoggi #تركيا</t>
  </si>
  <si>
    <t>journalist http://efsaneharitasi.blogspot.com</t>
  </si>
  <si>
    <t>pic.twitter.com/Yl8CMmTeC5</t>
  </si>
  <si>
    <t>ربي لا تجعل عيني صغيرة لا ترى إلا الدنيا . . و لا تجعل قلبي ضيقاً لا يفكر إلا بها ،</t>
  </si>
  <si>
    <t>حازم الضبعان</t>
  </si>
  <si>
    <t>د. محمد الحلفي : باحث في التاريخ الحديث : المنبوذين من بلدانهم فقط هم من تجدهم في منصة قناة الجزيرة  #JamalKhashoggi #تركيا</t>
  </si>
  <si>
    <t>pic.twitter.com/gnCexBlNVc</t>
  </si>
  <si>
    <t>الختامة  - السعودية</t>
  </si>
  <si>
    <t>يحدث أحياناً .. أن يأتي الفرح على هيئة حضور أحدهم</t>
  </si>
  <si>
    <t>على الساحلي</t>
  </si>
  <si>
    <t>Gökçen Oğan</t>
  </si>
  <si>
    <t>Azerbaycan’dan, Kazakistan’dan, Kazan’dan dostların dualarının da Mehmetçiğimizle olduğunu söyleyen mesajlarını aldım son 1 saat içinde.. inancım umudum tazelendi.. #BarışPınarıHarekati #BarisPinari #TurkishArmy</t>
  </si>
  <si>
    <t>pic.twitter.com/tFp4hZ2JkG</t>
  </si>
  <si>
    <t>Türk Milliyetçisi- Dış Politika-Türk Dünyası “ “vatanını en çok seven görevini en iyi yapandır”</t>
  </si>
  <si>
    <t>اللهم أللهم ألهمني رشــدي وقنــــــي شر نفسي</t>
  </si>
  <si>
    <t>عبد المجيد المحجم</t>
  </si>
  <si>
    <t>أ. عبدالرحمن الملحم - كاتب ومحلل سياسي : قطر قامت بخيانة دول مجلس التعاون بإعطاء احداثيات حول الجنود الاماراتيين والسعوديين .  - جمال خاشقجي #خاشقجي #عام_على_رحيل_جمال</t>
  </si>
  <si>
    <t>pic.twitter.com/6liQTjjWbW</t>
  </si>
  <si>
    <t>Vahap Erdem</t>
  </si>
  <si>
    <t>İşte Kürt budur,ellerinden öpüyorum teyzem #TurkishArmy #BarisPinariHarekati RT @tasdemir_cemile: Kuzey Irak'lı Kürt kadın, Türk askerini soran Rudaw muhabirini bakın köşeye nasıl sıkıştırıyor İşte gerçek Türk askerini anlatıyor #TurkishArmy</t>
  </si>
  <si>
    <t>https://twitter.com/tasdemir_cemile/status/1181879182185373696</t>
  </si>
  <si>
    <t>حائل - السعودية</t>
  </si>
  <si>
    <t>عيش بعيش والحسد ليش</t>
  </si>
  <si>
    <t>خليل الحوشاني</t>
  </si>
  <si>
    <t>pic.twitter.com/ek9GOSBk4T</t>
  </si>
  <si>
    <t>pic.twitter.com/9aWpm2PzAd</t>
  </si>
  <si>
    <t>البدع الشمالي - السعودية</t>
  </si>
  <si>
    <t>إذا ضيع الأعرج عكازه لازم مركازه</t>
  </si>
  <si>
    <t xml:space="preserve">Turkey </t>
  </si>
  <si>
    <t>Bilkent University American Culture And Literature FENERBAHÇE ASKTIR</t>
  </si>
  <si>
    <t>جلاد</t>
  </si>
  <si>
    <t>@AJArabic تلطمون على #مصر منذ شهرين ولم تنالون ما كنتم تسعون إليه وتلطمون على #خاشقجي لإثارة الرأي العام ولم تنالون ما كنتم تسعون إليه والآن تلطمون على #تغيير_مكتب_تويتر_من_دبي وأيضاً لن تنالون ما تسعون إليه يا إمعات</t>
  </si>
  <si>
    <t>#1909TuncayBas🇹🇷</t>
  </si>
  <si>
    <t>Bize sabaha kadar uyku haram. Namazlarımizda askerimize devletimize dualarımızı eksik etmeyelim. #TurkishArmy #BarisPinari</t>
  </si>
  <si>
    <t>خريج جامعة جلد البهايم في تويتر وحاصل على الزمالة الإماراتية في جلد حلف اللطم 🇸🇦🇦🇪</t>
  </si>
  <si>
    <t>ثائر ضد الظلم والفساد. بديل</t>
  </si>
  <si>
    <t>مقتل جمال #خاشقجي : كيف تغير الخطاب السعودي حول الحادثة؟ تقرير: لينة شيخوني #BBC إعداد: حسام سرحان شاهد التقرير كامل داخل اللنك .. تقرير رائع ومميز 👇  RT @Isalmnahaya: مقتل جمال خاشقجي: كيف تغير الخطاب السعودي حول الحادثة؟ تقرير: لينة شيخوني #BBC إعداد: حسام سرحان شاهد التقرير كامل داخل اللنك .. تقرير رائع ومميز 👇</t>
  </si>
  <si>
    <t>yazılım mühendisi. (PHP, C#,JAVA,PYTHON konularında yardım edilir)</t>
  </si>
  <si>
    <t>https://youtube.com/watch?v=7G-a7sYwZX8
https://twitter.com/Isalmnahaya/status/1181712661341523969
https://www.youtube.com/watch?v=7G-a7sYwZX8</t>
  </si>
  <si>
    <t>http://www.google.com</t>
  </si>
  <si>
    <t>pic.twitter.com/rrkCl73vM7</t>
  </si>
  <si>
    <t>بلاد الظلم أوطاني من المحيط إلى الخليج</t>
  </si>
  <si>
    <t>#SağDuyu🇹🇷</t>
  </si>
  <si>
    <t>Hani Üç Yaşında Suriyeli Bir Çocuk Vardı . Ölünce Herşeyi Allah👆 a Anlatacam 📌 Diyen , ANLATMIŞ ! ! ! Allah 👆 ın Ordusu Çocuğun İntikamını Almaya Geldi . . . #BarışPınarıHarekati #OperationPeaceSpring #BarisPinari #TurkishArmy 🇹🇷🇹🇷🇹🇷🇹🇷🇹🇷🇹🇷🇹🇷🇹🇷🇹🇷🇹🇷</t>
  </si>
  <si>
    <t xml:space="preserve"> محمد الحبابي </t>
  </si>
  <si>
    <t>محلل قناة ٢٤ سعودي الفضائية د. عمر عبدالستار في نيران ايران : ايران بهذا النظام غير قابلة للتغيير، ولكنها في نفس الوقت هي عرضة للتفكك  - جمال خاشقجي #JamalKhashoggi #تركيا</t>
  </si>
  <si>
    <t>pic.twitter.com/kWmV22LWpw</t>
  </si>
  <si>
    <t>https://pbs.twimg.com/media/EGcUuoUXkAE7JgD.jpg</t>
  </si>
  <si>
    <t>ﻣﻘﺒﻮﻝ ﻫﺮﻳﺴﺎﻥ</t>
  </si>
  <si>
    <t>Ístanbul , Turquía</t>
  </si>
  <si>
    <t>Allah'ımıza Hamdolsun Ûmmetîmîz Varolsun #Hedef2023 #Reisciler #RİZE #İnsanSarrafı #Strateji Umudumuzun Bittiği Yerde İnadımız Başlar #RecepTayyipErdoğan</t>
  </si>
  <si>
    <t>http://www.tccb.gov.tr</t>
  </si>
  <si>
    <t>pic.twitter.com/W3MrXpDeSb</t>
  </si>
  <si>
    <t xml:space="preserve">فيصل بن عائد </t>
  </si>
  <si>
    <t>محلل قناة ٢٤ سعودي الفضائية د. فهد الشليمي في مع الحدث :الضغط على مصر .. وجعل مصر غير آمنة وغير مستقرة.. هو مربح للأتراك بطريقة مباشرة على المستوى السياحي والاقتصادي والاستثماري  - جمال خاشقجي #ايران #خاشقجي</t>
  </si>
  <si>
    <t>Nazeli</t>
  </si>
  <si>
    <t>pic.twitter.com/bwq3bsv9w8</t>
  </si>
  <si>
    <t>Şu kopan fırtına Türk ordusudur yâ Rabbi. Senin uğrunda ölen ordu, budur yâ Rabbi. Ta ki yükselsin ezanlar müeyyide nâmın, Galib et, çünkü bu son ordusudur İslâm'ın. #TurkishArmy #BarışPınarHarekatı #TürkMilletiOrdusununYanında</t>
  </si>
  <si>
    <t>https://pbs.twimg.com/media/EGcUuAOWkAY2Vvq.jpg</t>
  </si>
  <si>
    <t xml:space="preserve">مجدي بن حمود </t>
  </si>
  <si>
    <t>أ. نايف الحربي: إعلامي وكاتب صحفي: الإعلام السعودي أخرص الإعلام القطري والتركي .  - جمال خاشقجي #ايران #خاشقجي</t>
  </si>
  <si>
    <t>Bize biraz umut lazım, diyalog lazım, karavan lazım.</t>
  </si>
  <si>
    <t>http://Instagram.com/nazelialtin</t>
  </si>
  <si>
    <t>pic.twitter.com/TYr3D1sZl7</t>
  </si>
  <si>
    <t>JaWad</t>
  </si>
  <si>
    <t>As a #Pakistani, i support @RTErdogan and #TurkishArmy. Terrorists will soon be removed from the land of Syria. Inshallah!</t>
  </si>
  <si>
    <t xml:space="preserve"> أحمد الثاني </t>
  </si>
  <si>
    <t>pic.twitter.com/zcUbrR3PSC</t>
  </si>
  <si>
    <t>Karachi, Pakistan</t>
  </si>
  <si>
    <t>PTI SMT Sindh | F̶e̶m̶i̶n̶i̶s̶t̶ Socialist | Proud Pakistani 🇵🇰</t>
  </si>
  <si>
    <t>ياسر الفريدي</t>
  </si>
  <si>
    <t>Ali ŞAHİN</t>
  </si>
  <si>
    <t>#BarışPınarıHarekatı an itibariyle başlamıştır. Allah, Mehmetçiğimizin yardımcısı olsun 🇹🇷 #OperationPeaceSpring #TurkishArmy</t>
  </si>
  <si>
    <t>pic.twitter.com/zv9078i3kJ</t>
  </si>
  <si>
    <t>عاشق الاهلي و ريال مدريد</t>
  </si>
  <si>
    <t>Kastamonu Üniversitesi Yakınçağ Tarihi/Master,Tarihçi, İran Araştırmacısı,, Siyasi Tarih, ایران شناس *Beğeniler arşiv içindir. Katılma destek anlamına gelmez</t>
  </si>
  <si>
    <t>https://siyahcizgi.wordpress.com/</t>
  </si>
  <si>
    <t xml:space="preserve"> مذكر الحربي</t>
  </si>
  <si>
    <t>pic.twitter.com/r6xBhC95EZ</t>
  </si>
  <si>
    <t>ümit ibiloğlu</t>
  </si>
  <si>
    <t xml:space="preserve"> ياسر السهلي</t>
  </si>
  <si>
    <t>#BarisPinari #BarisPinariHarekati thanks to #Turkisharmy #OperationPeaceSpring</t>
  </si>
  <si>
    <t>pic.twitter.com/2lGC1sqhR7</t>
  </si>
  <si>
    <t>https://pbs.twimg.com/media/EGcUuCsXoAEYhIN.jpg</t>
  </si>
  <si>
    <t xml:space="preserve"> ﺳﻌﺪ ﺁﻝ ﺿﻌﻴﻦ- </t>
  </si>
  <si>
    <t>محلل قناة ٢٤ سعودي الفضائية د. أنور مالك في المراقب : واضح جداً ومما لا شك فيه أبداً أن الممول للحوثيين هم ملالي طهران ويتم ذلك عبر الحرس الثوري الإيراني أو حزب الله اللبناني  - جمال خاشقجي #خاشقجي #عام_على_اغتيال_جمال</t>
  </si>
  <si>
    <t>pic.twitter.com/gm1KURBzwS</t>
  </si>
  <si>
    <t xml:space="preserve">معاذ سليم </t>
  </si>
  <si>
    <t>د. حمدان الشهري: ما تريده تركيا هو التمدد داخل الأراضي السورية وليس لنصرة الشعب السوري.  #JamalKhashoggi #قطر</t>
  </si>
  <si>
    <t>pic.twitter.com/r9p0qatXqt</t>
  </si>
  <si>
    <t>عبد العزيز العودة 37</t>
  </si>
  <si>
    <t>pic.twitter.com/gq1dRURuV6</t>
  </si>
  <si>
    <t>Bekir Samet Arık</t>
  </si>
  <si>
    <t>Onları Ezin! #TurkishArmy #BarisPinariHarekati</t>
  </si>
  <si>
    <t>CK</t>
  </si>
  <si>
    <t>@WhiteHouse , FAIR is something you take your kids to on weekends. #KidsInCages #neverforget #JamalKhashoggi #NeverForget Was it fair to @flotus to have Stormy Daniels and Karen McDougal in her life after promises were made (vows taken) .. FAIR.....LOL</t>
  </si>
  <si>
    <t>Gaziantep, Türkiye</t>
  </si>
  <si>
    <t>Virginia, USA</t>
  </si>
  <si>
    <t>Ne bileyim yani ne diyeceksin ne diyeceğine deyip demiyeceğine hiç bişeyine diyen ne kimse kimseyi dinler ne bişey anlata bilirsin ne dinleyen ne olur.</t>
  </si>
  <si>
    <t>عيسى الصويلح</t>
  </si>
  <si>
    <t>أ. نايف الحربي: إعلامي وكاتب صحفي: ايران دولة ليست موثوقة .. ولا أحد يثق فيها .  - جمال خاشقجي #JamalKhashoggi #السعودية</t>
  </si>
  <si>
    <t>pic.twitter.com/mndOF9M22G</t>
  </si>
  <si>
    <t>Pınar Eser</t>
  </si>
  <si>
    <t>Topunuz gelin dedik Ses çıkmayınca BİZ GELDİK...!!!🇹🇷 Allah muzaffer ordumuzun yar ve yardımcısı olsun. #TurkishArmy #BarisPinariHarekati #OperationPeaceSpring #BarisPinari</t>
  </si>
  <si>
    <t>https://pbs.twimg.com/media/EGcUtD3XkAAGNy2.jpg</t>
  </si>
  <si>
    <t xml:space="preserve">   مشاري الامامي</t>
  </si>
  <si>
    <t>💡Akparti Bursa Osmangazi Kadın Kolları Seçim İşleri Başkanı🇹🇷 Finans Müdürü #BOCCHI</t>
  </si>
  <si>
    <t>أ. مؤنس المردي – رئيس تحرير جريدة البلاد البحرينية: نظام اردوغان وإرهاب ايران وجهان لعملة واحدة.  - جمال خاشقجي #JamalKhashoggi #السعودية</t>
  </si>
  <si>
    <t>pic.twitter.com/1f4TaGYtrv</t>
  </si>
  <si>
    <t>KONYA SOSYAL</t>
  </si>
  <si>
    <t>Türk olmak zordur, çünkü dünya ile savaşırsın, Türk olmamak daha zordur, çünkü Türk ile savaşırsın.#BarışPınarıHarekatı #TurkishArmy</t>
  </si>
  <si>
    <t>https://pbs.twimg.com/media/EGcUsMMXYAA-_rs.jpg</t>
  </si>
  <si>
    <t>خالد  الدوسري</t>
  </si>
  <si>
    <t>اتصال/ د. فوزية القحطاني: باحثة في الإعلام والأمن الفكري – جدة: الإعلام القطري ينشر الكراهية والبغضاء .. كما تعمل اجهزتهم ليل نهار على التشكيك بكل منجز سعودي .  - جمال خاشقجي #خاشقجي #قطر</t>
  </si>
  <si>
    <t>pic.twitter.com/YOBDKXtuSL</t>
  </si>
  <si>
    <t>Konya'nın En Büyük ve En Aktif Güncel Medya Platformu'nun Resmi Twitter Hesabıdır.</t>
  </si>
  <si>
    <t>http://www.instagram.com/konyasosyalll/</t>
  </si>
  <si>
    <t xml:space="preserve">  عبدالعزيز دويبي </t>
  </si>
  <si>
    <t>أ. عبدالرحمن الملحم - كاتب ومحلل سياسي : قطر مصابة بعمى سياسي كبير ولا تعرف إلى اين تتجه .  - جمال خاشقجي #خاشقجي #قطر</t>
  </si>
  <si>
    <t>pic.twitter.com/JG9QbbqbDg</t>
  </si>
  <si>
    <t>MEHMET 🐺</t>
  </si>
  <si>
    <t>Kahpeler artık kaçacak delik bulamayacaksınız Şanlı Türk Askeri geliyor ☝🏻🇹🇷 #BarisPinariHarekati #TurkishArmy #BarisPinari</t>
  </si>
  <si>
    <t>ﻋﺎﺑﺪ ﺳﻨﺪ</t>
  </si>
  <si>
    <t>أ. هاني الحجي : العملية الانتخابية التي حدثت ورفضها اردوغان أثرت على مسار الحياة الاقتصادية في تركيا .  - جمال خاشقجي #خاشقجي #عام_على_رحيل_خاشقجي</t>
  </si>
  <si>
    <t>pic.twitter.com/9L9R6cVg0u</t>
  </si>
  <si>
    <t>Bir SİVAS’lı 🔊🇹🇷</t>
  </si>
  <si>
    <t>http://instagram.com/mehmetyiilmaz1</t>
  </si>
  <si>
    <t>فهد الفهادي34</t>
  </si>
  <si>
    <t>pic.twitter.com/lgaUVzcfrV</t>
  </si>
  <si>
    <t>Cemilcann</t>
  </si>
  <si>
    <t>#TurkishArmy #BarisPinariHarekati #OperationPeaceSpring</t>
  </si>
  <si>
    <t>https://pbs.twimg.com/media/EGcUrWyXUAMu_o4.jpg</t>
  </si>
  <si>
    <t>مسعد المرزوق</t>
  </si>
  <si>
    <t>pic.twitter.com/WINHYhIbJj</t>
  </si>
  <si>
    <t>İzmir 🌙 Ege Üniversitesi 📚</t>
  </si>
  <si>
    <t>http://www.instagram.com/cccemilcan/</t>
  </si>
  <si>
    <t>kate willis</t>
  </si>
  <si>
    <t>@realDonaldTrump @POTUS @VP @WhiteHouse @GOP #TrumpTaxReturns #TrumpPressuredUkraine #TrumpBetraysAllies #KurdsBetrayedByTrump #TrumpBodyCount #JamalKhashoggi #JeffreyEpstein #HeatherHeyer #KidsInCages #TrumpCrimeFamilyForPrison #MelaniaLiedEinsteinVisa #IllegitimatePresident</t>
  </si>
  <si>
    <t>Soner SELÇUK</t>
  </si>
  <si>
    <t>Mabadları yemedi.... #TurkishArmy #BarisPinariHarekati #BarisPinari RT @uzunabdurrahman: Topunuz gelin dedik, ses çıkmayınca biz geldik! 🇹🇷🇹🇷 #BarışPınarıHarekatı</t>
  </si>
  <si>
    <t xml:space="preserve">مازن مشعل </t>
  </si>
  <si>
    <t>أ. هاني الحجي : العملية الانتخابية التي حدثت ورفضها اردوغان أثرت على مسار الحياة الاقتصادية في تركيا .  - جمال خاشقجي #JamalKhashoggi #قطر</t>
  </si>
  <si>
    <t>https://twitter.com/uzunabdurrahman/status/1181924647622922240</t>
  </si>
  <si>
    <t>pic.twitter.com/VZ7OwrwhnH</t>
  </si>
  <si>
    <t>pic.twitter.com/OoJyLaTVSV</t>
  </si>
  <si>
    <t xml:space="preserve">محمد بن نايف </t>
  </si>
  <si>
    <t>pic.twitter.com/XH9lO2gQcg</t>
  </si>
  <si>
    <t>İstanbul_Türkiye</t>
  </si>
  <si>
    <t>Prescience ☣</t>
  </si>
  <si>
    <t>Turkish Army will bring freedom. Türk Ordusu Özgürlük getirecek. #BarışPınarıHarekati #BarisPinari #TurkishArmy</t>
  </si>
  <si>
    <t xml:space="preserve"> عمرو  الدعدي </t>
  </si>
  <si>
    <t>د. محمد العوين: على الأوروبيون ان يُدركوا ان النظام الإيراني مُدمر للعالم والحضارات الإنسانية والاقتصاد العالمي.  - جمال خاشقجي #خاشقجي #عام_على_اغتيال_جمال</t>
  </si>
  <si>
    <t>https://pbs.twimg.com/media/EGcUq1JWwAIhU9z.jpg</t>
  </si>
  <si>
    <t>pic.twitter.com/McyI6Vb0qf</t>
  </si>
  <si>
    <t>Doğruluk, her türlü şartlar altında meyve verir. ⚖</t>
  </si>
  <si>
    <t xml:space="preserve">  مفرح محمد </t>
  </si>
  <si>
    <t>pic.twitter.com/whxG35RuUr</t>
  </si>
  <si>
    <t>vatan sever 🇹🇷⚡🇹🇷</t>
  </si>
  <si>
    <t>🇹🇷🇹🇷 Şu kopan fırtına Türk Ordusudur yâ Rabbi.Senin uğrunda ölen ordu budur yâ Rabbi.Tâ ki yükselsin ezanlarla mûeyyed namın, Galib et, çünkü bu son ordusudur islâm'ın #TurkishArmy 🇹🇷🇹🇷 .</t>
  </si>
  <si>
    <t>https://pbs.twimg.com/media/EGcUqW-WwAAw4wj.jpg</t>
  </si>
  <si>
    <t>Yoosuf el-Abdulla</t>
  </si>
  <si>
    <t>🇹🇷vatan sevgisi İMANDANDIR🇹🇷</t>
  </si>
  <si>
    <t>pic.twitter.com/HHtufFDVPh</t>
  </si>
  <si>
    <t>Metin Nacar</t>
  </si>
  <si>
    <t>Rabbim; Mehmetçiğimizin yãr ve yardımcısı olsun Amacımız, Fıratın Doğusunu da barış pınarlarıyla sulamaktır Our aim is to irrigate also the East of the Euphrates with the springs of peace #BarışPınarıHarekatı #OperationPeaceSpring #AllahBizimledir #BarisPinari #TurkishArmy</t>
  </si>
  <si>
    <t>saudi arab</t>
  </si>
  <si>
    <t>https://pbs.twimg.com/media/EGcUqI7WoAErQm1.jpg</t>
  </si>
  <si>
    <t>عدنان الشهراني</t>
  </si>
  <si>
    <t>تقرير: علم إسرائيل يرفرف مجدداً في سماء الدوحة في بطولة ألعاب القوى.  - جمال خاشقجي #JamalKhashoggi #السعودية</t>
  </si>
  <si>
    <t>pic.twitter.com/A1QUeVt4Kx</t>
  </si>
  <si>
    <t>📌 Allahın Yarattığı Kadere Teslimim Ben 🇹🇷 📌Ölene Kadar📌#GALATASARAY 💛❤ 📌100 Watt'lık Aydın📌Herşeyden Haberi Olan Adam📌Elhamdülillah Müslüman📌Coffee</t>
  </si>
  <si>
    <t>St.</t>
  </si>
  <si>
    <t>@DuezenTekkal Heute ist einfach ein rabenschwarzer Tag, die #TurkishArmy maschiert in Syrien ein und in #Halle werden unschuldige Menschen getötet. Was ist mit den Menschen nur los? Man fühlt sich so verdammt machtlos in solchen Momenten! #stopwars #spreadlove</t>
  </si>
  <si>
    <t xml:space="preserve"> فيحان عبيد </t>
  </si>
  <si>
    <t>pic.twitter.com/wA88xU56vH</t>
  </si>
  <si>
    <t>ROMANTİK DELİ</t>
  </si>
  <si>
    <t>Eyyyy aldğımız nefesin sahibi olan ALLAH’ım #BarışPınarıHarekatı nda Mazlumun yanında olup Zalimin karşısında dik duran #TurkishArmy zaferler nasib eyle... Çok amin...</t>
  </si>
  <si>
    <t>Amanda D</t>
  </si>
  <si>
    <t>@NikkiHaley @MegaOhmster So was working for Trump... Also, what do you know about Jared Kushner’s role in #JamalKhashoggi ‘s death? #tellthetruth</t>
  </si>
  <si>
    <t>...it's becoming clear for @realdonaldtrump ...that the only thing worse than losing the vote to Hillary Clinton, was winning it...</t>
  </si>
  <si>
    <t>pisiko teknik durumu : AŞK'la saklanbaç oynayıp çocukluğunu yadediyor... + 30:)</t>
  </si>
  <si>
    <t>ﺭﺍﺷﺪ ﺍﻟﺮﻓﺎﻋﻲ</t>
  </si>
  <si>
    <t>أ. نايف الحربي: إعلامي وكاتب صحفي : لايزال سلوك ايران عدواني  - جمال خاشقجي #خاشقجي #عام_على_اغتيال_جمال</t>
  </si>
  <si>
    <t>pic.twitter.com/ojP1HuRnOw</t>
  </si>
  <si>
    <t>Okan Bekdaş</t>
  </si>
  <si>
    <t>Kurban olduğum yaradan tüm askerlerimizi korusun. Allah yardımcımız olsun. #TurkishArmy #BarisPinariHarekati</t>
  </si>
  <si>
    <t>https://pbs.twimg.com/media/EGcUp8-WoAAlizn.jpg</t>
  </si>
  <si>
    <t xml:space="preserve"> ﻫﺰﺍﻉ ﺍﻟﻌﺮﻳﻔﻲ</t>
  </si>
  <si>
    <t>pic.twitter.com/87FEoIFqxR</t>
  </si>
  <si>
    <t>Türkiye,İstanbul,ÜMRANİYE</t>
  </si>
  <si>
    <t>'Mustafa Kemal Atatürk'' -Sivil Hava Ulaştırma İşletmeciliği II ✈️ BLMYO</t>
  </si>
  <si>
    <t xml:space="preserve">    الزقلي</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</si>
  <si>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#JamalKhashoggi #قطر</t>
  </si>
  <si>
    <t>pic.twitter.com/ya4IGiDN2c</t>
  </si>
  <si>
    <t>سلمان  العمري</t>
  </si>
  <si>
    <t>محلل قناة ٢٤ سعودي الفضائية د. عمر عبدالستار في نيران ايران : قد يسقط نظام ايران النووي.. قبل سقوط نظام ايران الثوري  #خاشقجي #تركيا</t>
  </si>
  <si>
    <t>pic.twitter.com/Wz8I7KMJyu</t>
  </si>
  <si>
    <t>⳨ⳙⲅⲕⲁⲛ ꓓⳙⲩⳋⳙ</t>
  </si>
  <si>
    <t>Geç oldu ama güç olmayacak! Tüm şehitlerimizin intikamını almaya geldik! #BarisPinariHarekati #TurkishArmy #BarisPinari</t>
  </si>
  <si>
    <t>https://pbs.twimg.com/media/EGcUoobWwAAcjvF.jpg</t>
  </si>
  <si>
    <t xml:space="preserve"> زيد المسيندي</t>
  </si>
  <si>
    <t>د. عدنان محمد : تركيا هي السوق الأكثر استهلاكا و إنتاجا للأخبار الكاذبة و المزيفة في العالم.  - جمال خاشقجي #JamalKhashoggi #قطر</t>
  </si>
  <si>
    <t>Alparslan’ın,Osman Gazi’nin,Yavuz Sultan Selim’in,Fatih Sultan Mehmet’in,Sultan Abdulhamit’in,Atatürk’ün Torunu,RTE Destekçisi,Müslüman TC Vatandaşı🇹🇷𐱅𐰼𐰇𐰰</t>
  </si>
  <si>
    <t>pic.twitter.com/D45M7wQ0y9</t>
  </si>
  <si>
    <t>Kasva</t>
  </si>
  <si>
    <t>#BarışPınarıHarekati #BarisPinari #TurkishArmy #BarisPinariHarekati #OperationPeaceSpring #carsamba 🇹🇷🇹🇷🇹🇷🇹🇷🇹🇷🇹🇷🇹🇷🇹🇷🇹🇷🇹🇷🇹🇷🇹🇷🇹🇷🇹🇷🇹🇷🇹🇷🇹🇷🇹🇷🇹🇷🇹🇷🇹🇷🇹🇷🇹🇷🇹🇷🇹🇷🇹🇷🇹🇷🇹🇷🇹🇷🇹🇷🇹🇷🇹🇷🇹🇷🇹🇷🇹🇷🇹🇷🇹🇷🇹🇷🇹🇷🇹🇷🇹🇷🇹🇷🇹🇷🇹🇷🇹🇷🇹🇷🇹🇷🇹🇷🇹🇷🇹🇷🇹🇷🇹🇷🇹🇷🇹🇷🇹🇷🇹🇷🇹🇷🇹🇷🇹🇷🇹🇷🇹🇷🇹🇷🇹🇷🇹🇷🇹🇷🇹🇷🇹🇷🇹🇷🇹🇷🇹🇷🇹🇷🇹🇷🇹🇷🇹🇷🇹🇷🇹🇷🇹🇷🇹🇷🇹🇷🇹🇷🇹🇷🇹🇷🇹🇷🇹🇷🇹🇷🇹🇷🇹🇷🇹🇷🇹🇷</t>
  </si>
  <si>
    <t>Yaz dostum... Yoksul görsen besle kaymak bal ile Garipleri giydir ipek şal ile Öksüz görsen sar kanadın kolunu Kimse göçmez bu dünyadan mal ile</t>
  </si>
  <si>
    <t>عبدالله الدوسري</t>
  </si>
  <si>
    <t>pic.twitter.com/qsITmZL1eE</t>
  </si>
  <si>
    <t>Sadettin Nazik</t>
  </si>
  <si>
    <t>Allah yar ve yardımcımız olsun. 🇹🇷 #TurkishArmy #BarışPınarıHarekatı</t>
  </si>
  <si>
    <t xml:space="preserve"> ﺳﻌﻴﺪ ﺁﻝ ﻗﻨﻴﻨﻪ</t>
  </si>
  <si>
    <t>د. عثمان البريكان : ما تقوم به قطر بإستقبالها الإيرانيين المنتمين لنظام إرهابي ورفعها لعلم اسرائيل في الدوحة ينافي كل القيم الإنسانية والإسلامية .  - جمال خاشقجي #JamalKhashoggi #تركيا</t>
  </si>
  <si>
    <t>pic.twitter.com/5IPKDFf7Kc</t>
  </si>
  <si>
    <t>demet ☀️</t>
  </si>
  <si>
    <t>Selo kurtarsana piçlerini selo #TurkishArmy</t>
  </si>
  <si>
    <t>adın yazılacak mücevher taşa</t>
  </si>
  <si>
    <t>https://instagram.com/demetpolatt/</t>
  </si>
  <si>
    <t xml:space="preserve">  محصان منور </t>
  </si>
  <si>
    <t>pic.twitter.com/RjOzXMuOSj</t>
  </si>
  <si>
    <t>Mustafa</t>
  </si>
  <si>
    <t>Vur Türklük aşkına vur 🇹🇷 #TurkishArmy #BarisPinariHarekati</t>
  </si>
  <si>
    <t>Yenimahalle, Türkiye</t>
  </si>
  <si>
    <t>(:</t>
  </si>
  <si>
    <t>Adnaan el-Karam</t>
  </si>
  <si>
    <t>pic.twitter.com/fKgEAeqY3U</t>
  </si>
  <si>
    <t>Ilnomevabenecosì</t>
  </si>
  <si>
    <t>@BBCBreaking #Syria invaded by #TurkishArmy</t>
  </si>
  <si>
    <t>Humanities &amp; Science University👨‍🏫🎓 ”Giustizia mosse il mio alto fattore”. Blocco i troll!</t>
  </si>
  <si>
    <t xml:space="preserve">  ابراهيم الزيلعي </t>
  </si>
  <si>
    <t>د. عثمان البريكان : تركيا تدعي انها تحارب الارهاب و داعش وهم في الأساس يتحركون من خلالها .  - جمال خاشقجي #خاشقجي #عام_على_رحيل_جمال</t>
  </si>
  <si>
    <t>pic.twitter.com/6WQgGCBlyK</t>
  </si>
  <si>
    <t>yılmaz</t>
  </si>
  <si>
    <t>Turan eller var olsun... #TurkishArmy #BarisPinariHarekati</t>
  </si>
  <si>
    <t>https://pbs.twimg.com/media/EGcUlnsWwAMT7df.jpg</t>
  </si>
  <si>
    <t xml:space="preserve"> عبدالسلام  اليماني</t>
  </si>
  <si>
    <t>pic.twitter.com/YxZVt7DfVU</t>
  </si>
  <si>
    <t>🇹🇷🇹🇷🇹🇷🇹🇷 ♥💛 GALATASARAY</t>
  </si>
  <si>
    <t>Emre Aksu</t>
  </si>
  <si>
    <t>Gazamız mübarek olsun, bu ülke bir günde kurulmadı bir günde yıkılmaz #BarisPinari #TurkishArmy #BarışPınarıHarekati #OperationPeaceSpring</t>
  </si>
  <si>
    <t xml:space="preserve">  عيسى  الصبيحي </t>
  </si>
  <si>
    <t>pic.twitter.com/ZkoDR10ME8</t>
  </si>
  <si>
    <t>Eleştirel_im</t>
  </si>
  <si>
    <t>Kılıcınız keskin olsun Mete Han'ın Torunları! #BarışPınarıHarekati #OperationPeaceSpring #TurkishArmy</t>
  </si>
  <si>
    <t>pic.twitter.com/peJMOmiv26</t>
  </si>
  <si>
    <t xml:space="preserve"> احمد الاسمري</t>
  </si>
  <si>
    <t>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#تركيا</t>
  </si>
  <si>
    <t>pic.twitter.com/OxmdUfhVhu</t>
  </si>
  <si>
    <t>Herkesin bir gün ölecek olması... Bundan başka adalet yok ve sonsuza kadar da olmayacak. 🇹🇷</t>
  </si>
  <si>
    <t>Merve İlhan</t>
  </si>
  <si>
    <t>Bu bayrak zafer görmüş bayraktır. Sen mağlup etme Allah'ım! Allah ordumuzu muzaffer eylesin. #TurkishArmy #BarışPınarıHarekati</t>
  </si>
  <si>
    <t>https://pbs.twimg.com/media/EGcUlfcWkAEHucY.jpg</t>
  </si>
  <si>
    <t>müstakbel damat</t>
  </si>
  <si>
    <t>Vur şanlı silahinla gönül mülkü düzelsin, sen öldürüyorken de vuruyorken de güzelsin. #TurkishArmy #BarisPinariHarekati #BarisPinari #</t>
  </si>
  <si>
    <t>محمد جمعه</t>
  </si>
  <si>
    <t>د. عبد الله الرفاعي: لا زال اردوغان ونظامه يُمارسون العبث السياسي الذي بدء يدفع ثمنه الداخل التركي.  - جمال خاشقجي #JamalKhashoggi #تركيا</t>
  </si>
  <si>
    <t>pic.twitter.com/AuQIDpNbZK</t>
  </si>
  <si>
    <t>https://pbs.twimg.com/media/EGcUlxMWwAUIvsv.jpg</t>
  </si>
  <si>
    <t>Düzce, Türkiye</t>
  </si>
  <si>
    <t>Bin Cihana Değişmem,şu öksüz Türk'lüğümü🤘</t>
  </si>
  <si>
    <t>Shaahir al-Shaikh</t>
  </si>
  <si>
    <t>pic.twitter.com/URH3evh29b</t>
  </si>
  <si>
    <t>Selahattin SAĞLAM 🇹🇷</t>
  </si>
  <si>
    <t>ALLAH tekdir, ordusu TÜRK’dür.! 🇹🇷🇹🇷 #BarisPinariHarekati #TurkishArmy</t>
  </si>
  <si>
    <t>https://pbs.twimg.com/media/EGcUluiXkAEcqI5.jpg</t>
  </si>
  <si>
    <t>İstanbul, Hatay</t>
  </si>
  <si>
    <t>🇨🇾 🇪🇬 🇯🇵 🇯🇴 🇷🇸 🇲🇦 🇹🇳 🇸🇬 ✈️ 🌎</t>
  </si>
  <si>
    <t>علي السعيدي</t>
  </si>
  <si>
    <t>pic.twitter.com/aSNZ8qE6cE</t>
  </si>
  <si>
    <t>Hala Öğrenci</t>
  </si>
  <si>
    <t>@bisimit Barış Pınarı Harekatımız başta Suriye’li kardeşlerimiz olmak üzere bütün mazlumlara barış huzur getirsin. Rabbim cephedeki askerimize polisimize çakıl taşı değdirmesin inşâAllah. #operationspringsofpeace #BarisPinari #TurkishArmy #OperationPeaceSpring</t>
  </si>
  <si>
    <t>https://pbs.twimg.com/media/EGcRd0sW4AAXkKS.jpg</t>
  </si>
  <si>
    <t>Çekmeköy-İstanbul</t>
  </si>
  <si>
    <t>حماد الحربي</t>
  </si>
  <si>
    <t>Zor iştir hayatı insan gibi yaşamak, zor iştir insana insan gibi bakmak... Bildiklerin gördüklerinden ibaret ama her şeyi görebiliyor musun..</t>
  </si>
  <si>
    <t>أ. نايف الحربي: إعلامي وكاتب صحفي: ايران دولة ليست موثوقة .. ولا أحد يثق فيها .  - جمال خاشقجي #خاشقجي #عام_على_رحيل_خاشقجي</t>
  </si>
  <si>
    <t>pic.twitter.com/DuCfe31hWM</t>
  </si>
  <si>
    <t>SANIR7</t>
  </si>
  <si>
    <t>#OperationPeaceSpring #BarışPınarıHarekatı #TurkishArmy</t>
  </si>
  <si>
    <t>pic.twitter.com/mFKMmxJpve</t>
  </si>
  <si>
    <t xml:space="preserve">خالد بن سعيد </t>
  </si>
  <si>
    <t>اللواء متقاعد د. شامي الظاهري : الجناح الرئيسي لـ ايران هم الحوثيين ، إذا كسِر هذا الجناح ستضعف إيران كثيراً .  - جمال خاشقجي #JamalKhashoggi #تركيا</t>
  </si>
  <si>
    <t>pic.twitter.com/h0LYjedcaN</t>
  </si>
  <si>
    <t>Nabeeh al-Shabazz</t>
  </si>
  <si>
    <t>pic.twitter.com/wqwaAE23b8</t>
  </si>
  <si>
    <t>Arc</t>
  </si>
  <si>
    <t>#OperationPeaceSpring #TurkishArmy #TurkMilletiOrdusununYanındadır</t>
  </si>
  <si>
    <t>أ. نايف الحربي: إعلامي وكاتب صحفي: المملكة أعطت الأدلة والبراهين للمجتمع الدولي بأن ايران خطر على اقتصاد وأمن العالم .  - جمال خاشقجي #خاشقجي #قطر</t>
  </si>
  <si>
    <t>pic.twitter.com/PZkV10EsNv</t>
  </si>
  <si>
    <t>İzmir, Turkey</t>
  </si>
  <si>
    <t>https://open.spotify.com/user/11142184149?si=GRvGv2xfQPi8q6PASAwBUQ</t>
  </si>
  <si>
    <t>http://Instagram.com/arifkucukak</t>
  </si>
  <si>
    <t>Marca</t>
  </si>
  <si>
    <t>@DonaldJTrumpJr @IvankaTrump accepted blood money from the Clown Prince who had #JamalKhashoggi murdered.</t>
  </si>
  <si>
    <t>here</t>
  </si>
  <si>
    <t>You just needed to pay attention; I've been hiding in plain site. 🇨🇦 Blocked by @RogMillions...who IS he, though?</t>
  </si>
  <si>
    <t>davutmert</t>
  </si>
  <si>
    <t>Şanlı Türk Milletinin Şanlı Ordusu, Allah ayağınıza taş değdirmesin.. gazanız mübarek olsun. Siz orda biz burda kalplerimiz dualarımız sizin olsun. Allah yar ve yardımcınız olsun.. #TurkishArmy #BarisPinari f-16 #BarisPinariHarekati</t>
  </si>
  <si>
    <t>علي العمري99</t>
  </si>
  <si>
    <t>pic.twitter.com/h7VVT9SR53</t>
  </si>
  <si>
    <t>girişimci olma yolunda aday farklı düşüncelere sahip idealist vazgecmeyen sadık Fenerbahçeli her defasında yeniden deneyen eşine sevdalı kız cocugu babası</t>
  </si>
  <si>
    <t xml:space="preserve"> سلطان سعييد </t>
  </si>
  <si>
    <t>أتصال/ العميد د. سمير راغب: رئيس المؤسسة العربية للتنمية والدراسات الاستراتيجية – القاهرة:ايران لن تكتفي بما فعلت داخل العراق .. فقامت بدفع الخلايا النائمة لإشعال حرب أهلية في العراق .  #JamalKhashoggi #تركيا</t>
  </si>
  <si>
    <t>pic.twitter.com/Kmx8aqd51v</t>
  </si>
  <si>
    <t>SeyithanTuran⚡️⚡️⚡️</t>
  </si>
  <si>
    <t>#BarışPınarıHarekati Allah yardımcınız olsun #TurkishArmy</t>
  </si>
  <si>
    <t>https://pbs.twimg.com/media/EGcUjS5X0AA_He7.jpg</t>
  </si>
  <si>
    <t>محمد العسكر 25</t>
  </si>
  <si>
    <t>Çekmeköy, İstanbul</t>
  </si>
  <si>
    <t>Akparti Çekmeköy Belediye Meclis Üyesi</t>
  </si>
  <si>
    <t>pic.twitter.com/IHrbj8gRp6</t>
  </si>
  <si>
    <t xml:space="preserve">  منصور راشد </t>
  </si>
  <si>
    <t>pic.twitter.com/pBJ11zZ2z7</t>
  </si>
  <si>
    <t>Kaan</t>
  </si>
  <si>
    <t>Allah yardımcımız olsun, utandırmasın. #TurkishArmy #BarisPinari</t>
  </si>
  <si>
    <t>حنان العقاب</t>
  </si>
  <si>
    <t>şaşan beşer</t>
  </si>
  <si>
    <t>pic.twitter.com/8qwL1FoYHQ</t>
  </si>
  <si>
    <t>FURKAN</t>
  </si>
  <si>
    <t>"Sana secde eden ordularına yenilgi gösterme Allah'ım..." #OperationPeaceSpring #TurkishArmy #BarisPinari #BarisPinariHarekati</t>
  </si>
  <si>
    <t>https://pbs.twimg.com/media/EGcUh-FXUAA-b-S.jpg</t>
  </si>
  <si>
    <t>خالد الوابل</t>
  </si>
  <si>
    <t>The foreign ministry of the Republic of Turkey. YA BAKÎ,ENTEL BAKÎ..</t>
  </si>
  <si>
    <t>pic.twitter.com/Clcj0KxCBk</t>
  </si>
  <si>
    <t>Kadir Aksu</t>
  </si>
  <si>
    <t>Dualarımız şanlı Türk askerimizle .Allah yar ve yardımcınız olsun 🇹🇷 #BarisPinariHarekati #TurkishArmy #</t>
  </si>
  <si>
    <t>🦷</t>
  </si>
  <si>
    <t>http://tr.bionik-dental.info</t>
  </si>
  <si>
    <t>#barispinariharekati</t>
  </si>
  <si>
    <t>Son Dakika ! #BarisPinariHarekati #BarisPinari #TurkishArmy #OperationPeaceSpring 🇹🇷🇹🇷🇹🇷Obüslerimizle vuruyoruz.</t>
  </si>
  <si>
    <t xml:space="preserve"> حسين عشوي</t>
  </si>
  <si>
    <t>محلل قناة ٢٤ سعودي الفضائية صباح الخزاعي في بصريح العبارة : ارتباط دبلوماسيين إيرانيين بمخطط الهجوم على مباراة كرة القدم في كأس العالم عام 2016م في ألبانيا  #JamalKhashoggi #تركيا</t>
  </si>
  <si>
    <t>https://pbs.twimg.com/media/EGcTkU2VUAAuPL8.jpg</t>
  </si>
  <si>
    <t>pic.twitter.com/YI4lFN2Z8A</t>
  </si>
  <si>
    <t>#barispinari #turkisharmy #barispinariharekati</t>
  </si>
  <si>
    <t xml:space="preserve"> ممدوح ابا بطين </t>
  </si>
  <si>
    <t>pic.twitter.com/4bgUuTWvBG</t>
  </si>
  <si>
    <t xml:space="preserve"> مؤيد  تركي </t>
  </si>
  <si>
    <t>اتصال هاتفي من: أ. محمد الحلفي – محلل سياسي – الرياض. عندما انكشف مُخطط قناة الجزيرة بدأ الظهور لأذرعها الإعلامية لتبث سمومها في المنطقة وخصوصاً ضد المملكة  - جمال خاشقجي #خاشقجي #عام_على_رحيل_خاشقجي</t>
  </si>
  <si>
    <t>pic.twitter.com/eV8g5U5vAc</t>
  </si>
  <si>
    <t>anlamayanadam</t>
  </si>
  <si>
    <t>Allah Mehmetçiğimizin ayağına taş değdirmesin #BarisPinari #TurkishArmy #CivilWar</t>
  </si>
  <si>
    <t>https://pbs.twimg.com/media/EGcUer6X0AEdKih.jpg</t>
  </si>
  <si>
    <t xml:space="preserve"> مشرف العنزي</t>
  </si>
  <si>
    <t>أ. سامي المرشد: المال القطري أنفق بسخاء على الإرهاب والعصابات وتهييج الشعوب .  - جمال خاشقجي #خاشقجي #قطر</t>
  </si>
  <si>
    <t>pic.twitter.com/vrXNh8QJE1</t>
  </si>
  <si>
    <t>TÜRKİYE</t>
  </si>
  <si>
    <t>@Karaca</t>
  </si>
  <si>
    <t>AHHH ŞU ÇILGIN TÜRKLER 😎 #OperationPeaceSpring #turkmilletiordusununyaninda #BarışPınarıHarekati #TurkishArmy</t>
  </si>
  <si>
    <t>عبد الهادي اسماعيل</t>
  </si>
  <si>
    <t>محلل قناة ٢٤ سعودي الفضائية د. عمر عبدالستار في نيران ايران : لم تكن الحملة المجنونة على السعودية من أجل خاشقجي بقدر ما كانت ضد سياسة السعودية في مواجهة ايران و الجماعات المتطرفة  #خاشقجي #عام_على_رحيل_جمال</t>
  </si>
  <si>
    <t>pic.twitter.com/YHMRH9NY62</t>
  </si>
  <si>
    <t>pic.twitter.com/HvhnRVvgg0</t>
  </si>
  <si>
    <t>Vatan gibiyim.... Ya Sev 🇹🇷 Ya Terk et 🇹🇷 Yavru hesap @YAZ__KARACA</t>
  </si>
  <si>
    <t>Kamaal el-Salek</t>
  </si>
  <si>
    <t>pic.twitter.com/cmtGyKJUbG</t>
  </si>
  <si>
    <t xml:space="preserve"> نافل بن طلاع</t>
  </si>
  <si>
    <t>أ. نايف الحربي: إعلامي وكاتب صحفي: المملكة أعطت الأدلة والبراهين للمجتمع الدولي بأن ايران خطر على اقتصاد وأمن العالم .  - جمال خاشقجي #خاشقجي #عام_على_رحيل_جمال</t>
  </si>
  <si>
    <t>pic.twitter.com/EON8sXYThW</t>
  </si>
  <si>
    <t>Türkay Shinji</t>
  </si>
  <si>
    <t>#TurkishArmy RT @1parcatuhaftik: #BarışPınarıHarekatı - #TurkishArmy - #BarışPınarı🇹🇷</t>
  </si>
  <si>
    <t>https://twitter.com/1parcatuhaftik/status/1181935776319365120
https://twitter.com/tcsavunma/status/1181935432625528832</t>
  </si>
  <si>
    <t>Keşan, Edirne</t>
  </si>
  <si>
    <t>ADÜ-SBF</t>
  </si>
  <si>
    <t>http://Bjk.com.tr</t>
  </si>
  <si>
    <t>Ülkü Yağız</t>
  </si>
  <si>
    <t>Kahraman Türk ordusu yolun açık Allah yar ve yardımcın olsun 🇹🇷Ya istiklal ya ölüm! #BarisPinariHarekati #TurkishArmy</t>
  </si>
  <si>
    <t>Ibrahim el-Din</t>
  </si>
  <si>
    <t>http://Instagram.com/ulkuygz</t>
  </si>
  <si>
    <t>pic.twitter.com/f5nxmZYTye</t>
  </si>
  <si>
    <t>Mustafa Balıca</t>
  </si>
  <si>
    <t>Millet harekatın başlangıcını televizyonlardan yada yetkililerden öğrenir, bizler ise Sosyal medyamıza yapılan erişim engeli ile öğreniyoruz. Yine kesin birşeyler olacak düşüncesi ile. Gerçekten amacınız nedir? +++ #BarışPınarıHarekatı #TurkishArmy</t>
  </si>
  <si>
    <t>ﻧﺎﺻﺮ ﺍﻟﺮﻓﻴﻖ</t>
  </si>
  <si>
    <t>د. محمد الحلفي : باحث في التاريخ الحديث : قامت قناة الجزيرة من اجل تفكيك المجتمعات العربية وإثارة الفوضى في المنطقة.  #JamalKhashoggi #قطر</t>
  </si>
  <si>
    <t>pic.twitter.com/wz20eGnAyx</t>
  </si>
  <si>
    <t>Dilma Arends Geerman</t>
  </si>
  <si>
    <t>@realDonaldTrump @DonaldJTrumpJr .. #TurkishArmy is now committing #Genocide thanks to financial interests@of the Trump family, just like #Turkey did it with #Armenians over a 100 years ago! @IvankaTrump @EricTrump . How does it feel to be responsible for #slaughter? @Franklin_Graham</t>
  </si>
  <si>
    <t xml:space="preserve"> سعيد ال الحارث</t>
  </si>
  <si>
    <t>pic.twitter.com/YNpYkci8ZD</t>
  </si>
  <si>
    <t>Aruba</t>
  </si>
  <si>
    <t>Journalist and writer, mother of four and a mountainbiking fanatic. Inspired by nature. Blocked by #JerryFalwellJr.,#GeertWilders #EdHenry of @FoxNews.🤷🏻‍♀️</t>
  </si>
  <si>
    <t xml:space="preserve">  جمعان العمري</t>
  </si>
  <si>
    <t>Dünya Bülteni</t>
  </si>
  <si>
    <t>Türkiye sınır ötesinde 30 kilometrelik derinliğe kadar terörist temizliği yapılacak #BarışPınarıHarekatı #TurkishArmy</t>
  </si>
  <si>
    <t>pic.twitter.com/gL6eSxEhfT</t>
  </si>
  <si>
    <t>https://www.dunyabulteni.net/dis-politika/turkiye-sinir-otesinde-30-kilometrelik-derinlige-kadar-terorist-temizligi-yapilacak-h450624.html</t>
  </si>
  <si>
    <t>https://pbs.twimg.com/media/EGcUa27X0AAFLZp.jpg</t>
  </si>
  <si>
    <t>Zuhair al-Farid</t>
  </si>
  <si>
    <t>pic.twitter.com/LzpbU46xMq</t>
  </si>
  <si>
    <t>Dünya'nın Gündemi, Dünya Bülteni'nde: Haber Analiz - Dünya Basını - Makale Yorum - Türkiye - Kültür Sanat - Dosya - Dubam - Ekonomi - Ortadoğu - Tarih Dosyası</t>
  </si>
  <si>
    <t>http://www.dunyabulteni.net</t>
  </si>
  <si>
    <t>İ.F.C</t>
  </si>
  <si>
    <t>Ve nihayet beklenen zafere giden yoldayız. Bu milletin onuru, şanı ve şerefi olan muzaffer ordu seferde.. insanlığın düşmanı, emperyalizmin maşası terörizme karşı bir harekat bu. #BarisPinariHarekati #TurkishArmy</t>
  </si>
  <si>
    <t>Norwich</t>
  </si>
  <si>
    <t>سلطان السلطان</t>
  </si>
  <si>
    <t>ihanetin manası gördüklerimizi tanımlamaz.. herşeye rağmen feraset ve iman sayesinde millet ve devlet ayaktayız..</t>
  </si>
  <si>
    <t>pic.twitter.com/nm7q4tUsfG</t>
  </si>
  <si>
    <t>Recep Cihan</t>
  </si>
  <si>
    <t>#BarışPınarıHarekati ya bir durun daha yeni başladık. #TurkishArmy #BarisPinari #TuerkMilletiOrdusununYanında #TürkMilletiOrdusununYanında</t>
  </si>
  <si>
    <t>https://pbs.twimg.com/media/EGcUbolW4AIudQa.jpg</t>
  </si>
  <si>
    <t>مزعل السعيد</t>
  </si>
  <si>
    <t>Ebru Sanatı ve Halk Oyunları Eğitmeni Spiker/Sunucu Müşkülpesent</t>
  </si>
  <si>
    <t>pic.twitter.com/HrXIXMd05z</t>
  </si>
  <si>
    <t>Mir - Alay</t>
  </si>
  <si>
    <t>بسم الله الرحمن الرحيم 🏵️نصر من الله و فتح قريبٌ🏵️ 🏵️و بشر الصابرين🏵️ Bismillahirrahmanirrahim Nasrun Minallahi Ve Fethun Garib VebeşşiriSabirin Senin için Allahtan bir Yardım ve Fetih var.Sabr edenlere Müjdeler olsun. #BarisPinari #TurkishArmy #BarisPinariHarekati #سوريا</t>
  </si>
  <si>
    <t>https://pbs.twimg.com/media/EGcUbQ4XoAArnAV.jpg</t>
  </si>
  <si>
    <t>فاطمه الدوسري</t>
  </si>
  <si>
    <t>pic.twitter.com/5V39m8P6CJ</t>
  </si>
  <si>
    <t>Gölgelerin üzerimize geldiği en zor zamanlarda bile güneşin doğuşuna binlerce kez şahit olduk. #AslaYalnızYürümeyeceksinRTE #Follow▪️#Follow #Unf▪️#Unf 🐈#Gt</t>
  </si>
  <si>
    <t>http://www.Akparti.com.tr</t>
  </si>
  <si>
    <t xml:space="preserve"> تركي هزاع</t>
  </si>
  <si>
    <t>pic.twitter.com/4ItfJRlxdI</t>
  </si>
  <si>
    <t>Konyaspormaniaa💚ATATÜRK💚</t>
  </si>
  <si>
    <t>Savaşa hayır çığırtkanlığı yapan mamacı gürüha gelsin bu fotoğraf. Savaşa değil intikam almaya, ezmeye gidiyor Mehmetçik !! #TurkishArmy #BarisPinariHarekati #PeaceSpringOperation</t>
  </si>
  <si>
    <t>https://pbs.twimg.com/media/EGcUatJWkAEdmyt.jpg</t>
  </si>
  <si>
    <t>خديجه العمرى</t>
  </si>
  <si>
    <t>Fatih Kocaoglu</t>
  </si>
  <si>
    <t>Suriye Mevzusunu Yıllardır Söylüyoruz;Türkiye Cumhuriyeti Devleti Kuzey Irak’ın Rövanşını Alıyor.Allah Devletimize Ordumuza Milletimize Zeval Vermesin. #TurkishArmy #BarisPinariHarekati #OperationPeaceSpring</t>
  </si>
  <si>
    <t xml:space="preserve">Yeryüzü </t>
  </si>
  <si>
    <t>Milli Mukaddesatçı Demokrat Sivil Bir Anlayışı Olan Ülkücü ve Muhsin Yazıcıoğlu Talebesi.</t>
  </si>
  <si>
    <t>Hussain</t>
  </si>
  <si>
    <t>@andrewcbrown519 @wyliepro @DeanObeidallah @realDonaldTrump @foxandfriends You mean like #JamalKhashoggi ?</t>
  </si>
  <si>
    <t>Av. Pınar TURHANOĞLU</t>
  </si>
  <si>
    <t>Luanda</t>
  </si>
  <si>
    <t>Your remedy is within you, but you do not sense it. Your sickness is from you, but you do not perceive it. علي بن أبي طالب</t>
  </si>
  <si>
    <t>https://pbs.twimg.com/media/EGcUaYgXUAAcOJK.jpg</t>
  </si>
  <si>
    <t>Nawfal al-Arshad</t>
  </si>
  <si>
    <t>pic.twitter.com/H8ylSSWzZY</t>
  </si>
  <si>
    <t xml:space="preserve">Eskişehir </t>
  </si>
  <si>
    <t>Avukat/Yeter ki adalet yerini bulsun...</t>
  </si>
  <si>
    <t>Özal Çelik</t>
  </si>
  <si>
    <t>اللواء المتقاعد د. زايد العمري: خبير استراتيجي ومحلل سياسي: يشق علينا أن نراء الشعب القطري يمر بهذه التجربة المريرة الذي فرضها النظام القطري عليه .  - جمال خاشقجي #خاشقجي #عام_على_رحيل_خاشقجي</t>
  </si>
  <si>
    <t>Mehmetçiğimizin Kılıcı Keskin olsun İnşallah... #BarışPınarıHarekati #BarisPinari #سوريا #TurkishArmy</t>
  </si>
  <si>
    <t>pic.twitter.com/DaHDoBy7Dw</t>
  </si>
  <si>
    <t>Günsa A.Ş Yönetim Kurulu Başkanı</t>
  </si>
  <si>
    <t>Mehmet</t>
  </si>
  <si>
    <t>Gazamız mübarek olsun. Allah yar ve yardımcımız olsun. #BarisPinariHarekati #BarisPinari #TurkishArmy</t>
  </si>
  <si>
    <t>وليد السعدون</t>
  </si>
  <si>
    <t>Kütahya, Türkiye</t>
  </si>
  <si>
    <t>#engineer #work #ytü #dpü Kamu personeli karayolları(kgm) İnşaat mühendisi Şanlıurfa 🇹🇷</t>
  </si>
  <si>
    <t>Serhat Dirhem</t>
  </si>
  <si>
    <t>https://pbs.twimg.com/media/EGcUZHYX0AArQsX.jpg</t>
  </si>
  <si>
    <t>وجدان الزغيبي</t>
  </si>
  <si>
    <t>Kurt kışı geçirir ama yediği ayazı unutmazmış ..</t>
  </si>
  <si>
    <t>𝔅.𝔢𝔯𝔨𝔞𝔫</t>
  </si>
  <si>
    <t>Allah yâr ve yardımcımız olsun, askerimizin ayağına taş değdirmesin.. #BarışPınarıHarekati #TurkishArmy #BarisPinari #RecepTayyipErdogan #DevletBahceli 🇹🇷🤘🏻</t>
  </si>
  <si>
    <t>غازي  العتيبي</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</si>
  <si>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#خاشقجي #عام_على_رحيل_خاشقجي</t>
  </si>
  <si>
    <t>pic.twitter.com/3hVSGRgHTa</t>
  </si>
  <si>
    <t>https://pbs.twimg.com/media/EGcUZbMXYAEj-pK.jpg</t>
  </si>
  <si>
    <t>fıtness antrenörü 💪🏻 𐱅𐰼𐰇𐰰 🇹🇷</t>
  </si>
  <si>
    <t>Abdul Qadir Khattak</t>
  </si>
  <si>
    <t>ناصر السبهان</t>
  </si>
  <si>
    <t>@RTErdogan #TurkishArmy We stand with Turkey and Turkish army. May Allah Almighty give you success. 🇵🇰🇵🇰💪💪💪🇹🇷🇹🇷🇹🇷✌✌✌</t>
  </si>
  <si>
    <t>https://pbs.twimg.com/media/EGcUZVnWwAIju7g.jpg</t>
  </si>
  <si>
    <t>pic.twitter.com/ekEHlwHHaH</t>
  </si>
  <si>
    <t>پشاور, پاکستان</t>
  </si>
  <si>
    <t>Safety professional by profession. Love to see safe and secure Pakistan.</t>
  </si>
  <si>
    <t>فلاح الحربي</t>
  </si>
  <si>
    <t>pic.twitter.com/3odvfQdeFI</t>
  </si>
  <si>
    <t>عكاشه....(..حساب بديل..)</t>
  </si>
  <si>
    <t>It is important that this campaign is publicized in English and other languages. Equally important to take legal action. Activists have been arrested and possibly executed as a result of Twitter penetration #JamalKhashoggi was one of the victims #Change_Office_Twitter_Dubai</t>
  </si>
  <si>
    <t>https://pbs.twimg.com/media/EGY8r4oX0AEtZX4.jpg</t>
  </si>
  <si>
    <t>FD⚡️</t>
  </si>
  <si>
    <t>Sahi ota boka canlı yayın yapan , yorum yapan bir bayram şekeri kucaklayan bir belediye başkanı vardı.. ordumuz suriyeye giriyor , en cumhuriyetçi sosyalist adamlardan bile mesaj geliyor, kendisi kuma gömülmüş herhalde ..#TurkishArmy #BarisPinariHarekati</t>
  </si>
  <si>
    <t>‏‏اذا نطق السفيه فلا تجبه :: فخيرٌ من اجابته السكوتُ</t>
  </si>
  <si>
    <t>نوال آل إبراهيم</t>
  </si>
  <si>
    <t>Memleket Sevdalısı !!</t>
  </si>
  <si>
    <t>http://www.fenerbahce.org</t>
  </si>
  <si>
    <t>pic.twitter.com/PQn5nkPDah</t>
  </si>
  <si>
    <t>Salih UZUN</t>
  </si>
  <si>
    <t>operation peace spring explained in 10 step #TurkishArmy #BarisPinariHarekati #PeaceSpring</t>
  </si>
  <si>
    <t>سلمى الانصاري</t>
  </si>
  <si>
    <t>https://pbs.twimg.com/media/EGcUWTHWwAAp8-9.jpg</t>
  </si>
  <si>
    <t>pic.twitter.com/biv2edKJyW</t>
  </si>
  <si>
    <t>İstanbul - Pendik - Rize</t>
  </si>
  <si>
    <t>« 🇹🇷 »</t>
  </si>
  <si>
    <t>عبد الله العواجي</t>
  </si>
  <si>
    <t>Etki Reklam istanbul</t>
  </si>
  <si>
    <t>🇹🇷🇹🇷🇹🇷🇹🇷🇹🇷🇹🇷 Ordumuz olsun daim muzaffer. #TurkishArmy 💪💪💪</t>
  </si>
  <si>
    <t>pic.twitter.com/3JbPrGWgkd</t>
  </si>
  <si>
    <t>https://pbs.twimg.com/media/EGcUWF4WoAA_S1a.jpg</t>
  </si>
  <si>
    <t>Etki Açık Hava Reklamcılık / Outdoor Advertising /İstanbul Dijital Baskı Tabela Araç Giydirme Akaryakıt istasyonları merch uygulamalari</t>
  </si>
  <si>
    <t>http://www.etkireklamcilik.com</t>
  </si>
  <si>
    <t>jayshush</t>
  </si>
  <si>
    <t>Tackling Resident Evil Zero at 18:30 BST ish. I am terrible at the game. GG Come watch if you want  #twitch #TurkishArmy #WednesdayWisdom #IwonderifMyCrush #KnowsIStream #StreamerNetwork</t>
  </si>
  <si>
    <t>http://Twitch.tv/jayshush</t>
  </si>
  <si>
    <t>عبد الرحمن السديس</t>
  </si>
  <si>
    <t>pic.twitter.com/1Yy6MO7Tak</t>
  </si>
  <si>
    <t>Squadron Leader of Faze, recruiter of Ninja, a total weapon at gaming</t>
  </si>
  <si>
    <t>https://m.twitch.tv/jayshush/profile</t>
  </si>
  <si>
    <t xml:space="preserve"> عبدالرحمن العبدالحي</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</si>
  <si>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#خاشقجي #عام_على_اغتيال_جمال</t>
  </si>
  <si>
    <t>pic.twitter.com/BmEPJ8ERtg</t>
  </si>
  <si>
    <t>hAKKANiyet</t>
  </si>
  <si>
    <t>Unutmayalım ki; “Doların yeri dolar ama Vatanın yeri dolmaz!” Hiç bir hesabın insanın Memleketinden, Devletinden daha kıymetli olmadığına inanıyoruz. Âgâh olalım kardeşlerim! zira başka Türkiye yok... #BarışPınarıHarekati #TurkishArmy</t>
  </si>
  <si>
    <t>Size beğeneceğiniz şeyler söylemeye gelmedim.Size beğensenizde beğenmesenizde hakikati söylemeye geldim. MalcolmX MİLLETİN DİNİ İSLÂM, DEVLETİN DİNİ ADALETTİR</t>
  </si>
  <si>
    <t>منصور السلمان</t>
  </si>
  <si>
    <t>pic.twitter.com/sA0tMTiCJe</t>
  </si>
  <si>
    <t>ⓩⓤⓗⓐⓛ 🇹🇷</t>
  </si>
  <si>
    <t>"Türkiye'nin orada ne işi var diye soranlara seslenmek istiyorum, biz iki dakikada şu PKK'yı bitirip hemen geleceğiz, sonrasında da cevap vereceğiz." #SüleymanSoylu 👏 #BarışPınarıHarekati #TurkishArmy</t>
  </si>
  <si>
    <t>pic.twitter.com/nVcck2wxoU</t>
  </si>
  <si>
    <t>İstanbul ❤</t>
  </si>
  <si>
    <t>◽Ben söylediklerimden sorumluyum, anladıklarınızdan değil. (Lâ Edri)</t>
  </si>
  <si>
    <t xml:space="preserve"> رفاعي عواجي</t>
  </si>
  <si>
    <t>pic.twitter.com/OxbCYTyCzf</t>
  </si>
  <si>
    <t xml:space="preserve"> عيسى بن   جاسم</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</si>
  <si>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#قطر</t>
  </si>
  <si>
    <t>Mustafa Güleş</t>
  </si>
  <si>
    <t>🇹🇷Şu kopan fırtına Türk ordusudur yâ Rabbi. 🇹🇷Senin uğrunda ölen ordu, budur yâ Rabbi. 🇹🇷Tâ ki yükselsin ezanlarla müeyyed nâmın, 🇹🇷Galip et, çünkü bu son ordusudur İslâm'ın! #TurkishArmy #BarısPınarıHarekatı</t>
  </si>
  <si>
    <t>pic.twitter.com/rJSFJkAWY3</t>
  </si>
  <si>
    <t>Viranşehir, Şanlıurfa</t>
  </si>
  <si>
    <t>👮🏻‍♂️</t>
  </si>
  <si>
    <t>kadirşinasi</t>
  </si>
  <si>
    <t>Askerimizin ayağına taş değmesin. #BarışPınarıHarekati #TurkishArmy #BarisPinari #turkmilletiordusununyaninda</t>
  </si>
  <si>
    <t>https://pbs.twimg.com/media/EGcUVIyWsAM4uDT.jpg</t>
  </si>
  <si>
    <t>Atatürk Türkiye'si</t>
  </si>
  <si>
    <t>Turkiye'dir Galatasaray !!! 🇹🇷 Ne mutlu Türk'üm Diyene ! 🇹🇷</t>
  </si>
  <si>
    <t>Qais el-Zamani</t>
  </si>
  <si>
    <t>pic.twitter.com/YBeup2hG5L</t>
  </si>
  <si>
    <t xml:space="preserve"> ﻧﺎﺻﺮ ﻣﺴﺘﻮﺭ</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</si>
  <si>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#ايران #خاشقجي</t>
  </si>
  <si>
    <t>pic.twitter.com/nAx1EJm3jp</t>
  </si>
  <si>
    <t>PayingAttentionNY</t>
  </si>
  <si>
    <t>@LindseyGrahamSC Well, looks like your threats are useless, Sugar. Until the disloyal Trump is out of office and off the World Stage, the USA has zero credibility. Thanks for that, Senator. The slaughter of Christians and Kurds is on you. #TurkishArmy #RemoveTrump #TurkeylsNotOurFriend</t>
  </si>
  <si>
    <t>New York, USA</t>
  </si>
  <si>
    <t>A grandma afraid for her kids' futures. Trump has infected the planet. This isn't who we are. MAGA not welcome and will be blocked. #Impeachment #Resistance</t>
  </si>
  <si>
    <t xml:space="preserve"> عبدالله الشرفي </t>
  </si>
  <si>
    <t>pic.twitter.com/VHoD9MAG6v</t>
  </si>
  <si>
    <t xml:space="preserve"> ﻓﻴﺎﺽ ﺍﻟﺸﻤﺮﻱ</t>
  </si>
  <si>
    <t>أ. نايف الحربي: إعلامي وكاتب صحفي: الإعلام السعودي أخرص الإعلام القطري والتركي .  - جمال خاشقجي #JamalKhashoggi #قطر</t>
  </si>
  <si>
    <t>pic.twitter.com/hD05cWqGDF</t>
  </si>
  <si>
    <t>Ali Öztürk</t>
  </si>
  <si>
    <t>https://pbs.twimg.com/media/EGcUUTQXUAAxscI.jpg</t>
  </si>
  <si>
    <t>مسلم الإبراهيم</t>
  </si>
  <si>
    <t>pic.twitter.com/AUtcaMarBl</t>
  </si>
  <si>
    <t>PhD Candidate @Gazi_Universite Previously @BilkentUniv @UniOfExeter</t>
  </si>
  <si>
    <t>OfluAlbyrk</t>
  </si>
  <si>
    <t>Allah'ın Aslanları Geliyor! 🇹🇷 #BarışPınarıHarekati #TurkishArmy</t>
  </si>
  <si>
    <t>pic.twitter.com/JaYFsR9YEQ</t>
  </si>
  <si>
    <t>İstanbul /fatih</t>
  </si>
  <si>
    <t>http://instagram.com/lutfullah.albyrk</t>
  </si>
  <si>
    <t>قاسم الفريح</t>
  </si>
  <si>
    <t>pic.twitter.com/50ZbDzC14z</t>
  </si>
  <si>
    <t>ulun ucin #KuvayıMilliye</t>
  </si>
  <si>
    <t>Şu fotoğrafı al as evine, dükkanına, okullara.Ordu millet Türk'ün tanımı gibi kare ;) #TurkishArmy</t>
  </si>
  <si>
    <t>https://pbs.twimg.com/media/EGcUT6zX0AIQtIx.jpg</t>
  </si>
  <si>
    <t>Jihaad al-Chahine</t>
  </si>
  <si>
    <t>Türk’ün gücünü göreceksiniz 🇹🇷</t>
  </si>
  <si>
    <t>Galip Kartal</t>
  </si>
  <si>
    <t>Rabbim güç, kuvvet, dirayet versin. Yolunuz bahtınız açık olsun. #Turkisharmy</t>
  </si>
  <si>
    <t>English Language n Literature @ SDU glpkrtl@gmail.com -- insta: glpkrtl</t>
  </si>
  <si>
    <t xml:space="preserve"> حباب الشمري</t>
  </si>
  <si>
    <t>pic.twitter.com/B0IJiusASP</t>
  </si>
  <si>
    <t>ﻋﺒﺪﺍﻟﻠﻪ ﺍﻟﻐﺎﻣﺪﻱ</t>
  </si>
  <si>
    <t>Yunus</t>
  </si>
  <si>
    <t>Haydi Ya Allah Bismillah🇹🇷🇹🇷🇹🇷 #BarışPınarıHarekati #TurkishArmy</t>
  </si>
  <si>
    <t>pic.twitter.com/lJjrGDoy9l</t>
  </si>
  <si>
    <t>https://pbs.twimg.com/media/EGcUR2nXUAEnnWb.jpg</t>
  </si>
  <si>
    <t>‏‏اییلگڭ تربەسنە تربەدار اولدی ایی عارف نهاد آسیە</t>
  </si>
  <si>
    <t>mert</t>
  </si>
  <si>
    <t>Barış Pınarı Operasyonu başladı. Resulaynda Türk Hava kuvvetleri 5 Noktayı vurdu. Allah ordumuzu muzaffer eylesin. Sefer Bizden, Zafer ALLAH tan. 🇹🇷 #TurkishArmy #BarışPınarıHarekatı</t>
  </si>
  <si>
    <t>🇹🇷 Bir Umuttur Yaşamak 🇹🇷 🇹🇷Beşiktaş 🇹🇷</t>
  </si>
  <si>
    <t>ياسر أبوهلالة</t>
  </si>
  <si>
    <t>Zişan Akboğa</t>
  </si>
  <si>
    <t>Allah yar ve yardımcımız olsun 🤲🏻 #BarisPinariHarekati #TurkishArmy RT @uzunabdurrahman: Gün birlik olma günüdür ahali! Gün kendini dünyanın patronu sanan küstahlara karşı hep birlikte ''dağılın ulan mekanın sahibi geldi'' deme günüdür. #BarışPınarıHarekatı #TürkMilletiOrdusununYanında</t>
  </si>
  <si>
    <t>https://twitter.com/uzunabdurrahman/status/1181579053045813250</t>
  </si>
  <si>
    <t>الدوحة, دولة قطر</t>
  </si>
  <si>
    <t>كاتب وصحفي، عمل مديرا لقناة الجزيرةColumnist and journalist.Former Managing director of Aljazeera</t>
  </si>
  <si>
    <t>pic.twitter.com/lsOlurAuol</t>
  </si>
  <si>
    <t>Gıda mühendisi</t>
  </si>
  <si>
    <t xml:space="preserve">   عبدالله المحيسني</t>
  </si>
  <si>
    <t>pic.twitter.com/ScmW9gn1cl</t>
  </si>
  <si>
    <t>Furkan Tosun</t>
  </si>
  <si>
    <t>Ya Allah Bismillah Allah-u Ekber ! #TurkishArmy #BarisPinari #BarisPinariHarekati #carsamba #BarısPınarlarıHarekatı #turkmilletiordusununyaninda #BarisPinariHarekati #Turksilahlıkuvvetleri #vurmehmedim #TrumpdanDostOlmaz #ABD #PKK_PYD_YPG</t>
  </si>
  <si>
    <t>https://pbs.twimg.com/media/EGcUQvFXUAQcavF.jpg</t>
  </si>
  <si>
    <t>28.06 ELAZIĞ</t>
  </si>
  <si>
    <t>HACI AHMET ŞİMŞEK</t>
  </si>
  <si>
    <t>ZAFER İNANANLARINDIR VE TÜRK MİLLETİ'NİNDİR. 🇹🇷🇰🇿🇦🇿🇺🇿🇹🇲🇰🇬 #BarisPinariHarekati #TurkishArmy #BarisPinari #DoğruyaDoğru</t>
  </si>
  <si>
    <t>https://pbs.twimg.com/media/EGcUQlUXkAIGFpN.jpg</t>
  </si>
  <si>
    <t xml:space="preserve"> محمد  السبيعي</t>
  </si>
  <si>
    <t>اللواء متقاعد د. شامي الظاهري : تنظيم الإخوان هو المحرك الأساسي للدولتين قطر و تركيا .  - جمال خاشقجي #JamalKhashoggi #تركيا</t>
  </si>
  <si>
    <t>AKADEMİSYEN / Selçuk Üniversitesi #DoğruyaDoğru</t>
  </si>
  <si>
    <t>pic.twitter.com/UvfdX1AHoI</t>
  </si>
  <si>
    <t>mef'ûlü mefâîlü</t>
  </si>
  <si>
    <t>Vur şanlı silahınla gönül mülkü düzelsin Sen öldürüyorken de vururken de güzelsin! #BarisPinariHarekati #TurkishArmy</t>
  </si>
  <si>
    <t>https://pbs.twimg.com/media/EGcUP9cWoAYgc8L.jpg</t>
  </si>
  <si>
    <t>Türk Dili ve Edebiyatı Öğretmeni 📸hasanngul7 ANTALYASPOR 🔴⚪</t>
  </si>
  <si>
    <t>Fahreneitz</t>
  </si>
  <si>
    <t>https://pbs.twimg.com/media/EGcUOnCWkAEUo1Q.jpg</t>
  </si>
  <si>
    <t>Nizaam al-Imam</t>
  </si>
  <si>
    <t>Türk milleti zekidir !!!</t>
  </si>
  <si>
    <t>Waseem al-Jama</t>
  </si>
  <si>
    <t>pic.twitter.com/we4mixyRu5</t>
  </si>
  <si>
    <t>Fatma Çakır</t>
  </si>
  <si>
    <t>Korkaklıkta ar İlerlemekte şeref var #TurkishArmy #BarisPinari</t>
  </si>
  <si>
    <t>https://pbs.twimg.com/media/EGcUP4EXoAEhGXk.jpg</t>
  </si>
  <si>
    <t>Biz bağıracağız, birileri hiç, duymayacak, hep aynı hikaye, duyanlara selam olsun...</t>
  </si>
  <si>
    <t xml:space="preserve"> ﺳﻌﻴﺪ ﺍﻟﺰﻫﻴﺮﻱ</t>
  </si>
  <si>
    <t>pic.twitter.com/D6lRmkj9SF</t>
  </si>
  <si>
    <t>hatun</t>
  </si>
  <si>
    <t>İmandan gelen vatan sevdasıyla yoğrulmuş yiğitler geliyor dillerinde tekbir arkalarında elleri semadan inmeyen milletiyle geliyor ! Ya Allah Bismillah ! Rabbim sen zafer nasip eyle ! 🇹🇷🇹🇷🇹🇷 #TurkishArmy #BarisPinariHarekati</t>
  </si>
  <si>
    <t xml:space="preserve">  بجاد  القحطاني</t>
  </si>
  <si>
    <t>yeni hesaptan sa // omü</t>
  </si>
  <si>
    <t>د. عدنان محمد : مكاتب قناة الجزيرة في البلدان هي وكر للتجسس وزرع الخلايا التي تريد نشر الفوضى.  - جمال خاشقجي #JamalKhashoggi #السعودية</t>
  </si>
  <si>
    <t>pic.twitter.com/wbObE4Q8P1</t>
  </si>
  <si>
    <t>Oktar 𐰸𐱃𐰺</t>
  </si>
  <si>
    <t>Aspanda Bürküt, Jerde Kökbörü bol! #TurkishArmy</t>
  </si>
  <si>
    <t xml:space="preserve"> ابراهيم الرشيدي</t>
  </si>
  <si>
    <t>Mareşal Gazi Başbuğ Mustafa Kemal Atatürk'ün izinde Türk milliyetçisi - 𐱅𐰇𐰼𐰜 - Fenerbahçeli - Ne mutlu Türk'üm diyene!</t>
  </si>
  <si>
    <t>https://Instagram.com/rasimoktar/</t>
  </si>
  <si>
    <t>pic.twitter.com/rOvbGtDveb</t>
  </si>
  <si>
    <t>Mücahit</t>
  </si>
  <si>
    <t>Akçakale'de operasyon sürerken sokakta: Domates, biber, patlıcan diye bağıran seyyar satıcı kardeşim seni de kutlarım.😂 İşte böyle bir milletiz😂😂 #BarisPinariHarekati #TurkishArmy</t>
  </si>
  <si>
    <t>اهﻻوي ملكي انا</t>
  </si>
  <si>
    <t>pic.twitter.com/3dFUDsfvux</t>
  </si>
  <si>
    <t>RTE'nı sevmeyenler gelmesin. Gümüşhane</t>
  </si>
  <si>
    <t>أنثرك يا شعري من حساسي حـروف حبٍ لمعشـوق الجماهيـر الأهلـي كيـان شامـخ للبطـولات معـروف قلعة كـؤوس ولعبهـا نـار تغلـي</t>
  </si>
  <si>
    <t>شاكر ال رسلان</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</si>
  <si>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#خاشقجي #قطر</t>
  </si>
  <si>
    <t>pic.twitter.com/5ijRhBGcYc</t>
  </si>
  <si>
    <t>Gökhan Yılmaz</t>
  </si>
  <si>
    <t>Mehmetciğimizin Kılına Zarar Gelmesin #TurkishArmy #BarisPinariHarekati #BarisPinari #Reis</t>
  </si>
  <si>
    <t>https://pbs.twimg.com/media/EGcUMgEWkAEsTwy.jpg</t>
  </si>
  <si>
    <t xml:space="preserve">نعيم ضافي </t>
  </si>
  <si>
    <t>pic.twitter.com/cSGJgoyLer</t>
  </si>
  <si>
    <t xml:space="preserve"> محمد  المحارب</t>
  </si>
  <si>
    <t>Zeynep Aydın</t>
  </si>
  <si>
    <t>أ. هاني الحجي: التقاسم العثماني الصفوي على العالم العربي بدأ بين ايران و تركيا .  #ايران #خاشقجي</t>
  </si>
  <si>
    <t>Türk askerinin yolu açık olsun. Sağ salim yurdumuza hainleri temizleyip dönecekler inşallah🙏Gururumuzsunuz 🇹🇷🇹🇷 #BarisPinariHarekati #TurkishArmy</t>
  </si>
  <si>
    <t>pic.twitter.com/Q7Aj9o2V17</t>
  </si>
  <si>
    <t>geological engineer</t>
  </si>
  <si>
    <t>Samet Just Semet</t>
  </si>
  <si>
    <t>Allah yolunuza yar olsun yiğitler. #BarisPinariHarekati #BarisPinari #TurkishArmy</t>
  </si>
  <si>
    <t>https://pbs.twimg.com/media/EGcULgmXUAExDmL.jpg</t>
  </si>
  <si>
    <t>pic.twitter.com/b9XhYgbfwb</t>
  </si>
  <si>
    <t>Türkiye,Ankara</t>
  </si>
  <si>
    <t>Mustafa Kemal is an immortal hero ! Age 21.</t>
  </si>
  <si>
    <t>Sancak𐰰𐰼𐰇𐱅</t>
  </si>
  <si>
    <t>Hergün birinizi, birgün hepinizi gömeceğiz derken şaka etmiyorduk. #TurkishArmy #Türksilahlıkuvvetleri #BarısPınarıHarekatı</t>
  </si>
  <si>
    <t>https://pbs.twimg.com/media/EGcUMBQXkAEm3YJ.jpg</t>
  </si>
  <si>
    <t>Amanda Sokal</t>
  </si>
  <si>
    <t>@realDonaldTrump says he’ll obliterate the economy of Turkey if they do anything out of line. The problem is, he doesn’t consider anything out of line. #SaudiArabia murdered #JamalKhashoggi and the US did nothing. The #Kurds don’t stand a chance.</t>
  </si>
  <si>
    <t>ÖtügenliBozkurt</t>
  </si>
  <si>
    <t>DAĞLARA GEL DAĞLARA ft. PÖH-JÖH DÜETİ :) http://youtu.be/1irLSMOJVlU TSK</t>
  </si>
  <si>
    <t>Edmonton, Alberta</t>
  </si>
  <si>
    <t>Proud Witch, Nasty Woman, diehard NDP supporter, and 1 of the funniest people I've ever been related to. The views expressed are mine and mine alone 🌈</t>
  </si>
  <si>
    <t xml:space="preserve"> راشد  العبداللطيف </t>
  </si>
  <si>
    <t>أ. نايف الحربي: إعلامي وكاتب صحفي: من يضع يده بيد طهران و أنقرة سيجد الخراب والدمار .  - جمال خاشقجي #خاشقجي #عام_على_رحيل_خاشقجي</t>
  </si>
  <si>
    <t>ÇRKZ BÇR</t>
  </si>
  <si>
    <t>Türk beklenendir 🇹🇷 #BarisPinariHarekati #BarisPinari #TurkishArmy</t>
  </si>
  <si>
    <t>pic.twitter.com/mSnBe5BXR2</t>
  </si>
  <si>
    <t>https://pbs.twimg.com/media/EGcUHQPWoAE3YZ9.jpg</t>
  </si>
  <si>
    <t>Köln, Deutschland</t>
  </si>
  <si>
    <t>Varlığım , " 𐱅𐰇𐰼𐰜 " varlığına armağan olsun ! Ne Mutlu Türk'üm diyene 🇹🇷</t>
  </si>
  <si>
    <t>طلال العنزي</t>
  </si>
  <si>
    <t>Alper</t>
  </si>
  <si>
    <t>Bir gece ansızın gelebiliriz demiştik ama Tüm dünya görsün diye gündüz girdik! Sağ salim gidin sağ salim gelin #TurkishArmy #BarışPınarıHarekati</t>
  </si>
  <si>
    <t>pic.twitter.com/oNPFsHcQqu</t>
  </si>
  <si>
    <t>https://pbs.twimg.com/media/EGcUKt2XYAAqvKx.jpg</t>
  </si>
  <si>
    <t>Eskişehir/Karabük</t>
  </si>
  <si>
    <t>Biraz serseri biraz da deli :) | KBÜ</t>
  </si>
  <si>
    <t>http://instagram.com/alpeerrkaplan</t>
  </si>
  <si>
    <t>أسماء العصيمي</t>
  </si>
  <si>
    <t>pic.twitter.com/JvMQsA6IIS</t>
  </si>
  <si>
    <t>Yüksel</t>
  </si>
  <si>
    <t>ﻋﻤﻴﺮ ﺍﻟﻌﻮﻓﻲ</t>
  </si>
  <si>
    <t>اللواء المتقاعد د. زايد العمري: خبير استراتيجي ومحلل سياسي: يشق علينا أن نراء الشعب القطري يمر بهذه التجربة المريرة الذي فرضها النظام القطري عليه .  - جمال خاشقجي #JamalKhashoggi #السعودية</t>
  </si>
  <si>
    <t>pic.twitter.com/Yg1O19oRgY</t>
  </si>
  <si>
    <t>Salih Baykal Osmanoğlu صالح پشا</t>
  </si>
  <si>
    <t>Infaz Timi Yakıyor Şimdi sıra Sizede Gelecek Turkiyede Yaşayan Teröristler.... #hdpkk #hdp #TurkishArmy #BarisPinari #carsamba #BarisPinariHarekati #ölüm</t>
  </si>
  <si>
    <t>https://pbs.twimg.com/media/EGcUKRnXYAABPxu.jpg</t>
  </si>
  <si>
    <t xml:space="preserve"> خالد العنزي</t>
  </si>
  <si>
    <t>د. عثمان البريكان : ما تقوم به قطر بإستقبالها الإيرانيين المنتمين لنظام إرهابي ورفعها لعلم اسرائيل في الدوحة ينافي كل القيم الإنسانية والإسلامية .  - جمال خاشقجي #خاشقجي #تركيا</t>
  </si>
  <si>
    <t>pic.twitter.com/Ffrj69tPjm</t>
  </si>
  <si>
    <t>Türkiye İstanbul  " 🇹🇷</t>
  </si>
  <si>
    <t>Siyaset Hak Susmaz!! Hakikat Susmaz!! İçimizdeki!! Hürriyet Sevdası Bitmez..! Osmanlıyım.</t>
  </si>
  <si>
    <t>https://www.instagram.com/salihbaykalosmanoglu/</t>
  </si>
  <si>
    <t>حسن الزهراني</t>
  </si>
  <si>
    <t>pic.twitter.com/euEU6U32Wa</t>
  </si>
  <si>
    <t>Sevil özoğlu</t>
  </si>
  <si>
    <t>Allah Mehmetçiklerimizin yar ve yardımcısı olsun, ordumuzu muzaffer kılsın! Devletimiz ve milletimiz ebed müddet var olsun! #BarisPinariHarekati #TurkishArmy #TürkMilletiOrdusununYanında</t>
  </si>
  <si>
    <t>Nevi şahsına münhasır, müebbet Türk Milliyetçisi, Öğretmen 🇹🇷</t>
  </si>
  <si>
    <t>رده الحارثي</t>
  </si>
  <si>
    <t>pic.twitter.com/HdEo5ls3hR</t>
  </si>
  <si>
    <t>Osman Uyanik</t>
  </si>
  <si>
    <t>Zâfer ve Cennet bize yazılmıştır 🇹🇷🇹🇷 #TurkishArmy #BarisPinariHarekati #turkmilletiordusununyaninda #PeaceSpring</t>
  </si>
  <si>
    <t>pic.twitter.com/t0WHTmZwPG</t>
  </si>
  <si>
    <t>رقيه السالم</t>
  </si>
  <si>
    <t>S A D E C E B E Ş İ K T A Ş</t>
  </si>
  <si>
    <t>pic.twitter.com/36cgmCfXwL</t>
  </si>
  <si>
    <t>DavamızTürkiye</t>
  </si>
  <si>
    <t>Yeşil kalem lazım çok acil :) #TurkishArmy #OperationPeaceSpring #BarışPınarıHarekatı #BarışPınarı</t>
  </si>
  <si>
    <t>Bu Hesapta Saygı Çerçevesinde Analiz, Yorum ve Kişisel Görüş Mevcuttur. Hepsi Şahsi Görüşümdür. Sadece Bir Türkiye Sevdalısı. TR/FR/EN</t>
  </si>
  <si>
    <t xml:space="preserve"> زهير العتيبي</t>
  </si>
  <si>
    <t>pic.twitter.com/hWWW8bY7Dp</t>
  </si>
  <si>
    <t>امام الخبيري</t>
  </si>
  <si>
    <t>عاجل و 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#عام_على_رحيل_جمال</t>
  </si>
  <si>
    <t>pic.twitter.com/qmO8nKIioL</t>
  </si>
  <si>
    <t>🇹🇷 M E R T 🇹🇷</t>
  </si>
  <si>
    <t>Yüreğimiz Kahraman Türk Ordusu ile beraber çarpıyor! 🇹🇷 #BarisPinari #BarisPinariHarekati #OperationPeaceSpring #TürkMilletiOrdusununYanında #TurkishArmy</t>
  </si>
  <si>
    <t>https://pbs.twimg.com/media/EGcUHfeXYAIJuVQ.jpg</t>
  </si>
  <si>
    <t>Mustafa Kemal ATATÜRK</t>
  </si>
  <si>
    <t>Metin</t>
  </si>
  <si>
    <t>Clear the way! #TurkishArmy is mad as hell 🇹🇷 #BarisPinari 💪</t>
  </si>
  <si>
    <t>/30</t>
  </si>
  <si>
    <t>No doubt! Allah told the truth</t>
  </si>
  <si>
    <t xml:space="preserve"> عبدالرحمن  الطويلعي</t>
  </si>
  <si>
    <t>Celal ŞEKERCİ</t>
  </si>
  <si>
    <t>Ya Bismillah.... #TurkishArmy #BarisPinari #BarisPinariHarekati</t>
  </si>
  <si>
    <t>pic.twitter.com/qoCxIrwmWk</t>
  </si>
  <si>
    <t>Derin'in Babası👨‍👧 Vatansever🇹🇷🇹🇷🇹🇷</t>
  </si>
  <si>
    <t>Mehmet Garip Ateş</t>
  </si>
  <si>
    <t>Rabbim, Türk İslam Ordusunu Muzaffer Kılsın İnşallah. #TurkishArmy #BarisPinari #BarisPinariHarekati</t>
  </si>
  <si>
    <t>https://pbs.twimg.com/media/EGcUAxsXYAA1m7V.jpg</t>
  </si>
  <si>
    <t>عبيد اللحيدان</t>
  </si>
  <si>
    <t>pic.twitter.com/aBUgOYjLq9</t>
  </si>
  <si>
    <t>Ak Parti Haliliye Gençlik Kolları Başkan Yardımcısı/HRÜ İklimlendirme ve Soğutma / Anadolu üniversitesi Maliye</t>
  </si>
  <si>
    <t xml:space="preserve">   منصور الهوميل</t>
  </si>
  <si>
    <t>Enquetes TV</t>
  </si>
  <si>
    <t>Quem Fica ? @afazendarecord #JaPensou #FelizAniversarioAny #PesadeloNaCozinha #AFazendaa11 #ProvaDoFazendeiro #FicaThayse #FicaTulio #ForaThayse #ForaTulio #Bomdia #MaisVoce #StrayKidsComeback #TurkishArmy #9Octubre #DoubleKnot #jokerquotes #BBB20 #JaPensou #TeamSergioMoro</t>
  </si>
  <si>
    <t>pic.twitter.com/VsmjKQqeti</t>
  </si>
  <si>
    <t>نوف مسفر</t>
  </si>
  <si>
    <t>alphathreefour</t>
  </si>
  <si>
    <t>Av sezonu başladı #TurkishArmy #BarisPinariHarekati</t>
  </si>
  <si>
    <t>https://pbs.twimg.com/media/EGcUDvUWwAU6EDt.jpg</t>
  </si>
  <si>
    <t>Part time gentleman, full time warrior.</t>
  </si>
  <si>
    <t>HughSykes</t>
  </si>
  <si>
    <t>. In memoriam: #JamalKhashoggi Memo to: @MbSofKSA @RoyalSaudiNews @Prince___Salman: This Will Never Go Away RT @james_carroll: “This book is the result of my spending 30 years as a journalist, writing it on behalf of a journalist who can’t.” Moving words from @jrug at launch of The Killing In The Consulate this evening. @Hatchards</t>
  </si>
  <si>
    <t>https://twitter.com/james_carroll/status/1181637288457052160</t>
  </si>
  <si>
    <t>Haberoloji</t>
  </si>
  <si>
    <t>#BarışPınarıHarekatı | YPG Nusaybin'i vurduğunu iddia ediyor. #SONDAKİKA - #TurkishArmy - #BarışPınarı🇹🇷</t>
  </si>
  <si>
    <t>https://pbs.twimg.com/media/EGYE2QoXUAA7t3v.jpg</t>
  </si>
  <si>
    <t>📻🎥BBC correspondent &amp; presenter since 1974. Views my own, tweets sometimes contrarian. RTs for info &amp; interest. Image: Near Muzaffarabad, Kashmir.</t>
  </si>
  <si>
    <t>فرج القثامي</t>
  </si>
  <si>
    <t>عوض الطلحي</t>
  </si>
  <si>
    <t>Cake Station</t>
  </si>
  <si>
    <t>Barış Pınarı harekatı başladı. Sefer bizim Zafer Allah'ındır. #BarisPinari #TurkishArmy</t>
  </si>
  <si>
    <t>https://pbs.twimg.com/media/EGcUDcxWkAECNBa.jpg</t>
  </si>
  <si>
    <t>مطلق الفايز</t>
  </si>
  <si>
    <t>pic.twitter.com/D41lQJVHcp</t>
  </si>
  <si>
    <t>🍰The Flavor is Waiting For You</t>
  </si>
  <si>
    <t>http://www.cakestation.com.tr</t>
  </si>
  <si>
    <t xml:space="preserve"> ﻧﺎﻳﻒ ﻣﺴﻔﺮ </t>
  </si>
  <si>
    <t>pic.twitter.com/PswIvjprem</t>
  </si>
  <si>
    <t>سعد الغنام</t>
  </si>
  <si>
    <t>AFGAN HABER</t>
  </si>
  <si>
    <t>Barış Pınarı Harekatı başladı « 🤲 #BarışPınarıHarekati , #BarisPinari , #OperationPeaceSpring , #TurkishArmy , #SONDAKİKA , #TurkeyIsOurFriend , #Turkey #AFGAN #HABER</t>
  </si>
  <si>
    <t>pic.twitter.com/9Kev9hc6a0</t>
  </si>
  <si>
    <t>https://afganhaber.com/4395/</t>
  </si>
  <si>
    <t>https://pbs.twimg.com/media/EGcUB30XYAIU8Rq.jpg</t>
  </si>
  <si>
    <t xml:space="preserve">  هلا ل المنصوري</t>
  </si>
  <si>
    <t>محلل قناة ٢٤ سعودي الفضائية د. عماد الدين الجبوري في سجال خاص : منذ عام 1979م والمسؤولون الإيرانيون يرفعون شعار الموت لأمريكا..ثم يرسلون أبناءهم إلى "الشيطان الأكبر"!!  - جمال خاشقجي #JamalKhashoggi #قطر</t>
  </si>
  <si>
    <t>Elazığ Turkey</t>
  </si>
  <si>
    <t>pic.twitter.com/y2IilTfcb8</t>
  </si>
  <si>
    <t>#SonDakika #Afganistan Haberleri Afganistan ilk ve tek Türkçe haber portalı</t>
  </si>
  <si>
    <t>https://afganhaber.com</t>
  </si>
  <si>
    <t>Marco Cesario</t>
  </si>
  <si>
    <t>Iniziata operazione esercito turco nel NE della Siria "Sorgente di Pace". Bombardamenti sulla città curda di #RasalAyn, panico della popolazione civile. Attacco dell'artiglieria turca a posizioni #YPG a #TellAbiad #twitterkurd #TurkishArmy #Kurdistan #SaveRojava #SDF #YPG</t>
  </si>
  <si>
    <t>https://pbs.twimg.com/media/EGcUB1pXUAEaSgF.png</t>
  </si>
  <si>
    <t>خليل الأذى</t>
  </si>
  <si>
    <t>Paris</t>
  </si>
  <si>
    <t>Giornalista, scrittore, filosofo @Linkiesta, @valigiablu , @atlanticomag @Artventuno @tpi, @pagina_99, @_MicroMega_ Books: Medin http://bit.ly/2HSoVnJ</t>
  </si>
  <si>
    <t>http://www.marcocesario.it/</t>
  </si>
  <si>
    <t>جولة الباطل ساعة وجولة الحق إلى قيام الساعة</t>
  </si>
  <si>
    <t>غانم الغانم</t>
  </si>
  <si>
    <t>pic.twitter.com/4ZmFWyeXKq</t>
  </si>
  <si>
    <t>إبراهيم العياف</t>
  </si>
  <si>
    <t>pic.twitter.com/sjwEF1mDNB</t>
  </si>
  <si>
    <t>ERKAN DOĞAN</t>
  </si>
  <si>
    <t>Hücum diye bir ses duydum ilk önce, Sonra ALLAH ALLAH dedi Mehmedim💪💪💪🇹🇷🇹🇷🇹🇷🇹🇷 #OperationPeaceSpring #TurkishArmy #Türkmilletiordusununyanında</t>
  </si>
  <si>
    <t xml:space="preserve"> ياسر  الجابري</t>
  </si>
  <si>
    <t>فيديوجرافيكس .. انتهاكات قناة الجزيرة القطرية وسقوطها المهني والأخلاقي .  - جمال خاشقجي #خاشقجي #عام_على_رحيل_خاشقجي</t>
  </si>
  <si>
    <t>Kişi,sevdiğinin ahlâkıyla ahlâklanır.*Bu,sevenin elinde değildir;sevgi bunu icâp ettirir.İmam Rabbânî</t>
  </si>
  <si>
    <t>pic.twitter.com/PYB00rNF2z</t>
  </si>
  <si>
    <t>Mustafa ılacudos🔥😎🔥🇹🇷🇹🇷🇹🇷🇹🇷</t>
  </si>
  <si>
    <t>Gazamız mübarek ola......🇹🇷 🇹🇷Kızılelma: Vatan ne Türkiyedir Türklere, ne Türkistan Vatan, büyük ve müebbet bir ülkedir Türklere turan.🇹🇷 #TurkishArmy #BarışPınarıHarekatı RT @RTErdogan: Barış Pınarı Harekatı ile, Ülkemize yönelik terör tehdidini bertaraf edeceğiz. Oluşturacağımız GÜVENLİ BÖLGE sayesinde Suriyeli sığınmacıların ülkelerine dönmelerini sağlayacağız. Suriye'nin toprak bütünlüğünü koruyacak, tüm bölge halkını terörün pençesinden kurtaracağız.</t>
  </si>
  <si>
    <t>https://twitter.com/RTErdogan/status/1181920482964250624</t>
  </si>
  <si>
    <t>مرضي العلي</t>
  </si>
  <si>
    <t>pic.twitter.com/h9Ryf4pUtT</t>
  </si>
  <si>
    <t>kendi halinde bir mustafa😎🇹🇷 takip takip % 100 GT</t>
  </si>
  <si>
    <t xml:space="preserve"> ﻇﺎﻓﺮ ﺍﻟﻘﺸﻴﺮﻱ</t>
  </si>
  <si>
    <t>pic.twitter.com/SCuFEIv4Kf</t>
  </si>
  <si>
    <t>Sabri Yılmaz</t>
  </si>
  <si>
    <t>#TurkishArmy #BarisPinariHarekati Camilerde Fetih Suresi okunacak</t>
  </si>
  <si>
    <t>https://m.ensonhaber.com/camilerde-fetih-suresi-okunacak.html</t>
  </si>
  <si>
    <t> محمد العثمان</t>
  </si>
  <si>
    <t>pic.twitter.com/DnckfhCdTD</t>
  </si>
  <si>
    <t>Bu ezanlar, ki şehadetler dinimin temeli, Ebedî, yurdumun üstünde benim inlemeli. 𝕃𝕒̂ 𝕋𝕒𝕙𝕫𝕖𝕟 İ𝕟𝕟𝕒𝕝𝕝𝕒̂𝕙𝕖 𝕄𝕖𝕒̂𝕟𝕒</t>
  </si>
  <si>
    <t>★☆★METİN★☆★</t>
  </si>
  <si>
    <t>Her Türk vatansever olmadığı gibi, her Kürt'de Pkk'lı değildir.. #TurkishArmy #BarisPinariHarekati RT @_kartal_goz_: Sınır hattında bir köyde Kürt anamızın operasyona katılan askerimize sözleri; Onları EZİN..!!! #BarisPinariHarekati #TurkishArmy</t>
  </si>
  <si>
    <t>https://twitter.com/_kartal_goz_/status/1181933884684083202</t>
  </si>
  <si>
    <t>علي العطيشان</t>
  </si>
  <si>
    <t>pic.twitter.com/zDPpm1l8yw</t>
  </si>
  <si>
    <t>pic.twitter.com/K5XSOBO9jN</t>
  </si>
  <si>
    <t xml:space="preserve">Beylikdüzü İstanbul </t>
  </si>
  <si>
    <t>Bizi hep Beşiktaş sevdamızdan bildiler. ⚫⚪ Bir halden anlamaz cahile kul eyledi zaman bizi.✌</t>
  </si>
  <si>
    <t xml:space="preserve">  زيد  البواردي</t>
  </si>
  <si>
    <t>هام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#تركيا</t>
  </si>
  <si>
    <t>pic.twitter.com/7CFNx1u7GJ</t>
  </si>
  <si>
    <t xml:space="preserve">مناع القرني </t>
  </si>
  <si>
    <t>د. عبد الرحمن العناد: ما يُغيظ الاعلام القطري المُعادي ان الاعلام السعودي قام بكشف ما يقومون به من مشاريع تخريبية في المنطقة.  - جمال خاشقجي #خاشقجي #تركيا</t>
  </si>
  <si>
    <t>pic.twitter.com/ThHoth29GO</t>
  </si>
  <si>
    <t>Basagut</t>
  </si>
  <si>
    <t>ALLAH TÜRK ORDUSUNU KORUSUN 🇹🇷 #OperationPeaceSpring #BarisPinari #TurkishArmy #BarisPinariHarekati</t>
  </si>
  <si>
    <t>خليفه الحبشي</t>
  </si>
  <si>
    <t>https://pbs.twimg.com/media/EGcT_iKXYAEW1pr.jpg</t>
  </si>
  <si>
    <t>Basagut Resmi Hesabı / İnstagram : Basagut / Youtube : http://goo.gl/G4i2KT (reklamsız) 📍 Haber ( News ) / İstihbarat ( Intelligence)</t>
  </si>
  <si>
    <t>http://instagram.com/Basagut</t>
  </si>
  <si>
    <t>نايف العساف</t>
  </si>
  <si>
    <t>pic.twitter.com/g0lbFJlrS1</t>
  </si>
  <si>
    <t>TGB Köln</t>
  </si>
  <si>
    <t>#SONDAKİKA Kahraman Mehmetçiğimiz, Türkiye ve Suriye'nin toprak bütünlüğü için ABD uzantısı terör örgütleri PKK/YPG ve IŞİD'e karşı #BarışPınarıHarekatı'nı başlattı. Canımızla, kanımızla yanınızdayız! 🇹🇷🇹🇷 #TurkishArmy</t>
  </si>
  <si>
    <t>https://pbs.twimg.com/media/EGcT_HOX0AQuEKX.jpg</t>
  </si>
  <si>
    <t>تركي علي</t>
  </si>
  <si>
    <t>العميد متقاعد. حسن الشهري: قناة الجزيرة تستهدف الشعب السعودي منذ عام 96 وعندما فشلت انتقلت إلى صف الأعداء .  - جمال خاشقجي #JamalKhashoggi #السعودية</t>
  </si>
  <si>
    <t>pic.twitter.com/Tt6mTsz2so</t>
  </si>
  <si>
    <t>Türkiye Gençlik Birliği Köln | Papageienstraße 46, 51063 Köln</t>
  </si>
  <si>
    <t>http://www.facebook.de/tgbkoeln</t>
  </si>
  <si>
    <t xml:space="preserve"> حامد مندورة</t>
  </si>
  <si>
    <t>تقرير / الجبير: إيران "دولة عدائية" وعليها احترام سيادة الآخرين .  - جمال خاشقجي #خاشقجي #عام_على_رحيل_خاشقجي</t>
  </si>
  <si>
    <t>Cihad Bulut ⚡️</t>
  </si>
  <si>
    <t>“Mehmetçik, Türk'ün, ruhunu İslâm nuruyla dolduruşundan sonra, İslâm potasında eriyerek İslâm kalıbına döküp bülurlaşarak darphâneden çıkma has altınlar gibi insanlık pazarına döktüğü, ferdiyet üstü millî ve içtimaî vâhid...” NFK #BarışPınarıHarekatı #TurkishArmy</t>
  </si>
  <si>
    <t>pic.twitter.com/dBfe3BJe06</t>
  </si>
  <si>
    <t>pic.twitter.com/qf96ueWAtH</t>
  </si>
  <si>
    <t>خالد العريفي</t>
  </si>
  <si>
    <t>İslam Milliyetçisi</t>
  </si>
  <si>
    <t>pic.twitter.com/1uMXIDqzBi</t>
  </si>
  <si>
    <t>Hamza Naser</t>
  </si>
  <si>
    <t>#TurkishArmy yo guys go ahead and fuck them all up ✌🏼✌🏼</t>
  </si>
  <si>
    <t xml:space="preserve"> شبيب الشوملي</t>
  </si>
  <si>
    <t>د. عدنان محمد: من يتواجد ويعمل على قناة الجزيرة غالبهم لديهم جنسيات إسرائيلية .  - جمال خاشقجي #خاشقجي #تركيا</t>
  </si>
  <si>
    <t>Newfoundland and Labrador</t>
  </si>
  <si>
    <t>Biggest mistake we all make is believing we’ll always have more time .. You only live once.</t>
  </si>
  <si>
    <t>pic.twitter.com/c29gUxAiqa</t>
  </si>
  <si>
    <t>http://www.instagram.com/hamz7naser</t>
  </si>
  <si>
    <t>علي الرضوي</t>
  </si>
  <si>
    <t>pic.twitter.com/gtLyfwHDx6</t>
  </si>
  <si>
    <t>نايف العتيبي</t>
  </si>
  <si>
    <t>pic.twitter.com/fQeUh9zvE3</t>
  </si>
  <si>
    <t>missk8</t>
  </si>
  <si>
    <t>@HoarseWisperer here's your periodic reminder that approximately 50 of America’s nuclear weapons are stationed at Incirlik Air Base in Turkey - just 70 miles from the Syrian border. WHAT. COULD. GO. WRONG. #Genocide #TurkishArmy #WednesdayThoughts</t>
  </si>
  <si>
    <t>محمد الردادي</t>
  </si>
  <si>
    <t>holding it down in ohio</t>
  </si>
  <si>
    <t>likes and retweets ARE actually endorsements. why not? say what you mean. stand by it. doesn't matter anyway. no one is accountable. everything is broken.</t>
  </si>
  <si>
    <t>كأب الحمده</t>
  </si>
  <si>
    <t>ADANALI</t>
  </si>
  <si>
    <t>#BarışPınarıHarekati #TurkishArmy #TuerkMilletiOrdusununYanında Dualarımız Türk Ordusu ile. Allah yâr ve yardımcınız olsun, tırnağınıza taş değmesin inşallah. 🇹🇷🇹🇷🇹🇷🇹🇷🇹🇷🇹🇷🇹🇷🇹🇷</t>
  </si>
  <si>
    <t>https://pbs.twimg.com/media/EGcT7oaWoAQDzg-.jpg</t>
  </si>
  <si>
    <t>Satürn yaylası</t>
  </si>
  <si>
    <t>Apolitik sıradan vatandaş.</t>
  </si>
  <si>
    <t>http://yokoylebirsey.com</t>
  </si>
  <si>
    <t xml:space="preserve"> محمد  مرزوق</t>
  </si>
  <si>
    <t>د. أنور مالك :"كتاب أوراق قطر"أشار إلى أن موظفاً كبيراً في السفارة القطرية في باريس، يقوم بدور بارز في تسهيل الإمدادات المالية في إطار صناعة النفوذ في قطر، عبر شبكات تابعة لتنظيم الإخوان  - جمال خاشقجي #ايران #خاشقجي</t>
  </si>
  <si>
    <t>pic.twitter.com/tzNiAWH2Ro</t>
  </si>
  <si>
    <t>BEŞÜZZİ</t>
  </si>
  <si>
    <t>Barış Pınarı harekatı başladı. Milletin gücü ve duları sizlerle olsun! #BarisPinari #TurkishArmy</t>
  </si>
  <si>
    <t>https://pbs.twimg.com/media/EGcT7iGX0AEKNtE.jpg</t>
  </si>
  <si>
    <t>محمد</t>
  </si>
  <si>
    <t>pic.twitter.com/nzAG0Y9ate</t>
  </si>
  <si>
    <t>Enfes tatların buluşma noktası</t>
  </si>
  <si>
    <t>http://besuzzi.com/</t>
  </si>
  <si>
    <t>ﻋﺒﻴﺪ ﺍﻟﺮﺷﻴﺪﻱ</t>
  </si>
  <si>
    <t>pic.twitter.com/nEfpwNjwTt</t>
  </si>
  <si>
    <t>Mustafa MODAOĞLU</t>
  </si>
  <si>
    <t>SEFER BİZDEN ZAFER ALLAHTAN Allah Ordumuza Yâr Olsun, Milletimiz Var Olsun. Barış Pınarı Harekatında kalbimiz ve dualarımız kahraman Mehmetçiklerimizle. Rabbim Şanlı ordumuzu muzaffer kılsın. #BarışPınarıHarekati #TurkishArmy #OperationPeaceSpring</t>
  </si>
  <si>
    <t>فهد</t>
  </si>
  <si>
    <t>https://pbs.twimg.com/media/EGcT6pxXkAg8LTq.jpg</t>
  </si>
  <si>
    <t>pic.twitter.com/KGq1ynVYmu</t>
  </si>
  <si>
    <t>Aydın, Türkiye</t>
  </si>
  <si>
    <t>🇹🇷ELBİSTAN-AYDIN-🇹🇷 15 TEMMUZ ONURUMUZDUR.🇹🇷 Alperen ve A.Asaf ın babası- ❤Evli💛🇹🇷 Aktivist-İHH-Vicdanhareketi-ÖNDER- official account..takibe takip</t>
  </si>
  <si>
    <t>pic.twitter.com/8Lp5Gsb8v0</t>
  </si>
  <si>
    <t>TGB Almanya</t>
  </si>
  <si>
    <t>https://pbs.twimg.com/media/EGcT5ueWoAAdBXn.jpg</t>
  </si>
  <si>
    <t>Almanya</t>
  </si>
  <si>
    <t>pic.twitter.com/mYkTbYUCy3</t>
  </si>
  <si>
    <t>Türkiye'de Gurbette, TGB Her Yerde!</t>
  </si>
  <si>
    <t>Galatasaray Dünyası</t>
  </si>
  <si>
    <t>BİSMİLLAHİRRAHMANİRRAHİM İNNA FETAHNA LEKE FETHAN MÜBİNA 🤲🏻 #BarisPinariHarekati #TurkishArmy Gazamız mübarek olsun 🇹🇷</t>
  </si>
  <si>
    <t>pic.twitter.com/wCfRMkpcEb</t>
  </si>
  <si>
    <t>Bu Sayfaya Galatasaray'lı Olmayan Giremez!!!🌟🌟🌟🌟 LA TAHZEN İNNALLAHE MEÂNA !</t>
  </si>
  <si>
    <t>Bünyamin BOLACALI🇹🇷(Tarsus)</t>
  </si>
  <si>
    <t>Ya Allah! Bismillah! Başlıyoruz... Rabbim mahcup etmesin. Sefer bizden Zafer Allah'tan... #BarisPinariHarekati #BarisPinari #TurkishArmy</t>
  </si>
  <si>
    <t>pic.twitter.com/1W8bszPLQx</t>
  </si>
  <si>
    <t>Asım'ın nesli diyordum ya, nesilmiş gerçek İşte çiğnetmedi namusunu, Çiğnetmeyek . 🇹🇷🇹🇷</t>
  </si>
  <si>
    <t>أحمد الزامل</t>
  </si>
  <si>
    <t>Arif Bulut</t>
  </si>
  <si>
    <t>Dualarımız sizinle Mehmetçik. #TurkishArmy #BarisPinariHarekati</t>
  </si>
  <si>
    <t>pic.twitter.com/AFlYEDjNyY</t>
  </si>
  <si>
    <t>Galatasaray💛♥️ #Mersin</t>
  </si>
  <si>
    <t>صالح الجديعي</t>
  </si>
  <si>
    <t>TRİVELA JACKS</t>
  </si>
  <si>
    <t>Allah yâr ve yardımcınız olsun ayağınıza taş değmesin. 🇹🇷🇹🇷🇹🇷 #BarisPinari #TurkishArmy</t>
  </si>
  <si>
    <t>pic.twitter.com/cyuHs2n4TW</t>
  </si>
  <si>
    <t>Kayseri-Ankara-Nederland</t>
  </si>
  <si>
    <t>Sadece Beşiktaş..</t>
  </si>
  <si>
    <t>http://Instagram.com/celikensar</t>
  </si>
  <si>
    <t>منال</t>
  </si>
  <si>
    <t>pic.twitter.com/W8POFzRT7K</t>
  </si>
  <si>
    <t>Alihan aktürk</t>
  </si>
  <si>
    <t>Tanrı Türk'ü korusun!🇹🇷 #TurkishArmy</t>
  </si>
  <si>
    <t>https://pbs.twimg.com/media/EGcT1-LWoAEUUob.jpg</t>
  </si>
  <si>
    <t>ﺳﻠﻴﻤﺎﻥ ﻗﺮﻣﻠﻲ</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</si>
  <si>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#تركيا</t>
  </si>
  <si>
    <t>pic.twitter.com/GYenAe3m5C</t>
  </si>
  <si>
    <t>MUSTAFA KEMAL ATATÜRK</t>
  </si>
  <si>
    <t>جابر</t>
  </si>
  <si>
    <t>HikmetMurad</t>
  </si>
  <si>
    <t>Tüm sınır ve Operasyon Bölgelerinde yüksek sesle VER MEHTERİ... #TurkishArmy</t>
  </si>
  <si>
    <t>pic.twitter.com/UzXnyR0Q89</t>
  </si>
  <si>
    <t>https://youtu.be/XubMlmTLpWE</t>
  </si>
  <si>
    <t>Üsküp, Saraybosna, Ankara</t>
  </si>
  <si>
    <t xml:space="preserve"> حمدان اليحيى </t>
  </si>
  <si>
    <t>هام وعاجل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#تركيا</t>
  </si>
  <si>
    <t>Dertliler Hareketi</t>
  </si>
  <si>
    <t>pic.twitter.com/tluBDDkfJp</t>
  </si>
  <si>
    <t>📌 NİÇİN #SURİYE'DEYİZ? Cevap: 👇 #BarışPınarı #BarışPınarıHarekatı #TurkishArmy #KahramanTürkAskeri #SuriyelilerKardeşimizdir #DertlilerHareketi ☝️🇹🇷☝️🇹🇷☝️🇹🇷☝️🇹🇷☝️🇹🇷</t>
  </si>
  <si>
    <t>https://pbs.twimg.com/media/EGcT1A2XUAAZ8n4.jpg</t>
  </si>
  <si>
    <t>Derdin varsa, varsın. Derdin varsa, bir dünya kurarsın. Derdin yoksa, yoksun. Ve yalnızca bir kadavrasın. Derdin kadarsın...</t>
  </si>
  <si>
    <t>عبدالرحمن الحقباني</t>
  </si>
  <si>
    <t>pic.twitter.com/MMRSHnF6Oi</t>
  </si>
  <si>
    <t>UğurŞeker</t>
  </si>
  <si>
    <t>Mazluma YUNUS zalime YAVUZ🇹🇷🇹🇷🇹🇷#TurkishArmy #Rojava</t>
  </si>
  <si>
    <t>https://pbs.twimg.com/media/EGcT1bxXYAAOvvC.jpg</t>
  </si>
  <si>
    <t>🇹🇷 ϜϓſϞ 🇹🇷</t>
  </si>
  <si>
    <t xml:space="preserve"> هادى  العصيمي</t>
  </si>
  <si>
    <t>د. عدنان محمد: من يتواجد ويعمل على قناة الجزيرة غالبهم لديهم جنسيات إسرائيلية .  - جمال خاشقجي #JamalKhashoggi #قطر</t>
  </si>
  <si>
    <t>pic.twitter.com/hX0qR9bVDq</t>
  </si>
  <si>
    <t>Camoka</t>
  </si>
  <si>
    <t>Kadim ve Şanlı Türk ordusu.. Allah seni muzaffer kılsın, şanını yüceltsin. Bizleri ve nesillerimizi de mazlumların intikamına memur eylesin. Amin. #BarisPinari #TurkishArmy</t>
  </si>
  <si>
    <t>Mongolia</t>
  </si>
  <si>
    <t>Kardeşim Timuçin'e son kez bakarken. 🏹⚔️ Yaşamam sana zarardan başka birşey getirmez kardeşim.</t>
  </si>
  <si>
    <t xml:space="preserve">   عبدالرزاق البلالي</t>
  </si>
  <si>
    <t>hehü portakallı kekim</t>
  </si>
  <si>
    <t>#BarışPınarıHarekatı #TurkishArmy 💪🏻</t>
  </si>
  <si>
    <t>pic.twitter.com/mLGg4YzPkw</t>
  </si>
  <si>
    <t>yalancı sevmiyorum...part time anonim</t>
  </si>
  <si>
    <t xml:space="preserve">   حاتم  المطيري</t>
  </si>
  <si>
    <t>د.عمر عبدالستار: الخرق الثالث لإيران في الملف النووي قد يؤدي لإنسحاب أوروبي من الاتفاق النووي وصولاً إلى تفعيل آلية فض النزاع التي قد تؤدي إلى عودة إيران إلى البند السابع مرورا بمجلس الأمن الدولي  - جمال خاشقجي #JamalKhashoggi #قطر</t>
  </si>
  <si>
    <t>ethem_SMY</t>
  </si>
  <si>
    <t>pic.twitter.com/3o0dRyT12h</t>
  </si>
  <si>
    <t>#GazamızMuebarekOlsunBaslıyoruz #TurkishArmy #Tuerksilahlıkuvvetleri #Mehmetçik #BarışPınarıHarekati</t>
  </si>
  <si>
    <t>https://pbs.twimg.com/media/EGcT1cLXYAAopR7.jpg</t>
  </si>
  <si>
    <t>Balıkesir,Türkiye</t>
  </si>
  <si>
    <t>Doğru sallanır ama yıkılmaz....:D imza Nogay Edhem Semey</t>
  </si>
  <si>
    <t>M.Kemal ÖZ ⚡️</t>
  </si>
  <si>
    <t>Sen öldürürkende güzelsin #TurkishArmy #BarışPınarıHarekati</t>
  </si>
  <si>
    <t>Ana Haberler Futbol Politikacılar Haberler Siyaset ve Siyasetçiler</t>
  </si>
  <si>
    <t>محلل قناة ٢٤ سعودي الفضائية د. صباح الخزاعي في بصريح العبارة : كلمة أردوغان أمام الجمعية العامة الأمم المتحدة تضمنت تصرف أحمق وصلف وعنجهية وتدخُّل فاضح في شؤون مصر .  - جمال خاشقجي #ايران #خاشقجي</t>
  </si>
  <si>
    <t>pic.twitter.com/AsLOYaJmik</t>
  </si>
  <si>
    <t xml:space="preserve"> حسان  خليفه </t>
  </si>
  <si>
    <t>هام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#تركيا</t>
  </si>
  <si>
    <t>pic.twitter.com/sPReK9EW4J</t>
  </si>
  <si>
    <t>ممدوح البريكان</t>
  </si>
  <si>
    <t>تقرير: الجبير : التهدئة لا تنفع مع إيران ونعمل للتوصل إلى خيار دولي للتعامل معها  - جمال خاشقجي #JamalKhashoggi #تركيا</t>
  </si>
  <si>
    <t>pic.twitter.com/IL9AgCsMuu</t>
  </si>
  <si>
    <t>☾☆ Mehmet POYRAZ</t>
  </si>
  <si>
    <t>"Şu kopan fırtına Türk ordusudur yâ Rabbi. Senin uğrunda ölen ordu, budur yâ Rabbi. Tâ ki yükselsin ezanlarla müeyyed nâmın, Galib et, çünkü bu son ordusudur İslâm'ın." Yahya Kemal Beyatlı #BarisPinariHarekati #TurkishArmy</t>
  </si>
  <si>
    <t>Osmaniye</t>
  </si>
  <si>
    <t>instagram @essspoyraz</t>
  </si>
  <si>
    <t>F e i l e s o f i</t>
  </si>
  <si>
    <t>Vakit, bolca Fetih Sûresi okuma ve duâlar etme vaktidir. Lütfen es geçmeyelim. Rabbim yardımcımız olsun. Şanlı ordumuza zaferler nasip etsin inşaAllah. #BarisPinari #BarisPinariHarekati #TurkishArmy #barışpınarıharekatı #TuerkMilletiOrdusununYanında #turkmilletiordusununyaninda</t>
  </si>
  <si>
    <t>https://pbs.twimg.com/media/EGcTzCrXYAEifL9.jpg</t>
  </si>
  <si>
    <t>جميله المطيري</t>
  </si>
  <si>
    <t>🌸</t>
  </si>
  <si>
    <t>Aidan 🇸🇴🏴󠁧󠁢󠁷󠁬󠁳󠁿🇬🇧</t>
  </si>
  <si>
    <t>Well done Turkey &amp; #TurkishArmy Crush the terrorist devils ISIS &amp;amp; YPG #LongLiveTurkey 🇹🇷✌🏽</t>
  </si>
  <si>
    <t xml:space="preserve"> الوليد  عامر </t>
  </si>
  <si>
    <t>pic.twitter.com/foktxiQObK</t>
  </si>
  <si>
    <t>pic.twitter.com/qvCvthxLce</t>
  </si>
  <si>
    <t>Life is like a Road with lots of signs' - Bob Marley 💚💛❤</t>
  </si>
  <si>
    <t>Sultan</t>
  </si>
  <si>
    <t>Fahrettin Berktaş</t>
  </si>
  <si>
    <t>#SONDAKİKA ABD merkezli Fox News muhabiri Jennifer Griffin, Trump'ın Ordu'ya terör yardım etmeme yönünde kesin talimatı olduğunu söylüyor. #BarışPınarı #BarışPınarıHarekatı #TurkishArmy</t>
  </si>
  <si>
    <t>Youssef Al-Masrahi</t>
  </si>
  <si>
    <t>Yeni Türkiye ' nin İstiklal Mücadelecisi ... DAVASININ ADI YENİ TÜRKİYE ... SEVDASININ ADI RECEP TAYYİP ERDOĞAN ... رجب طيّب اردوغان</t>
  </si>
  <si>
    <t>Brett Coughlin</t>
  </si>
  <si>
    <t>Our NATO partner is bombing our strategic partner who is holding our enemy ISIS captive. What exactly is our Foreign Policy? #TurkishArmy RT @axios: NEW: The primarily-Kurdish Syrian Democratic Forces have appealed to the U.S. and its allies to establish a "no fly zone" to protect them from Turkish attacks.</t>
  </si>
  <si>
    <t>https://twitter.com/axios/status/1181933601933398017
https://www.axios.com/us-kurdish-turkey-attack-syria-trump-1d4dc5e8-92eb-4e57-9fc9-a5bf29b17d89.html?utm_source=twitter&amp;utm_medium=social&amp;utm_campaign=organic</t>
  </si>
  <si>
    <t>Ismail Al-Sabani,</t>
  </si>
  <si>
    <t>pic.twitter.com/R3R6fVncKp</t>
  </si>
  <si>
    <t xml:space="preserve">Chicago,Illinois </t>
  </si>
  <si>
    <t>“So we beat on, boats against the current, borne back ceaselessly into the past.”</t>
  </si>
  <si>
    <t>سعد عبد العزيز</t>
  </si>
  <si>
    <t>د. عدنان محمد: يٌقاتل ترامب الإيرانيين بالسلاح الذي يخشونه وليس بالسلاح الذي يُريدونه.  - جمال خاشقجي #JamalKhashoggi #السعودية</t>
  </si>
  <si>
    <t>pic.twitter.com/6U5Lg6PMJW</t>
  </si>
  <si>
    <t>Doğucan Çoban</t>
  </si>
  <si>
    <t>#TurkishArmy 🇹🇷 RT @AkademikTarihTR: "Ordu, Türk ordusu... İşte bütün milletin göğsünü güven, gurur duygularıyla kabartan şanlı ad!" -Gazi Mustafa Kemal Atatürk</t>
  </si>
  <si>
    <t>https://twitter.com/AkademikTarihTR/status/1181934380446621697</t>
  </si>
  <si>
    <t>https://pbs.twimg.com/media/EGcTDbnWkAEyAXA.jpg</t>
  </si>
  <si>
    <t>Mohammed Al-Salhi,</t>
  </si>
  <si>
    <t>pic.twitter.com/SuZb4MTLGP</t>
  </si>
  <si>
    <t>Ereğli, Türkiye</t>
  </si>
  <si>
    <t>İstanbul Üniversitesi @tarihicedid</t>
  </si>
  <si>
    <t>Mazen Al-Yassin,</t>
  </si>
  <si>
    <t>pic.twitter.com/NbhV7rikWQ</t>
  </si>
  <si>
    <t xml:space="preserve"> ظافر  الشمري</t>
  </si>
  <si>
    <t>pic.twitter.com/Atb7KoLMd0</t>
  </si>
  <si>
    <t>Ufuk Can Korkmaz</t>
  </si>
  <si>
    <t>Türk'e kefen biçenin ölümü korkunç olur! 🇹🇷 #BarisPinariHarekati #BarisPinari #OperationPeaceSpring #TurkishArmy</t>
  </si>
  <si>
    <t>İstanbul / Türkiye</t>
  </si>
  <si>
    <t>http://Instagram.com/ufukcankorkmz</t>
  </si>
  <si>
    <t xml:space="preserve"> محمود المنياوي</t>
  </si>
  <si>
    <t>د. محمد الحلفي : باحث في التاريخ الحديث : لا يمكن للشعب القطري القبول بما تقوم به قناة الجزيرة  #خاشقجي #تركيا</t>
  </si>
  <si>
    <t>pic.twitter.com/cIQsGRoy3a</t>
  </si>
  <si>
    <t>Emre Öncü</t>
  </si>
  <si>
    <t>Eli öpülesi Analar, Babalar... Evlatlarınızın üzerinden dualarınızı eksik etmeyin. #BarışPınarıHarekatı başladı. Allah, yiğitlerimizin ayağına taş değdirmesin 🇹🇷🤲 YA ALLAH, BİSMİLLAH #TurkishArmy #BarisPinariHarekati</t>
  </si>
  <si>
    <t>Herkes beraberinde taşıdığı bir parmaklığın ardında yaşıyor..</t>
  </si>
  <si>
    <t>Erencan KINCAL</t>
  </si>
  <si>
    <t>Sefer bizim, zafer Allah’ındır! Ya Allah Bismillah #TurkishArmy #TuerkMilletiOrdusununYanında</t>
  </si>
  <si>
    <t>https://pbs.twimg.com/media/EGcTxjSXoAA_65U.jpg</t>
  </si>
  <si>
    <t>QATAR عبدالله 🇶🇦</t>
  </si>
  <si>
    <t>@oamaz7 الموضوع متعلق بما يملكه cia من أدلة عن تجاوزات #كوشنر غير القانونية وأيآديه الخفيه خصوصاً في موضوع الشهيد #خاشقجي .. الامر الذي يجعل من #ترامب مطأطئ رأسه 👌🏼</t>
  </si>
  <si>
    <t>Çatalca, Türkiye</t>
  </si>
  <si>
    <t>Çatalca Ak Parti Gençlik Kolları Teşkilat Başkanı | RECEP TAYYİP ERDOĞAN Kırmızı Çizgimdir | Reklamcı 🖥</t>
  </si>
  <si>
    <t>http://instagram.com/erencankncal</t>
  </si>
  <si>
    <t>⚖️</t>
  </si>
  <si>
    <t>جعفر الهادي</t>
  </si>
  <si>
    <t>pic.twitter.com/EcfV6tLoLe</t>
  </si>
  <si>
    <t>Ali Açıköz</t>
  </si>
  <si>
    <t>#BarışPınarıHarekati Büyük köpek kaçtı...Zağarlarını da #TurkishArmy temizliyor!</t>
  </si>
  <si>
    <t>https://pbs.twimg.com/media/EGcTw_3WoAEWEws.jpg</t>
  </si>
  <si>
    <t>izmir/Turkey</t>
  </si>
  <si>
    <t>Mohamed Obaid Al-Sahli,</t>
  </si>
  <si>
    <t>http://blog.milliyet.com.tr/alia</t>
  </si>
  <si>
    <t>pic.twitter.com/TTkzJ3CSzo</t>
  </si>
  <si>
    <t>Ercan Kaan AYTEN</t>
  </si>
  <si>
    <t>Sen çayı koy dedem demi tutana kadar dönmüş oluruz. #TurkishArmy #BarisPinariHarekati</t>
  </si>
  <si>
    <t>https://pbs.twimg.com/media/EGcTxAWX0AELlD1.jpg</t>
  </si>
  <si>
    <t>أ. سامي المرشد: الدوحة أصبحت مكان لكل الشواذ سياسياً في العالم .. تلاحظ وجود الإسرائيليين، الحرس الثوري الإيراني والاخوان المسلمين المطرودين من بلدانهم .  - جمال خاشقجي #خاشقجي #عام_على_رحيل_خاشقجي</t>
  </si>
  <si>
    <t>pic.twitter.com/KYwwvH7fri</t>
  </si>
  <si>
    <t>ADÜ MEKATRONİK</t>
  </si>
  <si>
    <t>İbrahim Sezer</t>
  </si>
  <si>
    <t>#BarisPinariHarekati #turkmilletiordusununyaninda #TurkishArmy #OperationPeaceSpring Sefer bizim Zafer Allah’ındır. Rabbim yar ve yardımcımız olsun. 🇹🇷🇹🇷🇹🇷🇹🇷🇹🇷</t>
  </si>
  <si>
    <t>Abdullah Abkar Al-Mouled,</t>
  </si>
  <si>
    <t>pic.twitter.com/Oe1M0SdzYV</t>
  </si>
  <si>
    <t>Elimden Geldiğince ; Her zaman ; Hak'kın , haklının ve mazlumun yanında , Batıl'ın , zalimin ve hainin kâbuslarında...</t>
  </si>
  <si>
    <t>قد تكون لدى المملكة العربية السعودية كثير من القنصليات في الولايات المتحدة ، إذا كانت القنصلية المملكة العربية السعودية تبعد عنك كثيرا يمكنك الاتصال بأقرب قنصلي</t>
  </si>
  <si>
    <t>عارف المجيد</t>
  </si>
  <si>
    <t>pic.twitter.com/ihs0jQ71Ce</t>
  </si>
  <si>
    <t>Hakan Tunç</t>
  </si>
  <si>
    <t>Askerimizin ayağına taş değmesin. Gazamız mübarek olsun. Allah memleketimize yardım etsin. #BarisPinari #TurkishArmy</t>
  </si>
  <si>
    <t>pic.twitter.com/cF7X7YRhJ3</t>
  </si>
  <si>
    <t>An economist, an Istanbul lover and a Fenerbahce supporter forever.</t>
  </si>
  <si>
    <t xml:space="preserve"> حسين الزهراني</t>
  </si>
  <si>
    <t>TheKingN07</t>
  </si>
  <si>
    <t>أ. نايف الحربي: إعلامي وكاتب صحفي: الإعلام السعودي أخرص الإعلام القطري والتركي .  - جمال خاشقجي #خاشقجي #عام_على_رحيل_جمال</t>
  </si>
  <si>
    <t>#TurkishArmy are terrorists Fuck Turkey</t>
  </si>
  <si>
    <t>pic.twitter.com/gNdi8Pd6OM</t>
  </si>
  <si>
    <t>https://pbs.twimg.com/media/EGcTv_9W4AATJzs.jpg</t>
  </si>
  <si>
    <t>مجاهد الحيدر</t>
  </si>
  <si>
    <t>pic.twitter.com/2fV6R5Vm3R</t>
  </si>
  <si>
    <t>Ersan</t>
  </si>
  <si>
    <t>@emekcafe @bidunyadizi Türk askeri kendinin ve milletinin canına kasteden bu teröristleri öldürmeyecekte ne yapacak Çiçek mi verecek! #TurkishArmy #BarisPinariHarekati</t>
  </si>
  <si>
    <t>Kırşehir</t>
  </si>
  <si>
    <t>Olmazlara Meyilliyiz...! http://instagram.com/muhammed_ersan</t>
  </si>
  <si>
    <t>Caroline Mangez</t>
  </si>
  <si>
    <t>En dehors de sa #Vision2030, il faudra aussi retenir de #MBS sa brutale manière d’éliminer ses opposants. #JamalKhashoggi #ArabieSaoudite #mustread dshttps://www.insider.com/the-murder-of-jamal-khashoggi-2019-10</t>
  </si>
  <si>
    <t>Heather 🌊🌊🌊</t>
  </si>
  <si>
    <t>With a tweet or a phone call, our malignant narcissist President just managed to kill 758,000 people. What? You didn’t think it could get this bad? These people were our allies &amp; friends. Trump has no friends. #TurkishArmy #ImpeachDonaldTrumpNOW RT @tobiaschneider: The United Nations estimates that there are currently approximately 758,000 civilians resident in the 32 km stretch along the border, among them more than 115,000 internally displaced people. A significant share of these would likely flee a violent Turkish military advance. /8</t>
  </si>
  <si>
    <t>Rédactrice en Chef Actu @ParisMatch</t>
  </si>
  <si>
    <t>http://www.parismatch.com</t>
  </si>
  <si>
    <t>https://twitter.com/tobiaschneider/status/1181165965809262597</t>
  </si>
  <si>
    <t>Morning grouch &amp; gleeful lover of sarcasm. Mom, MSW. Liberal Democrat &amp; prolific MAGA blocker. #FBR</t>
  </si>
  <si>
    <t>Talih Duran</t>
  </si>
  <si>
    <t>Turkish armies does not war against innocent Kurdish people .They are just struggling against the terrorists(Ypg,Isıs) for both Turkey and whole World safety. #OperationPeaceSpring #BarisPinariHarekati #BarısPınarıHarekatı #BarisPinari #TurkishArmy</t>
  </si>
  <si>
    <t xml:space="preserve"> احمد محزري </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</si>
  <si>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#JamalKhashoggi #تركيا</t>
  </si>
  <si>
    <t>I'm a statesman but not a politician, and I am working for all the human rights.</t>
  </si>
  <si>
    <t>http://foundlr.com</t>
  </si>
  <si>
    <t>pic.twitter.com/qmI2wL37wi</t>
  </si>
  <si>
    <t>Veyis Köse</t>
  </si>
  <si>
    <t>#Zeytindalı #TurkishArmy #TurkishArmy nerede kalmıştık Allah ordumuzu muzaffer kılsın..</t>
  </si>
  <si>
    <t>https://pbs.twimg.com/media/EGcTu7yW4AAdnTU.jpg</t>
  </si>
  <si>
    <t>Ibrahim Al-Hamaidi,</t>
  </si>
  <si>
    <t>pic.twitter.com/DEDslCJJYb</t>
  </si>
  <si>
    <t>burda yaşadıklarım ya hiç yaşanmadı yada hiç yaşanmayacak</t>
  </si>
  <si>
    <t>قنصلية دولة المملكة العربية السعودية ـ تُعد هذه القنصلية بعثة ثنائية في هيوستن و تقوم بإقامة مصلحة المملكة العربية السعودية في الولايات المتحدة</t>
  </si>
  <si>
    <t xml:space="preserve">  قاسم آل ساري</t>
  </si>
  <si>
    <t>محلل قناة ٢٤ سعودي الفضائية د. صباح الخزاعي في بصريح العبارة : كلمة أردوغان أمام الجمعية العامة الأمم المتحدة تضمنت تصرف أحمق وصلف وعنجهية وتدخُّل فاضح في شؤون مصر .  - جمال خاشقجي #خاشقجي #عام_على_رحيل_جمال</t>
  </si>
  <si>
    <t>pic.twitter.com/2eb5PCYzAp</t>
  </si>
  <si>
    <t>cml-şnck👨‍🚒🚒</t>
  </si>
  <si>
    <t>Allah yar ve yardımcınız olsun. Allah mehmetciğimizi korusun. 🇹🇷 #TurkishArmy #BarışPınarıHarekati</t>
  </si>
  <si>
    <t>https://pbs.twimg.com/media/EGcTuqFWoAAeH82.jpg</t>
  </si>
  <si>
    <t> محمد آل مهري</t>
  </si>
  <si>
    <t>#MUSTAFAKEMALATATÜRK 1881-1938 GALATASARAY 💛❤ 🚒İTFAİYE👨‍🚒🚒 izmir'li</t>
  </si>
  <si>
    <t>pic.twitter.com/QhrHQYLVxV</t>
  </si>
  <si>
    <t>Hamza Tansarıkaya</t>
  </si>
  <si>
    <t>Barış Pınarı Harekatı başladı. Allah ordumuzu muzaffer eylesin, milletin, ümmetin yüzünü güldürsün. Dualarımız sizinle. #BarisPinariHarekati #TurkishArmy 🇹🇷</t>
  </si>
  <si>
    <t xml:space="preserve">Çengelköy </t>
  </si>
  <si>
    <t>Kalem eğri dilli,mürekkep siyah yüzlü,kağıt iki yüzlü! Şimdi kalkıp arzuhalimi yazmaya kimi mahrem kılayım?</t>
  </si>
  <si>
    <t>http://Instagram.com/hamzatansarikaya</t>
  </si>
  <si>
    <t xml:space="preserve"> صقر العنزي</t>
  </si>
  <si>
    <t>أ. عبدالرحمن الملحم - كاتب ومحلل سياسي : قطر قامت بخيانة دول مجلس التعاون بإعطاء احداثيات حول الجنود الاماراتيين والسعوديين .  - جمال خاشقجي #خاشقجي #عام_على_اغتيال_جمال</t>
  </si>
  <si>
    <t>pic.twitter.com/aVyImNWyib</t>
  </si>
  <si>
    <t>Asi</t>
  </si>
  <si>
    <t>هەڵۆ</t>
  </si>
  <si>
    <t>It is time to @realDonaldTrump to show up and apologize to his fucking decision and stop Turkish dogs from this attack! How would this make you feel if your youngest son Barron was killed by a Turkish dog! #TurkishArmy #SaveRojava #standwithkurds</t>
  </si>
  <si>
    <t>Hewler</t>
  </si>
  <si>
    <t>My Tweets are (Opinions, Jokes, Criticisms, Awareness, Motivations, Positivity, Etc.)So Hit me up with a follow if you are interested!</t>
  </si>
  <si>
    <t>http://YourFavoriteTaurus.com</t>
  </si>
  <si>
    <t>اتصال/ د. فوزية القحطاني: باحثة في الإعلام والأمن الفكري – جدة: الإعلام القطري ينشر الكراهية والبغضاء .. كما تعمل اجهزتهم ليل نهار على التشكيك بكل منجز سعودي .  - جمال خاشقجي #خاشقجي #تركيا</t>
  </si>
  <si>
    <t>pic.twitter.com/0lcz39ExUG</t>
  </si>
  <si>
    <t>Jussie Smallhat 🤡🌎</t>
  </si>
  <si>
    <t>#Russia #Ukraine #Communist #TurkishArmy #jokerquotes</t>
  </si>
  <si>
    <t>https://pbs.twimg.com/media/EGcTtUHWoAI0MGZ.jpg</t>
  </si>
  <si>
    <t xml:space="preserve"> محمد الناشري</t>
  </si>
  <si>
    <t>pic.twitter.com/KgrgaQXclm</t>
  </si>
  <si>
    <t>Htcy🌸</t>
  </si>
  <si>
    <t>Koç yiğitlik nam olmuş kırk yiğidin kırkına, Tanrı güç kuvvet versin, Kürşadların ırkına! 🇹🇷🇹🇷 #TurkishArmy #BarışPınarı</t>
  </si>
  <si>
    <t xml:space="preserve"> حسن عسيري</t>
  </si>
  <si>
    <t>د. علي الثويني - باحث عراقي: ايران لعبت دور قذر في وضع العراق وأججت أمور لم نكن نحن العراقيين ننتظرها أبداً .  #JamalKhashoggi #قطر</t>
  </si>
  <si>
    <t>YBÜ TDE Yozgat Biçim 🕶</t>
  </si>
  <si>
    <t>pic.twitter.com/YHBbTcR6We</t>
  </si>
  <si>
    <t>Kadir Bakırcı</t>
  </si>
  <si>
    <t>#BarışPınarıHarekati #TurkishArmy #OperationPeaceSpring Allah yar ve yardımcınız olsun. Dualarımız sizinle. 🇹🇷🇹🇷🇹🇷</t>
  </si>
  <si>
    <t>عادل حسن</t>
  </si>
  <si>
    <t>pic.twitter.com/Lrnpj4EpNv</t>
  </si>
  <si>
    <t>İstanbul/Çerkezköy/Rize</t>
  </si>
  <si>
    <t>Sadece GALATASARAY.. Muhafazakâr-Komünist Wonderkid ツ ツ ツ Hakkıdır HAK'KA tapan milletimin İSTİKLAL! !</t>
  </si>
  <si>
    <t>ALİ</t>
  </si>
  <si>
    <t>Suriye Demokratik Güçleri denilen terör örgütü, bundan 4 yıl önce; 9 Ekim 2015 günü kurulmuştu. 4 yıl sonra; 9 Ekim 2019 günü bu terör örgütüne son vermek için Şanlı Türk Ordusu harekata başladı. #TurkishArmy</t>
  </si>
  <si>
    <t>https://pbs.twimg.com/media/EGcTqp0XkAEEBW-.jpg</t>
  </si>
  <si>
    <t>ريان العبد النور</t>
  </si>
  <si>
    <t>pic.twitter.com/Fu0bNxni4D</t>
  </si>
  <si>
    <t xml:space="preserve"> مشاري  السبيعي</t>
  </si>
  <si>
    <t>Deha İsleroğlu</t>
  </si>
  <si>
    <t>#BarışPınarıHarekati başladı Allah utandırmasın. #TurkishArmy</t>
  </si>
  <si>
    <t>pic.twitter.com/SUkXIBsasd</t>
  </si>
  <si>
    <t>Kartal, İstanbul</t>
  </si>
  <si>
    <t>деха ишлеоглу #BiyolojiÖğretmeni #Tokat #İstanbul #Kartal</t>
  </si>
  <si>
    <t>CONTIRAVOLTA bin Muhiddiğn el-Düzcevî</t>
  </si>
  <si>
    <t>Pyd-ypg'nin, cezaevlerinde esir tuttuğu ışid'li teröristleri harekatın başlamasıyla can havliyle silahlandırıp sahaya salması kuvvetle muhtemel.. Bu cezaevleri ivedilikle bertaraf edilmeli. #BarışPınarıHarekati #PeaceSpringOperation #TurkishArmy</t>
  </si>
  <si>
    <t>عبدالله الشمري</t>
  </si>
  <si>
    <t>pic.twitter.com/gJlX8TZmSk</t>
  </si>
  <si>
    <t>Sadece TÜRKÇÜ... Başbuğu ATATÜRK... Dini BİLİM, SANAT ve ADALET... Mevzu bahis VATAN... Gerisi teferruat...</t>
  </si>
  <si>
    <t>MEHMET SİNAN</t>
  </si>
  <si>
    <t>#TurkishArmy #BarisPinariHarekati KAN DÖKMEYİ SEVEN BİR MİLLET DEĞİLİZ AMA SÖZKONUSU VATANSA DÜNYANIN ŞAHDAMARINI KESERİZ.</t>
  </si>
  <si>
    <t>https://pbs.twimg.com/media/EGcTpbPXkAA5kyT.jpg</t>
  </si>
  <si>
    <t>ﻇﺎﻓﺮ ﻋﺒﺪﺍﻟﺮﺣﻤﻦ</t>
  </si>
  <si>
    <t>أ. عبدالرحمن الملحم - كاتب ومحلل سياسي : قطر مصابة بعمى سياسي كبير ولا تعرف إلى اين تتجه .  - جمال خاشقجي #خاشقجي #عام_على_اغتيال_جمال</t>
  </si>
  <si>
    <t>pic.twitter.com/pF5jU4bpgG</t>
  </si>
  <si>
    <t>Bir Osman'ın oğlu diğer Osman'ın Babası, Ankara Üniversitesi Makina, Gebze Teknik Yüksek Lisans, GİRESUN</t>
  </si>
  <si>
    <t>Mustafa Çubuk</t>
  </si>
  <si>
    <t>Allah Türk ordusunun yar ve yardımcısı olsun, vatan evlatlarını Hami sıfatıyla korusun #OperationPeaceSpring #TurkishArmy #BarisPinariHarekati #BarisPinari #سوريا #Turkey</t>
  </si>
  <si>
    <t>pic.twitter.com/CE1ccvH8kD</t>
  </si>
  <si>
    <t>İSTİHBARAT MERKEZİ 🇹🇷</t>
  </si>
  <si>
    <t>#BarışPınarıHarekati | Şanlıurfa’da sınıra yakın bölgelerde okullar tatil edildi. #SONDAKİKA - #TurkishArmy - #BarışPınarı🇹🇷</t>
  </si>
  <si>
    <t>Barışı korumanın en iyi yolu savaşa hazır olmaktır. @tsk_mit YOUTUBE HESABIMIZ 👇</t>
  </si>
  <si>
    <t>https://www.youtube.com/channel/UCXbohUSOPGjrUp35sO0ar6Q</t>
  </si>
  <si>
    <t xml:space="preserve"> شامي بن عيسى</t>
  </si>
  <si>
    <t>العميد متقاعد. حسن الشهري: قناة الجزيرة لا تنقل خير قط وتقوم ببث الطائفية والكراهية  - جمال خاشقجي #خاشقجي #عام_على_رحيل_جمال</t>
  </si>
  <si>
    <t>pic.twitter.com/gMxB6Dy5HQ</t>
  </si>
  <si>
    <t>🇹🇷 'ş</t>
  </si>
  <si>
    <t>#BarisPinariHarekati #TurkishArmy #SeferBizimZaferALLAHtandır</t>
  </si>
  <si>
    <t>https://pbs.twimg.com/media/EGcTnvJWkAEJgED.jpg</t>
  </si>
  <si>
    <t>مفيد الخليل</t>
  </si>
  <si>
    <t>🛶</t>
  </si>
  <si>
    <t>°doludizgin dalgalar, sonsuza uzanan bi' iskele var ~</t>
  </si>
  <si>
    <t>pic.twitter.com/khxkigxgll</t>
  </si>
  <si>
    <t>TURKCELL ESKİŞEHİR</t>
  </si>
  <si>
    <t>ESKİŞEHİR #TURKCELLLIKE 'LAYANLARI KAZANIYOR.FACEBOOK,TWITTER VE INSTAGRAMDAN TAKİP EDİN ÇEKİLİŞLERDEN KAZANACAĞINIZ HEDİYE FIRSATINI KAÇIRMAYIN😊 #TurkishArmy #carsamba #FIFA20 #turkcell #turkcelleskişehirkafası</t>
  </si>
  <si>
    <t>pic.twitter.com/lZ8A0hI8ah</t>
  </si>
  <si>
    <t>راكان الظفيري</t>
  </si>
  <si>
    <t>pic.twitter.com/oG402qhbaE</t>
  </si>
  <si>
    <t>twitter,facebook ve instagram hesabımızı takip edin çekilişlerden ve kampanyalardan yararlanın. #turkcelleskişehirkafası</t>
  </si>
  <si>
    <t>Amrah Jafarov</t>
  </si>
  <si>
    <t>#TurkishArmy just launched #PeaceSpring Operation against terrorist groups in🇸🇾. The operation will prevent the creation of a terror corridor across 🇹🇷's southern border and lead to establishment of safezone, facilitating the return of refugees to their homes #BarışPınarıHarekatı</t>
  </si>
  <si>
    <t>Azerbaijan</t>
  </si>
  <si>
    <t>📚🎓🇦🇿 -APA / International Relations -Social Sciences University of Ankara / Political Science 🌐http://amrahjafarly.wordpress.com ℹhttp://instagram.com/amrahjafarly</t>
  </si>
  <si>
    <t>http://facebook.com/amrahjafarly</t>
  </si>
  <si>
    <t>المنيف نصير</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</si>
  <si>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</si>
  <si>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pic.twitter.com/aFKH19bwsD</t>
  </si>
  <si>
    <t>Yılmaz 🇹🇷 Karahan 🇹🇷 ®</t>
  </si>
  <si>
    <t>#TurkishArmy #BarisPinariHarekati #YaAllahBismillah</t>
  </si>
  <si>
    <t>https://youtu.be/DioSvZzDBkQ</t>
  </si>
  <si>
    <t>ظفر الباجري</t>
  </si>
  <si>
    <t>https://pbs.twimg.com/media/EGcTm8mWwAYyWok.jpg</t>
  </si>
  <si>
    <t>pic.twitter.com/2H2IzEJ8Hb</t>
  </si>
  <si>
    <t>Dörtyol, Hatay 🇹🇷</t>
  </si>
  <si>
    <t>☕☕☕☕☕☕☕☕☕☕☕☕***paylaşımlar destek manasına gelmez*** Quantum&amp;Meteoroloji hayranı Türkmen&amp;Kayıboyu&amp; Karaahmetli Emekli bakkal ☕☕☕☕☕☕☕☕☕☕☕☕☕☕☕</t>
  </si>
  <si>
    <t>https://npistanbul.com/eriskin-psikiyatri/bipolar-bozukluk</t>
  </si>
  <si>
    <t>Nelly</t>
  </si>
  <si>
    <t>Möge ein Geschoss den "Richtigen" treffen. Der kein Kurde ist. #TurkishArmy #Syrien</t>
  </si>
  <si>
    <t>Schusselige Chaotin, Bücherschlingpflanze. Gemüt wie ein Esel, genügsam wie eine Bergziege. Musik lässt meine Seele tanzen, weil der Rollator schon winkt :-P</t>
  </si>
  <si>
    <t xml:space="preserve"> عتيق السلمى</t>
  </si>
  <si>
    <t>د. علي الثويني - باحث عراقي: ايران لعبت دور قذر في وضع العراق وأججت أمور لم نكن نحن العراقيين ننتظرها أبداً .  #ايران #خاشقجي</t>
  </si>
  <si>
    <t>pic.twitter.com/jdiBdHQF1S</t>
  </si>
  <si>
    <t>Minnosss</t>
  </si>
  <si>
    <t>Allah yar ve yardımcınız olsun 🙏 #TurkishArmy 🇹🇷</t>
  </si>
  <si>
    <t>https://pbs.twimg.com/media/EGcTnIwXkAAryai.jpg</t>
  </si>
  <si>
    <t xml:space="preserve"> عقيل  العيسى </t>
  </si>
  <si>
    <t>اتصال / أ. خالد الزعتر : محلل سياسي – الرياض : رفع العلم الإسرائيلي في الدوحة هو إثبات للعلاقات الإسرائيلية القطرية وهذا ما تثبته الوقائع التاريخية على مر السنين .  - جمال خاشقجي #JamalKhashoggi #السعودية</t>
  </si>
  <si>
    <t>pic.twitter.com/HGLdMOUqXE</t>
  </si>
  <si>
    <t>instagram MINE_OKLU لا إله إلا الله محمد رسول الله</t>
  </si>
  <si>
    <t>Taner Timur</t>
  </si>
  <si>
    <t>Askerimiz Megafondan Mehter Marşı’nı dinletiyor aynı zamanda da inletiyor. #BarışPınarıHarekatı #BarışPınarı #TurkishArmy @slmhktn</t>
  </si>
  <si>
    <t xml:space="preserve"> محمد العرجاني</t>
  </si>
  <si>
    <t>أ. نايف الحربي: إعلامي وكاتب صحفي: المملكة أعطت الأدلة والبراهين للمجتمع الدولي بأن ايران خطر على اقتصاد وأمن العالم .  - جمال خاشقجي #خاشقجي #تركيا</t>
  </si>
  <si>
    <t>pic.twitter.com/ImoDOeorfv</t>
  </si>
  <si>
    <t>pic.twitter.com/ZmDaBdDWvO</t>
  </si>
  <si>
    <t>جراح خشان</t>
  </si>
  <si>
    <t>Gazeteci-Journalist @haberseyret</t>
  </si>
  <si>
    <t>Fenerli Ali</t>
  </si>
  <si>
    <t>Yarabbi sen askerlerimizin ayağına taş değdirme🙏 Yarabbi sen vatanımızı,milletimizi ve bayrağımızı koru.🙏 Yarabbi sen zaferimizi muzaffer eyle🙏 #BarışPınarıHarekati #TurkishArmy #BarisPinari</t>
  </si>
  <si>
    <t>https://pbs.twimg.com/media/EGcTmIWXUAAS0nr.jpg</t>
  </si>
  <si>
    <t>عقيل العلي</t>
  </si>
  <si>
    <t>pic.twitter.com/6REsXlHRPv</t>
  </si>
  <si>
    <t>Ben takım tutmam FENERBAHÇE’liyim Sadece Fenerbahçe Takibe Takip</t>
  </si>
  <si>
    <t xml:space="preserve"> محمد حمد </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</si>
  <si>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#عام_على_رحيل_جمال</t>
  </si>
  <si>
    <t>Kumtemir Ahmet</t>
  </si>
  <si>
    <t>Türk Askeri Fırat'ın doğusunda. Kimileri mal mal izliyor, kimileri T.C sivilleri vuruyor diye yalan haber yapıyor. #BarışPınarıHarekati #TurkishArmy #BarisPinari</t>
  </si>
  <si>
    <t>pic.twitter.com/o25MRyjXYe</t>
  </si>
  <si>
    <t>pic.twitter.com/MM8jmKIbNg</t>
  </si>
  <si>
    <t>Çukurova Üniversitesi | Gazetecilik -Hakikati konuşmaktan korkmayınız.</t>
  </si>
  <si>
    <t xml:space="preserve"> خليل مناف</t>
  </si>
  <si>
    <t>محلل قناة ٢٤ سعودي الفضائية عبدالجليل السعيد في حقائق في دقائق : ايران اليوم تُغْرق العراق في المنتجات الإيرانية الفاسدة وتنهب من بلاد الرافدين النفط والثروات للإنفاق على نظام الملالي  - جمال خاشقجي #JamalKhashoggi #قطر</t>
  </si>
  <si>
    <t>pic.twitter.com/agJFbJVp4J</t>
  </si>
  <si>
    <t>ayşe</t>
  </si>
  <si>
    <t>ordumuz olsun daim muzaffer ! 🇹🇷 #TurkishArmy #BarisPinari</t>
  </si>
  <si>
    <t>🇹🇷🇬🇷</t>
  </si>
  <si>
    <t xml:space="preserve"> صالح اليامي</t>
  </si>
  <si>
    <t>pic.twitter.com/TjkIYyMMpA</t>
  </si>
  <si>
    <t>Ramazan Odabaş</t>
  </si>
  <si>
    <t>Allah , şanlı ordumuzu muzaffer kılsın. Mehmetçiğimizin ayağına taş değdirmesin. #TuerkMilletiOrdusununYanında #TurkishArmy #BarisPinariHarekati RT @Besiktas: Suriye’nin kuzeyinde PKK/YPG ve Deaş terör örgütlerine yönelik başlatılan #BarışPınarıHarekatı 'nda Şanlı Ordumuza muvaffakiyetler dileriz. Dualarımız ve Kalplerimiz Mehmetçiklerimizle... #TürkMilletiOrdusununYanında</t>
  </si>
  <si>
    <t>https://twitter.com/Besiktas/status/1181933510195630081</t>
  </si>
  <si>
    <t>https://pbs.twimg.com/media/EGcSQuSXUAAf8LK.jpg</t>
  </si>
  <si>
    <t>سليمان الشمري</t>
  </si>
  <si>
    <t>Kocaeli / Gölcük</t>
  </si>
  <si>
    <t>Beşiktaş sevdalısı,müzikle uğraşan, Rock / Metal müzik tutkunu ,Serranın Babası.. https://www.instagram.com/ramesoon/</t>
  </si>
  <si>
    <t>saudi</t>
  </si>
  <si>
    <t>يرجى الانتباه بأنه لم يقدم جميع القنصليات نفس مستوى الخدمات ، وليس هو ضروريا بأن تكون أقرب القنصلية المملكة العربية السعودية ملائمة لإحتياجاتك ،</t>
  </si>
  <si>
    <t>A</t>
  </si>
  <si>
    <t>@realDonaldTrump has the blood of our allies on his hands. #TurkishArmy #TurkeyIsNotOurFriend #ImpeachTrump RT @AP: BREAKING: Turkish President Erdogan announces in tweet that Turkish offensive into northeast Syria has started.</t>
  </si>
  <si>
    <t>https://twitter.com/AP/status/1181922377673924608</t>
  </si>
  <si>
    <t xml:space="preserve"> ظافر القحطاني</t>
  </si>
  <si>
    <t>أ. نايف الحربي: إعلامي وكاتب صحفي: ايران قابلت الاتفاق النووي بالمزيد من العمليات الإرهابية والتخريبية .  - جمال خاشقجي #ايران #خاشقجي</t>
  </si>
  <si>
    <t>pic.twitter.com/cnoMYFaB9n</t>
  </si>
  <si>
    <t>“The attitudes of the people living here are terrible.” *More likable in real life.</t>
  </si>
  <si>
    <t>HAKAN KAYA</t>
  </si>
  <si>
    <t>Hem Türkiye mülteci göçünü engellesin hem de Suriye'ye hakkı olan bir operasyonu yapmasın. Bu millet sizin hem ayranınızı döker hem de başınıza kötü işler açar... #TurkishArmy #EU #UnitedStates</t>
  </si>
  <si>
    <t>فطين الفارس</t>
  </si>
  <si>
    <t>İnanç ÖZBEK</t>
  </si>
  <si>
    <t>Allahım sen ordumuzu muzaffer eyle koru Yarabbi ülkemizin bu yiğit evlatlarının yanında ol Sonuna kadar ölene kadar Ülkemizin vatanımızın yanındayız... #BarisPinariHarekati #TurkishArmy #OperationPeaceSpring</t>
  </si>
  <si>
    <t>pic.twitter.com/rrd6bxYpNO</t>
  </si>
  <si>
    <t>https://pbs.twimg.com/media/EGcTifiXYAAPnp7.jpg</t>
  </si>
  <si>
    <t xml:space="preserve">saudi arab </t>
  </si>
  <si>
    <t xml:space="preserve"> حماد العتيبي</t>
  </si>
  <si>
    <t>د. محمد الحلفي : باحث في التاريخ الحديث : نشأت قناة الجزيرة من اجل استهداف دول مُعينة.  #JamalKhashoggi #السعودية</t>
  </si>
  <si>
    <t>pic.twitter.com/BfBJnAm9ps</t>
  </si>
  <si>
    <t xml:space="preserve">   محمد  المهداني</t>
  </si>
  <si>
    <t>pic.twitter.com/yj6nv97zBQ</t>
  </si>
  <si>
    <t>Eurasia Group</t>
  </si>
  <si>
    <t>Saudi Prince MbS has emerged relatively unscathed after evidence linked him to #JamalKhashoggi's murder. But escalating tensions with Iran and #impeachment proceedings against Trump signal trouble ahead. @ianbremmer flashes the warning signs in @TIME.</t>
  </si>
  <si>
    <t>http://bit.ly/2pMohQL</t>
  </si>
  <si>
    <t>Global</t>
  </si>
  <si>
    <t>The geopolitical risk firm that helps you understand the world. Founded by @ianbremmer. Putting politics first since 1998.</t>
  </si>
  <si>
    <t>http://www.eurasiagroup.net</t>
  </si>
  <si>
    <t>Life is change</t>
  </si>
  <si>
    <t>@RTErdogan Hayali kürdistan olanın sonu kabristan olur. #BarisPinariHarekati #BarisPinari #TurkishArmy</t>
  </si>
  <si>
    <t>Love to share new things.</t>
  </si>
  <si>
    <t>ﻳﺤﻲ ﺍﻟﻔﻴﻔﻲ</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</si>
  <si>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#عام_على_اغتيال_جمال</t>
  </si>
  <si>
    <t>pic.twitter.com/Ft7e6tfrXq</t>
  </si>
  <si>
    <t>Suburban Woman Problem</t>
  </si>
  <si>
    <t>@jimsciutto ie: Turkey is getting a renovation. More room for us! #TurkishArmy #Erdogan #TrumpIsAWarCriminal</t>
  </si>
  <si>
    <t>CO</t>
  </si>
  <si>
    <t>جعفر الأصيل</t>
  </si>
  <si>
    <t>Does not suffer fools.</t>
  </si>
  <si>
    <t>د.عمر عبدالستار: الخرق الثالث لإيران في الملف النووي قد يؤدي لإنسحاب أوروبي من الاتفاق النووي وصولاً إلى تفعيل آلية فض النزاع التي قد تؤدي إلى عودة إيران إلى البند السابع مرورا بمجلس الأمن الدولي  - جمال خاشقجي #JamalKhashoggi #تركيا</t>
  </si>
  <si>
    <t>pic.twitter.com/8oKWq3ZmFR</t>
  </si>
  <si>
    <t>Aaron Howland</t>
  </si>
  <si>
    <t>"Turkish troops have begun an offensive in north-eastern #Syria, which could lead to direct conflict with #Kurdish-led forces allied to the United States." Nice job pulling our forces out, #Trump. 1 more asshole thing for supporters to defend.  #TurkishArmy</t>
  </si>
  <si>
    <t>https://www.bbc.co.uk/news/world-middle-east-49983357</t>
  </si>
  <si>
    <t>مشعل صغير</t>
  </si>
  <si>
    <t>Trump-Loving Hell, Massachusetts</t>
  </si>
  <si>
    <t>Stay-at-Home Parent; Filmmaker w/ @7fluidoz; Sentient Protein Factory | He/Him/His | #BlackLivesMatter #RefugeesWelcome | #LGBTQ</t>
  </si>
  <si>
    <t>http://www.7fluidoz.com/</t>
  </si>
  <si>
    <t xml:space="preserve"> يحيى  آل صالح</t>
  </si>
  <si>
    <t>pic.twitter.com/kQxFZfugIl</t>
  </si>
  <si>
    <t>kaan kont “FENERBAHÇE”</t>
  </si>
  <si>
    <t>Dünyada zülmedenlerin karşısında duran tek ordu!🇹🇷savaşta kadınlara, çoçuklara, sivillere dokunmayan tek ordu! 🇹🇷savaşta barışı sağlayan tek ordu 🇹🇷 savaşta yıkan değil, yeniden imar eden tek ordu 🇹🇷🇹🇷🇹🇷🇹🇷🇹🇷 #TurkishArmy #BarışPınarıHarekati #TürkMilletiOrdusununYanında</t>
  </si>
  <si>
    <t>هيثم البيشي</t>
  </si>
  <si>
    <t>pic.twitter.com/4n8Vblke1F</t>
  </si>
  <si>
    <t>#Fenerbahçe #antalya 🇹🇷💙💛 Hep, bu dünya hep yalan dolan, senin sevgindir aslolan, sonuna kadar biz Fenerbahçeliyiz ulan!!</t>
  </si>
  <si>
    <t>𝓕𝓪𝓽𝓲𝓱</t>
  </si>
  <si>
    <t>Savaştaymış gibi eğitim alan askerlerimiz eğitimdeymiş gibi rahat edeceklerdir. Ayağına taş değmesin askerlerimizin. #BarisPinariHarekati #TürkSilahlıKuvvetleri #OperationPeaceSpring #TurkishArmy</t>
  </si>
  <si>
    <t xml:space="preserve"> محمد بن صالح</t>
  </si>
  <si>
    <t>د. أحمد الأنصاري: مستشار أمني وباحث في العلاقات الدولية: المسؤولين الإيرانيين لا ينامون الليل خوفاً من انتقال عدوى المظاهرات إلى ايران .  #خاشقجي #عام_على_رحيل_جمال</t>
  </si>
  <si>
    <t>pic.twitter.com/AWfZegM4Lw</t>
  </si>
  <si>
    <t>http://fatih.gurses.org</t>
  </si>
  <si>
    <t>Alper Yahya Güneş</t>
  </si>
  <si>
    <t>Şu kopan fırtına TÜRK ordusudur ya rab Allah yar ve yardımcısı olsun ordumuzun.... #BarisPinari #TurkishArmy RT @tcsavunma: Engel Tanımaz Aşarız!🇹🇷 #MSB #TSK</t>
  </si>
  <si>
    <t>شاهين النصر</t>
  </si>
  <si>
    <t>https://twitter.com/tcsavunma/status/1181562362844897280</t>
  </si>
  <si>
    <t>pic.twitter.com/saZpbthE2w</t>
  </si>
  <si>
    <t>pic.twitter.com/I6al9XN2H5</t>
  </si>
  <si>
    <t xml:space="preserve">   ناصر  الشبانات</t>
  </si>
  <si>
    <t>pic.twitter.com/Nsfyf13X0l</t>
  </si>
  <si>
    <t>عبدالرحمن الحربي</t>
  </si>
  <si>
    <t>pic.twitter.com/OcLDzHcn1y</t>
  </si>
  <si>
    <t>و تلعب أيضا دورا هاما في التطوير و الشؤون الثقافية و تصبح نقطة الاتصال مع الصحافة المحلية، فعاليات سفارات</t>
  </si>
  <si>
    <t xml:space="preserve">  عبدالغني العبدلي</t>
  </si>
  <si>
    <t>د. نايف الوقاع: ما تقوم به عصابة الحوثي المدعومة من ايران في اليمن تعتبر جريمة حرب بكل ما تحمله من معاني.  - جمال خاشقجي #JamalKhashoggi #تركيا</t>
  </si>
  <si>
    <t>pic.twitter.com/cMWBf5rdQR</t>
  </si>
  <si>
    <t>Murat Gözüdok</t>
  </si>
  <si>
    <t>Gazamız mübarek olsun🇹🇷🇹🇷🇹🇷 #TurkishArmy #BarisPinariHarekati</t>
  </si>
  <si>
    <t>https://pbs.twimg.com/media/EGcTUD4WsAAXzBF.jpg</t>
  </si>
  <si>
    <t xml:space="preserve">   مطلق الشمري</t>
  </si>
  <si>
    <t>حصرياً. السفير ادم ايرلي متحدث الخارجية الأمريكية السابق: اردوغان المنافق..يذرف دموع التماسيح على جمال خاشقجي بينما يزج بالاَف الاتراك بالسجونAdam Ereli: Erdogan is the biggest hypocrite on the plant  #JamalKhashoggi #تركيا</t>
  </si>
  <si>
    <t>İstanbul İl Millî Eğitim Şube Müdürü</t>
  </si>
  <si>
    <t>pic.twitter.com/VIcyQbTPT5</t>
  </si>
  <si>
    <t>Enes İNCİ</t>
  </si>
  <si>
    <t>Kaçmayın Amına Koduklarım 😂👊🏻 #BarisPinari #BarisPinariHarekati #TurkishArmy RT @1parcatuhaftik: #BarışPınarıHarekatı | Rasulayn yakınlarındaki Tel Halaf köyünde bulunan çok sayıda terörist silah bırakıp kaçtı. #SONDAKİKA - #TurkishArmy - #BarışPınarı🇹🇷</t>
  </si>
  <si>
    <t>https://twitter.com/1parcatuhaftik/status/1181934462294204416</t>
  </si>
  <si>
    <t>عبدالرحمن عبيد</t>
  </si>
  <si>
    <t>pic.twitter.com/L311AhmeTL</t>
  </si>
  <si>
    <t>Fenerbahçeli,Atatürkçü,Marangoz,Terazi Burcu,Her Şeye Gülen,Marslı Biri,Diplomalı Röntcü,Unicorn Besliyorum,Ejderya Alabilirim.Ufo Tamiri Yapılır.Akü Satılır 🌿</t>
  </si>
  <si>
    <t>http://instagram.com/enes.inci</t>
  </si>
  <si>
    <t>Misvak Caps ⚡</t>
  </si>
  <si>
    <t xml:space="preserve"> حامد شعفه</t>
  </si>
  <si>
    <t>أ. نايف الحربي: إعلامي وكاتب صحفي : الآلة الإعلامية القطرية و قناة الجزيرة وتوابعها هزموا .  - جمال خاشقجي #JamalKhashoggi #السعودية</t>
  </si>
  <si>
    <t>https://pbs.twimg.com/media/EGcTdxxX0AAz6we.jpg</t>
  </si>
  <si>
    <t>pic.twitter.com/MOJYQWxLie</t>
  </si>
  <si>
    <t>http://instagram.com/misvakcaps</t>
  </si>
  <si>
    <t xml:space="preserve"> عبدالله محسن</t>
  </si>
  <si>
    <t>pic.twitter.com/2qoh31LBnY</t>
  </si>
  <si>
    <t>necoztrk</t>
  </si>
  <si>
    <t>Vur şanlı silahınla gönül mülkü düzelsin Sen vururken de öldürürken de güzelsin.......#TurkishArmy #BarisPinariHarekati Türk beklenendir 🇹🇷🇹🇷🇹🇷</t>
  </si>
  <si>
    <t>https://pbs.twimg.com/media/EGcTc9aWoAUB27l.jpg</t>
  </si>
  <si>
    <t xml:space="preserve"> احمد مرعي</t>
  </si>
  <si>
    <t>أ. نايف الحربي: إعلامي وكاتب صحفي: ايران قابلت الاتفاق النووي بالمزيد من العمليات الإرهابية والتخريبية .  - جمال خاشقجي #خاشقجي #تركيا</t>
  </si>
  <si>
    <t>pic.twitter.com/Olj832ZLE0</t>
  </si>
  <si>
    <t>Türk olmak şereftir... 🇹🇷🇹🇷🇹🇷Türk,töre,toy,turan</t>
  </si>
  <si>
    <t>Tarık Sincanlı</t>
  </si>
  <si>
    <t xml:space="preserve"> ابراهيم عبدالله </t>
  </si>
  <si>
    <t>محلل قناة ٢٤ سعودي الفضائية د. صباح الخزاعي في بصريح العبارة : كلمة أردوغان أمام الجمعية العامة الأمم المتحدة تضمنت تصرف أحمق وصلف وعنجهية وتدخُّل فاضح في شؤون مصر .  - جمال خاشقجي #خاشقجي #قطر</t>
  </si>
  <si>
    <t>https://pbs.twimg.com/media/EGcTbYsWoAAlgTQ.jpg</t>
  </si>
  <si>
    <t>pic.twitter.com/Qe6tpxlVAS</t>
  </si>
  <si>
    <t>عوف الشاهين</t>
  </si>
  <si>
    <t>pic.twitter.com/mSTpJb3R1d</t>
  </si>
  <si>
    <t>Tayfun</t>
  </si>
  <si>
    <t>Vur mehmedim! Kundakta yetim kalan için vur! Sevmeye doyamadan dul kalan şehit eşleri için vur. Bizim için vur! #TurkishArmy #BarışPınarıHarekatı RT @1parcatuhaftik: #BarışPınarıHarekatı | Akçakale'de şehir hoparlörlerinde Mehter Marşı çalıyor. #SONDAKİKA - #TurkishArmy - #BarışPınarı🇹🇷</t>
  </si>
  <si>
    <t>https://twitter.com/1parcatuhaftik/status/1181933644425912320</t>
  </si>
  <si>
    <t>عبدالله القاسم</t>
  </si>
  <si>
    <t>أ. نايف الحربي: إعلامي وكاتب صحفي : لايزال سلوك ايران عدواني  - جمال خاشقجي #ايران #خاشقجي</t>
  </si>
  <si>
    <t>pic.twitter.com/WgUbeMrSXN</t>
  </si>
  <si>
    <t>Mehmet  Aksoy</t>
  </si>
  <si>
    <t>The turkish army is coming for peace and justice. The most powerful army in the world. May Allah protect you guys from All kind of acccident. 🇹🇷 #TurkishArmy #BarisPinariHarekati</t>
  </si>
  <si>
    <t>İstanbul-bolu</t>
  </si>
  <si>
    <t>Dar Es Salaam 📍🇹🇿</t>
  </si>
  <si>
    <t>Emrah KAV</t>
  </si>
  <si>
    <t>Muzaffer Türk Ordusu' nun, Mehmetciğin ayağına taş değmesin. Okunan ve okunacak dualar kabul olsun inşallah. 🇹🇷 #BarışPınarıHarekatı #TurkishArmy #OperationPeaceSpring</t>
  </si>
  <si>
    <t>https://pbs.twimg.com/media/EGcTYdxXoAEg__l.jpg</t>
  </si>
  <si>
    <t>pic.twitter.com/Li2rKj1TxT</t>
  </si>
  <si>
    <t>TURKEY/İstanbul</t>
  </si>
  <si>
    <t>Kader gayrete aşıktır.</t>
  </si>
  <si>
    <t>السفارة المملكة العربية السعودية في الولايات المتحدة ـ في حال عدم إمكانية القنصلية في هيوستن أو أية قنصلية المملكة العربية السعودية في الولايات المتحدة لمساعدتك</t>
  </si>
  <si>
    <t>Batuhan Yavuz</t>
  </si>
  <si>
    <t>Ayağınıza Taş Değmesin 🇹🇷🇹🇷🇹🇷 #TurkishArmy #BarisPinariHarekati</t>
  </si>
  <si>
    <t>https://pbs.twimg.com/media/EGcTYk7WwAIet4f.jpg</t>
  </si>
  <si>
    <t>#BornObserver🌈</t>
  </si>
  <si>
    <t>@MaxBoot @PostOpinions What about all the children and civilians being killed in Yemen? Starvation #JamalKhashoggi and the Saudis. Trump Vetoes Measure to Force End to U.S. Involvement in Yemen War</t>
  </si>
  <si>
    <t>https://nyti.ms/2v7UNfo</t>
  </si>
  <si>
    <t>Adana ⚖</t>
  </si>
  <si>
    <t>NYC, Amsterdam, London</t>
  </si>
  <si>
    <t>Invest like you're in the Billionaire's Club. It's all about the Benjamins #GBTC #Marketing #Python #AI #LGBTQ #Equality #BigData #AnimalRights #HumanRights</t>
  </si>
  <si>
    <t>http://BernieSanders.com</t>
  </si>
  <si>
    <t xml:space="preserve"> محمود الصبيحي</t>
  </si>
  <si>
    <t>pic.twitter.com/7cOz9xqs24</t>
  </si>
  <si>
    <t>صالح العتيبي</t>
  </si>
  <si>
    <t>pic.twitter.com/8kPr9vPTOM</t>
  </si>
  <si>
    <t>يوسف مريع</t>
  </si>
  <si>
    <t>د. عدنان محمد: لدى موظفي قناة الجزيرة ولاءها للنظام الإرهابي في ايران أكثر من الشعب الإيراني الحر الأبي الذي يخرج كل يوم ويهتف لإسقاط هذا النظام الذي يحتل ايران .  - جمال خاشقجي #خاشقجي #قطر</t>
  </si>
  <si>
    <t>pic.twitter.com/DuBd64AhGP</t>
  </si>
  <si>
    <t>Yurt Ajans Tv</t>
  </si>
  <si>
    <t>#TurkishArmy #BarisPinariHarekati #BarisPinari #suriye #Turkey #Türkiye #Suriyesınırı #syrian</t>
  </si>
  <si>
    <t>https://www.guney24.com/haber/sanatci-ve-yazarlardan-operasyona-tepki/</t>
  </si>
  <si>
    <t>https://pbs.twimg.com/media/EGcTXO2WkAEPStV.jpg</t>
  </si>
  <si>
    <t xml:space="preserve"> خليفه البحراني</t>
  </si>
  <si>
    <t>د. عدنان محمد : مكاتب قناة الجزيرة في البلدان هي وكر للتجسس وزرع الخلايا التي تريد نشر الفوضى.  - جمال خاشقجي #خاشقجي #عام_على_رحيل_خاشقجي</t>
  </si>
  <si>
    <t>pic.twitter.com/vhluyujBmk</t>
  </si>
  <si>
    <t>Yurt Ajans Medya Reklam ve Tanıtım</t>
  </si>
  <si>
    <t>🇹🇷 Hatice</t>
  </si>
  <si>
    <t>Dualarımız sizinle Allah yar ve yardımcımız olsun nice zaferlerle sağ salim dönmek nasip olsun sizlere.. #Çarşamba #OperationPeaceSpring #TurkishArmy #BarışPınarı</t>
  </si>
  <si>
    <t xml:space="preserve"> ابراهيم السعيد </t>
  </si>
  <si>
    <t>https://pbs.twimg.com/media/EGcTWogXoAAB4UB.jpg</t>
  </si>
  <si>
    <t>pic.twitter.com/Jc5YIcOYIl</t>
  </si>
  <si>
    <t>Mekke Kudüs İstanbul/ Müebbete razıyım Kalemimi kıran Sen isen!</t>
  </si>
  <si>
    <t xml:space="preserve"> حمدان العبيكان</t>
  </si>
  <si>
    <t>أ. نايف الحربي: إعلامي وكاتب صحفي: قناة الجزيرة تعتمد على الإعلاميين الهاربين من دولهم .  - جمال خاشقجي #خاشقجي #عام_على_اغتيال_جمال</t>
  </si>
  <si>
    <t>OğuzHan 𐱅𐰇𐰼𐰰</t>
  </si>
  <si>
    <t>pic.twitter.com/6OcOfAy4FT</t>
  </si>
  <si>
    <t>#TurkishArmy #BarisPinari #TSK</t>
  </si>
  <si>
    <t>https://pbs.twimg.com/media/EGcTWchWsAEWmJd.jpg</t>
  </si>
  <si>
    <t>Eskişehir - Karabük</t>
  </si>
  <si>
    <t>Milliyetçilik, Milliyeti olmayanlar için faşizmdir. 08.12.14 ❤️</t>
  </si>
  <si>
    <t>فاتينة الإيمان</t>
  </si>
  <si>
    <t>pic.twitter.com/KZCByplVVE</t>
  </si>
  <si>
    <t>B U L U T</t>
  </si>
  <si>
    <t>Kaçmayın acımayacak #TurkishArmy RT @1parcatuhaftik: #BarışPınarıHarekatı | Rasulayn yakınlarındaki Tel Halaf köyünde bulunan çok sayıda terörist silah bırakıp kaçtı. #SONDAKİKA - #TurkishArmy - #BarışPınarı🇹🇷</t>
  </si>
  <si>
    <t xml:space="preserve"> ﻣﺤﺴﻦ ﺍﻟﺨﺎﻟﺪﻱ</t>
  </si>
  <si>
    <t>محلل قناة ٢٤ سعودي الفضائية عبدالجليل السعيد في حقائق في دقائق : ايران تخسر وتفضح وتسقط ايران نمر من ورق يثير القلق..يسقط رويداً رويداً  - جمال خاشقجي #ايران #خاشقجي</t>
  </si>
  <si>
    <t>Edirne/Aydın</t>
  </si>
  <si>
    <t>öyle gidiyoz işte</t>
  </si>
  <si>
    <t>http://instagram.com/aytugbulut1</t>
  </si>
  <si>
    <t>pic.twitter.com/lzurd3cUs7</t>
  </si>
  <si>
    <t>Wisam</t>
  </si>
  <si>
    <t>When you have no interest, you have become perfect and you care about people's lives 🙄🙄 #TurkishArmy #نبع_السلام RT @realDonaldTrump: The United States has spent EIGHT TRILLION DOLLARS fighting and policing in the Middle East. Thousands of our Great Soldiers have died or been badly wounded. Millions of people have died on the other side. GOING INTO THE MIDDLE EAST IS THE WORST DECISION EVER MADE.....</t>
  </si>
  <si>
    <t>https://twitter.com/realDonaldTrump/status/1181905659568283648</t>
  </si>
  <si>
    <t>د. نايف الوقاع: ما تقوم به عصابة الحوثي المدعومة من ايران في اليمن تعتبر جريمة حرب بكل ما تحمله من معاني.  - جمال خاشقجي #JamalKhashoggi #السعودية</t>
  </si>
  <si>
    <t>pic.twitter.com/6FDaWdf3oV</t>
  </si>
  <si>
    <t xml:space="preserve">في أرض الله الواسعة </t>
  </si>
  <si>
    <t>‏‏‏الحقُ يَعلو ولا يعلى عليه.....دائماً أقف مع ‎‎‎#العدالة ‎‎‎#وحقوق_الإنسان.. (إعادةُ التغريدة لا يعني تبنيها)</t>
  </si>
  <si>
    <t xml:space="preserve"> ﻣﺒﺎﺭﻙ ﺍﻟﺠﻨﻴﺢ</t>
  </si>
  <si>
    <t>pic.twitter.com/ebLmiBQix3</t>
  </si>
  <si>
    <t>حامد الحربي</t>
  </si>
  <si>
    <t>محلل قناة ٢٤ سعودي الفضائية د. أنور مالك في المراقب : "كتاب أوراق قطر" تحقيق استقصائي أورد أن الدوحة حولت مبالغ مالية كبيرة إلى أوروبا لدعم 140 مشروعاً يرتبط بالتنظيم الدولي للإخوان  - جمال خاشقجي #ايران #خاشقجي</t>
  </si>
  <si>
    <t>pic.twitter.com/ooc1VcLCxk</t>
  </si>
  <si>
    <t>Ömer Ali TAYLAN</t>
  </si>
  <si>
    <t>playstation 5 fiyatı çıkış tarihi özellikleri oyunları #PS5 #PlayStation5 #PlayStation #TurkishArmy #BarisPinariHarekati #BarisPinari tıkla izle</t>
  </si>
  <si>
    <t>https://youtu.be/zNHXJ2G4w1s</t>
  </si>
  <si>
    <t xml:space="preserve">فاضل القسومي  </t>
  </si>
  <si>
    <t>pic.twitter.com/MGeWEyYH1i</t>
  </si>
  <si>
    <t>MERKEZEFENDİ/DENİZLİ/TÜRKİYE</t>
  </si>
  <si>
    <t>Youtuber,öğrenci</t>
  </si>
  <si>
    <t>https://www.youtube.com/channel/UCwpWBIkQtEHm26TB25uKaNw</t>
  </si>
  <si>
    <t>عمار الوالي</t>
  </si>
  <si>
    <t>pic.twitter.com/xPqfvEvech</t>
  </si>
  <si>
    <t>Faik Emre YILMAZ</t>
  </si>
  <si>
    <t>#BarışPınarı #TurkishArmy</t>
  </si>
  <si>
    <t>https://pbs.twimg.com/media/EGcTU14W4AIyW-y.jpg</t>
  </si>
  <si>
    <t xml:space="preserve"> باب النجار مخَلَّع</t>
  </si>
  <si>
    <t>Osmaniye, Türkiye</t>
  </si>
  <si>
    <t>Çeyrek Mühendis, kul.</t>
  </si>
  <si>
    <t>https://www.vaynat.com</t>
  </si>
  <si>
    <t>♤ ysndmrc ¹⁹⁰⁷ 🇹🇷🇹🇷</t>
  </si>
  <si>
    <t>Vira bismillah Allahım sen en yücesin en büyüksün Ordumuza güç kuvvet ver. Yaşasın ırkımız !!!! Çine bedel 40'mız !!! #TurkishArmy #BarisPinari #BarisPinariHarekati</t>
  </si>
  <si>
    <t>Hamdan Odha Al-Bishi</t>
  </si>
  <si>
    <t>pic.twitter.com/GZCvPdLbkY</t>
  </si>
  <si>
    <t>#NKFDVAS #NKDDVAS !! Psikolojisinin götürdüğü yere giden adam</t>
  </si>
  <si>
    <t>la_edri61</t>
  </si>
  <si>
    <t>Yahudileşmiş Türklerle, Ermenileşmiş Kürtlerle İslam Düşmanı İt'lerle, Yedi Düvelle Savaşıyoruz..🇹🇷 Sen Gâlip Eyle Allâhım..! #BarışPınarıHarekati #BarisPinari #TurkishArmy</t>
  </si>
  <si>
    <t>https://pbs.twimg.com/media/EGcTUm8WkAYRb-H.jpg</t>
  </si>
  <si>
    <t>Nev-i Şahsına Münhasır 😉🍀🐞🇹🇷 Trabzon &amp; Trabzonspor ❤️💙</t>
  </si>
  <si>
    <t xml:space="preserve"> ﻧﺎﻳﻒ ﺍﻟﻤﺴﻌﺮﻱ </t>
  </si>
  <si>
    <t>د. صالح آل ورثان: إعلامي وناقد صحفي: الاتراك خلقوا فتنة ما بين مكونات الشعب السوري وتحديداً بين العرب والأكراد .  #خاشقجي #عام_على_اغتيال_جمال</t>
  </si>
  <si>
    <t>pic.twitter.com/RhU2LlYTy7</t>
  </si>
  <si>
    <t>Metin Çifci </t>
  </si>
  <si>
    <t>Sefer bizim, Zafer Allahındır! Allah ordumuzu korusun! 🇹🇷🇹🇷 #TurkishArmy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</si>
  <si>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https://twitter.com/rterdogan/status/1181919804619407360</t>
  </si>
  <si>
    <t>مزيد الزاكي</t>
  </si>
  <si>
    <t>İstanbul - Ünye 🇹🇷🇹🇷</t>
  </si>
  <si>
    <t>ODÜ 📚 FENERBAHÇE 💛💙</t>
  </si>
  <si>
    <t>https://www.instagram.com/ciifciimtn/</t>
  </si>
  <si>
    <t xml:space="preserve">   عقل  العنزي</t>
  </si>
  <si>
    <t>pic.twitter.com/0FA2Vm4oQS</t>
  </si>
  <si>
    <t>𝓕𝓪𝓽𝓲𝓱 𝓢𝓪𝓻 𝓗𝓪𝓼𝓪𝓷🔱</t>
  </si>
  <si>
    <t>" Şüphesiz biz sana apaçık bir fetih verdik. " - Fetih Suresi 1. Ayet. Türk Ordumuzun gücüne güç katmak için Fetih Suresini okuyalım ve okutalım. ! (Aşağıda ki görselde ilk 4 ayet mevcuttur.) #TurkishArmy #BarisPinariHarekati #OperationPeaceSpring 🤲</t>
  </si>
  <si>
    <t>https://pbs.twimg.com/media/EGcTSAuXUAASLrZ.jpg</t>
  </si>
  <si>
    <t>Greece</t>
  </si>
  <si>
    <t>▪Ankara BATÖB-Başkanı 📚Ankara/Gazi uni.-International relations. 🏡BATI TRAKYA-Gümülcine</t>
  </si>
  <si>
    <t>https://www.instagram.com/fatihsarhasan/</t>
  </si>
  <si>
    <t xml:space="preserve"> أيمن  الزهراني </t>
  </si>
  <si>
    <t>د. أنور مالك :"كتاب أوراق قطر"أشار إلى أن موظفاً كبيراً في السفارة القطرية في باريس، يقوم بدور بارز في تسهيل الإمدادات المالية في إطار صناعة النفوذ في قطر، عبر شبكات تابعة لتنظيم الإخوان  - جمال خاشقجي #JamalKhashoggi #السعودية</t>
  </si>
  <si>
    <t>pic.twitter.com/JEzNKaJaos</t>
  </si>
  <si>
    <t>TARIK Ç.</t>
  </si>
  <si>
    <t>Vur Mehmedim! vur ki; bahtım uyansın. Tekbir sadaları, arşa dayansın, Sen ki; çelikleşmiş imansın, Vur Mehmedim! Hak için, Allah için, mazlumlardan yükselen o 'Ah' için. #BarışPınarıHarekatı #TurkishArmy</t>
  </si>
  <si>
    <t>https://pbs.twimg.com/media/EGcTR7WX0AAf62N.jpg</t>
  </si>
  <si>
    <t>خليفه قرواعي</t>
  </si>
  <si>
    <t>أ. سامي المرشد: قطر عبارة عن محطة غاز وقناة إعلامية مُسيطِر عليها جهات أكبر من حجمها تستغلها لزرع العداوة وبث السموم في المنطقة.  - جمال خاشقجي #JamalKhashoggi #قطر</t>
  </si>
  <si>
    <t>pic.twitter.com/aHO5YXbBR6</t>
  </si>
  <si>
    <t>İzmit / İstanbul</t>
  </si>
  <si>
    <t>Kocaeli Üniversitesi Spor Bilimleri Fakültesi Swimming coach 🏊🏻‍♂️ TSSF LifeGuard</t>
  </si>
  <si>
    <t>http://instagram.com/tarikcolakk</t>
  </si>
  <si>
    <t xml:space="preserve"> حسين بهرر    </t>
  </si>
  <si>
    <t>pic.twitter.com/GLJTTvWNBW</t>
  </si>
  <si>
    <t>Hakan Erciyes</t>
  </si>
  <si>
    <t>"Lâ gâlibe illâllah" [Allah‘tan başka galip yok] #TurkishArmy #BarisPinariHarekati #OperationPeaceSpring</t>
  </si>
  <si>
    <t>https://pbs.twimg.com/media/EGcTRDSW4AMRmYY.jpg</t>
  </si>
  <si>
    <t xml:space="preserve">  خالد المرزوق</t>
  </si>
  <si>
    <t>د. محمد الحلفي – الباحث في التاريخ الحديث: اصبح التسويق لـ قناة الجزيرة غير مقبول في ظل ما تقوم به.  #JamalKhashoggi #تركيا</t>
  </si>
  <si>
    <t>pic.twitter.com/VDwjzwdFU3</t>
  </si>
  <si>
    <t>Hᴀʏᴀᴛᴛᴀ ʜᴇʀ şᴇʏ ᴏʟᴀʙɪʟɪʀꜱɪɴ; ғᴀᴋᴀᴛ öɴᴇᴍʟɪ ᴏʟᴀɴ ʜᴀʏᴀᴛıɴ ɪçɪɴᴅᴇ “ɪɴꜱᴀɴ” ᴏʟᴀʙɪʟᴍᴇᴋᴛɪʀ.</t>
  </si>
  <si>
    <t>hatice⚡️🇹🇷</t>
  </si>
  <si>
    <t>Askerini kaybetmek istemiyorsa tabi...#TurkishArmy #BarısPınarHarekatı RT @BolgeGercekleri: #Sondakika ABD Başkanı Donald Trump, Amerikan Silahlı Kuvvetleri'ne YPG/PKK'ya yardım edilmemesi yönünde emir verdi. #BarışPınarıHarekatı</t>
  </si>
  <si>
    <t>https://twitter.com/BolgeGercekleri/status/1181934092486664192</t>
  </si>
  <si>
    <t xml:space="preserve"> حسين غروي</t>
  </si>
  <si>
    <t>pic.twitter.com/tJ5ic4wzpv</t>
  </si>
  <si>
    <t>90 yıllık ara sona erdi...</t>
  </si>
  <si>
    <t>https://instagram.com/kutludavax?utm_source=ig_profile_share&amp;igshid=1scsr6njlz5ix</t>
  </si>
  <si>
    <t>enesdgr</t>
  </si>
  <si>
    <t>Rabbim hiçbir merminizi boşa çıkartmasın. Gazamız mübarek olsun 🇹🇷 #turkmilletiordusununyaninda #BarışPınarıHarekati #TurkishArmy</t>
  </si>
  <si>
    <t>https://pbs.twimg.com/media/EGcTQUrWsAMefzX.jpg</t>
  </si>
  <si>
    <t>Enes</t>
  </si>
  <si>
    <t>pic.twitter.com/hEy2srU19Y</t>
  </si>
  <si>
    <t>محبوبة الحسيني</t>
  </si>
  <si>
    <t>البعد جفاء</t>
  </si>
  <si>
    <t>𝓐𝔃𝓲𝔃𝓲𝓶® 🌙</t>
  </si>
  <si>
    <t>Ve #BarisPinari operasyonu başladı..ALLAH Askerlerimizi korusun...Ayaklarına taş değdirmesin sağ salim Başarı ile çıkmalarını sağlasın.. #TurkishArmy "Arap Birliği"</t>
  </si>
  <si>
    <t>https://pbs.twimg.com/media/EGcTQROX0AUnkFy.jpg</t>
  </si>
  <si>
    <t xml:space="preserve"> عامر الرباعي </t>
  </si>
  <si>
    <t>أ. نايف الحربي: إعلامي وكاتب صحفي: ايران قابلت الاتفاق النووي بالمزيد من العمليات الإرهابية والتخريبية .  - جمال خاشقجي #خاشقجي #عام_على_رحيل_جمال</t>
  </si>
  <si>
    <t>pic.twitter.com/tgGLa3j4PS</t>
  </si>
  <si>
    <t>A z i z i m, ོ⠀⠀⠀⠀ོ⠀⠀⠀⠀ ⠀ ⠀⠀⠀ ⠀⠀ོ⠀ ⠀⠀⠀⠀⠀⠀⠀⠀⠀ ོ⠀⠀ ⠀⠀⠀⠀⠀⠀ ⠀ོ⠀⠀⠀⠀⠀⠀⠀⠀⠀⠀ ོ⠀⠀⠀ ོ⠀⠀⠀⠀⠀⠀ ⠀⠀⠀⠀⠀ ⠀ ོ⠀⠀⠀⠀⠀ ⠀ ⠀⠀⠀ོ⠀⠀⠀⠀⠀⠀⠀ ⠀ོ⠀⠀⠀⠀ ⠀ོ⠀⠀⠀⠀⠀⠀⠀⠀⠀⠀ོ</t>
  </si>
  <si>
    <t xml:space="preserve"> غسان عولقي</t>
  </si>
  <si>
    <t>Fatih Aktas</t>
  </si>
  <si>
    <t>Allah yar ve yardımcınız olsun. Ayağınıza taş değmesin 🇹🇷 #TurkishArmy #BarışPınarıHarekati</t>
  </si>
  <si>
    <t>pic.twitter.com/8JODVLDxRs</t>
  </si>
  <si>
    <t>Never give up 💪</t>
  </si>
  <si>
    <t>http://Instagram.com/rehzen</t>
  </si>
  <si>
    <t>رفاعة البوبال</t>
  </si>
  <si>
    <t>Sivri Dilli🐍</t>
  </si>
  <si>
    <t>#BarisPinariHarekati Türk’ün gücü sınır tanımaz #TurkishArmy 🇹🇷</t>
  </si>
  <si>
    <t> علي المرشدي</t>
  </si>
  <si>
    <t>أ. هاني الحجي : النظام القطري لا يقوم على أسس ومبادئ سياسية وأخلاقية.  #خاشقجي #قطر</t>
  </si>
  <si>
    <t>https://pbs.twimg.com/media/EGcTPEiXoAMDS25.jpg</t>
  </si>
  <si>
    <t>pic.twitter.com/PHVGlfzziO</t>
  </si>
  <si>
    <t>Lafımı esirgemem! Ortaya kooruuum, beğenen alır, beğenmeyen çeker gider 😘</t>
  </si>
  <si>
    <t>صالح عبيد</t>
  </si>
  <si>
    <t>Emili Walter</t>
  </si>
  <si>
    <t>Die Türkei verabschiedet sich damit von wichtigen partnerschaftlichen Zielen der #NATO. #TurkishArmy</t>
  </si>
  <si>
    <t>pic.twitter.com/3UYXd7lQbV</t>
  </si>
  <si>
    <t>https://www.zeit.de/politik/ausland/2019-10/nordsyrien-tuerkei-beginnt-offensive-gegen-kurden</t>
  </si>
  <si>
    <t>قد قمنا بإدراج كافة القنصليات المملكة العربية السعودية في الولايات المتحدة لسهولة استعمالك ، انقر على أقرب مدينة لك في القائمة التالية لمعرفة تفاصيل الاتصال بأق</t>
  </si>
  <si>
    <t>SPD-Mitglied und Juso aus Überzeugung 🌹</t>
  </si>
  <si>
    <t xml:space="preserve"> ﻓﻮﺯﺍﻥ ﺳﻠﻤﺎﻥ</t>
  </si>
  <si>
    <t>MEHMET ALİ KULAT</t>
  </si>
  <si>
    <t>pic.twitter.com/0m2nhTaO6b</t>
  </si>
  <si>
    <t>MEHMET ALİ KULAT MAK DANIŞMANLIK YÖN KUR BŞK ARGEDER STRATEJİ ENSTİTÜSÜ BASKANI</t>
  </si>
  <si>
    <t>http://mehmetalikulat.com</t>
  </si>
  <si>
    <t>Göktuğ Efil</t>
  </si>
  <si>
    <t>#BarisPinari #BarisPinariHarekati #TurkishArmy #turkmilletiordusununyaninda #EmineBulut #OperationPeaceSpring Nabil Dirar Divan Restaurant Meltem Miraloğlu Zeki Çelik Ahmet Nur Çebi Obüs Jet Tel Abyad Resulayn Arap Birliği F-16 Harekatı RT @gazeteortadogu: Türk Silahlı Kuvvetleri, Suriye Milli Ordusu'yla birlikte Suriye'nin kuzeyinde PKK/YPG ve DEAŞ terör örgütlerine karşı Barış Pınarı Harekatı'nı başlattı #BarışPınarıHarekatı #OperationPeaceSpring #BarışPınarı #TurkishArmy</t>
  </si>
  <si>
    <t>https://twitter.com/gazeteortadogu/status/1181933403853205506</t>
  </si>
  <si>
    <t>pic.twitter.com/BsAC8w33PA</t>
  </si>
  <si>
    <t>احمد الغامدي</t>
  </si>
  <si>
    <t>محلل قناة ٢٤ سعودي الفضائية د. أنور مالك في المراقب : نظام الملالي يعيش في مرحلة رعب حقيقي فهو ينشر تهديداته في محاولة لإبعاد شبح الحرب عنه  #خاشقجي #تركيا</t>
  </si>
  <si>
    <t>pic.twitter.com/KlARSmuB4J</t>
  </si>
  <si>
    <t>Journalist &amp; SEO Editor</t>
  </si>
  <si>
    <t>https://www.ortadogugazetesi.com</t>
  </si>
  <si>
    <t>محمد الطويرقي</t>
  </si>
  <si>
    <t>pic.twitter.com/Y3j7EbV0HO</t>
  </si>
  <si>
    <t>Cemlenk</t>
  </si>
  <si>
    <t>Allah yardımcınız olsun. Savaşa değil, böcek ezmeye. #TurkishArmy #BarışPınarıHarekati</t>
  </si>
  <si>
    <t xml:space="preserve"> ﻣﺴﻔﺮ ﺍﻻﺳﻤﺮﻱ</t>
  </si>
  <si>
    <t>pic.twitter.com/mN65FeaaBv</t>
  </si>
  <si>
    <t>19🦁05</t>
  </si>
  <si>
    <t>http://instagram.com/ceemdagli/</t>
  </si>
  <si>
    <t>İBRAHİM ENGİN EĞİLME</t>
  </si>
  <si>
    <t>@Ozguruz_org @candundaradasi O ağır silahları İlhan tanırın müsait yerlerine monte etsin ABD sana da montaj olur @candundaradasi #OperationPeaceSpring #TurkishArmy #BarısPınarıHarekatı</t>
  </si>
  <si>
    <t xml:space="preserve"> ابراهيم الشايب</t>
  </si>
  <si>
    <t>pic.twitter.com/pSrD8bO9fI</t>
  </si>
  <si>
    <t>Ak Parti Düzce Merkez İlçe Yön Kur Üyesi 🇹🇷 Herkeş</t>
  </si>
  <si>
    <t>İsmail Ertek</t>
  </si>
  <si>
    <t>Ya ALLAH,Bismillah🇹🇷 Rabbim muzaffer eylesin. Ayağınıza taş değmesin. #BarisPinari #BarışPınarıHarekati #TurkishArmy</t>
  </si>
  <si>
    <t>https://pbs.twimg.com/media/EGcTNgvWwAEAkXs.jpg</t>
  </si>
  <si>
    <t xml:space="preserve"> قندان الخيواني</t>
  </si>
  <si>
    <t>أ. نايف الحربي: إعلامي وكاتب صحفي: قطر تريد أن تشق الصف العربي والإسلامي .  - جمال خاشقجي #خاشقجي #عام_على_اغتيال_جمال</t>
  </si>
  <si>
    <t>pic.twitter.com/nv29ZyaSjC</t>
  </si>
  <si>
    <t>Northbank Talent Management</t>
  </si>
  <si>
    <t>Congratulations ⁦⁦@jrug⁩ ⁦@simonschusterUK⁩ on publication of #KillingintheConsulate ⁦@Hatchards⁩ this evening. An important, incisive account of the murder of #JamalKhashoggi offering fresh, in-depth context</t>
  </si>
  <si>
    <t>https://pbs.twimg.com/media/EGYfk_tXYAEnoHp.jpg</t>
  </si>
  <si>
    <t>Kendine deist</t>
  </si>
  <si>
    <t>Akıyor bugün maşallah #TurkishArmy #BarisPinariHarekati #PeaceSpringOperation</t>
  </si>
  <si>
    <t>London</t>
  </si>
  <si>
    <t>Talent and literary agency based in central London representing thought leaders, broadcasters and writers across all media throughout the world.</t>
  </si>
  <si>
    <t>http://www.northbanktalent.com</t>
  </si>
  <si>
    <t>https://pbs.twimg.com/media/EGcTNXuWkAAifGT.jpg</t>
  </si>
  <si>
    <t>nisserinQRT</t>
  </si>
  <si>
    <t>cehennemin dibi</t>
  </si>
  <si>
    <t>تحقيقات في المحاكم السعودية في قضية الشهيد #خاشقجي</t>
  </si>
  <si>
    <t>pic.twitter.com/PGp0gRSZBY</t>
  </si>
  <si>
    <t>6284 ile Damızlık kullanılan Adam</t>
  </si>
  <si>
    <t>@RTErdogan Bu iş tamamdır alahın izniyle Şimdi #nafakaKALKSIN Tam zamanı #magduriyetsonbulsun #TurkishArmy #BarisPinari #ailevatandır</t>
  </si>
  <si>
    <t>Morocoo</t>
  </si>
  <si>
    <t>inanç vijdan ve merhamet</t>
  </si>
  <si>
    <t>الخليج الجديد</t>
  </si>
  <si>
    <t>داعية إنجيلي بارز: ترامب خان الأكراد وسمح بتقطيع #خاشقجي</t>
  </si>
  <si>
    <t>http://ow.ly/A17k30pGK0G</t>
  </si>
  <si>
    <t>Cevher Dudayev</t>
  </si>
  <si>
    <t>https://pbs.twimg.com/media/EGcTMjUWkAA4pJg.jpg</t>
  </si>
  <si>
    <t>موقع الخليج الجديد يقدم رواية أخرى عن السياسة والمجتمع وحقوق الإنسان في دول الخليج العربي</t>
  </si>
  <si>
    <t>http://thenewkhalij.news</t>
  </si>
  <si>
    <t>Hedef 2023 Hedef kızıl Elma.🇹🇷🇹🇷🇹🇷 Takip gt</t>
  </si>
  <si>
    <t>Dr.Osman Nuri Akbulut</t>
  </si>
  <si>
    <t>Her Türk Asker Doğar. #TurkishArmy</t>
  </si>
  <si>
    <t>http://www.osmannuriakbulut.com</t>
  </si>
  <si>
    <t>Salem Mubarak Al-Yami,</t>
  </si>
  <si>
    <t>pic.twitter.com/UIjhBc3zId</t>
  </si>
  <si>
    <t>Esra💫</t>
  </si>
  <si>
    <t>Topunuz gelin dedik! Ses çıkmayınca, BİZ GELDİK... #BarisPinariHarekati #TurkishArmy</t>
  </si>
  <si>
    <t>https://pbs.twimg.com/media/EGcTMlXX0AAan-_.jpg</t>
  </si>
  <si>
    <t>علياء الشحاتة</t>
  </si>
  <si>
    <t>pic.twitter.com/E6N7iMkP8G</t>
  </si>
  <si>
    <t>🦅Beşiktaş'ı üzmesinler🦅</t>
  </si>
  <si>
    <t>Hadim-ül İslâm Ufuk🕋</t>
  </si>
  <si>
    <t>Yardımınla Türk'ün gücünü zaferini herkese duyur Ya RABBİ Celle Celaluhu #BarisPinari #BarisPinariHarekati #TurkishArmy #TurkMilletiOrdusununYanında #carsamba #Türkiye #Elhamdülillah #Zaferbizimdir #Allahbizimledir 🇹🇷</t>
  </si>
  <si>
    <t>نايف بن صطام</t>
  </si>
  <si>
    <t>تقرير: ايران تصرخ: المتظاهرين العراقيون تدربوا في معسكرات السعودية وأمريكا .  #ايران #خاشقجي</t>
  </si>
  <si>
    <t>pic.twitter.com/LVXhl9jhA0</t>
  </si>
  <si>
    <t>﷽ ElhamdülillahiRabbilAlemin Allah (ﷻ) ve Rasûlünü (ﷺ) seven dostumuzdur. Yâri Gavs (K.S.) #MUSHAF yaz4012gönder #Beşirderneği Dinim İslâm Türküm ırkçı dğlm</t>
  </si>
  <si>
    <t>KomodoEjderi</t>
  </si>
  <si>
    <t>Türkler geliyor. #OperationPeaceSpring #TurkishArmy</t>
  </si>
  <si>
    <t>https://pbs.twimg.com/media/EGcTL2vWwAMNo7m.jpg</t>
  </si>
  <si>
    <t xml:space="preserve">حمدان الفدا </t>
  </si>
  <si>
    <t>أ. عبدالرحمن الملحم - كاتب ومحلل سياسي : ايران استغلت ضعف الإدارة الامريكية السابقة إدارة "أوباما" .. حين تم توقيع موضوع الملف النووي .  - جمال خاشقجي #خاشقجي #عام_على_رحيل_خاشقجي</t>
  </si>
  <si>
    <t>pic.twitter.com/q6SdhGamWq</t>
  </si>
  <si>
    <t>emrah açıkgöz</t>
  </si>
  <si>
    <t>Ya Allah Bismillah Allah-u Ekber. #TurkishArmy #BarisPinariHarekati #TuerkMilletiOrdusununYanında #turkmilletiordusununyaninda</t>
  </si>
  <si>
    <t xml:space="preserve"> حسين البلوشي</t>
  </si>
  <si>
    <t>pic.twitter.com/XOUNWp7Ysc</t>
  </si>
  <si>
    <t>MTTB Sakarya</t>
  </si>
  <si>
    <t>Sakarya</t>
  </si>
  <si>
    <t>Milli Türk Talebe Birliği Sakarya İl Başkanlığı</t>
  </si>
  <si>
    <t>http://facebook.com/mttbsakarya</t>
  </si>
  <si>
    <t>Sa'ad Shaddad Al-Asmari</t>
  </si>
  <si>
    <t>pic.twitter.com/J5EcPArfwk</t>
  </si>
  <si>
    <t>Artukbey</t>
  </si>
  <si>
    <t>#BarısPınarıOperasyonu #TurkishArmy</t>
  </si>
  <si>
    <t>https://pbs.twimg.com/media/EGcTLRgWwAAfjrC.jpg</t>
  </si>
  <si>
    <t xml:space="preserve"> محمد ال على</t>
  </si>
  <si>
    <t>pic.twitter.com/CdMC3tfse8</t>
  </si>
  <si>
    <t>Önce şeref,sonra hayat.. TRABZON,TRABZONSPOR❤️💙🇹🇷❤️💙</t>
  </si>
  <si>
    <t xml:space="preserve">  مشعان الخليلي </t>
  </si>
  <si>
    <t>محلل قناة ٢٤ سعودي الفضائية د. فهد الشليمي في مع الحدث :الضغط على مصر .. وجعل مصر غير آمنة وغير مستقرة.. هو مربح للأتراك بطريقة مباشرة على المستوى السياحي والاقتصادي والاستثماري  - جمال خاشقجي #JamalKhashoggi #قطر</t>
  </si>
  <si>
    <t>Kubilay Akkanat</t>
  </si>
  <si>
    <t>#BarisPinariHarekati Vur şanlı silahınla gönül mülkü düzelsin, Sen öldürüyorken de vururken de güzelsin! #turkmilletiordusununyaninda #TurkishArmy #TurkeylsNotOurFriend #TurkeyKurds</t>
  </si>
  <si>
    <t>pic.twitter.com/Lt4a1GpFov</t>
  </si>
  <si>
    <t>https://pbs.twimg.com/media/EGcTKumWkAA_5ZY.jpg</t>
  </si>
  <si>
    <t>Türk, öğün, çalış, güven!</t>
  </si>
  <si>
    <t>أدهم الدماس</t>
  </si>
  <si>
    <t>ismail ozturk</t>
  </si>
  <si>
    <t>Ya rabbi Medine de yatan habibin Muhammet Mustafa sav hürmetine sen askerlerimizi koru kolla yarabbi sen ol der sen olur sen zaferle bizleri müjdele ya rabbi amin amin amin #BarisPinariHarekati #TurkishArmy #BarisPinari</t>
  </si>
  <si>
    <t>pic.twitter.com/9sTKdm908i</t>
  </si>
  <si>
    <t>حسان عبدالرحيم</t>
  </si>
  <si>
    <t>pic.twitter.com/kbRqTq4wYE</t>
  </si>
  <si>
    <t xml:space="preserve">علي موسى </t>
  </si>
  <si>
    <t>أ. هاني الحجي: التقاسم العثماني الصفوي على العالم العربي بدأ بين ايران و تركيا .  #JamalKhashoggi #تركيا</t>
  </si>
  <si>
    <t>pic.twitter.com/Gxl0Tf6IVY</t>
  </si>
  <si>
    <t>İsmail A.</t>
  </si>
  <si>
    <t>#BarışPınarıHarekati #TurkishArmy Rabbim ayağınızı taşa değdirmesin. Allah yar ve yardımcınız olsun yiğitler. Gazamız Mübarek olsun Ya Allah Bismillah Allahu Ekber</t>
  </si>
  <si>
    <t>https://pbs.twimg.com/media/EGcTF5_WoAIBjKg.jpg</t>
  </si>
  <si>
    <t>ﻧﺎﺻﺮ ﺍﻟﺼﺎﻋﺪﻱ</t>
  </si>
  <si>
    <t>أ. خالد النزر : هناك أطماع تركية واضحة في الأراضي السورية ، وأصبحت سوريا قابلة للتقسيم في ظل الظروف التي تمر بها.  #JamalKhashoggi #تركيا</t>
  </si>
  <si>
    <t>Sadece Beşiktaş 🏴 🏳</t>
  </si>
  <si>
    <t>pic.twitter.com/6JpYxwgZrH</t>
  </si>
  <si>
    <t>Mehmet İnce</t>
  </si>
  <si>
    <t>Taş değmesin ayağınıza Bu millet her zaman yaninizda.. 🇹🇷🇹🇷🇹🇷🇹🇷 #BarisPinari #TurkishArmy</t>
  </si>
  <si>
    <t>Heryerdeyim...</t>
  </si>
  <si>
    <t>Derdi dünya oLanin dünya kadar derdi oLur..</t>
  </si>
  <si>
    <t>نواف عائش</t>
  </si>
  <si>
    <t>pic.twitter.com/izM0hDAyMS</t>
  </si>
  <si>
    <t>Mehri Ata</t>
  </si>
  <si>
    <t>Baris pinari harekatina katilan askerlerimizin Rabbim yar ve yardimcisi olsun 🤲🏻✨✨ Ayagina tas degmesin mehmetcik 🇹🇷🇹🇷🇹🇷🇹🇷🇹🇷 🤲🏻 #TurkishArmy #Erdogan #BarisPinari #BarisPinariHarekati #BarısPınarlarıHarekatı #BarısPınarıOperasyonu #baris</t>
  </si>
  <si>
    <t>https://pbs.twimg.com/media/EGcTI-MWwAAuDcc.jpg</t>
  </si>
  <si>
    <t>المملكة العربية السعودية في هيوستن ترأسها Mr Sultan Abdullah A. Al Angari قنصل المملكة العربية السعودية في الولايات المتحدة</t>
  </si>
  <si>
    <t>فضل الله الساري</t>
  </si>
  <si>
    <t>Ichenhausen, Deutschland</t>
  </si>
  <si>
    <t>pic.twitter.com/NZJCDivUxw</t>
  </si>
  <si>
    <t>#mehriata http://www.mehriata.com</t>
  </si>
  <si>
    <t>http://www.mehriata.com</t>
  </si>
  <si>
    <t>Fatih Başarış</t>
  </si>
  <si>
    <t>Askerimizin ayağına taş değmesin. Rabbim tüm mehmetçiklerimize yar ve yardımcı olsun. #BarisPinariHarekati #BarisPinari #TurkishArmy</t>
  </si>
  <si>
    <t>https://pbs.twimg.com/media/EGcTIkfXoAIBBTa.jpg</t>
  </si>
  <si>
    <t xml:space="preserve">  حماد العبيدي</t>
  </si>
  <si>
    <t>محلل قناة ٢٤ سعودي الفضائية د. أنور مالك في المراقب : إيران تعاني من ضغوط داخلية وخارجية بسب العقوبات الأمريكية التي استهدفت تصفير صادرات النفط الإيراني  #خاشقجي #تركيا</t>
  </si>
  <si>
    <t>pic.twitter.com/6yYDdif63o</t>
  </si>
  <si>
    <t>İzmit, Kocaeli</t>
  </si>
  <si>
    <t>http://elektrohobim.com</t>
  </si>
  <si>
    <t>ناصر الصايغ</t>
  </si>
  <si>
    <t>pic.twitter.com/7NQAKtG59j</t>
  </si>
  <si>
    <t>ysn</t>
  </si>
  <si>
    <t>#BarışPınarıHarekatı başladı. Türkiye’nin hedefi terör koridorunu yok etmek, barış koridorunu tesis etmek. Cenab-ı Hak Aslanlarımızın yâr ve yardımcısı olsun. Rabbim ayağınıza taş değdirmesin #OperationPeaceSpring #TurkishArmy</t>
  </si>
  <si>
    <t>https://pbs.twimg.com/media/EGcTHj8X0AAhNyy.jpg</t>
  </si>
  <si>
    <t>ﻣﺎﺯﻥ ﺍﻟﺜﻘﻔﻲ</t>
  </si>
  <si>
    <t>اتصال / أ. أيمن إبراهيم : إعلامي وباحث إستقصائي - القاهرة : منذ سقوط الإخوان الإرهابيين عام 2013 في مصر سقطت نسبة المشاهدين لـ قناة الجزيرة بشكل كبير جدا.  #خاشقجي #عام_على_رحيل_جمال</t>
  </si>
  <si>
    <t>pic.twitter.com/idoVuRXkxX</t>
  </si>
  <si>
    <t>Circassian-Turkish radio and television corporation-TRT/ Eskişehirspor FC.Yönetim kurulu üyesi /TFF ve Hukuk işl.Sorumlu Asbaşkan</t>
  </si>
  <si>
    <t xml:space="preserve"> سلطان آل زمام </t>
  </si>
  <si>
    <t>pic.twitter.com/0gT01tHbZY</t>
  </si>
  <si>
    <t>News India</t>
  </si>
  <si>
    <t>#BreakingNews पूर्वोत्तर सीरिया में तुर्की हवाई हमले 'नागरिकों को निशाना बना रहा है'#USA #Turkey #NorthSyria #TurkishArmy #Trump #Warriors #Liveupdates #latestnews #newsindia @vvs_kumawat @atul_ahsas @newsreposts @designer_umang @Devrha_aman @GAURAVSINGH05 @sunilduttsharm5</t>
  </si>
  <si>
    <t>https://pbs.twimg.com/media/EGcTIB5U4AAmqBA.jpg</t>
  </si>
  <si>
    <t>India</t>
  </si>
  <si>
    <t>NewsIndia the National News, 24x7 views and entertainment channel with a world perspective and impressive viewership was originally launched in 2014.</t>
  </si>
  <si>
    <t>خلف الشمراني</t>
  </si>
  <si>
    <t>Esra Kurtulus</t>
  </si>
  <si>
    <t>Türk milleti, şanlı Türk ordunun her daim yanındadır. We are proud of u great #TurkishArmy 🙏🏼</t>
  </si>
  <si>
    <t>Değirmendere / Kyrenia-Cyprus</t>
  </si>
  <si>
    <t>Aviation✈️</t>
  </si>
  <si>
    <t>vASIFLI eLAMAN</t>
  </si>
  <si>
    <t>#BarisPinariHarekati #TurkishArmy #BarisPinari #Turksilahlıkuvvetleri</t>
  </si>
  <si>
    <t>https://pbs.twimg.com/media/EGcTHYyW4AAz_Bi.jpg</t>
  </si>
  <si>
    <t>Yunueli BURSA</t>
  </si>
  <si>
    <t>Boş Gezenin Boş Şefi.</t>
  </si>
  <si>
    <t>büşra</t>
  </si>
  <si>
    <t>VUR ŞANLI TÜRK ORDUSU YPG/PYD/PKK TİTRESİN!!!! #TurkishArmy #BarisPinariHarekati #OperationPeaceSpring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</si>
  <si>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RTEÜ</t>
  </si>
  <si>
    <t>mafilehanim🇹🇷</t>
  </si>
  <si>
    <t>Yaşlısı, genci, bebeği, çoluğu çocuğuyla Dua'dayız Siz kimi yeneceksiniz !!! Haydi Bismillah #TurkishArmy #BarisPinariHarekati RT @RasimAri50: Sizin, 'dünya' dediğiniz yere biz 'gurbet' diyoruz. Kimi yeneceksiniz? * Ve 21. Yüzyılı şekillendirecek hamlelerden birisi. O an. Haydi Bismillah🇹🇷 #BarışPınarıHarekati</t>
  </si>
  <si>
    <t>https://twitter.com/RasimAri50/status/1181932575759241224</t>
  </si>
  <si>
    <t>https://pbs.twimg.com/media/EGcRaBNWwAAMNqD.jpg</t>
  </si>
  <si>
    <t>Rte🇹🇷 ISTANBUL 💍👨‍👩‍👧‍👦</t>
  </si>
  <si>
    <t>ℕ</t>
  </si>
  <si>
    <t>Bu ve bunun gibiler, destek vermesi gerektiği yerde yaptığı açıklamayla bir bombayı da sizler hak ediyorsunuz. Allah askerlerimizi korusun. Zaferle geri dönmeyi nasip etsin. #TurkishArmy #BarisPinariHarekati RT @TurkishIndy: HDP'den açıklama: Fırat'ın doğusuna yönelik harekat kabul edilemez</t>
  </si>
  <si>
    <t>https://twitter.com/TurkishIndy/status/1181932073889624064
https://www.independentturkish.com/node/78956#.XZ3mhhWN93g.twitter</t>
  </si>
  <si>
    <t>https://pbs.twimg.com/media/EGcP9aHW4AAoXVS.jpg</t>
  </si>
  <si>
    <t>•saü</t>
  </si>
  <si>
    <t>http://www.instagram.com/nurgulcstnn</t>
  </si>
  <si>
    <t>Sam Pye</t>
  </si>
  <si>
    <t>VIDEO: Residents flee border towns as Turkish/Islamist invasion of N. #Syria gets underway.  #Gire_Sipi #Rojava #Trump #NATO #Turkey #Erdogan #FSA #AlQaeda #IslamicState #ISIS #TurkishArmy #Kurdistan #Assad #Damascus #SDF #YPG</t>
  </si>
  <si>
    <t>pic.twitter.com/Wwfc9QhwhH</t>
  </si>
  <si>
    <t xml:space="preserve"> ﻣﻔﺮﺡ ﺑﻦ ﻋﺒﺪﺍﻟﻠﻪ </t>
  </si>
  <si>
    <t>تقرير: خالد بن سلمان: آن الأوان ليقف اليمنيون صفاً واحداً أمام مشروع الدمار الإيراني.  #خاشقجي #عام_على_رحيل_خاشقجي</t>
  </si>
  <si>
    <t>pic.twitter.com/r90fKtPgmx</t>
  </si>
  <si>
    <t>England</t>
  </si>
  <si>
    <t>Former newspaperman. Tweeting economics, business and politics.</t>
  </si>
  <si>
    <t>M.Han</t>
  </si>
  <si>
    <t>Vur şanlı silahınla gönül mülkü düzelsin; Sen öldürüyorken de vururken de güzelsin! #BarışPınarıHarekatı #OperationPeaceSpring #TurkishArmy</t>
  </si>
  <si>
    <t>https://pbs.twimg.com/media/EGcTGzHWsAA4w5z.jpg</t>
  </si>
  <si>
    <t>Türkçü - Turancı 🇹🇷 TURHAL GFB</t>
  </si>
  <si>
    <t>Aytek</t>
  </si>
  <si>
    <t>Soran olursa Türkler geldi dersiniz. Hoşgeldiniz diyene sahip çıkın. Neden geldiniz diye soranın kafasına sıkın... #TurkishArmy #BarışPınarı  #BarisPinari</t>
  </si>
  <si>
    <t>https://pbs.twimg.com/media/EGcTGO9WoAAw4QN.jpg
https://pbs.twimg.com/media/EGbL33LXYAAVrbM.jpg</t>
  </si>
  <si>
    <t xml:space="preserve">  يحي حكمي </t>
  </si>
  <si>
    <t>pic.twitter.com/mljsdCJVqF</t>
  </si>
  <si>
    <t>🇹🇷 🇹🇷</t>
  </si>
  <si>
    <t>Dr. Charlie 🌐</t>
  </si>
  <si>
    <t>#poll #δημοσκοπηση #πολλ Πως αξιολογείτε γενικότερα (όχι μόνο για Συρία) την εξωτερική πολιτική του Προέδρου Trump; #Syria #TurkishArmy #Kurds #Trump #gop #eu #Europe #EuropeanUnion #Republican #Republicans</t>
  </si>
  <si>
    <t>Malibu, CA</t>
  </si>
  <si>
    <t>Libertarian Conservative. European Federalist. ND. Atheist. Fan of Star Wars &amp; Akira Kurosawa. 'Collecting more taxes than is absolutely necessary is robbery.'</t>
  </si>
  <si>
    <t>https://en.wikipedia.org/wiki/Libertarian_conservatism</t>
  </si>
  <si>
    <t>Fatma Başaralı</t>
  </si>
  <si>
    <t>Allah milletimize ve ülkemize zafer nasip etsin. Dualarımız kahraman Mehmetçiklerimiz için. Rabbim muzaffer eylesin. 🇹🇷🇹🇷🇹🇷 #OperationPeaceSpring #TurkishArmy #BarışPınarıHarekatı</t>
  </si>
  <si>
    <t>https://pbs.twimg.com/media/EGcTFyEXYAACLn4.jpg</t>
  </si>
  <si>
    <t>abdullah tırınk</t>
  </si>
  <si>
    <t>Barış Pınarı Harekatı başladı: Vuralan PKK mevzilerinden ilk görüntüler #TurkishArmy #BarisPinariHarekati 🇹🇷 #TürkMilletiOrdusununYanında</t>
  </si>
  <si>
    <t>https://www.yenisafak.com/video-galeri/gundem/baris-pinari-harekati-basladi-vuralan-pkk-mevzilerinden-ilk-goruntuler-2198824</t>
  </si>
  <si>
    <t>Istanbul /Turkey</t>
  </si>
  <si>
    <t>Catch The Moment - Breaking News - The Moment You Have Never Seen</t>
  </si>
  <si>
    <t>ZaferJK 🦅</t>
  </si>
  <si>
    <t>Kahraman TÜRK Ordusu, yolunuz açık olsun! Dualarımız ve kalbimiz sizinle. La Galibe İllâllah. ☝🏻🤘🏻🇹🇷 #BarışPınarıHarekatı #BarisPinari #BarisPinariHarekati #TürkMilletiOrdusununYanında #TurkishArmy</t>
  </si>
  <si>
    <t>https://pbs.twimg.com/media/EGcTFovWwAAjH4E.jpg</t>
  </si>
  <si>
    <t>Beykoz, İstanbul</t>
  </si>
  <si>
    <t>çArşı 👊🏻 Forza Beşiktaş 💪🏻 Besiktas Ultras 🕶 Soldiers of Besiktas 🦅 Milliyetçi Türkiye 🇹🇷 Mustafa Kemal Atatürk 🇹🇷</t>
  </si>
  <si>
    <t>Bkbym  &amp; EYT çıkana kadar böyle kalsın</t>
  </si>
  <si>
    <t>#OperationPeaceSpring #TurkishArmy #BarisPinari #BarisPinariHarekati Rabbim muzaffer eylesin inşallah. Tırnakların à taş değmesin. Ya Allah.</t>
  </si>
  <si>
    <t>https://pbs.twimg.com/media/EGcTEhRXoAANPzm.jpg</t>
  </si>
  <si>
    <t>محمد عمر 🇩🇿</t>
  </si>
  <si>
    <t>@touffiik سترى اللطم والصراخ والعويل على #خاشقجي</t>
  </si>
  <si>
    <t>الجزائر العاصمة</t>
  </si>
  <si>
    <t>" وَقُلْ رَبّ اِغْفِرْ وَارْحَمْ وَأَنْتَ خَيْر الرَّاحِمِينَ"</t>
  </si>
  <si>
    <t>MTTB KARABÜK</t>
  </si>
  <si>
    <t>MTTB Karabük İl Başkanlığı</t>
  </si>
  <si>
    <t>Ata_kızı</t>
  </si>
  <si>
    <t>#TurkishArmy #BarisPinariHarekati #TürkMilletiOrdusununYanında Tanri Türk Askerini korusun🇹🇷 Bir tek Mehmetçiğimizin bile, burnu kanamadan, bu harekati bitirip yurda dönmesi en büyük dileğimiz🙏🇹🇷 RT @sozcu_tv: Barış Pınarı Harekatı başladı... İşte ilk görüntüler</t>
  </si>
  <si>
    <t>https://twitter.com/sozcu_tv/status/1181930631367991301</t>
  </si>
  <si>
    <t>pic.twitter.com/JBiH4mVZHp</t>
  </si>
  <si>
    <t>Ata'sının yolunda yurtsever🇹🇷 Sokak çocukları🙋Sokak canları🐾 yumuşak karnım🙏 #TSK gururum⭐ #MustafaKemalAtatürk Sonsuz Sevdam❤🌠💫</t>
  </si>
  <si>
    <t>Hasan Erdoğan</t>
  </si>
  <si>
    <t>FIRTINALAR DURSUN YANA YOL VER TÜRK'ÜN BAYRAĞINA #TurkishArmy #TurkMilletiOrdusununYanında🇹🇷🇹🇷🇹🇷 @TSKGnkur</t>
  </si>
  <si>
    <t>Hacı</t>
  </si>
  <si>
    <t>Aynı ırktan olanlara değil, aynı yolda yürüyenlere Millet denir... Yoldan çıkan bölücü hainlere lanet olsun. Ya Allah Bismillah #BarisPinari #BarışPınarıHarekati #TurkishArmy</t>
  </si>
  <si>
    <t>ERDOĞAN'I ESKİDEN YÜREKTEN BİR COŞKU İLE SEVERDİM ŞİMDİ DÜŞMANLARINI GÖRÜNCE ONU SEVMEYİ MUTLAK BİR VAZİFE SAYIYORUM.</t>
  </si>
  <si>
    <t>Jay Smith</t>
  </si>
  <si>
    <t>@LindseyGrahamSC Do u see what’s trending? #TurkishArmy look at those tweets....we are leaving the Kurds —abundant!!! Many will die because of decisions by #TheRealDonaldTrump</t>
  </si>
  <si>
    <t>Massachusetts, USA</t>
  </si>
  <si>
    <t>Carpe Diem! Remember Otto and help free other hostages held around the world. #celtics #worldhealthorganization #wwf #guncontrol</t>
  </si>
  <si>
    <t xml:space="preserve">  عتيق  الجهنى</t>
  </si>
  <si>
    <t>هام..السفير ادم ايرلي متحدث الخارجية الأمريكية السابق: اردوغان المنافق ..يذرف دموع التماسيح على جمال خاشقجي بينما يزج بالاَف الاتراك بالسجونAdam Ereli: Erdogan is the biggest hypocrite on the plant  #JamalKhashoggi #تركيا</t>
  </si>
  <si>
    <t>pic.twitter.com/x1Yo4ZGZQA</t>
  </si>
  <si>
    <t>omerdagdevirenn</t>
  </si>
  <si>
    <t>Şanlı Ordumuz; Allah yâr ve yardımcınız olsun, ayağınıza taş değmesin. Aklımız, kalbimiz, dualarımız sizinle. #BarışPınarıHarekatı #BarisPinari #TurkishArmy</t>
  </si>
  <si>
    <t>https://pbs.twimg.com/media/EGcTBdSXkAEyGjs.jpg</t>
  </si>
  <si>
    <t xml:space="preserve"> صالح  المشدق    </t>
  </si>
  <si>
    <t>مهم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</si>
  <si>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Yıkılmadım, ama ayakta da değilim</t>
  </si>
  <si>
    <t>https://www.instagram.com/omerdagdeviren/?hl=tr</t>
  </si>
  <si>
    <t>pic.twitter.com/r0pxZbPhiB</t>
  </si>
  <si>
    <t>Onur Aydın</t>
  </si>
  <si>
    <t>#TSK şuna bedelli yapmıyorlarlar. Terösistlere tsk ünüforması ve maaş bağlamışlar. Tekrar söylüyoruz bu savaş içerde ki muhalifleri bastırmak, ekonomik krizi halka unutturmak için uygulanıyor. #SAVASAHAYIR #TurkishArmy #BarisPinari #hruyenisistemiistemiyor RT @ali82184018: Tel Abyad sınırına doğru ilerleyen Milli Ordu otobüsünün içi.</t>
  </si>
  <si>
    <t>http://askeri.Bo
https://twitter.com/ali82184018/status/1181657535922749452</t>
  </si>
  <si>
    <t>pic.twitter.com/rHXoRoF20X</t>
  </si>
  <si>
    <t>işsiz Metro Tünelleri,yapı ve kent Jeoteknik uzmanı.</t>
  </si>
  <si>
    <t>AK'ilbirgenc</t>
  </si>
  <si>
    <t>#BarisPinariHarekati #TurkishArmy #OperationPeaceSpring 🇹🇷 RT @MevlutCavusoglu: W/#OperationPeaceSpring; - Region will be cleared of terrorists, - Syria’s border security and territorial integrity will be guaranteed, - Displaced people will be able to return safely to their homes, - Peace and safety will prevail in the region.</t>
  </si>
  <si>
    <t>https://twitter.com/mevlutcavusoglu/status/1181930991377686529</t>
  </si>
  <si>
    <t>Yusuf Dönmez</t>
  </si>
  <si>
    <t>Vur şanlı silahınla gönül mülkü düzelsin; Sen öldürüyorken de vururken de güzelsin. #TurkishArmy #BarisPinariHarekati</t>
  </si>
  <si>
    <t>https://pbs.twimg.com/media/EGcTAYhW4AEc6uV.jpg</t>
  </si>
  <si>
    <t>1907 ÜNİFEB MKÜ</t>
  </si>
  <si>
    <t>MEHMET BAŞIBÜYÜK</t>
  </si>
  <si>
    <t>#TurkishArmy Allah güzel yalnız ülkemin yardımcısı olsun🇹🇷🇹🇷🇹🇷</t>
  </si>
  <si>
    <t>Hacettepe University</t>
  </si>
  <si>
    <t>Kiyya Baloch</t>
  </si>
  <si>
    <t>#TurkishArmy launches an intensive operation in northeast #Syria. The former allies in the fight against #ISIL said U.S is withdrawing without fulfilling promises. #Kurdish forces which fought against ISIS is Turkey’s main target.  #PeaceSpringOperation</t>
  </si>
  <si>
    <t>https://www.theguardian.com/world/2019/oct/09/turkey-launches-military-operation-in-northern-syria-erdogan</t>
  </si>
  <si>
    <t>Journalist by profession.Contributed to the @guardian, @TheEconomist, @GandharaRFE, @AJEnglish&amp; @Diplomat_APAC. Words for @BBCWorld and others.</t>
  </si>
  <si>
    <t>https://www.theguardian.com/profile/kiyya-baloch</t>
  </si>
  <si>
    <t xml:space="preserve"> اسامه اللهيبي </t>
  </si>
  <si>
    <t>أتصال/ أ. أحمد محارم: كاتب صحفي ومحلل سياسي – نيويورك: تاريخ ايران على مدار 40سنه كان عدواني ولاسيما ضد المملكة .  - جمال خاشقجي #ايران #خاشقجي</t>
  </si>
  <si>
    <t>pic.twitter.com/7F59T4DXNO</t>
  </si>
  <si>
    <t>Yağmur 🎈</t>
  </si>
  <si>
    <t>Savaş; Türk'ün Kut'lu düğünüdür! Ayağınıza taş değmesin. #TurkishArmy #BarisPinariHarekati</t>
  </si>
  <si>
    <t>https://pbs.twimg.com/media/EGcS_-WW4AYUcPK.jpg</t>
  </si>
  <si>
    <t>🎈🎈🎈🎈 Galatasaray! Ankara !🇹🇷 Türk Milliyetçisi 🐺 ☀️İYİ PARTİ Ankara İl Gençlik Kolları ☀️ Türkiye İYİ olacak! ☀️</t>
  </si>
  <si>
    <t>ﺳﻠﻴﻤﺎﻥ ﺍﻟﺤﺒﻴﺸﻲ</t>
  </si>
  <si>
    <t>تقرير: ايران تصرخ: المتظاهرين العراقيون تدربوا في معسكرات السعودية وأمريكا .  #خاشقجي #قطر</t>
  </si>
  <si>
    <t>pic.twitter.com/H1Bq1SGC9g</t>
  </si>
  <si>
    <t>Onur TURUL</t>
  </si>
  <si>
    <t>Ecdâdımızın heybeti ma'rûf-ı cihândır, Fıtrat değişir sanma! Bu kan yine o kandır! #TurkishArmy #BarisPinariHarekati #OperationPeaceSpring</t>
  </si>
  <si>
    <t>https://pbs.twimg.com/media/EGcS_8jX0AAolqa.jpg</t>
  </si>
  <si>
    <t>Anamur, Alanya</t>
  </si>
  <si>
    <t>#paramedic</t>
  </si>
  <si>
    <t>https://www.instagram.com/onurturul/?hl=tr</t>
  </si>
  <si>
    <t>keen-lem-yekün ⚡️</t>
  </si>
  <si>
    <t>#BarısMancoidontmind gazamız mübarek olsun,#TurkishArmy rabbim ayağınızı taşa değdirmesin,rabbim yar ve yardımcınız olsun. 🇹🇷🇹🇷🇹🇷 #TurkMilletiOrdusununYanında</t>
  </si>
  <si>
    <t>Bizde, yaralar sarılmaz, saklanır..</t>
  </si>
  <si>
    <t>Yücel ALTINDAĞ</t>
  </si>
  <si>
    <t>Allah yar ve yardımcınız olsun Aslanlar. Ne Mutlu Türk'üm diyene 🇹🇷 #TurkishArmy #BarisPinari #BarisPinariHarekati #Mehmetcik</t>
  </si>
  <si>
    <t>رفقة الطبطبائي</t>
  </si>
  <si>
    <t>pic.twitter.com/b6tJkvdCjN</t>
  </si>
  <si>
    <t>Merve _ 35.5 🇹🇷🇹🇷🇹🇷</t>
  </si>
  <si>
    <t>İnna fetahna leke fethan mübına! (Doğrusu biz sana apaçık bir fetih ihsân ettik.) Fetih Suresi 1 #TurkishArmy</t>
  </si>
  <si>
    <t xml:space="preserve"> سالم العطوي</t>
  </si>
  <si>
    <t>https://pbs.twimg.com/media/EGcS_LiWwAAumEV.jpg</t>
  </si>
  <si>
    <t>أ. عبدالرحمن الملحم - كاتب ومحلل سياسي : قطر مصابة بعمى سياسي كبير ولا تعرف إلى اين تتجه .  - جمال خاشقجي #خاشقجي #عام_على_رحيل_جمال</t>
  </si>
  <si>
    <t>pic.twitter.com/8hHDud78wP</t>
  </si>
  <si>
    <t xml:space="preserve">İzmir  ❤️💚Karşıyaka </t>
  </si>
  <si>
    <t>ARKADAŞ ! YURDUMU ALÇAKLARA UĞRATMA ,SAKIN ..🇹🇷🇹🇷🇹🇷🇹🇷.. pilates eğitmeni 🏃‍♀️Beden eğitimi Bölümü Okudu 🏃‍♀️🏃‍♂️</t>
  </si>
  <si>
    <t xml:space="preserve">  محمد عسيري </t>
  </si>
  <si>
    <t>Fatih Aysu</t>
  </si>
  <si>
    <t>د. محمد الحلفي : باحث في التاريخ الحديث : نشأت قناة الجزيرة من اجل استهداف دول مُعينة.  #خاشقجي #عام_على_اغتيال_جمال</t>
  </si>
  <si>
    <t>Aziz ordumuzun tüm yiğitlerine selam olsun. Rabbim yar ve yardımcıları ,tüm kolaylıklar onlar ile olsun. 🇹🇷🇹🇷🇹🇷 #BarisPinariHarekati #tsk #TurkishArmy</t>
  </si>
  <si>
    <t>pic.twitter.com/AjhA9qO1bf</t>
  </si>
  <si>
    <t>🤙 #deli #zırdeli #niğdeli 🤙 🎖🇹🇷Ya istiklâl ya ölüm.🇹🇷 🎖 🎖🏅🎖🇹🇷 Devlet-i ebed müddet. 🇹🇷🎖🏅🎖</t>
  </si>
  <si>
    <t>beybaba merthan</t>
  </si>
  <si>
    <t>tam olarak böyle.. #BarışPınarıHarekati #TurkishArmy</t>
  </si>
  <si>
    <t>رغدة سلطان</t>
  </si>
  <si>
    <t>https://pbs.twimg.com/media/EGcS-IGXYAMS5XB.jpg</t>
  </si>
  <si>
    <t>أ. عبدالرحمن الملحم - كاتب ومحلل سياسي : قطر مصابة بعمى سياسي كبير ولا تعرف إلى اين تتجه .  - جمال خاشقجي #JamalKhashoggi #قطر</t>
  </si>
  <si>
    <t>pic.twitter.com/E5wCkppzwC</t>
  </si>
  <si>
    <t>Maltepe, İstanbul</t>
  </si>
  <si>
    <t>La vittoria sara nostra @Fenerbahce</t>
  </si>
  <si>
    <t>http://instagram.com/merthanyaman</t>
  </si>
  <si>
    <t>يجب أن تحب الحياة و تعرف كيف تموت</t>
  </si>
  <si>
    <t>pic.twitter.com/sm1z3wQrdk</t>
  </si>
  <si>
    <t>leibniz</t>
  </si>
  <si>
    <t>Hani cayıyorduk neden bağırıyorsun şimdi sovoşo hoyor diye #BarisPinariHarekati #TurkishArmy RT @candundaradasi: #SavaşaHayır</t>
  </si>
  <si>
    <t>https://twitter.com/candundaradasi/status/1181921275561877509
https://twitter.com/rterdogan/status/1181919804619407360</t>
  </si>
  <si>
    <t>النافورة الضياء</t>
  </si>
  <si>
    <t>muslim</t>
  </si>
  <si>
    <t>Barış Pınarı Harekatı başladı #BarışPınarıHarekatı #OperationPeaceSpring #BarışPınarı #TurkishArmy</t>
  </si>
  <si>
    <t>pic.twitter.com/jCFl03szyw</t>
  </si>
  <si>
    <t>https://pbs.twimg.com/media/EGcS9NwWkAAMj6r.jpg</t>
  </si>
  <si>
    <t>mars</t>
  </si>
  <si>
    <t>Kitap+Sünnet+İcmaa+Kıyas=İSLAM</t>
  </si>
  <si>
    <t>برهان الدين</t>
  </si>
  <si>
    <t>pic.twitter.com/S63JaGRx0d</t>
  </si>
  <si>
    <t>emreguney</t>
  </si>
  <si>
    <t>soran olursa TÜRKLER geldi dersiniz.hoşgeldiniz diyene sahip çıkın.neden geldiniz diye soranın kafasına SIKIN... 🇹🇷#BarışPınarıHarekati #OperationPeaceSpring #TurkishArmy</t>
  </si>
  <si>
    <t>https://pbs.twimg.com/media/EGcS68YXYAItNSz.jpg</t>
  </si>
  <si>
    <t>نبيلة الياسين</t>
  </si>
  <si>
    <t>B🌏</t>
  </si>
  <si>
    <t>pic.twitter.com/4RB0VkXMGv</t>
  </si>
  <si>
    <t>Başkan🇹🇷</t>
  </si>
  <si>
    <t>🇹🇷🇹🇷🇹🇷 #OperationPeaceSpring görevini sürdüren şanlı Türk Ordusunun Allah yardımcısı olsun ve bu kutsal görevinden zaferlerle dönmesini nasip etsin inşallah. Her birinin en kısa zamanda ve sağlıkla Aileleri ile kavuşmasını diliyorum Allah'tan. #PeaceSpringOperation #TurkishArmy</t>
  </si>
  <si>
    <t>Bu hesap kişisel tecrübelere dayalı, yalan yanlış, kritik tespitler içerir hiç bir bilimsel ve ilahi dayanağı yoktur. Maksat zihinleri uyandırmak.</t>
  </si>
  <si>
    <t>uykusuz mirket</t>
  </si>
  <si>
    <t>Ve başladık... Rabbim yar ve yardımcımız olsun inşallah. #TurkishArmy #BarışPınarıHarekati #OperationPeaceSpring</t>
  </si>
  <si>
    <t>pic.twitter.com/yEvGWOUGn0</t>
  </si>
  <si>
    <t>محمد مصلح</t>
  </si>
  <si>
    <t>bir zamanlar teknoloji editörü, analizler, sıkı takipler...</t>
  </si>
  <si>
    <t>Ömer Faruk Toprak</t>
  </si>
  <si>
    <t>Vefalı Türk geldi yine de Selam Türk'ün Bayrağına 🇹🇷 #OperationPeaceSpring #BarisPinariHarekati #TurkishArmy</t>
  </si>
  <si>
    <t>https://pbs.twimg.com/media/EGcS7J9W4AEwvBb.jpg</t>
  </si>
  <si>
    <t>Anlatsam roman olmayabilir ama kesin arabesk bir şarkı çıkar...</t>
  </si>
  <si>
    <t>Uğur Bayraktar</t>
  </si>
  <si>
    <t>Taktik maktik yok BAM BAM BAM ... #OperationPeaceSpring #BarışPınarıHarekati #BarisPinari #TurkishArmy</t>
  </si>
  <si>
    <t>Bir G4RİB4N... %52</t>
  </si>
  <si>
    <t>Ö.F.BODUR</t>
  </si>
  <si>
    <t>Allah Tektir Ordusu #TurkishArmy</t>
  </si>
  <si>
    <t>Gölcük</t>
  </si>
  <si>
    <t>cengiz orta</t>
  </si>
  <si>
    <t>#TurkishArmy #BarisPinari #BarisPinariHarekati Fırat Kalkanı ile bellerini kırdık. Zeytindalı hareketi ile başlarını ezdik. Barış Pınarı Harekatımız ile köklerini kazıyacağız inşallah.</t>
  </si>
  <si>
    <t>وائل الفرحة</t>
  </si>
  <si>
    <t>pic.twitter.com/F36WrDZTSt</t>
  </si>
  <si>
    <t>aslıhanla otağa doğru 🤘🏻🎪</t>
  </si>
  <si>
    <t>Yolunuz açık, kılıcınız keskin, gazanız mübarek olsun! Allah ayağınıza taş değirmesin. Dualarımız daima sizinledir. #BarisPinariHarekati #TurkishArmy #carsamba #pınarbarısharekatı</t>
  </si>
  <si>
    <t>https://pbs.twimg.com/media/EGcS3b3XYAAjBTh.jpg</t>
  </si>
  <si>
    <t>ötüken</t>
  </si>
  <si>
    <t>Gökyüzüne çok aşık 💫 Sonsuza dek kapanana kadar söz verdim içleri hep gülecek gözlerim Turan eller var olsun demek şartı muazzam🤘</t>
  </si>
  <si>
    <t>Mustafa ÖZTAŞ</t>
  </si>
  <si>
    <t>#TurkishArmy #OperationPeaceSpring #turkmilletiordusununyaninda</t>
  </si>
  <si>
    <t>https://pbs.twimg.com/media/EGcS1_RWwAAYqzc.jpg</t>
  </si>
  <si>
    <t>Kto Karatay Üniversitesi</t>
  </si>
  <si>
    <t>http://www.oztashafriyat.com</t>
  </si>
  <si>
    <t>redyellow (Abdullah Biri)</t>
  </si>
  <si>
    <t>Allah hayırlara vesile eylesin, inşallah tek bir mehmetçiğimizin burnu dahi kanamadan hepsi sağ salim vatanımıza dönerler. #BarisPinari #TurkishArmy #BarisPinariHarekati</t>
  </si>
  <si>
    <t>https://www.milligazete.com.tr/haber/3187723/son-dakika-baris-pinari-harekati-basladi</t>
  </si>
  <si>
    <t>https://pbs.twimg.com/media/EGcS2CpXkAA3axP.jpg</t>
  </si>
  <si>
    <t>بشر العبد</t>
  </si>
  <si>
    <t>pic.twitter.com/Eum7nuJ7jQ</t>
  </si>
  <si>
    <t>Her paylaştığım haber, her retweet KATILDIĞIM anlamına gelmez, beni benim bizzat yazdığım fikirlerim, düşüncelerim ilgilendirir. Trollere duyurulur 😀😀</t>
  </si>
  <si>
    <t>https://www.facebook.com/abdullah.birisi.75685</t>
  </si>
  <si>
    <t>U R A S O N U R 🏴</t>
  </si>
  <si>
    <t>Bin atlı akınlarda çocuklar gibi şendik! #BarışPınarıHarekatı #TurkishArmy</t>
  </si>
  <si>
    <t>https://pbs.twimg.com/media/EGcS1PrXkAAVtWu.jpg</t>
  </si>
  <si>
    <t>جواد المصري</t>
  </si>
  <si>
    <t>politicalscience&amp;internationalrelations</t>
  </si>
  <si>
    <t>pic.twitter.com/FwHYroYFUh</t>
  </si>
  <si>
    <t>وسيم النيمان</t>
  </si>
  <si>
    <t>pic.twitter.com/2aGB16RQbH</t>
  </si>
  <si>
    <t>saudi arba</t>
  </si>
  <si>
    <t>Pusat</t>
  </si>
  <si>
    <t>#BarışPınarıHarekati #TurkishArmy Tel Abyad'daki terör hedefleri, obüs atışlarıyla ateş altına alındı.🇹🇷🐺</t>
  </si>
  <si>
    <t>https://pbs.twimg.com/media/EGcS08UXoAIIqH1.jpg</t>
  </si>
  <si>
    <t>Gazi Mustafa Kemal Atatürk 🇹🇷 Ne Mutlu Türk'üm Diyenene #Ankaragücü</t>
  </si>
  <si>
    <t>https://youtu.be/lIPf2s0mDDE</t>
  </si>
  <si>
    <t>توفيق البلوش</t>
  </si>
  <si>
    <t>pic.twitter.com/EUwfrTTDhX</t>
  </si>
  <si>
    <t>ابراهيم الزيدي</t>
  </si>
  <si>
    <t>pic.twitter.com/6ujDzeMFbw</t>
  </si>
  <si>
    <t>Ⴆöɾƙx 🇹🇷</t>
  </si>
  <si>
    <t>Dalgalan sen de şafaklar gibi ey şanlı hilâl; Olsun artık dökülen kanlarımın hepsi helâl. Ebediyen sana yok, ırkıma yok izmihlâl: Hakkıdır, hür yaşamış bayrağımın hürriyet; Hakkıdır, Hakk’a tapan milletimin istiklâl! #BarisPinariHarekati #BarisPinari #TurkishArmy</t>
  </si>
  <si>
    <t>https://pbs.twimg.com/media/EGcS0YlWkAUQvmy.jpg</t>
  </si>
  <si>
    <t>ريال الغانم</t>
  </si>
  <si>
    <t>pic.twitter.com/DGv3aB3Gad</t>
  </si>
  <si>
    <t>mutlu değilim</t>
  </si>
  <si>
    <t>طلحة اللطيف</t>
  </si>
  <si>
    <t>pic.twitter.com/fJtdYSb6ZU</t>
  </si>
  <si>
    <t>ناصر العبيد</t>
  </si>
  <si>
    <t>pic.twitter.com/3KY1Mfyrf1</t>
  </si>
  <si>
    <t>Musti</t>
  </si>
  <si>
    <t>Suriye Sınırında Megafonlarla Mehter Marşı Çalınıyor Allahın Arslanları Geliyor... #TurkishArmy #BarisPinariHarekati</t>
  </si>
  <si>
    <t>pic.twitter.com/W69UozHOP5</t>
  </si>
  <si>
    <t>Sandıklı, Türkiye</t>
  </si>
  <si>
    <t>FİDELİO</t>
  </si>
  <si>
    <t>#BarisPinari #BarisPinariHarekati #TurkishArmy #turkmilletiordusununyaninda #EmineBulut #OperationPeaceSpring Nabil Dirar Divan Restaurant Meltem Miraloğlu Zeki Çelik Ahmet Nur Çebi RT @gazeteortadogu: Türk Silahlı Kuvvetleri, Suriye Milli Ordusu'yla birlikte Suriye'nin kuzeyinde PKK/YPG ve DEAŞ terör örgütlerine karşı Barış Pınarı Harekatı'nı başlattı #BarışPınarıHarekatı #OperationPeaceSpring #BarışPınarı #TurkishArmy</t>
  </si>
  <si>
    <t>مصدق الصادق</t>
  </si>
  <si>
    <t>pic.twitter.com/kCosgHV6l0</t>
  </si>
  <si>
    <t>عتيقة سليمان</t>
  </si>
  <si>
    <t>pic.twitter.com/219VIgsu3U</t>
  </si>
  <si>
    <t>Sanatsal Şeyler</t>
  </si>
  <si>
    <t>Hiçbir düş sadece bir düş değildir.</t>
  </si>
  <si>
    <t>NehirAhmetسيبل</t>
  </si>
  <si>
    <t>Ve Allah, sana 'üstün ve onurlu' bir zaferle yardım etsin🇹🇷🇹🇷🇹🇷🇹🇷🇹🇷 Fetih/3 #BarisPinariHarekati #TurkishArmy #BarisPinari</t>
  </si>
  <si>
    <t>https://pbs.twimg.com/media/EGcSy8wX0A4JkFt.jpg</t>
  </si>
  <si>
    <t>Serçe kadar yüreğimin gökyüzü kadar sancısı var.... Özel güvenlik görevlisi...</t>
  </si>
  <si>
    <t>حمزة المسعري</t>
  </si>
  <si>
    <t>pic.twitter.com/UELb5ezw2R</t>
  </si>
  <si>
    <t>🇵🇰🕵️🇵🇰چھوٹا ڈپٹی🇵🇰🕵️🇵🇰</t>
  </si>
  <si>
    <t>@RTErdogan InshAllah Turkish army will destroy all terrorist organization's 🇵🇰🇹🇷 #TurkishArmy</t>
  </si>
  <si>
    <t>‏‏‏‏‏فالوبیک👉 ناکرنےوالوں کوان_فالوکردیاجائےگافالو کروفالوبیک👈💯 ملےگا یہ جوپاک دھرتی ہے 😍 اس کےپیچھےورد ‎‎‎#IK_FORCE</t>
  </si>
  <si>
    <t>Ufuk AKIL</t>
  </si>
  <si>
    <t>Dualarımız, kalbimiz ve gerekirse bileğimiz sizlerle #BarisPinariHarekati #TurkishArmy</t>
  </si>
  <si>
    <t>https://pbs.twimg.com/media/EGcSyQIW4AA8VVr.jpg</t>
  </si>
  <si>
    <t>ŞANLIURFA</t>
  </si>
  <si>
    <t>İİBF, Sheffield Univ, Hukuk, Mülki İdare Amiri / KARAKÖPRÜ</t>
  </si>
  <si>
    <t>عبدالله بنتن</t>
  </si>
  <si>
    <t>pic.twitter.com/IJ4dZC1gDD</t>
  </si>
  <si>
    <t>YvzMkm</t>
  </si>
  <si>
    <t>Sınırları koruyacağımız başka TÜRKİYE yok. Şimdi ileri daha ileri. #OperationPeaceSpring #TurkishArmy #BarisPinariHarekati #</t>
  </si>
  <si>
    <t>Matti Muukkonen</t>
  </si>
  <si>
    <t>Finns against Turkish assault! #TurkishArmy #SyriaWar</t>
  </si>
  <si>
    <t>pic.twitter.com/gqwn9i1Fzm</t>
  </si>
  <si>
    <t>الأحلافي</t>
  </si>
  <si>
    <t>Espoo, Suomi</t>
  </si>
  <si>
    <t>@monther72 وماذا عن دم #خاشقجي يا عرة المفهومية 😂😂</t>
  </si>
  <si>
    <t>Tutkijatohtori (#kuntaoikeus, #yhdistysoikeus), #opetutor @UEFLawSchool, ex-#kuntajohtaja 🇪🇺 Parhaillaan #twitter #julkisuuslaki-kurssin #fasilitaattori.</t>
  </si>
  <si>
    <t>http://mattimuukkonen.puheenvuoro.uusisuomi.fi</t>
  </si>
  <si>
    <t>فرحة الشحاتة</t>
  </si>
  <si>
    <t>pic.twitter.com/oX8QJtN8Nc</t>
  </si>
  <si>
    <t>şeyh saruhan</t>
  </si>
  <si>
    <t>#BarışPınarıHarekati #TurkishArmy #turmp</t>
  </si>
  <si>
    <t>pic.twitter.com/SjKbc9MFvD</t>
  </si>
  <si>
    <t>رجب الصهباني</t>
  </si>
  <si>
    <t>pic.twitter.com/xy5u6p6FGs</t>
  </si>
  <si>
    <t>süper güçlerim var insanları gözümde çok büyütüyorum</t>
  </si>
  <si>
    <t>Inşallah tek bir askerimizin bile burnu kanamadan terör örgütlerini yerle bir edip hedefimize ulaşırız... bütün varlığımızla sizinleyiz #TurkishArmy #BarışPınarıHarekati</t>
  </si>
  <si>
    <t>رحيم المرزوق</t>
  </si>
  <si>
    <t>pic.twitter.com/hmOqXI47iv</t>
  </si>
  <si>
    <t>Dr. adayı süper lig golleri bu adreste, takipte kalın</t>
  </si>
  <si>
    <t>nobelstaid</t>
  </si>
  <si>
    <t>GO AHEAD #TurkishArmy 🇹🇷 , ROOT AWAY THIS TERRORISTS !!</t>
  </si>
  <si>
    <t>حمد الخويلدي</t>
  </si>
  <si>
    <t>pic.twitter.com/4Cv4tW6MaZ</t>
  </si>
  <si>
    <t>عبدالرحمن السقاف</t>
  </si>
  <si>
    <t>.</t>
  </si>
  <si>
    <t>pic.twitter.com/I77oPIha0v</t>
  </si>
  <si>
    <t>10 yildir, topraklarina en az 100 tane teror orgutu, 10 tane emperyal piç tecavüz ediyor. Biz beklersek, sonumuz sizin gibi olur. #TurkishArmy #BarisPinari RT @ForeksTurkey: Suriye Dışişleri Bakanlığı Kaynakları: Suriye, Türkiye'nin saldırganlığını tüm meşru yollar ile engellemekte kararlı</t>
  </si>
  <si>
    <t>https://twitter.com/ForeksTurkey/status/1181889946065481728</t>
  </si>
  <si>
    <t>Adana</t>
  </si>
  <si>
    <t>Verdiğimiz hiçbir çabaya değmeyen insanlar var.</t>
  </si>
  <si>
    <t>رحيم الصاهلي</t>
  </si>
  <si>
    <t>Bjk Sokak</t>
  </si>
  <si>
    <t>PATLAMAZSA ARA ! #BarisPinariHarekati #TurkishArmy</t>
  </si>
  <si>
    <t>https://pbs.twimg.com/media/EGcSuZbXUAYoSQW.jpg</t>
  </si>
  <si>
    <t xml:space="preserve">  عايض بن محمد</t>
  </si>
  <si>
    <t>اتصال هاتفي من: أ. طارق أبو زينب – إعلامي ومحلل سياسي – لبنان. قطر نموذج للمطابخ الإعلامية السوداء لتكون خِنجر في قلب الامة العربية.  - جمال خاشقجي #JamalKhashoggi #تركيا</t>
  </si>
  <si>
    <t>Beşiktaş, İstanbul</t>
  </si>
  <si>
    <t>Umudun tükenirse gökyüzüne bak, BJK SOKAK !</t>
  </si>
  <si>
    <t>pic.twitter.com/VBTlXP1axF</t>
  </si>
  <si>
    <t>http://www.instagram.com/bjksokak</t>
  </si>
  <si>
    <t>İbrahim Korkmaz🇹🇷</t>
  </si>
  <si>
    <t>Vur deyr-i küfrün üstüne rekz-î hilâl içün Gelmiş bu şehsüvâr-ı cihangîr aşkına Düşsün çelengi Rûm'un eğilsün ser-î Firenk Vur Türk'ü gönderen yed-i takdîr aşkına Son savletinle vur ki açılsın bu sûrlar Fecr-i hücûm içindeki tekbîr aşkına #OperationPeaceSpring #TurkishArmy</t>
  </si>
  <si>
    <t xml:space="preserve"> ابراهيم حسين </t>
  </si>
  <si>
    <t>https://pbs.twimg.com/media/EGcStzTXYAINAI4.jpg</t>
  </si>
  <si>
    <t>pic.twitter.com/nPI3vTiHZb</t>
  </si>
  <si>
    <t xml:space="preserve"> أحمد خوجه</t>
  </si>
  <si>
    <t>cereniko</t>
  </si>
  <si>
    <t>Dün nasılsa bugün de aynı ruhla 🇹🇷🇹🇷 #TurkishArmy #BarisPinariHarekati</t>
  </si>
  <si>
    <t>pic.twitter.com/NL6ZPERRES</t>
  </si>
  <si>
    <t>https://pbs.twimg.com/media/EGcStxJX0AAm4a_.jpg</t>
  </si>
  <si>
    <t>Ank-Zong Kong</t>
  </si>
  <si>
    <t>محلل قناة ٢٤ سعودي الفضائية: د. رامي خليفة العلي : هناك سوء في السياسة التركية التي سمحت بسيطرة جبهة النصرة على مناطق واسعة ما أعطى مبرراً لروسيا وللنظام السوري للتقدم في تلك المنطقة .  - جمال خاشقجي #خاشقجي #قطر</t>
  </si>
  <si>
    <t>pic.twitter.com/F7ESlj5PZ5</t>
  </si>
  <si>
    <t>Aslım Oğuz</t>
  </si>
  <si>
    <t>Vur yiğidim, vur!..bu mehmetler cengidir!.. TÜRK'ün her biri OĞUZ KAĞAN dengidir!.. #TurkishArmy #BarışPınarıHarekatı başladı..</t>
  </si>
  <si>
    <t>https://pbs.twimg.com/media/EGcStw9XUAApbe1.jpg</t>
  </si>
  <si>
    <t>رده البيشي</t>
  </si>
  <si>
    <t>Tuğçe</t>
  </si>
  <si>
    <t>KURDUN DİŞİNE KAN DEĞDİ, KORKUN! #BarışPınarıHarekati #TurkishArmy</t>
  </si>
  <si>
    <t>https://pbs.twimg.com/media/EGcStjOW4AMDuN_.jpg</t>
  </si>
  <si>
    <t xml:space="preserve"> مصطفى آل خميس</t>
  </si>
  <si>
    <t>د. عبدالرحمن العناد : الوضع الإقتصادي في تركيا متدهور ومن المتوقع أن يزداد تدهوره وهذا دليل على سوء السياسات الاقتصادية التي يتبعها اردوغان .  - جمال خاشقجي #ايران #خاشقجي</t>
  </si>
  <si>
    <t>pic.twitter.com/RWd0yj4jVl</t>
  </si>
  <si>
    <t>Arzu¹⁹⁰⁷</t>
  </si>
  <si>
    <t>🇹🇷🇹🇷🇹🇷 #TürkMilletiOrdusunYanında #BarisPinari #BarisPinariHarekati #TurkishArmy RT @Fenerbahce: İstiklal ve istikbalimizin korkusuz bekçisi olan Türk Silahlı Kuvvetlerimize muvaffakiyetler diliyoruz. 🇹🇷 Kalbimiz ve dualarımız Barış Pınarı Harekatı’nda görev alan askerlerimizle... #TürkMilletiOrdusununYanında</t>
  </si>
  <si>
    <t xml:space="preserve"> حماد العتيبي </t>
  </si>
  <si>
    <t>اتصال هاتفي من: أ. محمد الحلفي – محلل سياسي – الرياض. عندما انكشف مُخطط قناة الجزيرة بدأ الظهور لأذرعها الإعلامية لتبث سمومها في المنطقة وخصوصاً ضد المملكة  - جمال خاشقجي #خاشقجي #تركيا</t>
  </si>
  <si>
    <t>pic.twitter.com/pXIC5UlPXM</t>
  </si>
  <si>
    <t>İzmir➡️İstanbul</t>
  </si>
  <si>
    <t>¹⁹⁰⁷ 💛💙 🌿</t>
  </si>
  <si>
    <t>http://Instagram.com/_arzucc_</t>
  </si>
  <si>
    <t>سعد الشهراني</t>
  </si>
  <si>
    <t>د. عبد الرحمن العناد: ما يُغيظ الاعلام القطري المُعادي ان الاعلام السعودي قام بكشف ما يقومون به من مشاريع تخريبية في المنطقة.  - جمال خاشقجي #JamalKhashoggi #السعودية</t>
  </si>
  <si>
    <t>Mehmed Fatih</t>
  </si>
  <si>
    <t>pic.twitter.com/zuHOkQqDYD</t>
  </si>
  <si>
    <t>Allah yardımcınız olsun yigitler sefer bizden zafer Allah tan....Haydi Bismillah #BarışPınarıHarekatı #TurkishArmy #OperationPeaceSpring</t>
  </si>
  <si>
    <t>manavgat</t>
  </si>
  <si>
    <t>Ya İstiklal ya Ölüm</t>
  </si>
  <si>
    <t xml:space="preserve">  سعيد ناصر </t>
  </si>
  <si>
    <t>محلل قناة ٢٤ سعودي الفضائية جيري ماهر في برنامج لمن يهمه الأمر: تعهد الرئيس التركي بشراء النفط الإيراني هو دليل على أن اردوغان يدعم الإرهاب الإيراني  - جمال خاشقجي #خاشقجي #عام_على_اغتيال_جمال</t>
  </si>
  <si>
    <t>pic.twitter.com/AGd1YPAhlA</t>
  </si>
  <si>
    <t>Kerem K.</t>
  </si>
  <si>
    <t>Evladını belki de son kez öpüp koklayarak, eşine yavrumuz sana emanet diyerek giden, dönmemeyi daha giderken göze alan VATAN EVLATLARININ sen yardımcısı ol YA RAB... #BarışPınarıHarekati #OperationPeaceSpring #TurkishArmy</t>
  </si>
  <si>
    <t>Dağlara Buğdaylar Serpin, Müslüman Ülkede Kuşlar Aç Demesinler.</t>
  </si>
  <si>
    <t xml:space="preserve">عامر حسن </t>
  </si>
  <si>
    <t>أ. خالد النزر : الدولة القطرية تريد أن تجعل لها دور فعال في عديد من المواضيع فأصبحت سلم تمتطيه العديد من الدول .  - جمال خاشقجي #خاشقجي #عام_على_رحيل_جمال</t>
  </si>
  <si>
    <t>pic.twitter.com/fS5UCoe2UT</t>
  </si>
  <si>
    <t>Osman 🦅</t>
  </si>
  <si>
    <t>Zafer ve Cennet bize yazılmıştır 🇹🇷🇹🇷 #TurkishArmy #BarisPinariHarekati #turkmilletiordusununyaninda</t>
  </si>
  <si>
    <t>pic.twitter.com/D2CETr3vCj</t>
  </si>
  <si>
    <t xml:space="preserve"> مشاري راكان </t>
  </si>
  <si>
    <t>تقرير: قطر وإعلام التضليل والأكاذيب وخداع الإعلامي الدولي .  - جمال خاشقجي #خاشقجي #تركيا</t>
  </si>
  <si>
    <t>pic.twitter.com/pv4vqN8qVg</t>
  </si>
  <si>
    <t>Beşıktaş</t>
  </si>
  <si>
    <t>هدى الحسين</t>
  </si>
  <si>
    <t>#NuRKaN🕊</t>
  </si>
  <si>
    <t>👉🏻Şimdi Kendimizi Savunma Hakkımıza, /Savaşa Hayır/Deyip Çığırtkanlık Yapanlar; Pkk lı,Suça Karışmamış, Kandırılmış Olanlar Affedildi Diye, Devleti,Hükûmeti,Orduyu Terörist İlan Etmişti‼️ Ünlüsünden Ünsüzüne, Bunların Hepsi, ŞEREFSİZ VE HAİN YARATIKLARDIR‼️ #TurkishArmy</t>
  </si>
  <si>
    <t>Adalet Bakanlığı🇹🇷..........................................Okur_Yazar🕊................................... Söz Mühendisi🇹🇷.........................#AKHESAP</t>
  </si>
  <si>
    <t>أسامة العمري</t>
  </si>
  <si>
    <t>Evlad-ı Fatihan</t>
  </si>
  <si>
    <t>Yavuz Selim’in Aslanları tekrar Ortadoğu’da.. Fıtrat değişir sanma bu kan yine o kandır! Allah mübarek etsin... #BarisPinariHarekati #TurkishArmy #BarisPinari #SeferBizimZaferALLAHtandır</t>
  </si>
  <si>
    <t xml:space="preserve">  طاهر  القطان</t>
  </si>
  <si>
    <t>أ. عبدالرحمن الملحم - كاتب ومحلل سياسي : قطر مصابة بعمى سياسي كبير ولا تعرف إلى اين تتجه .  - جمال خاشقجي #خاشقجي #تركيا</t>
  </si>
  <si>
    <t>pic.twitter.com/L87RmkrmD8</t>
  </si>
  <si>
    <t>-Dünya Düşman Olsada Allah Bizden Yanadır. -Evladı Fatihan- AntiSiyonist-AntiEmperyalist-</t>
  </si>
  <si>
    <t>Musa Sahin</t>
  </si>
  <si>
    <t>Başkomutan talimatı verdi şimdi intikam vakti #BarisPinariHarekati #TurkishArmy</t>
  </si>
  <si>
    <t>ﻣﺴﻔﺮ ﺍﻻﺻﻠﻌﻲ</t>
  </si>
  <si>
    <t>د. عثمان البريكان : ما تقوم به قطر بإستقبالها الإيرانيين المنتمين لنظام إرهابي ورفعها لعلم اسرائيل في الدوحة ينافي كل القيم الإنسانية والإسلامية .  - جمال خاشقجي #خاشقجي #عام_على_اغتيال_جمال</t>
  </si>
  <si>
    <t>https://pbs.twimg.com/media/EGcSqttWwAEXH8_.jpg</t>
  </si>
  <si>
    <t>pic.twitter.com/H7L8jT41iG</t>
  </si>
  <si>
    <t>Doktor , Sağlık Kurumları İşletmeciliği , Kamu Yönetimi (Yüksek Lisans) , Başkan , İbrahim Oğuz'un Babası</t>
  </si>
  <si>
    <t>http://Instagram.com/drmusasahin28</t>
  </si>
  <si>
    <t xml:space="preserve"> مالك العسيري</t>
  </si>
  <si>
    <t>محلل قناة ٢٤ سعودي الفضائية ا. يوسف علاونه في الحقيقة :التلاقي في الأهداف بين الترك و الفرس هو تدمير العرب أو إضعاف العرب لصالح المشروعين الإيراني والتركي  - جمال خاشقجي #خاشقجي #عام_على_رحيل_خاشقجي</t>
  </si>
  <si>
    <t>pic.twitter.com/GasYbuKsot</t>
  </si>
  <si>
    <t>Brilly</t>
  </si>
  <si>
    <t>Iseng buka hashtag #TurkishArmy malah nangeessss😭😭😭</t>
  </si>
  <si>
    <t>Yogyakarta, Indonesia</t>
  </si>
  <si>
    <t xml:space="preserve"> عبدالعزيز  الشريف </t>
  </si>
  <si>
    <t>pic.twitter.com/qPbMG49Vgf</t>
  </si>
  <si>
    <t>burak</t>
  </si>
  <si>
    <t>Allah yar ve yardımcınız olsun yiğitler ayağınıza taş değmesin inşallah Gazamız mübarek olsun #carsamba #TurkishArmy #carsamba #BarisPinari #BarışPınarıHarekati Son dakika</t>
  </si>
  <si>
    <t>https://pbs.twimg.com/media/EGcSom2W4AEDRLg.jpg</t>
  </si>
  <si>
    <t xml:space="preserve">   ناصر الزيات</t>
  </si>
  <si>
    <t>العميد متقاعد. حسن الشهري: قناة الجزيرة لا تنقل خير قط وتقوم ببث الطائفية والكراهية  - جمال خاشقجي #JamalKhashoggi #السعودية</t>
  </si>
  <si>
    <t>pic.twitter.com/QvSH6PAurf</t>
  </si>
  <si>
    <t>Fenerbahçeli Atatürkçü T.C vatandaşı..</t>
  </si>
  <si>
    <t>SAÇISEVENADAM</t>
  </si>
  <si>
    <t>bu gün ya vatanseversin yada vatan haini arasi deresi yok #BarisPinari #BarisPinariHarekati #TurkishArmy</t>
  </si>
  <si>
    <t>جديدة البيراني</t>
  </si>
  <si>
    <t>https://pbs.twimg.com/media/EGcSo6BW4AAxH1N.jpg</t>
  </si>
  <si>
    <t>doğa bekçi ile değil sevgi ile korunur</t>
  </si>
  <si>
    <t>قمر الداني</t>
  </si>
  <si>
    <t>pic.twitter.com/boiJnkKtzS</t>
  </si>
  <si>
    <t>Ribay Kağıt</t>
  </si>
  <si>
    <t>İstiklal ve istikbalimizin korkusuz bekçisi olan Türk Silahlı Kuvvetlerimize muvaffakiyetler diliyoruz. 🇹🇷 Kalbimiz ve dualarımız Barış Pınarı Harekatı’nda görev alan askerlerimizle... #TürkMilletiOrdusununYanında #BarisPinari #carsamba #TurkishArmy #BarisPinariHarekati #</t>
  </si>
  <si>
    <t>https://pbs.twimg.com/media/EGcSn9wWoAAvp6_.jpg</t>
  </si>
  <si>
    <t>Zeytinburnu, İstanbul</t>
  </si>
  <si>
    <t xml:space="preserve"> حسن جازان</t>
  </si>
  <si>
    <t>pic.twitter.com/4bBPum5zjE</t>
  </si>
  <si>
    <t>Murat Sözen</t>
  </si>
  <si>
    <t>Allah devletimizin ve milletimizin yardımcısı olsun. Bu bayrak düşmez ! #TurkishArmy</t>
  </si>
  <si>
    <t xml:space="preserve">  مطر بن سعد </t>
  </si>
  <si>
    <t>Koceli</t>
  </si>
  <si>
    <t>pic.twitter.com/NHwlJkXCom</t>
  </si>
  <si>
    <t>S̷ ̷e̷ ̷n̷ ̷m̷ ̷i̷</t>
  </si>
  <si>
    <t>Türk ordusu Yolun açık olsun Dualarımız,kalbimiz sizinle. #TurkishArmy #BarışPınarıHarekatı #TürkMilletiOrdusununyanında</t>
  </si>
  <si>
    <t xml:space="preserve"> ماهرالصاعدي </t>
  </si>
  <si>
    <t>اللواء متقاعد د. شامي الظاهري : الجناح الرئيسي لـ ايران هم الحوثيين ، إذا كسِر هذا الجناح ستضعف إيران كثيراً .  - جمال خاشقجي #خاشقجي #عام_على_اغتيال_جمال</t>
  </si>
  <si>
    <t>pic.twitter.com/4dv5vswy1k</t>
  </si>
  <si>
    <t>Bu vatanı,bu 🇹🇷 ğı,Askeri ,Polisi sevmeyen takipten çıksın. 🇹🇷 🇹🇷💛💙☕ 🌼 Ana hesap👉 @Dilek3106 Rt @suskunyarimsee</t>
  </si>
  <si>
    <t>حميرة الأمين</t>
  </si>
  <si>
    <t>pic.twitter.com/X8xCsSBj9s</t>
  </si>
  <si>
    <t xml:space="preserve"> خيشان الجهني</t>
  </si>
  <si>
    <t>محلل قناة ٢٤ سعودي الفضائية د. عماد الدين الجبوري في سجال خاص : منذ عام 1979م والمسؤولون الإيرانيون يرفعون شعار الموت لأمريكا..ثم يرسلون أبناءهم إلى "الشيطان الأكبر"!!  - جمال خاشقجي #خاشقجي #قطر</t>
  </si>
  <si>
    <t>pic.twitter.com/MCpR71cuNC</t>
  </si>
  <si>
    <t>Nuray</t>
  </si>
  <si>
    <t>Bu bayrak asla inmeyecek! Tarih yazıyoruz tarih şimdi dünya bizi seyretsin! #TurkishArmy #BarisPinari #BarisPinariHarekati</t>
  </si>
  <si>
    <t>https://pbs.twimg.com/media/EGcSnwdX0AAQX8l.jpg</t>
  </si>
  <si>
    <t>هام وعاجل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</si>
  <si>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pic.twitter.com/WTekJ7tgoS</t>
  </si>
  <si>
    <t>fashion insta nuray.ks</t>
  </si>
  <si>
    <t xml:space="preserve">   ضيف  القرني</t>
  </si>
  <si>
    <t>محلل قناة ٢٤ سعودي الفضائية د. أنور مالك في المراقب : واضح جداً ومما لا شك فيه أبداً أن الممول للحوثيين هم ملالي طهران ويتم ذلك عبر الحرس الثوري الإيراني أو حزب الله اللبناني  - جمال خاشقجي #JamalKhashoggi #تركيا</t>
  </si>
  <si>
    <t>pic.twitter.com/shsmmBheaS</t>
  </si>
  <si>
    <t>Hkn</t>
  </si>
  <si>
    <t>Şehit bebek bedirhan karakaya ve tüm şehitlerimiz için vurun... @tcsavunma @jandarma @polisozeltr @suleymansoylu #BarisPinari #BarisPinariHarekati #TurkishArmy</t>
  </si>
  <si>
    <t>pic.twitter.com/nnHvyFz0Ur</t>
  </si>
  <si>
    <t>زوارة الإبراهيم</t>
  </si>
  <si>
    <t>pic.twitter.com/yjLADPGUDR</t>
  </si>
  <si>
    <t xml:space="preserve"> ﺳﻠﻄﺎﻥ ﺍﻻﺳﻤﺮﻱ</t>
  </si>
  <si>
    <t>العميد متقاعد. حسن الشهري: قناة الجزيرة تستهدف الشعب السعودي منذ عام 96 وعندما فشلت انتقلت إلى صف الأعداء .  - جمال خاشقجي #خاشقجي #قطر</t>
  </si>
  <si>
    <t>pic.twitter.com/BFRgY4OZVk</t>
  </si>
  <si>
    <t>محمد حميد</t>
  </si>
  <si>
    <t>pic.twitter.com/1OpMZSEUsB</t>
  </si>
  <si>
    <t>Muhammet</t>
  </si>
  <si>
    <t>ALLAH yar ve yardımcınız olsun aslan parçaları şanlı Mehmetçik. TÜRK milleti her zaman yanınızda 🇹🇷🇹🇷🇹🇷  #BarışPınarıHarekati #OperationPeaceSpring #TurkishArmy RT @alikeskin_tr: Kan dökmeyi seven bir millet değiliz, Ancak, söz konusu vatan ise, dünyanın şah damarını keseriz! #BarışPınarıHarekatı</t>
  </si>
  <si>
    <t>https://twitter.com/alikeskin_tr/status/1181928704030707712?s=21</t>
  </si>
  <si>
    <t xml:space="preserve"> ﺭﺍﺷﺪ ﺍﻟﺮﺍﺷﺪ</t>
  </si>
  <si>
    <t>أ. نايف الحربي: إعلامي وكاتب صحفي : لايزال سلوك ايران عدواني  - جمال خاشقجي #خاشقجي #قطر</t>
  </si>
  <si>
    <t>https://pbs.twimg.com/media/EGcSl0hWwAEUa74.jpg
pic.twitter.com/eEJfppNnYy</t>
  </si>
  <si>
    <t>pic.twitter.com/euCFA464IV</t>
  </si>
  <si>
    <t>KOÜ 🎓 @Fenerbahce 19🌿7 💛💙</t>
  </si>
  <si>
    <t>http://instagram.com/muhammet.gulsoy</t>
  </si>
  <si>
    <t>🦅 Kartal_Göz  🦅</t>
  </si>
  <si>
    <t>Fair Observer</t>
  </si>
  <si>
    <t>Sınır hattında bir köyde Kürt anamızın operasyona katılan askerimize sözleri; Onları EZİN..!!! #BarisPinariHarekati #TurkishArmy</t>
  </si>
  <si>
    <t>Before one journalist’s brutal death is relegated to a statistic, we should remind ourselves of the ideals he stood for, wrote about and dreamed for his fellow Saudis and for all the people of the Middle East. #JamalKhashoggi</t>
  </si>
  <si>
    <t>https://www.fairobserver.com/region/middle_east_north_africa/jamal-khashoggi-murder-death-saudi-arabia-journalist-mohammed-bin-salman-80794/</t>
  </si>
  <si>
    <t>Mountain View, CA, USA</t>
  </si>
  <si>
    <t>Fair Observer is a nonprofit media organization that engages in citizen journalism and civic education.</t>
  </si>
  <si>
    <t>http://www.fairobserver.com</t>
  </si>
  <si>
    <t>🦅 En güzel BEŞİKTAŞ’ ın çocukları sever... Unutmadan AAG, FAA 🦅 #Seyfo ama Seyfullah değil, #Sinop 🦅13.06‼️🦅BSC🦅</t>
  </si>
  <si>
    <t xml:space="preserve">  زياد  المشيطي</t>
  </si>
  <si>
    <t>محلل قناة ٢٤ سعودي الفضائية د. أنور مالك في المراقب : إيران تعاني من ضغوط داخلية وخارجية بسب العقوبات الأمريكية التي استهدفت تصفير صادرات النفط الإيراني  #خاشقجي #عام_على_رحيل_خاشقجي</t>
  </si>
  <si>
    <t>pic.twitter.com/wrxSPxQ7Du</t>
  </si>
  <si>
    <t xml:space="preserve"> بكر  دحلان </t>
  </si>
  <si>
    <t>pic.twitter.com/mdIIHCiUMh</t>
  </si>
  <si>
    <t xml:space="preserve">   مداد الخيري</t>
  </si>
  <si>
    <t>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</si>
  <si>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pic.twitter.com/TGl5RyqEhM</t>
  </si>
  <si>
    <t>قطب العمري</t>
  </si>
  <si>
    <t>pic.twitter.com/kmW2tLViq0</t>
  </si>
  <si>
    <t>EllaJoSa</t>
  </si>
  <si>
    <t>Das ist so tragisch. So scheiße. Mur fehlen die Worte! #Syria #TurkishArmy #War RT @tagesschau_eil: Türkei startet Offensive gegen Kurden</t>
  </si>
  <si>
    <t>https://twitter.com/tagesschau_eil/status/1181922116221984771
http://www.tagesschau.de</t>
  </si>
  <si>
    <t>Mama, Ärztin, chronisch müde. Gutmensch von ganzem Herzen! Nazisraus! Im nächsten Leben fliege ich zum Mond.</t>
  </si>
  <si>
    <t>🌸🕊🎥FilmdekİyiKız 🇹🇷ORDUMUZUN ZaferiniBekliyor</t>
  </si>
  <si>
    <t>قدراتلله السكر</t>
  </si>
  <si>
    <t>https://pbs.twimg.com/media/EGcSjvSXkAMkvQT.jpg</t>
  </si>
  <si>
    <t>pic.twitter.com/fVHaRWpV3D</t>
  </si>
  <si>
    <t>TEK YUREK 🇹🇷 [ UÇMAG 🌸🕊]</t>
  </si>
  <si>
    <t>💔 .. öyle çok kalp kırdılar ki ?/ Merhametinizi olgunlaştırın / İnönü Üniversitesi EMERGENCY 🎓112 Paramedic 💛🚑💨 / Hüzne Galabe BirŞAİRE /</t>
  </si>
  <si>
    <t xml:space="preserve"> ﻋﺒﺪﺍﻟﻠﻪ ﺍﻟﻘﺤﻄﺎﻧﻲ</t>
  </si>
  <si>
    <t>pic.twitter.com/yGEcMMDGD7</t>
  </si>
  <si>
    <t>Eşkışkın</t>
  </si>
  <si>
    <t>Türkler savaşmaya başlarsa şeytanı cehennemde esir alır. 🇹🇷🇹🇷🇹🇷 #BarisPinariHarekati #TurkishArmy #BarisPinari #carsamba #Syria</t>
  </si>
  <si>
    <t>https://pbs.twimg.com/media/EGcSk_ZXUAEybTd.jpg</t>
  </si>
  <si>
    <t>قدس الصميلي</t>
  </si>
  <si>
    <t>pic.twitter.com/9putg257Up</t>
  </si>
  <si>
    <t>MKA🇹🇷</t>
  </si>
  <si>
    <t>selahattin demirtaş gel de sırtını dayadıklarını kurtar... #BarisPinariHarekati #TurkishArmy</t>
  </si>
  <si>
    <t>قاسم المولد</t>
  </si>
  <si>
    <t>pic.twitter.com/NtFJuDGNQg</t>
  </si>
  <si>
    <t>Mustafa Yiğit</t>
  </si>
  <si>
    <t>Suriye'de ne işimiz var diyenlere : Trablusgarp Savaşı,1912. Otuzlu yaşlarının başlarında, Doğdukları topraklardan binlerce kilometre uzakta,vatansever ve yiğit iki genç subay. Bingazi Komutanı Binbaşı Enver (Paşa) ve Derne Komutanı Binbaşı Mustafa Kemal ( Atatürk) #TurkishArmy</t>
  </si>
  <si>
    <t>https://pbs.twimg.com/media/EGcSkGqWkAER6P6.jpg</t>
  </si>
  <si>
    <t>قاسم الحمادي</t>
  </si>
  <si>
    <t>pic.twitter.com/rU7chyURKD</t>
  </si>
  <si>
    <t>AYARSIZ yazarı...Insan...Mülkiyeli...</t>
  </si>
  <si>
    <t>LeonisT</t>
  </si>
  <si>
    <t>#OperationPeaceSpring #BarisPinariHarekati #TurkishArmy</t>
  </si>
  <si>
    <t>https://pbs.twimg.com/media/EGcSju8WoAEVlsN.jpg</t>
  </si>
  <si>
    <t> مانع الشمري</t>
  </si>
  <si>
    <t>د. عدنان محمد : تركيا هي السوق الأكثر استهلاكا و إنتاجا للأخبار الكاذبة و المزيفة في العالم.  - جمال خاشقجي #خاشقجي #قطر</t>
  </si>
  <si>
    <t>pic.twitter.com/tGEgyjseQB</t>
  </si>
  <si>
    <t>Merve Küçük 🇹🇷</t>
  </si>
  <si>
    <t>Çok sevdiğim bir sözdür. ''Türk olmak zordur çünkü dünya ile savaşırsın. Türk olmamak daha zordur çünkü Türk ile savaşırsın." Rabbim yar ve yardımcınız olsun. #TurkMilletiOrdusununYanında YA HAK ! 🇹🇷 #BarışPınarıHarekati #TurkishArmy #OperationPeaceSpring</t>
  </si>
  <si>
    <t>https://pbs.twimg.com/media/EGcSjjMXoAA9aga.jpg</t>
  </si>
  <si>
    <t>Ankara, Nevşehir</t>
  </si>
  <si>
    <t>KULİLLAH SÜMME ZERHUM🕊Her dua nasibine,her nasip vaktine esirdir.SABR🌿Üstümüzden Eksilmesin Al Bayrağın Gölgesi 🇹🇷 İnşaat Mühendisi👷🏻‍♀️Babasının kızı💫</t>
  </si>
  <si>
    <t>أمان الله المرادي</t>
  </si>
  <si>
    <t>pic.twitter.com/CmTCNzfXne</t>
  </si>
  <si>
    <t>Cheryl Duckworth, Ph.D.</t>
  </si>
  <si>
    <t>From an old grad school friend and colleague. 👇🏼 #TurkishArmy #Kurds RT @UlasDogaEralp: to all my #Kurdish friends : I apologize on behalf of the warmongers in #Turkey and the bloodshed it will cause in #Rojava and in #Syria , accepting my apology is completely up to you...but time will show thosse who demand #peace and #justice will prevail regardless of dictators</t>
  </si>
  <si>
    <t>https://twitter.com/ulasdogaeralp/status/1181925559972089857</t>
  </si>
  <si>
    <t>ابراهيم الملحم</t>
  </si>
  <si>
    <t>pic.twitter.com/EfusUNWLX7</t>
  </si>
  <si>
    <t>Professor of conflict resolution at @nsuflorida. Schools for peace &amp; peace for schools. Views are my own. She/her.</t>
  </si>
  <si>
    <t>http://teachforpeace.blogspot.com</t>
  </si>
  <si>
    <t>tiburon1955</t>
  </si>
  <si>
    <t>@nwadhams Well @trpresidency Erdogan is better than trump at least they stood up to Saudia Arabia and asked that the #JamalKhashoggi murder be reporting to the world! @washingtonpost @donlemon @SenatorRomney @Lawrence @tedlieu</t>
  </si>
  <si>
    <t>Eren</t>
  </si>
  <si>
    <t>İntikammm💪💪💪🇹🇷🇹🇷🇹🇷 #BarisPinariHarekati #OperationPeaceSpring #TurkishArmy</t>
  </si>
  <si>
    <t>https://pbs.twimg.com/media/EGcSc3GXkAEKzgJ.jpg</t>
  </si>
  <si>
    <t xml:space="preserve">خالد الصملي </t>
  </si>
  <si>
    <t>د. محمد الحلفي – الباحث في التاريخ الحديث: مُهمة قناة الجزيرة ان يُصبح العالم العربي مُضللاً لا يرى الحقيقة.  #خاشقجي #عام_على_رحيل_جمال</t>
  </si>
  <si>
    <t>pic.twitter.com/Zg7lIlgViG</t>
  </si>
  <si>
    <t>Fenerbahçe ve Mustafa Kemal aşığı.</t>
  </si>
  <si>
    <t>Aykut Eyret</t>
  </si>
  <si>
    <t>Allahım yar ve yardımcınız olsun. Ayağınıza taş değmesin. #BarışPınarıHarekati #tsk #TurkishArmy #turkmilletiordusununyaninda #suriye #türkiye</t>
  </si>
  <si>
    <t>https://pbs.twimg.com/media/EGcShSpWoAItoCy.jpg</t>
  </si>
  <si>
    <t>Afyonkarahisar, Türkiye</t>
  </si>
  <si>
    <t>مهدي الحيدر</t>
  </si>
  <si>
    <t>pic.twitter.com/M0KoJMZBto</t>
  </si>
  <si>
    <t>Ruknettin 🇹🇷</t>
  </si>
  <si>
    <t>Vur şanlı silahınla gönül mülkü düzelsin, Sen öldürüyorken de vururken de güzelsin.. #BarışPınarıHarekatı #TurkishArmy</t>
  </si>
  <si>
    <t>https://pbs.twimg.com/media/EGcSjBUWoAE_wsW.jpg</t>
  </si>
  <si>
    <t xml:space="preserve"> بيت المحسن عمار</t>
  </si>
  <si>
    <t xml:space="preserve"> يوسف السنيدي </t>
  </si>
  <si>
    <t>Bozkır</t>
  </si>
  <si>
    <t>د. عدنان محمد: لدى موظفي قناة الجزيرة ولاءها للنظام الإرهابي في ايران أكثر من الشعب الإيراني الحر الأبي الذي يخرج كل يوم ويهتف لإسقاط هذا النظام الذي يحتل ايران .  - جمال خاشقجي #JamalKhashoggi #قطر</t>
  </si>
  <si>
    <t>ayarsızım, bazı bazı dilim sivri sözüm ağu olur benim..</t>
  </si>
  <si>
    <t>https://kulhane.wordpress.com</t>
  </si>
  <si>
    <t>pic.twitter.com/R2n24c7EjF</t>
  </si>
  <si>
    <t>Bowie</t>
  </si>
  <si>
    <t>#SaveRojava #TurkishArmy #fascism RT @RojavaIC: Our team on the ground in Sere Kaniye confirms that Turkish airstrikes have begun. More to follow.</t>
  </si>
  <si>
    <t>https://twitter.com/RojavaIC/status/1181922590752985088</t>
  </si>
  <si>
    <t>جاسم البيج</t>
  </si>
  <si>
    <t>pic.twitter.com/xiNeBhh9Mf</t>
  </si>
  <si>
    <t>https://pbs.twimg.com/media/EGcIU3mXYAIlCiu.jpg</t>
  </si>
  <si>
    <t>Real Resistance has real consequences, not salaries!!</t>
  </si>
  <si>
    <t>فواز الفاروقي</t>
  </si>
  <si>
    <t>pic.twitter.com/MGK2vGAluv</t>
  </si>
  <si>
    <t>Bizim Tayfa Rich Rich 💸💶💰</t>
  </si>
  <si>
    <t>Harekat Başladı, 🇹🇷 ALLAH’ım, Sen Türk'ü Türk yurtlarını koru! Düşman şerrinden sakla! TÜRK'ü yiğitlikte daim et! TÜRK'ü erlik davasıyla yaşat... #TurkishArmy 🇹🇷</t>
  </si>
  <si>
    <t>Maldives</t>
  </si>
  <si>
    <t>Official Twitter Account</t>
  </si>
  <si>
    <t xml:space="preserve"> فهمي الحوشان </t>
  </si>
  <si>
    <t>pic.twitter.com/ygC46eR6ed</t>
  </si>
  <si>
    <t>Koray Yılmaz</t>
  </si>
  <si>
    <t>@Dogu_Perincek @realDonaldTrump amca düğünümüz var. Gelsene sana da davetiye hazırladık. S-400'le yollayacağız. #BarisPinariHarekati #TurkishArmy</t>
  </si>
  <si>
    <t xml:space="preserve">Ankara </t>
  </si>
  <si>
    <t>TGB KAYSERİ İL BAŞKAN YARDIMCISI Erciyes ÜNİVERSİTESİ-Gıda MÜHENDİSLİĞİ ANKARA/KAYSERİ</t>
  </si>
  <si>
    <t>عبد الرؤوف الكبير</t>
  </si>
  <si>
    <t>pic.twitter.com/jTIcxOgD6J</t>
  </si>
  <si>
    <t>Jose Luis Barragan</t>
  </si>
  <si>
    <t>#traderslife #Geopolitics #Syria #TurkishArmy #bitcoin... RT @SJosephBurns:</t>
  </si>
  <si>
    <t>https://twitter.com/sjosephburns/status/1181931262275182593</t>
  </si>
  <si>
    <t>https://pbs.twimg.com/media/EGcQN9iWoAA7iSf.jpg</t>
  </si>
  <si>
    <t>Las Vegas, NV</t>
  </si>
  <si>
    <t>Forex/Crypto Trader -Sharing daily reads and thoughts on subjects related to Crypto Currency /Finance/ Investing/ Trading/ Business and Geopolitics</t>
  </si>
  <si>
    <t>عثمان الجود</t>
  </si>
  <si>
    <t>Aqiunalı haFIZ 🇹🇷</t>
  </si>
  <si>
    <t>Eko başgan üç normal iki kepekli versene @ekrem_imamoglu #TurkishArmy #BarisPinari #Suriya</t>
  </si>
  <si>
    <t>pic.twitter.com/pWfBo4qVsw</t>
  </si>
  <si>
    <t>☆ kime bakmıştın¿ ☆</t>
  </si>
  <si>
    <t>İMAM BÂKIR #BARISPINARI</t>
  </si>
  <si>
    <t>Vatan için.. Bayrak için.. Devlet için.. #BarisPinari #BarisPinariHarekati #TurkishArmy</t>
  </si>
  <si>
    <t>محتار</t>
  </si>
  <si>
    <t>@hantooly75 مشغولين في #خاشقجي</t>
  </si>
  <si>
    <t>أنا السّعودي رايتي رمز الإسلام أنا العرب واصل العروبة بلادي🇸🇦</t>
  </si>
  <si>
    <t>Vatan</t>
  </si>
  <si>
    <t>“Ruhumu eritip de kalıpta dondurmuşlar; Onu İstanbul diye toprağa kondurmuşlar.” NFK</t>
  </si>
  <si>
    <t>راشد الحربي</t>
  </si>
  <si>
    <t>تقرير / الجزيرة وحديث الرويبضه وتحويل الحقائق وتحريفها عن مواضعها للفتنة.  - جمال خاشقجي #JamalKhashoggi #قطر</t>
  </si>
  <si>
    <t>pic.twitter.com/qWyxhNpnDc</t>
  </si>
  <si>
    <t>Tolga</t>
  </si>
  <si>
    <t>Şehitlerimiz için vurun, Allah için vurun 🇹🇷 #BarisPinari #TurkishArmy</t>
  </si>
  <si>
    <t>🇹🇷🇹🇷🇹🇷 Diyagonal TV.</t>
  </si>
  <si>
    <t>https://www.youtube.com/channel/UC7qKRQL4rTwo0grmpVgsF_w</t>
  </si>
  <si>
    <t>Recep KAYA</t>
  </si>
  <si>
    <t>#BarisPinari #OperationPeaceSpring #BarisPinariHarekati #TurkishArmy</t>
  </si>
  <si>
    <t>https://pbs.twimg.com/media/EGcSgtOXkAAo6ta.jpg</t>
  </si>
  <si>
    <t xml:space="preserve">  عتيق السلمي</t>
  </si>
  <si>
    <t>تقرير: إعلام الزيف القطري التركي الإخوانجي .. فبركة الأخبار وتضليل الرأي العام .  - جمال خاشقجي #خاشقجي #عام_على_رحيل_جمال</t>
  </si>
  <si>
    <t>pic.twitter.com/IfZLF4I3Bg</t>
  </si>
  <si>
    <t>SDÜ</t>
  </si>
  <si>
    <t>https://www.instagram.com/recepkaya__/</t>
  </si>
  <si>
    <t xml:space="preserve"> نافع العمري</t>
  </si>
  <si>
    <t>د. محمد العوين : الحكومة القطرية ليس لها أي توجه إسلامي فهي لديها شعور بالضآلة وهو ما أوصلها للحقد والكراهية نحو المملكة .  - جمال خاشقجي #خاشقجي #عام_على_اغتيال_جمال</t>
  </si>
  <si>
    <t>pic.twitter.com/kG364loFdL</t>
  </si>
  <si>
    <t>Issız Aborijin</t>
  </si>
  <si>
    <t>#TurkishMilitary #TurkishArmy RT @aybers: "Türkler, müslümanlar gelmişler. Allah'a şükür o köpeklerden kurtulduk. YPG/PKK'dan kurtulduk. Ne namus bıraktılar, ne çocuk bıraktılar. 8 çocuğum vardı hepsi gitti. Hiçbiri kalmadı." #TurkishArmy</t>
  </si>
  <si>
    <t xml:space="preserve"> نمر الشيخ</t>
  </si>
  <si>
    <t>تقرير: الجبير: استرضاء إيران غذى سلوكها العدواني .  - جمال خاشقجي #خاشقجي #عام_على_اغتيال_جمال</t>
  </si>
  <si>
    <t>pic.twitter.com/7lLMNrbuxu</t>
  </si>
  <si>
    <t>Doğal Seçilimle; dış ortama uyum sağlamakta sorunlar yaşayan ve tasfiye edilen bireyleri içerir. +18 videolar içerebilir.</t>
  </si>
  <si>
    <t>مسلم الفزيري</t>
  </si>
  <si>
    <t>Gurkan Okuducu</t>
  </si>
  <si>
    <t>Ya Allah Bismillah! Yüce Allah Türk Silahlı Kuvvetlerimizin ve kahraman Mehmetçiklerimizin üzerindeki yardımını artırsın ve muzafferiyet nasip etsin. “MAZLUMA UMUT ZALİME KORKU” #TürkOrdusu #TurkishArmy #BarısPınarlarıHarekatı</t>
  </si>
  <si>
    <t>https://pbs.twimg.com/media/EGcSf50XkAEUNFZ.jpg</t>
  </si>
  <si>
    <t>Devlet-i Ebed Müddet.🇹🇷</t>
  </si>
  <si>
    <t>ﻧﺎﻳﻒ ﺭﺍﺷﺪ</t>
  </si>
  <si>
    <t>pic.twitter.com/4sfwSU4ASR</t>
  </si>
  <si>
    <t>GKHN卐ERTÜRK</t>
  </si>
  <si>
    <t>Ecdâdının heybeti ma'rûf-ı cihândır, Fıtrat değişir sanma, Bu KAN yine o kandır! Kahraman TÜRKLER geliyor!🇹🇷 #BarışPınarıHarekatı #TurkishArmy #turkmilletiordusununyaninda @tcsavunma @TSKGnkur</t>
  </si>
  <si>
    <t>https://pbs.twimg.com/media/EGcSfllW4AAF27x.jpg</t>
  </si>
  <si>
    <t xml:space="preserve"> مانع الخميس </t>
  </si>
  <si>
    <t>محلل قناة ٢٤ سعودي الفضائية د. عمر عبدالستار في نيران ايران : ايران بهذا النظام غير قابلة للتغيير، ولكنها في نفس الوقت هي عرضة للتفكك  - جمال خاشقجي #ايران #خاشقجي</t>
  </si>
  <si>
    <t>pic.twitter.com/rS8kXlJwxY</t>
  </si>
  <si>
    <t>ANKARA</t>
  </si>
  <si>
    <t>Bin Cihana Değişmem Şu Öksüz TÜRKLÜĞÜMÜ!..</t>
  </si>
  <si>
    <t>Abdullah</t>
  </si>
  <si>
    <t>Vur yiğidim vur! 'Vur şanlı silahınla gönül mülkü düzelsin; Sen öldürüyorken de vururken de güzelsin !' #BarisPinari #BarışPınarıHarekati #TurkishArmy</t>
  </si>
  <si>
    <t>https://pbs.twimg.com/media/EGcSfO4WoAA2BGi.jpg</t>
  </si>
  <si>
    <t>عمر العتيبي</t>
  </si>
  <si>
    <t>pic.twitter.com/kuBVag4C2q</t>
  </si>
  <si>
    <t>EU Hukuk 4/4</t>
  </si>
  <si>
    <t>Huseyin Cakmak</t>
  </si>
  <si>
    <t>Allah kahraman ordumuzu muvaffak etsin. Askerimiz inşallah terör örgütlerinin ve destekçilerinin tüm planlarını yok edecektir. Ordumuzun ve devletimizin yanındayız... #BarisPinariHarekati #TürkOrdusu #PeaceSpringOperation #TurkishArmy</t>
  </si>
  <si>
    <t>نصر القادري</t>
  </si>
  <si>
    <t>https://pbs.twimg.com/media/EGcSfc3XkAAwjMp.jpg</t>
  </si>
  <si>
    <t>pic.twitter.com/SCWicwt7GQ</t>
  </si>
  <si>
    <t>İstanbul, Sakarya</t>
  </si>
  <si>
    <t>Life time student | Şartlar ne olursa olsun, sen dosdoğru ol...</t>
  </si>
  <si>
    <t>http://instagram.com/cakmakhuseyin</t>
  </si>
  <si>
    <t>muhammetceyylan7</t>
  </si>
  <si>
    <t>Vur şanlı silahınla gönül mülkü düzelsin Sen öldürüyorken de vururken de güzelsin 🇹🇷🇹🇷🇹🇷 #BarısPınarlarıHarekatı #TurkishArmy #TuerkMilletiOrdusununYanında</t>
  </si>
  <si>
    <t>https://pbs.twimg.com/media/EGcSe5WXoAEskyR.jpg</t>
  </si>
  <si>
    <t>نورة الأسمري</t>
  </si>
  <si>
    <t>pic.twitter.com/4uWOmGGpYh</t>
  </si>
  <si>
    <t>Bak batıyor yine akşam güneşi</t>
  </si>
  <si>
    <t>Dr No</t>
  </si>
  <si>
    <t>@realDonaldTrump #Trump's great unmatched wisdom, consider #JefferyEpstein #stormydaniels #JamalKhashoggi #RexTillerson #AnthonyScaramucci #sharpiegate #Greenland #Manafort #JohnBolton #JamesMattis #TheChosenOne #Cohen #Mexico paying for wall #OttoWarmbier #JohnMcCain #MAGA🤔</t>
  </si>
  <si>
    <t>Demetiko'¹⁹⁰⁷</t>
  </si>
  <si>
    <t>https://pbs.twimg.com/media/EGYIWlmWsAMYH2k.jpg</t>
  </si>
  <si>
    <t>İbretlik bırakıyorum buraya. #BarisPinari #TurkishArmy #turkmilletiordusununyaninda #BarisPinariHarekati</t>
  </si>
  <si>
    <t>https://pbs.twimg.com/media/EGcSeBeWwAA6kSy.jpg</t>
  </si>
  <si>
    <t>نوفل المصري</t>
  </si>
  <si>
    <t>İstanbul Üniversitesi / Kova Burcu / 19🌿7/ 💙Bilâl💙</t>
  </si>
  <si>
    <t>http://Instagram.com/demetkarakulak</t>
  </si>
  <si>
    <t>pic.twitter.com/k8kgxMpIUt</t>
  </si>
  <si>
    <t>🦋🏵️ NuRaN Metintaş 🏵️🦋</t>
  </si>
  <si>
    <t>Allah ayağınıza taş değdirmesin🇹🇷🇹🇷🇹🇷 #BarısPınarlarıHarekatı #turkmilletiordusununyaninda #TurkishArmy  #BarısPınarlarıHarekatı</t>
  </si>
  <si>
    <t>pic.twitter.com/SdWK5VY5cV
https://pbs.twimg.com/media/EGWq5ymX0AA7aYR.jpg</t>
  </si>
  <si>
    <t>فهمي المنصور</t>
  </si>
  <si>
    <t>En iyi lider,Kendinden çok ait olduğu toplumunu ve milletini düşünendir 🇹🇷Gazi Mustafa Kemal Atatürk🇹🇷 Vicdan olmayanda iman hiç olmaz Var diyen sahtekardır</t>
  </si>
  <si>
    <t>Hans 🚬</t>
  </si>
  <si>
    <t>@RTErdogan May Allah bless great #TurkishArmy 🇹🇷🇹🇷🇹🇷</t>
  </si>
  <si>
    <t>مسفر الفرحات</t>
  </si>
  <si>
    <t>pic.twitter.com/g2mx0SfFd3</t>
  </si>
  <si>
    <t>💙💛#hedef29 💛💙</t>
  </si>
  <si>
    <t>Allah yar ve yardımcımız olsun...AMİN #BarisPinariHarekati #TürkMilletiOrdusununYanında #TurkishArmy</t>
  </si>
  <si>
    <t>معتوق ال مسباح</t>
  </si>
  <si>
    <t>pic.twitter.com/Z4j2dxB8cO</t>
  </si>
  <si>
    <t>28 ŞAMPİYONLUK FETÖ DEĞİL ALINTERİ</t>
  </si>
  <si>
    <t>https://www.youtube.com/watch?v=NgR4mzftYdE</t>
  </si>
  <si>
    <t>Girdap Bektaş</t>
  </si>
  <si>
    <t>Bu Duyduğunuz Türk Askerinin Ayak Sesleri. Haberiniz Olsun. #BarışPınarıHarekati #BarisPinari #TurkishArmy #OperationPeaceSpring</t>
  </si>
  <si>
    <t>https://pbs.twimg.com/media/EGcSdGOW4AAp8G_.jpg</t>
  </si>
  <si>
    <t>R&amp;D-RMA Leader 💻 Personal Trainer Trekking Camping ⛺ Survival Expert☀⚡❄</t>
  </si>
  <si>
    <t>BreakingNews</t>
  </si>
  <si>
    <t>A Kurdish Mother asking #TurkishArmy to demolish #PKK #YPG Terrorist allies of #USA #OperationPeaceSpring RT @dalierzincanli: İşte bir Kürt anasının, Şanlı ordusundan isteği: Onları ezin! #TurkishArmy</t>
  </si>
  <si>
    <t>هريرة العبدلة</t>
  </si>
  <si>
    <t>Breaking news, live updates, and developing stories around the world / Anında ve Objektif Haber / Türkçe / English #BreakingNews #SonDakika</t>
  </si>
  <si>
    <t>Sedat Dil 🇹🇷</t>
  </si>
  <si>
    <t>Gönülleri feth etmekle başlar herşey. Allah yar ve yardımcıları olsun... #BarısPınarıHarekat #TurkishArmy #Tuerksilahlıkuvvetleri #TSK</t>
  </si>
  <si>
    <t>https://pbs.twimg.com/media/EGcSbfzXoAEZmSG.jpg</t>
  </si>
  <si>
    <t>Kalyon Medya'da Metin Yazarı I Editör I İş Geliştirme I Stratejik İletişim http://tffmagazine.com</t>
  </si>
  <si>
    <t>http://www.kalyonmedya.com.tr</t>
  </si>
  <si>
    <t>Onur AKYILDIZ</t>
  </si>
  <si>
    <t>Allah yar ve yardımcınız olsun... #TurkishArmy #BarisPinariHarekati</t>
  </si>
  <si>
    <t>Bilecik, Türkiye</t>
  </si>
  <si>
    <t>Siyaset Bilimi,Atatürk, Fenerbahçe ♌</t>
  </si>
  <si>
    <t>wefa07</t>
  </si>
  <si>
    <t>Allah ordumuza zafer nasip Eylesin! Mehmetciklerimizi kaza ve belalardan muhafaza eylesin. #BarisPinari #BarışPınarıHarekati #OperationPeaceSpring #TurkishArmy #Mehmetcik #TuerkMilletiOrdusununYanında #Tuerksilahlıkuvvetleri</t>
  </si>
  <si>
    <t>https://pbs.twimg.com/media/EGcSb_YXUAAEf9M.jpg</t>
  </si>
  <si>
    <t>antalya kemer</t>
  </si>
  <si>
    <t>İyilik ticaret değildir,Allah için yapılır ve unutulur.</t>
  </si>
  <si>
    <t>mirac solbeksiz ¹⁹⁰⁷</t>
  </si>
  <si>
    <t>مسفر القحطاني</t>
  </si>
  <si>
    <t>أ. سامي المرشد: قطر عبارة عن محطة غاز وقناة إعلامية مُسيطِر عليها جهات أكبر من حجمها تستغلها لزرع العداوة وبث السموم في المنطقة.  - جمال خاشقجي #خاشقجي #عام_على_رحيل_خاشقجي</t>
  </si>
  <si>
    <t>Vatan ne Türkiyedir Türklere,ne Türkistan Vatan,büyük ve müebbet bir ülkedir: Turan #BarışPınarıHarekati #TurkishArmy</t>
  </si>
  <si>
    <t>pic.twitter.com/WwxknlohQV</t>
  </si>
  <si>
    <t>https://pbs.twimg.com/media/EGcSbgcWoAMnku6.jpg</t>
  </si>
  <si>
    <t>HATAY / İstanbul</t>
  </si>
  <si>
    <t>yok oluşun kayboluşunda.</t>
  </si>
  <si>
    <t>Jonathan Noble 🏴󠁧󠁢󠁥󠁮󠁧󠁿🇬🇧♿️</t>
  </si>
  <si>
    <t>With @realDonaldTrump cowardly pulling US forces out of northern Syria he has effectively given the lives of the Kurdish people over to Turkish forces, if that is not state sanction murder I do not know what is. #TrumpTraitor #impeachment #TrumpIsATraitor #TurkishArmy @WhiteHouse</t>
  </si>
  <si>
    <t>Hampshire, U.k</t>
  </si>
  <si>
    <t>All opinions are my own. We may not always agree but let’s listen to each other and challenge ourselves for the better. I am a British citizen and a Veteran.</t>
  </si>
  <si>
    <t>Rika Furude 🇬🇧 #StopTheEU #RespectTheVote</t>
  </si>
  <si>
    <t>"#Trump could have stopped #Turkey invading #Syria" How? How could he have stopped the #TurkishArmy exactly without starting a war with them? Make a Human chain across the border with US soldiers and hope the Turkish tanks don't just run them over or something?</t>
  </si>
  <si>
    <t>Hinamizawa (Disclaimer, not a real place)</t>
  </si>
  <si>
    <t>#Brexit, CatGirlLivesMatter. Blessing the world with glorious Rika. Will RT Rika images. Antisemites and Nazis blocked on sight</t>
  </si>
  <si>
    <t xml:space="preserve"> رحيم  العمري</t>
  </si>
  <si>
    <t>pic.twitter.com/leH27h1IS5</t>
  </si>
  <si>
    <t>#SONDAKİKA | BM Güvenlik Konseyi üyeleri Dışişleri Bakanlığı'na çağrıldı #BarışPınarıHarekatı - #TurkishArmy - #BarışPınarı🇹🇷</t>
  </si>
  <si>
    <t>Cüneyt ERASLAN</t>
  </si>
  <si>
    <t>Ates Sacan Mizrahigimiz,Zafer Getiren kilicimizin hain kopeklerin kafasina inmeye basladi. Rabbim milletinizi askerimizi polisimizi daima muzaffer eylesin... #BarışPınarıHarekati #TurkishArmy #tsk #polis #BarisPinari</t>
  </si>
  <si>
    <t>Malukü'l Mülk..</t>
  </si>
  <si>
    <t>CevaparananSorular</t>
  </si>
  <si>
    <t>#BarısPınarıOperasyonu #BarisPinari #TurkishArmy ALLAH ordumuz ve devletimizin yanında olsun. Karşımızda "Arap Birliği" var ABD var İRAN var RUSYA var FRANSA var İNGİLTERE var YUNANİSTAN var KIBRIS RUM KESİMİ var ERMENİSTAN var İSRAİL var. Yani bizbizeyiz tek başımızayız.</t>
  </si>
  <si>
    <t>Dikkat busayfanın sahibi statükodan nefreteden, sokak filo'zofu, hayat edebyatçısı bişairdir. Törelerin hatalarzincirinin genetikleşmişhaliolduğunu iddia eder.</t>
  </si>
  <si>
    <t>Levent Karayay</t>
  </si>
  <si>
    <t>Gazamız mübarek olsun 🇹🇷🇹🇷🇹🇷 Allah Türk askerini korusun 🤲 #BarışPınarıHarekati , #BarisPinari , #OperationPeaceSpring , #TurkishArmy , #SONDAKİKA , #TurkeyIsOurFriend , #Turkey</t>
  </si>
  <si>
    <t xml:space="preserve"> بدر  المطيري </t>
  </si>
  <si>
    <t>https://pbs.twimg.com/media/EGcSVmKWwAAvGG_.jpg</t>
  </si>
  <si>
    <t>pic.twitter.com/XHaFz3V4vn</t>
  </si>
  <si>
    <t>Erzurum, Turkey</t>
  </si>
  <si>
    <t>"... gözler kördür; insan ancak yüreğiyle baktığı zaman gerçeği görür" ... the eyes are blind; one must "look with the heart"</t>
  </si>
  <si>
    <t>وجيب الجميل</t>
  </si>
  <si>
    <t>pic.twitter.com/ViZws6hNwH</t>
  </si>
  <si>
    <t>Berkay CANATAR</t>
  </si>
  <si>
    <t>#TurkishArmy #BarisPinariHarekati #turkmilletiordusununyaninda Türk Silahlı Kuvvetlerimiz, Fırat’ın doğusundaki sürüngenler üzerinde bir şeyler deneyecek. Dualarımız sizinle, Allah yar ve yardımcınız olsun. 🇹🇷🇹🇷</t>
  </si>
  <si>
    <t>https://pbs.twimg.com/media/EGcSWKaXYAAYHQq.jpg</t>
  </si>
  <si>
    <t>نوره البيشي</t>
  </si>
  <si>
    <t>ÇU/İİBF/EKONOMETRİ</t>
  </si>
  <si>
    <t>ÇÜ Ekonometri bölümü mezunu 🎓ABTÜ Uluslararası ticaret ve finans tezli yüksek lisans📈 SMMM stajyeri 📜YMM ofisinde “Denetçi Yardımcısı” 🔎 Gizem❤️</t>
  </si>
  <si>
    <t>pic.twitter.com/k0Yv04md6S</t>
  </si>
  <si>
    <t>Gökhan GÖK</t>
  </si>
  <si>
    <t>Sefer bizim, zafer Allah'ındır. Gazamız mübarek olsun. Hilalin altında bir olun. Çok kalabalık olacağız, göreceksiniz! #BarışPınarıHarekâtı #TurkishArmy #OperationPeaceSpring</t>
  </si>
  <si>
    <t>https://pbs.twimg.com/media/EGcSVc_WwAEjdv2.jpg</t>
  </si>
  <si>
    <t>نعمان الشيخ</t>
  </si>
  <si>
    <t>F.Ü. Theology</t>
  </si>
  <si>
    <t>http://www.instagram.com/gkhangk.23</t>
  </si>
  <si>
    <t>Çınaroloji🕴</t>
  </si>
  <si>
    <t>Açlar nasıl bir istekle koşarsa aşa, Türk eri de öyle gider kanlı savaşa. . . 🇹🇷❤️🇹🇷 #BarisPinariHarekati #türksilahlıkuvvetleri #TurkishArmy #türkmilletiordusununyanında #BarisPinari</t>
  </si>
  <si>
    <t>Yaşasın Cumhuriyet🇹🇷 17.02❣️</t>
  </si>
  <si>
    <t>http://instagram.com/murtcnar37</t>
  </si>
  <si>
    <t xml:space="preserve"> فيحان منصور</t>
  </si>
  <si>
    <t>pic.twitter.com/I6qOmTXaze</t>
  </si>
  <si>
    <t xml:space="preserve"> مصطفى باعشن</t>
  </si>
  <si>
    <t>أ. هاني الحجي : النظام القطري لا يقوم على أسس ومبادئ سياسية وأخلاقية.  #خاشقجي #عام_على_رحيل_جمال</t>
  </si>
  <si>
    <t>pic.twitter.com/NouCzyEUg3</t>
  </si>
  <si>
    <t>𝙰𝚑𝚖𝚎𝚝 𝙴𝚖𝚛𝚎𝚗</t>
  </si>
  <si>
    <t>Allah yardımcınız olsun 🇹🇷 #yaşasınTÜRKordusu #TurkishArmy #BarisPinariHarekati 🇹🇷</t>
  </si>
  <si>
    <t>https://pbs.twimg.com/media/EGcSVJBXYAA_Vtr.jpg</t>
  </si>
  <si>
    <t>-ડığꪖᥴı𝕜-</t>
  </si>
  <si>
    <t>http://Instagram.com/ahmtemrn/</t>
  </si>
  <si>
    <t>saimvelli</t>
  </si>
  <si>
    <t>ORDUMUZ OLSUN DAİM MUZAFFER!! #TurkishArmy</t>
  </si>
  <si>
    <t>هارون النوري</t>
  </si>
  <si>
    <t>pic.twitter.com/kZsatWFdWg</t>
  </si>
  <si>
    <t>Nöroşiruji ve Endokrinoloji</t>
  </si>
  <si>
    <t>saudi arb</t>
  </si>
  <si>
    <t>Özgür İrdem</t>
  </si>
  <si>
    <t>Vatanımıza, milletimize ve coğrafyamıza huzur getirmesi dileğiyle. Allah yardımcınız olsun. #BarışPınarıHarekati #TurkishArmy</t>
  </si>
  <si>
    <t>Kırklareli, Türkiye</t>
  </si>
  <si>
    <t>KBU-Mech. Engineer'18 🎓</t>
  </si>
  <si>
    <t>ahmet guleryuz</t>
  </si>
  <si>
    <t>Dilerim döktüğün kanda boğulursun #SavasaHayır #TurkishArmy</t>
  </si>
  <si>
    <t>https://images.app.goo.gl/HNX5PAXcwxyQ1A549</t>
  </si>
  <si>
    <t>Humanty</t>
  </si>
  <si>
    <t xml:space="preserve">   عباس  الحربي</t>
  </si>
  <si>
    <t>T.</t>
  </si>
  <si>
    <t>pic.twitter.com/4EJlJp4lAY</t>
  </si>
  <si>
    <t>https://pbs.twimg.com/media/EGcSTrwXUAAZi9C.jpg</t>
  </si>
  <si>
    <t>alperen</t>
  </si>
  <si>
    <t>Rahat uyu Yiğidim. Sana yapılan kahpeliğin bedelini en sert şekilde ödeteceğiz .. 🇹🇷🇹🇷 İyi ki varsın EREN #BarisPinari #TurkishArmy</t>
  </si>
  <si>
    <t>pic.twitter.com/Of5w4UY8YX</t>
  </si>
  <si>
    <t>Biliyolar ki, Türk hayal edince bütün cihan değişir. Enver Paşa @TSKGnkur 🇹🇷</t>
  </si>
  <si>
    <t>https://www.instagram.com/p/B1bg5msBPBwm6Q1KXonvJfvfXB1hGUcT4C9jxw0/?igshid=1ee2lf9nskacc</t>
  </si>
  <si>
    <t>نعمه عطا الله</t>
  </si>
  <si>
    <t>pic.twitter.com/oaCMV3E2BA</t>
  </si>
  <si>
    <t>ﻳﻮﺳﻒ ﺍﻝ ﻣﺴﺒﺢ</t>
  </si>
  <si>
    <t>د. محمد العوين: على الأوروبيون ان يُدركوا ان النظام الإيراني مُدمر للعالم والحضارات الإنسانية والاقتصاد العالمي.  - جمال خاشقجي #خاشقجي #قطر</t>
  </si>
  <si>
    <t>pic.twitter.com/viKhZBe4tc</t>
  </si>
  <si>
    <t>Mathieu Léveillé</t>
  </si>
  <si>
    <t>@realDonaldTrump Now you can add war crimes on your dictator check list... #TrumpKurdGenocide #WarCriminal #TurkeyIsNotOurFriend #TurkishArmy #Kurds</t>
  </si>
  <si>
    <t>Crabtree, Québec</t>
  </si>
  <si>
    <t>👨‍🍳🍏🍇🥝🌽🍞🍖🍟🌯🍱🍡🍮🥠☕️🍵🥡🍭🍧🍛🍜🌭🥩🥐🥕🍅🍓🍎🍐🍈🥑🥗🥖🍤🍕🥘🍙🍨🍬🍫🍦🍚🍲🍝🥚🥨🥔🍆🍒🍊🍋🍑🌶️🍠🥞🍳🥪🥫🍘🍰🍿🍩🎂🥟🍥🥙🥓🧀🥜🥒🍍🍌🍉🥥🥦🍯🍗🍔🌮🍣🍢🥧🍪</t>
  </si>
  <si>
    <t>Sümeyye</t>
  </si>
  <si>
    <t>başlamıştır. hayırlı olsun. lindsey, bombalar sahiplerine ulaştırılıyor aklın kalmasın gülüm. #TurkishArmy #BarışPınarıHarekatı #BarışPınarı</t>
  </si>
  <si>
    <t>Midgård</t>
  </si>
  <si>
    <t>'Önce TÜRK, sonra insanlık, sonra başkaları.''</t>
  </si>
  <si>
    <t xml:space="preserve"> ماجد  المطيري </t>
  </si>
  <si>
    <t>pic.twitter.com/L3pfRbEIE3</t>
  </si>
  <si>
    <t xml:space="preserve"> حمد الحربي</t>
  </si>
  <si>
    <t>أ. نايف الحربي: إعلامي وكاتب صحفي: قطر تريد أن تشق الصف العربي والإسلامي .  - جمال خاشقجي #JamalKhashoggi #قطر</t>
  </si>
  <si>
    <t>pic.twitter.com/uWAQ5414KY</t>
  </si>
  <si>
    <t>باسم هاشمي</t>
  </si>
  <si>
    <t>pic.twitter.com/4Nt7Qi33qm</t>
  </si>
  <si>
    <t xml:space="preserve"> بدوي الشبرمي </t>
  </si>
  <si>
    <t>تقرير: وثائقي فرنسي يكشف علاقة قطر بتمويل التطرف الإرهاب في أوروبا .  - جمال خاشقجي #JamalKhashoggi #تركيا</t>
  </si>
  <si>
    <t>pic.twitter.com/gTIcy6XN2C</t>
  </si>
  <si>
    <t>AvcıBey</t>
  </si>
  <si>
    <t>GELİYORUZ... Zalimler için yaşasın cehennem... #TurkishArmy #BarisPinari #BarisPinariHarekati</t>
  </si>
  <si>
    <t>https://pbs.twimg.com/media/EGcSRy2WsAAJIWq.jpg</t>
  </si>
  <si>
    <t>Avcı</t>
  </si>
  <si>
    <t>Esra Sağlam</t>
  </si>
  <si>
    <t>“Bu devlet ve vatan büyüyecektir. Çünkü uğrunda ölmeye hazır olanlar var."🇹🇷🇹🇷 -Hüseyin Nihal Atsız #TurkishArmy RT @suleymansoylu: Türkiye'nin orada ne işi var diye soranlara seslenmek istiyorum, biz iki dakikada şu PKK'yı bitirip hemen geleceğiz, sonrasında da cevap vereceğiz.</t>
  </si>
  <si>
    <t>https://twitter.com/suleymansoylu/status/1181917653641900034</t>
  </si>
  <si>
    <t>أشرف أل قحطاني</t>
  </si>
  <si>
    <t>pic.twitter.com/KEXWj3fiNZ</t>
  </si>
  <si>
    <t>pic.twitter.com/3EDNtM6NHI</t>
  </si>
  <si>
    <t>Başakşehir, İstanbul</t>
  </si>
  <si>
    <t>Başakşehir Gençlik Kolları İlçe Başkan Yardımcısı /Başakşehir Genç Kadın Yapılanması Birim Başkanı</t>
  </si>
  <si>
    <t>http://instagram.com/esrasaglmm</t>
  </si>
  <si>
    <t>الدايخ</t>
  </si>
  <si>
    <t>@libyaalahrartv الي الجحيم الاثنين عليهم ما يستحقوا جراء خيانتهم الخاشقجي تركي الأصل لعنة الله علية خان الأرض التي تربي و عاش فيها #السعودية #السعودية_العظمى #خاشقجي خائن</t>
  </si>
  <si>
    <t>Non</t>
  </si>
  <si>
    <t>As much as you pay as much as you get</t>
  </si>
  <si>
    <t>مختار البعيج</t>
  </si>
  <si>
    <t>pic.twitter.com/pxAsbzJA30</t>
  </si>
  <si>
    <t>عبد البصير</t>
  </si>
  <si>
    <t>عاصم الدران</t>
  </si>
  <si>
    <t>pic.twitter.com/eEwisebzZ6</t>
  </si>
  <si>
    <t>Rhea Silvia</t>
  </si>
  <si>
    <t>"According to the Kurdish-led Syrian Democratic Forces (SDF), civilian areas were attacked by Turkish warplanes." @realDonaldTrump the blood of our allies is on your hands #TurkishArmy #Kurds</t>
  </si>
  <si>
    <t>محلل قناة ٢٤ سعودي الفضائية د. عماد الدين الجبوري في سجال خاص : منذ عام 1979م والمسؤولون الإيرانيون يرفعون شعار الموت لأمريكا..ثم يرسلون أبناءهم إلى "الشيطان الأكبر"!!  - جمال خاشقجي #خاشقجي #تركيا</t>
  </si>
  <si>
    <t>pic.twitter.com/F5ZtVZsept</t>
  </si>
  <si>
    <t>Stockholm, Sweden</t>
  </si>
  <si>
    <t>My new EP, "Roseline" is out. http://fanlink.to/roseline // Deep, melodic house and techno producer. // Liverpool FC fan. // Zen Buddhist. //Opinion generating machine</t>
  </si>
  <si>
    <t>http://rhea-silvia.com</t>
  </si>
  <si>
    <t xml:space="preserve">ﺻﺎﻟﺢ ﺍﻟﻤﻐﻨﻢ  </t>
  </si>
  <si>
    <t>أ. خالد النزر : أين الإعلام القطري من الفضائح التي تحدث داخل قطر  #JamalKhashoggi #تركيا</t>
  </si>
  <si>
    <t>pic.twitter.com/UXt1Me3d2V</t>
  </si>
  <si>
    <t>زيان الحسين</t>
  </si>
  <si>
    <t>pic.twitter.com/VDTQnOtknH</t>
  </si>
  <si>
    <t>𝕭𝖆𝖗ı𝖘 → 🅶🆂 → 🦁</t>
  </si>
  <si>
    <t>Az önce peş peşe memleketimden jetler havalandı Allah müslüman Türk ordusunun yanında olsun #BarisPinariHarekati #TurkishArmy</t>
  </si>
  <si>
    <t>Gölgelerin gücü adına 🇹🇷✮✮✮✮ ❤️💛¹⁹⁰⁵ 𐱅𐰇𐰼𐰜 #MayıslarBizimdir #Hedef23 #Türkiye</t>
  </si>
  <si>
    <t>Kaan yazanlar</t>
  </si>
  <si>
    <t>Helal olsun sana çocuk! #BarışPınarıHarekati #TurkishArmy</t>
  </si>
  <si>
    <t>https://pbs.twimg.com/media/EGcSPdjXkAEjeo5.jpg</t>
  </si>
  <si>
    <t>ﺳﺎﻟﻢ ﺟﻮﺩﺍﻟﻠﻪ</t>
  </si>
  <si>
    <t>هام..السفير ادم ايرلي متحدث الخارجية الأمريكية السابق: اردوغان المنافق ..يذرف دموع التماسيح على جمال خاشقجي بينما يزج بالاَف الاتراك بالسجونAdam Ereli: Erdogan is the biggest hypocrite on the plant  #خاشقجي #تركيا</t>
  </si>
  <si>
    <t>Şenlikköy, İstanbul</t>
  </si>
  <si>
    <t>CHP Bakırköy Gençlik Kolları / İAU</t>
  </si>
  <si>
    <t>http://bakirkoy.chpistanbul.org.tr</t>
  </si>
  <si>
    <t>pic.twitter.com/t3TYxIG7u0</t>
  </si>
  <si>
    <t>murat birşan 🇹🇷🇺🇦</t>
  </si>
  <si>
    <t>Yarabbi ordumuzu muzaffer eyle #BarışPınarıHarekati #turkmilletiordusununyaninda #TurkishArmy #BarisPinari</t>
  </si>
  <si>
    <t>Semonymous Maximalist 🧢</t>
  </si>
  <si>
    <t>It would be so funny if this is what ends up bringing down Trump #impeachment #TurkishArmy RT @CBSNews: BREAKING: Turkey has launched a military attack on northern Syria days after President Trump announced the withdrawal of U.S. troops</t>
  </si>
  <si>
    <t>https://twitter.com/cbsnews/status/1181930134124806144
https://cbsn.ws/2MpUvsB</t>
  </si>
  <si>
    <t>https://pbs.twimg.com/media/EGcPMZEWwAAsqvw.jpg</t>
  </si>
  <si>
    <t>aubman</t>
  </si>
  <si>
    <t>@SenRickScott @NBA @Nike #jamalkhashoggi, jerkwad! I can't believe hypocrites like the #GOP can stand up and talk so much shit that their OWN PARTY is responsible for going against. Remember #PreExistingConditions? You &amp; @marcorubio are about beyond the pale with hypocrisy. #Khashoggi</t>
  </si>
  <si>
    <t>FL</t>
  </si>
  <si>
    <t>I usually only tweet from my office... I have a life you know....ok, not really.</t>
  </si>
  <si>
    <t>not a bot..just a semi anonymous futurist. Read my pinned tweet #yanggang</t>
  </si>
  <si>
    <t>Abdulhay</t>
  </si>
  <si>
    <t>Haydi Bismillah lahevle vela kuvvete illa billah. Elhamdülillah velailahe illellah vellahuekber #TurkishArmy #BarışPınarıHarekati RT @FatihMfosmanog: بسم الله الر حمن الر حيم نصر من الله و فتح قريب. وبشر المؤمنين #BarışPınarıHarekatı</t>
  </si>
  <si>
    <t>https://twitter.com/FatihMfosmanog/status/1181925281046679552</t>
  </si>
  <si>
    <t>Elhamdülillah Ala Külli Hal...</t>
  </si>
  <si>
    <t>أسعد البيشي</t>
  </si>
  <si>
    <t>pic.twitter.com/ha0FuVBL6q</t>
  </si>
  <si>
    <t>Allah yar ve yardımcımız olsun. Rabbim yüce ordumuzu muzaffer eylesin. #TurkishArmy #BarışPınarıHarekatı</t>
  </si>
  <si>
    <t>عبد الباقي</t>
  </si>
  <si>
    <t> علي الحارثي </t>
  </si>
  <si>
    <t>عبدالجليل السعيد في حقائق في دقائق :الشأن السوري لن يصلح حاله إلا بإخراج ايران و تركيا وروسيا لأنهم جزء من المشكلة و البلاء والمصيبة..و السعودية قادرة على رأب الصدع وأن تجمع السوريين  - جمال خاشقجي #JamalKhashoggi #السعودية</t>
  </si>
  <si>
    <t>pic.twitter.com/RkBkv80ZmT</t>
  </si>
  <si>
    <t>ahmet hakkı oguz</t>
  </si>
  <si>
    <t>Good luck 🇹🇷 #TurkishArmy</t>
  </si>
  <si>
    <t>فاتن السبع</t>
  </si>
  <si>
    <t>🇹🇷Vatan Sana Canım Feda🇹🇷</t>
  </si>
  <si>
    <t>pic.twitter.com/6qqO3GRiGI</t>
  </si>
  <si>
    <t>Yağız Mert Uğurlu</t>
  </si>
  <si>
    <t>Vur şanlı silahınla gönül mülkü düzelsin! 🇹🇷 #TurkishArmy #TürkMilletiOrdusununYanında #BarışPınarlarıHarekatı</t>
  </si>
  <si>
    <t>https://pbs.twimg.com/media/EGcSNeBWoAMWrmO.jpg</t>
  </si>
  <si>
    <t>ﻋﺜﻤﺎﻥ ﺍﻟﺒﻜﺮﻱ</t>
  </si>
  <si>
    <t>pic.twitter.com/t5KSYpMeKI</t>
  </si>
  <si>
    <t>🇹🇷 Ne Mutlu Türküm Diyene❗ http://instagram.com/yagizmertugurlu</t>
  </si>
  <si>
    <t xml:space="preserve"> إبراهيم ال شطي</t>
  </si>
  <si>
    <t>pic.twitter.com/KiixsGZkqy</t>
  </si>
  <si>
    <t>Adem Kaya</t>
  </si>
  <si>
    <t>Savaş Türk'ün düğünüdür... Milletimiz var olsun! Allah ordumuza zeval vermesin! #BarışPınarıHarekatı #BarisPinari #TurkishArmy</t>
  </si>
  <si>
    <t>https://pbs.twimg.com/media/EGcSMdBWwAAgCOE.jpg</t>
  </si>
  <si>
    <t>هلال الجلالي</t>
  </si>
  <si>
    <t>pic.twitter.com/JhR2Z0JHr8</t>
  </si>
  <si>
    <t>𐰴𐰔𐰞</t>
  </si>
  <si>
    <t>"Ne petrol ne zenginlik ne toprağında gözümüz var, Senin yüzün gülsün diye geldik." #TurkishArmy #BarışPınarıHarekatı #OperationPeaceSpring</t>
  </si>
  <si>
    <t>https://pbs.twimg.com/media/EGcSLpoXoAAsvZr.jpg</t>
  </si>
  <si>
    <t>مروان الفالح</t>
  </si>
  <si>
    <t>د. محمد العوين : الحكومة القطرية ليس لها أي توجه إسلامي فهي لديها شعور بالضآلة وهو ما أوصلها للحقد والكراهية نحو المملكة .  - جمال خاشقجي #خاشقجي #قطر</t>
  </si>
  <si>
    <t>pic.twitter.com/2JjuC5ARW9</t>
  </si>
  <si>
    <t>ummanda bir zerre.</t>
  </si>
  <si>
    <t>https://instagram.com/hzlkadraj</t>
  </si>
  <si>
    <t>İsmail BUHAN</t>
  </si>
  <si>
    <t>عبد العظيم</t>
  </si>
  <si>
    <t>Sefer bizim, Zafer Allah’ındır. Gazamız mübarek olsun, Allah yâr ve yardımcımız olsun #TurkishArmy #BarisPinari #BarisPinariHarekati</t>
  </si>
  <si>
    <t>pic.twitter.com/D43jUGXYAI</t>
  </si>
  <si>
    <t>https://pbs.twimg.com/media/EGcSMVZW4AIEM5d.jpg</t>
  </si>
  <si>
    <t>Bitlis Merkez, Bitlis</t>
  </si>
  <si>
    <t>2017-2019 AK Parti Bitlis Merkez İlçe Başkan Yard. Tanıtım ve Medya Başkanı 📷Fotoğrafçı 💛❤ 2015-2018 ultrAslan Bitlis İl Temsilci Başkanı</t>
  </si>
  <si>
    <t>علي بن صالح المري</t>
  </si>
  <si>
    <t>♦️عاجل*** عند كل قناة فقدت مصداقيتها كالجزيرة إذا كان الحدث يتعلق بالسعودية في حقير أو جليل ! أما دم العراقيين الشرفاء الذي يراق في الشوارع وعلى كل شبر من أراضيها فلم يصل لدرجة ♦️ عاجل*** قضية #خاشقجي" -مع أهمية قضيته عند ولاة أمرنا -أهم عند هذه القنوات من قضية_أهلنا في العراق !</t>
  </si>
  <si>
    <t>nailmirzacuneyt</t>
  </si>
  <si>
    <t>#TurkishArmy #BarışPınarıHarekatı</t>
  </si>
  <si>
    <t>الحساب الرسمي .. هنا أغرد بالفوائد والأحكام ، وأجيب على أسئلتكم واستفساراتكم الشرعية .. فحياكم الله.</t>
  </si>
  <si>
    <t>https://pbs.twimg.com/media/EGcSL9LW4AAUcNK.jpg</t>
  </si>
  <si>
    <t>انوار النامي</t>
  </si>
  <si>
    <t>pic.twitter.com/v9VggLjejw</t>
  </si>
  <si>
    <t>Sıratı Mustakim</t>
  </si>
  <si>
    <t>Üzülmeyin,gevşemeyin ve asla cesaretinizi kaybetmeyin.Üstün olan sizsiniz,çünkü siz müminsiniz. (3/139)</t>
  </si>
  <si>
    <t>http://topazhane.blogspot.com.tr/</t>
  </si>
  <si>
    <t>مقدام المحمود</t>
  </si>
  <si>
    <t>🇹🇷Siɴᴀɴ Yıʟᴅıᴢ🇹🇷</t>
  </si>
  <si>
    <t>#OperationPeaceSpring #BarışPınarıHarekatı #BarışPınarı #YaAllahBismillah #TurkishArmy Güneşin doğduğu yerden, güneşle birlikte doğmak Kaf dağının arkasında bir zümrüd-ü anka olmak Kanat açmak gökyüzüne, sevdaların ülkesine uçmak. Kuşlar.. Sizin kadar hür olmaktı hayalim kuşlar..</t>
  </si>
  <si>
    <t>pic.twitter.com/rKrHDsljF7</t>
  </si>
  <si>
    <t>pic.twitter.com/1pmYoISw9p</t>
  </si>
  <si>
    <t>TAKİP EDİNİZ,GERİ DÖNÜŞ OLUR!</t>
  </si>
  <si>
    <t>🇹🇷🇦🇿🇵🇰🇵🇸🇰🇬🇹🇲🇰🇿🇺🇿🇹🇯🇶🇦🇧🇦🇸🇩🇻🇪🦅BU PROFİLİ🦅;PKK/YPG,FETÖ vb. TERÖR ÖRGÜTÜ SEVİCİLERİ ile ☪️EZAN🕌,BAYRAK🇹🇷DEVLET,👮🏽‍♂️POLİS,💂🏽‍♂️ASKER ve 🌙İSLAM🕋 DÜŞMANLARI⛔️SEVMEZ!🚭</t>
  </si>
  <si>
    <t xml:space="preserve">  حسن ابوعيشه </t>
  </si>
  <si>
    <t>pic.twitter.com/9TO8V28ZYq</t>
  </si>
  <si>
    <t xml:space="preserve">   ناصر  الصويفي</t>
  </si>
  <si>
    <t>pic.twitter.com/PfhcDaJ0K5</t>
  </si>
  <si>
    <t>Çağrı Durak</t>
  </si>
  <si>
    <t>Binlerce yıllık tecrüben genlerinde, sen savaşı da barışı da iyi bilirsin. Zaman, barış için savaşmak vaktidir şuan.. "Haydi yiğit, haydi yiğit, haydi yeni akına. Ülkümüzün, gücümüzün cihan varsın farkına " #TurkishArmy #BarisPinari #BarisPinariHarekati</t>
  </si>
  <si>
    <t>pic.twitter.com/y3YsNV2ejC</t>
  </si>
  <si>
    <t xml:space="preserve">  مقحم حجرف </t>
  </si>
  <si>
    <t>اللواء المتقاعد د. زايد العمري: خبير استراتيجي ومحلل سياسي: قطر تشوه صورة الإسلام داخل أوروبا .  - جمال خاشقجي #خاشقجي #عام_على_اغتيال_جمال</t>
  </si>
  <si>
    <t>Türkiye Cumhuriyeti'nde vatandaş</t>
  </si>
  <si>
    <t>pic.twitter.com/ZzlH6EPYTK</t>
  </si>
  <si>
    <t xml:space="preserve"> ﻣﺴﻨﺪ ﺍﻟﺤﺮﺑﻲ</t>
  </si>
  <si>
    <t>د. عدنان محمد: يٌقاتل ترامب الإيرانيين بالسلاح الذي يخشونه وليس بالسلاح الذي يُريدونه.  - جمال خاشقجي #خاشقجي #تركيا</t>
  </si>
  <si>
    <t>pic.twitter.com/AMlOkLR1so</t>
  </si>
  <si>
    <t>Recep</t>
  </si>
  <si>
    <t>Vira Bismillah. Tanrı Türkü korusun. #TurkishArmy</t>
  </si>
  <si>
    <t>https://pbs.twimg.com/media/EGcSKiGXkAE2xDW.jpg</t>
  </si>
  <si>
    <t>ضمير السرور</t>
  </si>
  <si>
    <t>pic.twitter.com/g25ArEJ2ea</t>
  </si>
  <si>
    <t>Ortadoğu Gazetesi</t>
  </si>
  <si>
    <t>Türk Silahlı Kuvvetleri, Suriye Milli Ordusu'yla birlikte Suriye'nin kuzeyinde PKK/YPG ve DEAŞ terör örgütlerine karşı Barış Pınarı Harekatı'nı başlattı #BarışPınarıHarekatı #OperationPeaceSpring #BarışPınarı #TurkishArmy</t>
  </si>
  <si>
    <t>ﺧﺎﻟﺪ ﻣﺒﺎﺭﻙ</t>
  </si>
  <si>
    <t>أتصال/ أ. أحمد محارم: كاتب صحفي ومحلل سياسي – نيويورك: تاريخ ايران على مدار 40سنه كان عدواني ولاسيما ضد المملكة .  - جمال خاشقجي #خاشقجي #عام_على_اغتيال_جمال</t>
  </si>
  <si>
    <t>Ortadoğu Gazetesi resmi hesabıdır.</t>
  </si>
  <si>
    <t>http://ortadogugazetesi.com</t>
  </si>
  <si>
    <t>pic.twitter.com/DGEsCu9aGl</t>
  </si>
  <si>
    <t>أماني العلي</t>
  </si>
  <si>
    <t>pic.twitter.com/HmnKulItrl</t>
  </si>
  <si>
    <t>Müslüman Kâşifler 🇹🇷</t>
  </si>
  <si>
    <t>#TurkishArmy #BarişPinariHarekati Fener Patriği V. Gregorius’un, Rus Çarı II. Alexander’a yazdığı bir mektup Osmanlı hükümetinin eline geçmiş ve Patrik “ihanet”ten yargılanarak idam edilmişti Peki ne vardı o mektupta?..</t>
  </si>
  <si>
    <t>عبد العليم</t>
  </si>
  <si>
    <t>https://youtu.be/CEuTNForbF4</t>
  </si>
  <si>
    <t>pic.twitter.com/0d6daK6GeR</t>
  </si>
  <si>
    <t>https://pbs.twimg.com/media/EDfGXOBXUAsXBZq.jpg</t>
  </si>
  <si>
    <t>Tarihini Seven Herkesi Youtube Kanalıma da Bekliyorum.. iletişim: islamibuluslar@gmail.com</t>
  </si>
  <si>
    <t>https://www.youtube.com/channel/UCd3nZpObRwHap_s0bT_mpDw</t>
  </si>
  <si>
    <t>مدرك الاسلام</t>
  </si>
  <si>
    <t>Uğur BIÇER</t>
  </si>
  <si>
    <t>#TurkishArmy #BarisPinariHarekati An itibari ile Akçakale'de Mehter marşları çalıyor. Çocuklar ellerinde Türk bayrakları sallıyor. Kimse savaştan korkmuyor.</t>
  </si>
  <si>
    <t>مساعد الإبراهيم</t>
  </si>
  <si>
    <t>🐺💡KIZIL ELMA💡🐺 #Şanlıurfa</t>
  </si>
  <si>
    <t>pic.twitter.com/P7Qva2CPpv</t>
  </si>
  <si>
    <t>banuk altun</t>
  </si>
  <si>
    <t>Sefer bizim zafer Allah'ındır. #BarışPınarıHarekati #TurkishArmy</t>
  </si>
  <si>
    <t>psikolojik danışman, kedisever,şiiredost</t>
  </si>
  <si>
    <t>ﻋﺒﻴﺪ ﺍﻟﺤﺠﻴﻠﻲ</t>
  </si>
  <si>
    <t>العميد متقاعد. حسن الشهري : على ايران إدراك أنها لن تستطيع التطاول على أي دولة من دول الخليج أو تستبيح أجواءها أو تؤثر في إقتصادها.  #خاشقجي #عام_على_رحيل_خاشقجي</t>
  </si>
  <si>
    <t>pic.twitter.com/B9PbHnpDfI</t>
  </si>
  <si>
    <t>Müco ve Kirpikleri</t>
  </si>
  <si>
    <t>Soran olursa Türkler geldi dersiniz. #TurkishArmy #BarisPinari "Hoşgeldiniz" diyene sahip çıkın, "Neden geldiniz" diyenin kafasına sıkın.</t>
  </si>
  <si>
    <t>https://pbs.twimg.com/media/EGcSJEvXoAIU78d.jpg</t>
  </si>
  <si>
    <t>N.E.Ü / Çocukluk aşkımsın @GalatasaraySK 💛❤</t>
  </si>
  <si>
    <t>http://instagram.com/mrmuco/</t>
  </si>
  <si>
    <t>علي نقلي</t>
  </si>
  <si>
    <t>pic.twitter.com/PLrnfsp77U</t>
  </si>
  <si>
    <t>Özz</t>
  </si>
  <si>
    <t>Türk'ün 🇹🇷 kahredici ordusu tarafından mahvedileceksiniz . Artık size ne yerde ne de gökte merhamet var . #TurkishArmy #BarisPinari #YPG #PYD_PKK</t>
  </si>
  <si>
    <t>pic.twitter.com/JjZCiiqJG4</t>
  </si>
  <si>
    <t>منصور اليوسف</t>
  </si>
  <si>
    <t>pic.twitter.com/Qh9uDgmJIl</t>
  </si>
  <si>
    <t>#Atatürk #Antiyobaz #Fenerbahçe</t>
  </si>
  <si>
    <t xml:space="preserve"> راشد  المطر</t>
  </si>
  <si>
    <t>Kapgan</t>
  </si>
  <si>
    <t>#BarisPinari #BarisPinariHarekati #TurkishArmy</t>
  </si>
  <si>
    <t>pic.twitter.com/veOc4ZExCX</t>
  </si>
  <si>
    <t>https://pbs.twimg.com/media/EGcSHJdW4AAm7Za.jpg</t>
  </si>
  <si>
    <t>Vatansever</t>
  </si>
  <si>
    <t xml:space="preserve"> سلسبيل الزهير  </t>
  </si>
  <si>
    <t>تقرير: قطر وإعلام التضليل والأكاذيب وخداع الإعلامي الدولي .  - جمال خاشقجي #JamalKhashoggi #تركيا</t>
  </si>
  <si>
    <t>pic.twitter.com/FZiEPaQbQk</t>
  </si>
  <si>
    <t>𝘰𝘻𝘎𝘦</t>
  </si>
  <si>
    <t>O zman Fetih suresi okunmaya başlansın Gazamız mübarek olsun 🇹🇷 #BarışPınarıHarekati #OperationPeaceSpring #TurkishArmy</t>
  </si>
  <si>
    <t>pic.twitter.com/ZUmdFLFebA</t>
  </si>
  <si>
    <t xml:space="preserve">IstanbuL / Elazığ </t>
  </si>
  <si>
    <t>AK PARTİ Güngören Sosyal Politikalar Birimi /Kadın Yapılandırması</t>
  </si>
  <si>
    <t>وضاح الإمام</t>
  </si>
  <si>
    <t>Servet Hassan</t>
  </si>
  <si>
    <t>Allah Mehmetçik’i korusun, şanlı ordumuzu muzaffer eylesin 🤲🏻♥️🇹🇷♥️#barışpınarıharekatı #Mehmetcik #TürkMilletiOrdusununYanında #TurkishArmy #OperationPeaceSpring</t>
  </si>
  <si>
    <t>https://pbs.twimg.com/media/EGcSHymXoAEOCmH.jpg</t>
  </si>
  <si>
    <t xml:space="preserve"> حمود العريني </t>
  </si>
  <si>
    <t>pic.twitter.com/iTdDjAIHKI</t>
  </si>
  <si>
    <t>USS London 🍊=💩😲👎</t>
  </si>
  <si>
    <t>Hey #LeningradLindsey @LindseyGrahamSC #TurkishArmy has already launched military operations in Northern Syria - so YOU are too bloody late! There's blood on the hands of every Republican who enabled the 🍊 #traitorInChief #criminalInChief #nutJobInChief #RussianAsset RT @LindseyGrahamSC: To the Turkish Government: You do NOT have a green light to enter into northern Syria. There is massive bipartisan opposition in Congress, which you should see as a red line you should not cross.</t>
  </si>
  <si>
    <t xml:space="preserve"> محمد عتين</t>
  </si>
  <si>
    <t>https://twitter.com/LindseyGrahamSC/status/1181714248977833984</t>
  </si>
  <si>
    <t>أ. خالد النزر : هناك أطماع تركية واضحة في الأراضي السورية ، وأصبحت سوريا قابلة للتقسيم في ظل الظروف التي تمر بها.  #خاشقجي #عام_على_اغتيال_جمال</t>
  </si>
  <si>
    <t>pic.twitter.com/CH8cggU2k1</t>
  </si>
  <si>
    <t>A summary of me.. 🍻⚽⛷🎧💻🎬 #StopTheCoup #SaveDemocracy Part of 🌍wide resistance against 🍊🤡 &amp; traitorous GOP 'I do not stand by in the presence of evil'</t>
  </si>
  <si>
    <t xml:space="preserve"> ناصر الثنيان </t>
  </si>
  <si>
    <t>مهم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#تركيا</t>
  </si>
  <si>
    <t>pic.twitter.com/PGZfR6yutt</t>
  </si>
  <si>
    <t>Open Military</t>
  </si>
  <si>
    <t>Tel Abyad'dan duyulan "Ordumuz olsun daim muzaffer" sesleri.. #BarışPınarıHarekatı #BarisPinari #TurkishArmy</t>
  </si>
  <si>
    <t>https://pbs.twimg.com/media/EGcSHGaXkAAr3R6.jpg</t>
  </si>
  <si>
    <t xml:space="preserve"> خالد آل الحارث</t>
  </si>
  <si>
    <t>Bugac, Magyarország</t>
  </si>
  <si>
    <t>أ. نايف الحربي: إعلامي وكاتب صحفي: ايران دولة ليست موثوقة .. ولا أحد يثق فيها .  - جمال خاشقجي #خاشقجي #تركيا</t>
  </si>
  <si>
    <t>As they have come, so they will go.' November 13th, 1918</t>
  </si>
  <si>
    <t>https://www.britannica.com/biography/Kemal-Ataturk</t>
  </si>
  <si>
    <t>pic.twitter.com/VoXQEZ2N9R</t>
  </si>
  <si>
    <t>حكيم الكيفي</t>
  </si>
  <si>
    <t>pic.twitter.com/X42i2XVgRr</t>
  </si>
  <si>
    <t xml:space="preserve"> خميس النهدي</t>
  </si>
  <si>
    <t>ادم ايرلي متحدث الخارجية الأمريكية السابق: اردوغان أكبر منافق في العالم..يذرف دموع التماسيح على جمال خاشقجي بينما يزج بالاَف الاتراك بالسجونAdam Ereli: Erdogan is the biggest hypocrite on the plant  #خاشقجي #عام_على_رحيل_خاشقجي</t>
  </si>
  <si>
    <t>Kartal Melih</t>
  </si>
  <si>
    <t>BARIŞ PINARI HAREKATI BAŞLADI - CANLI YAYIN ---&gt;  #BarisPinari #BarışPınarıHarekati #OperationPeaceSpring #TurkishArmy #çarşamba</t>
  </si>
  <si>
    <t>pic.twitter.com/GtCK1xP3Fa</t>
  </si>
  <si>
    <t>T</t>
  </si>
  <si>
    <t>عبد الله العوهلي</t>
  </si>
  <si>
    <t>pic.twitter.com/SYg1YZtvjI</t>
  </si>
  <si>
    <t xml:space="preserve"> فالح الازمع</t>
  </si>
  <si>
    <t>pic.twitter.com/FOASdERMC1</t>
  </si>
  <si>
    <t>M VOLKAN ERTÜRK</t>
  </si>
  <si>
    <t>AFKAL KOCAELİ ENDÜSTRİ MÜHENDİSLİĞİ OKUMAKTA</t>
  </si>
  <si>
    <t xml:space="preserve"> علي الهلالي</t>
  </si>
  <si>
    <t>محلل قناة ٢٤ سعودي الفضائية د. عمر عبدالستار في نيران ايران: لا رفع للعقوبات الأمريكية على ايران، ولا لقاء بين ترمب وخامنئي هذا هو السيناريو الأول  #خاشقجي #عام_على_اغتيال_جمال</t>
  </si>
  <si>
    <t>Ebru Karamut</t>
  </si>
  <si>
    <t>#BarışPınarıHarekati Bir gece ansızın gelebiliriz demiştik ama Tüm dünya görsün diye gündüz girdik! Sağ salim gidin sağ salim gelin #TurkishArmy #BarışPınarı</t>
  </si>
  <si>
    <t>pic.twitter.com/1URRLagvM1</t>
  </si>
  <si>
    <t>https://pbs.twimg.com/media/EGcSE6zWsAE6Lc6.jpg</t>
  </si>
  <si>
    <t xml:space="preserve">  محمد  المقاطي </t>
  </si>
  <si>
    <t>Sabrediyoruz ama derviş değiliz !</t>
  </si>
  <si>
    <t>pic.twitter.com/LrQDavt0GI</t>
  </si>
  <si>
    <t>MİRAY</t>
  </si>
  <si>
    <t>Sen öldürüyorken de vururken de güzelsin! 🇹🇷 #TurkishArmy</t>
  </si>
  <si>
    <t>ضيف السالم</t>
  </si>
  <si>
    <t>ANTALYA/MANAVGAT</t>
  </si>
  <si>
    <t>OKÜ •diyetetik</t>
  </si>
  <si>
    <t>pic.twitter.com/J1hb1nivqL</t>
  </si>
  <si>
    <t>S.S</t>
  </si>
  <si>
    <t>Kapımıza dayanıyorsa zulüm, başka yol yok; Ya İstiklal Ya Ölüm... #BarışPınarıHarekatı #TurkishArmy #BarisPinari</t>
  </si>
  <si>
    <t>https://pbs.twimg.com/media/EGcSFIYXUAI3qfs.jpg</t>
  </si>
  <si>
    <t xml:space="preserve"> مرزوق الشمري</t>
  </si>
  <si>
    <t>pic.twitter.com/HwX3p2hFmC</t>
  </si>
  <si>
    <t>SAKARYA.</t>
  </si>
  <si>
    <t>Rıfat APAYDIN</t>
  </si>
  <si>
    <t>#TurkishArmy #BarisPinariHarekati Allah yar ve yardımcınız olsun..</t>
  </si>
  <si>
    <t>https://pbs.twimg.com/media/EGcSFLMXUAIGQGR.jpg</t>
  </si>
  <si>
    <t xml:space="preserve">احمد رشيد </t>
  </si>
  <si>
    <t>اللواء المتقاعد د. زايد العمري: خبير استراتيجي ومحلل سياسي: سيكون هناك دول ستلحق بـ فرنسا قريباً وستوقف قطر وجمعيتها التي ظاهرها الرحمة وباطنها العذاب .  - جمال خاشقجي #JamalKhashoggi #تركيا</t>
  </si>
  <si>
    <t>pic.twitter.com/E0xxxacyHR</t>
  </si>
  <si>
    <t>Bende isterdim güzel anılar biriktirmek ama bu andavallar ile zor.</t>
  </si>
  <si>
    <t>محمود المصاروه</t>
  </si>
  <si>
    <t>أتصال/ أ. مهدي عفيفي: عضو الحزب الديموقراطي الأمريكي السابق – نيويورك: هذه ليست المرة الأولى للعصابة القطرية في تمويلها للمؤسسات المشبوهة .. وخاصةً التابعة لجماعة الاخوان الإرهابية .  - جمال خاشقجي #ايران #خاشقجي</t>
  </si>
  <si>
    <t>pic.twitter.com/SbejKbrLX9</t>
  </si>
  <si>
    <t>إذا كانت لك ذاكرة قوية، وذكريات مريرة، فأنت أشقى أهل الأرض.</t>
  </si>
  <si>
    <t>ابراهيم الحفظي</t>
  </si>
  <si>
    <t>pic.twitter.com/VAU6Gms5pf</t>
  </si>
  <si>
    <t>osman burak benli</t>
  </si>
  <si>
    <t>MohamedOthmanShahween</t>
  </si>
  <si>
    <t>Gerilir zorlu bir yay Oku fırlatmak için; TANRI YAR VE YARDIMCINIZ OLSUN. KUTLU TÜRK ASKER #BarisPinariHarekati #TurkishArmy</t>
  </si>
  <si>
    <t>pic.twitter.com/pSzQVgqeKY</t>
  </si>
  <si>
    <t>https://pbs.twimg.com/media/EGcSDeIXkAAIUGV.jpg</t>
  </si>
  <si>
    <t xml:space="preserve"> ﻣﺒﺎﺭﻙ ﻋﻠﻲ ‏   </t>
  </si>
  <si>
    <t>iskenderun hatay</t>
  </si>
  <si>
    <t>VAR OLSUN IRKIMIN TURAN ÜLKÜSÜ... TANRI TÜRKÜ KORUSUN VE YÜCELTSİN... NE MUTLU TÜRKÜM DİYENE</t>
  </si>
  <si>
    <t>pic.twitter.com/DZSlMLt8x0</t>
  </si>
  <si>
    <t>Batu ama yiğido derler</t>
  </si>
  <si>
    <t>Biraz önce whatsapptan asker arkadaşım tim arkadaşım devrem ve şimdi uzman çavuş olarak görevini yapan can dostumdan gelen mesaj Rabbim sağ sağlam gidip gelmeyi nasip etsin ALLAH bütün askerlerimizin yar ve yardımcınız olsun #TurkishArmy #BarisPinariHarekati #BarisPinari #Asker</t>
  </si>
  <si>
    <t>https://pbs.twimg.com/media/EGcSD0AW4AIiIHr.jpg</t>
  </si>
  <si>
    <t>Ümraniye, İstanbul</t>
  </si>
  <si>
    <t>http://instagram.com/akkayabatu</t>
  </si>
  <si>
    <t>Ömer Işık#Hedef29</t>
  </si>
  <si>
    <t>Allah Utandırmasın🇹🇷🇹🇷. #TurkishArmy #BarisPinariHarekati</t>
  </si>
  <si>
    <t>https://pbs.twimg.com/media/EGcSDy1WsAIYy4H.jpg</t>
  </si>
  <si>
    <t>İnstagram: omer___isik</t>
  </si>
  <si>
    <t>İlhan Ocaklı</t>
  </si>
  <si>
    <t>Rabbim, ordumuzu muzaffer eylesin, görev yapan askerlerimizin sağ salim vatanlarına geri dönmelerini nasip etsin. Dualarımız ve kalbimiz ülke olarak kahraman mehmetçiğimizle beraber. 🇹🇷🇹🇷🇹🇷 #TurkishArmy #OperationPeaceSpring #BarisPinari</t>
  </si>
  <si>
    <t>Şile Belediye Başkanı</t>
  </si>
  <si>
    <t>http://www.sile.bel.tr</t>
  </si>
  <si>
    <t>💎👑💎</t>
  </si>
  <si>
    <t>RABBİM, ŞANLI ORDUMUZU MUZAFFER KIL. AMİİİN ......HAYDİ YAA ALLAH..... #BarisPinariHarekati #BarisPinari #TurkishArmy #TürkMilletiOrdusununYanında</t>
  </si>
  <si>
    <t xml:space="preserve"> غسان اللحيدان </t>
  </si>
  <si>
    <t>pic.twitter.com/3vFvpxw04e</t>
  </si>
  <si>
    <t>Bart Kulpa</t>
  </si>
  <si>
    <t>#Russia has 3 messages for #Turkey over operation in #Syria  via @AlMonitor #Erdogan #KurdsBetrayedByTrump #Kurdistan #Kurds #TurkishArmy #TurkeyKurds #Putin #Assad</t>
  </si>
  <si>
    <t>http://almon.co/39lk</t>
  </si>
  <si>
    <t>London, UK</t>
  </si>
  <si>
    <t>Globally-minded person working for an international law firm. Enjoy debate on law, politics and foreign affairs 🇪🇺🇵🇱🇬🇧</t>
  </si>
  <si>
    <t>https://www.linkedin.com/in/bartlomiej-kulpa-llm-0665688a/</t>
  </si>
  <si>
    <t>سفر شيبان</t>
  </si>
  <si>
    <t>pic.twitter.com/jhxXdlgOaF</t>
  </si>
  <si>
    <t xml:space="preserve"> سعد  بن محي</t>
  </si>
  <si>
    <t>pic.twitter.com/9BLSjx5vqv</t>
  </si>
  <si>
    <t>sumeyra</t>
  </si>
  <si>
    <t>#TurkishArmy #BarisPinari #BarisPinariHarekati şu Pkk'lıyı şikayet edip hesabını engellermisiniz</t>
  </si>
  <si>
    <t>https://pbs.twimg.com/media/EGcR8U9X0AIzpNk.jpg</t>
  </si>
  <si>
    <t>Arnavut سمیرا اجران ⚡ T R 🇹🇷 / M C 🇲🇰 2 şik arasinda kalsam 3. şıkkı secerim..</t>
  </si>
  <si>
    <t xml:space="preserve"> عوض الله  وسمي</t>
  </si>
  <si>
    <t>pic.twitter.com/YVVy4fkf9X</t>
  </si>
  <si>
    <t>Ramazan</t>
  </si>
  <si>
    <t>https://pbs.twimg.com/media/EGcSAsfX0AAppc1.jpg</t>
  </si>
  <si>
    <t>مؤيد العبده</t>
  </si>
  <si>
    <t>pic.twitter.com/LMFPMO4VX3</t>
  </si>
  <si>
    <t>Cemal Çelik</t>
  </si>
  <si>
    <t>Sizin, 'dünya' dediğiniz yere biz 'gurbet' diyoruz. Kimi yeneceksiniz? * Ve 21. Yüzyılı şekillendirecek hamlelerden birisi. O an. Haydi Bismillah🇹🇷 #BarışPınarıHarekati #OperationPeaceSpring #BarisPinari #TurkishArmy</t>
  </si>
  <si>
    <t>https://pbs.twimg.com/media/EGcR_oZXkAIUnEN.jpg</t>
  </si>
  <si>
    <t>Gaziantep</t>
  </si>
  <si>
    <t>Dr.Ersin Arslan Eğitim ve Araştırma Hastanesi Veri Hazırlama ve Kontrol</t>
  </si>
  <si>
    <t>https://instagram.com/cemalcelik27?utm_source=ig_profile_share&amp;igshid=5b6hitwe3qb7</t>
  </si>
  <si>
    <t xml:space="preserve"> خلف البلوي</t>
  </si>
  <si>
    <t>محلل قناة ٢٤ سعودي الفضائية د. عمر عبدالستار في نيران ايران: لا رفع للعقوبات الأمريكية على ايران، ولا لقاء بين ترمب وخامنئي هذا هو السيناريو الأول  #خاشقجي #عام_على_رحيل_خاشقجي</t>
  </si>
  <si>
    <t>pic.twitter.com/zfr4kDdxIW</t>
  </si>
  <si>
    <t>MUHAMMED ONUR</t>
  </si>
  <si>
    <t>Destan yazmaya geliyoruz #TurkishArmy</t>
  </si>
  <si>
    <t>https://pbs.twimg.com/media/EGcR_BuXYAASBFm.jpg</t>
  </si>
  <si>
    <t>VATANINI SEVMEYEN İTE HİLALİN GÖLGESİ HARAM OLSUN🇹🇷🇦🇿🇰🇬🇹🇲</t>
  </si>
  <si>
    <t xml:space="preserve"> مساوي  صميلي </t>
  </si>
  <si>
    <t>pic.twitter.com/ONvh6APc1C</t>
  </si>
  <si>
    <t xml:space="preserve"> حجرف المسعودي</t>
  </si>
  <si>
    <t>pic.twitter.com/Ls7xRx1rey</t>
  </si>
  <si>
    <t>BEÜLÜ</t>
  </si>
  <si>
    <t>67 Zonguldak 81 Düzce 82 KERKÜK 83 MUSUL ALLAH Ordumuzun yar ve Yardımcısı olsun🇹🇷🇹🇷🇹🇷 #BarışPınarıHarekati #TurkishArmy #OperationPeaceSpring</t>
  </si>
  <si>
    <t>Kafam olmuş merdiven😉 Bülent Ecevit Üniversitesi Öğrencisi !</t>
  </si>
  <si>
    <t xml:space="preserve"> وسمي المطيري</t>
  </si>
  <si>
    <t>pic.twitter.com/rZUWD0dpUG</t>
  </si>
  <si>
    <t>Ümit Şen</t>
  </si>
  <si>
    <t>Aybüke Öğretmen için,Eren için,Bedirhan bebek ve annesi için,zulmedilen binlerce masum ve sivil halklar için Zafer bizim olsun ! Ayağınıza taş değmesin ! #BarisPinari #BarisPinariHarekati #TurkishArmy #turkmilletiordusununyaninda</t>
  </si>
  <si>
    <t>https://pbs.twimg.com/media/EGcR-pMXkAEfqh4.jpg</t>
  </si>
  <si>
    <t>Nerede zulüm,haksızlık varsa ben karşı taraftayım..Ne sağcı ne solcu sadece insan olduğum için.. Azıcık durup gitcez şu dünyadan az vicdanlı olun..</t>
  </si>
  <si>
    <t xml:space="preserve"> مذكر العلياني</t>
  </si>
  <si>
    <t>د. حمدان الشهري: لابد من مُواجهة طهران ومشاريعها في المنطقة.  - جمال خاشقجي #JamalKhashoggi #تركيا</t>
  </si>
  <si>
    <t>pic.twitter.com/duYzf6HtCZ</t>
  </si>
  <si>
    <t>💙KAÇKARLARIN KIZI💚</t>
  </si>
  <si>
    <t>Rabbim yardımcınız olsun Can MEHMEDİM #TurkishArmy #BarisPinariHarekati #TuerkMilletiOrdusununYanında</t>
  </si>
  <si>
    <t>ﻋﺒﺪﺍﻟﻠﻪ ﺍﻟﻘﺤﻄﺎﻧﻲ ‏</t>
  </si>
  <si>
    <t>أ. نايف الحربي: إعلامي وكاتب صحفي: ايران تريد الاضرار بأمن المملكة .  - جمال خاشقجي #خاشقجي #قطر</t>
  </si>
  <si>
    <t>ALLAH VAR GAM YOK😌</t>
  </si>
  <si>
    <t>pic.twitter.com/1299Nqy2vW</t>
  </si>
  <si>
    <t>راشد العنزي</t>
  </si>
  <si>
    <t>pic.twitter.com/6mqJl0ltcK</t>
  </si>
  <si>
    <t>Muhammed Şar 🇹🇷 🇦🇱</t>
  </si>
  <si>
    <t>Allah, her attığınız merminin hedefi tam isabetle vurmasını ve küffara korku salmasını nasip etsin Yiğitler. #TurkishArmy #BarisPinariHarekati #OperationPeaceSpring @TSKGnkur</t>
  </si>
  <si>
    <t xml:space="preserve">   محمد  آل سليم</t>
  </si>
  <si>
    <t>اتصال/ أ. شفان الخابوري: ممثل الإدارة الذاتية الديموقراطية في شمال وشرق سوريا : تركيا تسعى من خلال دعمها للأطراف الإرهابية والمتطرف تحقيق غايتها في الشمال السوري .  #JamalKhashoggi #قطر</t>
  </si>
  <si>
    <t>pic.twitter.com/tysuk7G9gz</t>
  </si>
  <si>
    <t>Tetova Kuyumculuk. Rumeli göçmeni, Osmanlı Türkü. Hakk'ı söylemek, İSLAM'ı ve Beşiktaş'ı savunmak için buradayım.</t>
  </si>
  <si>
    <t>مسفر سفر الدهيسي</t>
  </si>
  <si>
    <t>د. محمد العوين : الحكومة القطرية ليس لها أي توجه إسلامي فهي لديها شعور بالضآلة وهو ما أوصلها للحقد والكراهية نحو المملكة .  - جمال خاشقجي #خاشقجي #عام_على_رحيل_جمال</t>
  </si>
  <si>
    <t>pic.twitter.com/nIW3yD1kU5</t>
  </si>
  <si>
    <t>العمر كله ليك والقلب ميت فيك واحنا يالاهلي مجيك وياويلو من جانا</t>
  </si>
  <si>
    <t>Kazim'El Mikrop Geri Döndü... 🥀🇹🇷🥀</t>
  </si>
  <si>
    <t>#BarışPınarıHarekati #Kasırga1453 #TurkishArmy #TeşkilatıGardaş #YaDevletBaşaYaKuzgunLeşe 🥀 🇹🇷 🥀</t>
  </si>
  <si>
    <t>https://pbs.twimg.com/media/EGcR9UyWoAAB4m4.jpg</t>
  </si>
  <si>
    <t>علوي الاحمد</t>
  </si>
  <si>
    <t>pic.twitter.com/PsmTN5fdeJ</t>
  </si>
  <si>
    <t>Yolculuk uzun ve meşakkatli... Kemerlerinizi bağlayın... Uçuşa hazır olun...</t>
  </si>
  <si>
    <t>"قناة 24 السعودية | د. عدنان محمد : النظام الإيراني هو رأس الارهاب في العالم ، وأكد سمو ولي العهد أن طبيعة هذا النظام عدوانية . #السعودية #ايران https://pic.t</t>
  </si>
  <si>
    <t>FRIDAY</t>
  </si>
  <si>
    <t>Ordumuz Akp’nin yanlis Suriye politikasini düzeltmek için canini ortaya koyuyor! Tek parça Suriye her zaman ülkemizin çikarinadir! Ahmet Davutoglu özellikle Amerikan çikarlari için Suriye’yi ates çemberine atmisti! Allah ordumuzu muzeffer kilsin. #OrdumuzunYanındayız #TurkishArmy</t>
  </si>
  <si>
    <t xml:space="preserve"> عبيد القحطاني</t>
  </si>
  <si>
    <t>أ. مؤنس المردي – رئيس تحرير جريدة البلاد البحرينية: نظام اردوغان وإرهاب ايران وجهان لعملة واحدة.  - جمال خاشقجي #خاشقجي #عام_على_رحيل_خاشقجي</t>
  </si>
  <si>
    <t>pic.twitter.com/BKuIRDZ05r</t>
  </si>
  <si>
    <t>Galatasaray Daha Vefali , Tek Önderim Atatürk.</t>
  </si>
  <si>
    <t>Musa Cömert</t>
  </si>
  <si>
    <t>#OperationPeaceSpring is being carried out in accordance with international law, #UN rules and the decisions of the #UNSC about the fight against #terror." #TurkishArmy 🇹🇷</t>
  </si>
  <si>
    <t>عادل الدليم</t>
  </si>
  <si>
    <t>pic.twitter.com/cRLS230nuP</t>
  </si>
  <si>
    <t>Osmaniye Merkez, Osmaniye</t>
  </si>
  <si>
    <t>Law faculty @hukukdekanlik ‘05-‘09 / #Lawyer / #Osmaniye Bar Association / @Akparti Osmaniye provience administrative board member / Proud to be #Muslim &amp; #Turk</t>
  </si>
  <si>
    <t>http://www.instagram.com/mscmrt</t>
  </si>
  <si>
    <t xml:space="preserve"> عيسى العومي</t>
  </si>
  <si>
    <t>pic.twitter.com/Ts7P9mhRRF</t>
  </si>
  <si>
    <t>⚞  Mehmet Akseki  ⚟</t>
  </si>
  <si>
    <t>Sefer sizden ,Zafer Allah'tan. Yürüyün Aslanlar terörün kökünü kazıyın gelin. #BarışPınarıHarekati #TurkishArmy</t>
  </si>
  <si>
    <t>https://pbs.twimg.com/media/EGcR8e9X0AE04Dj.jpg</t>
  </si>
  <si>
    <t>اديل الدايل</t>
  </si>
  <si>
    <t>Ulaşılmaz Değilim,Yetişmen Mesele...!!! EN BÜYÜK AŞK ''GALATASARAY''</t>
  </si>
  <si>
    <t>👑Ü𝖒𝖎𝖙 𝕶𝖚𝖗𝖙👑</t>
  </si>
  <si>
    <t>ALLAH, kahraman askerimizin yardımcısı olsun 🇹🇷❤️🇹🇷 #TurkishArmy</t>
  </si>
  <si>
    <t>ناصر النصر</t>
  </si>
  <si>
    <t>https://pbs.twimg.com/media/EGcR8EFWkAAQ2nk.jpg</t>
  </si>
  <si>
    <t>İletişim için 0531 863 85 59 umitkurts61@gmail.com RT,için DM atabilirsiniz ------------------------------------------------------------- UNF VAR</t>
  </si>
  <si>
    <t>https://www.instagram.com/umitkurt.61/</t>
  </si>
  <si>
    <t xml:space="preserve"> حسين هلال </t>
  </si>
  <si>
    <t>pic.twitter.com/B9PBlVYSs0</t>
  </si>
  <si>
    <t>عبيد الناصر</t>
  </si>
  <si>
    <t>Dionyssis G. Dimitrakopoulos</t>
  </si>
  <si>
    <t>#Syria #Kurdistan #TurkishArmy RT @colbertlateshow: TONIGHT: Former National Security Advisor @AmbassadorRice tells us what she really thinks about Trump's decision to abandon the Kurds in northern Syria. #LSSC</t>
  </si>
  <si>
    <t>https://twitter.com/colbertlateshow/status/1181363210596835328</t>
  </si>
  <si>
    <t>https://pbs.twimg.com/media/EGULPHZXYAA8WCG.jpg</t>
  </si>
  <si>
    <t>علي أبوحمزة</t>
  </si>
  <si>
    <t>Academic @BirkbeckUoL @bbkpolitics in #London #Bloomsbury. #EU institutions &amp; #politics, other #European stuff. Tweets in EN, FR, EL, DE. Views own</t>
  </si>
  <si>
    <t>pic.twitter.com/8Uj9ZfldDw</t>
  </si>
  <si>
    <t>http://www.bbk.ac.uk/politics/our-staff/academic/dionyssis-dimitrakopoulos</t>
  </si>
  <si>
    <t>ًan</t>
  </si>
  <si>
    <t>#SCOvRUS #TurkishArmy #WednesdayWisdom #PeoplesVoteMarch #IwonderifMyCrush #AVFC #dontbuythesun #heyharry #loganpaulisoverparty #TrishaPaytasIsOverParty #TrishaPaytas nsfw justin bieter logan paul lorde</t>
  </si>
  <si>
    <t>pic.twitter.com/D0IL71GovE</t>
  </si>
  <si>
    <t xml:space="preserve"> عبدالله العسيري</t>
  </si>
  <si>
    <t>العميد متقاعد. حسن الشهري: قناة الجزيرة تستهدف الشعب السعودي منذ عام 96 وعندما فشلت انتقلت إلى صف الأعداء .  - جمال خاشقجي #ايران #خاشقجي</t>
  </si>
  <si>
    <t>pic.twitter.com/E1ahwS6XSW</t>
  </si>
  <si>
    <t>bangpink + ggs</t>
  </si>
  <si>
    <t>⠀#パク・ジミン</t>
  </si>
  <si>
    <t>http://yukyung.xn--g6h</t>
  </si>
  <si>
    <t>ﻋﺒﺪﺍﻟﻌﺰﻳﺰ ﻣﺒﻴﺮﻳﻚ</t>
  </si>
  <si>
    <t>pic.twitter.com/hH39IURFEw</t>
  </si>
  <si>
    <t>Ozzy</t>
  </si>
  <si>
    <t>@BirGun_Gazetesi #BarisPinari #TurkishArmy</t>
  </si>
  <si>
    <t>https://pbs.twimg.com/media/EGcR674XoAc88U_.jpg</t>
  </si>
  <si>
    <t xml:space="preserve">   عبدالله العمرى</t>
  </si>
  <si>
    <t>pic.twitter.com/Z7JVRYZSzR</t>
  </si>
  <si>
    <t>Serkan Gürcan</t>
  </si>
  <si>
    <t>🇹🇷MEKÂNIN SAHİBİ GELDİ🇹🇷 #BarisPinariHarekati #BarisPinari #BarısPınarlarıHarekatı #TurkishArmy</t>
  </si>
  <si>
    <t>pic.twitter.com/zLIaWLXWkE</t>
  </si>
  <si>
    <t xml:space="preserve"> بشير الرويلي</t>
  </si>
  <si>
    <t>pic.twitter.com/1uZz3KKdMC</t>
  </si>
  <si>
    <t>görkem ama asker</t>
  </si>
  <si>
    <t>#BarisPinariHarekati #TurkishArmy Allah yardımcınız olsun. Şu an bir asker olarak hepinizle gurur duyuyorum.</t>
  </si>
  <si>
    <t>Turkey,İstanbul</t>
  </si>
  <si>
    <t>Marmara Üniversitesi - Jandarma Komando 👽🍀</t>
  </si>
  <si>
    <t>http://www.gorkemkobay.com.tr</t>
  </si>
  <si>
    <t>أ. سامي المرشد: قطر عبارة عن محطة غاز وقناة إعلامية مُسيطِر عليها جهات أكبر من حجمها تستغلها لزرع العداوة وبث السموم في المنطقة.  - جمال خاشقجي #خاشقجي #عام_على_اغتيال_جمال</t>
  </si>
  <si>
    <t>pic.twitter.com/nZcLBBei4V</t>
  </si>
  <si>
    <t>YADİGAR</t>
  </si>
  <si>
    <t>Allah ordumuza arkerlerimize zeval vermesin Allah yar ve yardimcimiz olsun 🙏🙏 Allahu taala bu goruntuyu birdaha bize yasatmasin insallah😭😢😢😢 #TurkishArmy #BarisPinari #BarisPinariHarekati</t>
  </si>
  <si>
    <t>noor M. 🇺🇸🇸🇦 🇯🇴🇦🇪🇧🇭🇹🇷🏴‍☠️</t>
  </si>
  <si>
    <t>@monther72 وصلنا لمرحلة غير مسبوقة من الجنون !! فقد قتلوا #خاشقجي وقطّعوا جسده وعذَّبوا النساء وتحرّشوا بهنَّ جنسياً ويريدون إعدام الدعاة لأنهم لم يؤيِّدوا سياسات ابن سلمان الوحشية !! عبث هؤلاء المراهقين يقود البلد إلى الهاوية. الكلب مبس هو من اوصلنا لذلك</t>
  </si>
  <si>
    <t>pic.twitter.com/cQzrS1ZHtk</t>
  </si>
  <si>
    <t>Riyadh, Kingdom of Saudi Arabi</t>
  </si>
  <si>
    <t>‏‏‏‏‏‏‏‏‏وَلَا تَحۡسَبَنَّ ٱللَّهَ غَـٰفِلًا عَمَّا یَعۡمَلُ ٱلظَّـٰلِمُونَۚ إِنَّمَا یُؤَخِّرُهُمۡ لِیَوۡمࣲ تَشۡخَصُ فِیهِ ٱلۡأَبۡصَـٰرُ</t>
  </si>
  <si>
    <t>@ultraslan üyesi galatasaray sevdalisi takibe takip👍👍👍</t>
  </si>
  <si>
    <t>زبير الفرحات</t>
  </si>
  <si>
    <t>pic.twitter.com/wUPDg7lCL7</t>
  </si>
  <si>
    <t>erdalcanicelli</t>
  </si>
  <si>
    <t>Zaferleri ve mazisi insanlık tarihiyle başlayan, her zaman zaferle beraber medeniyet nurları taşıyan kahraman Türk ordusu!" Ata'nın izinde yolun açık olsun. Sefer bizden zafer ALLAH’tan !!! #BarışPınarıHarekati #TurkishArmy</t>
  </si>
  <si>
    <t>https://pbs.twimg.com/media/EGcR6HyWkAE5D9m.jpg</t>
  </si>
  <si>
    <t>İstanbul Aydın Üniversitesi / S1F1RB1R</t>
  </si>
  <si>
    <t>SONER BERBERLER</t>
  </si>
  <si>
    <t>Ey şanlı Ordu Ey şanlı Asker ... Ya Allah Bismillah... #TurkishArmy #BarisPinariHarekati #</t>
  </si>
  <si>
    <t>https://pbs.twimg.com/media/EGcR5WuX0AIsjIP.jpg</t>
  </si>
  <si>
    <t>امجد سليمان</t>
  </si>
  <si>
    <t>pic.twitter.com/fLShibEhT5</t>
  </si>
  <si>
    <t>GÖNLÜMDE ALLAH...DİLİMDE VATAN... 🇹🇷BAYRAK AŞIĞI... 🇹🇷VATAN SEVDALISI 🔴⚫NEFER🔴⚫</t>
  </si>
  <si>
    <t>حفظ القرآن الكريم يقي من الخرف والزهايمر ويقوي الذاكرة على المدى الطويل.</t>
  </si>
  <si>
    <t>KARAHANLI 🇹🇷</t>
  </si>
  <si>
    <t>#BarışPınarıHarekatı #TurkishArmy TÜRK' ÜN YUMRUĞU SERT YÜREĞİ MERT VATANINA GÖZ DIKENIN BAŞINA DERT OLUR.!!</t>
  </si>
  <si>
    <t xml:space="preserve"> عيد الخميس</t>
  </si>
  <si>
    <t>pic.twitter.com/10RGbrfOsV</t>
  </si>
  <si>
    <t>https://pbs.twimg.com/media/EGcR5f8XYAEAqqX.jpg</t>
  </si>
  <si>
    <t>Ömrüm bin yılda olsa dünyanın işi bitmez.. hazineler kazansam kefenime dikilmez.</t>
  </si>
  <si>
    <t xml:space="preserve">  عبد الستار القاسم </t>
  </si>
  <si>
    <t>pic.twitter.com/fozolbpGVv</t>
  </si>
  <si>
    <t>Yasin Çelik</t>
  </si>
  <si>
    <t>Barış Pınarı Harekâtı resmen başladı. Rabbim, ordumuzu muzaffer eylesin. #TurkishArmy #BarisPinari #carsamba #BarisPinariHarekati</t>
  </si>
  <si>
    <t>pic.twitter.com/HegjeFAOnN</t>
  </si>
  <si>
    <t>pic.twitter.com/Tadjw8A8I8</t>
  </si>
  <si>
    <t>مشاري المحمد</t>
  </si>
  <si>
    <t xml:space="preserve">متعب احمد </t>
  </si>
  <si>
    <t>Recep Şahin</t>
  </si>
  <si>
    <t>Rengarenk kapılardan ibarettir yaşam, biri kapanır diğeri açılır. #TurkishArmy #BarisPinari #carsamba</t>
  </si>
  <si>
    <t>pic.twitter.com/gLMQxYEb6l</t>
  </si>
  <si>
    <t>Altındağ, Türkiye</t>
  </si>
  <si>
    <t>Accountant</t>
  </si>
  <si>
    <t>https://instagram.com/recepsahin19</t>
  </si>
  <si>
    <t xml:space="preserve">   محمد  العبيدي</t>
  </si>
  <si>
    <t>pic.twitter.com/WpKnIS9Uwc</t>
  </si>
  <si>
    <t>ﻣﺼﻠﺢ ﺍﻟﻌﻤﺮﻱ</t>
  </si>
  <si>
    <t>pic.twitter.com/TUlIFhQsSc</t>
  </si>
  <si>
    <t>عبدالله العبدالله</t>
  </si>
  <si>
    <t>pic.twitter.com/7VWVpOoF8Y</t>
  </si>
  <si>
    <t>David Walsh</t>
  </si>
  <si>
    <t>@dvorak_frank @crouch01 Pat Robertson came to me in a dream and told me Trump had lost his heavenly mandate to contue lying, putting kids in cages, ignoring the death of #JamalKhashoggi sanctioned by MBS, ignoring HK plight for freedom, and abandoning a long list of allies most recently the Kurds.</t>
  </si>
  <si>
    <t>Muhammed</t>
  </si>
  <si>
    <t>Allah yardımcımız olsun! #BarışPınarıHarekati #BarisPinari #TurkishArmy</t>
  </si>
  <si>
    <t>Boston</t>
  </si>
  <si>
    <t>David Walsh is Managing Director at Harbinger Partners LLC, World Class #Mergers &amp; #Acquisitions Investment Banking with 💓 Humor &amp; Humility - My Opinions</t>
  </si>
  <si>
    <t>http://www.harbingerpartnersllc.com</t>
  </si>
  <si>
    <t>Muhammed Kurtar XXIV, Ankara-Kastamonu, K.Ü. Radyo Televizyon ve Sinema. İdealist Savaş Muhabiri adayı, Millî Gazete Stajiyer Foto Muhabiri</t>
  </si>
  <si>
    <t>http://instagram.com/muhammedkrtrr</t>
  </si>
  <si>
    <t>Rabilara.🌿</t>
  </si>
  <si>
    <t>Kurdu olmayan dağın köpeği kral olur. Sorun itin havlaması değil kurdun yokluğudur. GELİYORUZ. 🇹🇷 Allah ordumuzu her daim korusun. #BarışPınarıHarekatı #OperationPeaceSpring #TurkishArmy</t>
  </si>
  <si>
    <t>https://pbs.twimg.com/media/EGcR17rXUAAkSgh.jpg</t>
  </si>
  <si>
    <t>Marmara Üniversitesi | Spor Bilimleri Fakültesi</t>
  </si>
  <si>
    <t>oğuz</t>
  </si>
  <si>
    <t>Türkiye Cumhuriyeti devletinin gücünü göreceksiniz! #BarisPinariHarekati #TurkishArmy</t>
  </si>
  <si>
    <t>pic.twitter.com/N6LsEEKAYo</t>
  </si>
  <si>
    <t xml:space="preserve"> سعد  الشمراني</t>
  </si>
  <si>
    <t>Çukurova, Adana</t>
  </si>
  <si>
    <t>Çü Jandarma G.K</t>
  </si>
  <si>
    <t>pic.twitter.com/VFFD1xETSs</t>
  </si>
  <si>
    <t>https://www.instagram.com/oguzcanyuzerr/?hl=tr</t>
  </si>
  <si>
    <t>Üçyüzaltmışbeşgün</t>
  </si>
  <si>
    <t>https://pbs.twimg.com/media/EGcR1yfXYAAjQzD.jpg</t>
  </si>
  <si>
    <t xml:space="preserve"> موسى آل رزق</t>
  </si>
  <si>
    <t>pic.twitter.com/msgyKv1xsy</t>
  </si>
  <si>
    <t>Nimetullah</t>
  </si>
  <si>
    <t>Sefer bizim, Zafer Allah’ındır. Gazamız mübarek olsun, Allah yâr ve yardımcımız olsun 💪🏼 🇹🇷🇹🇷🇹🇷 #TurkishArmy #BarisPinari</t>
  </si>
  <si>
    <t xml:space="preserve"> عبدالله حسن </t>
  </si>
  <si>
    <t>pic.twitter.com/W5n7McFqh0</t>
  </si>
  <si>
    <t>Dalgalan sen de şafaklar gibi ey şanlı hilâl !</t>
  </si>
  <si>
    <t>ceyhun inal</t>
  </si>
  <si>
    <t>Allah yar ve yardımcınız olsun , Kahraman Mehmetçiğimiz ! 🇹🇷 #TurkishArmy #BarisPinari #turkmilletiordusununyaninda #BarisPinariHarekati</t>
  </si>
  <si>
    <t>https://pbs.twimg.com/media/EGcR0ZoW4AES8QX.jpg</t>
  </si>
  <si>
    <t>kathynow</t>
  </si>
  <si>
    <t>@realDonaldTrump good when he is there...in FRONT of the Media...PLEASE ASK HIM ABOUT #JamalKhashoggi and why he was involved with it? what ARE YOU BOTH COVERING UP? #mostcompromsiedpotus</t>
  </si>
  <si>
    <t>Dünya dediğin bir bakışımızdır bizim; Ceyhun nehri kanlı göz yaşımızdır bizim; Cehennem, boşuna dert çektiğimiz günler, Cennetse gün ettiğimiz günlerdir bizim..</t>
  </si>
  <si>
    <t>Tarık</t>
  </si>
  <si>
    <t>#BarışPınarıHarekatı kapsamında Suriye'ye giren Ordumuzun Rabbim yar ve yardımcısı olsun inşallah.#TurkishArmy #Tügva</t>
  </si>
  <si>
    <t>pic.twitter.com/Vu0Xtv1wkl</t>
  </si>
  <si>
    <t>علي المرشدي</t>
  </si>
  <si>
    <t>pic.twitter.com/j0q98U9rkn</t>
  </si>
  <si>
    <t>Büşra</t>
  </si>
  <si>
    <t>Bir ölür bin diriliriz 🇹🇷🇹🇷🇹🇷 #TurkishArmy #BarisPinari #BarisPinariHarekati</t>
  </si>
  <si>
    <t>Since'92,Grafik Tasarımcı👩🏻‍🎨</t>
  </si>
  <si>
    <t>عمار الصدري</t>
  </si>
  <si>
    <t>pic.twitter.com/K7iOdBqFBW</t>
  </si>
  <si>
    <t>ﻋﺒﻴﺪ ﺍﻟﻤﺤﻤﺪﻱ</t>
  </si>
  <si>
    <t>pic.twitter.com/4DltDPyJuS</t>
  </si>
  <si>
    <t>Meryem' CAN 🌾🌹Aynayım ben🌹</t>
  </si>
  <si>
    <t>#BAŞKOMUTAN #RecepTayyipErdogan #TurkishArmy RT @tcbestepe: Cumhurbaşkanı ve Başkomutan @RTErdogan, Millî Savunma Bakanı Hulusi Akar’dan bilgi alarak #BarışPınarıHarekatı’nın başlama emrini verdi.</t>
  </si>
  <si>
    <t xml:space="preserve"> فرج الصاعدي</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</si>
  <si>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#خاشقجي #عام_على_رحيل_جمال</t>
  </si>
  <si>
    <t>pic.twitter.com/T8QvkSTKrr</t>
  </si>
  <si>
    <t>Mevlana kapısı değil bu kapı Edebiyle gelen edeple karşılanır hakedene hakettigiyle 😉</t>
  </si>
  <si>
    <t>nurdan yemlik⚡</t>
  </si>
  <si>
    <t>#TurkishArmy #OperationPeaceSpring RT @MHP_Bilgi: #BarışPınarıHarekati</t>
  </si>
  <si>
    <t>https://twitter.com/MHP_Bilgi/status/1181932180756451333</t>
  </si>
  <si>
    <t xml:space="preserve">  مفرح العوده </t>
  </si>
  <si>
    <t>https://pbs.twimg.com/media/EGcQ8-3WkAIJFbK.jpg</t>
  </si>
  <si>
    <t>pic.twitter.com/pEP77LcEsU</t>
  </si>
  <si>
    <t>of beşiktaş</t>
  </si>
  <si>
    <t>aşık beşiktaşlı</t>
  </si>
  <si>
    <t>عبدالعزيز آل خريم</t>
  </si>
  <si>
    <t>pic.twitter.com/AZLBpxxe4P</t>
  </si>
  <si>
    <t>MYRR</t>
  </si>
  <si>
    <t>🇹🇷❤️🇹🇷 #BarışPınarıHarekatı ALLAH, kahraman askerimizin yardımcısı olsun #TurkishArmy #OperationPeaceSpring</t>
  </si>
  <si>
    <t>Galatasaray 💊</t>
  </si>
  <si>
    <t>Meyyit</t>
  </si>
  <si>
    <t>Bu saatten sonra kendini düşünen kansız köpektir😎🇹🇷 @fatihportakal #BarışPınarıHarekati #BarisPinari #TurkishArmy</t>
  </si>
  <si>
    <t xml:space="preserve"> محمد هزازي</t>
  </si>
  <si>
    <t>pic.twitter.com/7YuJUzqBWR</t>
  </si>
  <si>
    <t>Hasret🌺</t>
  </si>
  <si>
    <t>Kan dökmeyi seven bir millet değiliz, Ancak, söz konusu vatan ise, dünyanın şah damarını keseriz! Dualarımız sizinle 🙏 #BarışPınarıHarekatı #TurkishArmy</t>
  </si>
  <si>
    <t>Dalgalan Sende Şafaklar Gibi Ey Nazlı Hilal🇹🇷</t>
  </si>
  <si>
    <t xml:space="preserve"> خالد  عواجي</t>
  </si>
  <si>
    <t>pic.twitter.com/7O5SnpuyQy</t>
  </si>
  <si>
    <t>Serhat ERDUR</t>
  </si>
  <si>
    <t>#TurkishArmy #BarışPınarıHarekati 🇹🇷</t>
  </si>
  <si>
    <t>MANİSA</t>
  </si>
  <si>
    <t>Siyaset Bilimi ve Kamu Yönetimi, Türkiye Cumhuriyeti Vatandaşı</t>
  </si>
  <si>
    <t>İbrahim Enes</t>
  </si>
  <si>
    <t>"Birliğini göreceğiz Turan'ın, Ya da Türk'e yar olmayan dünyanın Eksenini kıracağız and olsun!" #OperationPeaceSpring #TurkishArmy</t>
  </si>
  <si>
    <t>BAİBÜ - FTR 👈🏻 #GalaFansTim</t>
  </si>
  <si>
    <t>Aysu</t>
  </si>
  <si>
    <t>#BarışPınarıHarekatı resmen başlamıştır! Gazamız mübarek olsun. Rabbim ordumuzu muzaffer eylesin 🇹🇷 #BarışPınarıHarekatı #TurkishArmy</t>
  </si>
  <si>
    <t>https://pbs.twimg.com/media/EGcRyx-XUAMlDJe.jpg</t>
  </si>
  <si>
    <t>BÜ | Paramedik</t>
  </si>
  <si>
    <t>ALİ HELVACI</t>
  </si>
  <si>
    <t>Gazamız mübarek olsun....#TurkishArmy</t>
  </si>
  <si>
    <t>https://pbs.twimg.com/media/EGcRylGWsAAJlQa.jpg</t>
  </si>
  <si>
    <t>tekirdağ türkiye</t>
  </si>
  <si>
    <t>ben ve sadece ve hep ben</t>
  </si>
  <si>
    <t>Dr. Şenel Yediyıldız</t>
  </si>
  <si>
    <t>Barış Pınarı Harekatı Başladı. Allah Mehmetciği korusun #TurkishArmy #BarisPinariHarekati @Akparti</t>
  </si>
  <si>
    <t>https://pbs.twimg.com/media/EGcRxgdXoAYhv5m.jpg</t>
  </si>
  <si>
    <t>سعود العباس</t>
  </si>
  <si>
    <t>pic.twitter.com/02EDBuyyVg</t>
  </si>
  <si>
    <t>Ordu Merkez, Ordu</t>
  </si>
  <si>
    <t>T.B.M.M Sağlık Aile Çalışma ve Sosyal İşler Komisyonu Başkanı Akparti Ordu Milletvekili</t>
  </si>
  <si>
    <t>http://senelyediyildiz.com.tr</t>
  </si>
  <si>
    <t>Oğuz Kayı</t>
  </si>
  <si>
    <t>Eren Bülbül... Bedirhan Karakaya ... Fethi Sekin.. Nupelda ve Ayaz.. Daha niceleri için Gazanız Mubarek olsun... #BarışPınarıHarekati #TurkishArmy #OperationPeaceSpring</t>
  </si>
  <si>
    <t>https://pbs.twimg.com/media/EGcRw7vXkAEO0r5.jpg</t>
  </si>
  <si>
    <t xml:space="preserve"> يوسف  الصاعدي</t>
  </si>
  <si>
    <t>Kaybedeceğini Bile Bile Neden Mücadele Ediyorsun Dedi.. Öleceğini Bile Bile Yaşadığını Unutmuştu O an .. Bozmadım. Ö.A.</t>
  </si>
  <si>
    <t>pic.twitter.com/FDVmNderAF</t>
  </si>
  <si>
    <t>İsa Akkılıç</t>
  </si>
  <si>
    <t>Gün birlik günüdür. Allah Ordumuzun yâr ve yardımcısı olsun. Muzaffer eylesin. Terör örgütlerini temizlemesi için TSK'ya fetih ihsan etsin. Gazanız mübarek olsun. Amin. Ya Allah! Bismillah! Allah'u Ekber! #BarisPinari #BarışPınarıHarekatı #TurkishArmy #OperationPeaceSpring</t>
  </si>
  <si>
    <t>Bilgisayar Ögretmenliği (2013) Uluslararası İlişkiler ve Avrupa Birliği YL. (2016) Uluslararası İlişkiler YL. (2020) (Güvenlik - Terörizm)</t>
  </si>
  <si>
    <t xml:space="preserve"> رشيد الجهني</t>
  </si>
  <si>
    <t>pic.twitter.com/H7wNRP4E8V</t>
  </si>
  <si>
    <t>Muhammet KAMALAK</t>
  </si>
  <si>
    <t>Sefer sizden, Zafer Allah'tandır. 🇹🇷 #BarisPinariHarekati #OperationPeaceSpring #operationspringsofpeace #TurkishArmy</t>
  </si>
  <si>
    <t>https://pbs.twimg.com/media/EGcRxiYXoAAKiCY.jpg</t>
  </si>
  <si>
    <t xml:space="preserve"> ابراهيم العقيلي </t>
  </si>
  <si>
    <t>تقرير: إعلام الزيف القطري التركي الإخوانجي .. فبركة الأخبار وتضليل الرأي العام .  - جمال خاشقجي #JamalKhashoggi #تركيا</t>
  </si>
  <si>
    <t>pic.twitter.com/Dck9J1GEUV</t>
  </si>
  <si>
    <t>@cakirogluder Başkanı, @turkoglum46 yöneticisi, şimdilik @maraskaski personeli, eski @buyuksehirkm ve @cankayabelediye personeli</t>
  </si>
  <si>
    <t>http://turkoglu46.com</t>
  </si>
  <si>
    <t>Simon B. Porse</t>
  </si>
  <si>
    <t>Video from the demonstration in solidarity with the Kurdish forces in Northern Syria in front of DK parliament, asking DK politicians to condemn Turkish invasion-plans. "Fascist Erdoğan, Long Live Kurdistan," the protesters are yelling. #dkpol #TurkishArmy #BijiKurdistan RT @kvindeforening: Nok er nok!!! #RojavaicinAyağaKalk #rojavaisnotalone ✌🏻✊🏻✌🏻#dkpol #dukop</t>
  </si>
  <si>
    <t>https://twitter.com/kvindeforening/status/1181897831688343552</t>
  </si>
  <si>
    <t xml:space="preserve"> محمد العمري </t>
  </si>
  <si>
    <t>pic.twitter.com/Xzcty2BGsm</t>
  </si>
  <si>
    <t>pic.twitter.com/DTKC5fFI2Z</t>
  </si>
  <si>
    <t>Aarhus, Denmark</t>
  </si>
  <si>
    <t>[DK/EN/DE] Student of journalism @DMJX. Climate justice, social movements, infosecurity, international politics. Mail: sporse@protonmail.com</t>
  </si>
  <si>
    <t xml:space="preserve"> فهد السهلي</t>
  </si>
  <si>
    <t>pic.twitter.com/V5ABrbHFPF</t>
  </si>
  <si>
    <t>Dr. Emre Yanardağ</t>
  </si>
  <si>
    <t>BARIŞ PINARI HAREKATI BAŞLADI - CANLI YAYIN  @YouTube aracılığıyla #BarisPinari #BarışPınarıHarekati #OperationPeaceSpring #TurkishArmy</t>
  </si>
  <si>
    <t xml:space="preserve"> عبدالمجيد اليحيى </t>
  </si>
  <si>
    <t>pic.twitter.com/2yT90ysOgu</t>
  </si>
  <si>
    <t>ista</t>
  </si>
  <si>
    <t>Doktor Emre Yanardağ</t>
  </si>
  <si>
    <t>🕊Sevgi🕊</t>
  </si>
  <si>
    <t>🇹🇷 ALLAH devletimize zeval vermesin ... 🇹🇷 Rabbim tüm müslüman kardeşlerimizi korusun,birligimizi, dirliğimizi daim etsin İNŞALLAH... 🇹🇷 #BarışPınarıHarekati 🇹🇷 #TurkishArmy 🇹🇷 #iyiakşamlar 🇹🇷</t>
  </si>
  <si>
    <t xml:space="preserve"> هلآل   الوعلان </t>
  </si>
  <si>
    <t>محلل قناة ٢٤ سعودي الفضائية د. عمر عبدالستار في نيران ايران : العلاقة بين أمريكا و ايران هي في مرحلة ردع  - جمال خاشقجي #خاشقجي #عام_على_اغتيال_جمال</t>
  </si>
  <si>
    <t>pic.twitter.com/lEkNLCzPCb</t>
  </si>
  <si>
    <t xml:space="preserve">🇹🇷 </t>
  </si>
  <si>
    <t>Fazla kurcalamayın hayatı, vicdanınız temizse, yüreğiniz de güzelse, yaşayın gitsin işte...</t>
  </si>
  <si>
    <t>ENSAR GÜVEN</t>
  </si>
  <si>
    <t>#TurkishArmy ❤️🇹🇷</t>
  </si>
  <si>
    <t>عمر سبعي</t>
  </si>
  <si>
    <t>02 ADIYAMAN 💛💚</t>
  </si>
  <si>
    <t>pic.twitter.com/kDAIFSJBH8</t>
  </si>
  <si>
    <t>Python Software 👨‍💻❤️👌</t>
  </si>
  <si>
    <t xml:space="preserve">  شلبي المزيني </t>
  </si>
  <si>
    <t>pic.twitter.com/SBPqky0YeR</t>
  </si>
  <si>
    <t>oğuzhan</t>
  </si>
  <si>
    <t>🇹🇷 Gazamız Mûbarek Olsun 🇹🇷 #BarışPınarıHarekati #OperationPeaceSpring #BarisPinari #carsamba #ayağınızataşdeğmesin #egm #TurkishArmy #güçlütürkiye #Trump</t>
  </si>
  <si>
    <t>ﻣﻬﺪﻱ ﺁﻝ ﺷﻴﺒﺎﻥ</t>
  </si>
  <si>
    <t>د. عثمان البريكان : تركيا تدعي انها تحارب الارهاب و داعش وهم في الأساس يتحركون من خلالها .  - جمال خاشقجي #JamalKhashoggi #السعودية</t>
  </si>
  <si>
    <t>https://pbs.twimg.com/media/EGcRu-BWwAAq6Da.jpg</t>
  </si>
  <si>
    <t>pic.twitter.com/QRAtUMCGsY</t>
  </si>
  <si>
    <t>Emrah Sarı 🇹🇷</t>
  </si>
  <si>
    <t>Kahraman TÜRK Ordusu, yolun açık olsun! Dualarımız, kalbimiz sizinle.🇹🇷 #BarisPinariHarekati #turkmilletiordusununyaninda #TurkishArmy</t>
  </si>
  <si>
    <t>https://pbs.twimg.com/media/EGcRvj7WwAEdL_T.jpg</t>
  </si>
  <si>
    <t xml:space="preserve">  هادي النيلي  </t>
  </si>
  <si>
    <t>😷</t>
  </si>
  <si>
    <t>pic.twitter.com/A0GvrBsKOL</t>
  </si>
  <si>
    <t>Hasan Adıyaman</t>
  </si>
  <si>
    <t>Allah ordumuzun yardımcısı olsun. #TurkishArmy #BarisPinariHarekati</t>
  </si>
  <si>
    <t>#İzu Hukuk Fakültesi 🇹🇷Ne Mutlu Türküm Diyene</t>
  </si>
  <si>
    <t xml:space="preserve"> احمد حدادي</t>
  </si>
  <si>
    <t>pic.twitter.com/CAgOQx6lxB</t>
  </si>
  <si>
    <t>Türk Genci #Hedef23</t>
  </si>
  <si>
    <t>Vurduğunuz leş olsun Bedrin Aslanları #TurkishArmy #BarisPinariHarekati 🇹🇷🇹🇷🇹🇷🇹🇷🇹🇷🇹🇷🇹🇷🇹🇷🇹🇷🇹🇷🇹🇷🇹🇷</t>
  </si>
  <si>
    <t xml:space="preserve"> علي الزهراني</t>
  </si>
  <si>
    <t>اللواء متقاعد د. شامي الظاهري : تنظيم الإخوان هو المحرك الأساسي للدولتين قطر و تركيا .  - جمال خاشقجي #خاشقجي #عام_على_رحيل_جمال</t>
  </si>
  <si>
    <t>Tek aşkı GALATASARAY 💛❤️</t>
  </si>
  <si>
    <t>pic.twitter.com/rnGwUArQFY</t>
  </si>
  <si>
    <t>Eyüp Sulubey</t>
  </si>
  <si>
    <t>#BarisPinariHarekati 🇹🇷🇹🇷🇹🇷🇹🇷 #TurkishArmy 🇹🇷🇹🇷🇹🇷🇹🇷</t>
  </si>
  <si>
    <t>رضوى الوحيد</t>
  </si>
  <si>
    <t>pic.twitter.com/LSfexR4KoL</t>
  </si>
  <si>
    <t>Münir Kaman</t>
  </si>
  <si>
    <t>Allah yardımcımız olsun. Askerlerimiz en kısa sürede, sağ salim ülkemize dönsün inşallah. #BarışPınarıHarekatı #TurkishArmy</t>
  </si>
  <si>
    <t>Kaman Hukuk Bürosu /Avukat/İstanbul Üniversitesi Hukuk Fak. Mezunu/Bahçeşehir Üniversitesi Sermaye Piyasaları ve Ticaret Hukuku Yüksek Lisans Öğrencisi</t>
  </si>
  <si>
    <t xml:space="preserve"> يحي القرعاوي </t>
  </si>
  <si>
    <t>pic.twitter.com/kc4OsfToU6</t>
  </si>
  <si>
    <t>MERT KARACA</t>
  </si>
  <si>
    <t>#TurkishArmy #BarisPinari #BarisPinariHarekati Gazamız Mübarek Olsun 🇹🇷</t>
  </si>
  <si>
    <t>https://pbs.twimg.com/media/EGcRsygX0AADfy7.jpg</t>
  </si>
  <si>
    <t>خليدة البركات</t>
  </si>
  <si>
    <t>pic.twitter.com/0EwbmTdXcK</t>
  </si>
  <si>
    <t>LASİAD Yönetim Kurulu Üyesi 🎓 İGÜ Siyaset Bilimi 🎓 AÜ Yerel Yönetimler 🎓AÜ İnsan Kaynak 🎓 Londra David Game Koleji 🎓 Moskova Devlet Üni 🌍 44 ülke gezgini</t>
  </si>
  <si>
    <t>Сонмохикан</t>
  </si>
  <si>
    <t>https://pbs.twimg.com/media/EGcRserWwAMskNF.jpg</t>
  </si>
  <si>
    <t>محمد منصور</t>
  </si>
  <si>
    <t>اتصال هاتفي من : د. نافل النفيعي : خبير استراتيجي ومختص في العلاقات التاريخية بين الدول – الدمام : الدول العظمى تدين ايران .. ودول الخليج أخذت استعدادها العسكري .  - جمال خاشقجي #ايران #خاشقجي</t>
  </si>
  <si>
    <t>pic.twitter.com/NMhQ60DIMF</t>
  </si>
  <si>
    <t>#OBA #Oba</t>
  </si>
  <si>
    <t>🚩 #Turizm 🌴#Travel 📸 #Турция 🇹🇷 #Османская #Ottoman #Osmanlı</t>
  </si>
  <si>
    <t>Erdoğan Yeşil</t>
  </si>
  <si>
    <t>İki ordu vardır: Biri gazâ ordusu, diğeri de duâ ordusu ve bu savaşlar, bu iki ordunun ittifakı ile kazanılır.🇹🇷 İmam Rabbani Hz. #BarışPınarıHarekati #BarisPinari #TurkishArmy #SONDAKIKA</t>
  </si>
  <si>
    <t>Her dönemin Adamı değil,Her dönem Adam ol!!!</t>
  </si>
  <si>
    <t>Salh y.s.</t>
  </si>
  <si>
    <t>Yasin Çavdar</t>
  </si>
  <si>
    <t>@Turki_alalshikh @RiyadhSeason Imagine be in a place where murdering people by #mbs is not a crime !! , Imagine be in a place where you can’t speak up and IF you do they will torture you and kill you . #JamalKhashoggi .Cut the bullshit TOTO , you and your government are worst than the MAFIA . #mbs is a killer!</t>
  </si>
  <si>
    <t>Beklenenler Geliyor.. #TurkishArmy #BarisPinari #BarisPinariHarekati</t>
  </si>
  <si>
    <t>https://pbs.twimg.com/media/EGcRrvSXYAAFg0a.jpg</t>
  </si>
  <si>
    <t>Ontario, Canada</t>
  </si>
  <si>
    <t>الحجاز، الشخص الصامت غالبا لا يكون خجولا،بل ينتظر الوقت المناسب حتى يظهر جنونه ،🐝 #Rasta 🏳️‍🌈. freedom for all 🇨🇦🤗✝️all I know is I won’t go speechless🕊</t>
  </si>
  <si>
    <t>Yapamaz Ertuğrul Evladı Sensiz Can Verir Cananı Veremez Türkler Ebedi Hadimul Harameyniniz Ölsekte Ravzanı Ruhumuz Bekler</t>
  </si>
  <si>
    <t>جاسر الراشد</t>
  </si>
  <si>
    <t>pic.twitter.com/6685egfxtw</t>
  </si>
  <si>
    <t>Hacıislamoğlu Hasan</t>
  </si>
  <si>
    <t>@BillKristol What happens to you? Game is over! #TurkishArmy #BarisPinariHarekati #PeaceSpringOperation</t>
  </si>
  <si>
    <t>تميم القسم</t>
  </si>
  <si>
    <t>Trabzon</t>
  </si>
  <si>
    <t>Çaykaralı, Trabzonspor Kongre Üyesi, Hacı Fafız’ın Hasan’ın torunu olan, emaneti Yusuf ve Mehmet olan, Kübra’sına kavuşmuş olan, yolu bir, aklı bir olan Hasan.</t>
  </si>
  <si>
    <t>pic.twitter.com/UIrQfjPNeb</t>
  </si>
  <si>
    <t xml:space="preserve"> بندر المالكي</t>
  </si>
  <si>
    <t>هام وعاجل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#السعودية</t>
  </si>
  <si>
    <t>pic.twitter.com/wQh16UYu7n</t>
  </si>
  <si>
    <t>Gazeteciler</t>
  </si>
  <si>
    <t>CNN Türk Suriye canlı yayını sırasında patlama oldu! #BarışPınarıHarekati #TurkishArmy</t>
  </si>
  <si>
    <t>https://www.gazeteciler.com/video/cnn-turk-suriye-canli-yayini-sirasinda-patlama-oldu/400729</t>
  </si>
  <si>
    <t>نياف سهيل</t>
  </si>
  <si>
    <t>pic.twitter.com/gyxs4dtDOY</t>
  </si>
  <si>
    <t>https://pbs.twimg.com/media/EGcRqfkWoAECik7.jpg</t>
  </si>
  <si>
    <t>Tematik yayıncılık yapan medya sitesi...</t>
  </si>
  <si>
    <t>http://www.gazeteciler.com</t>
  </si>
  <si>
    <t>Abdulhamit KILIÇ</t>
  </si>
  <si>
    <t>#OperationPeaceSpring #BarisPinariHarekati #TurkishArmy Ay yıldızlı al bayrağın gücünü iliklerinize kadar hissedeceksiniz. 🇹🇷🇹🇷🇹🇷</t>
  </si>
  <si>
    <t>مرزوق ربيع</t>
  </si>
  <si>
    <t>تقرير: الأمم المتحدة تستعد لعدوان تركي محتمل شمال شرق سوريا .  #خاشقجي #عام_على_رحيل_جمال</t>
  </si>
  <si>
    <t>pic.twitter.com/j862gfzRdQ</t>
  </si>
  <si>
    <t>*Bir TÜRKİYE Sevdalısı. *ϜϓſϞ🇹🇷🇹🇷🇹🇷 *AİBÜ *İnstagram: @abdlhamitkilic</t>
  </si>
  <si>
    <t>Ahmet Erdoğan🇹🇷</t>
  </si>
  <si>
    <t>#BarisPinariHarekati #OperationPeaceSpring #TurkishArmy Yüce Allah Şanlı ordumuzu daima güçlü kılsın, Allah Türk ordusunu korusun.</t>
  </si>
  <si>
    <t>https://pbs.twimg.com/media/EGcRpx-WsAAc3Tv.jpg</t>
  </si>
  <si>
    <t xml:space="preserve"> منصور اليزيدي</t>
  </si>
  <si>
    <t>pic.twitter.com/4zArko6a1g</t>
  </si>
  <si>
    <t>KOU🇹🇷✈</t>
  </si>
  <si>
    <t>Kuş🇹🇷</t>
  </si>
  <si>
    <t>Taş değmesin ayağınıza🇹🇷 #TurkishArmy #BarışPınarıHarekatı</t>
  </si>
  <si>
    <t>Bitte nicht stören</t>
  </si>
  <si>
    <t>E L A Z I Ğ 🇹🇷</t>
  </si>
  <si>
    <t>Bir gece ansızın gelebiliriz demiştik ama Tüm dünya görsün diye gündüz girdik! Sağ salim gidin, sağ salim gelin.. #TurkishArmy #BarisPinariHarekati</t>
  </si>
  <si>
    <t>https://pbs.twimg.com/media/EGcRoCyXUAAI9b3.jpg</t>
  </si>
  <si>
    <t>#Elazığ ♡ #ComeToElazığ ♡ #HazarVarHuzurVar ▪︎ http://facebook.com/elazigsivesi • http://instagram.com/Elazig_Sivesi ☆</t>
  </si>
  <si>
    <t>http://www.elazigonline.com</t>
  </si>
  <si>
    <t xml:space="preserve"> ابراهيم القوزي</t>
  </si>
  <si>
    <t>pic.twitter.com/DdQd52H67j</t>
  </si>
  <si>
    <t>Umutun</t>
  </si>
  <si>
    <t>هيثم السلطان</t>
  </si>
  <si>
    <t>Gün birlik olma günüdür 🇹🇷 Allah yar ve yardımcınız olsun 🙏 #BarışPınarıHarekati #TurkishArmy</t>
  </si>
  <si>
    <t>pic.twitter.com/eEzlXorkX9</t>
  </si>
  <si>
    <t>https://pbs.twimg.com/media/EGcRn0KXYAANRWb.jpg</t>
  </si>
  <si>
    <t>Saudi arab</t>
  </si>
  <si>
    <t>Nefes ve Dönüştürücü Yaşam Koçu</t>
  </si>
  <si>
    <t>https://www.instagram.com/umutun/</t>
  </si>
  <si>
    <t>عربي</t>
  </si>
  <si>
    <t>@AlArabiya لا اعهد ان #العبريه تنقل من الغارديان لانها كما تقول هي والذباب ان كل الصحف الغربيه تم شراءها من قطر عندما كانت تظهر حقائق مقتل وتقطيع #خاشقجي رحمه الله</t>
  </si>
  <si>
    <t>دولة قطر</t>
  </si>
  <si>
    <t>اعتز بعروبتي محب لكل الدول والشعوب العربيه ، مع الحق أينما ذهب ، موعدنا #القدس</t>
  </si>
  <si>
    <t>TÜRK HABER MERKEZİ</t>
  </si>
  <si>
    <t>https://pbs.twimg.com/media/EGcRnj4WsAEXKw6.jpg</t>
  </si>
  <si>
    <t>شاهر الحامد</t>
  </si>
  <si>
    <t>https://instagram.com/turkhabermerkezi?igshid=1k15wcfup7qrh</t>
  </si>
  <si>
    <t xml:space="preserve"> محمد  البيشي</t>
  </si>
  <si>
    <t>محلل قناة ٢٤ سعودي الفضائية د. عماد الدين الجبوري في سجال خاص : منذ عام 1979م والمسؤولون الإيرانيون يرفعون شعار الموت لأمريكا..ثم يرسلون أبناءهم إلى "الشيطان الأكبر"!!  - جمال خاشقجي #JamalKhashoggi #تركيا</t>
  </si>
  <si>
    <t>pic.twitter.com/qrPTL4QE1y</t>
  </si>
  <si>
    <t>semra H.</t>
  </si>
  <si>
    <t>Ya Allah bismillah Allah u Ekber ☝️☝️☝️ Allah yar ve yardımcınız olsun 🤲🤲 🇹🇷🇹🇷🇹🇷🇹🇷🇹🇷🇹🇷🇹🇷🇹🇷🇹🇷🇹🇷🇹🇷🇹🇷 #BarisPinari #TurkishArmy #BarisPinariHarekati #BarisPinari #tsk</t>
  </si>
  <si>
    <t>sosyolog 👩‍🎓 🦋🦋🦋🦋</t>
  </si>
  <si>
    <t xml:space="preserve"> محيا المالي </t>
  </si>
  <si>
    <t>أ. نايف الحربي: إعلامي وكاتب صحفي: قناة الجزيرة يصرف عليها مليارات .. واستطاع المغرد السعودي بحسابه الشخصي أن يدافع عن وطنه وقادته .  - جمال خاشقجي #خاشقجي #تركيا</t>
  </si>
  <si>
    <t>pic.twitter.com/MbtJkwRh1A</t>
  </si>
  <si>
    <t>🇹🇷𝓐𝓽𝓵𝓮𝓽𝓲𝔃𝓶𝓼𝓮𝓿𝓮𝓻</t>
  </si>
  <si>
    <t>#TurkishArmy 👍🇹🇷❤ #BarışPınarıHarekati RT @dw_turkce: #SonDakika Reuters: Türkiye YPG'ye ait mühimmat depolarını vurdu</t>
  </si>
  <si>
    <t>https://twitter.com/dw_turkce/status/1181925819402346497</t>
  </si>
  <si>
    <t>https://pbs.twimg.com/media/EGcLRB5XYAAv86c.jpg</t>
  </si>
  <si>
    <t xml:space="preserve">   حمدي  العتيبي</t>
  </si>
  <si>
    <t>pic.twitter.com/kzjR8VQsRl</t>
  </si>
  <si>
    <t>Mavi Gezegen</t>
  </si>
  <si>
    <t>T.C. - Linux - ⚛ Physicist - 1907¹⁹⁰⁷ #FenerOL -🎸</t>
  </si>
  <si>
    <t>ﺯﻳﺎﺩ ﻋﺴﻴﺮﻱ</t>
  </si>
  <si>
    <t>pic.twitter.com/v7diBXVYhS</t>
  </si>
  <si>
    <t>İzzet Ethem Altundağ</t>
  </si>
  <si>
    <t>Anlık #BarışPınarıHarekatı #BarışPınarı #TurkishArmy #OperationPeaceSpring</t>
  </si>
  <si>
    <t>pic.twitter.com/nB0T5xZvoV</t>
  </si>
  <si>
    <t>TCG Barbaros</t>
  </si>
  <si>
    <t>Savunma Sanayii | Savaş Gemisi, Savaş Uçağı, Tank | Fotoğrafçı | Astronomi | Vatan Sana Canım Feda</t>
  </si>
  <si>
    <t>http://instagram.com/izzetethem</t>
  </si>
  <si>
    <t xml:space="preserve"> ﻋﺎﻳﺾ ﺍﻝ ﻣﺠﺮﻱ</t>
  </si>
  <si>
    <t>أ. عبدالرحمن الملحم - كاتب ومحلل سياسي : ايران استغلت ضعف الإدارة الامريكية السابقة إدارة "أوباما" .. حين تم توقيع موضوع الملف النووي .  - جمال خاشقجي #JamalKhashoggi #قطر</t>
  </si>
  <si>
    <t>pic.twitter.com/jRJpBqGDuy</t>
  </si>
  <si>
    <t>İZZETTİN YILGIN</t>
  </si>
  <si>
    <t>Kendi menfaatleri olmayınca carcar konuşup!!! Devletin sınır tehdine karşı aldığı tedbire ve harekata karşı. #savaşahayır diyenlere gelsin. ONLAR KENDİNİ BİLİYOR. #TurkishArmy #BarisPinariHarekati #BarisPinari #TarıkÜnlüoğlu #hadsizler</t>
  </si>
  <si>
    <t>pic.twitter.com/bJZZGk1wuP</t>
  </si>
  <si>
    <t>فرحان مرزوق</t>
  </si>
  <si>
    <t>Yeryüzü Vakfı/Antalya İHH/Antalya İMH/ Radyo MERCAN 3 çocuk babası Burda yazdıklarım sadece beni bağlar çalıştığım veya mensubu olduğum kurumları değil.</t>
  </si>
  <si>
    <t>https://www.facebook.com/profile.php?id=100009897033263</t>
  </si>
  <si>
    <t>pic.twitter.com/BB4pF0emnJ</t>
  </si>
  <si>
    <t>Ömer Burak TETİK</t>
  </si>
  <si>
    <t>Lâ Galibe İllâllah... #TurkishArmy #BarisPinariHarekati #OperationPeaceSpring</t>
  </si>
  <si>
    <t>https://pbs.twimg.com/media/EGcRkcmXYAA3Af0.jpg</t>
  </si>
  <si>
    <t xml:space="preserve">مفرح الفطاي </t>
  </si>
  <si>
    <t>اتصال / أ. خالد الزعتر : محلل سياسي – الرياض : رفع العلم الإسرائيلي في الدوحة هو إثبات للعلاقات الإسرائيلية القطرية وهذا ما تثبته الوقائع التاريخية على مر السنين .  - جمال خاشقجي #خاشقجي #عام_على_رحيل_جمال</t>
  </si>
  <si>
    <t>pic.twitter.com/hGZ6c9RZP9</t>
  </si>
  <si>
    <t>Türkiye Siyaseti Gündem</t>
  </si>
  <si>
    <t>مساعد النجراني</t>
  </si>
  <si>
    <t>محلل قناة ٢٤ سعودي الفضائية: د. رامي خليفة العلي : هناك سوء في السياسة التركية التي سمحت بسيطرة جبهة النصرة على مناطق واسعة ما أعطى مبرراً لروسيا وللنظام السوري للتقدم في تلك المنطقة .  - جمال خاشقجي #خاشقجي #عام_على_رحيل_جمال</t>
  </si>
  <si>
    <t>pic.twitter.com/InbWwKVmKJ</t>
  </si>
  <si>
    <t xml:space="preserve"> عبدالمجيد السلمي</t>
  </si>
  <si>
    <t>أ. نايف الحربي: إعلامي وكاتب صحفي: قناة الجزيرة لديها مزاعم واكاذيب تحاول أن تخدع الرأي العام للنيل من المملكة .  - جمال خاشقجي #خاشقجي #تركيا</t>
  </si>
  <si>
    <t>pic.twitter.com/h0VtWjHKJ1</t>
  </si>
  <si>
    <t>Lokman</t>
  </si>
  <si>
    <t>Allah yar ve yardımcımız olsun Ayağınıza taş değmesin. Son sürüngenin, böceğin başı ezilene kadar kararlılıkla devam inşallah. #BarışPınarıHarekati #BarisPinari #TurkishArmy</t>
  </si>
  <si>
    <t>💛GALATASARAY❤ Uludağ üniversitesi Uluslararası ilişkiler 🖒🖒</t>
  </si>
  <si>
    <t>Kadir Çelik</t>
  </si>
  <si>
    <t xml:space="preserve"> ﻋﺒﺪﺍﻟﻠﻪ ﺍﻟﺤﺴﻴﻨﻲ</t>
  </si>
  <si>
    <t>Soran olursa Türkler geldi dersiniz. Hoşgeldiniz diyene sahip çıkın. Neden geldiniz diye soranın kafasına sıkın... #TurkishArmy #BarisPinari</t>
  </si>
  <si>
    <t>pic.twitter.com/BftIuZS3mF</t>
  </si>
  <si>
    <t>https://pbs.twimg.com/media/EGcRiglXoAEX8uZ.jpg</t>
  </si>
  <si>
    <t xml:space="preserve"> ﻣﻬﺪﻱ ﺁﻝ ﺷﻴﺒﺎﻥ</t>
  </si>
  <si>
    <t>محلل قناة ٢٤ سعودي الفضائية د. فهد الشليمي في مع الحدث : الحملة على مصر تم التحضير لها منذ شهرين بمشاركة تركيا وتنظيم الاخوان الإرهابي و ايران من أجل ضرب الاقتصاد المصري  - جمال خاشقجي #JamalKhashoggi #قطر</t>
  </si>
  <si>
    <t>Trabzon Merkez, Trabzon</t>
  </si>
  <si>
    <t>pic.twitter.com/eE9KmApE6x</t>
  </si>
  <si>
    <t>Esin</t>
  </si>
  <si>
    <t>Inanılmaz heyecanlıyımm ofiste yerimde duramıyorumm 😍✈🇹🇷 #BarışPınarıHarekatı #TurkishArmy</t>
  </si>
  <si>
    <t xml:space="preserve"> خليف العنزي</t>
  </si>
  <si>
    <t>M ❤ // الله</t>
  </si>
  <si>
    <t>pic.twitter.com/BBuRFPurcf</t>
  </si>
  <si>
    <t>Mehmet HIZLI</t>
  </si>
  <si>
    <t>METE HANIN, FATİH'İN, MUSTAFA KEMAL'İN TORUNLARI DÜNYA'YA NASIL ASKER OLUNUR ÖĞRETECEKLER. ORDU-MİLLET YANYANA. ALLAH MEHMETÇİKLERİMİZİN YARDIMCISI OLSUN #BarisPinariHarekati #TurkishArmy #FıratınDoğusu</t>
  </si>
  <si>
    <t xml:space="preserve"> متعب السدحان  </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</si>
  <si>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#خاشقجي #عام_على_اغتيال_جمال</t>
  </si>
  <si>
    <t>Uzunköprü, Türkiye</t>
  </si>
  <si>
    <t>pic.twitter.com/SKq0TrsSmy</t>
  </si>
  <si>
    <t>Ferit🇹🇷</t>
  </si>
  <si>
    <t>@RTErdogan Allah Ordumuzu korusun. Bedir, Uhud, Hendek, Malazgirt ve daha nice seferlerin kuvvetini versin. Sefer bizden zafer Allah’tan! #BarisPinari #TurkishArmy #BarisPinariHarekati #KurdsSideWithTurkey</t>
  </si>
  <si>
    <t xml:space="preserve"> ﻣﺎﻃﺮ ﻋﺴﻴﺮﻱ</t>
  </si>
  <si>
    <t>Zatına münhasırdır kalbimdeki şahıs. #hayaldukkani#munhasirduraklar Arh (-)</t>
  </si>
  <si>
    <t>pic.twitter.com/mSbFlBV5W6</t>
  </si>
  <si>
    <t>Sutozu26</t>
  </si>
  <si>
    <t>Allah yolunuzu açık etsin. Allah yardımcınız olsun. #TurkishArmy #BarisPinariHarekati #BarisPinari #OperationPeaceSpring #turkmilletiordusununyaninda #turaf #Turkey #operasyon #asker #bayrak #VakitGazaVakti</t>
  </si>
  <si>
    <t>https://pbs.twimg.com/media/EGcRhh6X0AAs3Z7.jpg</t>
  </si>
  <si>
    <t>pic.twitter.com/mBGnoq09Tv</t>
  </si>
  <si>
    <t>Büyük Türk milletinin hizmetindeyiz.</t>
  </si>
  <si>
    <t>Hakan TANRIVERDİ</t>
  </si>
  <si>
    <t>La Galibe ilallah 🇹🇷 #BarisPinariHarekati #TurkishArmy</t>
  </si>
  <si>
    <t xml:space="preserve"> ﺻﺎﻟﺢ ﺍﻟﻤﻐﻨﻢ</t>
  </si>
  <si>
    <t>أ. هاني الحجي : العملية الانتخابية التي حدثت ورفضها اردوغان أثرت على مسار الحياة الاقتصادية في تركيا .  - جمال خاشقجي #JamalKhashoggi #السعودية</t>
  </si>
  <si>
    <t>pic.twitter.com/ldWiXOo1S5</t>
  </si>
  <si>
    <t>https://pbs.twimg.com/media/EGcRhmfWwAABI3O.jpg</t>
  </si>
  <si>
    <t>Yenilme sonucunda tekrar başlanabilir fakat vazgeçersen öyle bir şansın olmaz. 🇹🇷</t>
  </si>
  <si>
    <t>ﻓﻬﺪ ﺑﻦ ﺳﺎﻟﻢ</t>
  </si>
  <si>
    <t>أ. عبدالرحمن الملحم - كاتب ومحلل سياسي : ايران استغلت ضعف الإدارة الامريكية السابقة إدارة "أوباما" .. حين تم توقيع موضوع الملف النووي .  - جمال خاشقجي #خاشقجي #قطر</t>
  </si>
  <si>
    <t>pic.twitter.com/LHQkOgbqb8</t>
  </si>
  <si>
    <t xml:space="preserve">   جابر  ال مرضي</t>
  </si>
  <si>
    <t>أ. خالد النزر : أين الإعلام القطري من الفضائح التي تحدث داخل قطر  #خاشقجي #عام_على_رحيل_جمال</t>
  </si>
  <si>
    <t>pic.twitter.com/qTXNeNPLFS</t>
  </si>
  <si>
    <t>Zafar Artist</t>
  </si>
  <si>
    <t>@alikeskin_tr 😍😍Mashallah the powerful muslim nation #TurkishArmy becoming more &amp; more strong may Allah make it super strong, Pak🇵🇰🇹🇷turk super strong muslim nations 😇 love trukey strong Army</t>
  </si>
  <si>
    <t>ﻣﺴﻌﺪ ﺍﻟﺠﻬﻨﻲ</t>
  </si>
  <si>
    <t>pic.twitter.com/lKiToJiVY8</t>
  </si>
  <si>
    <t>Punjab, Pakistan</t>
  </si>
  <si>
    <t>i am Martial Artist, sketch Artist, gymanst,writer, btw i m still studying for become a knowledgeful person,nothing is impossible always stand with true,</t>
  </si>
  <si>
    <t>https://www.facebook.com/kingofartworld.93</t>
  </si>
  <si>
    <t>Ercument ATA</t>
  </si>
  <si>
    <t>Allah ordumuzu muzaffer eylesin! Mehmetçiğimizin ayağına taş değmesin! 🇹🇷 #TurkishArmy #BarışPınarıHarekatı</t>
  </si>
  <si>
    <t>https://pbs.twimg.com/media/EGcRghmWwAMip9k.jpg</t>
  </si>
  <si>
    <t>Satış Yönetimi &amp; Sadakat ve Ödül Yönetimi @nova_loyalty | İÜ Felsefe | ☀️ @iyimaltepe</t>
  </si>
  <si>
    <t>http://www.ercumentata.wordpress.com</t>
  </si>
  <si>
    <t xml:space="preserve"> علي العريني </t>
  </si>
  <si>
    <t>pic.twitter.com/l2ZPtVSFdL</t>
  </si>
  <si>
    <t>Tarafsız Haber</t>
  </si>
  <si>
    <t>Turks are coming for you :) #TurkishArmy</t>
  </si>
  <si>
    <t>BURAK BUĞRA ERMİŞ</t>
  </si>
  <si>
    <t>VATAN SANA CANIM FEDA🇹🇷 #TurkishArmy #BarisPinari</t>
  </si>
  <si>
    <t>https://pbs.twimg.com/media/EGcRfvcXYAElEw2.jpg</t>
  </si>
  <si>
    <t xml:space="preserve"> سليمان الراشد</t>
  </si>
  <si>
    <t>تقرير: وثائقي فرنسي يكشف علاقة قطر بتمويل التطرف الإرهاب في أوروبا .  - جمال خاشقجي #خاشقجي #قطر</t>
  </si>
  <si>
    <t>pic.twitter.com/nVIaHb2F3h</t>
  </si>
  <si>
    <t>T.C. Hazine ve Maliye Bakanlığı-UZMAN YARD.🇹🇷 Siyaset Bilimi ve Kamu Yönetimi + Uluslarası İlişkiler İSTANBUL ÜNİV. #SİNOPLU Av.G.ERMİŞ ile EVLİ.</t>
  </si>
  <si>
    <t>Pisayısı</t>
  </si>
  <si>
    <t>Ölüme şehadet hevesi ile giden başka bir millet yoktur. Ayağınıza taş değmesin yiğitler... #BarisPinariHarekati #TurkishArmy</t>
  </si>
  <si>
    <t>Deneysel Hayat Mensubu - I'm a Computer Engineer</t>
  </si>
  <si>
    <t>pseux</t>
  </si>
  <si>
    <t>zaferleri ve mazisi insanlık tarihi ile başlayan, her zaman zaferle beraber medeniyet nurları taşıyan kahraman türk ordusu! allah türk ordusunun yardımcısı olsun. askerlerimizi, mehmetçiğimizi korusun. #BarışPınarıHarekati #TurkishArmy #BarisPinari #OperationPeaceSpring</t>
  </si>
  <si>
    <t>pic.twitter.com/foEC50M4Co</t>
  </si>
  <si>
    <t xml:space="preserve"> ﺑﻨﺪﺭ ﺳﻠﻴﻤﺎﻥ</t>
  </si>
  <si>
    <t>تقرير: خالد بن سلمان: آن الأوان ليقف اليمنيون صفاً واحداً أمام مشروع الدمار الإيراني.  #JamalKhashoggi #تركيا</t>
  </si>
  <si>
    <t>pic.twitter.com/RTAUNUcBnD</t>
  </si>
  <si>
    <t>underground</t>
  </si>
  <si>
    <t>artık bizi istemeyen bir dünyada hırsızız</t>
  </si>
  <si>
    <t>http://www.youtube.com/pseux</t>
  </si>
  <si>
    <t xml:space="preserve">   سالم الاحمري</t>
  </si>
  <si>
    <t>pic.twitter.com/45ppMVSq53</t>
  </si>
  <si>
    <t>Ahmet Örken</t>
  </si>
  <si>
    <t>Allah yar ve yardımcınız olsun!🇹🇷 #BarisPinariHarekati #TurkishArmy #PeaceSpringOperation</t>
  </si>
  <si>
    <t>https://pbs.twimg.com/media/EGcRdaiWoAAmYU1.jpg</t>
  </si>
  <si>
    <t xml:space="preserve"> حسين بوعلي</t>
  </si>
  <si>
    <t>pic.twitter.com/psQRdCDL04</t>
  </si>
  <si>
    <t>Konya/Meram</t>
  </si>
  <si>
    <t>Türk Bisiklet Tarihinin İlk ve Tek Avrupa Şampiyonu 🇹🇷</t>
  </si>
  <si>
    <t>Bahrain2011</t>
  </si>
  <si>
    <t>في ذكرى اغتيال #خاشقجي ناشطون فرنسيون يضعون تماثيل لأجساد مقطعة أمام القنصلية #السعودية في باريس</t>
  </si>
  <si>
    <t>pic.twitter.com/AQBvhEmQa0</t>
  </si>
  <si>
    <t xml:space="preserve">راشد علي </t>
  </si>
  <si>
    <t>حصريا..ادم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#خاشقجي #عام_على_رحيل_جمال</t>
  </si>
  <si>
    <t>pic.twitter.com/Bi7xfcStIJ</t>
  </si>
  <si>
    <t>semih Gerçek</t>
  </si>
  <si>
    <t>Türkiye cennettir</t>
  </si>
  <si>
    <t>Türkiye sevdalısı</t>
  </si>
  <si>
    <t>Cihat Yılmaz</t>
  </si>
  <si>
    <t>@RTErdogan Gazamız mübarek olsun Rabbim yar ve yardımcımız olsun #BarisPinari #TurkishArmy #tsk #jöh #pöh</t>
  </si>
  <si>
    <t>Cenabı Hak Partisi #THE #WORLD #IS #BIGGER #THAN #FIVE #RTE</t>
  </si>
  <si>
    <t>Kaktüs!</t>
  </si>
  <si>
    <t>Türk milleti her zaman Türk ordusunun yanındadır, Vatana karşı bi oluşum varsa mücadeleye girer yok eder! Tanrı, milletimi, askerimi her daim korusun yanında olsun 🙏 #TurkishArmy #BarisPinariHarekati</t>
  </si>
  <si>
    <t>Tanrı Türk ' ü Korusun ve Yüceltsin! Ne olursanız olun gelmeyin ! Ben mevlana deilim beni germeyin ! #BJK 🖤</t>
  </si>
  <si>
    <t>حسن القحطاني</t>
  </si>
  <si>
    <t>pic.twitter.com/PGaQc3hycl</t>
  </si>
  <si>
    <t>Mete Özel</t>
  </si>
  <si>
    <t>Vur şanlı silahınla, gönül mülkü düzelsin; sen öldürüyorken de, vuruyorken de güzelsin. #TurkishArmy #BarisPinariHarekati</t>
  </si>
  <si>
    <t>Hayalleri ve umudu hapsedemezsiniz!!!</t>
  </si>
  <si>
    <t xml:space="preserve">ﻋﻠﻲ ﺍﻻﺣﻤﺪﻱ </t>
  </si>
  <si>
    <t>اتصال هاتفي من: أ. محمد الحلفي – محلل سياسي – الرياض. عندما انكشف مُخطط قناة الجزيرة بدأ الظهور لأذرعها الإعلامية لتبث سمومها في المنطقة وخصوصاً ضد المملكة  - جمال خاشقجي #خاشقجي #عام_على_اغتيال_جمال</t>
  </si>
  <si>
    <t>Bünyamin Ovacı 🇹🇷</t>
  </si>
  <si>
    <t>Allah yar ve yardımcınız olsun 🇹🇷 #TurkishArmy #BarisPinari #BarisPinariHarekati</t>
  </si>
  <si>
    <t>pic.twitter.com/OVt0UpqR8Z</t>
  </si>
  <si>
    <t>https://pbs.twimg.com/media/EGcRZvnX0AE8CRx.jpg</t>
  </si>
  <si>
    <t>İstanbul, Malatya</t>
  </si>
  <si>
    <t>محمد ال اخوان</t>
  </si>
  <si>
    <t>pic.twitter.com/KwFz22dI66</t>
  </si>
  <si>
    <t>Ferhat Timar</t>
  </si>
  <si>
    <t>ALLAH'IM GÜCÜNÜZE GÜÇ KATSIN YİGİTLER 💪 #TurkishArmy</t>
  </si>
  <si>
    <t xml:space="preserve"> رياض الجبرين </t>
  </si>
  <si>
    <t>pic.twitter.com/8dGmhpoPYE</t>
  </si>
  <si>
    <t>Geçmişin Yarına Borcuyum 😎</t>
  </si>
  <si>
    <t>Abdulkerim KUMRU</t>
  </si>
  <si>
    <t>"Onlar, her türlü planı yapmışlardı. Dağları yerinden oynatacak derecede güçlü olduğunu sandıkları planlarını Allah boşa çıkarmıştı." İbrahim süresi 46. Ayet Bize Allah yeter. Rabbim korusun Mehmetçiğimizi. #TurkishArmy #BarışPınarıHarekâtı</t>
  </si>
  <si>
    <t>https://pbs.twimg.com/media/EGcRZIRXoAACJBr.jpg</t>
  </si>
  <si>
    <t xml:space="preserve"> محمد القحطاني</t>
  </si>
  <si>
    <t>أ. هاني الحجي : النظام القطري لا يقوم على أسس ومبادئ سياسية وأخلاقية.  #ايران #خاشقجي</t>
  </si>
  <si>
    <t>pic.twitter.com/HkhDHI6FMo</t>
  </si>
  <si>
    <t>Fatih Üniversitesi İşletme Lisans Mezunu Kumas Kumru Makine Sanayi Şirket Sahibi @kumrumakine Kumru; dürüst ve güler yüzlü.</t>
  </si>
  <si>
    <t>BAYAR 🇹🇷 9¾</t>
  </si>
  <si>
    <t>"Yürü yollar senindir, Zülmü kaldırıp atacak eller senindir." Rabbim yar ve yardımcınız olsun yiğitler. Sefer bizden, Zafer Allah'tan! Ya Allah Bismillah! #TurkishArmy #BarışPınarıHarekatı</t>
  </si>
  <si>
    <t>https://pbs.twimg.com/media/EGcRYgaXUAAWHMa.jpg</t>
  </si>
  <si>
    <t xml:space="preserve"> حسين  الهيلي </t>
  </si>
  <si>
    <t>pic.twitter.com/8IJITMw8rz</t>
  </si>
  <si>
    <t>Instagram &amp; Others: @bayarebu</t>
  </si>
  <si>
    <t xml:space="preserve"> عبدالله العبيدي </t>
  </si>
  <si>
    <t>العميد متقاعد. حسن الشهري : لم يقف في وجه المملكة دولة أو نظام أو حزب الا خسر وتبقى المملكة منتصرة .  - جمال خاشقجي #JamalKhashoggi #السعودية</t>
  </si>
  <si>
    <t>pic.twitter.com/9zAzQmDNz7</t>
  </si>
  <si>
    <t>! ERSİN</t>
  </si>
  <si>
    <t>#BarisPinari #TurkishArmy #BarışPınarıHarekati</t>
  </si>
  <si>
    <t>pic.twitter.com/4n2gaS6gWK</t>
  </si>
  <si>
    <t>Murat Türk</t>
  </si>
  <si>
    <t>@Tugce_official Amin! #TurkishArmy #TürkMilletiOrdusununYanında #BarışPınarı</t>
  </si>
  <si>
    <t>https://pbs.twimg.com/media/EGcRYSDWwAIEkAu.jpg</t>
  </si>
  <si>
    <t xml:space="preserve">  يوسف الضحاك</t>
  </si>
  <si>
    <t>pic.twitter.com/kfLS6wForJ</t>
  </si>
  <si>
    <t>Yozgat</t>
  </si>
  <si>
    <t>Her şeyi affet, VATANA İHANETİ İSE ASLA (HZ-ALİ)</t>
  </si>
  <si>
    <t xml:space="preserve"> يحيى عوضه</t>
  </si>
  <si>
    <t>pic.twitter.com/Hexd75WiO1</t>
  </si>
  <si>
    <t>مسفر العتيبي</t>
  </si>
  <si>
    <t>FERHAT BAYOĞLU</t>
  </si>
  <si>
    <t>@ersinduzen @trtstadyum #OperationPeaceSpring #BarisPinariHarekati #BarisPinari #TurkishArmy #OperationPeaceSpring #OperationPeaceSpring #OperationPeaceSpring #OperationPeaceSpring #OperationPeaceSpring #OperationPeaceSpring #OperationPeaceSpring #OperationPeaceSpring #OperationPeaceSpring</t>
  </si>
  <si>
    <t>pic.twitter.com/Maa3AM3wGE</t>
  </si>
  <si>
    <t>Ferhat Yılman</t>
  </si>
  <si>
    <t xml:space="preserve"> سعد الشمراني</t>
  </si>
  <si>
    <t>pic.twitter.com/m6TQuDhiPQ</t>
  </si>
  <si>
    <t>Sakinca sitesi editörü</t>
  </si>
  <si>
    <t>StillGobsmacked</t>
  </si>
  <si>
    <t>@DeanObeidallah @realDonaldTrump And why did they allow bone saws into their embassy? #JamalKhashoggi</t>
  </si>
  <si>
    <t>Bag End</t>
  </si>
  <si>
    <t>"Comfort the afflicted, and afflict the comfortable." - F.P. Dunne #notmypresident #resist #theresistance #impeachtrump #trumptreason #noDMs!</t>
  </si>
  <si>
    <t>mercedesGs</t>
  </si>
  <si>
    <t>#BarisPinariHarekati 🇹🇷 #BarisPinari #TurkishArmy</t>
  </si>
  <si>
    <t>https://pbs.twimg.com/media/EGcRX5pXUAA45V9.jpg</t>
  </si>
  <si>
    <t>yakarsa dünyayı garipler yakar.</t>
  </si>
  <si>
    <t>tek vatan</t>
  </si>
  <si>
    <t>"Şu kopan fırtına Türk ordusudur Yâ Rabbi. Senin uğrunda ölen ordu, ... Galib et; çünkü bu son ordusudur İslâm'ın #BarisPinariHarekati #TurkishArmy #BarisPinari</t>
  </si>
  <si>
    <t>https://pbs.twimg.com/media/EGcRYCNXUAEjM8p.jpg</t>
  </si>
  <si>
    <t xml:space="preserve"> احمد السعدون</t>
  </si>
  <si>
    <t>pic.twitter.com/51ToCNsxQp</t>
  </si>
  <si>
    <t>hilalmarket</t>
  </si>
  <si>
    <t>“(Ey mü’minler!) Gevşeklik göstermeyin, ümitsizliğe düşmeyin ve üzüntüye de kapılmayın. Sizler eğer inanmışsanız, üstün gelecek olan sizsiniz.” (Âl-i İmrân, 3/139) #TurkishArmy #BarisPinariHarekati #OperationPeaceSpring</t>
  </si>
  <si>
    <t>alo gıda..!</t>
  </si>
  <si>
    <t>Kırılmış kalbine teselliyi insanlarda değil , Rabb’ inde ara !!</t>
  </si>
  <si>
    <t>http://Instagram.com/hilalmarket03</t>
  </si>
  <si>
    <t>Çağdaş Kayabaş</t>
  </si>
  <si>
    <t>En çok korktuğum ümmetimin başına gelecek sapık devlet reisleridir.” .”(Camiu’s-sağir.c.1,hds:449) #TurkishArmy</t>
  </si>
  <si>
    <t>Aradığı zaman uyuyormuş gibi rol yaptıklarımız var. Bir de uyurken aradığında ‘uyumuyordum konuşabiliriz’ dediklerimiz.</t>
  </si>
  <si>
    <t xml:space="preserve"> سليمان المدلج </t>
  </si>
  <si>
    <t>pic.twitter.com/iQQS89twLX</t>
  </si>
  <si>
    <t>Mustafa Aytaç</t>
  </si>
  <si>
    <t>Onmaz kara sevdamızı Kan söndürecektir... “Hüseyin Nihal Atsız” #TurkishArmy #BarisPinariHarekati</t>
  </si>
  <si>
    <t>https://pbs.twimg.com/media/EGcRWypXoAE_2bv.jpg</t>
  </si>
  <si>
    <t>عبوودي الرأأآقي المل</t>
  </si>
  <si>
    <t>pic.twitter.com/WROAHv1K2b</t>
  </si>
  <si>
    <t>⚽🏀FENERBAHÇE🏀⚽ http://Instagram.com/mustafa_aytac1 Yaşamak Zor İş. Bol Şans!</t>
  </si>
  <si>
    <t>انا اهلاوي صميم* واعشق الاهلي من قلبي* واعشق محبي الاهلي*)</t>
  </si>
  <si>
    <t>Fehmi YALÇINKAYA</t>
  </si>
  <si>
    <t>Ya Allah Bismillah #TurkishArmy #BarisPinariHarekati #OperationPeaceSpring</t>
  </si>
  <si>
    <t xml:space="preserve"> سعد الشهراني </t>
  </si>
  <si>
    <t>pic.twitter.com/rDUfyXJrb3</t>
  </si>
  <si>
    <t>🇹🇷♥️🦅</t>
  </si>
  <si>
    <t>https://www.instagram.com/fehmi.yalcinkaya/</t>
  </si>
  <si>
    <t>Sıtkı Çetin</t>
  </si>
  <si>
    <t xml:space="preserve"> علي دوبان</t>
  </si>
  <si>
    <t>https://pbs.twimg.com/media/EGcRW04XoAAsyJJ.jpg</t>
  </si>
  <si>
    <t>pic.twitter.com/L2kfa1LI4h</t>
  </si>
  <si>
    <t>omer duran</t>
  </si>
  <si>
    <t xml:space="preserve">   ابراهيم  اللاحم</t>
  </si>
  <si>
    <t>pic.twitter.com/6M5C3vVADk</t>
  </si>
  <si>
    <t>Cenk Yılmaz</t>
  </si>
  <si>
    <t>“Öyleydi” “böyleydi” artık anlamsız. Ülkemizin çocukları Suriye topraklarında ! Ayakları taşa bile takılmasın. Sağ Salim dönün. #TurkishArmy #BarisPinariHarekati #turkmilletiordusununyaninda</t>
  </si>
  <si>
    <t xml:space="preserve"> ﺣﺴﻴﻦ ﺑﻦ ﻣﻘﻌﺪ</t>
  </si>
  <si>
    <t>pic.twitter.com/DU8Ri3NzsZ</t>
  </si>
  <si>
    <t>Legeeeeeend... wait for it..daaaaaarrrrryyy</t>
  </si>
  <si>
    <t>HÜSEYİN YILMAZ 🏆</t>
  </si>
  <si>
    <t>Operasyondan ilk fotolar -AA #TurkishArmy #OperationPeaceSpring</t>
  </si>
  <si>
    <t>https://pbs.twimg.com/media/EGcRWdVW4AAK2P0.jpg</t>
  </si>
  <si>
    <t>د. نايف الوقاع : عندما تقول الولايات المتحدة أنها لن ترفع العقوبات على ايران فإنها تملك دليل قاطع أن هذا النظام لن يتغير .  - جمال خاشقجي #خاشقجي #عام_على_رحيل_جمال</t>
  </si>
  <si>
    <t>haberin merkezinde, artik MENA bolgesinden sorumlu TRTWORLD Instagram: ylmzhuseyin</t>
  </si>
  <si>
    <t>Yusuf FZK 🇹🇷</t>
  </si>
  <si>
    <t>Allah yar ve yardımcınız olsun. #TurkishArmy #BarisPinari</t>
  </si>
  <si>
    <t xml:space="preserve"> سلمان  الثقفي </t>
  </si>
  <si>
    <t>pic.twitter.com/kUK8UH4JY1</t>
  </si>
  <si>
    <t>Genç Fenerbahçe'lilerr.. Birgün gitsen bile hatıran yeter. 13.01.20&amp;&amp; Sefa Kalya ! Dadaşlar🔥🔥Erzurumspor 👍</t>
  </si>
  <si>
    <t>Fatih Yıldız</t>
  </si>
  <si>
    <t>#BarışPınarıHarekati Bu savaşı biz başlamadık ama biz bitireceğiz. Dedik ki sınırları zorlamayın biz hepinizi zorlarız. Şimdi 30bin tırlık mezarlık hazırlayın ebabiller geliyor. #TurkishArmy #BarisPinari</t>
  </si>
  <si>
    <t>https://pbs.twimg.com/media/EGcRVAUX0AItnSL.jpg</t>
  </si>
  <si>
    <t>Roya Massih</t>
  </si>
  <si>
    <t>@LindseyGrahamSC Hmm... You’re talking about #SaudiArabia right? Cuz they were behind 911! But you’re all so loving on Saudis/#MbS even though recently a journalist was murdered! #JamalKhashoggi</t>
  </si>
  <si>
    <t>Santa Monica, CA</t>
  </si>
  <si>
    <t>Mix bag of #AnimalWelfare #EnvironmentallyConscious #GlobalWarmingisReal #HumanRights #BernieSanders #MovieBuff #MusicLover #DavidBowie #PlanetEarthIsBlue...</t>
  </si>
  <si>
    <t>Ali Kalaycı</t>
  </si>
  <si>
    <t>Kurdu olmayan dağın köpeği kral olur. Sorun itin havlaması değil kurdun yokluğudur. Geliyoruz ! #BarışPınarıHarekati Sefer bizim, Zafer Allahü tealanındır. #TurkishArmy #Trump #turklergeliyor #BarisPinari #Syrian #YPG</t>
  </si>
  <si>
    <t>https://pbs.twimg.com/media/EGcRId6WoAASjaI.jpg</t>
  </si>
  <si>
    <t>Ne denlü çoğ olursa ördek ü kaz, Yeter imiş ana bir şahin-i baz Barbaros Hayrettin Paşa</t>
  </si>
  <si>
    <t>B e d i r h a n</t>
  </si>
  <si>
    <t>Mehter marşı eşliğinde ordumuz olsun daim muzaffer. Nereden baksan çok kral hareket 🇹🇷 #BarisPinari #TurkishArmy #BarısPınarlarıHarekatı</t>
  </si>
  <si>
    <t>@Göztepe ⚽ | Trabzon</t>
  </si>
  <si>
    <t xml:space="preserve"> ﺳﻠﻴﻤﺎﻥ ﺍﻟﺤﺮﺑﻲ</t>
  </si>
  <si>
    <t>YAREN</t>
  </si>
  <si>
    <t>pic.twitter.com/Pb9SIGbCB3</t>
  </si>
  <si>
    <t>#BarisPinari #TurkishArmy #TuerkMilletiOrdusununYanında #BarisPinariHarekati #YenidenYollaraDüşmeVakti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</si>
  <si>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 xml:space="preserve">علي رجا </t>
  </si>
  <si>
    <t>kendini fazla önemsiyorsun , üzülüyorum</t>
  </si>
  <si>
    <t>pic.twitter.com/oN9R9n7uuA</t>
  </si>
  <si>
    <t>FEYZAA🌪</t>
  </si>
  <si>
    <t>Tehlikenin farkında mısınız? :)) #BarışPınarıHarekatı #TurkishArmy</t>
  </si>
  <si>
    <t>https://pbs.twimg.com/media/EGcRU9PX0AMwjsW.jpg</t>
  </si>
  <si>
    <t xml:space="preserve"> غازي القحطاني</t>
  </si>
  <si>
    <t>RT İÇİN DM /</t>
  </si>
  <si>
    <t>pic.twitter.com/sgY2RdvKjs</t>
  </si>
  <si>
    <t>Osman DOĞANAY°°</t>
  </si>
  <si>
    <t>Kopunca bir büyük savaş, Er tez gider, korkak yavaş. Yüreksize akçayla aş. Erlere meydan görünür. - Hüseyin Nihâl Atsız #BarisPinariHarekati #BarisPinari #TurkishArmy</t>
  </si>
  <si>
    <t xml:space="preserve">   سهل  القحطاني</t>
  </si>
  <si>
    <t>https://pbs.twimg.com/media/EGcRUr6WsAAzWUm.jpg</t>
  </si>
  <si>
    <t>pic.twitter.com/UmqAWupQ9f</t>
  </si>
  <si>
    <t xml:space="preserve">Sivas </t>
  </si>
  <si>
    <t>🇹🇷 SCÜ &amp; AÜ GRADUATED🎓 19🌿7</t>
  </si>
  <si>
    <t>http://instagram.com/0smandoganayy</t>
  </si>
  <si>
    <t> سعيد الأحمري</t>
  </si>
  <si>
    <t>pic.twitter.com/DQTCS8PgsN</t>
  </si>
  <si>
    <t>akıncı şehzade</t>
  </si>
  <si>
    <t>Hey dünya / hey world Bunu bilin / know this 🇹🇷🇹🇷🇹🇷🇹🇷🇹🇷🇹🇷🇹🇷 Her şey vatan için 🇹🇷🇹🇷🇹🇷🇹🇷🇹🇷🇹🇷🇹🇷 Everything —&gt; for homeland 🇹🇷🇹🇷🇹🇷🇹🇷🇹🇷🇹🇷🇹🇷 Allah askerimizi korusun 🇹🇷🇹🇷🇹🇷🇹🇷🇹🇷🇹🇷🇹🇷 God protect our soldier 🇹🇷🇹🇷🇹🇷🇹🇷🇹🇷🇹🇷🇹🇷 #BarışPınarıHarekatı #OperationPeaceSpring #TurkishArmy</t>
  </si>
  <si>
    <t>Misak-ı Milli</t>
  </si>
  <si>
    <t>.......devlet-i ebed müddet....... “yaklaşıyor yaklaşmakta olan”</t>
  </si>
  <si>
    <t>AhmetKurucu</t>
  </si>
  <si>
    <t>#OperationPeaceSpring #TurkishArmy #BarisPinari #BarisPinariHarekati</t>
  </si>
  <si>
    <t>pic.twitter.com/ohLetetOjK</t>
  </si>
  <si>
    <t xml:space="preserve"> ﺑﺴﺎﻡ ﺑﻦ ﺣﻤﺎﺩ</t>
  </si>
  <si>
    <t>أ. هاني الحجي : قطر أُستحدمت من تركيا و ايران كأداة لتدمير المنطقة واقتصادها.  #خاشقجي #عام_على_اغتيال_جمال</t>
  </si>
  <si>
    <t>pic.twitter.com/4hY0H4ryf0</t>
  </si>
  <si>
    <t>Selçuklu devleti hayranı , kitap sevdalısı , kültürel mirasçı , Üsküdarlı bir adem oğlu.</t>
  </si>
  <si>
    <t>https://www.youtube.com/channel/UCQ24mr_41rVY8AfR3VZxiyw</t>
  </si>
  <si>
    <t>ﻇﺎﻫﺮ ﺍﻟﻤﺤﻤﺪﻱ</t>
  </si>
  <si>
    <t>pic.twitter.com/oU6V6xZKAe</t>
  </si>
  <si>
    <t xml:space="preserve"> حمدان الرشيدي</t>
  </si>
  <si>
    <t>pic.twitter.com/VG16tX6tJv</t>
  </si>
  <si>
    <t>Ubeydê Şırneği</t>
  </si>
  <si>
    <t>Rabbim askerlerimizin ayağına taş değdirmesin.. Sefer Bizim Zafer Allah’ındır ! 🇹🇷 #BarışPınarıHarekatı #TurkishArmy</t>
  </si>
  <si>
    <t>https://pbs.twimg.com/media/EGcRUG8XoAIsfdU.jpg</t>
  </si>
  <si>
    <t>BeşiktAŞK❤ Allah derdimizden büyüktür. Çok şükür..</t>
  </si>
  <si>
    <t>Mesut Öztürk</t>
  </si>
  <si>
    <t>🇹🇷🇹🇷🇹🇷 bin atlı akınlarda çocuklar gibi şendik! 🇹🇷🇹🇷🇹🇷 #BarisPinariHarekati #TurkishArmy</t>
  </si>
  <si>
    <t>https://pbs.twimg.com/media/EGcRS8CW4AIz-ST.jpg</t>
  </si>
  <si>
    <t>Davutkadı, Bursa</t>
  </si>
  <si>
    <t>pic.twitter.com/qOkf2p3VN9</t>
  </si>
  <si>
    <t>cıhan omeroglu (n♥a) 💛💙</t>
  </si>
  <si>
    <t>Vatan uğruna can alıp can verenlerin şerefine 🇹🇷🇹🇷🇹🇷 #BarisPinariHarekati #TurkishArmy #OperationPeaceSpring</t>
  </si>
  <si>
    <t>pic.twitter.com/Oh68DuOJ9O</t>
  </si>
  <si>
    <t xml:space="preserve">  حجاب  الحربي </t>
  </si>
  <si>
    <t>pic.twitter.com/FAlMG5F2wg</t>
  </si>
  <si>
    <t>Evladıma miras bu sevda</t>
  </si>
  <si>
    <t>🇹🇷Nana Yilmaz 🇹🇷</t>
  </si>
  <si>
    <t>Savaşa hayır diyen omurgasızlar! Siz iyiki kurtuluş savaşında yoktunuz. İlk kaçan fareler siz olurdunuz. #TurkishArmy #pınarbarısharekatı</t>
  </si>
  <si>
    <t>Deutschland</t>
  </si>
  <si>
    <t>♡☆ R.T.E ☆♡ haşhaşiler takip etmesin</t>
  </si>
  <si>
    <t>Yorum Adam</t>
  </si>
  <si>
    <t>Belediye binasından mehter marşı çalınıyor🇹🇷 #TurkishArmy #BarisPinari #BarisPinariHarekati</t>
  </si>
  <si>
    <t>✒Spora Dair Herşey ✒Tarafsızlık İlkesi ✒Günlük Spor Haberleri ✒Spordaki Gündem ✒Açıklamalar ✒Maç Analizleri ✒Maç Yorumları,Değerlendirmeler</t>
  </si>
  <si>
    <t>Lea MISDIK valaa :D ;</t>
  </si>
  <si>
    <t>Harekât başladı. YA ALLAH BİSMİLLAH #BarisPinariHarekati #TurkishArmy</t>
  </si>
  <si>
    <t>AFYONGARAHİSAR</t>
  </si>
  <si>
    <t>Kimseyi sevmedim ben, senden daha özel @GalatasaraySK</t>
  </si>
  <si>
    <t>http://www.instagram.com/mustafakvs96</t>
  </si>
  <si>
    <t>أحمد هزاع</t>
  </si>
  <si>
    <t>@nasser_duwailah اتحمد الله يا دكتور لو انت في #عدن كان بيكون مصيرك أسوأ و أعظم من #خاشقجي</t>
  </si>
  <si>
    <t>اليمن إب</t>
  </si>
  <si>
    <t>‏‏‏حزبي هو وطني.. لا أنتمي لأي جهة ولا تُلزم أرائي أي طرف، ماأكتبه رأي شخصي وحيث كانت مصلحة الوطن سأكون.</t>
  </si>
  <si>
    <t>https://ahmedhzaa.blogspot.com/?m=0</t>
  </si>
  <si>
    <t>Hayri Tüfekçioğlu</t>
  </si>
  <si>
    <t>@CNBCnow The great Turkish army is about to start an attack to north Syria in order to clean province for a peacefull border line. Not only Usa but also entire States must move from this area If They don't wanna live bad situations against talented Turkish military #TurkishArmy</t>
  </si>
  <si>
    <t xml:space="preserve"> ﺭﺍﺟﺢ ﺍﻟﺴﻨﺎﻧﻲ</t>
  </si>
  <si>
    <t>Economics @istanbuledutr, #KentselDönüşüm, #E, #Strategy #Chart #Science, Fenerbahçe Basketbol</t>
  </si>
  <si>
    <t>http://www.redo-t.com</t>
  </si>
  <si>
    <t>pic.twitter.com/ekdx1UglH7</t>
  </si>
  <si>
    <t>Olympos'un Delisi</t>
  </si>
  <si>
    <t>Allah ayağınıza taş değdirmesin aslanlar!! #TurkishArmy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</si>
  <si>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 xml:space="preserve">علي أحمد </t>
  </si>
  <si>
    <t>تقرير / الجبير: إيران "دولة عدائية" وعليها احترام سيادة الآخرين .  - جمال خاشقجي #خاشقجي #تركيا</t>
  </si>
  <si>
    <t>pic.twitter.com/sI4zMkPN6X</t>
  </si>
  <si>
    <t>https://pbs.twimg.com/media/EGcRQbpX0AEEddY.jpg</t>
  </si>
  <si>
    <t>Aklı olan delirsin. 🔱</t>
  </si>
  <si>
    <t xml:space="preserve"> محمد  الحارثى </t>
  </si>
  <si>
    <t>محلل قناة ٢٤ سعودي الفضائية د. فهد الشليمي في مع الحدث :الضغط على مصر .. وجعل مصر غير آمنة وغير مستقرة.. هو مربح للأتراك بطريقة مباشرة على المستوى السياحي والاقتصادي والاستثماري  - جمال خاشقجي #JamalKhashoggi #تركيا</t>
  </si>
  <si>
    <t>Ghash ( Half-orc)</t>
  </si>
  <si>
    <t>Gerçekten başladı! İnanamıyorum. Yine diyorum bize ne lan bize ne! Götümüze yılan kaçmış tutup çeken yok! Belediye mehter marşı vermiş bir de! Çocuklarımız ölecek çocuklarımız!! #BarisPinari #TurkishArmy</t>
  </si>
  <si>
    <t>pic.twitter.com/5qp8uqiVg9</t>
  </si>
  <si>
    <t>#marvel hayranı - agnostik- Beşiktaş’lı 🦅 -Oğuz Atay hayranı- Orta dünya /dragonlance orc’u, Devrimci bir birey ✊🏼</t>
  </si>
  <si>
    <t xml:space="preserve"> حمد  القصار</t>
  </si>
  <si>
    <t>Ali ihsan Karaca</t>
  </si>
  <si>
    <t>Allahu Ekber! Gökten şehidler! Allahu Ekber! Allahu Ekber! #TurkishArmy #OperationPeaceSpring</t>
  </si>
  <si>
    <t>pic.twitter.com/OcII0NvbYl</t>
  </si>
  <si>
    <t>Ertuğrul Çolak 🇹🇷</t>
  </si>
  <si>
    <t>SON DAKİKA CİHANA DUYURUN CANLAR!! HZ. MUHAMMED'İN ORDUSU OPERASYONA BAŞLADI.. 🇹🇷🇹🇷🇹🇷🇹🇷🇹🇷🇹🇷❗✔ #BarışPınarıHareketi #TurkishArmy</t>
  </si>
  <si>
    <t>#EkipPayitaht</t>
  </si>
  <si>
    <t> عبدالعزيز الدليجان</t>
  </si>
  <si>
    <t>Yusuf Öztürk</t>
  </si>
  <si>
    <t>pic.twitter.com/pF0D1nNgPQ</t>
  </si>
  <si>
    <t>https://pbs.twimg.com/media/EGcRNTfXkAAef1f.jpg</t>
  </si>
  <si>
    <t>“Anlatmayı sevmiyorum, anlayanı seviyorum.”</t>
  </si>
  <si>
    <t>Murat Sagman</t>
  </si>
  <si>
    <t>Harekat başladı. Tüm dualarımız kahraman askerlerimizle. Başarılı olmaları ve bir an önce evlerine dönmeleri en büyük dileğimiz... #BarışPınarıHarekati #TurkishArmy #OperationPeaceSpring #BarisPinari</t>
  </si>
  <si>
    <t>https://pbs.twimg.com/media/EGcRM-OWsAE2bcL.jpg</t>
  </si>
  <si>
    <t>عبدالعزيز الحيدان</t>
  </si>
  <si>
    <t>pic.twitter.com/4Y0KqrIHZI</t>
  </si>
  <si>
    <t>Ekonomist, Konuşmacı, Yönetim Kurulu Danışmanı, Portföy Yöneticisi, Bilgi Üniversitesi Öğretim Görevlisi , Galatasaray Spor Kulübü Üyesi. murat@muratsagman.com</t>
  </si>
  <si>
    <t>http://www.speakeragency.com.tr/murat-sagman</t>
  </si>
  <si>
    <t>ﻣﺤﺴﻦ ﺍﻟﺮﺩﺍﺩﻱ</t>
  </si>
  <si>
    <t>Dr. Fatih Alan</t>
  </si>
  <si>
    <t>pic.twitter.com/9OYIIIjWp0</t>
  </si>
  <si>
    <t>Ey, bu topraklar için toprağa düşmüş asker! Gökten ecdâd inerek öpse o pâk alnı değer. Ne büyüksün ki kanın kurtarıyor Tevhîd’i… Bedr’in arslanları ancak, bu kadar şanlı idi. #BarisPinariHarekati #TurkishArmy Rabbim Kahraman Ordumuzun Yâr ve Yardımcısı olsun İnşaAllah.</t>
  </si>
  <si>
    <t>Türkiye Cumhuriyeti Cumhurbaşkanlığı, Presidency of the Republic of Turkey, Biyolog, Biologist, Ankara, Kızılcahamam, Evli.</t>
  </si>
  <si>
    <t>https://twitter.com</t>
  </si>
  <si>
    <t xml:space="preserve">   مطلق الخريفي</t>
  </si>
  <si>
    <t>pic.twitter.com/tQ2OK9kyaA</t>
  </si>
  <si>
    <t>Kayra</t>
  </si>
  <si>
    <t>biz geldik #TurkishArmy</t>
  </si>
  <si>
    <t>https://pbs.twimg.com/media/EGcRME7WoAIIDue.jpg</t>
  </si>
  <si>
    <t>مركز جزيرة العرب للدراسات والبحوث</t>
  </si>
  <si>
    <t>يتجلى جانب من العدالة الشعرية في قضية مقتل الصحفي #خاشقجي ما رصده "أنوج شوبرا" في «وكالة الأنباء الفرنسية»، من أن الأزمة «أضعفت #السعودية » على الساحة العالمية, وسحبت الكثير من رصيد «الإصلاحات الطموحة» التي يروِّج لها ولي العهد، الحاكم الفعلي للبلاد</t>
  </si>
  <si>
    <t>📷🎬🎞 @kadrajus // ktü</t>
  </si>
  <si>
    <t>https://bit.ly/2of7DsN</t>
  </si>
  <si>
    <t>https://pbs.twimg.com/media/EGXOWBrWwAEGX0n.jpg</t>
  </si>
  <si>
    <t>مركز جزيرة العرب للدراسات والبحوث هو مؤسسة بحثية مستقلة تعني بقضايا المملكة العربية السعودية ودول الجوار ودراسة سياستها الداخلية وعلاقتها الخارجية</t>
  </si>
  <si>
    <t>http://jazertalarab.com</t>
  </si>
  <si>
    <t>Külsuyu 🇹🇷</t>
  </si>
  <si>
    <t>Haydi Bismillah! Ayağınıza taş, analarınızın gözüne yaş değmesin. Hayırla gidip hayırla dönün inşallah. Dualarımızla yanınızdayız. Allah yardımcınız olsun. #BarışPınarıHarekatı #TurkishArmy</t>
  </si>
  <si>
    <t>#Gaza #Syria #Bosnia #Myanmar #Africa</t>
  </si>
  <si>
    <t>"Dünya bir ayettir ve biz onu unuttuk."</t>
  </si>
  <si>
    <t>Yarın sabah namazında tüm camilerde ordumuz için Fetih suresi okunacakmış Allahu Ekber 🇹🇷 #BarısPınarıHarekatı #TurkishArmy</t>
  </si>
  <si>
    <t>إلياس اللون</t>
  </si>
  <si>
    <t>BurakYusuf ULUZMANOĞLU</t>
  </si>
  <si>
    <t>Sonuna kadar yanınızdayız allah yardımcınız olsun #TurkishArmy</t>
  </si>
  <si>
    <t>Boğazkale, Çorum</t>
  </si>
  <si>
    <t>Computer Engineering SDU 🌐 instagram burak_uluzman👈</t>
  </si>
  <si>
    <t>Tuğçe ALBAYRAK</t>
  </si>
  <si>
    <t>#BarisPinari #BarisPinariHarekati #TurkishArmy 🇹🇷🇹🇷🇹🇷</t>
  </si>
  <si>
    <t>https://pbs.twimg.com/media/EGcRKmMX0AEntnx.jpg</t>
  </si>
  <si>
    <t>BEÜ SBKY🎓 / ÜÜ YMG YL 📚/ İÜ ADALET📚</t>
  </si>
  <si>
    <t>http://Instagram.com/ttugcealbayrak</t>
  </si>
  <si>
    <t>İsmail BOZOK 🇹🇷</t>
  </si>
  <si>
    <t>Hasbunallahu ve ni’mel vekil ni’mel Mevla ve ni’me’n nasîr” (“Allah Teala, bize yeter, O ne güzel vekildir. Ne güzel Mevla ve ne güzel yardımcıdır.”) 🇹🇷#OperationPeaceSpring 🇹🇷#BarışPınarıHarekati 🇹🇷 #TurkishArmy 🇹🇷</t>
  </si>
  <si>
    <t>Süleyman şah türbesi</t>
  </si>
  <si>
    <t>İslamın🇹🇷vatanın🇹🇷bayrağın🇹🇷korkusuz neferi LA GALİBE İLLALLAH madem bir defa öleceğiz o halde adam gibi ölelim</t>
  </si>
  <si>
    <t>Emir Eminler 🇹🇷 #SS</t>
  </si>
  <si>
    <t>Selamün Aleyküm biz geldik ! #BarışPınarıHarekati #TurkishArmy Türk beklenendir...</t>
  </si>
  <si>
    <t>https://pbs.twimg.com/media/EGcRI7HXoAAEILA.jpg</t>
  </si>
  <si>
    <t>Doğru bildiğinden şaşmayan biri 🇹🇷 #SS #ADPZR 🦅 GSB Gönüllü Kamp Lideri 🏕</t>
  </si>
  <si>
    <t>yunus Tepe</t>
  </si>
  <si>
    <t>Şanlı ordumuz Operasyona başladı Sefer sizden Zafer Rabbim'den inşAllah Allah'ım ayağınıza taş değdirmesin Muvaffak eylesin hepinizi Aslanlar 🇹🇷 #TurkishArmy</t>
  </si>
  <si>
    <t>Ünalan, İstanbul</t>
  </si>
  <si>
    <t>Karekter. 🇹🇷🇹🇷🇹🇷🇹🇷</t>
  </si>
  <si>
    <t>Kırmızı çiçeklinin öyküsü</t>
  </si>
  <si>
    <t>Savaş Türk'e düğündür. Düğünümüze hoşgeldiniz skdnsszjd #BarışPınarıHarekatı #TurkishArmy</t>
  </si>
  <si>
    <t>Gidip yakasına da sarılacaksam kendim sarıldım, böyle buralara geldim</t>
  </si>
  <si>
    <t>http://instagram.com/elifnurkaya.a</t>
  </si>
  <si>
    <t>İrfan Özşeker</t>
  </si>
  <si>
    <t>Ordumuzu Muzaffer eyle Ya Rab... #TurkishArmy #BarisPinariHarekati #BarisPinari</t>
  </si>
  <si>
    <t>شوقي المصطفى</t>
  </si>
  <si>
    <t>https://pbs.twimg.com/media/EGcRKFSXUAAfIhW.jpg</t>
  </si>
  <si>
    <t>pic.twitter.com/xGQp18Lvvc</t>
  </si>
  <si>
    <t>Sivas</t>
  </si>
  <si>
    <t>Yaşamak bir ağaç gibi tek ve hür ve bir orman gibi kardeşçesine</t>
  </si>
  <si>
    <t>Ali kılınç</t>
  </si>
  <si>
    <t>Mü'minlerin kalplerine, imanlarına iman katıp-arttırsınlar diye, güven duygusu ve huzur' indiren O'dur. Göklerin ve yerin orduları Allah'ındır Allah bilendir, hüküm ve hikmet sahibidir(Fetih/4) Rabbim Ordumuza güç kuvvet versin #BarışPınarıHarekati #TurkishArmy</t>
  </si>
  <si>
    <t>pic.twitter.com/qd0x1d02K8</t>
  </si>
  <si>
    <t>Adıyaman  İstanbul</t>
  </si>
  <si>
    <t>İnna lillahi ve inne illeyhi raciun. #KILINÇNAKIŞ #İŞLEME #DESENTASARIM #LAZER rthesabım @Alikln18120769 http://instagram.com/klnc_Ali_02</t>
  </si>
  <si>
    <t>Kurt indi bir kere. Ayaginiza tas degmesin. #TurkishArmy #BarisPinari #turkmilletiordusununyaninda #turk</t>
  </si>
  <si>
    <t>https://pbs.twimg.com/media/EGcRJG9XYAAyjh4.jpg</t>
  </si>
  <si>
    <t>Domestic Departure Level</t>
  </si>
  <si>
    <t>Yildiz Tozu. Türk’üz ATATÜRKÇÜYÜZ Architect - Broker-Master of Airports</t>
  </si>
  <si>
    <t>İlyas Yaşar</t>
  </si>
  <si>
    <t>Sefer bizden, zafer Allah'tan.. Rabbim korusun, ayağınıza taş değdirmesin, zafer nasip eylesin. #BarışPınarıHarekatı #TurkishArmy 🇹</t>
  </si>
  <si>
    <t>https://pbs.twimg.com/media/EGcRIV0XYAE5QRz.jpg</t>
  </si>
  <si>
    <t>Muhasebeci🖋</t>
  </si>
  <si>
    <t>https://instagram.com/ilysysr06/</t>
  </si>
  <si>
    <t>Murat.</t>
  </si>
  <si>
    <t>📌Korkma! Sönmez bu şafaklarda yüzen al sancak.🇹🇷 📌Sönmeden yurdumun üstünde tüten en son ocak🇹🇷 📌O benim milletimin yıldızıdır parlayacak🇹🇷 📌O benimdir o benim milletimindir ancak🇹🇷 #BarisPinariHarekati #TurkishArmy #carsamba</t>
  </si>
  <si>
    <t>https://pbs.twimg.com/media/EGcRH2XXUAARjqw.jpg</t>
  </si>
  <si>
    <t>#İstanbul 📌 Tükürün milleti alçakça vuran darbelere ! Tükürün onlara alkış dağıtan kahpelere ! M.Akif Ersoy.</t>
  </si>
  <si>
    <t>amatoryolcu</t>
  </si>
  <si>
    <t>Cenk bizim zafer Allah ın #BarisPinari #TurkishArmy #BarisPinariHarekati #OperationPeaceSpring Sezgin Tanrıkulu Tevfik Göksu RT @amatoryolcu: Kim ki hainlik yapıyor, kim ki ihanet ediyor karşılığını görecek... #TurkishArmy #deprem #KendineGelPezeberk #yamanlarlisesi #BarışPınarı #EmineBulut Haluk Levent #tubayayardımedin Fahrettin Altun Mustafa İslamoğlu #Ankara Özgür Suriye Ordusu washington post #çarşamba #Uzmanıyım</t>
  </si>
  <si>
    <t>https://twitter.com/amatoryolcu/status/1181843159120306176</t>
  </si>
  <si>
    <t>pic.twitter.com/4HQz8p162x</t>
  </si>
  <si>
    <t>Workingclass Organization for Revolutionary Change</t>
  </si>
  <si>
    <t>The Turkish invasion has begun into Northern Syria #KurdishBetrayal #TurkishArmy #Rojova</t>
  </si>
  <si>
    <t>The W.O.R.C. is a newly formed network created to agitate, educate and organize the people for a better future that is of, by and for the working-class majority</t>
  </si>
  <si>
    <t>Elabozdemir☇</t>
  </si>
  <si>
    <t>ilk bombalar terör mevzilerine yağıyor. Sefer bizim zafer Allah'ın #BarışPınarıHarekatı #TurkishArmy</t>
  </si>
  <si>
    <t>pic.twitter.com/raeunP0tAU</t>
  </si>
  <si>
    <t>Akparti tanıtım medya.</t>
  </si>
  <si>
    <t>ümran.</t>
  </si>
  <si>
    <t>Allah yardımcınız olsun Ayağınıza taş değmesin inşallah 🙏🇹🇷 #BarisPinariHarekati #TurkishArmy</t>
  </si>
  <si>
    <t>https://pbs.twimg.com/media/EGcRFzfXkAQ3RY0.jpg</t>
  </si>
  <si>
    <t>TolgaSarıtaş</t>
  </si>
  <si>
    <t>Tahir Şimşek</t>
  </si>
  <si>
    <t>#Sondakika Terör örgütü YPG/PKK, ABD öncülüğündeki Koalisyon'dan, Suriye kuzeyini acilen uçuşa yakın bölge ilan etmelerini istedi. #TurkishArmy #BarisPinariHarekati</t>
  </si>
  <si>
    <t>Türkiye ve Dünya'daki haberleri, daha gündeme düşmeden ışık hızıyla paylaşıyoruz. Yaklaşıyor, yaklaşmakta olan!</t>
  </si>
  <si>
    <t>http://www.instagram.com/tahirsimsek</t>
  </si>
  <si>
    <t>hasan</t>
  </si>
  <si>
    <t>vur şanlı silahınla gönül mülkü düzelsin sen vururken de öldürürken de güzelsin... #TurkishArmy</t>
  </si>
  <si>
    <t>https://pbs.twimg.com/media/EGcRFbmWkAAnT9v.jpg</t>
  </si>
  <si>
    <t>bu profil @aybukecansiz ♡ fanıdır....</t>
  </si>
  <si>
    <t>karıncayuvası⚡️</t>
  </si>
  <si>
    <t>#OperationPeaceSpring #BarisPinariHarekati #TurkishArmy İnna fetahna leke fetham mübına "Doğrusu biz sana apaçık bir fetih ihsân ettik." Bismillahirrahmanirrahim</t>
  </si>
  <si>
    <t>𝔠 𝔢 𝔩 𝔦 𝔩</t>
  </si>
  <si>
    <t>HEVALİN BEYNİNE MERMİYİ DÖŞEDİK. #TurkishArmy 🇹🇷 - #BarisPinari 🇹🇷 - #BarisPinariHarekati 🇹🇷  RT @1parcatuhaftik: #BarışPınarıHarekatı | Anlık Resulayn. #SONDAKİKA - #TurkishArmy🇹🇷 - #BarışPınarı</t>
  </si>
  <si>
    <t>https://twitter.com/1parcatuhaftik/status/1181925093615837184</t>
  </si>
  <si>
    <t>pic.twitter.com/YSaesO18rF
https://pbs.twimg.com/media/EGcKmSSX0AEGY-2.png</t>
  </si>
  <si>
    <t>İstanbul - Bolu - Gangastamonu</t>
  </si>
  <si>
    <t>Gangastamonu / BEN CELİL VE PROFİLİME HOŞGELDİNİZ...</t>
  </si>
  <si>
    <t>https://www.instagram.com/celil.ilkaz/</t>
  </si>
  <si>
    <t>Mert Kartal</t>
  </si>
  <si>
    <t>Barışın güvercini, savaşın kartalı. Süngün parlak kılıcın keskin olsun. #TurkishArmy</t>
  </si>
  <si>
    <t>https://pbs.twimg.com/media/EGcREU5XkAAEnu3.jpg</t>
  </si>
  <si>
    <t>Türkiye-Krasnodar Krai/Russia</t>
  </si>
  <si>
    <t>Да здравствует Кавказ!</t>
  </si>
  <si>
    <t>TD - TÜRK SAVUNMA</t>
  </si>
  <si>
    <t>Cumhurbaşkanı Erdoğan: "Türk Silahlı Kuvvetleri'miz Suriye Milli Ordusu'yla birlikte Suriye'nin kuzeyinde PKK/YPG ve Deaş terör örgütlerine karşı #BarışPınarıHarekatı'nı başlatmıştır!" 🇹🇷 #TürkSilahlıKuvvetleri #TurkishArmy #OperationPeaceSpring</t>
  </si>
  <si>
    <t>https://pbs.twimg.com/media/EGcRDkwW4AAsD_W.jpg</t>
  </si>
  <si>
    <t>Güçlü Milli Savunma, Güçlü Türkiye !</t>
  </si>
  <si>
    <t>https://youtu.be/UbmQMbQZViE</t>
  </si>
  <si>
    <t>عقباه الأمر</t>
  </si>
  <si>
    <t>pic.twitter.com/09F1eZE2EN</t>
  </si>
  <si>
    <t>mrteren11</t>
  </si>
  <si>
    <t>Sefer bizden zafer Allahtan!! Ayağınıza taş değmesin!! Rabbim sizi muhafaza etsin!! #TurkishArmy #BarışPınarıHarekati</t>
  </si>
  <si>
    <t>أسامة العبدلرهما</t>
  </si>
  <si>
    <t>pic.twitter.com/GoeHghYQ3j</t>
  </si>
  <si>
    <t>Foreign Trade Manager, Fenerbahçe Fan, Recep Tayyip Erdoğan</t>
  </si>
  <si>
    <t>O sesi duyduğunuzda başınızı sokacak delik arayacaksınız ama çok geç olacak sizden geriye leş parçalarından başka birşey kalmayacak 🇹🇷Vur Mehmedim Vur 🇹🇷 #BarışPınarıHarekatı #OperationPeaceSpring #TurkishArmy #BarisPinari</t>
  </si>
  <si>
    <t>https://pbs.twimg.com/media/EGcRBPvXUAAByhr.jpg</t>
  </si>
  <si>
    <t>Kocaeli, Türkiye</t>
  </si>
  <si>
    <t>Hispanic Citizen</t>
  </si>
  <si>
    <t>@realDonaldTrump .@realDonaldTrump Sir, Your “great and unmatched wisdom” failed to consider #JamalKhashoggi’s horrible assassination to be off limits for Saudi Arabia. We cannot trust your “great and unmatched wisdom”.</t>
  </si>
  <si>
    <t>المسافر | 250k ✈️</t>
  </si>
  <si>
    <t>مذيعة امريكية سألت الجبير : هناك شك ببيان الحكومة ان قتلة #خاشقجي لم يتلقّوا أوامر من القيادة !! الجبير يجيب : في عهد الرئيس الأمريكي رونالد ريقان عقدت #أمريكا صفقة أسلحة وباعتها لإيران بدون علم الرئيس .. وفي فضيحة سجن أبو غريب تم تعذيب سجناء بدون علم الرئيس ولا وزرائه.</t>
  </si>
  <si>
    <t>pic.twitter.com/LTh54wCgeI</t>
  </si>
  <si>
    <t>الكرة الأرضية</t>
  </si>
  <si>
    <t>مضارب في سوق الأسهم السعودي وصاحب معلومة .. https://www.snapchat.com/add/berlin_45 صاحب نظرية الرقص مع الذئاب</t>
  </si>
  <si>
    <t>Hypatia</t>
  </si>
  <si>
    <t>@ScottHech Wonder if #JamalKhashoggi murder plays a part in any of this..</t>
  </si>
  <si>
    <t>Bronx, NY</t>
  </si>
  <si>
    <t>“To rule by fettering the mind through fear of punishment in another world is just as base as to use force.”</t>
  </si>
  <si>
    <t>İbrahim jasim</t>
  </si>
  <si>
    <t>@MbsMeToo @i5beearmy مقتل #خاشقجي ومقتل #الفغم المنفذ واحد لكن تختلف الطريقة في القتل ومن يريد ان يعرف التفاصيل فليبحث عن #سعود_القحطاني المتواري عن الأنظار والمقيم في إحدى القصور الملكية🚶</t>
  </si>
  <si>
    <t>السعيرة, المملكة العربية السعودية</t>
  </si>
  <si>
    <t>القمع هو بذور الثورة.</t>
  </si>
  <si>
    <t>HK Toad</t>
  </si>
  <si>
    <t>@politicalmiller #TurkishArmy is going to #Genocide the #Turds . #Russian, #Chinese, #Turkish. These global gangsters are threatening the freedom of many places....</t>
  </si>
  <si>
    <t>بندر بين عبدالعزيز عال سعود</t>
  </si>
  <si>
    <t>pic.twitter.com/u0gB1rlLBk</t>
  </si>
  <si>
    <t>Civil Engineering, Stock Market, HK Politics</t>
  </si>
  <si>
    <t>Academic Resistance</t>
  </si>
  <si>
    <t>This blood is on your hands @realDonaldTrump and @GOP. #TurkishArmy #KurdsBetrayedByTrump RT @RTErdogan: The Turkish Armed Forces, together with the Syrian National Army, just launched #OperationPeaceSpring against PKK/YPG and Daesh terrorists in northern Syria. Our mission is to prevent the creation of a terror corridor across our southern border, and to bring peace to the area.</t>
  </si>
  <si>
    <t>https://twitter.com/rterdogan/status/1181921311846735872</t>
  </si>
  <si>
    <t>Texas, USA</t>
  </si>
  <si>
    <t>Professor of History. Mom of 2 boys, 2 dogs, and 2 cats. Horrified by the present and snarky about it. #Twitterstorians</t>
  </si>
  <si>
    <t>♕Eray Kaya®</t>
  </si>
  <si>
    <t>Allah'ım şanlı ordumuzu korusun Mehmetçiğin yardımcısı olsun 🇹🇷 #BarisPinariHarekati #TurkishArmy #turkmilletiordusununyaninda</t>
  </si>
  <si>
    <t>𝓞𝓾𝓻 𝓒𝓲𝓽𝔂 𝓞𝓾𝓻 𝓡𝓾𝓵𝓮𝓼® ❻❶ 🇹🇷</t>
  </si>
  <si>
    <t>نايف بين عبدالعزيزعال سعود</t>
  </si>
  <si>
    <t>pic.twitter.com/BB345wzJ0g</t>
  </si>
  <si>
    <t>Tamer Ayna</t>
  </si>
  <si>
    <t>Dörtnala gelip Uzak Asya'dan Akdeniz'e bir kısrak başı gibi uzanan Bu memleket, bizim. #BarisPinariHarekati #TurkishArmy</t>
  </si>
  <si>
    <t>https://pbs.twimg.com/media/EGcRADpXoAAxBH8.jpg</t>
  </si>
  <si>
    <t>الخدمات ، وليس هو ضروريا بأن تكون أقرب القنصلية المملكة العربية السعودية ملائمة لإحتياجاتك ،</t>
  </si>
  <si>
    <t xml:space="preserve">Anadolu </t>
  </si>
  <si>
    <t>İnsan.</t>
  </si>
  <si>
    <t>Sultan Polat  📚 ✒  🌙</t>
  </si>
  <si>
    <t>Neden mi #BarisPinari Şenol Akar öğretmen için 🇹🇷 🇹🇷 🇹🇷 🇹🇷 🇹🇷 #OperationPeaceSpring #BarisPinariHarekati #TurkishArmy #PKK #ABD #KurdsSideWithTurkey #TeröreHayır Arap Birliği</t>
  </si>
  <si>
    <t>https://pbs.twimg.com/media/EGcRAE9WsAANf7n.jpg</t>
  </si>
  <si>
    <t xml:space="preserve">Kalbim KUDÜS'te </t>
  </si>
  <si>
    <t>Hz. SÜLEYMAN'IN YÜZÜĞÜ, AHİT SANDIĞI, KOMMAGENE KRALİÇESİ KLEOPATRA 📚 Gönül coğrafyamızda geçen az fantastik, çokça tarihi, kurgusal romanlar. @kapiyayinlari</t>
  </si>
  <si>
    <t>http://sultanpolat.istanbul</t>
  </si>
  <si>
    <t>UĞUR🦅</t>
  </si>
  <si>
    <t>Korku Nedir Bilmezler Allah Yar ve Yardımcınız olsun Aslanlar 🇹🇷🇹🇷 #BarisPinariHarekati #TurkishArmy</t>
  </si>
  <si>
    <t>pic.twitter.com/h19LxIlKna</t>
  </si>
  <si>
    <t>Avcılar, İstanbul</t>
  </si>
  <si>
    <t>Yedek @Safderun60 Özenilebilir, örnek alınabilir, taklit edilemez, kimseyle kıyaslanamaz... #MustafaKemalAtatürk🇹🇷 Lâ fetâ illâ Ali, lâ seyfe illâ Zülfikâr</t>
  </si>
  <si>
    <t>GüLsüm 🇹🇷</t>
  </si>
  <si>
    <t>Dünyanın en iyi en korkusuz ordusuna sahibiz elhamdülillah 🇹🇷 Görünür görünmez her türlü kötülükten korusun Allah’ım sizleri.. #TurkishArmy #BarışPınarıHarekati</t>
  </si>
  <si>
    <t>İstanbul #EvladıOsmanlı   RTE❤</t>
  </si>
  <si>
    <t>Dünya nimetinde gözüm yok, ama bir zeytin ağacının gölgesinde bir bardak çay olursa olsun🍃•kitapsever📚 •hayvansever🐾</t>
  </si>
  <si>
    <t>Ahmet Seylan</t>
  </si>
  <si>
    <t>Bugün çok mutluyum. Çünkü Türk Silahlı kuvvetleri 3 yılda 3. Operasyonuna başladı. Çünkü Türkiye Cumhuriyeti Devleti üstüne farz olan cihada tekrar başladı. Biz müslümanlar cihada mecburuz. Sürüngenlerin başını ezmeye geliyoruz. Rabbim yâr ve yardımcınız olsun #TurkishArmy</t>
  </si>
  <si>
    <t>Aynı sofrada yemek yedik. Karnı doyan düşman oldu.</t>
  </si>
  <si>
    <t>poyraz</t>
  </si>
  <si>
    <t>Sefer bizden zafer Allah'tan.. Kılıcınız keskin olsun #BarisPinariHarekati #TurkishArmy</t>
  </si>
  <si>
    <t>Ömer Asaf in babası, hekim, hütf, iç hastalıkları, savunma sanayi meraklısı</t>
  </si>
  <si>
    <t>Ahmet Kızılkaya</t>
  </si>
  <si>
    <t>#BarisPinari #BarisPinariHarekati #TurkishArmy #TurkMilletiOrdusununYanında</t>
  </si>
  <si>
    <t>https://pbs.twimg.com/media/EGcQ81SX0AAjBI4.jpg</t>
  </si>
  <si>
    <t>#Edebiyatçı #İletişimci #Sporarşivcisi #Fotograf #SiyahBeyaz #BordoBeyaz #Elazığ #Malatya #İstanbul #Trabzon #FCLiverpool #RealMadridCF #Okur #Düşünür #Yazar</t>
  </si>
  <si>
    <t>Rolla Karime</t>
  </si>
  <si>
    <t>@BenJeannerod The world stands and condemns the crime of one person #JamalKhashoggi but millions of martyrs under years of torture,Millions of massacres and deaths of women, children and elders in Syria, Iraq,Afghanistan, have been ignored and forgotten from the whole world</t>
  </si>
  <si>
    <t>OĞUZHAN ÇALIŞKAN</t>
  </si>
  <si>
    <t>Ya Rabbi! Ordumuzu karada, havada, denizde her zaman ve her yerde muzaffer eyle... Ya öleceğiz, ya olacağız!🇹🇷 #TurkMilletiOrdusununYanındadır #BarisPinariHarekati #TurkishArmy</t>
  </si>
  <si>
    <t>https://pbs.twimg.com/media/EGcQ8h3WoAEmGe4.jpg</t>
  </si>
  <si>
    <t xml:space="preserve"> حسن القشقري</t>
  </si>
  <si>
    <t>pic.twitter.com/lJtMfjDcCj</t>
  </si>
  <si>
    <t>Osmancık, Çorum</t>
  </si>
  <si>
    <t>Hacıoğulları Avm Yönetim Kurulu Başkanı</t>
  </si>
  <si>
    <t xml:space="preserve">سعد محمد </t>
  </si>
  <si>
    <t>pic.twitter.com/YWR3Wh6jKj</t>
  </si>
  <si>
    <t>Atilla Dağdelen</t>
  </si>
  <si>
    <t>Başlıyor TÜRK ASKERİ. #BarisPinariHarekati #OperationPeaceSpring #TurkishArmy</t>
  </si>
  <si>
    <t>https://pbs.twimg.com/media/EGcQ7o9XoAATOE2.jpg</t>
  </si>
  <si>
    <t>Hatay</t>
  </si>
  <si>
    <t>No-pasaran!🔱</t>
  </si>
  <si>
    <t>#BarışPınarıHarekatı #TurkishArmy #BarışPınarı 🇹🇷 Siz savaş istediniz getirdik, ölmeniz gerekiyorsa oda yanımızda getirdik..</t>
  </si>
  <si>
    <t>Gebze, Türkiye</t>
  </si>
  <si>
    <t>IKU - PRR EAÜ - ULUSLARARASI Aslında amaç anı yazmak. live in the moment olduğu için elbette birde instagram’ a bakın mustafabyk__</t>
  </si>
  <si>
    <t>Erbey</t>
  </si>
  <si>
    <t>TURKS ENTER THE WAR! #BarisPinari #TurkishArmy</t>
  </si>
  <si>
    <t>https://pbs.twimg.com/media/EGcQ7TlX0AEZ-Ua.jpg</t>
  </si>
  <si>
    <t>Selanik-Antalya</t>
  </si>
  <si>
    <t>Çeyrek Mühendis Yarım Doktor | Tıp 4,76(7)/6(~8,5) | Selanik Mübadili | Tarih | Formula 1 | Jeune Turc</t>
  </si>
  <si>
    <t>https://Instagram.com/alifuaterbey</t>
  </si>
  <si>
    <t>Can 🇹🇷🇹🇷🇹🇷</t>
  </si>
  <si>
    <t>#TurkishArmy #BarisPinari #BarisPinariHarekati #TurkishArmy #turkmilletiordusununyaninda Vallahi Geldik 🇹🇷🇹🇷🇹🇷🇹🇷🇹🇷🇹🇷🇹🇷🇹🇷🇹🇷🇹🇷🇹🇷🇹🇷🇹🇷🇹🇷🇹🇷🇹🇷🇹🇷🇹🇷🇹🇷🇹🇷🇹🇷🇹🇷🇹🇷🇹🇷🇹🇷🇹🇷🇹🇷🇹🇷🇹🇷🇹🇷🇹🇷🇹🇷🇹🇷🇹🇷🇹🇷🇹🇷🇹🇷🇹🇷🇹🇷</t>
  </si>
  <si>
    <t>pic.twitter.com/tP02h2sRHZ</t>
  </si>
  <si>
    <t xml:space="preserve"> محمد البحراني</t>
  </si>
  <si>
    <t>محلل قناة ٢٤ سعودي الفضائية د. صباح الخزاعي في بصريح العبارة : كلمة أردوغان أمام الجمعية العامة الأمم المتحدة تضمنت تصرف أحمق وصلف وعنجهية وتدخُّل فاضح في شؤون مصر .  - جمال خاشقجي #خاشقجي #عام_على_اغتيال_جمال</t>
  </si>
  <si>
    <t>Sen bana benden ötesin sevdiği〽️ Bizimkisi bir AşK hikayesi💡💕</t>
  </si>
  <si>
    <t>pic.twitter.com/10OwZKYmNn</t>
  </si>
  <si>
    <t>ahmetpala</t>
  </si>
  <si>
    <t>https://pbs.twimg.com/media/EGcQ6fqXoAAgrbU.jpg</t>
  </si>
  <si>
    <t>Taner TEBER</t>
  </si>
  <si>
    <t>Kut Türk Devleti Üzerine Olsun! Gaza Bizim Zafer Allah'ındır! #BarisPinariHarekati #TurkishArmy</t>
  </si>
  <si>
    <t>https://pbs.twimg.com/media/EGcQ6I1WkAI5-yT.jpg</t>
  </si>
  <si>
    <t>ϜϓſϞ • Kamu Personeli • Okur • Yazar</t>
  </si>
  <si>
    <t>Elabozdemir1ben☇</t>
  </si>
  <si>
    <t>pic.twitter.com/oy59oJlMVF</t>
  </si>
  <si>
    <t xml:space="preserve"> عواض الثبيتى</t>
  </si>
  <si>
    <t>AK KEÇİÖREN AYVALI</t>
  </si>
  <si>
    <t>#BarışPınarıHarekatı Türkiye Mazlum İslâm Coğrafyasının umudu olarak,Sınır güvenliğimizi sağlamak için ZULME VE TERÖRE DUR DEMEK TEMİZLEMEK İÇİN HAREKÂT DÜZENLEMİŞTİR... #BarisPinari #TurkishArmy</t>
  </si>
  <si>
    <t>pic.twitter.com/v7MQagrAh5</t>
  </si>
  <si>
    <t>https://pbs.twimg.com/media/EGcQ2YPWoAAQ9ZP.jpg</t>
  </si>
  <si>
    <t>AK PARTİ KEÇİÖREN AYVALI MAHALLESİ RESMİ TWİTTER HESABIDIR.</t>
  </si>
  <si>
    <t>http://akpartikecioren.org</t>
  </si>
  <si>
    <t>Furkan Üretdi</t>
  </si>
  <si>
    <t>'Muhtaç olduğun kudret damarlarındaki asil kanda mevcuttur!” #BarisPinariHarekati #TurkishArmy #OperationPeaceSpring</t>
  </si>
  <si>
    <t>https://pbs.twimg.com/media/EGcQ3YyWoAUVuc9.jpg</t>
  </si>
  <si>
    <t>Meram, Konya</t>
  </si>
  <si>
    <t>Selçuk Üniversitesi</t>
  </si>
  <si>
    <t>https://www.instagram.com/furkanuretdi/</t>
  </si>
  <si>
    <t>Türkiye Hareketi</t>
  </si>
  <si>
    <t>Savaş Türk'ün düğünüdür. #BarışPınarıHarekatı #TurkishArmy</t>
  </si>
  <si>
    <t>pic.twitter.com/Hsc36Eoqib</t>
  </si>
  <si>
    <t>Türkiye Hareketi bir sosyal medya hareketidir</t>
  </si>
  <si>
    <t>https://www.facebook.com/TurkiyeHareket/?ref=bookmarks</t>
  </si>
  <si>
    <t>Threader</t>
  </si>
  <si>
    <t>@mk_marineboy Hi, this conversation is compiled. Be sure to compile it from the last tweet to retrieve it entirely. You can read it here:  #TurkishArmy</t>
  </si>
  <si>
    <t>https://threader.app/conversation/1181859084267659264/LVwbY3nKdA</t>
  </si>
  <si>
    <t>علي اليامي</t>
  </si>
  <si>
    <t>Author? You can opt-out with the keyword “pause”</t>
  </si>
  <si>
    <t>Get good Twitter threads, every day • Apple’s App of the Day • Mention us with the keyword “compile” on a thread to turn it into an ad-free, single page.</t>
  </si>
  <si>
    <t>https://threader.app</t>
  </si>
  <si>
    <t>pic.twitter.com/RYy3JGlpi0</t>
  </si>
  <si>
    <t>Doğukan Alkan</t>
  </si>
  <si>
    <t>Rabbim ayağınıza taş degdirmesin aslan parçaları. #TurkishArmy #BarisPinariHarekati</t>
  </si>
  <si>
    <t>| Bayrağına | Devletine |Memleketine | Geçmişine bağlı | Türkiye Cumhuriyeti vatandaşı |</t>
  </si>
  <si>
    <t>Erkut Aydın</t>
  </si>
  <si>
    <t>#TurkishArmy ❤️</t>
  </si>
  <si>
    <t>https://pbs.twimg.com/media/EGcQ09HWsAULJYN.jpg</t>
  </si>
  <si>
    <t>Kemal Türkler, İstanbul</t>
  </si>
  <si>
    <t>mehmet</t>
  </si>
  <si>
    <t>Topunuz gelin dedik! Ses çıkmayınca.. BİZ GELDİK ! 🇹🇷 #BarışPınarıHarekatı #TurkishArmy</t>
  </si>
  <si>
    <t>Trakya Üniversitesi</t>
  </si>
  <si>
    <t>Dönüp,dolasıp bulamadığımız seydir belkide adalet..</t>
  </si>
  <si>
    <t>⛤⛤</t>
  </si>
  <si>
    <t>#BarisPinari sosyal medyada şu an şov yapan kaç kişi afrin haraktında şehit düşen bi aileyle irtibatlı? Kaç kişi bir şehit çocuğunun başını okşuyor düzenli olarak? #TurkishArmy #BarisPinariHarekati</t>
  </si>
  <si>
    <t>hakikatten yana taraf olacaksan yalnız kalmayı göze alacaksın</t>
  </si>
  <si>
    <t>suat kayacan</t>
  </si>
  <si>
    <t>https://pbs.twimg.com/media/EGcQ0FDX0AAZq6k.jpg</t>
  </si>
  <si>
    <t>Istanbul / yeşilköy</t>
  </si>
  <si>
    <t>Nurettin Arıkan⚡️</t>
  </si>
  <si>
    <t>Yarabbi sen kahraman ordumuza yardım et #TurkishArmy</t>
  </si>
  <si>
    <t>https://pbs.twimg.com/media/EGcQzlXWsAECWPI.jpg</t>
  </si>
  <si>
    <t>Rosie Morgan-Stuart</t>
  </si>
  <si>
    <t>#Kurds #IStandWithTheKurds #TurkishArmy #Turkey RT @lloyd_rm: Turkey is bombing Ras Al Ain, a peaceful mixed Arab and Kurdish town in NE Syria. This is illegal, will destabilize both NE Syria and Turkey. Britain should seek UN approval for no fly zone to protect our Kurdish allies and civilians. It should suspend all arms sales to Ankara</t>
  </si>
  <si>
    <t>https://twitter.com/lloyd_rm/status/1181927934489239555</t>
  </si>
  <si>
    <t>Campaigner - social justice, human rights &amp; animal rights</t>
  </si>
  <si>
    <t>Ahmet Turhan</t>
  </si>
  <si>
    <t>Bu deliler Allah'tan başka kimden korkar ki 👊🏼🇹🇷 #TurkishArmy</t>
  </si>
  <si>
    <t>pic.twitter.com/T8J6NOLX1s</t>
  </si>
  <si>
    <t>Çabamızın adı Galatasaray</t>
  </si>
  <si>
    <t>TESKİLAT HABER</t>
  </si>
  <si>
    <t>KAYNAKLAR: #TSK’YA AİT #SAVAŞ UÇAKLARI 16 NOKTAYA ATIŞ Gerçekleştirdi. #TurkishArmy #BarisPinari #carsamba #BarisPinariHarekati</t>
  </si>
  <si>
    <t>Askeri , Dış siyaset, Ülkeler arası krizler, Konulu Haberleri yayınlayan sayfa🇹🇷 http://instagram.com/teskilathaber</t>
  </si>
  <si>
    <t>celal sezer</t>
  </si>
  <si>
    <t>@RTErdogan La galibe İllallah.. #TurkishArmy</t>
  </si>
  <si>
    <t>Alpkyhn</t>
  </si>
  <si>
    <t>#BarışPınarıHarekati #TurkishArmy #BarisPinari Tanrı Türkü korusun.</t>
  </si>
  <si>
    <t>https://pbs.twimg.com/media/EGcQrYyWkAAFkOD.jpg</t>
  </si>
  <si>
    <t>Edep y4 hu.!حسنا🇹🇷</t>
  </si>
  <si>
    <t>Allah yardımcınız olsun #BarisPinariHarekati #TurkishArmy"Barış Pınarı Harekatı" kapsamında Tel Abyad'daki terör hedefleri, obüs atışlarıyla ateş altına alınıyor. @anadoluajansi</t>
  </si>
  <si>
    <t>http://aa.com.tr/tr</t>
  </si>
  <si>
    <t xml:space="preserve"> محمد  الشحيتان </t>
  </si>
  <si>
    <t>العميد متقاعد. حسن الشهري : على ايران إدراك أنها لن تستطيع التطاول على أي دولة من دول الخليج أو تستبيح أجواءها أو تؤثر في إقتصادها.  #خاشقجي #عام_على_رحيل_جمال</t>
  </si>
  <si>
    <t>pic.twitter.com/PHRftdWJRz</t>
  </si>
  <si>
    <t>Sanıyorlar ki camiler harâb olunca secde de edilmeyecek; bilmiyorlar ki cümle mevcudât sâcit, kâinat mesciddir.</t>
  </si>
  <si>
    <t>Suat KÖSE</t>
  </si>
  <si>
    <t>Gazamız mübarek olsun... Peygamber müjdesiyle geliyoruz Biiznillah #BarisPinari #TurkishArmy #BarisPinariHarekati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</si>
  <si>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 xml:space="preserve"> ﻣﺸﻌﻞ ﺳﻠﻴﻤﺎﻥ ‏ </t>
  </si>
  <si>
    <t>pic.twitter.com/K0P9BwSGuz</t>
  </si>
  <si>
    <t>La Gâlibe İllallah 👆</t>
  </si>
  <si>
    <t>http://www.instagram.com/suatkse</t>
  </si>
  <si>
    <t>جاسم العباد</t>
  </si>
  <si>
    <t>veysel TOPRAK</t>
  </si>
  <si>
    <t>Yüce Rabbim...! Türk Ordusunu Türk Askerini koru #TurkishArmy</t>
  </si>
  <si>
    <t>pic.twitter.com/QdcEDIKU0o</t>
  </si>
  <si>
    <t>https://pbs.twimg.com/media/EGcQvR_XoAEUL74.jpg</t>
  </si>
  <si>
    <t>Ankara, MUSTAFA KEMAL ATATÜRK</t>
  </si>
  <si>
    <t>DİYARBAKIR💪 HESAP SÜREKLİ OTO FAVDA GALATASARAY BİZİM CİĞERİMİZ @galatasaraysk</t>
  </si>
  <si>
    <t>https://instagram.com/veyseltopraakk?igshid=1no4ztijo67z3</t>
  </si>
  <si>
    <t xml:space="preserve"> صقر  المدرع</t>
  </si>
  <si>
    <t>أ. نايف الحربي: إعلامي وكاتب صحفي: ايران قابلت الاتفاق النووي بالمزيد من العمليات الإرهابية والتخريبية .  - جمال خاشقجي #JamalKhashoggi #قطر</t>
  </si>
  <si>
    <t>pic.twitter.com/sr2Zj6MwOl</t>
  </si>
  <si>
    <t>Esra #MKA</t>
  </si>
  <si>
    <t>Şehitlerden selam geldi, Savaşan tüm sağlara.. -ŞEHİT TÜMGENERAL AYDOĞAN AYDIN Tengri yolunuza kut versin! #BarışPınarıHarekati #OperationPeaceSpring #TurkishArmy</t>
  </si>
  <si>
    <t>https://pbs.twimg.com/media/EGcQvJ5X0AECQmy.jpg</t>
  </si>
  <si>
    <t> فهد الجهني</t>
  </si>
  <si>
    <t>pic.twitter.com/Ib6rt8acdH</t>
  </si>
  <si>
    <t>Tanrı Dağı</t>
  </si>
  <si>
    <t>ϜϓſϞ 🐺 #MUSTAFAKEMALATATÜRK🇹🇷 Siyasî içtimai mezhebim; Türkçülüktür.🇹🇷 #Beşiktaş ⚽️ #Ahıskalı</t>
  </si>
  <si>
    <t>https://instagram.com/esra.kilicaslan?igshid=1gn5adpar5d5a</t>
  </si>
  <si>
    <t>عواض الجميعي</t>
  </si>
  <si>
    <t>pic.twitter.com/e7GzO7q4d0</t>
  </si>
  <si>
    <t>CEYHUN AMA GAMZELİ OLAN</t>
  </si>
  <si>
    <t>Vur şanlı silahınla gönül mülkü düzelsin; Sen öldürüyorken de vururken de güzelsin! #TurkishArmy #BarisPinariHarekati #BarisPinari #turkmilletiordusununyaninda</t>
  </si>
  <si>
    <t>https://pbs.twimg.com/media/EGcQvILXYAAfMpC.jpg</t>
  </si>
  <si>
    <t xml:space="preserve">  عبدالرحمن العروان </t>
  </si>
  <si>
    <t>pic.twitter.com/YpmcYbLZc5</t>
  </si>
  <si>
    <t>Marmara, Balıkesir</t>
  </si>
  <si>
    <t>Fenomen olma amacı gütmeyen profil. -UNF Görüyorum yapma X Gitarist,Dj&amp;Producer, Beatmaker,Vocalist #MKAtatürk #BJK</t>
  </si>
  <si>
    <t>ﺳﻌﺪ ﺍﻝ ﻣﺴﺎﻋﺪ</t>
  </si>
  <si>
    <t>pic.twitter.com/p5D9pXMWJT</t>
  </si>
  <si>
    <t>timur</t>
  </si>
  <si>
    <t>Bir gece ansızın demiştik ama canımız gündüz girmek istedi⚡️#BarışPınarıHarekati #TurkishArmy</t>
  </si>
  <si>
    <t>Bakırköy, İstanbul</t>
  </si>
  <si>
    <t>Bende hakkı kalan sevildiği güne saysın..</t>
  </si>
  <si>
    <t>Tamer Yavuz</t>
  </si>
  <si>
    <t>Allah güç kuvvet versin ayağınıza taş değmesin 🇹🇷 #TurkishArmy</t>
  </si>
  <si>
    <t>https://pbs.twimg.com/media/EGcQulBWoAAbORA.jpg</t>
  </si>
  <si>
    <t>Eskişehir</t>
  </si>
  <si>
    <t>🇹🇷Mustafa Kemal ATATÜRK 🇹🇷 #Eskişehirspor #Eskişehir</t>
  </si>
  <si>
    <t>🇹🇷🇹🇷🇹🇷🇹🇷🇹🇷🇹🇷🇹🇷🇹🇷🇹🇷 #TurkishArmy</t>
  </si>
  <si>
    <t>https://pbs.twimg.com/media/EGcQtl4XYAAHO5s.jpg</t>
  </si>
  <si>
    <t>Mert  🇹🇷 ϜϓſϞ 🇹🇷</t>
  </si>
  <si>
    <t>Savaş uçaklarımız Serekaniye'nin Mişrefa köyünü bombaladı. #BarisPinariHarekati #TurkishArmy</t>
  </si>
  <si>
    <t>https://pbs.twimg.com/media/EGcQpkbWkAEHmtz.jpg</t>
  </si>
  <si>
    <t>pic.twitter.com/RU3B0R3tEo</t>
  </si>
  <si>
    <t>Tanrı Türk'ü korusun ve yüceltsin</t>
  </si>
  <si>
    <t>GALATASARAY RE3 RA3 GS2 CİM BOM2 / Mustafa Kemal ATATÜRK 🇹🇷</t>
  </si>
  <si>
    <t>http://Instagram.com/mustaka</t>
  </si>
  <si>
    <t>🇹🇷44_Seyyah_44🇹🇷</t>
  </si>
  <si>
    <t>CNN Muhabiri İsmail Umut Arabacı'nın Savaş Uçaklarımızın İlk Bombayı Bıraktığı Andaki Heyecanı 🇹🇷 #BarisPinari #TurkishArmy #BarisPinariHarekati #carsamba</t>
  </si>
  <si>
    <t>pic.twitter.com/ZVioAEuBwj</t>
  </si>
  <si>
    <t>Memleket Sevdalısı __KaysıKentli __Herkes Kaçabilir Ama Asla Saklanamaz</t>
  </si>
  <si>
    <t>https://www.egm.gov.tr/siber</t>
  </si>
  <si>
    <t>Semanur AKDEMİR</t>
  </si>
  <si>
    <t>Allah'a emanet. #TurkishArmy</t>
  </si>
  <si>
    <t>https://pbs.twimg.com/media/EGcQrt8XoAEh3V6.jpg</t>
  </si>
  <si>
    <t xml:space="preserve">     عبدالله الحسين</t>
  </si>
  <si>
    <t>pic.twitter.com/i3NPrPnCYW</t>
  </si>
  <si>
    <t>SEFA KİLER صفا كيلر</t>
  </si>
  <si>
    <t>Ey Rabbim, şanlı Türk ordusunu ve devletini koru.Bizleri ve bayrağımızı bozguna uğratacağını düşünenlere fırsat verme, sen bu milleti ve orduyu her daim muzaffer eyle inşallah. Allah yar ve yardımcımız olsun.Amin Amin🙏🇹🇷🇹🇷 #BarisPinariHarekati #TurkishArmy</t>
  </si>
  <si>
    <t>https://pbs.twimg.com/media/EGcQr2bXUAAcckB.jpg</t>
  </si>
  <si>
    <t>Hizmet,Nimettir.[HAK'ın ve HALK'ın Neferi]</t>
  </si>
  <si>
    <t>Gökhan İZGİ</t>
  </si>
  <si>
    <t>#BarışPınarıHarekati 'nın başlama talimatını @RTErdogan böyle verirken... #TurkishArmy #BarisPinari #carsamba #</t>
  </si>
  <si>
    <t>https://pbs.twimg.com/media/EGcQrWIWsAUXBuY.jpg</t>
  </si>
  <si>
    <t>👉http://sultanbeylihaber.com.tr 👉http://Ibbhaber.net 👉http://kaiserhathaber.com İmtiyaz Sahibi 👉Hak,Ahlak ve Adalet için yazan kalem 👉Kafkas üniversitesi-Anadolu üniversitesi</t>
  </si>
  <si>
    <t>http://www.sultanbeylihaber.com.tr</t>
  </si>
  <si>
    <t>The Executive</t>
  </si>
  <si>
    <t>Belediye anonstan mehter çalıyor #akçakale #TurkishArmy #BarisPinariHarekati 🇹🇷🇹🇷🇹🇷🇹🇷🇹🇷🇹🇷🇹🇷🇹🇷🇹🇷</t>
  </si>
  <si>
    <t>عبدوس صامد الأمن</t>
  </si>
  <si>
    <t>pic.twitter.com/K3QcnkHPMn</t>
  </si>
  <si>
    <t>ما إذا كانت هي تقوم بتوفير الخدمة التي</t>
  </si>
  <si>
    <t>pic.twitter.com/CztuNVXs4w</t>
  </si>
  <si>
    <t>Mustafa F. Ibrahimoglu</t>
  </si>
  <si>
    <t>🇹🇷Kılıcınız keskin olsun 🇹🇷 #BarisPinariHarekati #OperationPeaceSpring #TurkishArmy</t>
  </si>
  <si>
    <t xml:space="preserve"> علي العبدلي</t>
  </si>
  <si>
    <t>https://pbs.twimg.com/media/EGcQqUeX0AAvo44.jpg</t>
  </si>
  <si>
    <t>pic.twitter.com/aMGK2IyXuG</t>
  </si>
  <si>
    <t>"we ❤️ the created one for the sake of creator’s ❤️ "</t>
  </si>
  <si>
    <t>RİKAZ</t>
  </si>
  <si>
    <t>İnna fetahna leke fetham mübına... Doğrusu biz sana apaçık bir fetih ihsân ettik. Ve sana Allah, şanlı bir zaferle yardım eder. Sen yardım eyle Ya Rabbelalemin #BarisPinariHarekati #TurkishArmy #OperationPeaceSpring</t>
  </si>
  <si>
    <t>https://pbs.twimg.com/media/EGcQp4CX0AA0Cu3.jpg</t>
  </si>
  <si>
    <t xml:space="preserve"> بدر  المطرودي</t>
  </si>
  <si>
    <t>حصريا.. السفير ادم ايرلي متحدث الخارجية الأمريكية السابق: اردوغان منافق كبير ..يذرف دموع التماسيح على خاشقجي بينما يزج بالاَف الاتراك بالسجونAdam Ereli: Erdogan is the biggest hypocrite on the plant  #JamalKhashoggi #تركيا</t>
  </si>
  <si>
    <t>pic.twitter.com/TsJngFcvGG</t>
  </si>
  <si>
    <t>عبدالعزيز الحرمي</t>
  </si>
  <si>
    <t>#انقذوا_المهندس_علي_ابو_القاسم سبحان الله تاركين السفاح ابو منشار حر طليق بعد جريمته التي شهد لها العالم بالغدر و قتل #خاشقجي رحمه الله ورايحين يتشطرون على ذي المصري البرئ</t>
  </si>
  <si>
    <t>https://pbs.twimg.com/media/EGW5Z7gW4AEQedz.jpg</t>
  </si>
  <si>
    <t>موالی💯</t>
  </si>
  <si>
    <t>We Stand With our Brother Country Turkey and #TurkishArmy Long Live Pakistan Turkish Brotherhood ✌🏻</t>
  </si>
  <si>
    <t>https://pbs.twimg.com/media/EGcQprMWsAEPCFc.jpg</t>
  </si>
  <si>
    <t>قطر العظمى 🇶🇦</t>
  </si>
  <si>
    <t>الصامل الشامخ ✨#تميم_المجد</t>
  </si>
  <si>
    <t>Pakistan</t>
  </si>
  <si>
    <t>@sardarsp2 بیک اپ اکائونٹ</t>
  </si>
  <si>
    <t>KPyπTΩ Que</t>
  </si>
  <si>
    <t>@ScottHech But were ppl were upset when #MBS butchered #JamalKhashoggi &amp; he looked the other way!? Now his military industrial partners are ethnically cleansing minority populations. And they're stalling impeaching him over some dumb ass #QuidProQuo phone call!? His tweets are evidence</t>
  </si>
  <si>
    <t>Stamford, CT</t>
  </si>
  <si>
    <t>MAHMUT YÖRÜK</t>
  </si>
  <si>
    <t>#RiskManagement #FRM #SecurityPlus #PortfolioManagement ΩΨΦ PY Fall 2011 #4/6 UCONN ALUM</t>
  </si>
  <si>
    <t>Sen tarihsin, Sen zafersin, Sen vatansın Vur Mehmedim! Vur ki; Dünya utansın🇹🇷 #TurkishArmy #BarışPınarıHarekatı</t>
  </si>
  <si>
    <t>https://www.bptcrypto.com</t>
  </si>
  <si>
    <t>https://pbs.twimg.com/media/EGcQpfTWoAIb9EM.jpg</t>
  </si>
  <si>
    <t xml:space="preserve"> ﻋﻠﻲ ﺍﻟﻤﻌﻴﻠﻲ  </t>
  </si>
  <si>
    <t>pic.twitter.com/qPySxWQK4Z</t>
  </si>
  <si>
    <t>#HatayHabibiNaccarEvladı</t>
  </si>
  <si>
    <t>enes</t>
  </si>
  <si>
    <t>Selahattin Demirtaş, gel de sırtını dayadıklarını kurtar! #BarisPinariHarekati #TurkishArmy 🇹🇷</t>
  </si>
  <si>
    <t xml:space="preserve"> رجب محمد</t>
  </si>
  <si>
    <t>Istanbul - Yalova</t>
  </si>
  <si>
    <t>pic.twitter.com/qRrR4foCEK</t>
  </si>
  <si>
    <t>T.Ö Tr</t>
  </si>
  <si>
    <t>Kazasız belasız zaferlerle, Allah yar ve yardımcımız olsun.🇹🇷 #BarisPinariHarekati #BarisPinari #TurkishArmy</t>
  </si>
  <si>
    <t>فهد عبدالرحمن</t>
  </si>
  <si>
    <t>pic.twitter.com/5wZFKm47JT</t>
  </si>
  <si>
    <t xml:space="preserve"> أحمد  الفهيد </t>
  </si>
  <si>
    <t>pic.twitter.com/6q31i2EUH1</t>
  </si>
  <si>
    <t>Vine Psychic Reading</t>
  </si>
  <si>
    <t>Here comes the propaganda. #TurkishArmy RT @nur_i_ziya: The only army children are not afraid of is #TurkishArmy</t>
  </si>
  <si>
    <t>https://twitter.com/nur_i_ziya/status/1181924986090598407</t>
  </si>
  <si>
    <t xml:space="preserve"> محمد  اليحيا </t>
  </si>
  <si>
    <t>pic.twitter.com/Ny25keHP0V</t>
  </si>
  <si>
    <t>https://pbs.twimg.com/media/EGcKgD9WkAcz8pt.jpg</t>
  </si>
  <si>
    <t>Australia / International</t>
  </si>
  <si>
    <t>Natural Born Psychic (spiritual medium) loved working in psychic reading field 36 years. Earth's spiritual health our responsibility! Phone Psychic Readings</t>
  </si>
  <si>
    <t>https://www.vinemedium.com.au</t>
  </si>
  <si>
    <t xml:space="preserve"> عبدالله المالكي</t>
  </si>
  <si>
    <t>pic.twitter.com/NZca3xdlS6</t>
  </si>
  <si>
    <t>☪ MuSTaFa ☪</t>
  </si>
  <si>
    <t>Gazamız mübarek olsun. Ya Allah Bismillah Allahu Ekber... #TurkishArmy #BarisPinariHarekati</t>
  </si>
  <si>
    <t>https://pbs.twimg.com/media/EGcQnZFXoAAdaVS.jpg</t>
  </si>
  <si>
    <t xml:space="preserve">فيفى الزبيدي </t>
  </si>
  <si>
    <t>pic.twitter.com/IEvecfrArA</t>
  </si>
  <si>
    <t>علي الرشيدي</t>
  </si>
  <si>
    <t>pic.twitter.com/86b879qvwM</t>
  </si>
  <si>
    <t>Yasin</t>
  </si>
  <si>
    <t>#TurkishArmy SAVAŞ TÜRK'ÜN DÜĞÜNÜDÜR.</t>
  </si>
  <si>
    <t>pic.twitter.com/DdtxMCo0B7</t>
  </si>
  <si>
    <t>https://pbs.twimg.com/media/EGcQmcAWwAIDR58.jpg</t>
  </si>
  <si>
    <t>Jockey Club of Turkey 🔸Cameraman</t>
  </si>
  <si>
    <t xml:space="preserve"> غرم الزهراني</t>
  </si>
  <si>
    <t>pic.twitter.com/PDgLXrnhoa</t>
  </si>
  <si>
    <t>SpeedyGonzales</t>
  </si>
  <si>
    <t>Allah yar ve yardımcımız olsun 🙏🏻 🇹🇷 #TurkishArmy #BarisPinariHarekati</t>
  </si>
  <si>
    <t>https://pbs.twimg.com/media/EGcQlqOWoAUj40Y.jpg</t>
  </si>
  <si>
    <t>ماتز الرباني</t>
  </si>
  <si>
    <t>Gazimagusa</t>
  </si>
  <si>
    <t>Onur ŞİMŞİR</t>
  </si>
  <si>
    <t>#Barışpınarı harekatına başlayan Ordumuza Allah zeval vermesin. Huzur ve barışı o coğrafyaya götürmek amacında olan askerlerimizi her türlü beladan koru ya Rab. #TurkishArmy #BarisPinariHarekati</t>
  </si>
  <si>
    <t>قد قمنا بإدراج كافة القنصليات المملكة العربية</t>
  </si>
  <si>
    <t>Siyaset Bilimi &amp; Uluslararası İlişkiler</t>
  </si>
  <si>
    <t>Paul Greaves</t>
  </si>
  <si>
    <t>7-word tweet is going to cost the NBA millions and potentially billions. Same politicians denouncing the NBA but nothing to say about the POTUS asking foreign governments to investigate political opponents but oppose #SyriaWithdrawal but nothing to say on #JamalKhashoggi RT @business: JUST IN: China halts NBA broadcasts in a backlash against a tweet supporting Hong Kong’s pro-democracy protests</t>
  </si>
  <si>
    <t>https://twitter.com/business/status/1181469394259644423
https://bloom.bg/30VDOKX</t>
  </si>
  <si>
    <t>https://pbs.twimg.com/media/EGVsJyzWkAEkXiz.jpg</t>
  </si>
  <si>
    <t>eyt Selahattin Kara</t>
  </si>
  <si>
    <t>#BarışPınarıHarekati " Bismillahirrahmanirrahim. Ordumuz Sefer'de. Dilimiz Duâ'da. Gazamız Mübarek Olsun. Rabb'im Ordumuzu Muzaffer Eylesin 🇹🇷 Tırnağınıza Taş Değdirmesin.🇹🇷 #BarışPınarıHarekatı #TurkishArmy #EMEKLİLİKTEYAŞATAKILANLAR</t>
  </si>
  <si>
    <t>Lynn MA via NYC, SoCal&amp;Panama</t>
  </si>
  <si>
    <t>Alum of Moody's, FGIC, MBIA, Dexia, BNP Park as, NYC govt. Managing Editor @Debtwire_Munis. 9th Grade AAU Basketball 🏀 Coach, Adjunct Professor</t>
  </si>
  <si>
    <t>takipe takip eyt mağduru türemiş bir garip</t>
  </si>
  <si>
    <t>Fauda</t>
  </si>
  <si>
    <t>@realDonaldTrump We're old enough to remember when @RTErdogan came do DC last and his Security Detail attacked US citizens and you let them go. You again chose a foreign leaders over Americans. You have a poor history of supporting Americans. #JamalKhashoggi #OttoWarmbier</t>
  </si>
  <si>
    <t>https://www.google.com/amp/s/www.chicagotribune.com/nation-world/ct-turkey-erdogan-indictments-20170829-story.html%3foutputType=amp</t>
  </si>
  <si>
    <t>Ömer F.DEMİR ⚡🇹🇷</t>
  </si>
  <si>
    <t>#TurkishArmy Bir gece ansızın gelebiliriz demiştik ama Tüm dünya görsün diye gündüz girdik! Sağ salim gidin sağ salim gelin #TurkishArmy #BarışPınarı</t>
  </si>
  <si>
    <t>pic.twitter.com/opJQdI58LW</t>
  </si>
  <si>
    <t>Washington, DC</t>
  </si>
  <si>
    <t>Isparta, İstanbul Türkiye</t>
  </si>
  <si>
    <t>/ Ïman Varsa Her Daim İmkan Vardır. 💪/ Õnce İnsan....Betül Erva,Ceyda nın Babası..👨‍👧‍👧</t>
  </si>
  <si>
    <t>http://www.ihh.org</t>
  </si>
  <si>
    <t xml:space="preserve">  فايز الشديد </t>
  </si>
  <si>
    <t>pic.twitter.com/Bn0ywlGSjn</t>
  </si>
  <si>
    <t>£🕊</t>
  </si>
  <si>
    <t>BİSMİLLAHİRRAHMANİRRAHİM. #BarisPinari #TurkishArmy #OperationPeaceSpring #BarışPınarıHarekati</t>
  </si>
  <si>
    <t>https://pbs.twimg.com/media/EGcQj68WwAU4n_V.jpg</t>
  </si>
  <si>
    <t>Gebze/Giresun</t>
  </si>
  <si>
    <t>Bayü 📚 Veteriner Sağlık 🐕💉</t>
  </si>
  <si>
    <t>http://instagram.com/arslannn.eda</t>
  </si>
  <si>
    <t>Fatih</t>
  </si>
  <si>
    <t>#OperationPeaceSpring #BarisPinari #TurkishArmy #BarisPinariHarekatiDaha Daha ilk dakikadan ağlamaya başladınız, rahat olun hiç acımayacak vurup geçecekler siz sadece fistanlarınızı giyin 😂😂😂</t>
  </si>
  <si>
    <t>https://pbs.twimg.com/media/EGcQjLUW4AAk4xH.jpg</t>
  </si>
  <si>
    <t xml:space="preserve"> محمد عبدالرحمن</t>
  </si>
  <si>
    <t>pic.twitter.com/4qvp4gEyXg</t>
  </si>
  <si>
    <t>Bu profil objektif değildir</t>
  </si>
  <si>
    <t>ثامر احمد</t>
  </si>
  <si>
    <t>alicetinnkaya</t>
  </si>
  <si>
    <t>Ya Allah Bismillah Her attığınız vurduğunuz tam olsun, yolunuz açık olsun. Ayağınıza taş değmesin. #BarisPinariHarekati #TurkishArmy #büyüktürkiye #türkiye</t>
  </si>
  <si>
    <t>pic.twitter.com/CxxnLiWdfw</t>
  </si>
  <si>
    <t>https://pbs.twimg.com/media/EGcQiJLXUAAs0vn.jpg</t>
  </si>
  <si>
    <t>Mars</t>
  </si>
  <si>
    <t>Ben ve Keyfimin Kâhyası 💥 DM📩</t>
  </si>
  <si>
    <t>Bill McCarren</t>
  </si>
  <si>
    <t>This is what it was like @PressClubDC on Oct 2 when @alikodjak spoke before a moment of silence for #jamalkhashoggi of the @washingtonpost</t>
  </si>
  <si>
    <t>pic.twitter.com/z0w8fa7S6G</t>
  </si>
  <si>
    <t>Ahmet Turan</t>
  </si>
  <si>
    <t>Bu İslam'ın haçlılara karşı verdiği mücadeledir korkmak yok fitne yok birlik ve beraberlik günüdür bugün #TurkishArmy</t>
  </si>
  <si>
    <t>National Press Club, Executive Director; Board, Reporters Without Borders; Was: U.S. Newswire CEO; #FreeAustinTice #FreeEmilio #PrisonertheBook</t>
  </si>
  <si>
    <t>http://www.press.org</t>
  </si>
  <si>
    <t>Bu Dünyada Ya Kaderin Güzel Olacak. Ya da Kafan.</t>
  </si>
  <si>
    <t xml:space="preserve">  منصور  البطيان</t>
  </si>
  <si>
    <t>AnLto</t>
  </si>
  <si>
    <t>Taş üstünde taş baş üstünde baş kalmasın !!!! #BarisPinariHarekati #TurkishArmy #</t>
  </si>
  <si>
    <t>pic.twitter.com/5sP0vSnKQm</t>
  </si>
  <si>
    <t>İzmir’in dağlarında çiçekler açar....</t>
  </si>
  <si>
    <t>Fuat Güneş</t>
  </si>
  <si>
    <t>“La galibe illallah” Allah yar ve yardımcınız olsun... Ayağınıza taş değmesin inşallah... #BarisPinariHarekati #TurkishArmy #TuerkMilletiOrdusununYanında</t>
  </si>
  <si>
    <t>https://pbs.twimg.com/media/EGcQgqbXUAAyJk_.jpg</t>
  </si>
  <si>
    <t>Altınbaş üniversitesi paramedik 💉💊🚑</t>
  </si>
  <si>
    <t>حسين الهاشم</t>
  </si>
  <si>
    <t>pic.twitter.com/eW5GTlI6c1</t>
  </si>
  <si>
    <t>Yavuz Dursun</t>
  </si>
  <si>
    <t>https://pbs.twimg.com/media/EGcQgW-XUAcuTbL.jpg</t>
  </si>
  <si>
    <t xml:space="preserve"> علي الدوسري</t>
  </si>
  <si>
    <t>pic.twitter.com/2vetnVminM</t>
  </si>
  <si>
    <t>Time Never Comes Again.</t>
  </si>
  <si>
    <t>https://www.instagram.com/yavuzd.947/</t>
  </si>
  <si>
    <t>Nurcan🐞</t>
  </si>
  <si>
    <t>Allah askerimizi korusun🙏 Dualarımız kahraman Mehmetçiklerimizle🙏🙏 #BarışPınarıHarekati #TurkishArmy #TürkMilletiOrdusununYanında #OperationPeaceSpring</t>
  </si>
  <si>
    <t>https://pbs.twimg.com/media/EGcQf0rWwAUwWf4.jpg</t>
  </si>
  <si>
    <t xml:space="preserve"> يوسف آل محمود</t>
  </si>
  <si>
    <t>Ankara &amp; Bursa</t>
  </si>
  <si>
    <t>Mustafa Kemal ATATÜRK Evli Mom👼 Hümanist 📚 ♏ Beşiktaş🏁 Hayvansever 7 Kasım 🎂</t>
  </si>
  <si>
    <t>pic.twitter.com/wm288WLNIt</t>
  </si>
  <si>
    <t>Gamze ışık</t>
  </si>
  <si>
    <t>#TurkishArmy Allah ayağınıza Taş değirmesin Türk Askeri, Bozkurt Yürekli Kardeşlerim 🇹🇷🐺</t>
  </si>
  <si>
    <t>Bahtıma sûkût düştü düşeli Muhabbet demledim yüreğimde Sustum.!</t>
  </si>
  <si>
    <t>nala</t>
  </si>
  <si>
    <t>#JamalKhashoggi murder could have been a turning point. Instead it was a warning sign,??</t>
  </si>
  <si>
    <t>https://www.cnn.com/2019/10/02/opinions/khashoggi-saudi-accountability-opinion-intl/index.html</t>
  </si>
  <si>
    <t>married to Kim and have a great son Kyle,who's 15 Years old,Time Goes by so fast,??</t>
  </si>
  <si>
    <t>غالي الشنبري</t>
  </si>
  <si>
    <t>pic.twitter.com/YQ1F1Z0Sfv</t>
  </si>
  <si>
    <t>iLKER</t>
  </si>
  <si>
    <t>İnna fetahna leke fetham mübına "Doğrusu biz sana apaçık bir fetih ihsân ettik." #OperationPeaceSpring #BarışPınarıHarekatı #TurkishArmy</t>
  </si>
  <si>
    <t>https://pbs.twimg.com/media/EGcQfstW4AAD9Ot.jpg</t>
  </si>
  <si>
    <t xml:space="preserve">رضوان الشبعاني </t>
  </si>
  <si>
    <t>اتصال هاتفي من: أ. طارق أبو زينب – إعلامي ومحلل سياسي – لبنان. قطر نموذج للمطابخ الإعلامية السوداء لتكون خِنجر في قلب الامة العربية.  - جمال خاشقجي #خاشقجي #عام_على_اغتيال_جمال</t>
  </si>
  <si>
    <t>pic.twitter.com/KaCMLvePuo</t>
  </si>
  <si>
    <t>Halit Mirahmetoglu</t>
  </si>
  <si>
    <t>Türk Silahlı Kuvvetlerimizin Milli Suriye Ordusu ile beraber hareket edeceği duyuruldu. TSK’nın toplama ordular ile eş düzeyde yazılması beni üzdü. “Bugün var yarın yoklar” Aslanlar gibi sadece TSK yazılsa yeterdi. Ayağınıza taş değmesin Mehmetçiklerim. #BarisPinari #TurkishArmy</t>
  </si>
  <si>
    <t>Ankara / Strasbourg / Tallinn</t>
  </si>
  <si>
    <t>Space Scientist / Trainer / Consultant @spaceagenda</t>
  </si>
  <si>
    <t>http://www.mirahmetoglu.com</t>
  </si>
  <si>
    <t>ismi lazım değil</t>
  </si>
  <si>
    <t>Rabbim! Girilecek yere doğrulukla girmemi, çıkılacak yerden de doğrulukla çıkmamı sağla, bana tarafından yardımcı bir güç ver! İsra -80 #TurkishArmy #BarisPinariHarekati</t>
  </si>
  <si>
    <t xml:space="preserve"> عبدالعزيز  الطريري</t>
  </si>
  <si>
    <t>د. محمد الحلفي – باحث في التاريخ الحديث: لا يمكن لـ قناة الجزيرة ان تُذيع ولو حلقة واحدة عما يجري في الداخل القطري.  #JamalKhashoggi #قطر</t>
  </si>
  <si>
    <t>Kahramanlar Can verir Yurdu yaşatmak için.</t>
  </si>
  <si>
    <t>pic.twitter.com/hnHkS3pSF4</t>
  </si>
  <si>
    <t>عبد الله</t>
  </si>
  <si>
    <t>Vur Muhammed (sav) aşkına! #TurkishArmy #BarisPinari #BarisPinariHarekati</t>
  </si>
  <si>
    <t xml:space="preserve">عبدالله علي </t>
  </si>
  <si>
    <t>"Baş eğmeziz edâniyeye dünyâ-yı dûn için Allah'adır tevekkülümüz itimadımız"</t>
  </si>
  <si>
    <t>pic.twitter.com/Flsd2wMohz</t>
  </si>
  <si>
    <t>Ömer Kurucan</t>
  </si>
  <si>
    <t>Biz ordusu olan bir millet değil, milleti olan bir orduyuz. #TurkishArmy</t>
  </si>
  <si>
    <t>https://pbs.twimg.com/media/EGcG8T0WsAAGvY1.jpg</t>
  </si>
  <si>
    <t xml:space="preserve"> زايد  ابو علي</t>
  </si>
  <si>
    <t>Boş Ve Yıkık 👌🏻👍🏻</t>
  </si>
  <si>
    <t>pic.twitter.com/VESjHakXSP</t>
  </si>
  <si>
    <t>Uçuk Yazar 🇹🇷</t>
  </si>
  <si>
    <t>Ortadoğu Çalışmaları - İran Araştırmaları</t>
  </si>
  <si>
    <t>realists</t>
  </si>
  <si>
    <t>Allah icin vurun..sehit bedirhan icin vurun...eren icin vurun....yarali almayin acimayin.....yas yok intikam var.....@TSKGnkur #BarisPinariHarekati #TurkishArmy @HDPgenelmerkezi RT @TTAgrup: Şehit Bebek Bedirhan Karakaya ve tüm şehitlerimiz için vurun! #BarışPınarıHarekatı</t>
  </si>
  <si>
    <t>https://twitter.com/TTAgrup/status/1181925194979512320</t>
  </si>
  <si>
    <t>pic.twitter.com/smM93fBWeF</t>
  </si>
  <si>
    <t>6nisan dogum tarihi</t>
  </si>
  <si>
    <t>Nebile</t>
  </si>
  <si>
    <t>"Vur pençeni küffâra ecdâd-ı cihângîr aşkına" #TurkishArmy #BarisPinariHarekati</t>
  </si>
  <si>
    <t>Muhammed Emin Demirhan</t>
  </si>
  <si>
    <t>Taze bismillah. Allah askerimizi korusun,muzaffer eylesin. #BarisPinariHarekati #TurkishArmy</t>
  </si>
  <si>
    <t>https://pbs.twimg.com/media/EGcQdd5WsAA55ZJ.jpg</t>
  </si>
  <si>
    <t xml:space="preserve">Meram, Konya </t>
  </si>
  <si>
    <t>:)</t>
  </si>
  <si>
    <t>Mehmet ÖZKAN</t>
  </si>
  <si>
    <t>pic.twitter.com/nW8FwfTSBl</t>
  </si>
  <si>
    <t>https://instagram.com/mezknnnn</t>
  </si>
  <si>
    <t>شیخ عبیداللہ</t>
  </si>
  <si>
    <t>💪🏻🇹🇷🇹🇷🇹🇷 Ya Allah , Bismillah , Allah Hu Akbar 🇹🇷🇹🇷🇹🇷🤘🏻 #TurkishArmy #BarışPınarıHarekatı</t>
  </si>
  <si>
    <t>https://pbs.twimg.com/media/EGcQcOCX0AEv9Kb.jpg</t>
  </si>
  <si>
    <t>#Proud__Member__of @JIPOfficial,#SM_Activist #TeamJi #Fikar_E_Moududi</t>
  </si>
  <si>
    <t>Mustafa Birol</t>
  </si>
  <si>
    <t>#PeaceSpringOperation has started with the command of the commander-in-chief Recep Tayyip Erdoğan. #TurkishArmy #Turksarecoming</t>
  </si>
  <si>
    <t>https://pbs.twimg.com/media/EGcQdRBWkAAKIup.jpg</t>
  </si>
  <si>
    <t>Antalya</t>
  </si>
  <si>
    <t>Eren Karadaş</t>
  </si>
  <si>
    <t>Ya ALLAH, Bismillah🇹🇷 Rabbim muzaffer eylesin. Ayağınıza taş değmesin. #BarisPinari #BarışPınarıHarekati #TurkishArmy</t>
  </si>
  <si>
    <t>https://pbs.twimg.com/media/EGcQchGWsAczSr2.jpg</t>
  </si>
  <si>
    <t>I'm a graphic/web designer &amp; Ben ve ruhum Erzurumspor'luyuz!!</t>
  </si>
  <si>
    <t>https://www.facebook.com/erenkaradas</t>
  </si>
  <si>
    <t>Ifsha 🏳️‍🌈</t>
  </si>
  <si>
    <t>For more than 8 years Syria has been a living hell for it's people due to outside influences and extremism. I pray for the good people and the innocent civilians. I hope syrian refugees will return to their homes. There's nothing like home. May allah protect #Syria. #TurkishArmy</t>
  </si>
  <si>
    <t>Srinagar, Kashmir</t>
  </si>
  <si>
    <t>If you are ugly, you're ugly. PERIODT!!🖕</t>
  </si>
  <si>
    <t>http://www.facebook.com/ifshamubarak</t>
  </si>
  <si>
    <t>Gökhan Günata 🇹🇷</t>
  </si>
  <si>
    <t>#BarışPınarıHarekati #TurkishArmy Dünya gündeminde 1. sıradayız #EyŞanlıOrduEyŞanlıAsker</t>
  </si>
  <si>
    <t>https://pbs.twimg.com/media/EGcQaOgWsAA3owd.jpg</t>
  </si>
  <si>
    <t>#EvladıOsmanlı 🇹🇷 #Türkiyedir @GalatasaraySK</t>
  </si>
  <si>
    <t>MEHMET BURSALI</t>
  </si>
  <si>
    <t>Türkiye Mazlum İslâm Coğrafyasının umudu olarak,Sınır güvenliğimizi sağlamak için ZULME VE TERÖRE DUR DEMEK TEMİZLEMEK İÇİN HAREKÂT DÜZENLEMİŞTİR... #BarisPinari #TurkishArmy</t>
  </si>
  <si>
    <t>https://pbs.twimg.com/media/EGcQZxkX0AAdJz_.jpg</t>
  </si>
  <si>
    <t>ÇORUM-İSKİLİP DOĞUM.KEÇİÖREN İKAMET. YILDIZ TEKNİK ÜNİVERSİTESİ.MAKİNA MÜH.</t>
  </si>
  <si>
    <t>Turan Kemal</t>
  </si>
  <si>
    <t>Gün, bugündür! Yolumuzu gözleyen mazluma, kol kanat germek için, Hak ettiğiniz ateşi vermeye, Başınızı ezmeye G E L İ Y O R U Z 🇹🇷 #TurkishArmy #BarışPınarıHarekatı #TürkMilletiOrdusununYanında</t>
  </si>
  <si>
    <t>https://pbs.twimg.com/media/EGcQaRFWsAEwGZF.jpg</t>
  </si>
  <si>
    <t>Türk’üm bu ad her ünvandan üstündür.</t>
  </si>
  <si>
    <t>Laboratorio Sociale Alessandria</t>
  </si>
  <si>
    <t>L'obiettivo di Erdogan è fermare la rivoluzione confederale dei territori del Rojava, compiere un massacro e utilizzare aquelle aree per uno sconfinato campo profughi a cielo aperto: un progetto, disumano che va fermato, con ogni mezzo necessario! #rojava #Erdogan #TurkishArmy</t>
  </si>
  <si>
    <t>Alessandria</t>
  </si>
  <si>
    <t>Un mondo che contiene molti mondi</t>
  </si>
  <si>
    <t>http://www.labsociale.it</t>
  </si>
  <si>
    <t>Muallime</t>
  </si>
  <si>
    <t>Yiğitler yol alsa destana doğru, Şehitler gözümde aynen bayraktır. Gel kurut bu çağın kargaşasını, Seninle beklenen şimdi şafaktır. 🇹🇷🇹🇷🇹🇷 #BarışPınarıHarekatı #TurkishArmy</t>
  </si>
  <si>
    <t>Ne beyan-i hale cu'ret ne figana tâkâtim var. Ne reca yi vasla gayret ne firaha kudretim var.</t>
  </si>
  <si>
    <t>lisa S Marie</t>
  </si>
  <si>
    <t>Don’t come at me with your #ProLife BS today while you defend @POTUS decision to abandon our allies. The Kurdish PEOPLE are being attacked by #Turkey. #TrumpBetrayedTheKurds #TurkishArmy</t>
  </si>
  <si>
    <t>South Carolina</t>
  </si>
  <si>
    <t>Environmentally conscious, native southerner, fluent in sarcasm, loyal to my conscience, 🚫Hypocrisy, Don’t tell me I can’t #EcoRight #PrinciplesFirst</t>
  </si>
  <si>
    <t>LadyMiami</t>
  </si>
  <si>
    <t>My heart is with #TurkishArmy</t>
  </si>
  <si>
    <t>Miami, FL</t>
  </si>
  <si>
    <t>CFO for a doctor, loves world cuisine, cooking, diving, spearfishing, boating, skiing, reading, walking, swimming, pilates, traveling</t>
  </si>
  <si>
    <t>Yıldıray Yüksel</t>
  </si>
  <si>
    <t>Allah yardımcınız olsun ALLAH'IN ARSLANLARI! 🇹🇷🇹🇷🇹🇷 #BarisPinariHarekati #TurkishArmy #BarisPinari</t>
  </si>
  <si>
    <t>Nevşehir</t>
  </si>
  <si>
    <t>TBMM - 12. Dönem Türkiye Öğrenci Meclisi Başkanı Milliyetçi Türkiye!</t>
  </si>
  <si>
    <t>vatansever001</t>
  </si>
  <si>
    <t>"Sezgin Tanrıkulu" YAPTIKLARI VE YAPACAKLARI BELLİ ZATEN KAPASİTE VE BAKIŞI BELLİ AMAÇ #BarisPinariHarekati NI #TurkishArmy İ SABOTE ETMEK SİZDE BUNLARA UYMAYIN OPERASYONA DEVAM ASKERİMİZE SELAM.</t>
  </si>
  <si>
    <t>Kuan</t>
  </si>
  <si>
    <t>Türk ordusu alninin akiyla bu operasyonu da tamamlayacaktır Tarihte benzeri çok görülmüştür Yolunuz açık olsun yigitler #BarışPınarıHarekati #BarisPinari #TurkishArmy</t>
  </si>
  <si>
    <t>Göttingen, Germany</t>
  </si>
  <si>
    <t>Bu sayfa yüksek miktarda ironi ve hiciv barındırır Anlatılan hikayelerin gerçek değerlerle alakası olmamakla birlikte her takipçinin aklını kullanması beklenir</t>
  </si>
  <si>
    <t>http://t.me/kuant</t>
  </si>
  <si>
    <t>Özgür Turhan</t>
  </si>
  <si>
    <t>1 km ötesinde bölge bombalanıyor adam çıkmış domates satıyor 😂 vallahi bu adrenalinin hastasıyız 😎 #TurkishArmy</t>
  </si>
  <si>
    <t xml:space="preserve"> ﻳﺤﻲ ﺍﻟﻔﻴﻔﻲ ‏</t>
  </si>
  <si>
    <t>pic.twitter.com/4VFQAqezrw</t>
  </si>
  <si>
    <t>Güneş bizimle doğar. -Marmara üniversitesi</t>
  </si>
  <si>
    <t xml:space="preserve"> ﻣﺒﺸﺮ ﺍﻝ ﺷﺒﻼﻥ</t>
  </si>
  <si>
    <t>أ. نايف الحربي: إعلامي وكاتب صحفي : الآلة الإعلامية القطرية و قناة الجزيرة وتوابعها هزموا .  - جمال خاشقجي #JamalKhashoggi #تركيا</t>
  </si>
  <si>
    <t>pic.twitter.com/QCkrOLnLB6</t>
  </si>
  <si>
    <t>احمد عواد</t>
  </si>
  <si>
    <t>pic.twitter.com/1DoOGhgjXj</t>
  </si>
  <si>
    <t>🇹🇷Ömer</t>
  </si>
  <si>
    <t>Vur şanlı asker vur mehmetçik vur vur #TurkishArmy</t>
  </si>
  <si>
    <t>Of, Trabzon,</t>
  </si>
  <si>
    <t>محمد محرزي</t>
  </si>
  <si>
    <t>pic.twitter.com/zoOzwMbgNG</t>
  </si>
  <si>
    <t>Yücel Yıldızhan</t>
  </si>
  <si>
    <t>Allah Yar ve Yardımcımız Olsun 🇹🇷🇹🇷🇹🇷 #BarisPinariHarekati #TurkishArmy #turkmilletiordusununyaninda</t>
  </si>
  <si>
    <t>https://pbs.twimg.com/media/EGcQV1JWkAEXmNx.jpg</t>
  </si>
  <si>
    <t xml:space="preserve"> عبدالله المحروس </t>
  </si>
  <si>
    <t>أ. سامي المرشد: قطر عبارة عن محطة غاز وقناة إعلامية مُسيطِر عليها جهات أكبر من حجمها تستغلها لزرع العداوة وبث السموم في المنطقة.  - جمال خاشقجي #ايران #خاشقجي</t>
  </si>
  <si>
    <t>AK PARTİ İSTANBUL EKM BAŞKANI⚡️⚡️⚡️⚡️. Bahcelievler Meclis Üyesi. Sevgi bütün engelleri aşar.</t>
  </si>
  <si>
    <t>pic.twitter.com/msuCZoMrb1</t>
  </si>
  <si>
    <t>gül</t>
  </si>
  <si>
    <t>Bizim vatanımız en güzel şiirdir🇹🇷🇹🇷🇹🇷 #TurkishArmy #OperationPeaceSpring RT @siirsabahi_: Vatan bize şiirdir.</t>
  </si>
  <si>
    <t>https://twitter.com/siirsabahi_/status/1181929778582085634</t>
  </si>
  <si>
    <t>🇹🇷🇹🇷🇹🇷</t>
  </si>
  <si>
    <t>مرزوق الرحيلي</t>
  </si>
  <si>
    <t>pic.twitter.com/t1W6duthDo</t>
  </si>
  <si>
    <t xml:space="preserve"> ﺑﺪﺭ ﺑﻦ ﺩﻏﻴﻢ</t>
  </si>
  <si>
    <t>pic.twitter.com/4ub7gpNQj5</t>
  </si>
  <si>
    <t>ﺳﻠﻴﻤﺎﻥ ﻏﺎﻟﺒﻲ</t>
  </si>
  <si>
    <t>pic.twitter.com/iZyM1obk46</t>
  </si>
  <si>
    <t xml:space="preserve"> هاشم الثعلبي </t>
  </si>
  <si>
    <t>pic.twitter.com/7z6QFwkbkQ</t>
  </si>
  <si>
    <t xml:space="preserve"> مشبب  المرشد </t>
  </si>
  <si>
    <t>Ömer AKÇAOĞLU</t>
  </si>
  <si>
    <t>pic.twitter.com/Ge2UMGT3HQ</t>
  </si>
  <si>
    <t>Devlet Ebed Müddet 🇹🇷🐺</t>
  </si>
  <si>
    <t>https://twitter.com/TractorOfficial</t>
  </si>
  <si>
    <t>قطري للنخاع</t>
  </si>
  <si>
    <t>@mohammm14824342 @EyadhF @alshaikhmhmd أخ محمد لا آل الشيخ ولا النظام السعودي من المسلمين تأكّد من هذا الشيء ولا تتعب نفسك معهم هناك قلّة مسلمة مؤمنة لا تتعدّى 10% من تعداد مملكة العبيد و أكثرهم في السجون والمعتقلات هذا غير المغدور بهم مثل #خاشقجي</t>
  </si>
  <si>
    <t>Fatih Uğur</t>
  </si>
  <si>
    <t>#BarışPınarıHarekati #TurkishArmy #OperationPeaceSpring #BarisPinari Rabbim ayağınıza taş değdirmesin Allah yâr ve yardımcınız olsun...</t>
  </si>
  <si>
    <t xml:space="preserve"> سالم العتيبي</t>
  </si>
  <si>
    <t>pic.twitter.com/V3bra7NxhZ</t>
  </si>
  <si>
    <t> يحي آل ميان</t>
  </si>
  <si>
    <t>pic.twitter.com/FJkxlHEHTj</t>
  </si>
  <si>
    <t>FUBAR</t>
  </si>
  <si>
    <t>Anlık Türk ordusu. #BarışPınarıHarekatı #TurkishArmy #BarışPınarı 🇹🇷</t>
  </si>
  <si>
    <t>https://pbs.twimg.com/media/EGcQU0XXoAAc7Hw.jpg</t>
  </si>
  <si>
    <t xml:space="preserve"> فايق الزكري </t>
  </si>
  <si>
    <t>pic.twitter.com/xBfOEHhAy3</t>
  </si>
  <si>
    <t>Ben öyle istiyorum çünkü</t>
  </si>
  <si>
    <t>http://instagram.com/fubaris</t>
  </si>
  <si>
    <t xml:space="preserve"> ادم  مقبل </t>
  </si>
  <si>
    <t>pic.twitter.com/9Dretp1fgB</t>
  </si>
  <si>
    <t>Safa TOPRAK</t>
  </si>
  <si>
    <t xml:space="preserve">عبدالرحيم دخيل الله </t>
  </si>
  <si>
    <t>حصرياً.. السفير ادم ايرلي متحدث الخارجية الأمريكية السابق: اردوغان أكبر منافق في الكرة الأرضية..يذرف الدموع على خاشقجي بينما يزج بالاَف الاتراك بالسجونAdam Ereli: Erdogan is the biggest hypocrite on the plant  #خاشقجي #قطر</t>
  </si>
  <si>
    <t>pic.twitter.com/wGcfizyctA</t>
  </si>
  <si>
    <t>Inspired Naturalist</t>
  </si>
  <si>
    <t>@Jarheads1967 @NConner62 I would caution anyone about joining the military at this moment in time. The #TraitorInChief makes us abandon allies yet sends troops to defend Saudi Arabia- home of most of the 9/11 terrorists and the killers of #JamalKhashoggi. He doesn't give a rat's ass about our troops.</t>
  </si>
  <si>
    <t>MTTB Kayseri</t>
  </si>
  <si>
    <t>Educator, Naturalist, Empowered Citizen, Agent of Change, Standing up for the Marginalized</t>
  </si>
  <si>
    <t xml:space="preserve"> بندر  المطيري</t>
  </si>
  <si>
    <t>Milli Türk Talebe Birliği Kayseri İl Başkanlığı | Şehit Nazımbey Mahallesi, Setenönü Cd. Çayırağası Konağı, No:20, Melikgazi/Kayseri 📞 0 (552) 227 5125</t>
  </si>
  <si>
    <t>http://mttb.org</t>
  </si>
  <si>
    <t>pic.twitter.com/v1fQAwz11m</t>
  </si>
  <si>
    <t>hasan hüseyin bndrn</t>
  </si>
  <si>
    <t>حواء قادري</t>
  </si>
  <si>
    <t>pic.twitter.com/paTVuV5AKJ</t>
  </si>
  <si>
    <t>gök bilimci_herkese kendi uslubuyla cevap veririm.küfürbazlar muhatap olmasın yoksa daha pis küfrederim.</t>
  </si>
  <si>
    <t xml:space="preserve"> فهد الربيعان </t>
  </si>
  <si>
    <t>pic.twitter.com/JegPhf4B8g</t>
  </si>
  <si>
    <t>Hanife önder</t>
  </si>
  <si>
    <t>#BarışPınarıHarekatı başladı. Rabbim ordumuzu muzaffer ve muvaffak eylesin. Allah tüm Mehmetçiklerimizin yar ve yardımcısı olsun #TürkMilletiOrdusununYanında 🇹🇷 Dualarımız Mehmetçiklerimiz için🙏 #BarışPınarıHarekatı 🇹🇷🇹🇷🇹🇷 #TurkishArmy #BarisPinari #Vatan #mehmetçik @tcsavunma</t>
  </si>
  <si>
    <t>https://pbs.twimg.com/media/EGcQTU3WwAAvcAz.jpg</t>
  </si>
  <si>
    <t>مشير النادر</t>
  </si>
  <si>
    <t>pic.twitter.com/P97Z3pm5Fq</t>
  </si>
  <si>
    <t xml:space="preserve"> عبدالله   المديفر </t>
  </si>
  <si>
    <t>pic.twitter.com/5p1KfhM4RF</t>
  </si>
  <si>
    <t>İlker savaş</t>
  </si>
  <si>
    <t>Şu kopan fırtına Türk ordusudur yâ Rabbi. Senin uğrunda ölen ordu, budur yâ Rabbi. Tâ ki yükselsin ezanlarla müeyyed nâmın, Galip et, çünkü bu son ordusudur İslâm'ın! #BarışPınarıHarekatı #BarisPinari #BarisPinariHarekati #TurkishArmy</t>
  </si>
  <si>
    <t>https://pbs.twimg.com/media/EGcQSm6XoAU6k-6.jpg</t>
  </si>
  <si>
    <t>Turgutlu, Türkiye</t>
  </si>
  <si>
    <t>أتصال/ أ. أحمد محارم: كاتب صحفي ومحلل سياسي – نيويورك: تاريخ ايران على مدار 40سنه كان عدواني ولاسيما ضد المملكة .  - جمال خاشقجي #JamalKhashoggi #قطر</t>
  </si>
  <si>
    <t>pic.twitter.com/Uq09JjgKxd</t>
  </si>
  <si>
    <t>Ömer TAKIM</t>
  </si>
  <si>
    <t>Milletimiz var olsun, Devletimiz dirlik bulsun, Ordumuz muzaffer olsun. #BarisPinariHarekati #OperationPeaceSpring #TurkishArmy #BarisPinariHarekati</t>
  </si>
  <si>
    <t>https://pbs.twimg.com/media/EGcQSZJWoAIkiPl.jpg</t>
  </si>
  <si>
    <t xml:space="preserve"> عايش  البقمي</t>
  </si>
  <si>
    <t>pic.twitter.com/MIq12NLlny</t>
  </si>
  <si>
    <t>Bursa</t>
  </si>
  <si>
    <t>Kürşad Şahin</t>
  </si>
  <si>
    <t>Ya ALLAH BİSMİLLAH Rabbim gazamızı mübarek eylesin İnşaAllah #OrdumuzunYanındayız #Muhammedinordusu #TurkishArmy #BarışPınarıHarekati</t>
  </si>
  <si>
    <t>https://pbs.twimg.com/media/EGcQR9WWsAAY7LK.jpg</t>
  </si>
  <si>
    <t>Altındağ, Ankara</t>
  </si>
  <si>
    <t>e_k_a_r_a</t>
  </si>
  <si>
    <t>Vatan sana canım feda.. Allah yardımcınız olsun yiğitler #OperationPeaceSpring #TurkishArmy #BarisPinari #BarisPinariHarekati</t>
  </si>
  <si>
    <t>https://pbs.twimg.com/media/EGcQPhUWwAIYuZW.jpg</t>
  </si>
  <si>
    <t>Behlül</t>
  </si>
  <si>
    <t>Dağların aslanları geceniz gündüz aydınlığın da olsun. Allah ailenize sabır ve gurur versin ! #BarisPinariHarekati #TurkishArmy</t>
  </si>
  <si>
    <t>https://pbs.twimg.com/media/EGcQQpAXoAEbF-K.jpg</t>
  </si>
  <si>
    <t>Mudanya, Türkiye</t>
  </si>
  <si>
    <t>Persona Non Grata Uludağ Üni İstanbul Üni (AUZEF)</t>
  </si>
  <si>
    <t>Erzurumspor.Net</t>
  </si>
  <si>
    <t>https://pbs.twimg.com/media/EGcQQgfXkAE8v_K.jpg</t>
  </si>
  <si>
    <t>Heryerdeyiz</t>
  </si>
  <si>
    <t>🇹🇷 2⃣0⃣0⃣7⃣ #Erzurumspor'lunun; Gören Gözü, İşiten Kulağı, Haykıran Sesiyiz... http://facebook.com/erzurumspor.net… ❄http://instagram.com/erzurumspor_net</t>
  </si>
  <si>
    <t>رامي محمد</t>
  </si>
  <si>
    <t>http://www.erzurumspor.net</t>
  </si>
  <si>
    <t>pic.twitter.com/eFMKpihCkx</t>
  </si>
  <si>
    <t>Yasemin</t>
  </si>
  <si>
    <t>Fırat’ın doğusuna #BarisPinari operasyonu resmen başladı Allah Mehmetçiğimizin yardımcısı olsun🙏 #TurkishArmy</t>
  </si>
  <si>
    <t>Hayat dediğin iki gün. Biri Dün biri Bugün ! #SöylemezsemDuramam #ATATÜRK #Beşiktaş ⚫️⚪️🦅 #Önceİnsan</t>
  </si>
  <si>
    <t>ﺑﻨﺪﺭ ﻣﻔﺮﺡ</t>
  </si>
  <si>
    <t>pic.twitter.com/ehdmN8Hjw8</t>
  </si>
  <si>
    <t>Haber365</t>
  </si>
  <si>
    <t>Terör örgütü, uçakların görüş açısını kapatmak için lastikler yakıyor. #BarışPınarıHarekatı #BarışPınarı #OperationPeaceSpring #TurkishArmy</t>
  </si>
  <si>
    <t>pic.twitter.com/tCF5Ycyi2E</t>
  </si>
  <si>
    <t>365 Gün Haber! | #Haber #SonDakika #Gündem #Magazin #Spor</t>
  </si>
  <si>
    <t>https://www.haber365.com.tr</t>
  </si>
  <si>
    <t>Esma Usta</t>
  </si>
  <si>
    <t>🇹🇷 🙏 #BarışPınarıHarekati #TurkishArmy #turkmilletiordusununyaninda</t>
  </si>
  <si>
    <t>🙏</t>
  </si>
  <si>
    <t>تالا الأذى</t>
  </si>
  <si>
    <t>Gökhan</t>
  </si>
  <si>
    <t>#OperationPeaceSpringSuriye'de terör örgütü PKK/YPG, kontrolü altındaki Rasulayn üzerinde uçan savaş uçaklarımızın gökyüzünde bıraktığı harika desen #TurkishArmy #BarisPinari</t>
  </si>
  <si>
    <t>pic.twitter.com/9nWCTVGjil</t>
  </si>
  <si>
    <t>https://pbs.twimg.com/media/EGcOf0gXUAAIUkp.jpg</t>
  </si>
  <si>
    <t xml:space="preserve"> جواد الزويمل </t>
  </si>
  <si>
    <t>Ferhat Çulha</t>
  </si>
  <si>
    <t>pic.twitter.com/AqOqGSbvRr</t>
  </si>
  <si>
    <t>Rahat uyu Atam,İzindeyiz. #BarisPinariHarekati #TurkishArmy 🇹🇷</t>
  </si>
  <si>
    <t>https://pbs.twimg.com/media/EGcP4vOXoAE4b45.jpg</t>
  </si>
  <si>
    <t xml:space="preserve"> فايز السنيدي</t>
  </si>
  <si>
    <t>pic.twitter.com/3mB9vsL722</t>
  </si>
  <si>
    <t>Nazli Celebi</t>
  </si>
  <si>
    <t>Söz konusu vatansa gerisi teferruattır.. Ayağınıza taş değmesin #TurkishArmy #OperationPeaceSpring #operationspringsofpeace #BarisPinari #BarisPinariHarekati</t>
  </si>
  <si>
    <t>https://pbs.twimg.com/media/EGcQOdtWkAAZiOD.jpg</t>
  </si>
  <si>
    <t>ne biliyim</t>
  </si>
  <si>
    <t>Türk beklenendir. #TurkishArmy</t>
  </si>
  <si>
    <t>Mehmet ADIYAMAN</t>
  </si>
  <si>
    <t>Mal mal bakıyorsundur şimdi parmakların ardından seni OÇ seni 🤣@hdpdemirtas 👋🏻 @HDPgenelmerkezi sesi geliyordu patlamanın #TurkishArmy 💣 #OperationPeaceSpring ⚡️</t>
  </si>
  <si>
    <t>pic.twitter.com/xxwnFn3nRg</t>
  </si>
  <si>
    <t>müptezel..</t>
  </si>
  <si>
    <t>irfan akkurt</t>
  </si>
  <si>
    <t>#TurkishArmy haydi bismillah 🇹🇷</t>
  </si>
  <si>
    <t>https://pbs.twimg.com/media/EGcQNJ0X0AAEvw4.jpg</t>
  </si>
  <si>
    <t>@fenerbahçe💛💙</t>
  </si>
  <si>
    <t>Loan Torondel</t>
  </si>
  <si>
    <t>Lors de la dernière session du Conseil des droits de l’homme de l’ONU, 25 pays ont soutenu une déclaration conjointe appelant l'#ArabieSaoudite à la vérité et à la justice pour le meurtre de #JamalKhashoggi. La France n’en fait pas partie.</t>
  </si>
  <si>
    <t>t.</t>
  </si>
  <si>
    <t>The last army of Islam #TurkishArmy</t>
  </si>
  <si>
    <t>https://www.hrw.org/fr/news/2019/10/08/la-france-devrait-rester-ferme-face-larabie-saoudite</t>
  </si>
  <si>
    <t>You can't stop what you can't see. ~Ankara~Mersin~</t>
  </si>
  <si>
    <t>Paris, France</t>
  </si>
  <si>
    <t>Aid worker, dans l'humanitaire et les droits fondamentaux | Ex Human Rights Watch @hrw_fr, @AubergeMigrants #Calais, @MdM_France (et un peu de #Sail &amp; #Sea ⛵)</t>
  </si>
  <si>
    <t>https://www.instagram.com/loan.torondel/</t>
  </si>
  <si>
    <t>اِنَّا فَتَحْنَا لَكَ فَتْحًا مُب۪ينًاۙ "İnnâ fetahnâ leke fethan mubînâ" 🇹🇷🇹🇷🇹🇷 #barispinariharekati #turkisharmy #türkiye #turkey #BarisPinari #KurdsSideWithTurkey #kurds</t>
  </si>
  <si>
    <t>C A N</t>
  </si>
  <si>
    <t>Vur vur dağcı komando #BarışPınarıHarekatı #TurkishArmy</t>
  </si>
  <si>
    <t>Bursa, Yıldırım</t>
  </si>
  <si>
    <t>Geleceğime bakıyorum geçmişimin diş iziyle.' @can_keskin_ (birazcık küfür içerir)</t>
  </si>
  <si>
    <t>https://www.instagram.com/omer.can.keskin27/</t>
  </si>
  <si>
    <t>İçi 70 bir 22’lik</t>
  </si>
  <si>
    <t>Türk milleti ordusunun yanındadır 🇹🇷 #BarisPinariHarekati #TurkishArmy</t>
  </si>
  <si>
    <t xml:space="preserve"> ﺛﺎﻣﺮ ﺇﺑﺮﺍﻫﻴﻢ  </t>
  </si>
  <si>
    <t>pic.twitter.com/yH8otxPaeX</t>
  </si>
  <si>
    <t>uğur TÜRK ⚡</t>
  </si>
  <si>
    <t>#BarisPinari #TurkishArmy Allah Turke yar olsun</t>
  </si>
  <si>
    <t>مليسة السفر</t>
  </si>
  <si>
    <t>açıktan ümmet ve vatan sever</t>
  </si>
  <si>
    <t>pic.twitter.com/SOyR9AnpmW</t>
  </si>
  <si>
    <t>BuFi_KSK</t>
  </si>
  <si>
    <t>#BarışPınarı #BarışPınarıHarekatı #TSK #TurkishArmy Herkez evini balkonunu arabasını şanlı Bayrağımızla donatmalı Askerimize ordumuza desteğimizi göstermeliyiz Gün birlik günü...</t>
  </si>
  <si>
    <t>https://pbs.twimg.com/media/EGcQJVqWkAAATqu.jpg</t>
  </si>
  <si>
    <t xml:space="preserve"> زياد محمد زارع</t>
  </si>
  <si>
    <t>pic.twitter.com/6nzoLLaNW8</t>
  </si>
  <si>
    <t>KARŞIYAKA AŞK BİR KARA SEVDA 🇹🇷AYYILDIZ🇹🇷 VAR GÖĞSÜMÜZDE... SÖZ KONUSU VATANSA GERİSİ TEFERRUATTIR !</t>
  </si>
  <si>
    <t>SON LAİK BÜKÜCÜ 🇹🇷</t>
  </si>
  <si>
    <t>https://pbs.twimg.com/media/EGcQAW0XUAIKOpy.jpg</t>
  </si>
  <si>
    <t>Bosna Hercegovina</t>
  </si>
  <si>
    <t>Kırmızı çizgileri olan taraflı bir gazeteci #journalist / Irkçı değil Müslüman Türk #DahaGüzelOlacak</t>
  </si>
  <si>
    <t>http://Instagram.com/sonlaikbukucu</t>
  </si>
  <si>
    <t>beyzzz</t>
  </si>
  <si>
    <t>Allah yar ve yardimciniz olsun♥️🇹🇷 #BarışPınarHarekatı #TurkishArmy</t>
  </si>
  <si>
    <t>https://pbs.twimg.com/media/EGcQIbGXoAUotnC.jpg</t>
  </si>
  <si>
    <t xml:space="preserve"> مراد  اليزيدي </t>
  </si>
  <si>
    <t>pic.twitter.com/kkYlA7XLRn</t>
  </si>
  <si>
    <t>Antwerpen, België</t>
  </si>
  <si>
    <t>gurbetci kiz</t>
  </si>
  <si>
    <t>Eren Yılmaz</t>
  </si>
  <si>
    <t>#BarisPinari #TurkishArmy RT @UludagGolgesi: Saha içinde insan yaralayıp ezilmiş halk edebiyatı yapanlara armağan;</t>
  </si>
  <si>
    <t>Victor Looklook</t>
  </si>
  <si>
    <t>@Morning_Joe Wow! Pat Robertson speaking up against the #JamalKhashoggi murder and also speaking up against the withdrawal from Kurdistan</t>
  </si>
  <si>
    <t>https://twitter.com/UludagGolgesi/status/1102497645954772992</t>
  </si>
  <si>
    <t>pic.twitter.com/aFVkuiSiJF</t>
  </si>
  <si>
    <t>TEXAS</t>
  </si>
  <si>
    <t>Texan,Zulucowboy.mmhm!!Politics,News and funny bone with wisdom over here</t>
  </si>
  <si>
    <t>Adnan Menderes Üniversitesi 🇹🇷 🇧🇬</t>
  </si>
  <si>
    <t>http://instagram.com/erenylmz16</t>
  </si>
  <si>
    <t>Merve مرو</t>
  </si>
  <si>
    <t>Sefer bizim, Zafer Allah'ın (c.c) Allah'ım sen ordumuzu muzaffer eyle... #BarisPinari #TurkishArmy #pınarbarısharekatı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</si>
  <si>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Evvel Refik, Badel Tarik 😉</t>
  </si>
  <si>
    <t>Sait Yılmaz ELBAY</t>
  </si>
  <si>
    <t>Vur şanlı silahinla gönül mülkü düzelsin Sen öldürüyorken de vururken de güzelsin 🇹🇷 #BarışPınarıHarekati #TurkishArmy #OperationPeaceSpring</t>
  </si>
  <si>
    <t>http://instagram.com/saitylmz.elbay</t>
  </si>
  <si>
    <t>Berrak</t>
  </si>
  <si>
    <t>Türk olmak zordur, çünkü dünya ile savaşırsın. Türk olmamak daha zordur, çünkü Türk ile savaşırsın. #TurkishArmy</t>
  </si>
  <si>
    <t>سابقة القصيم</t>
  </si>
  <si>
    <t>Hukuk ⚖️ | be a voice, not an echo</t>
  </si>
  <si>
    <t>KADİR CEBECİ</t>
  </si>
  <si>
    <t>#BarısPınarıHarekatı #TurkishArmy #BarisPinari #carsamba</t>
  </si>
  <si>
    <t>https://pbs.twimg.com/media/EGcQFvvWsAEVgTw.jpg</t>
  </si>
  <si>
    <t>AK PARTİ MERZİFON GENÇLİK KOLLARI SİYASİ VE HUKUKİ İŞLER BAŞKANI</t>
  </si>
  <si>
    <t>توقعات سياسية</t>
  </si>
  <si>
    <t>@abdullih1399 نعم، لكن لو لاحظت أنه تحقق جزئيا #رغم_عدم_وجود_ما_يوحي وقتها ف #واشنطن كلها قامت ضده بعدما وقع في فخ #خاشقجي الذي أعد له بإحكام</t>
  </si>
  <si>
    <t>Montreux, Suisse</t>
  </si>
  <si>
    <t>توقعاتنا: تبدأ بعضها (مخالفة للمنطق) ثم (معقولة لكن مستحيلة التحقق) ثم (ممكنة لكن صعبة) ثم (متوقعة) ثم (خبر في وكالات الأنباء) يدعي الجميع بأنه توقعه.</t>
  </si>
  <si>
    <t>Taha Toraman</t>
  </si>
  <si>
    <t>Düğünümüz var! Allah yar ve yardımcınız olsun 🇹🇷🇹🇷🇹🇷 #BarisPinariHarekati #TurkishArmy</t>
  </si>
  <si>
    <t>https://pbs.twimg.com/media/EGcQFSBX0AA7HVQ.jpg</t>
  </si>
  <si>
    <t>Baün-İnşaat Müh. 🇹🇷İman varsa,imkan da vardır.. 🇹🇷</t>
  </si>
  <si>
    <t>Futbol-u Âli</t>
  </si>
  <si>
    <t>pic.twitter.com/BL8gdTgl7Y</t>
  </si>
  <si>
    <t>osmanlifutbolkulubu@gmail.com</t>
  </si>
  <si>
    <t>⚽️ Osmanlı Futbol Latife Account (Parodi Hesap. Burada yazılanların gerçek kişi ve kurumlarla ilgisi yoktur.)</t>
  </si>
  <si>
    <t>https://www.mehmetcik.org.tr/bagis</t>
  </si>
  <si>
    <t>İlhan Yılmaz</t>
  </si>
  <si>
    <t>Cenabı Allah ordumuzu her daim muzaffer eylesin #BarisPinari #BarisPinariHarekati #TurkishArmy</t>
  </si>
  <si>
    <t>https://pbs.twimg.com/media/EGcQFH-WwAA587T.jpg</t>
  </si>
  <si>
    <t>كنانة الحسيني</t>
  </si>
  <si>
    <t>Özel Türmak Okulları Genel Müdürü / Bütün Uğraşı Eğitim / Vatan ve Millet Sevdalısı 🇹🇷🇹🇷🇹🇷</t>
  </si>
  <si>
    <t>http://www.turmakokullari.k12.tr</t>
  </si>
  <si>
    <t>Berkan Çay</t>
  </si>
  <si>
    <t>Allah kahraman askerlerimizin yanında olsun.. Bu saatten sonra gök girsin, kızıl çıksın! #BarışPınarıHarekati #TurkishArmy</t>
  </si>
  <si>
    <t>https://pbs.twimg.com/media/EGcQFVEWoAAynGo.jpg</t>
  </si>
  <si>
    <t>📝Haber editörü__________________________ ❤️Galatasaray____________________________ 🧡Göztepe_______________________________</t>
  </si>
  <si>
    <t>Ben</t>
  </si>
  <si>
    <t>This is truly horrible to see. No country deserves war. This needs to stop. Now. #TurkishArmy</t>
  </si>
  <si>
    <t>https://pbs.twimg.com/media/EGcQE2XWsAAJJI6.jpg</t>
  </si>
  <si>
    <t>ملك أتى مبارك</t>
  </si>
  <si>
    <t>pic.twitter.com/dMux5k5Haz</t>
  </si>
  <si>
    <t>Songül ϜϓſϞ🇹🇷 🐺</t>
  </si>
  <si>
    <t>Het Turkse leger heeft de macht om alle terroristen op te ruimen! 🇹🇷🇹🇷🇹🇷🇹🇷🇹🇷🇹🇷🇹🇷🇹🇷🇹🇷🇹🇷🇹🇷🇹🇷🇹🇷🤘🇹🇷 #TurkishArmy</t>
  </si>
  <si>
    <t>🇹🇷Türkiyem🇹🇷 🇹🇷Mustafa Kemal Atatürk🇹🇷 Vaktiyle bir Atsız Varmış🤘🇹🇷 @TSKGnkur @Tumyad4 Anne 👩‍👧‍👦 Evli💑</t>
  </si>
  <si>
    <t>Unvansız</t>
  </si>
  <si>
    <t>Dosta güven düşmana korku...Bu sözün maddi dünyada vücut bulmuş hali aşağıdaki uyarı levhasıdır. #TurkishArmy</t>
  </si>
  <si>
    <t>https://pbs.twimg.com/media/EGcQEWqXUAElWW-.jpg</t>
  </si>
  <si>
    <t>Constant Despair</t>
  </si>
  <si>
    <t>Bravo Six going dark</t>
  </si>
  <si>
    <t>i.</t>
  </si>
  <si>
    <t>GAME OVER. TURKS ARE COMING. #TurkishArmy</t>
  </si>
  <si>
    <t>FENERBAHÇE SEN ÇOK YAŞA. EGE ÜNİVERSİTESİ</t>
  </si>
  <si>
    <t>AYDIN LAL</t>
  </si>
  <si>
    <t>Anlatmış Geliyoruz... #TurkishArmy</t>
  </si>
  <si>
    <t>https://pbs.twimg.com/media/EGcQCgRXoAYbkO_.jpg</t>
  </si>
  <si>
    <t>İnsanoğlu; bildiğini susar, yediğini kusar.✍️ Bu sözümü bu dünya’ya bırakıyorum... #Fenerbahçe💛💙🕴</t>
  </si>
  <si>
    <t>VAROŞ HAYAT</t>
  </si>
  <si>
    <t>Erdoğan : #BarışPınarıHarekati İçin Kemal kılıçdaroğlu Meral Akşener Devlet bahçeli Muhalefet Liderlerini Arayarak Bilgi Verdi #TurkishArmy</t>
  </si>
  <si>
    <t xml:space="preserve">متعب بن مليح </t>
  </si>
  <si>
    <t>pic.twitter.com/ONj4iaSpeH</t>
  </si>
  <si>
    <t>Ankara Havadis</t>
  </si>
  <si>
    <t>Barış Pınarı Harekatı başladı! Kahraman Mehmetçiğimizin kılıcı keskin olsun! ABD ve PKK kaybedecek. Zafer Türkiye'nin olacak! #BarışPınarıHarekatı #TurkishArmy #OperationPeaceSpring</t>
  </si>
  <si>
    <t>https://pbs.twimg.com/media/EGcQBhVX0AI9PGa.jpg</t>
  </si>
  <si>
    <t>Ankaralı İnternet Gazetesi 🇹🇷iletisim@ankarahavadis.net</t>
  </si>
  <si>
    <t>https://ankarahavadis.net</t>
  </si>
  <si>
    <t xml:space="preserve"> سامي عجب</t>
  </si>
  <si>
    <t>pic.twitter.com/QEJam0Pjqn</t>
  </si>
  <si>
    <t>Aydın Köse</t>
  </si>
  <si>
    <t>Rabbim ayağınıza taş değdirmesin, Dualarımız sizlerle.. @TSKGnkur #TurkishArmy #BarisPinari</t>
  </si>
  <si>
    <t xml:space="preserve"> خالد الزهراني</t>
  </si>
  <si>
    <t>https://pbs.twimg.com/media/EGcQA5_WoAE7QCk.jpg</t>
  </si>
  <si>
    <t>pic.twitter.com/QfYh7LyLNJ</t>
  </si>
  <si>
    <t>Allâha güven, sa'ye sarıl, hikmete râm ol Yol varsa budur, bilmiyorum başka çıkar yol ..</t>
  </si>
  <si>
    <t>Orhan YILDIZ 卍 ϜϓſϞ 卍</t>
  </si>
  <si>
    <t>Çakalları sarar BÖRÜ korkusu Yer yüzüne inmiş TANRI Ordusu Aman vermez cümle ite köpeğe Gökte Kartal yerde #BOZKURT ordusu #TANRI Yar ve Yardımcınız Olsun #BÖRÜ'ler #OperationPeaceSpring #TurkishArmy #BarisPinari #BarisPinariHarekati #KanHafızamızTürk #TürkiyeTürklerindir</t>
  </si>
  <si>
    <t>https://pbs.twimg.com/media/EGcQBMuWkAEnIyw.jpg</t>
  </si>
  <si>
    <t>卍🇹🇷🤘🐺 Ћץґи 🐺🤘🇹🇷 卍 TÜRK , TÜRKÇÜ , TURANÇI , ATATÜRKÇÜ , TÜRK MİLLİYETÇİSİ ÜLKÜCÜ TANRI TÜRK'E YAR OLSUN TURAN ELLER VAROLSUN 🇹🇷🇹🇲🇰🇿🇦🇿🇰🇬🇺🇿</t>
  </si>
  <si>
    <t xml:space="preserve"> ابراهيم عسيري</t>
  </si>
  <si>
    <t>د. محمد الحلفي – الباحث في التاريخ الحديث: اصبح التسويق لـ قناة الجزيرة غير مقبول في ظل ما تقوم به.  #خاشقجي #تركيا</t>
  </si>
  <si>
    <t>pic.twitter.com/SUa9853B8P</t>
  </si>
  <si>
    <t>Sunay</t>
  </si>
  <si>
    <t>Gazamız mübarek olsun, Vurduğumuz leş olsun. #TurkishArmy #BarışPınarıHarekati</t>
  </si>
  <si>
    <t>https://pbs.twimg.com/media/EGcP_z_XUAAlqua.jpg</t>
  </si>
  <si>
    <t>🇹🇷TÜRK IRKI VAR OLSUN🇹🇷 ϜϓſϞ ⚽Beşiktaş🦅</t>
  </si>
  <si>
    <t>Mustafa TÜRKER</t>
  </si>
  <si>
    <t>Hadi bakalım durdurun durdurabiliyorsanız #TurkishArmy</t>
  </si>
  <si>
    <t>🇹🇷🤘🐺TürkoğluTürk - 💛❤🌟🌟🌟🌟- Gazişehir Gaziantep FK</t>
  </si>
  <si>
    <t>A very good, very legal, perfect me</t>
  </si>
  <si>
    <t>Waiting for that U.S. 'retaliation'... Any day now... #TurkishArmy #TrumpIsAWarCriminal</t>
  </si>
  <si>
    <t>https://nyti.ms/2LXXKbU</t>
  </si>
  <si>
    <t xml:space="preserve">عطاالله البلوي </t>
  </si>
  <si>
    <t>pic.twitter.com/LkBAE80dC1</t>
  </si>
  <si>
    <t>Toronto, Ontario, Canada</t>
  </si>
  <si>
    <t>Social Strategist | Word Nerd | Political Junkie | Jeremy Bearimy | Part Time Unicorn 🌈🦄</t>
  </si>
  <si>
    <t>https://twitter.com/hdpdemirtas/status/559790305294430210</t>
  </si>
  <si>
    <t>Ayşe Kansu Novalić</t>
  </si>
  <si>
    <t>Tüm şehitlerin kanının intikamını alsınlar dilerim. #BarisPinariHarekati #TurkishArmy RT @TurkmenElleri: Henüz 22 yaşında şehit edilen öğretmen Şenay Aybüke Yalçın.</t>
  </si>
  <si>
    <t>https://twitter.com/TurkmenElleri/status/1180157692226281472</t>
  </si>
  <si>
    <t>pic.twitter.com/LliYomG8hO</t>
  </si>
  <si>
    <t>Novi Pazar, Srbija</t>
  </si>
  <si>
    <t>Bugün benim için ne yaptın? İyi gün dostuyum... 🇷🇸🇹🇷 Hypatia 💞</t>
  </si>
  <si>
    <t>hans</t>
  </si>
  <si>
    <t>Allah SWT just answered my du'a! Allahuakbar! May Allah protect #TurkishArmy and those innocent civilians. Stay strong, Syrians. May Allah ease everything. Amin ya rabbal alamin.</t>
  </si>
  <si>
    <t>Malaysia</t>
  </si>
  <si>
    <t>still trying to love myself in 2014, finally I found 7 rare stars ⚫141218⚫</t>
  </si>
  <si>
    <t>شاملة الزمني</t>
  </si>
  <si>
    <t>رافضة الحسيني</t>
  </si>
  <si>
    <t>pic.twitter.com/ewBc5lcSzQ</t>
  </si>
  <si>
    <t>عودة الأسد</t>
  </si>
  <si>
    <t>pic.twitter.com/8pGJIcaoBn</t>
  </si>
  <si>
    <t>مروة الرؤف</t>
  </si>
  <si>
    <t>pic.twitter.com/8upASZ1KSX</t>
  </si>
  <si>
    <t>د . مُحب المفتي العام</t>
  </si>
  <si>
    <t>سيدي رئيس هيئة الترفيه توتو وناسة يدعو الشعب السعودي الى الرقص والشرمطة والهشك بشك . واعلام سيدي توتو وناسة في العربية والحدث يدعو الشعب العراقي لحرق وتخريب بلدهم . هذا درس تعلمه سموه من الامير ابليس رضي الله عليه #مظاهرات_العراق #ذكرى_اغتيال_خاشقجي #خاشقجي RT @Turki_alalshikh: لموا شناطكم وعالرياض عدل.. قدامنا مش حتناموا 🔥🔥🔥</t>
  </si>
  <si>
    <t>https://twitter.com/Turki_alalshikh/status/1181357999371235328</t>
  </si>
  <si>
    <t>https://pbs.twimg.com/media/EGUG1abWoAEsCqc.jpg</t>
  </si>
  <si>
    <t>Sefa Cem Sipahi</t>
  </si>
  <si>
    <t>Sanki hiç terhis olmamışız gibi Asil Milletimizin ülkemizin huzur ve güvenliği daima hazır ! Ecdadımızın heybeti ma'rûf-ı cihândır Fıtrat değişir sanma ! Bu kan yine o kandır ! #TurkishArmy 🇹🇷🇹🇷🇹🇷</t>
  </si>
  <si>
    <t>https://pbs.twimg.com/media/EGcP7qsXkAI-K8y.jpg</t>
  </si>
  <si>
    <t>‏‏‏‏‏‏‏‏‏‏‏‏‏‏‏داعية لمنهج السلف الصالح</t>
  </si>
  <si>
    <t>International Business 👔🕴 #kbü 01</t>
  </si>
  <si>
    <t>RealDealDP</t>
  </si>
  <si>
    <t>@MuellerSheWrote #JamalKhashoggi</t>
  </si>
  <si>
    <t>pic.twitter.com/dMQt5QjAps</t>
  </si>
  <si>
    <t>Determined to make a significant difference in the life of at least 1 person I interact with...Just as several others have done for me #OutOfManyOne</t>
  </si>
  <si>
    <t>http://quickinfo247.com</t>
  </si>
  <si>
    <t>عمار الأقل</t>
  </si>
  <si>
    <t>pic.twitter.com/479g9G1Jy2</t>
  </si>
  <si>
    <t>HAKAN ERDOĞMUŞ</t>
  </si>
  <si>
    <t>🇹🇷 #BarışPınarıHarekatı #TurkishArmy RT @RTErdogan: #BarışPınarıHarekatı'nda görev alan kahraman Mehmetçiklerimizin her birini alınlarından öpüyor, kendilerine ve bu harekatta Türkiye'yle birlikte olan tüm yerel destek unsurlarına muvaffakiyetler diliyorum. Allah yar ve yardımcımız olsun.</t>
  </si>
  <si>
    <t>https://twitter.com/rterdogan/status/1181924014157156357</t>
  </si>
  <si>
    <t>Halil Kişeçok</t>
  </si>
  <si>
    <t>Toprağı olmayanın, Evi yuvası olmaz! Bayrağı olmayanın, Şerefi şanı olmaz! Vatanı olmayanın, Namusu olmaz! Elbette ki vatan sevgisi imandandır. Elbette ki hedef kızıl elmadır. Gazamız mübarek olsun. Yolumuz Kudüs'e uzansın inş.🇹🇷 #TurkishArmy #BarışPınarıHarekatı #BarışPınarı</t>
  </si>
  <si>
    <t>https://pbs.twimg.com/media/EGcP4VcX0AEzyZm.jpg</t>
  </si>
  <si>
    <t>📰Gazeteci 🎙️Sunucu 👨‍⚖️İletişim Uzmanı 📱Dijital Medya 💻Dijital Pazarlama 🛒Lentamarketing 🏠 @neslihareket13 ⚡ Galatasaray 🇹🇷🇵🇸</t>
  </si>
  <si>
    <t>http://Instagram.com/halilkisecok</t>
  </si>
  <si>
    <t>Ahmet ELDEN</t>
  </si>
  <si>
    <t>Ya Allah Bismillah... Emir Başkomutandan... Hedef terörün kökünü kurutmak. Rabbim Kahraman Ordumuzun yardımcısı olsun. #TurkishArmy #BarışPınarıHarekatı</t>
  </si>
  <si>
    <t>https://pbs.twimg.com/media/EGcP6Q8XUAAOOfb.jpg</t>
  </si>
  <si>
    <t>TÜRKİYE-KONYA</t>
  </si>
  <si>
    <t>Kader Gayrete Aşıktır...</t>
  </si>
  <si>
    <t>KM 🇹🇷</t>
  </si>
  <si>
    <t>. Aklımız ve kalbimiz şanlı ordumuzla birlikte. Şehit ve gazilerimiz için, aileleri için, 1'e 1000 vurun. Allah yar ve yardımcınız olsun. #TurkishArmy #BarisPinari .</t>
  </si>
  <si>
    <t>https://pbs.twimg.com/media/EGcP59sWwAENKju.jpg</t>
  </si>
  <si>
    <t>GÖZLERİMİZ BİZE ANLATIYOR</t>
  </si>
  <si>
    <t>İstiklâl-i Tam</t>
  </si>
  <si>
    <t>@EnesAkenes🇹🇷</t>
  </si>
  <si>
    <t>TOPUNUZ GELİN dedik; Sizden ses gelmeyince, Topumuzu, Tüfeğimizi, Kuşanıp biz geldik! #TurkishArmy #BarışPınarı #BarışPınarıHarekatı 🇹🇷🇹🇷🇹🇷🇹🇷🇹🇷 #KurdsSideWithTurkey</t>
  </si>
  <si>
    <t>pic.twitter.com/uAByVzdmEx</t>
  </si>
  <si>
    <t>İslam coğrafyası</t>
  </si>
  <si>
    <t>Onursuzca teslim olup, Şerefsizce yaşamaktansa; Onurumuzla savaşır, Şerefimizle şehit oluruz..! #AkEkip</t>
  </si>
  <si>
    <t>http://yazbee.com/@EnesAkenes</t>
  </si>
  <si>
    <t>Ben Ferhat 23</t>
  </si>
  <si>
    <t>@SedefGrdg Âmin İNŞAALLAH #TurkishArmy</t>
  </si>
  <si>
    <t>Elazığ, Türkiye#ikizler brc</t>
  </si>
  <si>
    <t>Hayat http://xn--ak-fta.tr.Hep sen mi ağladın yalan dunyada. Bn de Gulmdm yalan dunyada</t>
  </si>
  <si>
    <t>فهد العازمي</t>
  </si>
  <si>
    <t>pic.twitter.com/Kf1pCFDdwd</t>
  </si>
  <si>
    <t xml:space="preserve"> اسماعيل راجح </t>
  </si>
  <si>
    <t>pic.twitter.com/ytxYYyyxCn</t>
  </si>
  <si>
    <t>ﺳﻌﻮﺩ ﻋﺒﺪﺍﻟﺮﺣﻤﻦ</t>
  </si>
  <si>
    <t>pic.twitter.com/EGkK5oZyyj</t>
  </si>
  <si>
    <t>ﻧﺎﺩﺭ ﺩﺧﻴﻞ ﺍﻟﻠﻪ</t>
  </si>
  <si>
    <t>محلل قناة ٢٤ سعودي الفضائية جيري ماهر في برنامج لمن يهمه الأمر: أردوغان يستخدم القضية الفلسطينية فقط من أجل الدعاية والاستهلاك الإعلامي و تركيا لم تقدم لـ فلسطين أو سوريا أي شيء  - جمال خاشقجي #خاشقجي #عام_على_رحيل_خاشقجي</t>
  </si>
  <si>
    <t>pic.twitter.com/zP0Wum93Ud</t>
  </si>
  <si>
    <t>Tonyukuk</t>
  </si>
  <si>
    <t>Vur şanlı tarihin yankılansın! Bilge Kağan, Alparslan, Fatih, Mustafa Kemal gururlansın! #BarışPınarıHarekati #TSK #TurkishArmy</t>
  </si>
  <si>
    <t>https://pbs.twimg.com/media/EGcP4O_WsAEroSW.jpg</t>
  </si>
  <si>
    <t xml:space="preserve">     محمد الناصر </t>
  </si>
  <si>
    <t>pic.twitter.com/ms4Sl9PsNl</t>
  </si>
  <si>
    <t>Vatansever bir BEYEFENDİ.</t>
  </si>
  <si>
    <t>C🅾️nn ♏️eek💰 🇪🇺🤝#FBPE</t>
  </si>
  <si>
    <t>So @realDonaldTrump throws the Kurds (UK allies) under the Turkish tanks after using them to fight ISIS and we want closer ties with this shyster? #TurkishArmy #kurds</t>
  </si>
  <si>
    <t xml:space="preserve">Northern Ireland </t>
  </si>
  <si>
    <t>Giving NI a chance since birth - 🕑 is running out- We must come together to save Peace - RTs don’t = an endorsement &amp; if I block u it’s because you’re a W⚓️</t>
  </si>
  <si>
    <t>burakaydinTR</t>
  </si>
  <si>
    <t>#BarışPınarıHarekatiBen farklı bir TV izliyorum galiba millet tüm sessiz askerimi kimse düşünmüyor dua etmiyor. Tüm dünyaya sesleniyorum BİZİ TEKRAR TARİH YAZMAYA ZORLAMAYIN 🇹🇷🇹🇷🇹🇷#TurkishArmy</t>
  </si>
  <si>
    <t xml:space="preserve">   محمد  قيمي</t>
  </si>
  <si>
    <t>pic.twitter.com/tXD6V8mVul</t>
  </si>
  <si>
    <t>kemalüğe 🇹🇷</t>
  </si>
  <si>
    <t>#BarışPınarıHarekatı’nın Amaç ve Hedefleri⬇️ #AllahBizimledir #OperationPeaceSpring #TürkMilletiOrdusununYanında #TurkishArmy @yigitbulutt</t>
  </si>
  <si>
    <t xml:space="preserve">    محمد آل منجم</t>
  </si>
  <si>
    <t>https://pbs.twimg.com/media/EGcPjVJWkAA4nSU.jpg</t>
  </si>
  <si>
    <t>pic.twitter.com/jAkDdedYIn</t>
  </si>
  <si>
    <t xml:space="preserve">TÜRKİYE/ELAZIĞ/ADANA </t>
  </si>
  <si>
    <t xml:space="preserve"> ﻋﻮﻳﺪ ﺍﻟﺤﺮﺑﻲ</t>
  </si>
  <si>
    <t>pic.twitter.com/luXHd2aSE1</t>
  </si>
  <si>
    <t>MÜCAHİT ÖĞÜK ®</t>
  </si>
  <si>
    <t>Sefer Bizden, Zafer Allah'tandır...🇹🇷 Allah(cc), Barış Pınarı Harekatı’na Katılan Kahraman Askerimizin Yardımcısı Olsun...🇹🇷 #BarisPinari #BarışPınarıHarekati #TurkishArmy #OperationPeaceSpring #TürkMilletiOrdusununYanında</t>
  </si>
  <si>
    <t>https://pbs.twimg.com/media/EGcP2CEWoAAzOn-.jpg</t>
  </si>
  <si>
    <t>⭕Video İçeriği Üretici</t>
  </si>
  <si>
    <t xml:space="preserve"> حماد شبيلي</t>
  </si>
  <si>
    <t>http://instagram.com/mucahitoguk</t>
  </si>
  <si>
    <t>pic.twitter.com/hmqSGwsWQ2</t>
  </si>
  <si>
    <t>BlueTrue22 #TrumpTreason 😡🔥</t>
  </si>
  <si>
    <t>@ColMorrisDavis @realDonaldTrump @Morning_Joe Erdogan has evidence Trump &amp; Kushner were accomplices in #JamalKhashoggi 's murder. Bet on it.</t>
  </si>
  <si>
    <t>#Impeach45 Was #bbluetrue1 joined 2013. #BanAssautWeapons #FreePress #EndVoterSuppresion #ArrestGhislaine #HealthcareForAll #Kamala or #Beto #Trump is a Fascist</t>
  </si>
  <si>
    <t>Metolayzer</t>
  </si>
  <si>
    <t>Haber salın TÜRKLER geliyor.🇹🇷 #TurkishArmy #BarisPinariHarekati</t>
  </si>
  <si>
    <t>https://pbs.twimg.com/media/EGcP0JNWwAI5JCL.jpg</t>
  </si>
  <si>
    <t>DARDAYIM. MSKÜ/Fethiye</t>
  </si>
  <si>
    <t>{ المشكاة }</t>
  </si>
  <si>
    <t>اللوا :#الفغم تمت تصفيته بنفس طريقة #خاشقجي من قبل ولي العهد السعودي المتهور ❗️غدرا والقائمة في ازدياد وعلى الأسرة الحاكمة سرعة اتخاذ القرار بعزل محمد بن سلمان من ولاية العهد وإلا قد يختفي اسم المملكة العربية السعودية في سنوات قليله بسبب نهج ولي العهد السعودي الغير عقلاني</t>
  </si>
  <si>
    <t>erdem bal</t>
  </si>
  <si>
    <t>Ey şanlı ordu,ey şanlı asker. Haydi gazanfer, umman-ı safter ! 🇹🇷 #BarisPinari #BarisPinariHarekati #TurkishArmy</t>
  </si>
  <si>
    <t>(وَلْتَكُن مِّنكُمْ أُمَّةٌ يَدْعُونَ إِلَى الْخَيْرِ )</t>
  </si>
  <si>
    <t>#YenidenRefah #MilliGörüş 👍 #ErbakanVakfı ☝️Fenerbahçeli 💛💙 #Xiaomici #Ferrari 🏁🚩 #Akrep ♏</t>
  </si>
  <si>
    <t>سعد بن عجب</t>
  </si>
  <si>
    <t>pic.twitter.com/dLvF2i7oDl</t>
  </si>
  <si>
    <t>SQUID App Australia</t>
  </si>
  <si>
    <t>Turkish military launches attack on Kurdish positions in Syria  #TurkishArmy #Kurds #DonaldTrump #KurdsBetrayedByTrump</t>
  </si>
  <si>
    <t>http://www.abc.net.au/news/2019-10-10/turkish-military-launches-attack-on-kurdish-positions-in-syria/11584084</t>
  </si>
  <si>
    <t>حسن الزهيري</t>
  </si>
  <si>
    <t>australia</t>
  </si>
  <si>
    <t>Your News Buddy. All your favourite #news in one #app, in nine languages! Stay on top of news! Feel FREE to download: App store, Google play</t>
  </si>
  <si>
    <t>http://www.squidapp.co/au</t>
  </si>
  <si>
    <t>pic.twitter.com/J3bvxxdWI8</t>
  </si>
  <si>
    <t>Cinnet Mustatili</t>
  </si>
  <si>
    <t>سعد بن عبدالعزيز</t>
  </si>
  <si>
    <t>Bu saatten sonra bu #BarisPinari #TurkishArmy</t>
  </si>
  <si>
    <t>pic.twitter.com/hrnAt847Gz</t>
  </si>
  <si>
    <t>https://pbs.twimg.com/media/EGcPyKbWsAcd9ar.jpg</t>
  </si>
  <si>
    <t xml:space="preserve">zeoventenao </t>
  </si>
  <si>
    <t>sökmedi ama hoyrat kuralları faşizmin..</t>
  </si>
  <si>
    <t>Tuğrul</t>
  </si>
  <si>
    <t>BAŞLADIK VURMAYA .YA ALLAH. #BarisPinariHarekati #TurkishArmy 🇹🇷🇹🇷</t>
  </si>
  <si>
    <t>https://pbs.twimg.com/media/EGcPyOmXUAA58H-.jpg</t>
  </si>
  <si>
    <t>Arel Üni-Civil Engineer</t>
  </si>
  <si>
    <t xml:space="preserve"> ﻋﺜﻤﺎﻥ ﺍﻟﺒﻜﺮﻱ ‏ </t>
  </si>
  <si>
    <t>pic.twitter.com/hfwW6NWMLe</t>
  </si>
  <si>
    <t>الاهلي الملكي</t>
  </si>
  <si>
    <t>pic.twitter.com/1KJ0IeUOEs</t>
  </si>
  <si>
    <t>Eyüp YILDIRIM</t>
  </si>
  <si>
    <t>- Ve , terörü yok etme harekâtı başladı.. ALLAH ŞANLI ORDUMUZ'un yanındadır. 🇹🇷🇹🇷🇹🇷 Yedek Astsubaylıkdan sıkıldım.. Keşke beni de dahil etselerdi bu operasyona.. 😥 "Ya Allah" #çarşamba #BarisPinari #BarisPinariHarekati #TurkishArmy #GazamızMuebarekOlsunBaslıyoruz</t>
  </si>
  <si>
    <t>pic.twitter.com/AIC6AQXfmv</t>
  </si>
  <si>
    <t>الملكي .. الراقي .. بطل الثلاثية .. = اهلاووووي صميم</t>
  </si>
  <si>
    <t>pic.twitter.com/eGgYINQPRE</t>
  </si>
  <si>
    <t xml:space="preserve">Aydın / TÜRKİYE </t>
  </si>
  <si>
    <t>✈️Retired from of the Turkish Air Force🇹🇷Long Live #Palestine🇵🇸 İnsansız yaşayabildim Türküsüz hiçbir zaman💚KONYASPOR💚Diğer hesaplar @42Quds ve @EyyubiKul</t>
  </si>
  <si>
    <t>Taşında gözü olanın yurduna mezar kazacağız. #BarisPinariHarekati #TurkishArmy</t>
  </si>
  <si>
    <t>https://pbs.twimg.com/media/EGcPw_sXUAE6fAR.jpg</t>
  </si>
  <si>
    <t>Müzik Öğretmeni</t>
  </si>
  <si>
    <t>Oğuzhan ÖZDEN</t>
  </si>
  <si>
    <t>Bin atlı akınlarda çocuklar gibi şendik! "Allahumme'nsur ibadike'l -muminine ale'l -kafirine nasran aziza" #BarışPınarıHarekatı #TurkishArmy #OrdumuzunYanındayız</t>
  </si>
  <si>
    <t>https://pbs.twimg.com/media/EGcPw4jXkAIctVp.jpg</t>
  </si>
  <si>
    <t>"Dalından düşen yaprağın akıbetini rüzgar tayin eder". Başbuğ Alparslan TÜRKEŞ</t>
  </si>
  <si>
    <t>Mahmut  boğa</t>
  </si>
  <si>
    <t>Uzun zamandır sabırla beklenen operasyon başladı. Allah Kuzey Suriye'de Adaletin keskin kılıcını icra etmek isteyen askerlerimizin yardımcısı olsun. #BarışPınarıHarekati #TurkishArmy</t>
  </si>
  <si>
    <t>https://pbs.twimg.com/media/EGcPwkbXYAAZm7z.jpg</t>
  </si>
  <si>
    <t>Bissan Fakih</t>
  </si>
  <si>
    <t>SDF, Trump, Turkey etc etc. Don't forget about the civilians who survived Isis brutality, endured the aerial bombardment of their towns and had just now started to rebuild their homes and schools and hospitals... only to face another wave of violence. #Syria #TurkishArmy</t>
  </si>
  <si>
    <t>Beirut</t>
  </si>
  <si>
    <t>Campaigner and storyteller. Formerly Campaign Director @TheSyriaCmpgn. Lebanese. Romanian when its convenient. Email bissanfakih@gmail.com.</t>
  </si>
  <si>
    <t>Selahattin PAÇA</t>
  </si>
  <si>
    <t>Türkiye Cumhuriyeti'nin en büyük oparasyonu olan #BarisPinariHarekati şuan itibari ile başladı... Allah ordumuza milletimize ve devletimize zarar ziyan vermesin. 🇹🇷 #TuerkMilletiOrdusununYanında #TurkishArmy #Turkey 🇹🇷</t>
  </si>
  <si>
    <t>İstanbul Üniversitesi, Siyaset Bilimi Ve Uluslar Arası İlişkiler Öğrencisi. || Istanbul University, Political Science and International Relations Student.</t>
  </si>
  <si>
    <t>Karabük Türk Ocağı</t>
  </si>
  <si>
    <t>#TurkishArmy #BarışPınarıHarekati</t>
  </si>
  <si>
    <t>pic.twitter.com/ThLBwDsA5N</t>
  </si>
  <si>
    <t>Karabük, Türkiye</t>
  </si>
  <si>
    <t>Türk Ocakları Karabük Şubesi Twitter Hesabı</t>
  </si>
  <si>
    <t>http://www.karabukturkocagi.com</t>
  </si>
  <si>
    <t>MrTBdK</t>
  </si>
  <si>
    <t>Rabbim yardımcınız olsun Ayağınıza taş değmesin Aslanlar Gazamiz mübarek olsun #BarışPınarıHarekatı #TurkishArmy #OperationPeaceSpring #YaALLAH #YaBismillah 🤘🏽🇹🇷🇹🇷🤘🏽</t>
  </si>
  <si>
    <t>https://pbs.twimg.com/media/EGcPuYqXkAAtIWF.jpg</t>
  </si>
  <si>
    <t>⚪🤘🏿⚔ERZURUMSPOR⚔🤘🏿💙</t>
  </si>
  <si>
    <t>Kuzgunumtrak</t>
  </si>
  <si>
    <t>Vur vur dağcı komando 💥 🇹🇷 Götü kollayın çocuk hırsızı biji bijiler. #TurkishArmy</t>
  </si>
  <si>
    <t>Plüton</t>
  </si>
  <si>
    <t>https://instagram.com/kuzgunumtrak</t>
  </si>
  <si>
    <t>W.i.l.l.i.a.m</t>
  </si>
  <si>
    <t>More blood being spilled #syria this time the men and women who did most of the fighting against #is today Europe #TurkishArmy is killing them #Kurds .</t>
  </si>
  <si>
    <t xml:space="preserve">Scotland </t>
  </si>
  <si>
    <t>They shall be spoken of among their people the generations shall remember them and called them blessed . Patrick Pearse</t>
  </si>
  <si>
    <t>pic.twitter.com/PnKUl3Rz9d</t>
  </si>
  <si>
    <t>Tom Shelby</t>
  </si>
  <si>
    <t>Kimin söylediğini bilmiyorum ama o özlü söz şöyle: " Savaş zenginler için fırsat, generaller için onur, yoksullar için ölümdür..." Allah yar ve yardımcımız olsun. #BarisPinari #pınarbarısharekatı #TurkishArmy</t>
  </si>
  <si>
    <t>Prof-Siyasal bilgini-Düşünür-Ordinaryüs-Felsefeci-Analiz uzman</t>
  </si>
  <si>
    <t>süeda</t>
  </si>
  <si>
    <t>https://pbs.twimg.com/media/EGcPoP6XYAA1us8.jpg</t>
  </si>
  <si>
    <t xml:space="preserve">  هادي  المهداوي</t>
  </si>
  <si>
    <t>pic.twitter.com/07wtlB856G</t>
  </si>
  <si>
    <t>Bob Loblaw</t>
  </si>
  <si>
    <t>Hey @realDonaldTrump and @LindseyGrahamSC didn’t you say you wouldn’t allow this to happen? #TurkishArmy RT @Acosta: Turkey begins military offensive in Syria, Erdogan announces</t>
  </si>
  <si>
    <t>https://twitter.com/acosta/status/1181928582949552129
http://www.cnn.com/2019/10/09/politics/syria-turkey-invasion-intl-hnk/index.html</t>
  </si>
  <si>
    <t xml:space="preserve"> مسلم  الدخيل </t>
  </si>
  <si>
    <t>pic.twitter.com/er7vuYHNSu</t>
  </si>
  <si>
    <t>Philadelphia</t>
  </si>
  <si>
    <t>Law talking guy. Resister. Eagles and Sixers. Executive Producer Dick Wolf</t>
  </si>
  <si>
    <t>eşrefcan</t>
  </si>
  <si>
    <t>#Sondakika #TurkishArmy YPG/PKK mevzileri topçu atışlarıyla vuruluyor. 2 farklı bölgeden girişler başladı.</t>
  </si>
  <si>
    <t>https://pbs.twimg.com/media/EGcPnXxWkAELgpF.jpg</t>
  </si>
  <si>
    <t xml:space="preserve"> جميل اليوبي</t>
  </si>
  <si>
    <t>pic.twitter.com/h7XCvFHSsJ</t>
  </si>
  <si>
    <t>Haber</t>
  </si>
  <si>
    <t>ميسون الأمر ن</t>
  </si>
  <si>
    <t>pic.twitter.com/F22mRGM23i</t>
  </si>
  <si>
    <t>Muhammet Arslan</t>
  </si>
  <si>
    <t>#TurkishArmy haydi bismillah, Allah muzaffer eylesin #BarisPinari #BarisPinariHarekati</t>
  </si>
  <si>
    <t>https://pbs.twimg.com/media/EGcPnWAWkAA1SMz.jpg</t>
  </si>
  <si>
    <t>1umut</t>
  </si>
  <si>
    <t>La galibe illallah Allah yar ve yardımcınız olsun. #Türkiye 🇹🇷 #turkisharmy</t>
  </si>
  <si>
    <t>https://www.instagram.com/p/B3Zlqs-pkfb/?igshid=n5l4ochw5m8s</t>
  </si>
  <si>
    <t xml:space="preserve"> ﻋﺮﺍﺭ ﺍﻟﺸﺒﻌﺎﻥ</t>
  </si>
  <si>
    <t>عاجل و هام: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#عام_على_رحيل_جمال</t>
  </si>
  <si>
    <t>İsTaNbUl</t>
  </si>
  <si>
    <t>SUSTUKLARIM ORADAN DUYULUYORMU ?</t>
  </si>
  <si>
    <t>pic.twitter.com/jMEv2Ot5iP</t>
  </si>
  <si>
    <t>Web.tv</t>
  </si>
  <si>
    <t>Türk beklenendir. Allah ordumuzu muzaffer eylesin. #BarışPınarıHarekatı #TurkishArmy 🇹🇷🇹🇷🇹🇷🇹🇷🇹🇷</t>
  </si>
  <si>
    <t>https://pbs.twimg.com/media/EGcPm7TX0AI8jpI.jpg</t>
  </si>
  <si>
    <t>http://web.tv</t>
  </si>
  <si>
    <t>مايا الحميدي</t>
  </si>
  <si>
    <t>pic.twitter.com/pvztOH0XOX</t>
  </si>
  <si>
    <t>Kubilay Yikrik</t>
  </si>
  <si>
    <t>Burası Türkiye ne olursan ol söz konusu vatansa hepimiz aynı saftayız.. #TurkishArmy RT @TurkPolisiTC: Siyasi görüşü ne olursa olsun kalbi vatan aşkıyla çarpan herkesin #BarışPınarı harekatına destek verdiğini görüyoruz. Olması gereken de buydu. Kendini sanatçı veya aydın zanneden bazı plastik atıkların(!) bu terör operasyonuna "savaş" adı altında algı yaparak...</t>
  </si>
  <si>
    <t>https://twitter.com/TurkPolisiTC/status/1181816176583811074</t>
  </si>
  <si>
    <t> سعيد بن خضران</t>
  </si>
  <si>
    <t>pic.twitter.com/TMUVqgsLXE</t>
  </si>
  <si>
    <t>📍Denizli / Gaziantep / Elazığ 📚PAÜ 95' Ne Mutlu Türküm diyene!</t>
  </si>
  <si>
    <t>http://instagram.com/Kubilay_ykrk</t>
  </si>
  <si>
    <t>niyo🏆🏆💙💛🇹🇷</t>
  </si>
  <si>
    <t>#TurkishArmy #TürkMilletiOrdusununYanında #BarisPinari RT @Fenerbahce: İstiklal ve istikbalimizin korkusuz bekçisi olan Türk Silahlı Kuvvetlerimize muvaffakiyetler diliyoruz. 🇹🇷 Kalbimiz ve dualarımız Barış Pınarı Harekatı’nda görev alan askerlerimizle... #TürkMilletiOrdusununYanında</t>
  </si>
  <si>
    <t>ﺃﺣﻤﺪ ﺍﻟﻌﻤﺮﻱ</t>
  </si>
  <si>
    <t>pic.twitter.com/jkEItW2JjI</t>
  </si>
  <si>
    <t>Yaramaz Çocuk</t>
  </si>
  <si>
    <t>Temizlik imandandır hewal. 🤓🤓🇹🇷🇹🇷 #TurkishArmy #BarışPınarıHarekatı</t>
  </si>
  <si>
    <t xml:space="preserve"> ﻋﺒﺪﺍﻟﺮﺣﻤﻦ ﺍﻟﻀﻤﺮﻱ ‏</t>
  </si>
  <si>
    <t>pic.twitter.com/1ASOSLWWHN</t>
  </si>
  <si>
    <t>İşe yaramaz, aylak, tembel.🚶🏻‍♂️| #UÜ</t>
  </si>
  <si>
    <t>Muhammed ÖZMEN</t>
  </si>
  <si>
    <t>An itibariyle ordumuz #BarisPinariHarekati nı başlatmıştır.Allah ordumuzu muzaffer eylesin.Necip milletimizin duaları #TurkishArmy ile birliktedir. Allah Türk'e yâr olsun.Milletimiz var olsun.</t>
  </si>
  <si>
    <t>https://pbs.twimg.com/media/EGcPlFTXoAIpI8h.jpg</t>
  </si>
  <si>
    <t>MÜHF</t>
  </si>
  <si>
    <t>TC.Şahin Tulgan</t>
  </si>
  <si>
    <t>#BarışPınarıHarekati #TurkishArmy #TürkMilletiOrdusununYanında Sınırlarınızda sorun varsa bunu gidermenin yolu sınırlarınızı genişletmektir. BAŞBUĞ ATTİLA</t>
  </si>
  <si>
    <t xml:space="preserve">  هادي الخضير </t>
  </si>
  <si>
    <t>د. نايف الوقاع : عندما تقول الولايات المتحدة أنها لن ترفع العقوبات على ايران فإنها تملك دليل قاطع أن هذا النظام لن يتغير .  - جمال خاشقجي #ايران #خاشقجي</t>
  </si>
  <si>
    <t>https://pbs.twimg.com/media/EGcPk_6XkAAIW0d.jpg</t>
  </si>
  <si>
    <t>pic.twitter.com/V7tPM50BbS</t>
  </si>
  <si>
    <t>#TÜRKSENÖĞÜNDEĞİLSENİTAATET #ATATÜRK #NEMUTLUTÜRKÜMDİYENE #BEŞİKTAŞ🌟🌟🌟 #EyTürkÜstteMaviGökÇökmedikçeAlttaYağızYerDelinmedikçeSeninİliniVeTöreniKimBozabilir</t>
  </si>
  <si>
    <t xml:space="preserve">    ناصر الهمامي</t>
  </si>
  <si>
    <t>pic.twitter.com/hZu8hyw9Xe</t>
  </si>
  <si>
    <t>Hakan Sevinç</t>
  </si>
  <si>
    <t>#BarışPınarıHarekati Yaradan, askerin yardımcısı olsun. Milletin gücü ve duaları sizlerle olsun. #barışpınarı #TurkishArmy</t>
  </si>
  <si>
    <t>SEVDAM TÜRKİYE 🇹🇷🇹🇷🇹🇷🇹🇷 Yeter ki dalgalan, Ömrümce sefalet çekeyim. Bir kez ah edersem Soyuma tüküreyim....</t>
  </si>
  <si>
    <t>Biraz dormicum kafası</t>
  </si>
  <si>
    <t>Önce Allaha, sonra sizlere. Canımız, ciğerimiz siz bu vatanın öz Türklerisiniz.. vurduğunuz rastgelsin, dualar sizinle🇹🇷 #TurkishArmy #BarisPinari #BarisPinari</t>
  </si>
  <si>
    <t>Dijital çağın zoraki anestezisi</t>
  </si>
  <si>
    <t>https://www.instagram.com/dmrtpes/</t>
  </si>
  <si>
    <t xml:space="preserve"> سليمان الحسينان </t>
  </si>
  <si>
    <t>pic.twitter.com/nuMwLC495v</t>
  </si>
  <si>
    <t>Ufuk N.</t>
  </si>
  <si>
    <t>#TurkishArmy Rabbim sen askerlerimizi her türlü bela musibet ve tehlikeden koru. Sağ salim başarı ile evlerine dönmeyi nasip et.</t>
  </si>
  <si>
    <t>Ufuk N. Türkçü ve Atatürk'çü. Saraylarda süremem Dağlarda sürdüğümü. Bin cihana değişmem Şu öksüz Türk'lüğümü...</t>
  </si>
  <si>
    <t xml:space="preserve"> ﻣﺸﺎﺭﻱ ﺑﻦ ﺣﻤﻮﺩ</t>
  </si>
  <si>
    <t>Vincent Osmanabakar Yavuz</t>
  </si>
  <si>
    <t>pic.twitter.com/mwcXb1H5OD</t>
  </si>
  <si>
    <t>Tarih tekerrürden ibarettir! #TurkishArmy #BarisPinariHarekati</t>
  </si>
  <si>
    <t>Baker St. 221B</t>
  </si>
  <si>
    <t>ÇOMÜ - SPOR BİLİMLERİ FAKÜLTESİ</t>
  </si>
  <si>
    <t>http://Instagram.com/Oyavuuz</t>
  </si>
  <si>
    <t>عبدالعزيز الدليجان</t>
  </si>
  <si>
    <t>pic.twitter.com/ObGfyWuXKj</t>
  </si>
  <si>
    <t>Ceyda Çetin Erenler🇹🇷</t>
  </si>
  <si>
    <t>#BarışPınarıHarekatı’nın Amaç ve Hedefleri⬇️ #AllahBizimledir #OperationPeaceSpring #TürkMilletiOrdusununYanında #TurkishArmy</t>
  </si>
  <si>
    <t>ﻋﺒﺪﺍﻟﻠﻪ ﺻﺎﻟﺢ</t>
  </si>
  <si>
    <t>pic.twitter.com/QFeim7O0RE</t>
  </si>
  <si>
    <t>AK Parti Genel Merkez Kadın Kolları Başkan Yardımcısı, Sivil Toplum ve Halkla İlişkiler Başkanı, Kütahya Milletvekili</t>
  </si>
  <si>
    <t xml:space="preserve"> عايض خميس </t>
  </si>
  <si>
    <t>pic.twitter.com/NjTy2q4qde</t>
  </si>
  <si>
    <t>Osman KARSAK</t>
  </si>
  <si>
    <t>Vur vur inlesin yer gök dinlesin #BarisPinariHarekati #TurkishArmy</t>
  </si>
  <si>
    <t>Akyel Mühendislik / İnşaat Mühendisi</t>
  </si>
  <si>
    <t>Adolfo Laborde</t>
  </si>
  <si>
    <t>Ayer lo anunciamos en el @elheraldo_mx hoy #TurkishArmy entró en acción. RT @adolfolaborde71: Sobre el retiro de tropas de #EstadosUnidos en #Siria y sus implicaciones para la región mis comentarios para @elheraldo_mx</t>
  </si>
  <si>
    <t>https://twitter.com/adolfolaborde71/status/1181566708747780097
https://heraldodemexico.com.mx/tv/noticiero/turquia-es-una-aliado-importante-para-eu-por-eso-retiro-sus-tropas-de-siria-adolfo-laborde/</t>
  </si>
  <si>
    <t>Mexico D.F.</t>
  </si>
  <si>
    <t>Postdoc en Rel Mex-USA por @Uarizona, Doc en Rel Int por @UNAM_MX, Prof-Inv @anahuac / Colaboro en: @HechosAM @elheraldo_mx,@Forbes_Mex @CNNEE y otros medios</t>
  </si>
  <si>
    <t>http://www.editorialedae.com/</t>
  </si>
  <si>
    <t>ﺣﺎﻣﺪ ﺍﻟﺤﺎﺯﻣﻲ</t>
  </si>
  <si>
    <t>pic.twitter.com/w0MlXU7XXa</t>
  </si>
  <si>
    <t>Saltan</t>
  </si>
  <si>
    <t>✋🇹🇷 #TurkishArmy</t>
  </si>
  <si>
    <t>https://pbs.twimg.com/media/EGcPiAmXoAAwORq.jpg</t>
  </si>
  <si>
    <t xml:space="preserve"> كاظم    الدوسرى</t>
  </si>
  <si>
    <t>محلل قناة ٢٤ سعودي الفضائية صباح الخزاعي في بصريح العبارة : ارتباط دبلوماسيين إيرانيين بمخطط الهجوم على مباراة كرة القدم في كأس العالم عام 2016م في ألبانيا  #خاشقجي #عام_على_اغتيال_جمال</t>
  </si>
  <si>
    <t>pic.twitter.com/obxpgWjVDz</t>
  </si>
  <si>
    <t>HASRET DELİCE</t>
  </si>
  <si>
    <t>@CuneyttYuksell Kazasız belasız bir harekat olsun... Rabbim utandırmasın... Allah yar ve yardımcımız olsun...🇹🇷🇹🇷 #TurkishArmy #TürkMilletiOrdusununYanında</t>
  </si>
  <si>
    <t>Tekirdağ Merkez, Tekirdağ</t>
  </si>
  <si>
    <t>***** Harita ve Kadastro TEKNİKERİ ***** Yarış Dergisi --- Yarış Yazarı</t>
  </si>
  <si>
    <t>http://www.yarisdergisi.com</t>
  </si>
  <si>
    <t>mustafa kütük</t>
  </si>
  <si>
    <t>Sana secde eden orduna yenilgi yüzü gösterme Allah'ım🤲🏻🇹🇷 #BarısPınarHarekatı #TurkishArmy</t>
  </si>
  <si>
    <t>ne için yaşıyorsan onun için yaşa #ultraslan #uakayseri #efekanturkyilmaz</t>
  </si>
  <si>
    <t>Tcr</t>
  </si>
  <si>
    <t>Vur aslanım vur mehmedim. Allahım zeval vermesin ayağınıza taş değmesin. Allahım sevdiklerinize sağ salim kavuşmayı nasip etsin inşallah 🇹🇷🇹🇷🇹🇷 #BarisPinariHarekati #TurkishArmy</t>
  </si>
  <si>
    <t>Elif Nisa Tureci 🇹🇷</t>
  </si>
  <si>
    <t>Başladık! Bir kez daha Allah’ın yardımıyla üzerimize oynanan oyunları bozacağız! Allah kahraman ordumuza en kısa zamanda zaferle dönmeyi nasip etsin 🇹🇷 Dualarımızla yanınızdayız. #BarışPınarı #BarışPınarıHarekatı #OrdumuzunYanındayız #TurkishArmy</t>
  </si>
  <si>
    <t>https://pbs.twimg.com/media/EGcPgo6W4AEQYRA.jpg</t>
  </si>
  <si>
    <t>pic.twitter.com/5mZHtjfpnk</t>
  </si>
  <si>
    <t>Yazar... Kurani Hayat Dergisi, Zafer Dergisi, Haber Vaktim, Nabız Haber, Adana Haber, Marmara Haber, Malatya Haber, Van Postası...</t>
  </si>
  <si>
    <t>https://qoshe.com/yazar/elif-nisa/2490925</t>
  </si>
  <si>
    <t>لا تأكل خبزك على مائدة غيرك</t>
  </si>
  <si>
    <t>VatanTuran🇹🇷𐰰𐰼𐰇𐱅</t>
  </si>
  <si>
    <t>#BarışPınarıHarekatı #BarışHarekatı #PeaceSpringOperation #TurkishArmy #BarisPinari Yaşasın Şanlı ordumuz. Kin tuttuk ölüm saçacağız.</t>
  </si>
  <si>
    <t>https://pbs.twimg.com/media/EGcPgIWXUAE_KkK.jpg</t>
  </si>
  <si>
    <t>pic.twitter.com/luvKoTRHoS</t>
  </si>
  <si>
    <t>Ötüken Ormanından Ayrılmayın!</t>
  </si>
  <si>
    <t>Siyasi içtimai mezhebim Türkçülük TURAN ATATÜRK 🇹🇷🐺🤘 Din kardeşliği,halkların kardeşliği değil ! 𐰰𐰼𐰇𐱅 kardeşliği 𐱃𐰆𐰺𐰣 Partisiz</t>
  </si>
  <si>
    <t>إياك وصاحب السوء فإنه يحسن منظره ويقبح أثره إياك وما يعتذر منه</t>
  </si>
  <si>
    <t>ALÇİN🇹🇷</t>
  </si>
  <si>
    <t>KİNİMİZ DİNİMİZDİR 🇹🇷🇹🇷🇹🇷 #BarışPınarıOperasyonu #TurkishArmy</t>
  </si>
  <si>
    <t>Sadece TÜRK @TSKGnkur</t>
  </si>
  <si>
    <t>Miraç GÖKTEKİN</t>
  </si>
  <si>
    <t>Barışın güvercini, savaşın kartalı 🇹🇷#TurkishArmy</t>
  </si>
  <si>
    <t>Dün geçti, Geleceği bilmiyoruz An bu Andır 🌹</t>
  </si>
  <si>
    <t>Bogi</t>
  </si>
  <si>
    <t>Erdogan orders #TurkishArmy #OperationPeaceSpring against northern #Syria against YPG/SDF/PKK to prevent “terror corridor”, #Kurds mobilize civilian defense Via ⁦@washingtonpost⁩</t>
  </si>
  <si>
    <t>https://www.washingtonpost.com/world/middle_east/with-turkish-offensive-looming-syrian-kurds-mobilize-civilian-defense/2019/10/09/4efca794-ea02-11e9-a329-7378fbfa1b63_story.html</t>
  </si>
  <si>
    <t>pic.twitter.com/fiBPDFnWym</t>
  </si>
  <si>
    <t>Peace, conflict, and security @georgetownsfs @resolvenet @usip 🇭🇺🇪🇺🇺🇸</t>
  </si>
  <si>
    <t xml:space="preserve"> في العجلة الندامة و في التاني السلامة</t>
  </si>
  <si>
    <t>pic.twitter.com/qs58IicBRm</t>
  </si>
  <si>
    <t>Bilgi İstasyonu</t>
  </si>
  <si>
    <t>Harekatın iki aşamalı olması ve Resul Ayn ile Tel Abyad'ın kontrol altına alınması hedefleniyor. Bu anlamda Akçakale ve Ceylanpınar harekatın iki ana merkezi olacak. #BarisPinariHarekati #TurkishArmy</t>
  </si>
  <si>
    <t xml:space="preserve">   دهيم  القحطاني</t>
  </si>
  <si>
    <t>https://pbs.twimg.com/media/EGcPfSjWwAE3uaV.jpg</t>
  </si>
  <si>
    <t>pic.twitter.com/ubT1Kf9NIT</t>
  </si>
  <si>
    <t>Bilgiye sahip olarak doğmuş birisi degilim. Öğretmeyi seviyorum ve ögrenmeye çalışıyorum. KONFÜÇYÜS</t>
  </si>
  <si>
    <t>http://www.bilgiistasyonu.net</t>
  </si>
  <si>
    <t xml:space="preserve"> عبدالله غرمان</t>
  </si>
  <si>
    <t>pic.twitter.com/6FU6eHJ8Mq</t>
  </si>
  <si>
    <t>burhan yağcı</t>
  </si>
  <si>
    <t>@_Caki__ @AmedResho When we decide to eliminate terrorists noone can stop us. Dont beg like a dog #TurkishArmy is merciful but not for the terrorists 🇹🇷</t>
  </si>
  <si>
    <t>ramiz hakan</t>
  </si>
  <si>
    <t>pic.twitter.com/d4aN7m9KTT</t>
  </si>
  <si>
    <t>YAVUZ TOÇOĞLU</t>
  </si>
  <si>
    <t>#BarisPinari #BarisPinariHarekati #TurkishArmy ALLAH YARDIMCINIZ OLSUN 🇹🇷🇹🇷🇹🇷🙏 #turkiye #</t>
  </si>
  <si>
    <t xml:space="preserve">   رزاح  السبيعي</t>
  </si>
  <si>
    <t>pic.twitter.com/LP09nHAYFZ</t>
  </si>
  <si>
    <t>Serdivan, Sakarya</t>
  </si>
  <si>
    <t>C. #Hedef23</t>
  </si>
  <si>
    <t>Hazır başlamışken hatırlatmakta fayda var! KORKMAYIN, TİTREYİN!🇹🇷 #TurkishArmy #BarışPınarıHarekatı</t>
  </si>
  <si>
    <t>pic.twitter.com/QpqIYiDdt0</t>
  </si>
  <si>
    <t>زفرلله الدرن</t>
  </si>
  <si>
    <t>pic.twitter.com/4NMEQCcRSc</t>
  </si>
  <si>
    <t>Biraz kahve, biraz tebessüm. Sevdan, uğruna ölecek kadar güzel @galatasaray !</t>
  </si>
  <si>
    <t>tipi</t>
  </si>
  <si>
    <t>ZAFER SİZİN ELİNİZDEDİR KILICINIZ KESKİN OLSUN İSLAMIN SON ORDUSU🐺 #TurkishArmy #BarisPinariHarekati</t>
  </si>
  <si>
    <t>https://www.instagram.com/ersinbayraktr/</t>
  </si>
  <si>
    <t>pic.twitter.com/S4sEmflaru</t>
  </si>
  <si>
    <t>Mustafa Kemal Kutlu</t>
  </si>
  <si>
    <t>Allah askerlerimizin yar ve yardımcısı olsun... Ayaklarina taş değmesin inşallah Sağ Salim gelin yigitler,Allah sevdiklerinize, sevenlerinize bagislasin.... #TurkishArmy</t>
  </si>
  <si>
    <t>علي بن إبراهيم</t>
  </si>
  <si>
    <t>اللواء المتقاعد د. زايد العمري: خبير استراتيجي ومحلل سياسي : إيواء قطر لجماعة الاخوان سيجعلها في قائمة الإرهاب في أوروبا .  - جمال خاشقجي #خاشقجي #عام_على_رحيل_جمال</t>
  </si>
  <si>
    <t>pic.twitter.com/AJg3NX9KxO</t>
  </si>
  <si>
    <t>Gazi Mustafa Kemal Atatürk'ün Askeri</t>
  </si>
  <si>
    <t>Ekrem ÇELEBİ</t>
  </si>
  <si>
    <t>Terör hedeflerini bertaraf etmek, Suriye’nin toprak bütünlüğü sağlamak ve tüm bölge halkını terörün pençesinden kurtarmak için Mehmetçiğimizin başlattığı #BarışPınarıHarekatı'na katılan tüm askerlerimizi Rabbim korusun. Allah ordumuzu muzaffer eylesin. Yanınızdayız. #TurkishArmy</t>
  </si>
  <si>
    <t>https://pbs.twimg.com/media/EGcPXhtXkAANQ2l.jpg</t>
  </si>
  <si>
    <t>Ağrı-Ankara</t>
  </si>
  <si>
    <t>Adalet Bakanlığı Bürokratı AK Parti Ağrı Milletvekili TBMM Plan ve Bütçe Komisyon Üyesi Bangladeş Dostluk Grup Başkanı Ağrı spor ve Trabzonspor’lu</t>
  </si>
  <si>
    <t>ﻓﻴﺎﺽ ﺍﻟﺸﻤﺮﻱ</t>
  </si>
  <si>
    <t>pic.twitter.com/pKxMpeIroA</t>
  </si>
  <si>
    <t>𝙰𝚕𝚒𝚌𝚊𝚗 "Syria Endgame Special"</t>
  </si>
  <si>
    <t>tivit patlamış hahaha. Suriye'nin kuzeyine başlayan operasyonla ilgili gelişmeler için hesabımı takip edebilirsiniz... #BarışPınarıHarekatı #TurkishArmy RT @TheBigApple13: @temmuz1071 Yanlış bilmiyorsam Koral sisteminin harp sahasında ilk kullanımı oluyor bu operasyon. Çok işimize yarayacak bir sistem. Devasa bir kuvvet çarpanı.</t>
  </si>
  <si>
    <t>https://twitter.com/TheBigApple13/status/1181926346928381952</t>
  </si>
  <si>
    <t>Izmir &amp; Ankara</t>
  </si>
  <si>
    <t>Most Likes for archiving. RT not endorsement. Sustainability Consultant, Defense &amp; Security Policy Expert, ☀️İYİ Parti Gençlik Kolları Genel İdare Kurulu Üyesi</t>
  </si>
  <si>
    <t>CİHAT MERT</t>
  </si>
  <si>
    <t>Vatan ne Türkiyedir Türklere, ne Türkistan Vatan, büyük ve müebbet bir ülkedir: Turan #TurkishArmy #TuerkMilletiOrdusununYanında #OperationPeaceSpring #BarisPinariHarekati RT @hiyibildiren: TSK’nın Afrin’de İdlib’de Kerkük’te,El Bab’da ne işi var diyenler iyi izleyin #BarisPinari #BarışPınarıHarekati</t>
  </si>
  <si>
    <t>https://twitter.com/hiyibildiren/status/1181928705431674881</t>
  </si>
  <si>
    <t>عميد الحويطات</t>
  </si>
  <si>
    <t>pic.twitter.com/OTVo7ybtpX</t>
  </si>
  <si>
    <t>pic.twitter.com/mPd02nTH8E</t>
  </si>
  <si>
    <t>KTO KARATAY ÜNİVERSİTESİ</t>
  </si>
  <si>
    <t>بوخالد الكبيسي</t>
  </si>
  <si>
    <t>@monther72 ودم أبن وطنك #خاشقجي أليس أغلى من الجميع !؟ أم ان دماء المسلمين تُقيم درجاتها على حسب ما يراه فرعونكم #سلمان !!!</t>
  </si>
  <si>
    <t>Sinan Tetik</t>
  </si>
  <si>
    <t>HAZIRLANSIN TABUTLUKLAR YİNE GİRİP ÇIKACAĞIZ! #TurkishArmy</t>
  </si>
  <si>
    <t>https://pbs.twimg.com/media/EGcPV8QXkAohIA8.jpg</t>
  </si>
  <si>
    <t>أعامل الناس وكأنني أتصفح كتاب ،،، أتجاهل السخيف .. وأمزق السيئ .. وأتوقف عند الأجمل 🇶🇦</t>
  </si>
  <si>
    <t>🇹🇷 Türkiye Türklerindir</t>
  </si>
  <si>
    <t>Hüsmen Aga</t>
  </si>
  <si>
    <t>Mazluma ümit, haine kahır, korkağa etek getirdik geliyoruz. #TurkishArmy #BarisPinariHarekati</t>
  </si>
  <si>
    <t>https://pbs.twimg.com/media/EGcPVgVX0AAVJd1.jpg</t>
  </si>
  <si>
    <t>af buyur?!</t>
  </si>
  <si>
    <t xml:space="preserve">   ناصر  المفيريج</t>
  </si>
  <si>
    <t>pic.twitter.com/0LyKxW6IgO</t>
  </si>
  <si>
    <t>ﺍﺳﺎﻣﻪ ﺭﺍﺷﺪ</t>
  </si>
  <si>
    <t>pic.twitter.com/5JWRBM3bcF</t>
  </si>
  <si>
    <t>İlknur Doğru</t>
  </si>
  <si>
    <t>Yaşasın ırkımız Çine bedel kırkımız Söylenir türkümüz Çağlardan çağlara..! 🇹🇷 Yürü yürü yürü yürü Yolumuz uzun Dağları bürü bürü Düşmanların kahrolsun..!🇹🇷 RABBIM KUVVET VERSIN KUVVET GÖNDERSİN..!🇹🇷 #BarisPinari #OperationPeaceSpring #BarışPınarıHarekatı #TurkishArmy</t>
  </si>
  <si>
    <t>Birgün Sûr'a Üfletir Zaman 🔥...</t>
  </si>
  <si>
    <t>Fake Hesap (valla)</t>
  </si>
  <si>
    <t>@realDonaldTrump This is Ottoman army madmens pioneering force #TurkishArmy</t>
  </si>
  <si>
    <t>https://pbs.twimg.com/media/EGcPUEAXYAAkplT.jpg</t>
  </si>
  <si>
    <t>Çin malı diye alman malı satıyorlar dikkat olun</t>
  </si>
  <si>
    <t>Patrik Ask</t>
  </si>
  <si>
    <t>Knowing Trump fails at everything he has ever tried, the outcome of the attack of the #TurkishArmy will likely be a major failure that allows the Kurds to turn things around and instead occupy half of Turkey! #TrumpIsADisgrace #TrumpBetrayedTheKurds #TurkeyIsNotOurFriend #uspoli</t>
  </si>
  <si>
    <t>Swedish headmaster and educator that aim to help students and organisations achieve their goals. How can I help you? (Tweets are my own) #Resister</t>
  </si>
  <si>
    <t>https://se.linkedin.com/in/patrik-ask-ba0178110</t>
  </si>
  <si>
    <t>PipCityFx</t>
  </si>
  <si>
    <t>Your free to close before the news. Spike 🔥 #forex #tradewar #forexsignals #investing #investment #TurkishArmy</t>
  </si>
  <si>
    <t>https://pbs.twimg.com/media/EGcPTjUXkAAqk1Z.jpg</t>
  </si>
  <si>
    <t>Top down analysis/ Signals 📈 Account Management 💻 Trade at your own risk</t>
  </si>
  <si>
    <t>نايف عايد</t>
  </si>
  <si>
    <t>pic.twitter.com/2FFkEIfKI7</t>
  </si>
  <si>
    <t xml:space="preserve"> حبيب  فؤاد</t>
  </si>
  <si>
    <t>pic.twitter.com/m9qSuvTLqk</t>
  </si>
  <si>
    <t xml:space="preserve"> سعد باقر </t>
  </si>
  <si>
    <t>pic.twitter.com/rvE9dw92cV</t>
  </si>
  <si>
    <t>Mehmet KARATAŞ Ⓜ</t>
  </si>
  <si>
    <t>Muzaffer ordumuzun ayağına taş değmesin, yolunuz açık olsun. Güle güle gidin güle güle gelin. Allah'a emanet olun. #BarisPinari #TurkishArmy</t>
  </si>
  <si>
    <t xml:space="preserve"> اسامه  الماجد</t>
  </si>
  <si>
    <t>تقرير: خالد بن سلمان: آن الأوان ليقف اليمنيون صفاً واحداً أمام مشروع الدمار الإيراني.  #خاشقجي #قطر</t>
  </si>
  <si>
    <t>pic.twitter.com/vhxt3Y92cp</t>
  </si>
  <si>
    <t>İspir, Erzurum</t>
  </si>
  <si>
    <t>Siyaset Bilimi | Kamu Yönetimi | ODÜ | AB Proje Döngü Yönetimi | Diplomasi Kulübü Başkanı (2016-2018) | Herkes aynı renk olursa gökkuşağımız olmaz ki!</t>
  </si>
  <si>
    <t>https://www.linkedin.com/in/mehmetkrts25</t>
  </si>
  <si>
    <t>Gürkan</t>
  </si>
  <si>
    <t>#BarisPinariHarekati #TurkishArmy Yetmez Türk'e dünya yetmez. Dört yön, yedi kıta yetmez. Aya çıksak aya, yetmez! Güneşi de yakacağız...</t>
  </si>
  <si>
    <t>https://pbs.twimg.com/media/EGcPQ4fX0AAwHbj.jpg</t>
  </si>
  <si>
    <t xml:space="preserve">  عبدالرحمن  السيد</t>
  </si>
  <si>
    <t>محلل قناة ٢٤ سعودي الفضائية د. عمر عبدالستار في نيران ايران: نجحت السعودية في رد الصاع صاعين، أمام الهجمة المجنونة، ونقل المعركة إلى داخل ايران و عزل ايران دولياً وإقليمياً  #خاشقجي #تركيا</t>
  </si>
  <si>
    <t>pic.twitter.com/fFriRg4DzX</t>
  </si>
  <si>
    <t>Kürşat TATAR 🇹🇷</t>
  </si>
  <si>
    <t>Rabbim ordumuzu muzaffer eylesin. #BarışPınarıHarekatı #OperationPeaceSpring #TurkishArmy</t>
  </si>
  <si>
    <t>https://pbs.twimg.com/media/EGcPQVkW4AArVuW.jpg</t>
  </si>
  <si>
    <t>Güneşin doğduğu yerden battığı yere kadar</t>
  </si>
  <si>
    <t xml:space="preserve"> سليم بن عقيل </t>
  </si>
  <si>
    <t>EYTMuraditüremiş</t>
  </si>
  <si>
    <t>pic.twitter.com/kBFr6ShgvB</t>
  </si>
  <si>
    <t>Çatışmaya girmemiş ,bedelli,ve çürükler konuşmasın!!!Biz sahip çıkarız!!!Yıl 1994 #TurkishArmy</t>
  </si>
  <si>
    <t>https://pbs.twimg.com/media/EGcPRFJWwAAUOoa.jpg</t>
  </si>
  <si>
    <t>Ekonomist...Milliyetçi,Türkçü ve Atatürkçü!...Akıncı torunu,Üsküp'lü aslında!...Ne mutlu TÜRK'üm diyene!......</t>
  </si>
  <si>
    <t xml:space="preserve">  بركات العبدلي</t>
  </si>
  <si>
    <t>أتصال/ أ. أحمد محارم: كاتب صحفي ومحلل سياسي – نيويورك: تاريخ ايران على مدار 40سنه كان عدواني ولاسيما ضد المملكة .  - جمال خاشقجي #JamalKhashoggi #السعودية</t>
  </si>
  <si>
    <t>pic.twitter.com/OeFeIbDAcH</t>
  </si>
  <si>
    <t>https://twitter.com/TTAgrup/status/1181928265797308416</t>
  </si>
  <si>
    <t>pic.twitter.com/E6A3f9AzZh</t>
  </si>
  <si>
    <t>TGB Denizli</t>
  </si>
  <si>
    <t>https://pbs.twimg.com/media/EGcPPqOXoAAqbeZ.jpg</t>
  </si>
  <si>
    <t>TGB Denizli İl Örgütü resmi twitter adresidir.</t>
  </si>
  <si>
    <t>http://www.tgb.gen.tr</t>
  </si>
  <si>
    <t>Mustafa Kemal</t>
  </si>
  <si>
    <t>#TurkishArmy 🇹🇷🇹🇷🇹🇷 pkk sdg ypg = terorist organisations RT @temmuz1071: Tag yürüsün hanımlar beyler ve sevgili çocuklar #TurkishArmy</t>
  </si>
  <si>
    <t>https://twitter.com/temmuz1071/status/1181825389091606528
https://twitter.com/Lothbrok29/status/1181825134824435713</t>
  </si>
  <si>
    <t>Bilkent Graduate / İstanbul</t>
  </si>
  <si>
    <t>Oğuz  🏹</t>
  </si>
  <si>
    <t>#TurkishArmy 🇹🇷 for children for women to take their home back.</t>
  </si>
  <si>
    <t>Altay</t>
  </si>
  <si>
    <t>Beşiktaşklı</t>
  </si>
  <si>
    <t>https://twitter.com/</t>
  </si>
  <si>
    <t>Ahmed Turan Ekşi</t>
  </si>
  <si>
    <t>#BarışPınarıHarekatı başladı Türk Ordusu Fırat’ın doğusunda Yâ Allâh..! Bismillâh..! Bu Ordu öyle bir Ordu ki, gelişiyle zâlimler titretiyor, Haber verin Mazlûmlara, Muhammed'in Ordusu geliyor... #TurkishArmy</t>
  </si>
  <si>
    <t>pic.twitter.com/XAuxb90VNe</t>
  </si>
  <si>
    <t>🇹🇷Allâh ve Rasûlünü seven, derdi Ümmet olan ; #ŞERİATÇIYIM Vatanını ve Milletini seven, Bayrak inmez diyen ; #MİLLİYETÇİYİM🇹🇷 Ana hesap @ahmedturan1974</t>
  </si>
  <si>
    <t>Ahmet YILMAZ</t>
  </si>
  <si>
    <t>Ok gıcırtısından Kalkan Sesinden, Dağlar Seda Verip Seslenmelidir, Kır'at Köpüğünden Düşman Kanından, Çevrem Dolup Şalvar Islanmalıdır ... #BarışPınarıHarekati #TurkishArmy #BarışPınarı</t>
  </si>
  <si>
    <t>Uşak, Türkiye</t>
  </si>
  <si>
    <t>İnşaat Mühendisi</t>
  </si>
  <si>
    <t>Âdem Karacan 🇹🇷</t>
  </si>
  <si>
    <t>Başkan Erdoğan: "TSK, Suriye'nin kuzeyinde PKK/YPG ve DEAŞ terör örgütlerine karşı Barış Pınarı Harekatı'nı başlatmıştır." Ya Allah Bismillah Allah yar ve yardımcımız olsun. Bundan sonra TSK'ya destek vermeyen haindir. #TurkishArmy #BarışPınarıHarekati #OperationPeaceSpring</t>
  </si>
  <si>
    <t>İÜ-SBUİ, 🇹🇷, 🇩🇪</t>
  </si>
  <si>
    <t>http://yazbee.com/ademkcn99</t>
  </si>
  <si>
    <t>pic.twitter.com/XgyCukoqws</t>
  </si>
  <si>
    <t>Kazım Özatak</t>
  </si>
  <si>
    <t>Allah Türk Ordusunu Korusun... Mehmetçik🇹🇷🇹🇷 #TurkishArmy  #BarışPınarıHarekati</t>
  </si>
  <si>
    <t>pic.twitter.com/Czj7bouAkC</t>
  </si>
  <si>
    <t>Gazeteci - Yazar // Tarihçi - Sosyolog 🌏Ahbap Gönüllüsü Haluk Levent🎻T.dergi Yayın Koordinatörü...</t>
  </si>
  <si>
    <t>http://blog.milliyet.com.tr/kazimozatak</t>
  </si>
  <si>
    <t>morad salim</t>
  </si>
  <si>
    <t>@monther72 أردوغان لم يقصف أرامكو لم يدمر تلاتة ألوية سعودية و لم يقصف الرياض و حقل الشيبة ووو مشكلة أردوغان أنه سعى لتحقيق العدالة للمغدور #خاشقجي الذي قتله الصبي العاق ..</t>
  </si>
  <si>
    <t>يسقط العملاء و الخوانة و الحكام العربان المتصهيينين</t>
  </si>
  <si>
    <t>Yasin Nusret Günel</t>
  </si>
  <si>
    <t>Ulu Allah'ım; kahraman Türk ordusunu koru, gaza yolunda muzaffer eyle! Amin! #TurkishArmy #TürkSilahlıKuvvetleri #BarışPınarıHarekatı RT @TSKGnkur: Ben Türk Komandosuyum!!! 🇹🇷 #TürkSilahlıKuvvetleri</t>
  </si>
  <si>
    <t>https://twitter.com/TSKGnkur/status/1181566115996196865</t>
  </si>
  <si>
    <t xml:space="preserve"> نواف عبدالمحسن</t>
  </si>
  <si>
    <t>pic.twitter.com/pYf2ZlW5qN</t>
  </si>
  <si>
    <t>Çayeli, Rize</t>
  </si>
  <si>
    <t>Beşiktaş JK Genel Kurul Üyesi | Anadolu Üniversitesi/Tarih</t>
  </si>
  <si>
    <t>http://www.bjk.com.tr</t>
  </si>
  <si>
    <t xml:space="preserve">  عايش السالم </t>
  </si>
  <si>
    <t>د. محمد الحلفي – الباحث في التاريخ الحديث: مُهمة قناة الجزيرة ان يُصبح العالم العربي مُضللاً لا يرى الحقيقة.  #JamalKhashoggi #السعودية</t>
  </si>
  <si>
    <t>Jesus Valiant</t>
  </si>
  <si>
    <t>pic.twitter.com/iPYVhAcVSC</t>
  </si>
  <si>
    <t>Benim Mehmetçiğime laf edenin yedi ceddini z*keyim. (Afedersiniz) #BarisPinariHarekati #BarisPinari #OperationPeaceSpring #TurkishArmy</t>
  </si>
  <si>
    <t>https://pbs.twimg.com/media/EGcPKgrWoAAfmiI.jpg</t>
  </si>
  <si>
    <t>Vatan Millet Beşiktaş.</t>
  </si>
  <si>
    <t>Emre ŞEPLİ</t>
  </si>
  <si>
    <t>#TurkishArmy 🇹🇷🇹🇷🇹🇷👑👑👑</t>
  </si>
  <si>
    <t>【️BEŞİKTAŞ】️</t>
  </si>
  <si>
    <t>Ali Haydar Yılmaz</t>
  </si>
  <si>
    <t>Kahraman TÜRK Ordusu, yolun açık olsun! Dualarımız, kalbimiz sizinle.🇹🇷 #BarışPınarıHarekati #TurkishArmy #turkmilletiordusununyaninda #TurkMilletiOrdusununYanındadır</t>
  </si>
  <si>
    <t>https://pbs.twimg.com/media/EGcPJy5WkAEr-kF.jpg</t>
  </si>
  <si>
    <t>Milli, Yerli ve Yeni</t>
  </si>
  <si>
    <t xml:space="preserve">  حمد  الحربي </t>
  </si>
  <si>
    <t>@Seyit Ahmet BALOĞLU</t>
  </si>
  <si>
    <t>اتصال/ أ. شفان الخابوري: ممثل الإدارة الذاتية الديموقراطية في شمال وشرق سوريا : تركيا تسعى من خلال دعمها للأطراف الإرهابية والمتطرف تحقيق غايتها في الشمال السوري .  #JamalKhashoggi #السعودية</t>
  </si>
  <si>
    <t>#TurkishArmy 🇹🇷🧿</t>
  </si>
  <si>
    <t>pic.twitter.com/okG0WxCS6j</t>
  </si>
  <si>
    <t>Selçuklu, Türkiye</t>
  </si>
  <si>
    <t>𐱅𐰇𐰼𐰰 🇹🇷</t>
  </si>
  <si>
    <t>arif</t>
  </si>
  <si>
    <t>Allah yar ve yardımcınız olsun sefer bizim zafer Allah ındır. #BarışPınarıHarekati #BarisPinari #TurkishArmy #turkmilletiordusununyaninda</t>
  </si>
  <si>
    <t>Benim mukaddesatım, Allah’ın varlığından gayrı şan, Resulününün riyasetinden gayrı nam tanımam yalnızca Alemlerin Rabbi olan Allah’ın gazabından korkarım.</t>
  </si>
  <si>
    <t>Aşkı Bendi</t>
  </si>
  <si>
    <t>Peygamberimiz düşmana karşı şöyle dua ederdi ; "Ey Kur'an'ı indiren, bulutları gökyüzünde gezdiren ve düşman saflarını darmadağın eden Allah'ım, düşmanı perişan et ve bizi onlara karşı Muzaffer kıl" (Buhari Cihad 112) #TurkishArmy #TürkMilletiOrdusununYanında #BarışPınarı</t>
  </si>
  <si>
    <t>Zamanı geldiğinde ne yapacağımızı çok iyi biliyoruz. Bir gece ansızın gelebiliriz.</t>
  </si>
  <si>
    <t>Çeçeva SK</t>
  </si>
  <si>
    <t>🇹🇷🇹🇷🇹🇷🇹🇷🇹🇷🇹🇷 ALLAH ORDUMUZUN YARDIMCISI OLSUN #TurkishArmy 💪💪💪💪💪💪</t>
  </si>
  <si>
    <t>https://pbs.twimg.com/media/EGcPGIsXYAI1iXD.jpg</t>
  </si>
  <si>
    <t xml:space="preserve"> عبدالقادر مغربي</t>
  </si>
  <si>
    <t>pic.twitter.com/WvROU1JrLD</t>
  </si>
  <si>
    <t>Çeçeva spor kulübü resmi hesabı. The official accounts of Çeçeva SK. cecevaspor2019@gmail.com</t>
  </si>
  <si>
    <t>http://www.cecevaspor.org</t>
  </si>
  <si>
    <t>فتحي الأمر</t>
  </si>
  <si>
    <t>pic.twitter.com/BPcs4lONQE</t>
  </si>
  <si>
    <t>Neşat ÇAKMAK</t>
  </si>
  <si>
    <t>#TurkishArmy RT @TSKGnkur: Ben Türk Komandosuyum!!! 🇹🇷 #TürkSilahlıKuvvetleri</t>
  </si>
  <si>
    <t>سعيد الحارثي</t>
  </si>
  <si>
    <t>pic.twitter.com/ow3zqMXXCI</t>
  </si>
  <si>
    <t>Denizli-Ankara</t>
  </si>
  <si>
    <t>YTÜ’18 -Electrical Engineering Denizli LEAÖL'13</t>
  </si>
  <si>
    <t>Bihavadis.com</t>
  </si>
  <si>
    <t>Mehmetçiklerimiz sefere çıktı tüm Türkiye'de birlik ve beraberlik selalarını bekliyoruz! @diyanetbasin @DiyanetVakfi #BarışPınarıHarekatı #TurkishArmy #RecepTayyipErdoğan</t>
  </si>
  <si>
    <t>Size, bi havadisimiz var! bihavadis@bihavadis.com</t>
  </si>
  <si>
    <t>http://www.bihavadis.com</t>
  </si>
  <si>
    <t xml:space="preserve"> حامد سعد </t>
  </si>
  <si>
    <t>pic.twitter.com/qBMpmHR6uy</t>
  </si>
  <si>
    <t>Mehmet YAMAK</t>
  </si>
  <si>
    <t>Allah ordumuzu muvaffak eylesin, Mehmetçiklerimizi korusun, dualarımız sizinle 🇹🇷 #BarışPınarıHarekatı #TurkishArmy #OperationPeaceSpring</t>
  </si>
  <si>
    <t>https://pbs.twimg.com/media/EGcPG0eXUAAQqqQ.jpg</t>
  </si>
  <si>
    <t>Ankara, İstanbul, İzmir</t>
  </si>
  <si>
    <t>Vatan, Aile, Beşiktaş ve ATATÜRK.</t>
  </si>
  <si>
    <t>SARSAR</t>
  </si>
  <si>
    <t>https://pbs.twimg.com/media/EGcPF7kX0AAy8Xe.jpg</t>
  </si>
  <si>
    <t xml:space="preserve"> </t>
  </si>
  <si>
    <t>🇹🇷 RECEP TAYYİP ERDOĞAN 🇹🇷 🇹🇷 DEVLET BAHÇELİ 🇹🇷 🇹🇷 CUMHUR İTTİFAKI 🇹🇷</t>
  </si>
  <si>
    <t>윤호's Ila in Wonderland</t>
  </si>
  <si>
    <t>me a turkish bts army thought that this was about bts.. #TurkishArmy</t>
  </si>
  <si>
    <t xml:space="preserve">wonho's collarbone </t>
  </si>
  <si>
    <t>I live so I love</t>
  </si>
  <si>
    <t>https://twitter.com/Louis_Tomlinson/status/120620074301267968</t>
  </si>
  <si>
    <t>RUHWER 🇹🇷</t>
  </si>
  <si>
    <t>#BarışPınarıHarekati #TurkishArmy Fitne Oyun kurdukça Hak Yolun Yoldaşları Oyun Bozuyor! Cenabı Allah'a, ahirete inanıp Salih amel işleyenler için, Rableri katında mükafatlar vardır. Onlar için korku yoktur! Zafer, yalnızca mutlak güç ve hikmet sahibi Allah katındandır. #syria</t>
  </si>
  <si>
    <t>https://pbs.twimg.com/media/EGcPEzrWoAAOtxg.jpg</t>
  </si>
  <si>
    <t>Hayattan zevk almaya kalkan hüsrana uğrar, Zevk vermekten zevk alan sonsuz zevkin sahibi olur. Sevgi ve Saygılar. @CevahirHabib</t>
  </si>
  <si>
    <t>http://ruhwer.blogcu.com/</t>
  </si>
  <si>
    <t>Burak Yaganlar 🇹🇷</t>
  </si>
  <si>
    <t>#carsamba #TurkishArmy #BarisPinariHarekati</t>
  </si>
  <si>
    <t>https://pbs.twimg.com/media/EGcPC6sXUAAeDA1.jpg</t>
  </si>
  <si>
    <t>Eski kafalı diyorlar bana olsun ben eskilerin daha iyi olduklarına inanıyorum..</t>
  </si>
  <si>
    <t>https://www.instagram.com/burakyagnlar/</t>
  </si>
  <si>
    <t>Feyyaz</t>
  </si>
  <si>
    <t>Ve sana Allah, şanlı bir zaferle yardım eder. Fetih 3 🇹🇷Allah yardımcınız olsun.🇹🇷 #BarisPinariHarekati #OperationPeaceSpring #TurkishArmy</t>
  </si>
  <si>
    <t>https://pbs.twimg.com/media/EGcPEi9XoAAjpP0.jpg</t>
  </si>
  <si>
    <t>Konya,Türkiye</t>
  </si>
  <si>
    <t>"Candan önce, onur gelir." 🇹🇷 "Burada soyut şeklinizle yazdıklarınızı umursamam, onurunuz varsa eğer ete kemiğe bürünmüş şeklinizle karşıma çıkarsınız."</t>
  </si>
  <si>
    <t xml:space="preserve"> ضيف الله  الاحمري</t>
  </si>
  <si>
    <t>pic.twitter.com/XTHjxyAz5K</t>
  </si>
  <si>
    <t>Krystalicznie uczciwy człowiek🇪🇺</t>
  </si>
  <si>
    <t>Bardzo zaniepokoiła mnie informacja o ofensywie Turcji na Syrię. #TurkishArmy #Syrien</t>
  </si>
  <si>
    <t>Warszawa, Polska</t>
  </si>
  <si>
    <t>O polityce, czasem wierszem. Lewak, liberał, pasjonat historii i motoryzacji.</t>
  </si>
  <si>
    <t>Oğuzhan CENGİZ 🇹🇷</t>
  </si>
  <si>
    <t>https://pbs.twimg.com/media/EGcPDKrX0AE3cVh.jpg</t>
  </si>
  <si>
    <t>AK Parti Trabzon İl Gençlik Kolları Başkan Yardımcısı / Üniversiteler Birim Başkanı🇹🇷 / Ktü🎓</t>
  </si>
  <si>
    <t>Tuğba.🥀</t>
  </si>
  <si>
    <t>Hadi bismillah, Allahım sen güç kuvvet ver. Arkasız yiğitler, arkanız Allahtır!🇹🇷 #BarışPınarıHarekatı #TurkishArmy</t>
  </si>
  <si>
    <t>https://pbs.twimg.com/media/EGcPCPLWwAEqIgu.jpg</t>
  </si>
  <si>
    <t>Ankara - Türkeli</t>
  </si>
  <si>
    <t>“Ben ne ateşin çektiği pervâne, ne de kurbanlık koyunum. Ben düşünen baş, inanan gönülüm!”🇹🇷 Gazi Üniversitesi - Gazetecilik🎓</t>
  </si>
  <si>
    <t xml:space="preserve"> ﻇﺎﻓﺮ ﺍﻟﻘﺸﻴﺮﻱ ‏</t>
  </si>
  <si>
    <t>pic.twitter.com/F4BXEzFa7U</t>
  </si>
  <si>
    <t xml:space="preserve">   محمد  سويلم</t>
  </si>
  <si>
    <t>pic.twitter.com/TaYlRAKOP2</t>
  </si>
  <si>
    <t>Ayvazoğlu</t>
  </si>
  <si>
    <t>Allah Türk askerini korusun ve muzaffer eylesin,düşmana fırsat vermesin. Ne mutlu Türküm diyene #OperationPeaceSpring #TurkishArmy #BarisPinariHarekati #BarisPinari</t>
  </si>
  <si>
    <t>Oh Olsun!</t>
  </si>
  <si>
    <t>@RTErdogan Rabbim; ordumuzu muzaffer kılsın. Sizi ve Devlet'i başımızdan eksik etmesin. Pkk/Ypg ve Deaş terör örgütlerini kahretsin. Onların içimizdeki destekçilerini perişan eylesin. Ülkemizi asla zillete düşürmesin. 🤲 #BarışPınarıHarekatı 🇹🇷 #OperationPeaceSpring #TurkishArmy</t>
  </si>
  <si>
    <t>İnsan sevme hissini israf etmemeli, kim ne kadar sevilmeye layıksa, onu o kadar sevmeli.</t>
  </si>
  <si>
    <t>Agnes</t>
  </si>
  <si>
    <t>How can republicans be ok with this Fucking entitled asshole @realDonaldTrump abandoning the Kurds.. I’m so upset. 😥 Impeach his MF ass. I’ve never been on this Impeachment bandwagon but #IamNow #TurkishArmy @LindseyGrahamSC @GOP do your freaking jobs &amp; stop kissing Trump ass</t>
  </si>
  <si>
    <t>Miami</t>
  </si>
  <si>
    <t>Remaining silent in the face of an injustice perpetrates more injustice. NOT SPEAKING SPEAKS VOLUME.</t>
  </si>
  <si>
    <t>Öğrt. Eda</t>
  </si>
  <si>
    <t>Siyasi görüşünüz ne olursa olsun Bu vatan için atıyorsa kalbiniz Bu bayrağın altında soluyorsanız Ebeden devletinize ve ordunuza sadık kalıp Zalime ,küffara,ülkeniz üzerinde hain emelleri olanlara göz açtırmayın ! #BarışPınarıHarekatı #TurkishArmy #TürkMilletiOrdusununYanında RT @mesutbogatemur: "Türkiye’yi teslim alamazsınız, Türk Milletini yenemezsiniz, Türk vatanını bölemezsiniz." #BarışPınarıHarekatı Allah ordumuzu muzaffer eylesin!</t>
  </si>
  <si>
    <t>https://twitter.com/mesutbogatemur/status/1181926111183360001</t>
  </si>
  <si>
    <t>pic.twitter.com/YujtLhi8V9</t>
  </si>
  <si>
    <t>Bingöl Ülkü Ocakları Asena Birim Başkanı🇹🇷 İlahiyat 👩‍🎓 Şiir YAZAR🌿Her telden OKUR🍁 Utanmadıktan sonra dilediğini yap! Hz.Muhammed (sav)</t>
  </si>
  <si>
    <t>http://Instagram.com/eda.19951907</t>
  </si>
  <si>
    <t xml:space="preserve"> عيسى الطويرقي</t>
  </si>
  <si>
    <t>pic.twitter.com/yHgfZlaRIy</t>
  </si>
  <si>
    <t>İbrahim Budak</t>
  </si>
  <si>
    <t>Sınırlarınızızda sorunmu var o zaman genişletin ATİLLA #TurkishArmy #BarisPinariHarekati</t>
  </si>
  <si>
    <t>https://pbs.twimg.com/media/EGcO-uKXkAEQKhe.jpg</t>
  </si>
  <si>
    <t>VIVO</t>
  </si>
  <si>
    <t>Murat ÖNTUĞ</t>
  </si>
  <si>
    <t>@MevlutCavusoglu #TurkishArmy #BarisPinari harekatı başladı; Allah Mehmetçiğimizi korusun ve zafer nasip etsin.</t>
  </si>
  <si>
    <t>Uşak</t>
  </si>
  <si>
    <t>Prof. Dr. Murat ÖNTUĞ</t>
  </si>
  <si>
    <t xml:space="preserve"> جابر الفهمي</t>
  </si>
  <si>
    <t>Duâ D¡Lenc¡ى¡ 🇹🇷</t>
  </si>
  <si>
    <t>. Duâ Ordusundan Tam Destek 🇹🇷 #TurkishArmy 🇹🇷 #BarışPınarıHarekâtı 🇹🇷 #TürkMilletiOrdusununYanında 🇹🇷</t>
  </si>
  <si>
    <t>pic.twitter.com/rBsFbVpkQz</t>
  </si>
  <si>
    <t xml:space="preserve">7 TepeLi Şehrin Sâkini..! </t>
  </si>
  <si>
    <t>📌 MüsLüman Türk 🇹🇷 🌷🌹Kastamonu'Lu Çay'zen ☠☣☢</t>
  </si>
  <si>
    <t>Ertan Altun</t>
  </si>
  <si>
    <t>Girdik ⚡️🇹🇷⚡️ #BarışPınarıHarekatı #TurkishArmy</t>
  </si>
  <si>
    <t>Samsun - İstanbul</t>
  </si>
  <si>
    <t>Okur 📖 İzler 🎬 Grafiker 💻</t>
  </si>
  <si>
    <t>http://instagram.com/ertanaltun</t>
  </si>
  <si>
    <t>وليد بن خالد</t>
  </si>
  <si>
    <t>تقرير / الجزيرة وحديث الرويبضه وتحويل الحقائق وتحريفها عن مواضعها للفتنة.  - جمال خاشقجي #JamalKhashoggi #تركيا</t>
  </si>
  <si>
    <t>Emre Oğlakçı</t>
  </si>
  <si>
    <t>Gün, bütün siyasi kavgaları bir kenara bırakıp birlik olma günüdür. Haklı davamızda millet olarak Mehmetçiğin arkasındayız. Allah yardımcınız olsun aslanlar 🇹🇷🇹🇷 #TurkishArmy #BarisPinariHarekati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</si>
  <si>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pic.twitter.com/pF5vPPxqB0</t>
  </si>
  <si>
    <t>Ceyhan ULUS</t>
  </si>
  <si>
    <t>Türk jetlerinin PKK hedeflerine yönelik bombardımanı devam ediyor. #BarisPinari #BarışPınarıHarekati #TurkishArmy</t>
  </si>
  <si>
    <t>pic.twitter.com/2ohnsLSyqo</t>
  </si>
  <si>
    <t>Yazılım Uzmanı- Süper Güç Olma Yolunda Emin Adımlarla İlerleyen Türkiye'miz İçin T.Erdoğan'ın Destekcisiyiz.</t>
  </si>
  <si>
    <t>Turan 19</t>
  </si>
  <si>
    <t>#BarışPınarıHarekati Allah ordumuzu muzaffer eylesin, askerlerimizin ayagina taş degdirmesin 🇹🇷❤🇹🇷❤🇹🇷❤ #TurkishArmy</t>
  </si>
  <si>
    <t>Enes Yıldız</t>
  </si>
  <si>
    <t>#BarisPinari #BarışPınarıHarekati #OperationPeaceSpring #TurkishArmy</t>
  </si>
  <si>
    <t xml:space="preserve"> الحسن الخيراتي</t>
  </si>
  <si>
    <t>https://pbs.twimg.com/media/EGcO9BgWkAApuNw.jpg</t>
  </si>
  <si>
    <t>pic.twitter.com/55dyzORfnR</t>
  </si>
  <si>
    <t>istanbul, İzmir</t>
  </si>
  <si>
    <t>Mehmet Burak KIVRAK</t>
  </si>
  <si>
    <t>Yeri gelmişken, Harekat bölgesinde olan 10.000 #ISİD teröristinide pazarlığa mâhal vermeden sıkın kafalarına bitsin. #BarisPinari #BarisPinariHarekati #TurkishArmy</t>
  </si>
  <si>
    <t>Bursa - Eskişehir - Balıkesir</t>
  </si>
  <si>
    <t>Libra Emlak Kurucu Ortak</t>
  </si>
  <si>
    <t>http://www.libraemlak.com</t>
  </si>
  <si>
    <t>غالبا الأحسن</t>
  </si>
  <si>
    <t>necip deniz</t>
  </si>
  <si>
    <t>Tanrı Türk’ü korusun; Türk zaten yücedir!! 🇹🇷🇹🇷🇹🇷 #BarisPinariHarekati #TurkishArmy RT @bureauofeconomy: Topçular atışa başladı, uçaklar havalandı, tanklar hareket ediyor.. Gazamız mübarek olsun. Operasyon başladı.</t>
  </si>
  <si>
    <t>https://twitter.com/bureauofeconomy/status/1181919918331219968</t>
  </si>
  <si>
    <t>obstetrician&amp;gynaecolgy//Ex Manager of Ambulance Service//First Aid Trainer//Medical Edu '13//Management of Health-Care Inst '11//Man of Pisces//Stdyng 3th Uni.</t>
  </si>
  <si>
    <t>http://Instagram.com/drnecipdeniz</t>
  </si>
  <si>
    <t>محمد ين حسين</t>
  </si>
  <si>
    <t>pic.twitter.com/wStYWLFO9M</t>
  </si>
  <si>
    <t>Sinem 346 yaşında</t>
  </si>
  <si>
    <t>bugün bayram erken kalkın hewaller giyin en güzel kefenleri elimizde taze kır füzeleri bugün hiç üzmeyelim #TurkishArmy bugün bayram..😘 #BarışPınarıHarekati</t>
  </si>
  <si>
    <t>https://pbs.twimg.com/media/EGcO68vWoAEPR5q.jpg</t>
  </si>
  <si>
    <t>ortasında</t>
  </si>
  <si>
    <t>♏ #1903 🌬Cafuné / /Dünya mavidir tıpkı portakallar gibi</t>
  </si>
  <si>
    <t>M ☾ 🇹🇷</t>
  </si>
  <si>
    <t>@EremSenturk Bu gazeye harekata zarar veriyor. #BarisPinari #TurkishArmy #çarşamba #OperationPeaceSpring #BarisPinari RT @BirGun_Gazetesi: SDF: "Türk savaş uçakları sivil bölgelere hava saldırısı düzenlemeye başladı."</t>
  </si>
  <si>
    <t>https://twitter.com/BirGun_Gazetesi/status/1181924718900862978?s=19
http://bit.ly/2AYzZde</t>
  </si>
  <si>
    <t>Ben mi? Padişah gibi bir kul, muhteşem bir köleyim</t>
  </si>
  <si>
    <t>Fatih Taygar 🇹🇷</t>
  </si>
  <si>
    <t>Türkiye Cumhuriyeti vurdu ve Gooooooooollllllllll! 🇹🇷 #BarışPınarıHarekatı #AllahBizimledir #TurkishArmy #Türksilahlıkuvvetleri</t>
  </si>
  <si>
    <t>https://pbs.twimg.com/media/EGcO6YjXoAIdAPJ.jpg</t>
  </si>
  <si>
    <t>Fransa,  Paris</t>
  </si>
  <si>
    <t>Vinyl Company Technology and Mobile Applications - CEO info@vinyl.com.tr</t>
  </si>
  <si>
    <t>https://www.vinyl.com.tr</t>
  </si>
  <si>
    <t xml:space="preserve">  هجير الخالدي </t>
  </si>
  <si>
    <t>pic.twitter.com/8rzBAVaffJ</t>
  </si>
  <si>
    <t>utkucanpekcan</t>
  </si>
  <si>
    <t>#TurkishArmy 🇹🇷</t>
  </si>
  <si>
    <t>صافية المسرحي</t>
  </si>
  <si>
    <t>Mesutacar</t>
  </si>
  <si>
    <t>Kapına dayanıyorsa zulüm başka yol yok ya İSTİKLAL ya ölüm! #TurkishArmy #BarısPınarlarıHarekatı</t>
  </si>
  <si>
    <t>https://pbs.twimg.com/media/EGcO3NYWsAUhGrp.jpg</t>
  </si>
  <si>
    <t>Hal-il Uşaki</t>
  </si>
  <si>
    <t>Titrerler heybetinden mave gökler, şu yerler. Bize şanlı kahraman zırhlı birlik derler. Yürüyen birer dağız, coşkun seliz, tufanız. Kükreyen aslanlarız, deviz, ateşiz, kanız.. #TurkishArmy #BarisPinariHarekati</t>
  </si>
  <si>
    <t>https://pbs.twimg.com/media/EGcO2xdXoAArfFm.jpg</t>
  </si>
  <si>
    <t>O'nun yanı...</t>
  </si>
  <si>
    <t>Müslümansan dik dur, onlar eğilecek.</t>
  </si>
  <si>
    <t>http://curiouscat.me/halilusaki</t>
  </si>
  <si>
    <t>Gökçe Katun.</t>
  </si>
  <si>
    <t>Rahat uyu Atam, izindeyiz. #BarışPınarıHarekatı #TurkishArmy #BarışPınarı 🇹🇷</t>
  </si>
  <si>
    <t>https://pbs.twimg.com/media/EGcO2HRWsAAm2f6.jpg</t>
  </si>
  <si>
    <t xml:space="preserve">جوهر سليمان </t>
  </si>
  <si>
    <t>تقرير: الأمم المتحدة تستعد لعدوان تركي محتمل شمال شرق سوريا .  #خاشقجي #تركيا</t>
  </si>
  <si>
    <t>pic.twitter.com/cXvP1NWZZw</t>
  </si>
  <si>
    <t>İletişim:katungokce@gmail.com</t>
  </si>
  <si>
    <t xml:space="preserve">   بخيت المالكي</t>
  </si>
  <si>
    <t>محلل قناة ٢٤ سعودي الفضائية ا. يوسف علاونه في الحقيقة :التلاقي في الأهداف بين الترك و الفرس هو تدمير العرب أو إضعاف العرب لصالح المشروعين الإيراني والتركي  - جمال خاشقجي #خاشقجي #قطر</t>
  </si>
  <si>
    <t>pic.twitter.com/znX2uIVRNV</t>
  </si>
  <si>
    <t>Barış Pınarı Harekatı®</t>
  </si>
  <si>
    <t>Sevkiyattan ilk görüntüler. #BarışPınarıHarekatı #TurkishArmy</t>
  </si>
  <si>
    <t>pic.twitter.com/Y7OMpvO48l</t>
  </si>
  <si>
    <t>Barış Pınarı Harekatı Güncel Paylaşım Sayfasıdır. #BarışPınarıHarekatı</t>
  </si>
  <si>
    <t>http://tsk.tr</t>
  </si>
  <si>
    <t>Berkay Toprak</t>
  </si>
  <si>
    <t>TANRI TÜRK’Ü KORUSUN ! 𐱅𐰭𐰼𐰃:𐱅𐰇𐰼𐰜𐰇:𐰸𐰆𐰺𐰽𐰣 🇹🇷 #BarisPinari #TurkishArmy</t>
  </si>
  <si>
    <t xml:space="preserve"> ﻋﺒﺪﺍﻟﺮﺣﻤﻦ ﺍﻟﻔﻴﺼﻞ </t>
  </si>
  <si>
    <t>pic.twitter.com/eFR680STtl</t>
  </si>
  <si>
    <t>ATAL l YU Hukuk l Aydın Barosu ⚖️ 🇹🇷</t>
  </si>
  <si>
    <t>http://instagram.com/_berkaytoprak</t>
  </si>
  <si>
    <t>Ekrem Aydın</t>
  </si>
  <si>
    <t>Rabbim Ordumuzu Korusun. Muzaffer Eylesin.🙏🇹🇷🇹🇷🇹🇷 TÜRK beklenendir... #TurkishArmy #BarisPinariHarekati #BarisPinari #OperationPeaceSpring</t>
  </si>
  <si>
    <t>https://pbs.twimg.com/media/EGcO2NRW4AEDXbm.jpg</t>
  </si>
  <si>
    <t>and sometimes; against all odds, against all logic, we still hope. #GALATASARAY #ultrAslan #şiirhayattır #eyvallah #EnjoyTheLittleThings</t>
  </si>
  <si>
    <t>İBÇ</t>
  </si>
  <si>
    <t>Su uyur, Hulusi AKAR. Teşekkürler @TSKGnkur (Sigara içen tankçı fotoğrafı nerede kaldı?) #BarışPınarıHarekati #OperationPeaceSpring #TurkishArmy</t>
  </si>
  <si>
    <t>Kızıl Elma 🇹🇷</t>
  </si>
  <si>
    <t>"Hizmete özel" diye başlar yazışma, "Vatanın bekası için vazifemizi yaptık,Arz ederiz." diye biter... 🇹🇷 KAMYO '16 🇹🇷</t>
  </si>
  <si>
    <t>https://www.youtube.com/c/ibcTurkishSoldier</t>
  </si>
  <si>
    <t>Türk Vatansever Murat</t>
  </si>
  <si>
    <t>Harekat dediğin gizli olmazmi. Niye gostere göstere haber vere haber vere gidiyoruz. Ayağınıza taş değmesin #TurkishArmy</t>
  </si>
  <si>
    <t>Atatürk ilke ve inkilaplarına bağlı biri..</t>
  </si>
  <si>
    <t>İrfan (عرفان آكٌوش)</t>
  </si>
  <si>
    <t>LEŞ sayısı bekleyenbir ben değilim heralde. 🇹🇷🇹🇷🇹🇷🇹🇷🇹🇷🇹🇷🇹🇷🇹🇷🇹🇷🇹🇷🇹🇷🇹🇷🇹🇷 #BarisPinariHarekatı #TurkishArmy</t>
  </si>
  <si>
    <t>-Tarihçi -Ata.Üni Ortaçağ YL. -Ben söylediklerimden mesulum, anladıklarınızdan değil...✍ Vatan için ölmek de var; fakat borcun yaşamaktır. 🇹🇷🇹🇷🇹🇷</t>
  </si>
  <si>
    <t xml:space="preserve"> سعود الحبوبي</t>
  </si>
  <si>
    <t>pic.twitter.com/61ciJO9VUB</t>
  </si>
  <si>
    <t>Ufuk Imızoğlu</t>
  </si>
  <si>
    <t>Güney sınırımız boyunca, uluslararası bir komplo ile oldu bittiye getirilerek oluşturulmak istenen bir Kürt devletine müsaade edemezdik. Artık bölge, terör değil barış pınarından beslenecek. Ordumuza sonsuz muvaffakiyetler dilerim. #BarışPınarıHarekati #TurkishArmy</t>
  </si>
  <si>
    <t>https://pbs.twimg.com/media/EGcOzigWoAA2lkO.jpg</t>
  </si>
  <si>
    <t>En güçlü iki savaşçı, sabır ve zamandır. Kararsızlık ve gecikme, başarısızlığın temelidir. Eğer hayalindeki şeyin peşinden gitmezsen, asla sahip olamayacaksın.</t>
  </si>
  <si>
    <t xml:space="preserve"> فواز  السبيعي </t>
  </si>
  <si>
    <t>محلل قناة ٢٤ سعودي الفضائية د. أنور مالك في المراقب : نظام الملالي يعيش في مرحلة رعب حقيقي فهو ينشر تهديداته في محاولة لإبعاد شبح الحرب عنه  #JamalKhashoggi #تركيا</t>
  </si>
  <si>
    <t>pic.twitter.com/n7L8sOZkHf</t>
  </si>
  <si>
    <t>مروان</t>
  </si>
  <si>
    <t>قضية #خاشقجي اقاموا عليها الدنيا أما الذي يحصل في #العراق فلا يعنيهم إنه المكر الكبار وخبث الاشرار.</t>
  </si>
  <si>
    <t>تونس</t>
  </si>
  <si>
    <t>متبع للعقيدة السلفية محب للفقه المقارن مناصر لبلاد التوحيد مبغض لأهل البدع والإخوان المفلسين.</t>
  </si>
  <si>
    <t>Asker Mehmet</t>
  </si>
  <si>
    <t>Allah Türk ordusunu korusun, mehmetçiğimize zeval vermesin. Operasyona görevli yiğitlerimizin ayağına taş değmesin. #BarışPınarıHarekatı #TurkishArmy 🇹🇷</t>
  </si>
  <si>
    <t xml:space="preserve"> احمد عديم  </t>
  </si>
  <si>
    <t>pic.twitter.com/hymaEGJEd1</t>
  </si>
  <si>
    <t>🌟🌟🌟🌟 #HEDEF23</t>
  </si>
  <si>
    <t xml:space="preserve"> حسن العفيسان </t>
  </si>
  <si>
    <t>محلل قناة ٢٤ سعودي الفضائية د. أنور مالك في المراقب : إيران تعاني من ضغوط داخلية وخارجية بسب العقوبات الأمريكية التي استهدفت تصفير صادرات النفط الإيراني  #ايران #خاشقجي</t>
  </si>
  <si>
    <t>pic.twitter.com/Xt6KNXRUyL</t>
  </si>
  <si>
    <t>عبدال فتاه المورد</t>
  </si>
  <si>
    <t>pic.twitter.com/3aQKX8wBTn</t>
  </si>
  <si>
    <t>LenKo🇹🇷</t>
  </si>
  <si>
    <t>Kahramanlar göreve başladı. Kılıcınız keskin, Gazamız mubarek olsun. Ayağınıza taş değmesin. Gök girsin kızıl çıksın. İhtiyaç dahilinde her türlü göreve hazır daima hazırız.🇹🇷🐺🇹🇷 Haydi vatanımıza milletimize hayırlı uğurlu olsun. #TurkishArmy #BarisPinariHarekati</t>
  </si>
  <si>
    <t>مودود البشر</t>
  </si>
  <si>
    <t>Anadolu</t>
  </si>
  <si>
    <t>Hiç bir siyasi oluşum ile organik yada inorganik bağım yoktur. NE MUTLU TÜRK' ÜM DİYENE...</t>
  </si>
  <si>
    <t>Rıdvan Fadıloğlu</t>
  </si>
  <si>
    <t>Ordumuzu muzaffer eyle Allah'ım.. Yüzümüzü ve bayrağımızı yere düşürme Allah'ım... Yiğitlerimize zafer ihsan eyle Allah'ım... #TurkishArmy 🇹🇷</t>
  </si>
  <si>
    <t>pic.twitter.com/TGp8gFfZ9S</t>
  </si>
  <si>
    <t>Şehitkamil Belediye Başkanı / Mayor of Şehitkamil</t>
  </si>
  <si>
    <t>http://www.sehitkamil.bel.tr</t>
  </si>
  <si>
    <t>فيديو .. شاهد .. محلل قناة ٢٤ سعودي الحصري د . صباح الخزاعي يلجم مذيع وضيوف قناة الجزيرة للمرة الثانية خلال اسبوع  - جمال خاشقجي #JamalKhashoggi #تركيا</t>
  </si>
  <si>
    <t>pic.twitter.com/IBF38Gy4IJ</t>
  </si>
  <si>
    <t>Erdem Yaman</t>
  </si>
  <si>
    <t>💪🔥 #TurkishArmy</t>
  </si>
  <si>
    <t>عزيز الشهري</t>
  </si>
  <si>
    <t>pic.twitter.com/JumhABYdTO</t>
  </si>
  <si>
    <t>Selçuk University - Computer Programming &amp; System- 🎓http://Instagram.com/eyamann</t>
  </si>
  <si>
    <t>https://youtube.com/ErdemYaman1</t>
  </si>
  <si>
    <t xml:space="preserve"> ضيف العمري</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</si>
  <si>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#السعودية</t>
  </si>
  <si>
    <t>pic.twitter.com/bojia47ePC</t>
  </si>
  <si>
    <t>atakankeskn</t>
  </si>
  <si>
    <t>Haydi Bismillah #BarisPinariHarekati #Erdogan #TurkishArmy</t>
  </si>
  <si>
    <t>https://pbs.twimg.com/media/EGcOwg1W4AAf2hi.jpg</t>
  </si>
  <si>
    <t xml:space="preserve"> شاهر  الحربي </t>
  </si>
  <si>
    <t>pic.twitter.com/qVGGgxJfnG</t>
  </si>
  <si>
    <t>Ede, Nederland</t>
  </si>
  <si>
    <t>Fatih Geleri</t>
  </si>
  <si>
    <t>Gâlib et, çünkü bu son ordusudur İslâm’ın... #TürkMilletiOrdusununYanında #BarisPinariHarekati #TurkishArmy</t>
  </si>
  <si>
    <t>https://pbs.twimg.com/media/EGUJoAMXYAAzCnX.jpg</t>
  </si>
  <si>
    <t>ماجد الأبد</t>
  </si>
  <si>
    <t>Aşk hər şeyə tabidir , hər şeyə qatlaşar, hər şeyə inanar, hər şeyə ümid edir. Başdan heç vaxt getməz.</t>
  </si>
  <si>
    <t>http://www.turkishinsaat.net</t>
  </si>
  <si>
    <t>مهاجر الصالحي</t>
  </si>
  <si>
    <t>Bilal Sahin ℘</t>
  </si>
  <si>
    <t>Muzaffer eyle Yarabbi ! #TurkishArmy #BarışPınarıHarekati</t>
  </si>
  <si>
    <t>https://pbs.twimg.com/media/EGcOv3eWkAEIvWk.jpg</t>
  </si>
  <si>
    <t>عبدال بازيد الراشد</t>
  </si>
  <si>
    <t>pic.twitter.com/oP4H8Bo90K</t>
  </si>
  <si>
    <t>Bursa / Uludağ Üniversitesi</t>
  </si>
  <si>
    <t>Baykuştan pervâmız yok, biz şahinler sürüsüyüz. Siyaset Bilimi ve Kamu Yönetimi YL 📚🇹🇷</t>
  </si>
  <si>
    <t>http://Instagram.com/bsahin_</t>
  </si>
  <si>
    <t>Değişikleşiyorsun</t>
  </si>
  <si>
    <t xml:space="preserve"> مشعل البريدي</t>
  </si>
  <si>
    <t>..... #TurkishArmy</t>
  </si>
  <si>
    <t>pic.twitter.com/oztCErMOj7</t>
  </si>
  <si>
    <t>Değişikleşmek</t>
  </si>
  <si>
    <t>Ahmet Furkan</t>
  </si>
  <si>
    <t>@RTErdogan @BeratAlbayrak 🇹🇷🇹🇷🇹🇷🇹🇷🇹🇷🇹🇷🇹🇷🇹🇷🇹🇷🇹🇷🇹🇷 #TurkMilletiOrdusununYanında #TurkishArmy</t>
  </si>
  <si>
    <t>Serkan BOZKURT</t>
  </si>
  <si>
    <t>Güney sınırımızda oluşturulmaya çalışılan terör koridorunu yok etmek ve bölgeye barış ve huzuru getirmek amacıyla gerçekleştirilecek olan #BarışPınarıHarekatı başlamıştır. Allah Mehmetçiğimizin yar ve yardımcısı olsun. #TurkishArmy #OperationPeaceSpring</t>
  </si>
  <si>
    <t>Hana</t>
  </si>
  <si>
    <t>#BREAKING This is #rojava unde airstrikes of #TurkishArmy</t>
  </si>
  <si>
    <t>https://pbs.twimg.com/media/EGcOuHFWsAAp0-A.jpg</t>
  </si>
  <si>
    <t>Everywhere</t>
  </si>
  <si>
    <t>Suletuygar</t>
  </si>
  <si>
    <t>Yarına kalır, yanınıza kalmaz #TurkishArmy #TuerkMilletiOrdusununYanında</t>
  </si>
  <si>
    <t>Helen</t>
  </si>
  <si>
    <t>@KimStrassel @realDonaldTrump Trump respects Washington Post fact checkers now? #Hardpass Respects fact checkers as much as @POTUS respected &amp; protected #JamalKhashoggi.</t>
  </si>
  <si>
    <t>Troll Trump to rage at fact averting, compromised media whore that betrayed the U.S. Goal to reply to all Trump Tweets, but my job has no #ExecutiveTime. #FBR</t>
  </si>
  <si>
    <t>Yusuf Güçlü</t>
  </si>
  <si>
    <t>حمامة البلال</t>
  </si>
  <si>
    <t>Mehmetçiğimiz yeni bir destan yazma yolunda. Fırat Kalkanı Harekatında ve Zeytin Dalı herakatında olduğu gibi yine mazlumların gür sesi, yine insanlığın umudu ve yüz akı olmaya devam edecek inşallah. #TurkishArmy</t>
  </si>
  <si>
    <t>pic.twitter.com/ZKZZKORv8J</t>
  </si>
  <si>
    <t>boş işler mezunu</t>
  </si>
  <si>
    <t>s2ş başlasın #BarışPınarıHarekatı #TurkishArmy</t>
  </si>
  <si>
    <t>نظمي العبدلرهما</t>
  </si>
  <si>
    <t>pic.twitter.com/LXcpq62AVA</t>
  </si>
  <si>
    <t>Ahmed Abotreka</t>
  </si>
  <si>
    <t>هؤلاء هم أنصاف الرجال لو كنت في السعوديه كنت هتتفق مع بن سلمان في أفتتاح الكباريهات وقتل رجال الدين #خاشقجي 🤐ولوفي مصر كنت هتأييد السيسي في تضييع مياه النهر رغم أنها عائده لك 🤫ده مش كره للأخوان ولكن للأسلام راجع حساباتك مع ربنا ولو أنت سفيه متقولش رأيك تاني عييش في ميه البطيخ RT @NajwaaAli: وهذا عينه منهم كل همه الاخوان ما هذا السفه..!!؟ اترك الرد عليه لكم.</t>
  </si>
  <si>
    <t>https://twitter.com/NajwaaAli/status/1181482384925089792</t>
  </si>
  <si>
    <t>https://pbs.twimg.com/media/EGV39DAWoAAx8kg.jpg</t>
  </si>
  <si>
    <t>Adem Öztürk</t>
  </si>
  <si>
    <t>Askerimiz şu andan İtibaren pkk/ypg ye cehennemi yaşatıyor. ülkemizin bağımsızlığı ve güvenliği için, baska ülkelerin terör örgütleti üzerinden ülkemizi tehdit etmemesi icin milletçe askerimizin arkasindayız. #BarışPınarıHarekati #TurkishArmy #BarisPinari</t>
  </si>
  <si>
    <t>https://pbs.twimg.com/media/EGcOrtzXoAECnF8.jpg</t>
  </si>
  <si>
    <t>مصر</t>
  </si>
  <si>
    <t>HUKUK&amp;SİYASET KENDINE AVUKAT</t>
  </si>
  <si>
    <t>Amina Bin Ahemad</t>
  </si>
  <si>
    <t>pic.twitter.com/TbET3wRLQ4</t>
  </si>
  <si>
    <t>victoria</t>
  </si>
  <si>
    <t>@IvankaTrump #JamalKhashoggi #BloodOnYourHands #KurdishGenocide</t>
  </si>
  <si>
    <t>pic.twitter.com/aG9oNmwGqx</t>
  </si>
  <si>
    <t>#imstillwithher #onwardtogether</t>
  </si>
  <si>
    <t>Tarafsız Haberciniz</t>
  </si>
  <si>
    <t>https://pbs.twimg.com/media/EGcOpseXUAElvB2.jpg</t>
  </si>
  <si>
    <t>Fethiye, Türkiye</t>
  </si>
  <si>
    <t>✴Influencer ✴Instagramer ✴Mobile Photographer</t>
  </si>
  <si>
    <t>http://instagram.com/tarafsizhaberci</t>
  </si>
  <si>
    <t xml:space="preserve"> عبدالرحمن العريفي</t>
  </si>
  <si>
    <t>محلل قناة ٢٤ سعودي الفضائية د. أنور مالك في المراقب : واضح جداً ومما لا شك فيه أبداً أن الممول للحوثيين هم ملالي طهران ويتم ذلك عبر الحرس الثوري الإيراني أو حزب الله اللبناني  - جمال خاشقجي #ايران #خاشقجي</t>
  </si>
  <si>
    <t>pic.twitter.com/Zbtjc5wsc9</t>
  </si>
  <si>
    <t>Alper Uluer</t>
  </si>
  <si>
    <t>Çocukların korkmadığı tek ordudur Türk Ordusu . #TurkishArmy #BarisPinariHarekati</t>
  </si>
  <si>
    <t>https://pbs.twimg.com/media/EGcOpXxWkAA7r4r.jpg</t>
  </si>
  <si>
    <t>Bursa Simav</t>
  </si>
  <si>
    <t>Sefer bizim , Zafer ALLAH'INDIR !</t>
  </si>
  <si>
    <t>Çetin Akyol</t>
  </si>
  <si>
    <t>Eren Bülbül için, Fethi Sekin İçin, Katledilen bebekler, öğretmenler için, Pusu kurulan polis, asker, jandarmalar için ... Vur yiğidim tüm Türkiye yanınızda Sefer emri çıkarsa geliriz yanınıza Allah yar ve yardımcınız olsun ... #BarisPinari #BarışPınarıHarekati #TurkishArmy</t>
  </si>
  <si>
    <t>https://pbs.twimg.com/media/EGcOod_WsAEWWjS.png</t>
  </si>
  <si>
    <t>ﺳﻌﺪ ﺍﻟﻌﻤﺮﻱ</t>
  </si>
  <si>
    <t>pic.twitter.com/E8fPdKYlOe</t>
  </si>
  <si>
    <t>Sistem Mühendisi, İTÜ CSE, Linux Sever, Demokrat</t>
  </si>
  <si>
    <t>محمد الاسلمي</t>
  </si>
  <si>
    <t>pic.twitter.com/5gFpY6cuXy</t>
  </si>
  <si>
    <t>Türk savaş uçakları #Rasulayn'in Mişerfe köyü yakınlarında bulunan terör örgütü YPG/PKK'ya ait bir kontrol noktasını vurdu. #TurkishArmy #OperationPeaceSpring</t>
  </si>
  <si>
    <t>https://pbs.twimg.com/media/EGcOoqPXUAItROp.jpg</t>
  </si>
  <si>
    <t>@izmirtabiki hesabımız askıya alındı artık buradayız..</t>
  </si>
  <si>
    <t xml:space="preserve"> عايض القحطاني</t>
  </si>
  <si>
    <t>pic.twitter.com/oLsGFr85v5</t>
  </si>
  <si>
    <t>Cem</t>
  </si>
  <si>
    <t>“Mehmetçik, ruhunu İslâm nuruyla dolduruşundan sonra, İslâm potasında eriyerek İslâm kalıbına döküp büllurlaşarak darphâneden çıkma has altınlar gibi insanlık pazarına döktüğü, ferdiyet üstü millî ve içtimaî vâhid...” NFK #PınarBarısHarekatı #TurkishArmy</t>
  </si>
  <si>
    <t xml:space="preserve">عبدالرحمن عوضه </t>
  </si>
  <si>
    <t>https://pbs.twimg.com/media/EGcOotHWsAEMsAY.jpg</t>
  </si>
  <si>
    <t>pic.twitter.com/ZDmxadGtcI</t>
  </si>
  <si>
    <t>İşim çok, gücüm çok Uğraşamam egolarla Sizle paylaşacak ünüm münüm yok Yap istediğini, pusulam şaşmaz Çok emek verdim, kusura bakma....</t>
  </si>
  <si>
    <t>hamzza</t>
  </si>
  <si>
    <t>#BarisPinari #TurkishArmy Allah askerimizin yanında olsun.İnşallah yeni bir zafere daha şahit olacağız.Müslüman için savaşta mağlubiyet yoktur.Ya şehit ya gazi.Ama gönül ister ki düşmanlar az sevinsin.</t>
  </si>
  <si>
    <t>ابراهيم قصودة 🇱🇾🇾🇪</t>
  </si>
  <si>
    <t>اين جثة جمال #خاشقجي اين جثة سهام #سيرقيوة #تغيير_مكتب_تويتر_بدبي</t>
  </si>
  <si>
    <t>İnsan Fizyoterapisti</t>
  </si>
  <si>
    <t>https://www.instagram.com/hamzza.ozzel/</t>
  </si>
  <si>
    <t>Tripoli 🇱🇾</t>
  </si>
  <si>
    <t>معارض سابق لنظام #القذافي البائد، كاتب وناشط سياسي من #ليبيا #ثورة_فبراير⛔️ نعم للاسلام السياسي ، اعادة التغريدة تعني الموافقة.</t>
  </si>
  <si>
    <t>http://GasudaAir.com</t>
  </si>
  <si>
    <t>AliCan Akay</t>
  </si>
  <si>
    <t>Allahım! Sen ordumuzu muzaffer eyle!🇹🇷 #BarisPinari #BarisPinariHarekati #TurkishArmy</t>
  </si>
  <si>
    <t>https://pbs.twimg.com/media/EGcOn07XUAAEEE9.jpg</t>
  </si>
  <si>
    <t>Türk,Turan sevdalısı.Tengri bizimledir.🇹🇷🇦🇿 Fenerbahçe/tractorsazi</t>
  </si>
  <si>
    <t xml:space="preserve"> ﻇﺎﻓﺮ ﺍﻟﺪﻭﺳﺮﻱ </t>
  </si>
  <si>
    <t>pic.twitter.com/g0zD6nOYan</t>
  </si>
  <si>
    <t>ELAZIĞ 23</t>
  </si>
  <si>
    <t>Şu kopan fırtına Türk 🇹🇷 ordusudur ya rabbi Senin uğruna ölen ordu budur ya rabbi Düşmanı gafil eyle Ordumu galip eyle yarabbi .. #BarışPınarıHarekati #TurkishArmy</t>
  </si>
  <si>
    <t>https://pbs.twimg.com/media/EGcOnXyWwAAGnxh.jpg</t>
  </si>
  <si>
    <t>Elazığ Harput Elaziz</t>
  </si>
  <si>
    <t>Vatanın Elleri çok güzel amma Gakgoşlar diyarı ELAZIĞ bir başka. . 18.08.16 unutursak kalbimiz kurusun.. Davamız sevgimiz çabamız #Elazığ</t>
  </si>
  <si>
    <t>İbrahim</t>
  </si>
  <si>
    <t>#BarışPınarıHarekati Resmen Başladı! 🇹🇷 TÜRK Ulusu, Barış Pınarı Harekatı'nda Kahraman TÜRK ordusunun yanındadır! Yolunuz açık olsun BOZKURTLAR! #TurkishArmy #OperationPeaceSpring</t>
  </si>
  <si>
    <t>jubiter</t>
  </si>
  <si>
    <t>Bir beden eğitimi öğretmeni</t>
  </si>
  <si>
    <t>عايض حصوصه</t>
  </si>
  <si>
    <t>pic.twitter.com/rvJMADs6Ll</t>
  </si>
  <si>
    <t>Zero</t>
  </si>
  <si>
    <t>Zien hoe propaganda eruit ziet? #TurkishArmy</t>
  </si>
  <si>
    <t>01011010 01100101 01110010 01101111</t>
  </si>
  <si>
    <t xml:space="preserve">جاسم العييدي </t>
  </si>
  <si>
    <t>Sezay</t>
  </si>
  <si>
    <t>Bu milletin öz evlatları;yolunuz açık, Tanrı sizinle olsun. #TurkishArmy #BarisPinariHarekati</t>
  </si>
  <si>
    <t>pic.twitter.com/lJQSyZcwMf</t>
  </si>
  <si>
    <t>https://pbs.twimg.com/media/EGcOkWNX0AE_e6V.jpg</t>
  </si>
  <si>
    <t>az yukarı biraz aşşa</t>
  </si>
  <si>
    <t>Bojan Marsič</t>
  </si>
  <si>
    <t>Turčija začela vojaško ofenzivo proti Kurdom. Ni kaj, Erdogan od vsega največ pridobil, kupoval nafto od islamistov, dobil denar od EU zaradi beguncev in sedaj še utrdil položaj na račun Kurdov. S konsenzom ZDA in EU. #Kurdistan #TurkishArmy</t>
  </si>
  <si>
    <t>Slovenia</t>
  </si>
  <si>
    <t>tourism, gaming, ex journalist, writer, hedonist, backpacker, istrian web admin, analytical, (tweets in english, italian, slovenian)</t>
  </si>
  <si>
    <t>http://bojanm-libero.blogspot.com/</t>
  </si>
  <si>
    <t>yusuf çağlar</t>
  </si>
  <si>
    <t>@RTErdogan idamı getir uygula #TurkishArmy #BarışPınarıHarekati #BarisPinari #SONDAKİKA #EmineBulut #OperationPeaceSpring Sezgin Tanrıkulu #CheGuevara #tubayayardımedin Ya Allah Cumhurbaşkanı Erdoğan Natali Nabil Dirar Arap Birliği başladı Ayn İsa Tevfik Göksu Hadi bismillah</t>
  </si>
  <si>
    <t>bayraklı/izmir/türkiye</t>
  </si>
  <si>
    <t>mehdi gelecek ve isa as 2.kat semadan inecektir.şeriat temizliktir nurdur berekettir asla öcü değildir.</t>
  </si>
  <si>
    <t>Şefik Ersöz 💎</t>
  </si>
  <si>
    <t>Rabbim muzaffer eylesin... La galibe İllalah #BarışPınarıHarekati #BarisPinari #TurkishArmy</t>
  </si>
  <si>
    <t>pic.twitter.com/QL95tXr7MB</t>
  </si>
  <si>
    <t>Şanlıurfa, Türkiye</t>
  </si>
  <si>
    <t>Sosyal Medya Uzmanı 😂</t>
  </si>
  <si>
    <t>Harun Gündüz</t>
  </si>
  <si>
    <t>@Ebsofuoglu Mustafa İslamoğlu safını belli etti. Bundan başka bir şey beklemiyorduk zaten Bu harekata kim karşı bi bakalım. Amerika, Avrupa ülkeleri, Siyonistler, ypg, pkk ve Mustafa İslamoğlu. Müslümanlıktan bahseden şahısa bak. Kafirlerle birlikte takılıyor. Yazıklar olsun.. #TurkishArmy</t>
  </si>
  <si>
    <t>Yolum :Ehli Sünnet Vel Cemaat müdafasi Mürşidim : HİCRİ 15.ASRIN MÜCEDDİDİ MEVLANA ŞEYH MAHMUD EFENDİ(KS)</t>
  </si>
  <si>
    <t>http://www.cubbeliahmethoca.tv</t>
  </si>
  <si>
    <t>Thor Pratap Singh【थॉर प्रताप सिंह】</t>
  </si>
  <si>
    <t>I bet in no less than 2 years Northern Syria will become Vietnam of Turkey, and Turkey will regret going into Unnecessary War with Kurdish Fighters SAVE THIS TWEET #TurkishArmy #Kurdistan #KurdsBetrayedByTrump #KurdishBetrayal #Syria #KurdishResistance #freekurdistan</t>
  </si>
  <si>
    <t xml:space="preserve"> ﺣﺼﻴﻦ ﺍﻟﺴﺒﻴﻌﻲ</t>
  </si>
  <si>
    <t>pic.twitter.com/yWINEt1SWk</t>
  </si>
  <si>
    <t>Hindu Rashtra</t>
  </si>
  <si>
    <t>Mesut</t>
  </si>
  <si>
    <t>"Bugün bizden vatan razı olacak, Nefer şehit, ordu gazi olacak." diyen Boyabatlı Mustafa'nın torunları #BarışPınarıHareketi ile soracak hesabı. #TurkishArmy</t>
  </si>
  <si>
    <t>https://pbs.twimg.com/media/EGcOimtXkAANvfl.jpg</t>
  </si>
  <si>
    <t>Öd Tengri yaşar, kişi oğlı kop ölgeli törümiş. Turancı-Tarihçi...</t>
  </si>
  <si>
    <t>Muharrem Hilmi Erkoç</t>
  </si>
  <si>
    <t>Nasılsın asker diye sorulduğunda şöyle demiştik: "Güçlüyüz, Cesuruz, Hazırız." Mavi bereyi düşürmemek için Komandolar Fırat'ın doğusunda. Dualarımız sizinle #koçyigitler, #aslanlar, #kaplanlar. #BarışPınarıHarekatı🇹🇷🇹🇷🇹🇷 #TurkishArmy🇹🇷🇹🇷🇹🇷</t>
  </si>
  <si>
    <t>https://pbs.twimg.com/media/EGcOhRcWsAECjn4.jpg</t>
  </si>
  <si>
    <t>قناة الخليج</t>
  </si>
  <si>
    <t>سراج عاصي يكتب عن تأثيرات قضية مقتل #خاشقجي في واشنطن</t>
  </si>
  <si>
    <t>pic.twitter.com/IXcRqJK9dT</t>
  </si>
  <si>
    <t>Lecturer at TU Yıldız. Early Carreer Scientist,member of EGU. Researcher on Sea Level Changes, Vertical Land Motions, Tides, Satellite Altimetry and Tide Gauge</t>
  </si>
  <si>
    <t>Unlimited Person</t>
  </si>
  <si>
    <t>Bombing civil area claiming is not true. #BarisPinariHarekati #TurkishArmy RT @ankara_kusu: Sivil yerleşim birimlerinin vurulduğu yönündeki iddialar gerçeği yansıtmıyor.. #BarışPınarıHarekati</t>
  </si>
  <si>
    <t>Arab Gulf</t>
  </si>
  <si>
    <t>تلفزيون الخليج الكلمة الصادقة و المعلومة الموثقة. 📡 تردد القناة على نايل سات freq 11353 v - sr 27500</t>
  </si>
  <si>
    <t>http://al-khalij.tv/</t>
  </si>
  <si>
    <t>https://twitter.com/ankara_kusu/status/1181928799862235136</t>
  </si>
  <si>
    <t xml:space="preserve"> عبدالله  الخضر </t>
  </si>
  <si>
    <t>Ordu&amp;Düzce&amp;İzmit K&amp;S GS 🆓 Hayatta her limana uğra fakat asla demir atma.</t>
  </si>
  <si>
    <t>http://hisseanaliz.net</t>
  </si>
  <si>
    <t>pic.twitter.com/GK5i2kdNdq</t>
  </si>
  <si>
    <t>Mehmet Çağrı ŞİRİN 🇹🇷</t>
  </si>
  <si>
    <t>Rabbim ordumuza güç kuvvet ver onları Muzaffer eyle...Geliyoruz 🙏🇹🇷🙏🇹🇷🙏 Ya Allah bismillah 🙏🇹🇷🙏🇹🇷🙏🇹🇷 #TurkishArmy #BarisPinariHarekati</t>
  </si>
  <si>
    <t>https://pbs.twimg.com/media/EGcOhaGXYAAKtuP.jpg</t>
  </si>
  <si>
    <t xml:space="preserve">ميثم هادي </t>
  </si>
  <si>
    <t>pic.twitter.com/MZzlzCD3FX</t>
  </si>
  <si>
    <t>Çorum/Konya</t>
  </si>
  <si>
    <t>the Lider - #BarışPınarıHarekatı 🇹🇷</t>
  </si>
  <si>
    <t>Sonuna kadar 🇹🇷 #TurkishArmy</t>
  </si>
  <si>
    <t>https://pbs.twimg.com/media/EGcOg2_XYAA4v8b.jpg</t>
  </si>
  <si>
    <t>leb demeden Çorum.</t>
  </si>
  <si>
    <t xml:space="preserve"> حسن الظفيري  </t>
  </si>
  <si>
    <t>اتصال/ د. فوزية القحطاني: باحثة في الإعلام والأمن الفكري – جدة: الإعلام القطري ينشر الكراهية والبغضاء .. كما تعمل اجهزتهم ليل نهار على التشكيك بكل منجز سعودي .  - جمال خاشقجي #خاشقجي #عام_على_رحيل_جمال</t>
  </si>
  <si>
    <t>pic.twitter.com/U7pqXQRs7M</t>
  </si>
  <si>
    <t>Günsel</t>
  </si>
  <si>
    <t>Barış Pınarı operasyonu hayırlı olsun! Mehmetçik, can oğullar, Allah sizi muzaffer etsin! Dualarımız sizinle, ayağınıza taş değmesin! #TurkishArmy #turkmilletiordusununyaninda Var olsun @TSKGnkur Çok yaşa, hür yaşa aziz Türk milleti! Ne mutlu Türküm diyene!</t>
  </si>
  <si>
    <t>https://pbs.twimg.com/media/EGcOgdzXoAIGbe7.jpg</t>
  </si>
  <si>
    <t>Kişisel bilgi: İnsan, anne, özgürlük ve bağımsızlık, Kemalist, dürüst, kitap kurdu, meraklı.....</t>
  </si>
  <si>
    <t xml:space="preserve"> مهدي ال عاطف</t>
  </si>
  <si>
    <t>pic.twitter.com/9pYuYLH5A2</t>
  </si>
  <si>
    <t>حماد الفايدي</t>
  </si>
  <si>
    <t>pic.twitter.com/k0ioA1MtEf</t>
  </si>
  <si>
    <t>سالم الشمري</t>
  </si>
  <si>
    <t>pic.twitter.com/zRu9cRUvLM</t>
  </si>
  <si>
    <t>Asim</t>
  </si>
  <si>
    <t>#TurkishArmy launches operation against Syria. Air strikes to be supported by artillery fire. #DaughterOfNationMNS</t>
  </si>
  <si>
    <t xml:space="preserve"> ﻋﺒﺪﺍﻟﺮﺣﻤﻦ ﻧﻮﺍﻑ </t>
  </si>
  <si>
    <t>pic.twitter.com/HUhwzF16tc</t>
  </si>
  <si>
    <t>HR Practitioner, Traveler, sports freak, #PMLN</t>
  </si>
  <si>
    <t>Er Kisi</t>
  </si>
  <si>
    <t>مسليه الساده</t>
  </si>
  <si>
    <t>Dünya Misafirhanesi</t>
  </si>
  <si>
    <t>Never leave Allah(c.c.) wherever we are... (Muslim&amp;Turk on Worldwide). Emanetin iadesine dek yeryüzü sürgünü.</t>
  </si>
  <si>
    <t>pic.twitter.com/2Aw8oBy0hD</t>
  </si>
  <si>
    <t>ozeloguz</t>
  </si>
  <si>
    <t>Sezgin Tanrıkulu bile daha cesur.En azından cesurca like lıyor. #BarısPınarlarıHarekatı #TurkishArmy Tevfik Göksu #CheGuevara #EmineBulut Natali Avazyan Abdurrahman Dilipak Zabıta RT @Ebsofuoglu: Allahu Teala ve Peygamber Efendimiz SAV, gerektiğinde savaşın diyor. Bu ise İslamı kullanarak savaşa karşı olduğunu söylüyor. İNDİRİLMİŞ DİN diyordu değil mi? Kime indirildi acaba? Bir Müslüman böyle kişileri hep iş işten geçtiğinde mi tanıyacak? Bu şahıs kime hizmet ediyor?</t>
  </si>
  <si>
    <t>أغبى امرأة تستطيع أن تخدع أذكى رجل</t>
  </si>
  <si>
    <t>https://twitter.com/Ebsofuoglu/status/1181928531217063936</t>
  </si>
  <si>
    <t>محمد الخثعمي</t>
  </si>
  <si>
    <t>https://pbs.twimg.com/media/EGcNusdWoAAKaD5.jpg</t>
  </si>
  <si>
    <t>pic.twitter.com/XcGDj0XRTe</t>
  </si>
  <si>
    <t>"Her binanın bir temeli vardır. İslam’ın temeli de güzel ahlaktır." İnsan ve İslam Milliyetçisi-Muhafazakar-Üstünlük Takvadadır.</t>
  </si>
  <si>
    <t>Holmes</t>
  </si>
  <si>
    <t>Rahat uyu Ata’m izindeyiz. #BarisPinariHarekati #BarisPinari #TurkishArmy 🇹🇷</t>
  </si>
  <si>
    <t>https://pbs.twimg.com/media/EGcOc0KWsAIUwCs.jpg</t>
  </si>
  <si>
    <t>The Game Mrs. Hudson is on.</t>
  </si>
  <si>
    <t xml:space="preserve"> ﺷﺎﻳﻊ ﺁﻝ ﺩﺣﻴﻢ</t>
  </si>
  <si>
    <t>pic.twitter.com/L4DOLEjMTG</t>
  </si>
  <si>
    <t>Aleynâ</t>
  </si>
  <si>
    <t>Başkomutan emir verdi. Zafer Bismillah Allah Türk Ordusunun Yar ve Yardımcısı olsun.. Dualarımız Yiğitlerimizle..❤🇹🇷 #TurkishArmy #TurkMilletiOrdusununYanında #BarisPinariHarekati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</si>
  <si>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Burak KOÇ</t>
  </si>
  <si>
    <t>Harekata Başlama Emri Verildi, Çok Güzel, Manidar Bir Poz ile #BarisPinari #BarisPinariHarekati #TurkishArmy</t>
  </si>
  <si>
    <t>https://pbs.twimg.com/media/EGcOakQWkAQViz3.jpg</t>
  </si>
  <si>
    <t xml:space="preserve"> عيد الحربي</t>
  </si>
  <si>
    <t>pic.twitter.com/BNZJtJc3t5</t>
  </si>
  <si>
    <t>Kırşehir, Türkiye</t>
  </si>
  <si>
    <t>🇹🇷 S❤️ AHİ EVRAN ÜNİVERSİTESİ/ İKTİSAT 2012-2016</t>
  </si>
  <si>
    <t>･✿. ོ</t>
  </si>
  <si>
    <t>‘ Muhammed ‘in (ﷺ) zafer kazanmış ordusu .. 🇹🇷 #TurkishArmy</t>
  </si>
  <si>
    <t>عبده المصباحي</t>
  </si>
  <si>
    <t>@Noura_Almoteari لو كنتي في بلاد تحترم الراي وتسمح بحريه التعبير لصدقنا ما تكتبيه لكن اذا انحرفتي درجه واحده عن الطريق المرسوم لك ستقطعين بالمنشار...فلا احد يصدق ماتكتبيه لانك مجبره تقولي ما يوافق هوى الحاكم عندكم ولنا في #خاشقجي مثل وعبره لذالك لاحرج عليك اكتبي ما شاء #منشاركم لا كما تشائين</t>
  </si>
  <si>
    <t>pic.twitter.com/eqB7U83t6I</t>
  </si>
  <si>
    <t>cenah-ı tâir 🦋</t>
  </si>
  <si>
    <t>سر من از نالهى من دور نيست</t>
  </si>
  <si>
    <t xml:space="preserve"> ﻋﻮﺍﺩ ﺍﻟﺸﻤﻼﻧﻲ  </t>
  </si>
  <si>
    <t>pic.twitter.com/bAnw7jJ4ux</t>
  </si>
  <si>
    <t>Yunus Taşkesen</t>
  </si>
  <si>
    <t>Bismillah tevekkültü alellah lahavle vela kuvvete illa billah! Erdoğan: Türk Silahlı Kuvvetleri'miz Suriye Milli Ordusu'yla birlikte Suriye'nin kuzeyinde PKK/YPG ve Deaş terör örgütlerine karşı #BarışPınarıHarekatı'nı başlatmıştır. Rabbim yardımcımız olsun. #TurkishArmy</t>
  </si>
  <si>
    <t>Burdur, Türkiye</t>
  </si>
  <si>
    <t>Türkiye Gençlik Vakfı Burdur İl Temsilcisi (TÜGVA) @tugvaburdur @tugvabucak</t>
  </si>
  <si>
    <t xml:space="preserve"> عليان المنصوري </t>
  </si>
  <si>
    <t>pic.twitter.com/t4OPzJ7KoH</t>
  </si>
  <si>
    <t>Padre⚡</t>
  </si>
  <si>
    <t>#BarışPınarıHarekati #BarisPinari #TurkishArmy #OperationPeaceSpring Bakın bu International aşk.</t>
  </si>
  <si>
    <t>https://pbs.twimg.com/media/EGcOZLkXkAAcFVa.jpg</t>
  </si>
  <si>
    <t>Dr. Mesut KILIÇ</t>
  </si>
  <si>
    <t>pic.twitter.com/bEVX0nj0pI</t>
  </si>
  <si>
    <t xml:space="preserve"> محمد سليمان</t>
  </si>
  <si>
    <t>#Entrepreneur / #Engineer(PhD) / #DevelopmentAgency</t>
  </si>
  <si>
    <t>pic.twitter.com/dr6CH4FngW</t>
  </si>
  <si>
    <t>YUSUF BAYAR</t>
  </si>
  <si>
    <t>#BarisPinariHarekati #TurkishArmy #OperationPeaceSpring</t>
  </si>
  <si>
    <t>pic.twitter.com/DfMxJ8z7m5</t>
  </si>
  <si>
    <t xml:space="preserve"> صالح البلوي</t>
  </si>
  <si>
    <t>السفير 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#ايران #خاشقجي</t>
  </si>
  <si>
    <t>pic.twitter.com/n3tdLyLZgS</t>
  </si>
  <si>
    <t>Yaratılmışları razı etmek için yaratılmadık.</t>
  </si>
  <si>
    <t>öner cömert</t>
  </si>
  <si>
    <t>https://pbs.twimg.com/media/EGcOZK7X0AAC12o.jpg</t>
  </si>
  <si>
    <t xml:space="preserve">Elaziz Harput Elazığ </t>
  </si>
  <si>
    <t>Elazığ</t>
  </si>
  <si>
    <t>Nur Akçaba</t>
  </si>
  <si>
    <t>Barış pınarı harekatı başladı☝ #OperationPeaceSpring #BarisPinari Rabbim Yardımınız olsun inşallah ☝ #Turksilahlıkuvvetleri #TurkishArmy #turkmilletiordusununyaninda</t>
  </si>
  <si>
    <t xml:space="preserve"> ﻏﺎﻟﺐ ﺍﻟﺤﺮﺑﻲ</t>
  </si>
  <si>
    <t>pic.twitter.com/ItZaKymJ8i</t>
  </si>
  <si>
    <t>☝</t>
  </si>
  <si>
    <t>The WOLF</t>
  </si>
  <si>
    <t>Kaçmayın çünkü sadece yorgun öleceksiniz zalimler için yaşasın Cehennem! #TurkishArmy</t>
  </si>
  <si>
    <t>حمود ألوان</t>
  </si>
  <si>
    <t>https://pbs.twimg.com/media/EGcOXH3WoAEO3-W.jpg</t>
  </si>
  <si>
    <t>pic.twitter.com/NKkIcqBvh7</t>
  </si>
  <si>
    <t>Ümran Çelik</t>
  </si>
  <si>
    <t>Galip et Allah'ım . Bir kez daha #TurkishArmy zaferle şereflendir İnşaAllah #BarışPınarıHarekati 🇹🇷</t>
  </si>
  <si>
    <t>ثامر مناحي</t>
  </si>
  <si>
    <t>pic.twitter.com/Jgp3NU7Vsj</t>
  </si>
  <si>
    <t>BEŞİKTAŞ / Arap 🇹🇷 Kürt kızı 🙌</t>
  </si>
  <si>
    <t>تقرير: قطر وإعلام التضليل والأكاذيب وخداع الإعلامي الدولي .  - جمال خاشقجي #JamalKhashoggi #قطر</t>
  </si>
  <si>
    <t>🇹🇷 Buğra Güleç ♍ 💪🏻🐊</t>
  </si>
  <si>
    <t>Allah’ın arslanları, milletimizin yarınları, kahraman askerlerimiz; yolunuz açık, kılıcınız keskin, gazanız mübarek olsun! Allah ayağınıza taş değirmesin. Dualarımız daima sizinledir, ruhen yanınızdayız 🤲🏻 #BarışPınarıHarekatı başladı 💪🏻🇹🇷 #Türk #TurkishArmy</t>
  </si>
  <si>
    <t>pic.twitter.com/tOfmLC2U94</t>
  </si>
  <si>
    <t>https://pbs.twimg.com/media/EGcOW7nWoAA9UM8.jpg</t>
  </si>
  <si>
    <t>BURSA/TURKEY</t>
  </si>
  <si>
    <t>#TÜRK 🇹🇷 ComputerTechnician-#BURSASPOR! 💪🏻🐊 AtaÜni Uü&amp;AÜ-Mzn #BursasporluOlmak &amp; #OKupaBursayaGelecek - 02Eylül-Başak Face&amp;İnsta/BugraG16</t>
  </si>
  <si>
    <t>http://www.bursaspor.org.tr</t>
  </si>
  <si>
    <t>محمد السادة</t>
  </si>
  <si>
    <t>pic.twitter.com/HFI6f3t9qh</t>
  </si>
  <si>
    <t>M İ R A Y 🦄</t>
  </si>
  <si>
    <t>"Sen, zalimlerin yaptıkları şeyler tepelerine inerken bu yüzden korku ile titrediklerini göreceksin." |şûrâ, 22 Ölürsek cennet, kalırsak Devlet! #BarışPınarıHarekatı #TurkishArmy #BarisPinari</t>
  </si>
  <si>
    <t>https://pbs.twimg.com/media/EGcOWbuXYAAgQla.jpg</t>
  </si>
  <si>
    <t>عبيد ماجد</t>
  </si>
  <si>
    <t>pic.twitter.com/mDp6AfFwBu</t>
  </si>
  <si>
    <t>İzmir / Nurse</t>
  </si>
  <si>
    <t>Asur Kraliçesi Vera Hanım</t>
  </si>
  <si>
    <t>Deborah..</t>
  </si>
  <si>
    <t>Ya ALLAH BISMILLAH Fetihler okunsun... #TurkishArmy</t>
  </si>
  <si>
    <t>How #Khashoggi murder "haunts" Crown Prince Mohammed Bin Salman of Saudi @NewsHour @washingtonpost #KhashoggiMurder #Khashoggi #JamalKhashoggi #SaudiArabia #WashingtonPost</t>
  </si>
  <si>
    <t>https://youtu.be/J4z59GhBZyw</t>
  </si>
  <si>
    <t>İstanbul, Türkiye 📍</t>
  </si>
  <si>
    <t>Less is more...</t>
  </si>
  <si>
    <t>arezz4k</t>
  </si>
  <si>
    <t>Kaçınılmaz olan başladı. Allah hayırlı kılsın. Zafer İslamındır. Zafer müslümanlarındır. Zafer Allah’tandır. Haydi Ya Allah! #TurkishArmy #BarisPinariHarekati</t>
  </si>
  <si>
    <t xml:space="preserve"> محمد حلطاني</t>
  </si>
  <si>
    <t>pic.twitter.com/xIoBmBD4Y6</t>
  </si>
  <si>
    <t>الحرية بالنسبة إلينا اذا كنا عبيد الله تبدأ</t>
  </si>
  <si>
    <t>LA TAHZEN 🇹🇷</t>
  </si>
  <si>
    <t>Son Terörist yok edilene kadar devam inşaallah #BarışPınarıHarekati #TurkishArmy</t>
  </si>
  <si>
    <t>pic.twitter.com/gqEiD46Ez2</t>
  </si>
  <si>
    <t>باقير الياسين</t>
  </si>
  <si>
    <t>pic.twitter.com/HBuMa6F2y1</t>
  </si>
  <si>
    <t>ALLAH is the best of Planners</t>
  </si>
  <si>
    <t>Ceylin İrem ve Belinay'ın Babası...لا إِلَہ إِلاَّ الله ‏</t>
  </si>
  <si>
    <t>http://www.besfenkoleji.k12.tr</t>
  </si>
  <si>
    <t>Uğur Yalçın</t>
  </si>
  <si>
    <t>@RTErdogan Mazluma Merhamet Zalime Haine Mezar olmaya👇👇 🇹🇷🇹🇷🇹🇷🇹🇷🇹🇷🇹🇷 Türkler GELİYOR.... #TurkishArmy #TuerkMilletiOrdusununYanında #BarışPınarıHarekatı</t>
  </si>
  <si>
    <t>pic.twitter.com/1m8HtMdfDJ</t>
  </si>
  <si>
    <t>ÜZÜLME, ALLAH BİZİMLE BERABERDİR........................</t>
  </si>
  <si>
    <t xml:space="preserve"> سالم الصقيه </t>
  </si>
  <si>
    <t>Yavuz Selim Uzun</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</si>
  <si>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#قطر</t>
  </si>
  <si>
    <t>Yüce Allah ordumuzu bahtiyar kılsın, ayağına taş değdirmesin. Milletimizin gücü ve duası sizlerle. #TurkishArmy #OperationPeaceSpring #BarisPinari</t>
  </si>
  <si>
    <t>https://pbs.twimg.com/media/EGcN_IlXYAEg6OV.jpg</t>
  </si>
  <si>
    <t>pic.twitter.com/X3RuhgGpV4</t>
  </si>
  <si>
    <t>•Yeditepe University - Industrial Design - Law student / MA in Political Science @YeditepeUni @istmedeniyet</t>
  </si>
  <si>
    <t>M.Hanifi Yerlikaya ®</t>
  </si>
  <si>
    <t>Senin gölgende huzur var barış var özgürlük var TÜRKİYE 🇹🇷🇹🇷🇹🇷🇹🇷🇹🇷🇹🇷🇹🇷🇹🇷🇹🇷🇹🇷🇹🇷 #BarışPınarıHarekatı #TurkishArmy #OperationPeaceSpring</t>
  </si>
  <si>
    <t>https://pbs.twimg.com/media/EGcOUaDW4AEOMIK.jpg
https://pbs.twimg.com/media/EGcLDQcXkAA17DY.jpg</t>
  </si>
  <si>
    <t>Amnesty Norge</t>
  </si>
  <si>
    <t>1 year since the killing of #JamalKhashoggi the truth about his execution still is unknown. We dressed up as crime scene investigators looking for evidence in front of the embassy of #SaudiArabia in Oslo, @ksaembassyosl. Who ordered the killing, #MBS and @KingSalman? @amnestygulf</t>
  </si>
  <si>
    <t>🇹🇷 TÜRKIYE 🇹🇷 Slogan gençliği değil hakkı hakikati hak davayı savunacak gençlik lazım</t>
  </si>
  <si>
    <t>pic.twitter.com/kBHQBAfbrC</t>
  </si>
  <si>
    <t>Allan Cogan</t>
  </si>
  <si>
    <t>Godspeed to the #Kurds as the #TurkishArmy begins its assault on across the #Syrian border. Shame on our Commander in Chief for this terrible decision. #KurdishBetrayal #TurkeyKurds</t>
  </si>
  <si>
    <t>Oslo, Norway</t>
  </si>
  <si>
    <t>Amnesty er verdens største uavhengige organisasjon som kjemper for menneskerettighetene hver dag.</t>
  </si>
  <si>
    <t>http://www.amnesty.no</t>
  </si>
  <si>
    <t>Milwaukee, WI</t>
  </si>
  <si>
    <t>Case Manager at JusticePoint Inc, &amp; UW-Milwaukee alum - B.A. in Political Science/Emphasis in Law. M.S. in Community Engagement and Education Policy</t>
  </si>
  <si>
    <t>http://linkedin.com/in/allan-cogan-1a928689</t>
  </si>
  <si>
    <t xml:space="preserve"> احمد شراحيلي</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</si>
  <si>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#ايران #خاشقجي</t>
  </si>
  <si>
    <t>pic.twitter.com/ewrj7TTRq5</t>
  </si>
  <si>
    <t>حمدي السلوم</t>
  </si>
  <si>
    <t>pic.twitter.com/Z8RtcRPaD1</t>
  </si>
  <si>
    <t>İYİ OLACAK</t>
  </si>
  <si>
    <t>🇹🇷🇹🇷🇹🇷🇹🇷🇹🇷🇹🇷🇹🇷🇹🇷🇹🇷🇹🇷🇹🇷🇹🇷🇹🇷🇹🇷 #BarisPinariHarekati #TurkishArmy</t>
  </si>
  <si>
    <t>https://pbs.twimg.com/media/EGcOSPQXkAACcql.jpg</t>
  </si>
  <si>
    <t>İYİ partili biri</t>
  </si>
  <si>
    <t>صهيب الأمن</t>
  </si>
  <si>
    <t>hantal talebe</t>
  </si>
  <si>
    <t>geliyoruz ulann 82 münbiç 83 tel abyad 84 resulayn #TurkishArmy</t>
  </si>
  <si>
    <t xml:space="preserve"> كأن الحاسد إنما خلق ليغتاظ</t>
  </si>
  <si>
    <t xml:space="preserve"> ﺃﺣﻤﺪ ﺍﻟﻐﺎﻣﺪﻱ</t>
  </si>
  <si>
    <t>pic.twitter.com/WGXAhDqSqa</t>
  </si>
  <si>
    <t>Yasin PEHLİVAN</t>
  </si>
  <si>
    <t>İnna fetahna leke fetham mübına "Doğrusu biz sana apaçık bir fetih ihsân ettik."🇹🇷🇹🇷🇹🇷🇹🇷 #BarışPınarıHarekatı #TurkishArmy</t>
  </si>
  <si>
    <t>David Kozin</t>
  </si>
  <si>
    <t>For example. #TurkishArmy trending and this is what is coming out: RT @nur_i_ziya: The only army children are not afraid of is #TurkishArmy</t>
  </si>
  <si>
    <t>محمد الكريداء</t>
  </si>
  <si>
    <t>pic.twitter.com/jB5B2HNMeQ</t>
  </si>
  <si>
    <t>Researcher / Advocate #HPPD / Founded http://HPPDonline.com (1999), Composer, Pro-Patient. Pub.@ Harvard/MSSM/Marlboro/Reed</t>
  </si>
  <si>
    <t>http://www.researcherid.com/rid/C-1160-2011</t>
  </si>
  <si>
    <t>ﺣﺴﻴﻦ ﺍﻟﻤﺤﻤﺪﻱ</t>
  </si>
  <si>
    <t>pic.twitter.com/mnw4EKZ94V</t>
  </si>
  <si>
    <t>ѕєяcαη</t>
  </si>
  <si>
    <t>Rabbim Sizleri Korusun Allah Yar ve Yardımcımız olsun 🇹🇷🇹🇷🇹🇷 #BarisPinariHarekati #TurkishArmy</t>
  </si>
  <si>
    <t>https://pbs.twimg.com/media/EGcOPExWwAAXoHw.jpg</t>
  </si>
  <si>
    <t xml:space="preserve"> ناصر ـآلعآصم </t>
  </si>
  <si>
    <t>pic.twitter.com/LORpDeVkBu</t>
  </si>
  <si>
    <t>"FENERBAHÇE" ⭐ ⭐ ⭐</t>
  </si>
  <si>
    <t>https://www.facebook.com/xsercanbeyx</t>
  </si>
  <si>
    <t>Hakan Yetişkin 🇹🇷</t>
  </si>
  <si>
    <t>Öncesi Mete Han'dır, Atatürk'tür sonrası Fazla uzun değildir, zaferlerin arası Bütün çağlar boyunca şanlıdır Türk Ordusu Haydi Bismillah... #TurkishArmy #turkmilletiordusununyaninda #BarisPinari #BarışPınarıHarekati</t>
  </si>
  <si>
    <t>https://pbs.twimg.com/media/EGcOO8_WwAAsyoZ.jpg</t>
  </si>
  <si>
    <t>Gazeteci - Tarih Sevdalısı, Memleket Aşığı...</t>
  </si>
  <si>
    <t>يحيى نمازي</t>
  </si>
  <si>
    <t>pic.twitter.com/hZft11ptdu</t>
  </si>
  <si>
    <t>Sait Ayhan</t>
  </si>
  <si>
    <t>Biz müslümansak, inandığımız bir kutsal kitap varsa, O kitapta kanunlar varsa, biz neden hıristiyan şeriatı olan demokrasi ile yönetiliyoruz? #TurkishArmy</t>
  </si>
  <si>
    <t>Belki de. Evet, belki de sen, hiç hak etmemiştin beni. Oysa ben</t>
  </si>
  <si>
    <t xml:space="preserve"> صالح الدرسوني</t>
  </si>
  <si>
    <t>Ateş Özcan</t>
  </si>
  <si>
    <t>Bin atlı akınlarda çocuklar gibi şendik 🇹🇷🇹🇷🇹🇷🇹🇷🇹🇷🇹🇷🇹🇷🇹🇷🇹🇷🇹🇷🇹🇷🇹🇷🇹🇷 #BarisPinariHarekati #TurkishArmy #turkmilletiordusununyaninda</t>
  </si>
  <si>
    <t>pic.twitter.com/5eX67rHiad</t>
  </si>
  <si>
    <t>https://pbs.twimg.com/media/EGcOOqiWwAEra_F.jpg</t>
  </si>
  <si>
    <t>Söz konusu VATAN ve ATAM ise gerisi teferruattır 🇹🇷</t>
  </si>
  <si>
    <t xml:space="preserve">  محمد  الكريديس</t>
  </si>
  <si>
    <t>د. محمد الحلفي : باحث في التاريخ الحديث : لا يمكن للشعب القطري القبول بما تقوم به قناة الجزيرة  #JamalKhashoggi #تركيا</t>
  </si>
  <si>
    <t>pic.twitter.com/cWfXTbK6We</t>
  </si>
  <si>
    <t>حاشد الألم</t>
  </si>
  <si>
    <t>EMRE DERELİ</t>
  </si>
  <si>
    <t>#TurkishArmy Vur şanlı silahınla gönül mülkü düzelsin. Sen öldürüyorken de vururken de güzelsin #BarisPinariHarekati</t>
  </si>
  <si>
    <t xml:space="preserve"> محمد  الزبيدي</t>
  </si>
  <si>
    <t>https://pbs.twimg.com/media/EGcONJJXkAEojQE.jpg</t>
  </si>
  <si>
    <t>pic.twitter.com/KT3YEpobpx</t>
  </si>
  <si>
    <t>Tarsus</t>
  </si>
  <si>
    <t>ϜϓſϞ</t>
  </si>
  <si>
    <t>https://m.facebook.com/RadyoSevdaYelleri/?ref=bookmarks</t>
  </si>
  <si>
    <t>SavunmaSanayiST</t>
  </si>
  <si>
    <t>https://pbs.twimg.com/media/EGcOLKyW4AABxiC.png</t>
  </si>
  <si>
    <t xml:space="preserve">  عبدالرحمن القرني </t>
  </si>
  <si>
    <t>pic.twitter.com/TMCBKDKJrB</t>
  </si>
  <si>
    <t>Türkiye'nin en çok tıklanan savunma sanayii ve askeri havacılık haber platformu. iletisim@SavunmaSanayiST.com</t>
  </si>
  <si>
    <t>https://SavunmaSanayiST.com</t>
  </si>
  <si>
    <t xml:space="preserve"> مرعي  مسعد</t>
  </si>
  <si>
    <t>Çağrı Bektaşoğlu</t>
  </si>
  <si>
    <t>Ey Türkoğlu! Muhtaç olduğun kudret damarlarındaki asil kanda mevcuttur #turkmilletiordusununyaninda #TurkishArmy #TurkMilletiOrdusununYanındadır</t>
  </si>
  <si>
    <t>pic.twitter.com/NwIcLF1mOQ</t>
  </si>
  <si>
    <t>Biraz Mühendislik Biraz Sanat</t>
  </si>
  <si>
    <t>http://cagrilozof.art.blog</t>
  </si>
  <si>
    <t>صالح البلوي</t>
  </si>
  <si>
    <t>عاجل و 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#قطر</t>
  </si>
  <si>
    <t>pic.twitter.com/06j3ARA0mr</t>
  </si>
  <si>
    <t>Mehmet Fatih TİKİCİ</t>
  </si>
  <si>
    <t>Allah'ın Arslanları, Allah yardımcınız olsun. Haydi Bismillah... 🇹🇷 #BarışPınarıHarekatı #TurkishArmy</t>
  </si>
  <si>
    <t>https://pbs.twimg.com/media/EGcOLolWwAAk1Gw.jpg</t>
  </si>
  <si>
    <t>Palandöken Belediyesi Kent Konseyi Gençlik Meclisi Başkanı @PGmeclisi - http://instagram.com/pgmeclisi?igsh… BİR DADAŞ GİBİ 🇹🇷</t>
  </si>
  <si>
    <t>فارس الناجي</t>
  </si>
  <si>
    <t>pic.twitter.com/tXdwS8TNhe</t>
  </si>
  <si>
    <t>Murat</t>
  </si>
  <si>
    <t>#BarışPınarHarekatı Allah'ım sen kayıpsız zafer eyle 🤲 #TurkishArmy 🇹🇷</t>
  </si>
  <si>
    <t>#Beşiktaş Aşığı 🦅 E-Ticaret Uzmanı 💻 Her yazdığım, rt'lediğim, beğendiğim tweet ruh halimi yansıtmıyor.</t>
  </si>
  <si>
    <t>http://instagram.com/muratkarakartal</t>
  </si>
  <si>
    <t>فانی</t>
  </si>
  <si>
    <t>Can we follow #TurkishArmy Sir @DGISPR? Or we are waiting for Massacre of Kashmiris to happened? "A stitch in time, saves nine" RT @spectatorindex: BREAKING: Turkish jets are bombing positions of Kurdish militants in northern Syria</t>
  </si>
  <si>
    <t>https://twitter.com/spectatorindex/status/1181925661725745152</t>
  </si>
  <si>
    <t>Still Finding ...</t>
  </si>
  <si>
    <t>‏‏‏. تلخ یادیں ہیں جو بھلانی ہیں | تُو تو ماہر ہے گُر بتا مجھ کو</t>
  </si>
  <si>
    <t xml:space="preserve"> عبدالله أبودجين</t>
  </si>
  <si>
    <t>pic.twitter.com/497tAiI4tD</t>
  </si>
  <si>
    <t xml:space="preserve"> ﻣﻔﺮﺡ ﺍﻟﻤﺎﻟﻜﻲ</t>
  </si>
  <si>
    <t>pic.twitter.com/hQwVWqcTgU</t>
  </si>
  <si>
    <t>Per</t>
  </si>
  <si>
    <t>#pınarbarısharekatı #TurkishArmy #TuerkMilletiOrdusununYanında</t>
  </si>
  <si>
    <t>https://pbs.twimg.com/media/EGcOIo0XkAIEO7_.jpg</t>
  </si>
  <si>
    <t>عزمي الحنان</t>
  </si>
  <si>
    <t>pic.twitter.com/ECmHcQrL40</t>
  </si>
  <si>
    <t>DEU-sınıf öğretmeni 🇹🇷🇹🇷🇹🇷🇹🇷🇹🇷</t>
  </si>
  <si>
    <t>Gökhan Yavaşer</t>
  </si>
  <si>
    <t>#TurkishArmy Allah'ım ordumuzu Muzzaffer et. Fetih Sr.7: Göklerdeki ve yerdeki ordular Allah'ındır. Allah güçlü olandır. Hakim olandır.</t>
  </si>
  <si>
    <t>https://pbs.twimg.com/media/EGcOIdWWwAE952q.jpg</t>
  </si>
  <si>
    <t xml:space="preserve"> جعفر العنقري </t>
  </si>
  <si>
    <t>pic.twitter.com/v0MlMBfDMz</t>
  </si>
  <si>
    <t xml:space="preserve">                  (★TÜRKİYE ★)</t>
  </si>
  <si>
    <t>🇹🇷Avrupa Şampiyonu/58 SİVAS \ 🤼‍♂ Wrestling European Champion</t>
  </si>
  <si>
    <t>ismail ogün civelek</t>
  </si>
  <si>
    <t xml:space="preserve"> محمد  الدايل</t>
  </si>
  <si>
    <t>Tek birinizin zerresine zarar gelmesin aslan mehmetçik #BarışPınarıHarekatı #TurkishArmy #BarışPınarı 🇹🇷</t>
  </si>
  <si>
    <t>د. عدنان محمد : مكاتب قناة الجزيرة في البلدان هي وكر للتجسس وزرع الخلايا التي تريد نشر الفوضى.  - جمال خاشقجي #JamalKhashoggi #تركيا</t>
  </si>
  <si>
    <t>pic.twitter.com/tLc4alpsrP</t>
  </si>
  <si>
    <t>Veteriner hekim</t>
  </si>
  <si>
    <t>MCMV 🔥❤️</t>
  </si>
  <si>
    <t>ALLAH YAR VE YARDIMCINIZ OLSUN 🇹🇷🇹🇷🇹🇷 #BarisPinariHarekati #TurkishArmy</t>
  </si>
  <si>
    <t>ﺫﺍﻛﺮ ﺍﻟﺒﺨﺎﺭﻱ</t>
  </si>
  <si>
    <t>https://pbs.twimg.com/media/EGcOIqcXYAECpRn.jpg</t>
  </si>
  <si>
    <t>pic.twitter.com/Fqpb2WDq5T</t>
  </si>
  <si>
    <t>Berlin, Deutschland</t>
  </si>
  <si>
    <t>Galatasaray ❤️</t>
  </si>
  <si>
    <t>https://stars.osr.org/Vwm650901</t>
  </si>
  <si>
    <t xml:space="preserve"> ماجد  الصاعدي</t>
  </si>
  <si>
    <t>pic.twitter.com/V80E4GUBNy</t>
  </si>
  <si>
    <t>رزق الهلالى</t>
  </si>
  <si>
    <t>pic.twitter.com/yl7xVrjVKs</t>
  </si>
  <si>
    <t>Bekir</t>
  </si>
  <si>
    <t>🇹🇷🇹🇷🇹🇷🇹🇷🇹🇷🇹🇷🇹🇷🇹🇷🇹🇷🇹🇷🇹🇷🇹🇷🇹🇷🇹🇷 KAHRAMANLAR CAN VERİR YURDU YAŞATMAK İÇİN #BarisPinariHarekati #OperationPeaceSpring #TürkMilletiOrdusununYanında #TurkishArmy KAHRAMANLAR CAN VERİR YURDU YAŞATMAK İÇİN 🇹🇷🇹🇷🇹🇷🇹🇷🇹🇷🇹🇷🇹🇷🇹🇷🇹🇷🇹🇷🇹🇷🇹🇷🇹🇷🇹🇷</t>
  </si>
  <si>
    <t xml:space="preserve"> فراس سراج </t>
  </si>
  <si>
    <t>pic.twitter.com/ceF7XGQ12G</t>
  </si>
  <si>
    <t>Bekir Ş.</t>
  </si>
  <si>
    <t>Emre Artuk</t>
  </si>
  <si>
    <t>Şu kopan Fırtına Türk Ordusudur ya rabbi ! Yeryüzünde sana secde eden ordularına yenilgi yüzü gösterme ya rabbi ! #turkmilletiordusununyaninda #TurkishArmy #BarisPinariHarekatı</t>
  </si>
  <si>
    <t>https://pbs.twimg.com/media/EGcOGFSXUAARClk.jpg</t>
  </si>
  <si>
    <t xml:space="preserve"> ﺻﺎﻟﺢ ﺍﻝ ﻓﺎﺭﺱ ‏</t>
  </si>
  <si>
    <t>pic.twitter.com/z60G8vocsK</t>
  </si>
  <si>
    <t>Dadaş çelik bir yaydır. Onu germeye gelmez..</t>
  </si>
  <si>
    <t>Tugay babuççu</t>
  </si>
  <si>
    <t>Buyursunlar savaş bizim için düğündür. Din arabın,hukuk sizin,savaş TÜRKLÜĞÜNDÜR..🇹🇷🇹🇷🇹🇷🇹🇷 Göktanrının ulu evlatları Türkler geliyor..🇹🇷 #BarisPinari #TurkishArmy</t>
  </si>
  <si>
    <t>فيصل الصاد</t>
  </si>
  <si>
    <t>pic.twitter.com/BlGzMH3YIb</t>
  </si>
  <si>
    <t>🇹🇷 🇹🇷 OĞUZ BOYLUM ASİL SOYLUM 🇹🇷 🇹🇷 GALATASARAY 💛❤</t>
  </si>
  <si>
    <t>Ozan Can Özkan</t>
  </si>
  <si>
    <t>https://pbs.twimg.com/media/EGcOHVWX0AEtTTQ.jpg</t>
  </si>
  <si>
    <t xml:space="preserve"> عبدالله سخيطة</t>
  </si>
  <si>
    <t>تقرير: الجبير : التهدئة لا تنفع مع إيران ونعمل للتوصل إلى خيار دولي للتعامل معها  - جمال خاشقجي #خاشقجي #عام_على_رحيل_خاشقجي</t>
  </si>
  <si>
    <t>pic.twitter.com/96Ys0vvRsl</t>
  </si>
  <si>
    <t>• Sizi rahatsız edeceğim • Öngörülemezmişim • Esenlikler dilerim fakat kılıcım... •</t>
  </si>
  <si>
    <t>https://www.instagram.com/ozancan_ozkan/</t>
  </si>
  <si>
    <t>Onur Gumus</t>
  </si>
  <si>
    <t>Allah yardımcınız olsun. Ayağınıza taş değmesin. #BarışPınarıHarekatı #TurkishArmy</t>
  </si>
  <si>
    <t>pic.twitter.com/limaLr9687</t>
  </si>
  <si>
    <t>onur.gumus@avcilar.bel.tr</t>
  </si>
  <si>
    <t>https://www.instagram.com/onurgmuss/</t>
  </si>
  <si>
    <t>ﺧﻠﻒ ﺍﻟﻤﻄﻠﻒ</t>
  </si>
  <si>
    <t>اللواء متقاعد د. شامي الظاهري : تنظيم الإخوان هو المحرك الأساسي للدولتين قطر و تركيا .  - جمال خاشقجي #خاشقجي #قطر</t>
  </si>
  <si>
    <t>pic.twitter.com/y1Gduz1W7r</t>
  </si>
  <si>
    <t>YUNUS EMRE</t>
  </si>
  <si>
    <t>#TurkishArmy fight for peace and humanity. #BarısPınarıHarekatı</t>
  </si>
  <si>
    <t>pic.twitter.com/eGc4Xa2Mvf</t>
  </si>
  <si>
    <t>زياد ال ذرعان</t>
  </si>
  <si>
    <t>🇹🇷 Bizim Vatandan Başka Gayemiz Olmadı. 🇹🇷</t>
  </si>
  <si>
    <t>pic.twitter.com/DfhVSOQsJ2</t>
  </si>
  <si>
    <t>pic.twitter.com/jQCbTZjIbV</t>
  </si>
  <si>
    <t xml:space="preserve">  خليلي  العيافي</t>
  </si>
  <si>
    <t>محلل قناة ٢٤ سعودي الفضائية د. أنور مالك في المراقب : إيران تعاني من ضغوط داخلية وخارجية بسب العقوبات الأمريكية التي استهدفت تصفير صادرات النفط الإيراني  #JamalKhashoggi #قطر</t>
  </si>
  <si>
    <t>pic.twitter.com/EAcSRfLvs4</t>
  </si>
  <si>
    <t>رجا الحربي</t>
  </si>
  <si>
    <t>özkan üzüm</t>
  </si>
  <si>
    <t>#TurkishArmy kapınıza dayanıyorsa zulüm ya istiklal ya ölüm</t>
  </si>
  <si>
    <t>pic.twitter.com/KHifuq0ZzE</t>
  </si>
  <si>
    <t>At hırsızıyım</t>
  </si>
  <si>
    <t xml:space="preserve"> حماد الرباح</t>
  </si>
  <si>
    <t>pic.twitter.com/rz4AHS4sCW</t>
  </si>
  <si>
    <t xml:space="preserve"> حسن خواجي</t>
  </si>
  <si>
    <t>pic.twitter.com/mtGpFCqHCC</t>
  </si>
  <si>
    <t>TURKTICARET.Net</t>
  </si>
  <si>
    <t>اللواء المتقاعد د. زايد العمري: خبير استراتيجي ومحلل سياسي: قطر اصابتها الغيرة من هذا النموذج الإسلامي الوسطي الصحيح .  - جمال خاشقجي #خاشقجي #عام_على_رحيل_خاشقجي</t>
  </si>
  <si>
    <t>https://pbs.twimg.com/media/EGcOFVoXUAAWwxU.jpg</t>
  </si>
  <si>
    <t>Ticareti Kolaylaştırma Merkezi</t>
  </si>
  <si>
    <t>http://www.turkticaret.net</t>
  </si>
  <si>
    <t xml:space="preserve">  منصور  المجادعه</t>
  </si>
  <si>
    <t>pic.twitter.com/VIGYBMb9pg</t>
  </si>
  <si>
    <t>Sadık Y.</t>
  </si>
  <si>
    <t>Ordumuz olsun daim muzaffer! Dualarımız sizinle... #BarisPinariHarekati #TurkishArmy 🇹🇷</t>
  </si>
  <si>
    <t>ÇOMÜ Türkiye Cumhuriyeti Tarihi YL. Malûmat istifçisi, hayat boyu öğrenci.</t>
  </si>
  <si>
    <t xml:space="preserve"> ناصر الجاسر</t>
  </si>
  <si>
    <t>pic.twitter.com/gTeV1546QC</t>
  </si>
  <si>
    <t>Gökhan Aslan</t>
  </si>
  <si>
    <t>Çok teessüf ederim o kadar "Bir gece ansızın gelebiliriz" dedik.. 😂 geceyi bekleyemedik #TurkishArmy</t>
  </si>
  <si>
    <t>qatar</t>
  </si>
  <si>
    <t>Her zaman önce Trabzonspor diyeceksin!...Büyük takım büyük futbolcularla olur!...#Lionel Messi #Miroslaw Szymkowiak #Cristiano Ronaldo #Gustavo Colman.</t>
  </si>
  <si>
    <t xml:space="preserve">  حسن الشاردي</t>
  </si>
  <si>
    <t>محلل قناة ٢٤ سعودي الفضائية صباح الخزاعي في بصريح العبارة : ارتباط دبلوماسيين إيرانيين بمخطط الهجوم على مباراة كرة القدم في كأس العالم عام 2016م في ألبانيا  #خاشقجي #عام_على_رحيل_جمال</t>
  </si>
  <si>
    <t>pic.twitter.com/gQ2voaZpBC</t>
  </si>
  <si>
    <t>Aziz</t>
  </si>
  <si>
    <t>🇹🇷🇹🇷🇹🇷#BarışPınarıHarekati #TurkishArmy</t>
  </si>
  <si>
    <t>https://pbs.twimg.com/media/EGcOEWSWwAEhkXy.jpg</t>
  </si>
  <si>
    <t>حمد الصابري</t>
  </si>
  <si>
    <t>pic.twitter.com/gsknOlTCfC</t>
  </si>
  <si>
    <t>Castmaster</t>
  </si>
  <si>
    <t>@realDonaldTrump their blood is on your hands #TurkishArmy is attacking now</t>
  </si>
  <si>
    <t>جواهر المـرء في ثلاث: - كتمان الفقـر حتى يظن النـاس أنك غني - كتمان الغضب حتى يظن الناس أنك راض - كتمان الشدة حتى يظن الناس أنك متنعم</t>
  </si>
  <si>
    <t>https://www.telegraph.co.uk/news/2019/10/09/syrian-kurds-call-civilians-front-lines-turkey-warns-attack/</t>
  </si>
  <si>
    <t xml:space="preserve"> علاء  الصادق</t>
  </si>
  <si>
    <t>pic.twitter.com/yA00JzFlZf</t>
  </si>
  <si>
    <t>Worthing, England</t>
  </si>
  <si>
    <t xml:space="preserve"> بدر الدوسري</t>
  </si>
  <si>
    <t>Reuters Türkiye</t>
  </si>
  <si>
    <t>هام وعاجل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#قطر</t>
  </si>
  <si>
    <t>#SonDakika #TurkishArmy #OperationPeaceSpring #BarisPinariHarekati #Syria Türk ordusu Tel Abyad ,Rasulayn arasında 7 noktadan Tanklar ile giriş yaptı.</t>
  </si>
  <si>
    <t>pic.twitter.com/y3s1604OIh</t>
  </si>
  <si>
    <t>Ersin can</t>
  </si>
  <si>
    <t>Kılıçdaroğlu'na duyurulur! Cumhurbaşkanımız harekat emrini verdi Allah askerlerimizi tüm kaza beladan korusun 🇹🇷 🇹🇷 🇹🇷 #TurkishArmy</t>
  </si>
  <si>
    <t xml:space="preserve"> عيسى  العنزي</t>
  </si>
  <si>
    <t>pic.twitter.com/3ObIMCmonk</t>
  </si>
  <si>
    <t>Vatan için RECEP TAYYİP ERDOĞAN 🇹🇷 🇹🇷 🇹🇷 🇹🇷 🇹🇷</t>
  </si>
  <si>
    <t>HARAMİLER</t>
  </si>
  <si>
    <t>MEKANIN SAHİBİ GERİ GELDİ #TurkishArmy #BarışPınarıHarekati</t>
  </si>
  <si>
    <t xml:space="preserve">  عامرسعيد </t>
  </si>
  <si>
    <t>https://pbs.twimg.com/media/EGcODlqWwAA6d_n.jpg</t>
  </si>
  <si>
    <t>pic.twitter.com/LVkARXXuug</t>
  </si>
  <si>
    <t>SAKARYA\SAPANCA</t>
  </si>
  <si>
    <t>SAPANCASPOR TARAFTAR GRUBU HARAMİLER RESMİ TWİTTER HESABI</t>
  </si>
  <si>
    <t>https://www.facebook.com/Haramiler-328493117170092/?ref=hl</t>
  </si>
  <si>
    <t xml:space="preserve"> حمود  حدادي </t>
  </si>
  <si>
    <t>pic.twitter.com/BPMZEDuE0q</t>
  </si>
  <si>
    <t>Esad Mücahit</t>
  </si>
  <si>
    <t>Dağ fareleriyle değil de, adam gibi düşmanlarla vuruşacağımız kutlu günlerin hasretiyle. Allah ordumuzun yardımcısı olsun. #TurkishArmy</t>
  </si>
  <si>
    <t>Konya / İstanbul</t>
  </si>
  <si>
    <t>"baştan beri bütün yenik düşenlerle aynı kışlaktaymışız"</t>
  </si>
  <si>
    <t>https://www.okurdergisi.com/</t>
  </si>
  <si>
    <t> سناد</t>
  </si>
  <si>
    <t>@khalidalkhalifa الي يسال عن جثه #خاشقجي في بطن فيل البحرين 👇🏼🐘</t>
  </si>
  <si>
    <t>https://pbs.twimg.com/media/EGVheicX0AAtiBh.jpg</t>
  </si>
  <si>
    <t>عند خشمك</t>
  </si>
  <si>
    <t>مبدئي فالحياه كما تراني اراك .. مدريدي</t>
  </si>
  <si>
    <t>Turan Erdem</t>
  </si>
  <si>
    <t>#BarışPınarıHarekatı | Vur gitsin! #TurkishArmy - #BarışPınarı 🇹🇷</t>
  </si>
  <si>
    <t>pic.twitter.com/uyhDsvYwru</t>
  </si>
  <si>
    <t xml:space="preserve"> محمد العوادي</t>
  </si>
  <si>
    <t>عبدالجليل السعيد في حقائق في دقائق :الشأن السوري لن يصلح حاله إلا بإخراج ايران و تركيا وروسيا لأنهم جزء من المشكلة و البلاء والمصيبة..و السعودية قادرة على رأب الصدع وأن تجمع السوريين  - جمال خاشقجي #خاشقجي #عام_على_رحيل_جمال</t>
  </si>
  <si>
    <t>pic.twitter.com/GluUQkbXdA</t>
  </si>
  <si>
    <t>azdan az, çoktan çok gider.</t>
  </si>
  <si>
    <t>Kırım</t>
  </si>
  <si>
    <t>Beni öldürebilirsin ama yok edemessin çünkü ben bir ölür bin dirilirim. #TurkishArmy</t>
  </si>
  <si>
    <t xml:space="preserve">   احمد  الفوزان</t>
  </si>
  <si>
    <t>pic.twitter.com/KIk8EzuCVt</t>
  </si>
  <si>
    <t>Kırım tatarı, doğru bildiğini söyleyen, adaletli olanın arkasında olan bir insan.</t>
  </si>
  <si>
    <t>Detlef</t>
  </si>
  <si>
    <t>pkkdan ypgden intikam alacağız 🇹🇷 #BarışPınarıHarekatı #TurkishArmy</t>
  </si>
  <si>
    <t>pic.twitter.com/T8LjPXk6X6</t>
  </si>
  <si>
    <t>🇶🇦سالم المهندي🇶🇦</t>
  </si>
  <si>
    <t>@alshaikhmhmd ي الواطي أليس كان من الجدر توجه هذه التغريدة لشعب🇸🇦المستحمر اكثر من🦓حتى يقاتلوا 🐕المسعور ابومنشار الذي قتل #خاشقجي واقتل الحشمة والغيرة والإسلام في المهلكة ؟</t>
  </si>
  <si>
    <t>هذا حسابي البديل لين ارجع حسابي ( تبدو مخيفة سرعة الايام ، تجري بنا دون أن نشعربها فيارب أعطنا خير هذا الزمان وأكفنا كل شره ، وأحسن خاتمتنا ، 🤲 اللهم امين )</t>
  </si>
  <si>
    <t>tencere imalatçısı</t>
  </si>
  <si>
    <t xml:space="preserve">  بدر اللقماني </t>
  </si>
  <si>
    <t>100NumaralıAdam</t>
  </si>
  <si>
    <t>Edip yağıyor pkk ya mühimmat bizden patlamak onlardan #TurkishArmy #BarisPinari RT @edipyuksel: Sultanlar taht için beşikteki çocukları öldürür, taht için milyonlarca insanı katleder. Güce tapan Sultan, Firavun karakteri bu! @RT_Erdogan</t>
  </si>
  <si>
    <t>pic.twitter.com/UKNc00jJ0R</t>
  </si>
  <si>
    <t>https://twitter.com/edipyuksel/status/614901469662187520</t>
  </si>
  <si>
    <t>...</t>
  </si>
  <si>
    <t>Tomurcuk derdinde olmayan ağaç odundur. NFK Kaderim tek sevdam❤️ 25.07.2017 sıfır dört</t>
  </si>
  <si>
    <t xml:space="preserve"> ﻗﺎﺳﻢ ﺍﻟﻔﻴﻔﻲ ‏ </t>
  </si>
  <si>
    <t>pic.twitter.com/dBYesAZwJh</t>
  </si>
  <si>
    <t>murat akpınar 🇹🇷</t>
  </si>
  <si>
    <t>#TurkishArmy The Turk is the one who brings peace and tranquility to the region he goes to.</t>
  </si>
  <si>
    <t>https://pbs.twimg.com/media/EGcOCdyWkAE-o3f.jpg</t>
  </si>
  <si>
    <t>sivas</t>
  </si>
  <si>
    <t>profesyonel yatırım danışmanı</t>
  </si>
  <si>
    <t>ماجد مشبب</t>
  </si>
  <si>
    <t>pic.twitter.com/0pQuQnme2s</t>
  </si>
  <si>
    <t xml:space="preserve">  عبدالله  العمالي</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</si>
  <si>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#تركيا</t>
  </si>
  <si>
    <t>pic.twitter.com/YunVyCTIqw</t>
  </si>
  <si>
    <t>Lıl</t>
  </si>
  <si>
    <t>Allah yardımcınız olsun🇹🇷 #BarışPınarıHarekatı #TurkishArmy</t>
  </si>
  <si>
    <t>ay ve güneş fandom başkanı rabbave'li günler diler</t>
  </si>
  <si>
    <t>https://curiouscat.me/gimork</t>
  </si>
  <si>
    <t xml:space="preserve">  مناور السهلى  </t>
  </si>
  <si>
    <t>pic.twitter.com/uj4zw4XhYC</t>
  </si>
  <si>
    <t>🇹🇷__JACKAL__🇹🇷</t>
  </si>
  <si>
    <t>Psikopat Deli Manyak Bu Çocukları Kim Durduracak Şimdi Onlar Düşünsün G E L İ Y O R L A R 🇹🇷🇹🇷🇹🇷🇹🇷🇹🇷 #TurkishArmy #OperationPeaceSpring #BarisPinari #BarışPınarıHarekati</t>
  </si>
  <si>
    <t>pic.twitter.com/rF0FcqFrwq</t>
  </si>
  <si>
    <t>NE MUTLU TÜRK'üm DİYENE 🇹🇷🇹🇷🇹🇷🇹🇷🇹🇷 #BOZKURT Alayına İsyan Ölümüne @ultrAslan Yedek Hesap @GALA_JACKAL_</t>
  </si>
  <si>
    <t>Hasan Alptekin</t>
  </si>
  <si>
    <t>#OperationPeaceSpring #BarışPınarıHarekatı ALLAH, kahraman askerimizin yardımcısı olsun #TurkishArmy #OperationPeaceSpring 🇹🇷🇹🇷🇹🇷</t>
  </si>
  <si>
    <t xml:space="preserve">  سعد  الشمراني</t>
  </si>
  <si>
    <t>pic.twitter.com/zFZbRZHDTZ</t>
  </si>
  <si>
    <t>Hayatta her şey olabilirsin , mühüm olan hayatın içinde İNSAN olabilmektir.</t>
  </si>
  <si>
    <t>Ayşe 🐝</t>
  </si>
  <si>
    <t>yigitler bir bataklıkta carpışıyor. Allah yar ve yardımcıları olsun. Allah ailelerine ve sevenlerine sabır versin. Gözunu kırpmadan görev yapan tüm askerlerimizi Allah korusun. 🙏🏻🇹🇷 bütün kötülükleri lanetliyorum... #TurkishArmy</t>
  </si>
  <si>
    <t>pic.twitter.com/r10wc6pzei</t>
  </si>
  <si>
    <t>عمر احمد</t>
  </si>
  <si>
    <t>اللواء المتقاعد د. زايد العمري: خبير استراتيجي ومحلل سياسي : إيواء قطر لجماعة الاخوان سيجعلها في قائمة الإرهاب في أوروبا .  - جمال خاشقجي #JamalKhashoggi #تركيا</t>
  </si>
  <si>
    <t>pic.twitter.com/vxMy0MjXJd</t>
  </si>
  <si>
    <t>Türk 🇹🇷 Bursaspor’da sol bek🐊 ATA ❤️ Maybe. One day.🎈 Yacht Event Organizer ⛵️ 良さそう</t>
  </si>
  <si>
    <t xml:space="preserve"> خالد الشيباني</t>
  </si>
  <si>
    <t>pic.twitter.com/xOEnrPI25N</t>
  </si>
  <si>
    <t xml:space="preserve"> عيسى  المالكي </t>
  </si>
  <si>
    <t>اتصال هاتفي من: أ. طارق أبو زينب – إعلامي ومحلل سياسي – لبنان. قطر نموذج للمطابخ الإعلامية السوداء لتكون خِنجر في قلب الامة العربية.  - جمال خاشقجي #خاشقجي #عام_على_رحيل_جمال</t>
  </si>
  <si>
    <t>MRTSRZ</t>
  </si>
  <si>
    <t>#TurkishArmy YA ONLAR BİZİ İLK TÖKEZLEDİĞİMİZ ANDA GELİP BURADA VURACAK , YA DA BİZ GİDİP ORADA ONLARIN DEFTERİNİ DÜRECEĞİZ ! YA HAKK !!!</t>
  </si>
  <si>
    <t>pic.twitter.com/QEQ12pL2MQ</t>
  </si>
  <si>
    <t>محسن المغذوي</t>
  </si>
  <si>
    <t>pic.twitter.com/NiRJAuP8y9</t>
  </si>
  <si>
    <t>M. Sami KÖROĞLU</t>
  </si>
  <si>
    <t>Türk Silahlı Kuvvetleri'miz Suriye Milli Ordusu'yla birlikte Suriye'nin kuzeyinde PKK/YPG ve Deaş terör örgütlerine karşı #BarışPınarıHarekatı'nı başlatmıştır. Allah Ordumuzun yardımcısı olsun. Dualarımız Mehmetçiklerimizle #BarisPinari #TurkishArmy</t>
  </si>
  <si>
    <t>أ. خالد النزر : الدولة القطرية تريد أن تجعل لها دور فعال في عديد من المواضيع فأصبحت سلم تمتطيه العديد من الدول .  - جمال خاشقجي #خاشقجي #تركيا</t>
  </si>
  <si>
    <t>pic.twitter.com/vwCtxcZ2mx</t>
  </si>
  <si>
    <t>https://pbs.twimg.com/media/EGcOAFjWkAI6WPR.jpg</t>
  </si>
  <si>
    <t>Adıyaman</t>
  </si>
  <si>
    <t>KYK Adıyaman İl Müdürü</t>
  </si>
  <si>
    <t>http://www.samikoroglu.com</t>
  </si>
  <si>
    <t xml:space="preserve">  حمد عايض </t>
  </si>
  <si>
    <t>اللواء المتقاعد د. زايد العمري: خبير استراتيجي ومحلل سياسي: سيكون هناك دول ستلحق بـ فرنسا قريباً وستوقف قطر وجمعيتها التي ظاهرها الرحمة وباطنها العذاب .  - جمال خاشقجي #خاشقجي #عام_على_اغتيال_جمال</t>
  </si>
  <si>
    <t>pic.twitter.com/Xfhdm5wxqp</t>
  </si>
  <si>
    <t>Kübra..🌿</t>
  </si>
  <si>
    <t>Türk oldu. Türk budur. Yıldırımdır, kasırgadır, dünyayı aydınlatan güneştir.” -Başbuğ Gazi Mustafa Kemal Atatürk #TurkishArmy #BarısPınarıHarekatı</t>
  </si>
  <si>
    <t xml:space="preserve">  مستور الخبيري  </t>
  </si>
  <si>
    <t>https://pbs.twimg.com/media/EGcN_1xXoAYMI_0.jpg</t>
  </si>
  <si>
    <t>أ. عبدالرحمن الملحم - كاتب ومحلل سياسي : قطر مصابة بعمى سياسي كبير ولا تعرف إلى اين تتجه .  - جمال خاشقجي #JamalKhashoggi #تركيا</t>
  </si>
  <si>
    <t>pic.twitter.com/O4tZwmIVNG</t>
  </si>
  <si>
    <t>Var olsun Türk Milleti 🇹🇷</t>
  </si>
  <si>
    <t>Asena Shr</t>
  </si>
  <si>
    <t>Ölürsek cennet, kalırsak devlet bizimdir. Zafer bize yazılmıştır. Allah Türk Ordusunun yardımcısı olsun. 🇹🇷🇹🇷 #BarışPınarıHarekati #TurkishArmy #BarisPinari</t>
  </si>
  <si>
    <t>ﻋﻴﺪ ﺍﻟﻌﺼﻼﻧﻲ</t>
  </si>
  <si>
    <t>حصرياً.. السفير ادم ايرلي متحدث الخارجية الأمريكية السابق: اردوغان أكبر منافق في الكرة الأرضية..يذرف الدموع على خاشقجي بينما يزج بالاَف الاتراك بالسجونAdam Ereli: Erdogan is the biggest hypocrite on the plant  #JamalKhashoggi #تركيا</t>
  </si>
  <si>
    <t>https://pbs.twimg.com/media/EGcN_kLXoAAsqe0.jpg</t>
  </si>
  <si>
    <t>pic.twitter.com/F3twpvhLOz</t>
  </si>
  <si>
    <t>Fırtınalar dursun yana, Yol ver Türk'ün bayrağına.🇹🇷🇹🇷</t>
  </si>
  <si>
    <t xml:space="preserve">  عبدالحميد الحمراني</t>
  </si>
  <si>
    <t>محلل قناة ٢٤ سعودي الفضائية: د. رامي خليفة العلي : هناك سوء في السياسة التركية التي سمحت بسيطرة جبهة النصرة على مناطق واسعة ما أعطى مبرراً لروسيا وللنظام السوري للتقدم في تلك المنطقة .  - جمال خاشقجي #خاشقجي #عام_على_رحيل_خاشقجي</t>
  </si>
  <si>
    <t>pic.twitter.com/ctFHtQMq8r</t>
  </si>
  <si>
    <t>Tom Swarbrick</t>
  </si>
  <si>
    <t>Boris Johnson spoke at #CPC19 about Britain “relaunching” itself in the word. How should a “relaunched” Britain respond to #Kurds “betrayal” and #TurkishArmy attacks?</t>
  </si>
  <si>
    <t>Oxfordshire</t>
  </si>
  <si>
    <t>Husband. Father. Presenter of the Late Show Sun-Thurs 10pm @LBC. Former advisor in No10</t>
  </si>
  <si>
    <t>https://www.chartwellspeakers.com/speaker/tom-swarbrick/</t>
  </si>
  <si>
    <t>MİRZAhanım</t>
  </si>
  <si>
    <t>Zafer bismillah🇹🇷🇹🇷🇹🇷 #BarışPınarıHarekati #TurkishArmy #dmdduyulsundiye</t>
  </si>
  <si>
    <t>pic.twitter.com/bivkmH1XGg</t>
  </si>
  <si>
    <t>Vet. Hekim ASKER EŞİ OLMAK ZORDUR HER YÜREK KALDIRAMAZ 🇹🇷</t>
  </si>
  <si>
    <t xml:space="preserve"> ﻣﺮﺯﻭﻕ ﺍﻟﻌﻮﻓﻲ</t>
  </si>
  <si>
    <t>pic.twitter.com/5VYIilUCCA</t>
  </si>
  <si>
    <t xml:space="preserve"> عثمان الحله </t>
  </si>
  <si>
    <t>تقرير: الجبير : التهدئة لا تنفع مع إيران ونعمل للتوصل إلى خيار دولي للتعامل معها  - جمال خاشقجي #JamalKhashoggi #السعودية</t>
  </si>
  <si>
    <t>pic.twitter.com/FxRI4MnI6V</t>
  </si>
  <si>
    <t xml:space="preserve"> محمد عشق </t>
  </si>
  <si>
    <t>pic.twitter.com/SuYWGB17AW</t>
  </si>
  <si>
    <t xml:space="preserve"> محمد العبدالله</t>
  </si>
  <si>
    <t>pic.twitter.com/oAl6RZUDCv</t>
  </si>
  <si>
    <t>Abdullah ARLI</t>
  </si>
  <si>
    <t>🇹🇷 #BarışPınarıHarekatı ALLAH, kahraman askerimizin yardımcısı olsun 🙏#TurkishArmy 🇹🇷 #OperationPeaceSpring 🇹🇷</t>
  </si>
  <si>
    <t>pic.twitter.com/C3D2XgAyiJ</t>
  </si>
  <si>
    <t>رحيم وصل</t>
  </si>
  <si>
    <t>محلل قناة ٢٤ سعودي الفضائية د. فهد الشليمي في مع الحدث : الحملة على مصر تم التحضير لها منذ شهرين بمشاركة تركيا وتنظيم الاخوان الإرهابي و ايران من أجل ضرب الاقتصاد المصري  - جمال خاشقجي #ايران #خاشقجي</t>
  </si>
  <si>
    <t>pic.twitter.com/SipuGnG7k2</t>
  </si>
  <si>
    <t>KTO Karatay Üniversitesi / Hukuk ⚖ /🎓 TVF / Referee 🏐 Konya Barosu / Stj. Av ⚖️</t>
  </si>
  <si>
    <t>http://instagram.com/arlabdullh</t>
  </si>
  <si>
    <t xml:space="preserve"> ﻧﺎﺻﺮ ﺍﻝ ﺳﻌﺪ  </t>
  </si>
  <si>
    <t>pic.twitter.com/9L5R9Phhqz</t>
  </si>
  <si>
    <t xml:space="preserve"> عبدالله ناصر</t>
  </si>
  <si>
    <t>pic.twitter.com/UsLFjUgCqi</t>
  </si>
  <si>
    <t>Fatih ÇETİN🦅</t>
  </si>
  <si>
    <t>Şu kopan fırtına Türk ordusudur yâ Rabbi. Senin uğrunda ölen ordu, budur yâ Rabbi. Tâ ki yükselsin ezanlarla müeyyed nâmın, Galip et, çünkü bu son ordusudur İslâm'ın! #TurkishArmy #BarisPinariHarekati</t>
  </si>
  <si>
    <t> حازم القديري</t>
  </si>
  <si>
    <t>Balıkesir İl Sağlık Müdürlüğü Bilgişlem</t>
  </si>
  <si>
    <t>pic.twitter.com/h9vStbHxu7</t>
  </si>
  <si>
    <t>Ferhat Turan ❤💙🇹🇷</t>
  </si>
  <si>
    <t>Delikleri Tıkayın Boğulup Orda Kalsınlar #BarısPınarlarıHarekatı #BarisPinari #BarısPınarıOperasyonu #TurkishArmy</t>
  </si>
  <si>
    <t>Bilişim Uzmanı Karma Gaming House Trabzonspor Kongre Üyesi Ataşehir Trabzonsporlular Derneği Yönetim Kurulu Üyesi @AtasehirTrabzon @Trabzonspor @GurbetciGencler</t>
  </si>
  <si>
    <t>https://www.instagram.com/ferhat_turan61/</t>
  </si>
  <si>
    <t xml:space="preserve"> محمد العليوات</t>
  </si>
  <si>
    <t>العميد متقاعد. حسن الشهري : لم يقف في وجه المملكة دولة أو نظام أو حزب الا خسر وتبقى المملكة منتصرة .  - جمال خاشقجي #خاشقجي #عام_على_رحيل_جمال</t>
  </si>
  <si>
    <t>pic.twitter.com/BoMRtr2ZXQ</t>
  </si>
  <si>
    <t>Fatoş Sema Kardemir</t>
  </si>
  <si>
    <t>Ordumuz, Amerika tarafından 15-20 bin silah yardımı yapılan PKK PYD YPG İle çarpışmaya gidiyor... ALLAH(cc) ORDUMUZA YARDIM EYLESİN #BarışPınarıHarekati #OperationPeaceSpring #BarisPinari Haydi Bismillah #TurkishArmy</t>
  </si>
  <si>
    <t>https://pbs.twimg.com/media/EGcN8YiXUAAJyNR.jpg</t>
  </si>
  <si>
    <t xml:space="preserve"> مسلم الحربي</t>
  </si>
  <si>
    <t>pic.twitter.com/9KyaBN6Ryk</t>
  </si>
  <si>
    <t>💃💃💃</t>
  </si>
  <si>
    <t>🌼🌼🌼 DM❌</t>
  </si>
  <si>
    <t xml:space="preserve">حسين الشمران </t>
  </si>
  <si>
    <t>pic.twitter.com/vbgct0I3qY</t>
  </si>
  <si>
    <t>عبدالعزيز المطرودي</t>
  </si>
  <si>
    <t>Cumali Kaya</t>
  </si>
  <si>
    <t>pic.twitter.com/s6vyiESvft</t>
  </si>
  <si>
    <t>Ezelden beridir hur yaşadım hür yaşarım hangi çılgın bana zincir vuracakmış şaşarım!! Allah yar ve yardımcısı olsun ordumuza #TurkishArmy #turkmilletiordusununyaninda #BarışPınarıHarekati</t>
  </si>
  <si>
    <t>https://pbs.twimg.com/media/EGcN7qGWwAEx_8z.jpg</t>
  </si>
  <si>
    <t>Ceyhan, Türkiye</t>
  </si>
  <si>
    <t>K.Ü. Siyasi Bilimler ~Diplomalı Çiftçi~</t>
  </si>
  <si>
    <t>اسامه الفايد</t>
  </si>
  <si>
    <t>pic.twitter.com/nP1iekeUbv</t>
  </si>
  <si>
    <t>alpertunaci</t>
  </si>
  <si>
    <t>Rabbimden duam ayaginiza tas degmesin ve gazamiz mubarek olsun! #TurkishArmy #tsk</t>
  </si>
  <si>
    <t xml:space="preserve">  سعيد عوض </t>
  </si>
  <si>
    <t>pic.twitter.com/kC8ofYWlGR</t>
  </si>
  <si>
    <t xml:space="preserve"> نبيل   الشايع</t>
  </si>
  <si>
    <t>pic.twitter.com/TnQQtXJTnN</t>
  </si>
  <si>
    <t>حامد محسن</t>
  </si>
  <si>
    <t>د.أنور مالك :الحوثي لم يلتزم بشيء من قرارات الأمم المتحدة بل تعدى إلى العدوان على الدول المجاورة، وكل ذلك بإيعاز من إيران، حيث راحت تزود الحوثيين بأسلحة وصواريخ وعتاد وأموال  - جمال خاشقجي #خاشقجي #عام_على_رحيل_جمال</t>
  </si>
  <si>
    <t>pic.twitter.com/Jb5tr5JN22</t>
  </si>
  <si>
    <t xml:space="preserve">ﻧﺎﺻﺮ ﺍﻟﻘﺤﻄﺎﻧﻲ ‏ </t>
  </si>
  <si>
    <t>pic.twitter.com/ZZDBPe4v53</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</si>
  <si>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#خاشقجي #تركيا</t>
  </si>
  <si>
    <t>pic.twitter.com/htqaMZ8qAg</t>
  </si>
  <si>
    <t xml:space="preserve"> احمد الشهري</t>
  </si>
  <si>
    <t>pic.twitter.com/Wu8AUn70tn</t>
  </si>
  <si>
    <t>A B K</t>
  </si>
  <si>
    <t>Ya Allah BİSMİLLAH Rabbim yar ve yardımcımız olsun #BarışPınarıHarekati #TurkishArmy RT @BJK1903_TR: Ayağınıza taş değmesin. Allah yardımcınız olsun.</t>
  </si>
  <si>
    <t>https://twitter.com/bjk1903_tr/status/1181928120028471296</t>
  </si>
  <si>
    <t>R.C. Jackson</t>
  </si>
  <si>
    <t>#PatRobertson: #Trump Will Lose His ‘Mandate of Heaven’ if He Pulls Out of #Syria Trump, who allowed #JamalKhashoggi to be #Cut_in_Pieces without any repercussions whatsoever, is now allowing the #Christians and the #Kurds to be #Massacred by the #Turks.</t>
  </si>
  <si>
    <t>https://pbs.twimg.com/media/EGcNW3YWoAMbgyb.jpg</t>
  </si>
  <si>
    <t>https://www.yahoo.com/news/pat-robertson-trump-lose-mandate-205831579.html</t>
  </si>
  <si>
    <t>Güçlü,korkusuz,mantıklı,cesur,klişelerden uzak,zekasıyla yaşayan,analiz yeteneğini geliştirmiş,aşktan korkmayan,kendini eğiten ve BEŞİKTAŞ ULAN 1⃣9⃣0⃣3⃣</t>
  </si>
  <si>
    <t>Dublin,  CA</t>
  </si>
  <si>
    <t>Someone once told me, "You worry about everything, and when there's nothing to worry about, you worry about that" | #GrabEmByTheTrump🐱 Get it?</t>
  </si>
  <si>
    <t>Müptezel</t>
  </si>
  <si>
    <t>Fırat'ın doğusuna Barış Pınarı harekatı başladı! Türk jetleri Resulayn'ı bombaladı! #TurkishArmy</t>
  </si>
  <si>
    <t xml:space="preserve">   مسعد  القحطاني</t>
  </si>
  <si>
    <t>اتصال / أ. أيمن إبراهيم : إعلامي وباحث إستقصائي - القاهرة : منذ سقوط الإخوان الإرهابيين عام 2013 في مصر سقطت نسبة المشاهدين لـ قناة الجزيرة بشكل كبير جدا.  #خاشقجي #عام_على_اغتيال_جمال</t>
  </si>
  <si>
    <t>pic.twitter.com/RPJBDUbcAJ</t>
  </si>
  <si>
    <t>pic.twitter.com/rb6nQR5TH8</t>
  </si>
  <si>
    <t>kafam toz duman</t>
  </si>
  <si>
    <t>د. أحمد الأنصاري: مستشار أمني وباحث في العلاقات الدولية: المسؤولين الإيرانيين لا ينامون الليل خوفاً من انتقال عدوى المظاهرات إلى ايران .  #خاشقجي #قطر</t>
  </si>
  <si>
    <t>Elif ⚡</t>
  </si>
  <si>
    <t>pic.twitter.com/dzayVN9sy6</t>
  </si>
  <si>
    <t>Dualarımız sizinle.. Allah yâr ve yardımcınız olsun. #TurkishArmy #BarışPınarıHarekatı #BarışPınarı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</si>
  <si>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 xml:space="preserve">  مرزوق هديب </t>
  </si>
  <si>
    <t>اتصال هاتفي من: أ. محمد الحلفي – محلل سياسي – الرياض. عندما انكشف مُخطط قناة الجزيرة بدأ الظهور لأذرعها الإعلامية لتبث سمومها في المنطقة وخصوصاً ضد المملكة  - جمال خاشقجي #JamalKhashoggi #قطر</t>
  </si>
  <si>
    <t>pic.twitter.com/VzM4VIZkQ8</t>
  </si>
  <si>
    <t>Selim Can ŞEREF</t>
  </si>
  <si>
    <t>Bin atlı akınlarda çocuklar gibi şendik! #TurkishArmy #BarışPınarıHarekati</t>
  </si>
  <si>
    <t>http://instagram.com//selimcanseref</t>
  </si>
  <si>
    <t>HUN</t>
  </si>
  <si>
    <t>Tanrı Türk askerinin ayağına taş değdirmesin. #TurkishArmy #BarışPınarıHarekati</t>
  </si>
  <si>
    <t>https://pbs.twimg.com/media/EGcN4SFWwAII-Lk.jpg</t>
  </si>
  <si>
    <t xml:space="preserve"> فلاح العنزي</t>
  </si>
  <si>
    <t>محلل قناة ٢٤ سعودي الفضائية جيري ماهر في برنامج لمن يهمه الأمر: تعهد الرئيس التركي بشراء النفط الإيراني هو دليل على أن اردوغان يدعم الإرهاب الإيراني  - جمال خاشقجي #خاشقجي #قطر</t>
  </si>
  <si>
    <t>Fikri hür, irfanı hür, vicdanı hür Türk milliyetçisi. “Kan tarlası gelincikler arasında yalnız ağaçlar gibidir Türklüğümüz...”</t>
  </si>
  <si>
    <t>pic.twitter.com/Go1c3iJFgK</t>
  </si>
  <si>
    <t>MeKaNsıZ KraL</t>
  </si>
  <si>
    <t>#TurkishArmy Allah Yar Ve Yardımcınız Olsun..Türkün Gücünü Herkes bir daha Görsün..💪💪👍</t>
  </si>
  <si>
    <t>حليمة مُظفّر</t>
  </si>
  <si>
    <t>#العراق_يتعرض_لإبادة_جماعية اين المنظمات الحكوكية و الإنسانية و الاخونجية أصحاب قيم حرية البلطجة مثل توكل كرمان و اردوغان و شلة الدماء من المرتزقين الذين نبحوا عن حرية الشعوب و #خاشقجي هذه #العراق تصرخ وتئن ويقتل شبابها على يد مليشيات المحتل #إيران الا لعنة الله عليكم يا مجرمين</t>
  </si>
  <si>
    <t>pic.twitter.com/OydzXOajg0</t>
  </si>
  <si>
    <t>HU-Rİ-YE</t>
  </si>
  <si>
    <t>Allahu Ekber !! #TurkishArmy RT @yeniden_bas_la: Allahım Mehmedlerimize zafer nasip et. Dualarımız hem onlar hem de ÖSO daki Mehmedlerimiz için. Allah yar ve yardımcıları olsun.</t>
  </si>
  <si>
    <t>https://twitter.com/yeniden_bas_la/status/1181927258732339200</t>
  </si>
  <si>
    <t>‏‏‏‏‏‏‏‏‏‏‏‏‏امرأة💚🇸🇦تسكن سماءليست زرقاء كاتبة ‎‎‎‎‎‎‎‎‎‎‎‎‎#كلاكيتيات_حليمة لها ٧ كتب وتعمل مستشارة إعلامية وثقافية ‎#المسرح و ‎‎‎‎‎‎‎‎‎‎‎‎‎#الفنون_الجميلة</t>
  </si>
  <si>
    <t>http://www.sayidaty.net/node/751551/%D8%A3%D8%B3%D8%B1%D8%A9-#photo/1</t>
  </si>
  <si>
    <t>Ahmet sr</t>
  </si>
  <si>
    <t>Burhan Coşğun</t>
  </si>
  <si>
    <t>*✔️Çayı koy amcam, Geliyoruz.. Allah Ordumuzu muvaffak etsin. - Sefer bizim zafer Allah'ındır. ☝️🤘 #TurkishArmy #TurkMilletiOrdusununYanındadır</t>
  </si>
  <si>
    <t>https://pbs.twimg.com/media/EGcN3ZXW4AAKLf3.jpg</t>
  </si>
  <si>
    <t xml:space="preserve"> ﺳﻌﻮﺩ ﺧﻀﻴﺮ ‏ </t>
  </si>
  <si>
    <t>محلل قناة ٢٤ سعودي الفضائية عبدالجليل السعيد في حقائق في دقائق : ايران اليوم تُغْرق العراق في المنتجات الإيرانية الفاسدة وتنهب من بلاد الرافدين النفط والثروات للإنفاق على نظام الملالي  - جمال خاشقجي #JamalKhashoggi #تركيا</t>
  </si>
  <si>
    <t>pic.twitter.com/EyHFH7LKB6</t>
  </si>
  <si>
    <t>🇹🇷🇹🇷Mazluma merhamet, zalime gazap gerek. Diriliş Ertuğrul🇹🇷🇹🇷 ★Çay Ocakları İstişare★</t>
  </si>
  <si>
    <t>أحمد الحكمي</t>
  </si>
  <si>
    <t>Serkan Yıldırım🇹🇷</t>
  </si>
  <si>
    <t>Vur şanlı silahınla gönül mülkü düzelsin, Sen öldürüyorken de vururken de güzelsin! #TurkishArmy #BarisPinariHarekati #BarisPinari RT @TTAgrup: TÜRK ORDUSU VURUYOR! #BarışPınarıHarekatı</t>
  </si>
  <si>
    <t>pic.twitter.com/c8AaFj0VOM</t>
  </si>
  <si>
    <t>مع الراقي لاتقول اي كلامـ غصب تقومـ وترفع السلامـ</t>
  </si>
  <si>
    <t xml:space="preserve"> ﺳﺎﻟﻢ ﻣﻌﻴﺾ</t>
  </si>
  <si>
    <t>محلل قناة ٢٤ سعودي الفضائية د. عمر عبدالستار في نيران ايران: لا رفع للعقوبات الأمريكية على ايران، ولا لقاء بين ترمب وخامنئي هذا هو السيناريو الأول  #JamalKhashoggi #السعودية</t>
  </si>
  <si>
    <t>TÜRKİYE CUMHURİYETİ</t>
  </si>
  <si>
    <t>pic.twitter.com/ImAEb7L6AZ</t>
  </si>
  <si>
    <t>Siyasi,içtimai mezhebim TÜRKÇÜLÜKTÜR.</t>
  </si>
  <si>
    <t>Ak Parti Gündem</t>
  </si>
  <si>
    <t>Başkan @RTErdogan Terör örgütlerine karşı suriyede Barış Pınarı harekatına başlama emrine verdiği O AN. Allah Ordumuzu Muzaffer Kılsın. Amin #BarisPinariHarekati #OperationPeaceSpring #TurkishArmy</t>
  </si>
  <si>
    <t>https://pbs.twimg.com/media/EGcN1XTXkAEmQyj.jpg</t>
  </si>
  <si>
    <t xml:space="preserve"> ﻣﺘﻌﺐ ﺳﻌﺪ  </t>
  </si>
  <si>
    <t>pic.twitter.com/a9ZqWMHYvw</t>
  </si>
  <si>
    <t xml:space="preserve">Ak Parti </t>
  </si>
  <si>
    <t>Erdoğan Gönüllüleri</t>
  </si>
  <si>
    <t>https://www.akparti.org.tr/</t>
  </si>
  <si>
    <t>ﻗﺎﺳﻢ ﺍﻟﺨﺴﺎﻓﻲ</t>
  </si>
  <si>
    <t>Hikmet Paça</t>
  </si>
  <si>
    <t>Bismillah #TurkishArmy</t>
  </si>
  <si>
    <t>pic.twitter.com/m9bUWwSu7T</t>
  </si>
  <si>
    <t>End_law</t>
  </si>
  <si>
    <t>Diyarbakır havaalanından F16 havalandı yoğun bombardıman geliyor #TurkishArmy</t>
  </si>
  <si>
    <t>Ok</t>
  </si>
  <si>
    <t>ALFA</t>
  </si>
  <si>
    <t>Bir şekilde başlattılar. Ama bitiren biz olacağız. #TurkishArmy</t>
  </si>
  <si>
    <t xml:space="preserve"> سلمان تراحيب </t>
  </si>
  <si>
    <t>د. عدنان محمد: يٌقاتل ترامب الإيرانيين بالسلاح الذي يخشونه وليس بالسلاح الذي يُريدونه.  - جمال خاشقجي #JamalKhashoggi #قطر</t>
  </si>
  <si>
    <t>pic.twitter.com/kE79mmxnjS</t>
  </si>
  <si>
    <t>http://Instagram.com/caghancolak</t>
  </si>
  <si>
    <t xml:space="preserve"> سمير البياني</t>
  </si>
  <si>
    <t>اتصال هاتفي من: أ. طارق أبو زينب – إعلامي ومحلل سياسي – لبنان. قطر نموذج للمطابخ الإعلامية السوداء لتكون خِنجر في قلب الامة العربية.  - جمال خاشقجي #خاشقجي #عام_على_رحيل_خاشقجي</t>
  </si>
  <si>
    <t>pic.twitter.com/4Gi0Ptly1u</t>
  </si>
  <si>
    <t>كاڤيو للوساطة</t>
  </si>
  <si>
    <t>عاجل: الرئيس التركي أردوغان يؤكد بدء العملية العسكرية في شمال سوريا 🇹🇷 أعلن الرئيس التركي رجب طيب أردوغان يوم الأربعاء أن تركيا شنت عملية عسكرية في شمال سوريا. #TurkishArmy #Terror #تركيا_الان</t>
  </si>
  <si>
    <t>https://pbs.twimg.com/media/EGcNzaBWoAU2O-b.jpg</t>
  </si>
  <si>
    <t>Nana_Resists</t>
  </si>
  <si>
    <t>@koslen_bambi No conspiracy. Just facts: #JamalKhashoggi was murdered in Turkey at the Saudi Arabia Embassy. Jared Kushner and #TrumpCrimeSyndicate owe billions to SA. Our gov't apparently is complicit in cover up of the murder. #QuidProQuo #TrumpTowersIstanbul #TrumpBetrayedTheKurds</t>
  </si>
  <si>
    <t>Kuwait</t>
  </si>
  <si>
    <t>شركة كويتية مرخصة تقدم خدمات التداول في أسواق المال العالمية #أسهم و #فوركس و #ذهب و #نفط و عملات رقمية. خدمة عملاء ٢٤ ساعة، تحليلات، توصيات، أكاديمية متطورة</t>
  </si>
  <si>
    <t>Seattle, WA</t>
  </si>
  <si>
    <t>USAF Vet (Vietnam Era); Mom; Nana; Retweeter Extraordinaire; #DespiseTrump #BLM #LGBTQ #MeToo #Resist #VoteBlueNoMatterWho #ClimateChange NO LISTS!</t>
  </si>
  <si>
    <t>SoL ŞeRiT</t>
  </si>
  <si>
    <t>gülerek savaşa giden askerleri mi ölümle korkutuyosunuz Allah ım şehadet bizim için güzel mertebe ama yinede tek bir askerimizin bir damla kanı akmadan alnımızın akıyla dönmelerini nasip eyle . amin #BarisPinariHarekati #barışpınarıharekati #TurkishArmy #BarisPinari</t>
  </si>
  <si>
    <t xml:space="preserve"> ياسر  السهلي </t>
  </si>
  <si>
    <t>اللواء متقاعد د. شامي الظاهري : تنظيم الإخوان هو المحرك الأساسي للدولتين قطر و تركيا .  - جمال خاشقجي #JamalKhashoggi #السعودية</t>
  </si>
  <si>
    <t>pic.twitter.com/7EXXFfbExK</t>
  </si>
  <si>
    <t>Quebradas, USA</t>
  </si>
  <si>
    <t>Atatürk din düşmanı değil DİNCİlerin düşmanıydı yani din ticareti yapanların</t>
  </si>
  <si>
    <t>يوسف جفال</t>
  </si>
  <si>
    <t>@Adhwan من اقوال ترامب كينج يوهاف تو باي 🤣#خاشقجي</t>
  </si>
  <si>
    <t>مواطن قطري احب وطني وافدي بروحي اميري تميم</t>
  </si>
  <si>
    <t xml:space="preserve">علي مناور </t>
  </si>
  <si>
    <t>pic.twitter.com/IbC106dvjW</t>
  </si>
  <si>
    <t>EREN UÇAR</t>
  </si>
  <si>
    <t>Vur şanlı silahınla gönül mülkü düzelsin Sen vururken de öldürürken de güzelsin.#TurkishArmy #barışpınarıharekatı</t>
  </si>
  <si>
    <t>https://pbs.twimg.com/media/EGcNyuvWoAAGnuC.jpg</t>
  </si>
  <si>
    <t xml:space="preserve"> ظافر الشهراني </t>
  </si>
  <si>
    <t>تقرير / قطر وإعلام التضليل والأكاذيب وخداع الإعلام الدولي.  - جمال خاشقجي #خاشقجي #عام_على_اغتيال_جمال</t>
  </si>
  <si>
    <t>pic.twitter.com/KHGwCHssS7</t>
  </si>
  <si>
    <t>Atila Pazar</t>
  </si>
  <si>
    <t>Fırtına başladı... #BarisPinariHarekati #TurkishArmy #turkmilletiordusununyaninda</t>
  </si>
  <si>
    <t>İstanbul Türkiye</t>
  </si>
  <si>
    <t>Mali Müşavir - Bağımsız Denetçi - Bilirkişi - Uzlaştırmacı - Amatör Fotoğrafçı</t>
  </si>
  <si>
    <t>http://instagram.com/atlpzr</t>
  </si>
  <si>
    <t>طارق سعيد</t>
  </si>
  <si>
    <t>pic.twitter.com/wIxuNqhllf</t>
  </si>
  <si>
    <t>Christina Moore</t>
  </si>
  <si>
    <t>@NikkiHaley #JamalKhashoggi May his memory haunt you for the rest of your life.</t>
  </si>
  <si>
    <t>HEDEFTEKİ ADAM</t>
  </si>
  <si>
    <t>#BarışPınarıHarekati Haydi Bismillah Gazamız Sefer #BarisPinari #TurkishArmy #Tuerksilahlıkuvvetleri #TuerkMilletiOrdusununYanında #Trump Arap Birliği</t>
  </si>
  <si>
    <t>pic.twitter.com/gGPfHpA2ZG</t>
  </si>
  <si>
    <t>you may have followed me before</t>
  </si>
  <si>
    <t>mohammed Khalid</t>
  </si>
  <si>
    <t>من المناسب ان تراجع تغريدات الفوم بعد اغتيال #خاشقجي مباشرة لكي تتعلم الا تسارع بالتشبيح و ركوب الموجة</t>
  </si>
  <si>
    <t xml:space="preserve">İ S T A N B 🌷 L             </t>
  </si>
  <si>
    <t>Atılan her tivit tam isabe+ G L 🌍 B A L 🇹🇷 T R</t>
  </si>
  <si>
    <t>against bigotry</t>
  </si>
  <si>
    <t>ipek</t>
  </si>
  <si>
    <t>Rasulayn'da art arda patlamalar başladı! Ajansların verdiği bilgiye göre bugün öğleden sonra, Rasulayn bölgesindeki YPG mevzilerinden duman yükselmeye başladı. Bölgede dört patlama meydana geldi. #BarisPinari #TurkishArmy</t>
  </si>
  <si>
    <t>EmporerofOZ</t>
  </si>
  <si>
    <t>#JamalKhashoggi RT @cnni: Saudi's new tourist visas are bringing new visitors to the country. Now the rules have been relaxed for unmarried couples and solo female travelers.</t>
  </si>
  <si>
    <t>pic.twitter.com/7evlvAo4Lv</t>
  </si>
  <si>
    <t>https://twitter.com/cnni/status/1181428266541944838
https://cnn.it/322cX1i</t>
  </si>
  <si>
    <t>Tech Animals Finance</t>
  </si>
  <si>
    <t xml:space="preserve"> حسن عائض </t>
  </si>
  <si>
    <t>د. عبدالرحمن العناد : الوضع الإقتصادي في تركيا متدهور ومن المتوقع أن يزداد تدهوره وهذا دليل على سوء السياسات الاقتصادية التي يتبعها اردوغان .  - جمال خاشقجي #JamalKhashoggi #تركيا</t>
  </si>
  <si>
    <t>hissizleştim..</t>
  </si>
  <si>
    <t>pic.twitter.com/PejK3lb6VR</t>
  </si>
  <si>
    <t>Nihal</t>
  </si>
  <si>
    <t>#BarisPinariHarekati #BarisPinari #TurkishArmy Çok yaşa Türk ordusu 🇹🇷🇹🇷</t>
  </si>
  <si>
    <t>https://pbs.twimg.com/media/EGcNwH3XkAoBflB.jpg</t>
  </si>
  <si>
    <t xml:space="preserve"> سالم  الهاجري</t>
  </si>
  <si>
    <t>pic.twitter.com/4dcpaznXYO</t>
  </si>
  <si>
    <t>Giresun, Türkiye</t>
  </si>
  <si>
    <t>Yaşasın ırkımın Turan ülküsü 🇹🇷🇦🇿🇰🇿🇰🇬🇹🇲🇺🇿🇭🇺🇫🇮</t>
  </si>
  <si>
    <t>Mertcan Durmuş</t>
  </si>
  <si>
    <t>The Turkish Government will not accept the terrorist field at syria on the south side of Turkey #TurkishArmy</t>
  </si>
  <si>
    <t xml:space="preserve"> ريس الريس</t>
  </si>
  <si>
    <t>Her haksızlıkta öfkeyle titriyorsan, sen de benim yoldaşımsın.</t>
  </si>
  <si>
    <t>pic.twitter.com/NyyKNDBjC8</t>
  </si>
  <si>
    <t>mehmet dilsiz</t>
  </si>
  <si>
    <t>https://pbs.twimg.com/media/EGcNvO_XUAAK9Jr.jpg</t>
  </si>
  <si>
    <t>عيد البلوي</t>
  </si>
  <si>
    <t>أ. خالد النزر : الدولة القطرية تريد أن تجعل لها دور فعال في عديد من المواضيع فأصبحت سلم تمتطيه العديد من الدول .  - جمال خاشقجي #JamalKhashoggi #قطر</t>
  </si>
  <si>
    <t>pic.twitter.com/8NBad0MDFw</t>
  </si>
  <si>
    <t>∞ eü'18🎓 pa'4👮‍♂️⭐</t>
  </si>
  <si>
    <t xml:space="preserve"> بخيت العنمي</t>
  </si>
  <si>
    <t>تقرير / خامنئي : احتجاجات العراق مؤامرة .. وضبط قناصة إيرانيين يقتلون المتظاهرين.  #خاشقجي #عام_على_رحيل_خاشقجي</t>
  </si>
  <si>
    <t>özgüryarlıgan</t>
  </si>
  <si>
    <t>Sefer bizim, Zafer Allah'ındır.! #BarisPinariHarekati #TürkSilahliKuvvetleri #TurkishArmy</t>
  </si>
  <si>
    <t>pic.twitter.com/cUjuoyYaED</t>
  </si>
  <si>
    <t>https://pbs.twimg.com/media/EGcNui0XYAE3LZr.jpg</t>
  </si>
  <si>
    <t>Yıldız'lı İnşaat Mühendisi Şerefli Türk subayı ... Al Bayraktan Gök Bayrağa Selam Olsun ...</t>
  </si>
  <si>
    <t>Barney Evelyn Eriksen</t>
  </si>
  <si>
    <t>#TurkishArmy :)</t>
  </si>
  <si>
    <t>https://pbs.twimg.com/media/EGcNuvEXkAEQ4du.jpg</t>
  </si>
  <si>
    <t>حصريا.. السفير ادم ايرلي متحدث الخارجية الأمريكية السابق: اردوغان منافق كبير ..يذرف دموع التماسيح على خاشقجي بينما يزج بالاَف الاتراك بالسجونAdam Ereli: Erdogan is the biggest hypocrite on the plant  #خاشقجي #تركيا</t>
  </si>
  <si>
    <t>Mimar</t>
  </si>
  <si>
    <t>Hakan Kiremitci</t>
  </si>
  <si>
    <t>Gecelere sığamazdı o kadar koca yürek biz gece der gündüz girer gece çıkarız. Gerisini siz düşünün ! #BarisPinariHarekati #BarisPinari #TurkishArmy</t>
  </si>
  <si>
    <t>⫸ Türkiye / Samsun ⫸ Omu-Makine Teknisyeni 〄 ⫸ Cağla Yapı A.Ş uzman ⌨</t>
  </si>
  <si>
    <t xml:space="preserve"> ناصر الخليفة</t>
  </si>
  <si>
    <t>pic.twitter.com/rzv7BDsPj1</t>
  </si>
  <si>
    <t>İbrahim Fidanoğlu</t>
  </si>
  <si>
    <t>Allah yardımcımız olsun🙏🏼 🇹🇷 🇹🇷 #BarışPınarıHarekatı #TurkishArmy #OperationPeaceSpring</t>
  </si>
  <si>
    <t>Bilmeyene sevmeyi öğretecek kadar büyük bir kalbim, gidene beddua edemeyen bir dilim var. Yüreğimi korkak büyütmedim. Kaybettiklerim; dağıttığım servetimdir.</t>
  </si>
  <si>
    <t xml:space="preserve"> فرج البصري</t>
  </si>
  <si>
    <t>Thomas Castelli Taourel ن</t>
  </si>
  <si>
    <t>Les #Kurdes sont nos alliés dans la lutte contre le terrorisme. En s'attaquant à eux #Erdogan s'attaque à nous et se range dans le camp des islamistes. Il est désormais notre ennemi au grand jour. #TurkishArmy #Syrie</t>
  </si>
  <si>
    <t>pic.twitter.com/qmpftFeiKs</t>
  </si>
  <si>
    <t>Porto-Vecchio, France</t>
  </si>
  <si>
    <t>membre du comité de la 2eme circonscription de Corse du Sud @lesrepublicains| @forcerep_fr | catholique ✝️🇻🇦 . avec @fxbellamy 🇫🇷🇪🇺</t>
  </si>
  <si>
    <t>Hasbel Kader</t>
  </si>
  <si>
    <t>Barış Pınar Harekatı Başladı Selametle gidin sağ-salim dönün Allah tüm askerlerimizi korusun ınşAllah Rabbim askerimizi muzaffer eyle.. amin. 🇹🇷🇹🇷🇹🇷🇹🇷🇹🇷🇹🇷🇹🇷🇹🇷🇹🇷🇹🇷🇹🇷 #TurkishArmy #BarışPınarıHarekati #OperationPeaceSpring #BarisPinari</t>
  </si>
  <si>
    <t>https://pbs.twimg.com/media/EGcNstiWkAAs8EM.jpg</t>
  </si>
  <si>
    <t>İnancım gereği uğruna ölmem caiz değil, ama istersen dua ederim sana..!</t>
  </si>
  <si>
    <t>Chucky</t>
  </si>
  <si>
    <t>@saradannerdukic @NikkiHaley knows what happened to #JamalKhashoggi</t>
  </si>
  <si>
    <t>Northern VA</t>
  </si>
  <si>
    <t>Program Analyst at a 3 letter agency</t>
  </si>
  <si>
    <t xml:space="preserve"> ﺻﺎﻟﺢ ﺍﻟﺒﻘﻤﻲ</t>
  </si>
  <si>
    <t>pic.twitter.com/vCZlrsIe3K</t>
  </si>
  <si>
    <t>Bozkurt</t>
  </si>
  <si>
    <t>Ordusu olan bir millet degiliz milleti olan bir orduyuz biz! #TurkishArmy</t>
  </si>
  <si>
    <t>Onur</t>
  </si>
  <si>
    <t>ALLAH, kahraman askerimizin yardımcısı olsun #TurkishArmy #OperationPeaceSpring 🇹🇷❤️🇹🇷 #BarışPınarıHarekatı</t>
  </si>
  <si>
    <t xml:space="preserve">حسن بن عايش </t>
  </si>
  <si>
    <t>د. نايف الوقاع : عندما تقول الولايات المتحدة أنها لن ترفع العقوبات على ايران فإنها تملك دليل قاطع أن هذا النظام لن يتغير .  - جمال خاشقجي #خاشقجي #قطر</t>
  </si>
  <si>
    <t>pic.twitter.com/OAglJ6QtUE</t>
  </si>
  <si>
    <t>. Ölmeden önce Öl! 🇹🇷🇹🇷🇹🇷</t>
  </si>
  <si>
    <t xml:space="preserve"> حمد دايلي</t>
  </si>
  <si>
    <t>اللواء المتقاعد د. زايد العمري: خبير استراتيجي ومحلل سياسي: يشق علينا أن نراء الشعب القطري يمر بهذه التجربة المريرة الذي فرضها النظام القطري عليه .  - جمال خاشقجي #ايران #خاشقجي</t>
  </si>
  <si>
    <t>pic.twitter.com/sLEOs7taUc</t>
  </si>
  <si>
    <t xml:space="preserve"> ﻋﻮﻳﺪ ﺍﻟﻤﻄﻴﺮﻱ  </t>
  </si>
  <si>
    <t>pic.twitter.com/2hXrNFxv94</t>
  </si>
  <si>
    <t>serkan</t>
  </si>
  <si>
    <t>Ya Allah Bismilallah #TurkishArmy</t>
  </si>
  <si>
    <t>türkiye</t>
  </si>
  <si>
    <t>ﻋﺎﻳﺪ ﺍﻟﺮﺣﻴﻠﻲ</t>
  </si>
  <si>
    <t>أ. خالد النزر : هناك أطماع تركية واضحة في الأراضي السورية ، وأصبحت سوريا قابلة للتقسيم في ظل الظروف التي تمر بها.  #خاشقجي #قطر</t>
  </si>
  <si>
    <t>pic.twitter.com/4WQXJxJzLI</t>
  </si>
  <si>
    <t>Toygar</t>
  </si>
  <si>
    <t>Tanrı Türkü korusun! Gazamız mübarek olsun! #TurkishArmy</t>
  </si>
  <si>
    <t>lüzumsuz</t>
  </si>
  <si>
    <t xml:space="preserve"> ضياء  حلواني </t>
  </si>
  <si>
    <t>Ramazan Arayan 🇹🇷</t>
  </si>
  <si>
    <t>Sen bizim Rabbimizsin. Sen ne dersen o olur… Sana el açıp yalvarıyoruz… YA RABBİ… *Fırat’ın doğusuna harekât başlatan Ordumuzu muzaffer kıl. #BarisPinari #OperationPeaceSpring #TurkishArmy #turkmilletiordusununyaninda #BarisPinariHarekati</t>
  </si>
  <si>
    <t>pic.twitter.com/5V1EUhAGD6</t>
  </si>
  <si>
    <t>Sivas Merkez, Sivas</t>
  </si>
  <si>
    <t>Kızılelma</t>
  </si>
  <si>
    <t>#TurkishArmy Barış Pınarı Harekatına Katılan Askerlerimiz Ne Kadar Şanslı.. Bebek Katili Orospu Çocuklarıyla 40 Yıllık Hesabı Kapatmak Onlara Düştü.</t>
  </si>
  <si>
    <t>Ülkücü,Türk Milliyetçisi.. Türk Sir Budun 🤘</t>
  </si>
  <si>
    <t>Cimbomlu</t>
  </si>
  <si>
    <t>Şanlı Türk Ordusunun bahtı açık, kılıcı keskin, gazası mübarek olsun. Allah yardımcınız olsun! #BarışPınarıHarekati #TurkishArmy #turkmilletiordusununyaninda</t>
  </si>
  <si>
    <t>محمد  الخليفي</t>
  </si>
  <si>
    <t>pic.twitter.com/FgaGQ3VBU4</t>
  </si>
  <si>
    <t>seda 🇹🇷</t>
  </si>
  <si>
    <t>Allah ordumuzun yâr ve yardımcısı olsun 🙏 🇹🇷🇹🇷🇹🇷🇹🇷🇹🇷 #BarışPınarıHarekati #BarisPinari #TurkishArmy</t>
  </si>
  <si>
    <t>yükseleniİkizlerolan1Yay ♐ 🦁💛❤</t>
  </si>
  <si>
    <t>صالح الحربي</t>
  </si>
  <si>
    <t>د. أحمد الأنصاري: مستشار أمني وباحث في العلاقات الدولية: المسؤولين الإيرانيين لا ينامون الليل خوفاً من انتقال عدوى المظاهرات إلى ايران .  #JamalKhashoggi #تركيا</t>
  </si>
  <si>
    <t>pic.twitter.com/82iQ6jlU45</t>
  </si>
  <si>
    <t>TÜRK | 🇹🇷</t>
  </si>
  <si>
    <t>Hey biz geldik! 😎🔥 #BarışPınarıHarekatı #TurkishArmy</t>
  </si>
  <si>
    <t>7 Eylül / Kayseri</t>
  </si>
  <si>
    <t>Erciyes Üniversitesi. | 🇹🇷 Yoruldu artık.</t>
  </si>
  <si>
    <t>https://youtu.be/lWA2pjMjpBs</t>
  </si>
  <si>
    <t>ST Foreign Desk</t>
  </si>
  <si>
    <t>"I can't breathe." These were the final words of Saudi Arabian journalist #JamalKhashoggi , who was brutally murdered a year ago. His case has surfaced for the seventh time on a monthly list compiled by the @OneFreePress . Read more here.</t>
  </si>
  <si>
    <t>https://www.straitstimes.com/world/still-no-justice-for-jamal-khashoggi-says-one-free-press-coalition</t>
  </si>
  <si>
    <t>Sebbb🦋</t>
  </si>
  <si>
    <t>Singapore</t>
  </si>
  <si>
    <t>The Straits Times Foreign Desk brings you news about the rest of the world. Follow us for live tweeting of major events.</t>
  </si>
  <si>
    <t>http://www.stasiareport.com</t>
  </si>
  <si>
    <t>Gençlerbirliği SK 🇹🇷 Spor Bilimleri Fakültesi</t>
  </si>
  <si>
    <t>Osman AYDENİZ</t>
  </si>
  <si>
    <t>Dağlar demirdendi dediler Türk'ün yüreği çeliktendi öğrettik. #TurkishArmy #BarisPinariHarekati RT @trthaber: Türkiye, Fırat'ın doğusuna #BarışPınarıHarekatı’nı başlattı. Hedef, terör yuvalarını yok etmek. Peki, harekât hangi alanları kapsıyor?</t>
  </si>
  <si>
    <t>https://twitter.com/trthaber/status/1181926965533642752
https://www.trthaber.com/haber/gundem/baris-pinari-harekati-basladi-434852.html</t>
  </si>
  <si>
    <t>pic.twitter.com/mLTWo7YzPM</t>
  </si>
  <si>
    <t>Lisandro</t>
  </si>
  <si>
    <t>@Jim_Jordan @realDonaldTrump Ask the Turks if they asked Trump: KURDS-pro-quo. #JamalKhashoggi</t>
  </si>
  <si>
    <t>pic.twitter.com/5TiBlvCUBB</t>
  </si>
  <si>
    <t>🇹🇷 😎 Umut yolunu bulur 🤔 🇹🇷</t>
  </si>
  <si>
    <t>SAG Actor, martial artist, magic enthusiast, business owner. Passionate about: science, space exploration &amp; film making. Fav historic figure: Leonardo Da Vinci</t>
  </si>
  <si>
    <t>http://about.me/LisandroDiMarco</t>
  </si>
  <si>
    <t xml:space="preserve">علي صالح </t>
  </si>
  <si>
    <t>أ. نايف الحربي: إعلامي وكاتب صحفي: قطر تريد أن تشق الصف العربي والإسلامي .  - جمال خاشقجي #خاشقجي #عام_على_رحيل_جمال</t>
  </si>
  <si>
    <t>pic.twitter.com/QPwCgzPYnd</t>
  </si>
  <si>
    <t>موسي قديمي</t>
  </si>
  <si>
    <t>pic.twitter.com/aYE2f7JReA</t>
  </si>
  <si>
    <t>عنق - السعودية</t>
  </si>
  <si>
    <t>تواضع .. فمن تواضع .. الله رفعه ..</t>
  </si>
  <si>
    <t>فرج اليحيي</t>
  </si>
  <si>
    <t>pic.twitter.com/9LvJvKzHXf</t>
  </si>
  <si>
    <t>وذِكركَ يا رسُول الله نور تُضاءُ بهِ الحياة صَل الله عليك وسلم يا حبيبي يا رسول الله</t>
  </si>
  <si>
    <t>فرح الحرازي</t>
  </si>
  <si>
    <t>أتصال/ أ. مهدي عفيفي: عضو الحزب الديموقراطي الأمريكي السابق – نيويورك: هذه ليست المرة الأولى للعصابة القطرية في تمويلها للمؤسسات المشبوهة .. وخاصةً التابعة لجماعة الاخوان الإرهابية .  - جمال خاشقجي #JamalKhashoggi #قطر</t>
  </si>
  <si>
    <t>pic.twitter.com/3jsR3frsvg</t>
  </si>
  <si>
    <t>Bayrampaşa Teşkilat Komisyonu</t>
  </si>
  <si>
    <t>Çocukların korkmadığı tek ordu.. Şanlı ordumuz Operasyona başladı Sefer sizden Zafer Rabbim'den İnşallah... Allah'ım ayağınıza taş değdirmesin Muvaffak eylesin hepinizi Aslanlar 🇹🇷 #TurkishArmy…</t>
  </si>
  <si>
    <t>البس يحب خناقه.</t>
  </si>
  <si>
    <t>https://www.instagram.com/p/B3Zj5syh44L/?igshid=9eap7izh7q5f</t>
  </si>
  <si>
    <t>MrzP3r3z</t>
  </si>
  <si>
    <t>It was time the 2nd time a child died in our custody, or a year ago when #JamalKhashoggi was butchered and so many other times. We shouldn't be here. But the @GOP party over Country has tarnished the reputation that took over 2 centuries to build. Shameful RT @ScenarioLENS: Retweet if you think it’s time for the @CIA and @FBI to remove Trump by force.</t>
  </si>
  <si>
    <t>https://twitter.com/ScenarioLENS/status/1181301336702193664</t>
  </si>
  <si>
    <t>I have no filter and call bullshit when I see it. We must fight to preserve our Democracy. #Resist #AmericaWillBeBetter just don't give in to the daily grind</t>
  </si>
  <si>
    <t>@vni</t>
  </si>
  <si>
    <t>#TurkishArmy Rabbim yar ve yardımcınız olsun ...</t>
  </si>
  <si>
    <t>https://pbs.twimg.com/media/EGcNkIAWsAEXUd7.jpg</t>
  </si>
  <si>
    <t>بيان بعيطي</t>
  </si>
  <si>
    <t>تقرير: إعلام الزيف القطري التركي الإخوانجي .. فبركة الأخبار وتضليل الرأي العام .  - جمال خاشقجي #خاشقجي #قطر</t>
  </si>
  <si>
    <t>pic.twitter.com/v6MZBYzLC4</t>
  </si>
  <si>
    <t>روضة سدير  - السعودية</t>
  </si>
  <si>
    <t>أحيانآ.. لا يجدي نفعآ قلب الصفحة.. بل الأجدى بك غلق الكتاب بأكمله</t>
  </si>
  <si>
    <t>Güller diyarı  Isparta</t>
  </si>
  <si>
    <t>Hayal kurmak güzel de Ya sonra...</t>
  </si>
  <si>
    <t>Kaan Arslan</t>
  </si>
  <si>
    <t>Ey @realDonaldTrump duy sesimizi! İşte bu Türklerin ayak sesleri! #BarışPınarıHarekatı başladı! Gazamız mübarek olsun 🇹🇷 #TurkishArmy #BarisPinari</t>
  </si>
  <si>
    <t>https://www.youtube.com/watch?v=pNuWTPNdMqs</t>
  </si>
  <si>
    <t>pic.twitter.com/Qc2HpYNKZI</t>
  </si>
  <si>
    <t>سعيد الأحيدب</t>
  </si>
  <si>
    <t>pic.twitter.com/7EH2EOeLxL</t>
  </si>
  <si>
    <t>Kırmızı Beyaz Dergisi Genel Yayın Yönetmeni (@kbdergi), Teori Dergisi Yazı Kurulu Üyesi</t>
  </si>
  <si>
    <t>http://tgb.gen.tr</t>
  </si>
  <si>
    <t>Saudi Arabia</t>
  </si>
  <si>
    <t>عايد الغيثي</t>
  </si>
  <si>
    <t>اللواء المتقاعد د. زايد العمري: خبير استراتيجي ومحلل سياسي: قطر اصابتها الغيرة من هذا النموذج الإسلامي الوسطي الصحيح .  - جمال خاشقجي #JamalKhashoggi #السعودية</t>
  </si>
  <si>
    <t>noyan #sürtükbüken</t>
  </si>
  <si>
    <t>"Tanrının yer yüzündeki askerleri, pençesi kanla süslü, her biri dağ göğüslü" #TurkishArmy #BarısPınarlarıHarekatı</t>
  </si>
  <si>
    <t>pic.twitter.com/LyE5JMbcqE</t>
  </si>
  <si>
    <t>https://pbs.twimg.com/media/EGcNjnRW4AAdC_G.jpg</t>
  </si>
  <si>
    <t>طاروط - السعودية</t>
  </si>
  <si>
    <t>اللهم ألبس والدتي العافية حتى تهنأ بالمعيشة ، واختم لها بالمغفرة حتى لا تضرها الذنوب برحمتك يا ارحم الراحمين</t>
  </si>
  <si>
    <t xml:space="preserve"> +18, küfür, cinsellik, şiddet vs. 🇹🇷🇲🇳</t>
  </si>
  <si>
    <t>ماجد الأهدل</t>
  </si>
  <si>
    <t>pic.twitter.com/zWHq8bUkpB</t>
  </si>
  <si>
    <t>يا شين السرج على البقره</t>
  </si>
  <si>
    <t>archimedes</t>
  </si>
  <si>
    <t>برهان الهشبول</t>
  </si>
  <si>
    <t>د. عثمان البريكان : تركيا تدعي انها تحارب الارهاب و داعش وهم في الأساس يتحركون من خلالها .  - جمال خاشقجي #خاشقجي #قطر</t>
  </si>
  <si>
    <t>pic.twitter.com/GIFvcINSkh</t>
  </si>
  <si>
    <t>pic.twitter.com/1zBke3bRVX</t>
  </si>
  <si>
    <t>جيزان - السعودية</t>
  </si>
  <si>
    <t>يامن شراله من حلاله علّه</t>
  </si>
  <si>
    <t>Popperian , Nietzschean , Wagnerian</t>
  </si>
  <si>
    <t>https://medium.com/@17egeo3/kendime-sorular-a4619abd50f0</t>
  </si>
  <si>
    <t>عايض مهني</t>
  </si>
  <si>
    <t>pic.twitter.com/hZfZ6sBd7H</t>
  </si>
  <si>
    <t>🤬</t>
  </si>
  <si>
    <t>Atış serbest #TurkishArmy #BarışPınarıHarekati</t>
  </si>
  <si>
    <t>https://pbs.twimg.com/media/EGcNiXYXYAQKTY2.jpg</t>
  </si>
  <si>
    <t>ربِي إنِزع من صَدري حُب كل شيء لا تُحبّه</t>
  </si>
  <si>
    <t>فؤاد قاروب</t>
  </si>
  <si>
    <t>د. عدنان محمد : مكاتب قناة الجزيرة في البلدان هي وكر للتجسس وزرع الخلايا التي تريد نشر الفوضى.  - جمال خاشقجي #خاشقجي #تركيا</t>
  </si>
  <si>
    <t>pic.twitter.com/au6BiRx1RQ</t>
  </si>
  <si>
    <t>Abdülkadir Baş🇹🇷🇧🇦</t>
  </si>
  <si>
    <t>Allah ordumuzu korusun Allah yar ve yardımcıları olsun #TurkishArmy #BarisPinari #BarisPinariHarekati</t>
  </si>
  <si>
    <t>يارب امطر على قبورهم وارحمهم</t>
  </si>
  <si>
    <t>pic.twitter.com/cTF82OUMza</t>
  </si>
  <si>
    <t>محمد شامان</t>
  </si>
  <si>
    <t>pic.twitter.com/NsIYe5x2oV</t>
  </si>
  <si>
    <t>Takip eden herkesi prensip gereği takip ediyorum. #takibetakip lakin Vatanıma, Milletime ve Liderime hakaret edeni aynen engellerim bunu da böyle bilin.</t>
  </si>
  <si>
    <t>ضرمة - السعودية</t>
  </si>
  <si>
    <t>تركي الفهاد</t>
  </si>
  <si>
    <t>pic.twitter.com/AuJsGIhwmx</t>
  </si>
  <si>
    <t>ان تعلقت بالدنيا فلن ترى سعادة الدنيا وان تعلقت برب الدنيا فسترى الدنيا سعادة</t>
  </si>
  <si>
    <t>عبد الجواد المسعد</t>
  </si>
  <si>
    <t>pic.twitter.com/FeIJgfj1Yo</t>
  </si>
  <si>
    <t>Mukadderat</t>
  </si>
  <si>
    <t>Ara, Bul, IMHA ET ! Esir istemiyoruz ! #TurkishArmy #Türkiye 🇹🇷 #Kazanacağız #MilletBirHedefBir #BarısPınarıHarekatı</t>
  </si>
  <si>
    <t>المعاق … معاق العقل والأخلاق</t>
  </si>
  <si>
    <t>https://pbs.twimg.com/media/EGcNh7wWkAAU7_7.jpg</t>
  </si>
  <si>
    <t>CallingYouOut</t>
  </si>
  <si>
    <t>@LindseyGrahamSC If you’re so concerned about 9/11 and radical Muslims, where is your outrage over #JamalKhashoggi and the Saudis who actually perpetrated the attack on our soil? Go ahead. I’ll wait.</t>
  </si>
  <si>
    <t>We are OTTOMANS and we meaning to change this world again !! #Türkiye 🇹🇷</t>
  </si>
  <si>
    <t xml:space="preserve">Land Of Sunsets </t>
  </si>
  <si>
    <t>Search &amp; Rescue; Bi-coastal but happier when my toes are in the Pacific. #Resist, unapologetically #ProChoice</t>
  </si>
  <si>
    <t>عبد الله الهريفي</t>
  </si>
  <si>
    <t>k(angaroocourt)ommunia🔥🚩</t>
  </si>
  <si>
    <t>Great unmatched wisdom paying off with a #TurkishArmy who has proved a master in genocides!! #StableGenius #Kurds</t>
  </si>
  <si>
    <t>pic.twitter.com/PlUjWHQDZS</t>
  </si>
  <si>
    <t>https://pbs.twimg.com/media/EGcNhJzXoAATrIc.jpg</t>
  </si>
  <si>
    <t>إليك يا الله مَرجعي فأهدني ثم اعفُ عني وأحسِن خاتمتي</t>
  </si>
  <si>
    <t>Diaspora</t>
  </si>
  <si>
    <t>cultural marxism par excellence!</t>
  </si>
  <si>
    <t>http://kommunia.blog</t>
  </si>
  <si>
    <t>عمرو العقيل</t>
  </si>
  <si>
    <t>pic.twitter.com/sZuo6QPpsl</t>
  </si>
  <si>
    <t>Ramazan ama Tatar</t>
  </si>
  <si>
    <t>Bu millet her daim Türk ordusunun yanındadir Allah yar ve yardımcınız olsun Türkün gücünü sınırını test etmeye kimse kalkışmasın Ansızın bir gece geliriz #TurkishArmy</t>
  </si>
  <si>
    <t>أللهم أجعل ما بقي من عمري عبادة وسعادة</t>
  </si>
  <si>
    <t>د. محمد الحلفي : باحث في التاريخ الحديث : نشأت قناة الجزيرة من اجل استهداف دول مُعينة.  #ايران #خاشقجي</t>
  </si>
  <si>
    <t>Sultangazi, İstanbul</t>
  </si>
  <si>
    <t>@kuzeytarafi @tg_istanbul</t>
  </si>
  <si>
    <t>http://instagram.com/ramazansakalli61/</t>
  </si>
  <si>
    <t>pic.twitter.com/yN8wkOm9TZ</t>
  </si>
  <si>
    <t>u³</t>
  </si>
  <si>
    <t>Selocan ve tüm Hdpliler şu an mal mal bakmakta. #TurkishArmy #bizgeldik #BarisPinari</t>
  </si>
  <si>
    <t>https://pbs.twimg.com/media/EGcNgRVWkAAAG46.jpg</t>
  </si>
  <si>
    <t>خضر المحارب</t>
  </si>
  <si>
    <t>pic.twitter.com/76iWmuLa5c</t>
  </si>
  <si>
    <t>If it ain't broke don't fix it! - sanat sepet işleri -</t>
  </si>
  <si>
    <t>“المرأة, مهما بلغ جمال جسمها فإنها تفقد الأنوثة إذا كانت غبية أو ضعيفة الشخصية أو متصنّعة أو كاذبة!”</t>
  </si>
  <si>
    <t>Hasan</t>
  </si>
  <si>
    <t>Jetlerimizde son durum #BarisPinariHarekati #TurkishArmy RT @UEFAcom_de: 🚀💥 #AbdulkadirParmak 🎯😱 #UEL | @Trabzonspor | @parmak6119</t>
  </si>
  <si>
    <t>https://twitter.com/uefacom_de/status/1181888410350432256</t>
  </si>
  <si>
    <t>نافع العاصمي</t>
  </si>
  <si>
    <t>pic.twitter.com/kYcLkHcn0n</t>
  </si>
  <si>
    <t>pic.twitter.com/ckyuNTaMnp</t>
  </si>
  <si>
    <t>إربط الحصين عند الحمير يتعلم النهيقأصفان - السعودية</t>
  </si>
  <si>
    <t>Angara</t>
  </si>
  <si>
    <t>My official Twitter account</t>
  </si>
  <si>
    <t>عياد بن غصين</t>
  </si>
  <si>
    <t>pic.twitter.com/yjH47IGa5L</t>
  </si>
  <si>
    <t>Emir Çağdaş Pekçetin</t>
  </si>
  <si>
    <t>Ortadoğu’yu saran terör bataklığını bölgeden söküp atacak şanlı Türk Ordumuz geliyor... Sefer bizden, zafer Allah’tan... #BarışPınarıHarekatı #BarışPınarı #TurkishArmy</t>
  </si>
  <si>
    <t>pic.twitter.com/OU8h6oRFSJ</t>
  </si>
  <si>
    <t>القاعية - السعودية</t>
  </si>
  <si>
    <t>من وجد الله فماذا فقد .. و من فقد الله فماذا وجد ..</t>
  </si>
  <si>
    <t>جاسم الزامل</t>
  </si>
  <si>
    <t>Co-founder of Sosyalans | Stratejist &amp; Dijital Medya Uzmanı | Instagram: emircagdaspekcetin</t>
  </si>
  <si>
    <t>http://www.sosyalansmedya.com</t>
  </si>
  <si>
    <t>pic.twitter.com/ttMhtjdQkK</t>
  </si>
  <si>
    <t>Uğur DANA</t>
  </si>
  <si>
    <t>Bölgedeki güvenliğimiz ve hâkimiyetimiz açısından olmazsa olmaz bir harekattı nihayet başladı ordumuzun topyekün arkasındayız.Tanrı Türk'ü korusun. #TurkishArmy</t>
  </si>
  <si>
    <t>https://pbs.twimg.com/media/EGcNfwKXoAA8peI.jpg</t>
  </si>
  <si>
    <t>* اللهم إني اسألك حسن الخاتمه</t>
  </si>
  <si>
    <t>عياد الشراحيلي</t>
  </si>
  <si>
    <t>Hatay, Türkiye</t>
  </si>
  <si>
    <t>Galatasaray ve Yazılım ile Yoğrulmuş Hayatlar</t>
  </si>
  <si>
    <t>pic.twitter.com/BV2x1WrtgM</t>
  </si>
  <si>
    <t>خيران - السعودية</t>
  </si>
  <si>
    <t>اللهم لا تشغل حياتنا . . إلا بما خلقتنا من أجله</t>
  </si>
  <si>
    <t>أمجد الحكمي</t>
  </si>
  <si>
    <t>أ. نايف الحربي: إعلامي وكاتب صحفي: ايران تريد الاضرار بأمن المملكة .  - جمال خاشقجي #خاشقجي #عام_على_رحيل_خاشقجي</t>
  </si>
  <si>
    <t>pic.twitter.com/txPWM6vWVx</t>
  </si>
  <si>
    <t>AkkoyunluŞehzadesi</t>
  </si>
  <si>
    <t>Sen çayı koy Sebastian, biz bi vatan hainlerinin, teröristlerin ve terör sevicilerin amk gelcez. #BarışPınarıHarekati #TurkishArmy #OperationPeaceSpring #BarisPinari @realDonaldTrump</t>
  </si>
  <si>
    <t>https://pbs.twimg.com/media/EGcNfgUW4AA9FuH.jpg</t>
  </si>
  <si>
    <t>العين شبعانه والنفس قنعانه</t>
  </si>
  <si>
    <t>Sappho New Paradigm</t>
  </si>
  <si>
    <t>@Mitumba10 @PrincessBravato #JamalKhashoggi</t>
  </si>
  <si>
    <t>🇹🇷🚖🇸🇦 VATAN'IMA GÖZ DİKENİ, EZ OĞUL 🇸🇦🚖🇹🇷</t>
  </si>
  <si>
    <t>Canada</t>
  </si>
  <si>
    <t>Clean. Conscious. Vegan cosmetics by Emmy Nominated MUA #MySappho *not always sure opinions are shared by all at the co. :)</t>
  </si>
  <si>
    <t>http://www.mysappho.com</t>
  </si>
  <si>
    <t>محمد الشبيلي</t>
  </si>
  <si>
    <t>pic.twitter.com/KmdHllbQ0n</t>
  </si>
  <si>
    <t>Jale Kurt</t>
  </si>
  <si>
    <t>Biz ordusu olan bir millet değil, milleti olan bir orduyuz. Gazamız mübarek olsun . #TurkishArmy</t>
  </si>
  <si>
    <t>حتات سدير  - السعودية</t>
  </si>
  <si>
    <t>الأشياء الجميلہ : تَختبئ خلفَ العسر ، ليفاجئ اللہ صبرنا بكرم عطاياهہ</t>
  </si>
  <si>
    <t>عاطف العريشي</t>
  </si>
  <si>
    <t>#1990STAJMAĞDURU #1996EMEKLİLİKTEYASAYATAKILANLAR #ABOMAĞDURU</t>
  </si>
  <si>
    <t>pic.twitter.com/ykxfck12ac</t>
  </si>
  <si>
    <t>Fırat'ın doğusuna operasyon başladı. Beynimin arka fonunda ise 'işte geliyor özel harekat' çalıyor şuan :))) #BarışPınarıHarekati #TurkishArmy</t>
  </si>
  <si>
    <t>رحمة الله على قلوب رحلت و لم تنسى ، و جبر الله قلوب إشتاقت فدعت</t>
  </si>
  <si>
    <t>İzmir • TR</t>
  </si>
  <si>
    <t>أكرم العامري</t>
  </si>
  <si>
    <t>Material Science and Engineering. İKÇÜ. FENERBAHÇE. M.Kemal Atatürk 193∞</t>
  </si>
  <si>
    <t>http://instagram.com/aliceki</t>
  </si>
  <si>
    <t>pic.twitter.com/qzbbksKgGP</t>
  </si>
  <si>
    <t>أبقيق - السعودية</t>
  </si>
  <si>
    <t>لا يتم في كون الله أمـر بغيــر علم الله</t>
  </si>
  <si>
    <t>Ümit Cirem</t>
  </si>
  <si>
    <t>🤘🇹🇷 #TurkishArmy #BarışPınarı #OperationPeaceSpring #BarışPınarıHarekati</t>
  </si>
  <si>
    <t>https://pbs.twimg.com/media/EGcNfGCXUAAzwRz.jpg</t>
  </si>
  <si>
    <t>مفرج العثيم</t>
  </si>
  <si>
    <t>pic.twitter.com/O6KNPIFrnr</t>
  </si>
  <si>
    <t>🇹🇷🇦🇿🇰🇬🇰🇿🇹🇲🇺🇿 💛❤🦁</t>
  </si>
  <si>
    <t>المشاعر مثل الحقوق ، لا يجب ان تعطى إلا لمن يستحقها</t>
  </si>
  <si>
    <t>Lades🏹</t>
  </si>
  <si>
    <t>Söz konusu vatansa gerisi teferruattır. Bu bir savaş değil, birkaç leş almaktır; savaş devletler arasında olur. Allah yardımcınız olsun #TurkishArmy #BarisPinariHarekati</t>
  </si>
  <si>
    <t>مفرج قاروب</t>
  </si>
  <si>
    <t>pic.twitter.com/KG3Rq5L0be</t>
  </si>
  <si>
    <t>erişir miyim ben de mutluluğa, çok geçmeden?</t>
  </si>
  <si>
    <t>الانشغال بالعمل أفضل وسيلة لابعادك عن الامور السيئة</t>
  </si>
  <si>
    <t>AK Parti Üsküdar Ünalan</t>
  </si>
  <si>
    <t>ذويبان الفوزان</t>
  </si>
  <si>
    <t>pic.twitter.com/A1B7MgixYM</t>
  </si>
  <si>
    <t>بعض المعارف مجرد أرقام تنمحي مع الأيام وتذوب تدريجياً وبعضها يُنقش في القلب ويصبح أغلى من الروح</t>
  </si>
  <si>
    <t>عبد الرحمن آل طالب</t>
  </si>
  <si>
    <t>pic.twitter.com/nztgoDOStv</t>
  </si>
  <si>
    <t>HALİL EFE ÖZKAN 👑👊</t>
  </si>
  <si>
    <t>#TurkishArmy #SONDAKİKA Kahraman Mehmetçiğimiz, Türkiye ve Suriye'nin toprak bütünlüğü için ABD uzantısı terör örgütleri PKK/YPG ve IŞİD'e karşı #BarışPınarıHarekatı'nı başlattı. Canımızla, kanımızla yanınızdayız! 🇹🇷🇹🇷 #TurkishArmy</t>
  </si>
  <si>
    <t>يالله برداً وسلاماً على قبر كل ميت</t>
  </si>
  <si>
    <t>إياد البعداني</t>
  </si>
  <si>
    <t>د. عبد الرحمن العناد: ما يُغيظ الاعلام القطري المُعادي ان الاعلام السعودي قام بكشف ما يقومون به من مشاريع تخريبية في المنطقة.  - جمال خاشقجي #خاشقجي #قطر</t>
  </si>
  <si>
    <t>pic.twitter.com/l85G86UE90</t>
  </si>
  <si>
    <t>Legal Düşün İllegal Yaşa 👑 📷Halil.efe.ozkan</t>
  </si>
  <si>
    <t>و حكينا بالسعاده .. مابعد صوته شعور !</t>
  </si>
  <si>
    <t>Andarkan 𐱅𐰼𐰇𐰰</t>
  </si>
  <si>
    <t>🇹🇷 𐱅𐰼𐰇𐰰 #BarisPinariHarekati #BarisPinari #TurkishArmy</t>
  </si>
  <si>
    <t>محمد بن هديان</t>
  </si>
  <si>
    <t>https://pbs.twimg.com/media/EGcNc4kXkAAlLrA.jpg</t>
  </si>
  <si>
    <t>pic.twitter.com/MYpF376MMq</t>
  </si>
  <si>
    <t>fwefd3cv cbncvb cvb rew</t>
  </si>
  <si>
    <t>30.05.2015</t>
  </si>
  <si>
    <t>http://instagram.com/oktaycolakoglu_</t>
  </si>
  <si>
    <t>بتال الفهيد</t>
  </si>
  <si>
    <t>pic.twitter.com/s1OHs6G9zG</t>
  </si>
  <si>
    <t>Batuhan AŞUT</t>
  </si>
  <si>
    <t>Rabbim ayağınıza taş değdirmesin ... #BarisPinariHarekati #BarisPinari #TurkishArmy #turkmilletiordusununyaninda</t>
  </si>
  <si>
    <t>ليس مع طاعة الله خوف وليس مع معصية الله أمـن</t>
  </si>
  <si>
    <t>https://pbs.twimg.com/media/EGcNdIiX0AAm6Mi.jpg</t>
  </si>
  <si>
    <t>عايش رديني</t>
  </si>
  <si>
    <t>أتصال/ أ. مهدي عفيفي: عضو الحزب الديموقراطي الأمريكي السابق – نيويورك: هذه ليست المرة الأولى للعصابة القطرية في تمويلها للمؤسسات المشبوهة .. وخاصةً التابعة لجماعة الاخوان الإرهابية .  - جمال خاشقجي #JamalKhashoggi #تركيا</t>
  </si>
  <si>
    <t>pic.twitter.com/07iqDYTCs4</t>
  </si>
  <si>
    <t>اللھم بشرني بما انتظرهُ فأنت خير المبشرين</t>
  </si>
  <si>
    <t>Mersin, Turkey</t>
  </si>
  <si>
    <t>Merhaba ! https://www.batuhanasut.com adresinden yazılarımı takip edebilirsiniz #Mersin</t>
  </si>
  <si>
    <t>http://www.batuhanasut.com</t>
  </si>
  <si>
    <t>Elaine Ronson</t>
  </si>
  <si>
    <t>@marcorubio @NBA @HoustonRockets Wish you’d been as outraged @marcorubio by Trump’s inaction in response to the killing of #JamalKhashoggi to please the Saudi ruthless autocrat MBS.</t>
  </si>
  <si>
    <t>Haşim Tekin</t>
  </si>
  <si>
    <t>Türk Beklenendir 🇹🇷 Allah ordumuzun yar ve yardımcısı olsun... 🇹🇷🇹🇷🇹🇷 #BarışPınarıHarekatı #TurkishArmy #BarisPinari</t>
  </si>
  <si>
    <t>Manhattan, NY</t>
  </si>
  <si>
    <t>So... I moved to NYC in 2012 and then, in 2016, Trump was elected. WTF happened!!! Also art advisor. Rage tweets here. Art tweets @artkapsule.</t>
  </si>
  <si>
    <t>http://www.artkapsule.com</t>
  </si>
  <si>
    <t>https://pbs.twimg.com/media/EGcNcKIWsAAEQZ6.jpg</t>
  </si>
  <si>
    <t>عيد العمودي</t>
  </si>
  <si>
    <t>Bahçelievler, İstanbul</t>
  </si>
  <si>
    <t>pic.twitter.com/ecXGgscnOk</t>
  </si>
  <si>
    <t>NEÜ/Hukuk 🇹🇷 🇹🇷 🇹🇷 🇹🇷 🇹🇷</t>
  </si>
  <si>
    <t>http://Instagram.com/hasimmtekinn</t>
  </si>
  <si>
    <t>العديلية  - السعودية</t>
  </si>
  <si>
    <t>ثلاثة لا تنساها إذا ظهرت عليك نعمة فأحمد الله وإذا أبطى عنك الرزق استغفر الله وإذا أصابتك شدة لاحول ولا قوة إلا بالله</t>
  </si>
  <si>
    <t>𝓨𝓾𝓼𝓾𝓯 𝓓𝓮𝓶𝓲𝓻</t>
  </si>
  <si>
    <t>#BarisPinariHarekati #TurkishArmy İstikamet KIZIL ELMA... 🇹🇷🇹🇷</t>
  </si>
  <si>
    <t>عليان السويجي</t>
  </si>
  <si>
    <t>https://pbs.twimg.com/media/EGcNbykW4AAR6J4.jpg</t>
  </si>
  <si>
    <t>pic.twitter.com/EZBeeL74pD</t>
  </si>
  <si>
    <t>إلى أحدهُم: حفظك الرحمن من كُل سوء</t>
  </si>
  <si>
    <t>http://instagram.com/yusufdemirss</t>
  </si>
  <si>
    <t>ابراهيم يماني</t>
  </si>
  <si>
    <t>pic.twitter.com/zI6mxrYyRd</t>
  </si>
  <si>
    <t>القرين - السعودية</t>
  </si>
  <si>
    <t>دائمًا : أسعد اللي يسعدك وبس.</t>
  </si>
  <si>
    <t>şerafettin karaca</t>
  </si>
  <si>
    <t>şu kopan fırtına Türk ordusudur yâ Rabbi.. #TurkishArmy 🇹🇷</t>
  </si>
  <si>
    <t>https://pbs.twimg.com/media/EGcNbwoW4AAMncu.jpg</t>
  </si>
  <si>
    <t>رضا قيلان</t>
  </si>
  <si>
    <t>ankara üniversitesi alternatif enerji kaynakları teknolojisi. şimdi ise; erciyes enerji sistemleri mühendisliği. silifkeli.</t>
  </si>
  <si>
    <t>pic.twitter.com/QttHqKzwU0</t>
  </si>
  <si>
    <t>Can %100 Gs</t>
  </si>
  <si>
    <t>#TurkishArmy Galib et Allahım bu son ordusu Îslamın</t>
  </si>
  <si>
    <t>دائماً وأبداً أنت الجـواد يا رب العبــاد</t>
  </si>
  <si>
    <t>9. Hesap DEAR UEFA :d</t>
  </si>
  <si>
    <t>Henrynathanmia</t>
  </si>
  <si>
    <t>@CNN Ask her what she knows about what happened to #JamalKhashoggi</t>
  </si>
  <si>
    <t>TurkKoncuy☾★ϜϓſϞ</t>
  </si>
  <si>
    <t>#TurkishArmy #Türksilahlıkuvvetleri #BarısPınarıHarekatı heyt beee ! savaş ϜϓſϞ'ün bayramı</t>
  </si>
  <si>
    <t>https://pbs.twimg.com/media/EGcNbUIWwAElWWv.jpg</t>
  </si>
  <si>
    <t>New Jersey</t>
  </si>
  <si>
    <t>NYG freak Rebuilt account.</t>
  </si>
  <si>
    <t>حمزة اليهري</t>
  </si>
  <si>
    <t>pic.twitter.com/plKBIgN2m8</t>
  </si>
  <si>
    <t>Atatürk sever.yobaz savar !!</t>
  </si>
  <si>
    <t>DM yok ! 卍TÜRKÇÜ-TURANCI 卍 yobik,çapuling hasssstir.! TrabzonSpor</t>
  </si>
  <si>
    <t>(Hırdalioğulları)</t>
  </si>
  <si>
    <t>#BarışPınarıHarekati #BarisPinari #TurkishArmy "Allahumme'nsur ibadike'l -muminine ale'l -kafirine nasran aziza" "Allah’ım, yüce yardımınla kafir topluluğuna karşı, inanan kullarına yardımcı ol." Sürekli Okunmalıdır.</t>
  </si>
  <si>
    <t>حيدر الرشودي</t>
  </si>
  <si>
    <t>88 model Eski Milli Olamayan İTÜ, Tofaş, Ülkerspor, Daçka, Beşiktaş, Galatasaray, İBB, Eyüp, Vefa SK Basketbolcusu, Basketbol Gelişim Coach, #TBF #TCCB :)</t>
  </si>
  <si>
    <t>pic.twitter.com/qBD3KthuRe</t>
  </si>
  <si>
    <t>ali çamur</t>
  </si>
  <si>
    <t>Bir gece ansızın gelebiliriz dedik 7 düvel görsün diye gündüz giriyoruz ALLAH bu operasyondaki herkesin sağ Salim evlerine dönmelerini nasip etsin(amin)#BarisPinariHarekati #TurkishArmy</t>
  </si>
  <si>
    <t>من الحرمان : أن تدرك ساعات آخر الليل ، ثم لا يرفع لك فيها عمل صالح ، ولو كان استغفاراً أو تسبيحاً أو حمداً</t>
  </si>
  <si>
    <t>bize her sevdadan geriye kalan sadece GALATASARAY Instagram:alicamur34</t>
  </si>
  <si>
    <t>خالد مرتع</t>
  </si>
  <si>
    <t>د. حمدان الشهري: لابد من مُواجهة طهران ومشاريعها في المنطقة.  - جمال خاشقجي #خاشقجي #عام_على_رحيل_جمال</t>
  </si>
  <si>
    <t>pic.twitter.com/X4ZTA3kbIJ</t>
  </si>
  <si>
    <t>Özgür Dallı</t>
  </si>
  <si>
    <t>Türk askeri unsurları sadece Terör Örgütü'nün unsurlarına karşı bir hareket başlattı. Aksini iddia eden dünya medyasını kınıyoruz. #TurkishArmy #BarisPinari</t>
  </si>
  <si>
    <t>اللهم إني أسألك بالاً مطمئنًا راضيًا شاكرًا لما قسمته له</t>
  </si>
  <si>
    <t>Demokrat Parti Gençlik Kolları Siyasi İşlerden Sorumlu Genel Başkan Yardımcısı - HürGenç 🇹🇷 İstanbul-Ankara-Kütahya</t>
  </si>
  <si>
    <t>محمد التويجري</t>
  </si>
  <si>
    <t>pic.twitter.com/YWy2PDZMW8</t>
  </si>
  <si>
    <t>Kiracmstf</t>
  </si>
  <si>
    <t>#TurkishArmy İnne fetehna leke fethan mubine...</t>
  </si>
  <si>
    <t>https://pbs.twimg.com/media/EGcNYgOXUAchJ7q.jpg</t>
  </si>
  <si>
    <t>المبرّز - السعودية</t>
  </si>
  <si>
    <t>إياد القحطاني</t>
  </si>
  <si>
    <t>Erzurum... Vefirru ilallah...</t>
  </si>
  <si>
    <t>pic.twitter.com/lSaZVEv4yP</t>
  </si>
  <si>
    <t>CeKo</t>
  </si>
  <si>
    <t>تعود لنا الحياة بجمالهـا بِسبب كلمات بسيطه مِن أشخاص نحبھم !</t>
  </si>
  <si>
    <t>Adanmış hayatların umudu @galatasaraysk</t>
  </si>
  <si>
    <t>راضي حضيض</t>
  </si>
  <si>
    <t>pic.twitter.com/mhR3GAgGYy</t>
  </si>
  <si>
    <t>merve</t>
  </si>
  <si>
    <t>Fırat'ın doğusuna Barış Pınarı harekatı başladı! Türk jetleri Resulayn'ı bombaladı! #TurkishArmy #BarisPinari</t>
  </si>
  <si>
    <t>عفيف - السعودية</t>
  </si>
  <si>
    <t xml:space="preserve">Dört Duvar </t>
  </si>
  <si>
    <t>insan sevdiği kadar yanlızlaşır sevdiğinin olmadığı yerde</t>
  </si>
  <si>
    <t>فياض العثاثي</t>
  </si>
  <si>
    <t>عاجل و هام: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#عام_على_اغتيال_جمال</t>
  </si>
  <si>
    <t>pic.twitter.com/OrTVdZNhjp</t>
  </si>
  <si>
    <t>هلال العقيل</t>
  </si>
  <si>
    <t>pic.twitter.com/VcZUK4nXE1</t>
  </si>
  <si>
    <t>المزاحمية  - السعودية</t>
  </si>
  <si>
    <t>إنك لا تقدر أن ترضي الناس كلهم، فأصلح ما بينك وبين الله ثم لا تبال بالناس. - الإمام الشافعي</t>
  </si>
  <si>
    <t>سلطان عماش</t>
  </si>
  <si>
    <t>pic.twitter.com/kjtCgZyCsT</t>
  </si>
  <si>
    <t>النويعمة  - السعودية</t>
  </si>
  <si>
    <t>ليس من الغباء أن تقع في حب إنسان لا يصلح للحب .. الغباء أن تستمـر في حبه فثمة بشر مقدر لهم أن يكونوا خارج حياتنا !</t>
  </si>
  <si>
    <t>عليوي هميشان</t>
  </si>
  <si>
    <t>pic.twitter.com/xIwGEL2H1G</t>
  </si>
  <si>
    <t>الهفوف - السعودية</t>
  </si>
  <si>
    <t>لباس التقى أكمل من لباس السـتر</t>
  </si>
  <si>
    <t>هاشم اليافعي</t>
  </si>
  <si>
    <t>تقرير: الجبير: استرضاء إيران غذى سلوكها العدواني .  - جمال خاشقجي #JamalKhashoggi #قطر</t>
  </si>
  <si>
    <t>pic.twitter.com/RZfq3r4rXh</t>
  </si>
  <si>
    <t>قيل لطفل سوري ماذا تُحبّ أن تُصبح إذا كبُرت؟ قال : إذا نجوتُ من بشار سأخبرك</t>
  </si>
  <si>
    <t>أكرم الناصر</t>
  </si>
  <si>
    <t>E.Merve Akdemir</t>
  </si>
  <si>
    <t>pic.twitter.com/JCSDVZiqk8</t>
  </si>
  <si>
    <t>https://pbs.twimg.com/media/EGcNX_wX0AUE5PZ.jpg</t>
  </si>
  <si>
    <t>عالمي ماجدي اكرة العلمانيين واتشرف بمروركم</t>
  </si>
  <si>
    <t>❣️Kalbime Sağlık ❣️ Üsküdar 17. Noterliği 👩🏻‍💻</t>
  </si>
  <si>
    <t>عايش المهدي</t>
  </si>
  <si>
    <t>pic.twitter.com/iu5b7pa4oR</t>
  </si>
  <si>
    <t>E. Fazıl SAĞLAM</t>
  </si>
  <si>
    <t>74 te Kıbrıs'a barışı getiren dedelerin torunları coğrafya farklı da olsa kökeni aynı olan Allah'ın Arslanlari #BarışPınarıHarekati mazluma umuttur ve 45 yıl sonra yine Barış İçin ; bileğinize kuvvet, attığınızi vurun İnsaAllah 🇹🇷 #BarisPinari #TurkishArmy #TurkMilleti 🇹🇷🇹🇷🇹🇷</t>
  </si>
  <si>
    <t>https://pbs.twimg.com/media/EGcNYIhXUAI2Tef.jpg</t>
  </si>
  <si>
    <t>نجران - السعودية</t>
  </si>
  <si>
    <t>طاعة الله هى سر سعادة الإنسان ..</t>
  </si>
  <si>
    <t>Matematik Mühendisi 📔📚🎓 GSB Kamp Lideri⛺🎪🏕️ English Teacherℹ️📂 Vatan Bayrak aşığı 🇹🇷🇹🇷🇹🇷🇹🇷</t>
  </si>
  <si>
    <t>صلاح معيض</t>
  </si>
  <si>
    <t>د. محمد الحلفي – باحث في التاريخ الحديث: لا يمكن لـ قناة الجزيرة ان تُذيع ولو حلقة واحدة عما يجري في الداخل القطري.  #ايران #خاشقجي</t>
  </si>
  <si>
    <t>pic.twitter.com/jDoIzOt6f3</t>
  </si>
  <si>
    <t>Ak Gerçekler #RTE</t>
  </si>
  <si>
    <t>#BarışPınarıHarekati başladı. Allah ordularımıza zaferler ihsan eylesin. Ayaklarına taş değdirmesin. #TurkishArmy #Akekip</t>
  </si>
  <si>
    <t>https://pbs.twimg.com/media/EGcNVuOX0AA0nXz.jpg</t>
  </si>
  <si>
    <t>ا تحسن الظن حد السذاجة .. ولا تسيء الظن حد الوسوسة ، وليكن حسن ظنك ثقة ، وسوء ظنك وقاية</t>
  </si>
  <si>
    <t>عايش المطيري</t>
  </si>
  <si>
    <t>Ana hesap askıda. @AkGercekler #AkEkip</t>
  </si>
  <si>
    <t>http://akgercekler.com</t>
  </si>
  <si>
    <t>pic.twitter.com/5O0SQhvwaE</t>
  </si>
  <si>
    <t>حريملاء - السعودية</t>
  </si>
  <si>
    <t>Ömer Yardımcı</t>
  </si>
  <si>
    <t>Şimdi nereye kaçacaksınız bakalım it soyları..!! Rabbim ordumuzu muzaffer eylesin inşallah🤲🏻🇹🇷🇹🇷 #TurkishArmy #BarışPınarıHarekati</t>
  </si>
  <si>
    <t>https://pbs.twimg.com/media/EGcNYJrX0AABci6.jpg</t>
  </si>
  <si>
    <t>ماجد سيف الدين</t>
  </si>
  <si>
    <t>pic.twitter.com/BYC8qDx8Hl</t>
  </si>
  <si>
    <t>Ankara 🇹🇷</t>
  </si>
  <si>
    <t>SDÜ-PR🎓 #İletişim📝 ~Hayat bir merdiven gibidir.İnişleri ve çıkışları mutlaka vardır. ~Galatasaray🦁~</t>
  </si>
  <si>
    <t>الدغيمي - السعودية</t>
  </si>
  <si>
    <t>Kamboçyalı</t>
  </si>
  <si>
    <t>Şanlı ve Muzaffer Ordumuz; Sınırımızı PKK/YPG ve DEAŞ teröründen temizlemek, Fırat’ın doğusunda barış ve istikrarı sağlamak, bölge halkını terör örgütlerinin zulmünden kurtarmak için #BarışPınarıHarekatı başlamıştır. Allah yâr ve yardımcımız olsun. #TurkishArmy</t>
  </si>
  <si>
    <t>https://pbs.twimg.com/media/EGcNY0JWoAg38yn.jpg</t>
  </si>
  <si>
    <t>SUPİNE! profilimi gezinirken lütfen galoş giyiniz 🙈</t>
  </si>
  <si>
    <t>medcezir🔥</t>
  </si>
  <si>
    <t>SEFER BİZDEN, ZAFER ALLAH'TAN. KORKMAYIN HEWALLER BİRŞEY DENEYECEĞIZ.#TurkishArmy</t>
  </si>
  <si>
    <t>https://pbs.twimg.com/media/EGcNX9eXoAEzDAv.jpg</t>
  </si>
  <si>
    <t>🔥GALATASARAY🔥 ⚽🦁🏆 🌟🌟🌟🌟 ATATÜRK ÜNIVERSITESI✒✏ Odyometrist🔊🔇</t>
  </si>
  <si>
    <t>راكان النعمي</t>
  </si>
  <si>
    <t>د. محمد العوين: على الأوروبيون ان يُدركوا ان النظام الإيراني مُدمر للعالم والحضارات الإنسانية والاقتصاد العالمي.  - جمال خاشقجي #JamalKhashoggi #قطر</t>
  </si>
  <si>
    <t>pic.twitter.com/MiLuYRKE1l</t>
  </si>
  <si>
    <t>İdealist Kalemler</t>
  </si>
  <si>
    <t>Bin atlı akınlarda çocuklar gibi şendik! 🇹🇷 #BarışPınarıHarekatı #TurkishArmy</t>
  </si>
  <si>
    <t>أؤمن بأن الكلمة الطيبة تعطي دافعاً كبيراً لإنجاز المستحيل ، فلا تبخل بالكلمة الطيبة</t>
  </si>
  <si>
    <t>https://pbs.twimg.com/media/EGcNW4PXoAAhXzm.jpg</t>
  </si>
  <si>
    <t>يحيي العويد</t>
  </si>
  <si>
    <t>pic.twitter.com/ezWynD8AcB</t>
  </si>
  <si>
    <t>http://www.idealistkalemler.com</t>
  </si>
  <si>
    <t>(لا حول ولا قوة اا بالله)(( اللهم انك عفوتحب العفو فعفُ عني))</t>
  </si>
  <si>
    <t>سرور العجيلي</t>
  </si>
  <si>
    <t>تقرير: الأمم المتحدة تستعد لعدوان تركي محتمل شمال شرق سوريا .  #JamalKhashoggi #قطر</t>
  </si>
  <si>
    <t>Mustafa ÖZER</t>
  </si>
  <si>
    <t>Türk Silahlı Kuvvetleri, son 10 yılda kılcal damarlarına kadar etki edecek iki büyük iç operasyon(Ergenekon, Fetö) geçirmiş olsa da şunu biliyoruz ki; hâlâ dünyanın en güçlü operasyonel ordusu Türk ordusudur. Mehmetçiğimizin bir damla kanı akmadan gelmeleri duasıyla #TurkishArmy</t>
  </si>
  <si>
    <t>pic.twitter.com/yrJ0b5Yvta</t>
  </si>
  <si>
    <t>https://pbs.twimg.com/media/EGcNVkcX0AElNFC.jpg</t>
  </si>
  <si>
    <t>Polis Koleji - Marmara Hukuk Ankara - İstanbul</t>
  </si>
  <si>
    <t>Andrew Harrison</t>
  </si>
  <si>
    <t>This is what happens when foreign governments hold comprising information over a corrupt President. Trump is a threat to national security, and a threat to the world. Ergodan knows how corrupt you are, @realDonaldTrump. #JamalKhashoggi RT @SenatorRomney: This President’s decision to abandon our Kurdish allies in Northern Syria is ultimately a victory for Assad, Russia, Iran, and ISIS. The Administration must immediately reconsider withdrawing the few remaining U.S. troops who are playing a vital peacekeeping role.</t>
  </si>
  <si>
    <t>https://twitter.com/SenatorRomney/status/1181261385411497985</t>
  </si>
  <si>
    <t>🕊meluu</t>
  </si>
  <si>
    <t>https://pbs.twimg.com/media/EGcNWdeXYAEx7xs.jpg</t>
  </si>
  <si>
    <t>Software Engineer (Java, Ruby, Python, Go). Public API author. #Resist #TX31 #Beto2018</t>
  </si>
  <si>
    <t>Angara, Türkiye</t>
  </si>
  <si>
    <t>سالم النايف</t>
  </si>
  <si>
    <t>pic.twitter.com/h2iTw5d45e</t>
  </si>
  <si>
    <t>KURALLAR KİTABI</t>
  </si>
  <si>
    <t>https://pbs.twimg.com/media/EGcNT1sXoAAehGQ.jpg</t>
  </si>
  <si>
    <t>الشّئ الوحيدِ الذيَ يجعلُنا أقوى كُلمَا أنكسرنا هوِ :- اليقين التّام بأنَّ الأمر كُله بيد الله وأنَّ الحيَاة ستمضي مَهما حَدث</t>
  </si>
  <si>
    <t>Helena Duncan</t>
  </si>
  <si>
    <t>Now do you thank him for the genocide of US allies, Princess @IvankaTrump. What gift did you give Putin for his birthday? Did you get MBS something nice to commemorate the 1 year anniversary of #JamalKhashoggi ‘s murder, which also involves your kill-friendly buddy in Turkey. RT @IvankaTrump: Thank you Prime Minister Erdogan for joining us yesterday to celebrate the launch of #TrumpTowers Istanbul!</t>
  </si>
  <si>
    <t>Kurallar var, hayatın zorla kabul ettirdiği benim asla kabullenemediğim.🌵Sende bir kural bırak✉️📩</t>
  </si>
  <si>
    <t>https://twitter.com/ivankatrump/status/193337302066540545</t>
  </si>
  <si>
    <t>Son🌹 🇹🇷</t>
  </si>
  <si>
    <t>#TurkishArmy Âdeme nizam verilmeden, âleme nizam verilemez. Çünkü zübdeyi âlemdir, âdem...</t>
  </si>
  <si>
    <t>https://pbs.twimg.com/media/EGcNV2HXkAAA0Jg.jpg</t>
  </si>
  <si>
    <t>عقيل المعمري</t>
  </si>
  <si>
    <t>أ. نايف الحربي: إعلامي وكاتب صحفي : لايزال سلوك ايران عدواني  - جمال خاشقجي #JamalKhashoggi #قطر</t>
  </si>
  <si>
    <t>pic.twitter.com/9kqQkRLb6W</t>
  </si>
  <si>
    <t>❤ Recep Tayyip Erdoğan ❤ Samimi olmak en güzel keramettir. Bırakın uçmak, kuşlara münhâsır olsun. @SonsuzaGul</t>
  </si>
  <si>
    <t>القرى - السعودية</t>
  </si>
  <si>
    <t>إن الذي خلق العقل أعقل من العقل</t>
  </si>
  <si>
    <t>Öme'R Erde'M🔱</t>
  </si>
  <si>
    <t>Allah yar ve yardımcınız olsun #BarısPınarHarekatı #TSK #türkaskeri #TurkishArmy 🇹🇷🇹🇷</t>
  </si>
  <si>
    <t>https://pbs.twimg.com/media/EGcNUrsXoAAJ2vp.jpg</t>
  </si>
  <si>
    <t>ملقب هذال</t>
  </si>
  <si>
    <t>pic.twitter.com/WVEyLZzbs5</t>
  </si>
  <si>
    <t>#Galatasaray 💛❤</t>
  </si>
  <si>
    <t>عين دار - السعودية</t>
  </si>
  <si>
    <t>كُلما ضاقت عليك نفسك لا تشتكي لإنسان .. ! بل ردِّد .. ربّ إني قد مسّني الضّر وانت أرحم الراحمين</t>
  </si>
  <si>
    <t>#TurkishArmy Türkiye, hızla, ayaklarına vurulan prangaları kırmaya, kendisine giydirilen meskenet gömleğini yırtmaya, biçilen ‘batı hizmetkarlığı’ misyonundan kurtulmaya ve kendisi olmaya yürüyor. Bir dayatma rejimi baştan ayağa değişiyor. Herkes bunu görmeli ve bilmeli.</t>
  </si>
  <si>
    <t>https://pbs.twimg.com/media/EGcNVQJWwAEv6Bt.jpg</t>
  </si>
  <si>
    <t>رعد الدعيع</t>
  </si>
  <si>
    <t>pic.twitter.com/nVKzCjJDsF</t>
  </si>
  <si>
    <t>السلمية  - السعودية</t>
  </si>
  <si>
    <t>İnsan</t>
  </si>
  <si>
    <t>تبسم فإن الله ما أشقاك إلا ليسعدك، وما أخذ منك إلا ليعطيك، وما أبكاك إلا ليضحكك، وما حرمك إلا ليتفضل عليك، وما ابتلاك إلا لأنه أحبك.</t>
  </si>
  <si>
    <t>فواز الحميدي</t>
  </si>
  <si>
    <t>Muhammed Mustafa Aslantürk</t>
  </si>
  <si>
    <t>B İ Z G E L D İ K 👊 🇹🇷 #TurkishArmy #BarışPınarıHarekatı</t>
  </si>
  <si>
    <t>pic.twitter.com/SDEr2ug9BP</t>
  </si>
  <si>
    <t>https://pbs.twimg.com/media/EGcNUYOXYAAwSvb.jpg</t>
  </si>
  <si>
    <t>وفـي الهِـلال,عُمـر وفـرح واجمـل حيّـاه.......</t>
  </si>
  <si>
    <t>Savaşın gerekli olduğu yerde barış safsatadan ibarettir. Sadece acizlerin ve korkakların safsatası! #RecepTayyipErdoğan</t>
  </si>
  <si>
    <t>عاصم جبر</t>
  </si>
  <si>
    <t>pic.twitter.com/VEE4WK5SOQ</t>
  </si>
  <si>
    <t>Memet</t>
  </si>
  <si>
    <t>القويز - السعودية</t>
  </si>
  <si>
    <t>1453İstanbulun fethi 1915Çanakkale savaşı 1919kurtuluş savaşı 1950kore savaşı 1974Kıbrıs Barış harekatı 2019Suriye barış pınarı harekatı Bu millet bu ordu dünyann neresinde olursa olsun yardıma ihtiyacı olanın yanında oldu.Ama ÇIKARLARINIDA KENDİNİ DE ASLA EZDİRMEDİ #TurkishArmy</t>
  </si>
  <si>
    <t>إنما يمدحك الناس ، لأن الله سترك ... فالفضل لمن ستر ، لا لمن مدح .</t>
  </si>
  <si>
    <t>وسيم مرتع</t>
  </si>
  <si>
    <t>محلل قناة ٢٤ سعودي الفضائية ا. يوسف علاونه في الحقيقة :التلاقي في الأهداف بين الترك و الفرس هو تدمير العرب أو إضعاف العرب لصالح المشروعين الإيراني والتركي  - جمال خاشقجي #JamalKhashoggi #السعودية</t>
  </si>
  <si>
    <t>Ankara'da yaşayan bir garip</t>
  </si>
  <si>
    <t>🇹🇷 Emre Körpe 🇹🇷</t>
  </si>
  <si>
    <t>Sefer bizim,Zafer Allah’ındır 🇹🇷#BarisPinariHarekati #TurkishArmy</t>
  </si>
  <si>
    <t>frst</t>
  </si>
  <si>
    <t>Allah Askerlerimize güç kuvvet versin. Sefer Bizden Zafer Allah'tan... #BarisPinariHarekati #BarisPinari #OperationPeaceSpring #TurkishArmy</t>
  </si>
  <si>
    <t>https://pbs.twimg.com/media/EGcNR4VXoAEA90l.jpg</t>
  </si>
  <si>
    <t>pic.twitter.com/dfrbiZMsYz</t>
  </si>
  <si>
    <t>peki bundan sonra ne olacak</t>
  </si>
  <si>
    <t>نحن بفضل الله نعيش ، لا بفضل الآخرين !</t>
  </si>
  <si>
    <t>🐼 Ace Bearstrom 🌊❄️</t>
  </si>
  <si>
    <t>summer</t>
  </si>
  <si>
    <t>@BradBeauregardJ @vegix @sdr_medco @ShellyRKirchoff @IamMultiversal @dindin6 @BobA1959 @simplyjustbeing @Maltomash @raynadragon @drwineau @VictoriaLAlbers @RoseSage6 @PetraMcCarron2 @Eathbound420 @FaithCampbellJ1 @SizzleBeauty @RosannaPhillip @Roseymelhill @jane_the_teach @AlRobertsonTX03 @fairfield12 @maxedge051 @spacecowgirl915 @YeleyBambi @WomanRises @BusyBrain_Very @yourvegantutor @unixdoss @January_21_2017 @mrsbunnylloyd @xtraferocity @Tracy9672 @PequotSecrets @educatedadult1 @SadieTNResist @sergeivote @toSaveUSA @Fired_Soon @therealkevinTE @BagdMilkSoWhat @BecPonder @Trish5_Here @1980Dorothy @summerisunique @schcyn @AnnBieb @SusinBailey4 @4a_of Thank you most kindly for the mention, Brad. 👍👍👍 @NatlPopularVote #ProudResisters #RepealCitizensUnited #WPA #UniteBlueNoMatterWho #ERA #UniteTheLeft #NoConCon4AnyReason #DrainTheSwamp #OttoWarmbier #JamalKhashoggi 🆘🗣️📣😮🌊🌊🌊🌊🌊🌱</t>
  </si>
  <si>
    <t>#OperationPeaceSpring #BarisPinariHarekati #TurkishArmy #turkmilletiordusununyaninda</t>
  </si>
  <si>
    <t>https://pbs.twimg.com/media/EGUcTplWkAAn56_.png</t>
  </si>
  <si>
    <t>#ABBOOKLIST #UniteBlue #FBR #WPA @NatlPopularVote #ERA **#NOConCon #NetNeutrality **#REPEALCitizensUnited #OttoWarmbier #JKhashoggi 🗣️📣🌊</t>
  </si>
  <si>
    <t>dia's wife in wonderland</t>
  </si>
  <si>
    <t>not @ how i thought #TurkishArmy was about the bts army .. i felt included for a sec 🤡</t>
  </si>
  <si>
    <t>ماهر مفلح</t>
  </si>
  <si>
    <t>pic.twitter.com/kUCUvgHtw5</t>
  </si>
  <si>
    <t>hell</t>
  </si>
  <si>
    <t>#WOOYOUNG: i have the power of god and anime on my side</t>
  </si>
  <si>
    <t>Sezgi Cakici</t>
  </si>
  <si>
    <t>Ya ALLAH 🇹🇷 zafer inananların ve mazlumun savaşıdır. #carsamba #pınarbarısharekatı #turkmilletiordusununyaninda #TurkishArmy #suriye #BarisPinariHarekati</t>
  </si>
  <si>
    <t>محمود بن جبران</t>
  </si>
  <si>
    <t>حصرياً.. السفير ادم ايرلي متحدث الخارجية الأمريكية السابق: اردوغان أكبر منافق في الكرة الأرضية..يذرف الدموع على خاشقجي بينما يزج بالاَف الاتراك بالسجونAdam Ereli: Erdogan is the biggest hypocrite on the plant  #خاشقجي #عام_على_رحيل_خاشقجي</t>
  </si>
  <si>
    <t>pic.twitter.com/00jw1QEO4E</t>
  </si>
  <si>
    <t>Nüvaz Müzik</t>
  </si>
  <si>
    <t>أحيانا نبتسَم دون أن نشعر ... ليس جنونا ... بل لأن اطياف من نحبهُم مرت امامنا..!</t>
  </si>
  <si>
    <t>Yolumuz gaza, sonu şehâdet, Dinimiz ister sıdk ile hizmet, Anamız vatan, babamız millet, Vatanı ma'mur eyle Yârabbi! Milleti mesrur eyle Yârabbi! Haydi Bismillah #BarışPınarıHarekatı #TurkishArmy #TürkAskeri Gazamız Mübarek Olsun. @Azerin_ @azerinofficial</t>
  </si>
  <si>
    <t>https://youtu.be/vGzUB9AM_J4</t>
  </si>
  <si>
    <t>نزال الزياني</t>
  </si>
  <si>
    <t>pic.twitter.com/Y7cjQkcg12</t>
  </si>
  <si>
    <t>Yapımcılık/Menajerlik/Organizasyon http://www.youtube.com/nuvazmuzik http://www.facebook.com/nuvazmuzik http://www.instagram.com/nuvazmuzik</t>
  </si>
  <si>
    <t>http://www.nuvaz.com.tr</t>
  </si>
  <si>
    <t>Tarık Özdemir</t>
  </si>
  <si>
    <t>Türk deyince korku sarsın Acunu, Mutlaka alın şehidin öcünü. Hak aşkına cihan görsün gücünü, Kılıcınız keskin olsun yiğitler. #BarışPınarıHarekatı #TurkishArmy</t>
  </si>
  <si>
    <t>https://pbs.twimg.com/media/EGcNQ7vX0AAbIcs.jpg</t>
  </si>
  <si>
    <t>سمير الزهراني</t>
  </si>
  <si>
    <t>اتصال/ أ. رامي العلي: محلل قنوات سعودي 24 – باريس: أردوغان أرسل وزير خارجيته إلى الولايات المتحدة الأمريكية من أجل دفع الطبقة السياسية لتغير العلاقات التاريخية بين المملكة و أمريكا .  - جمال خاشقجي #ايران #خاشقجي</t>
  </si>
  <si>
    <t>ultrAslan uşAk-ultrAslan Simav⭐️⭐️GALATASARAY⭐️⭐️</t>
  </si>
  <si>
    <t>pic.twitter.com/rcfiUvga2z</t>
  </si>
  <si>
    <t>Develer</t>
  </si>
  <si>
    <t>Yıldırımlar yaratan bir Irkın ahfadıyız. 🐺 #TurkishArmy</t>
  </si>
  <si>
    <t>الاستغفار سعادة للتائهين فرج للمكروبين غفران للمذنبين استغفر الله العظيم واتوب اليہ .</t>
  </si>
  <si>
    <t>jembers</t>
  </si>
  <si>
    <t>#JamalKhashoggi RT @TestKitchen211: What dirt did Turkey promise?</t>
  </si>
  <si>
    <t>Zamanı Tanrı yaşar. İnsanoğlu ölmek için türemiş.</t>
  </si>
  <si>
    <t>https://twitter.com/TestKitchen211/status/1181332609097437184</t>
  </si>
  <si>
    <t>Suna İzol</t>
  </si>
  <si>
    <t>Allah yardımcımız olsun 🙏 #BarisPinari #TurkishArmy</t>
  </si>
  <si>
    <t>pic.twitter.com/nlPYAlioxt</t>
  </si>
  <si>
    <t>خضر الخلفي</t>
  </si>
  <si>
    <t>pic.twitter.com/XVSa7Y8DLm</t>
  </si>
  <si>
    <t>كل الأشياء تتحقق إذا كان مكونها الأساسي نية صادقة وتوكل علي الله .</t>
  </si>
  <si>
    <t>🌙 'Å 🇹🇷</t>
  </si>
  <si>
    <t>#TurkishArmy #BarısPınarlarıHarekatı</t>
  </si>
  <si>
    <t>https://pbs.twimg.com/media/EGcNQGRWwAEUz0q.jpg</t>
  </si>
  <si>
    <t>عاصم العثاثي</t>
  </si>
  <si>
    <t>pic.twitter.com/E1MpLUJuUD</t>
  </si>
  <si>
    <t>اللي يشكي من وجع فيه أو خل مجافيه يسهر الليل وتاليه ( مثل حجازي )</t>
  </si>
  <si>
    <t>عبد الوهاب الزنقوطي</t>
  </si>
  <si>
    <t>Molla Hüsrev, İstanbul</t>
  </si>
  <si>
    <t>Kalbi Kürşâd olanın, yâri Asena olsun🤘</t>
  </si>
  <si>
    <t>pic.twitter.com/ciXbfsbqRl</t>
  </si>
  <si>
    <t>MEO (BARIŞ PINARI 8.0)</t>
  </si>
  <si>
    <t>Töre buyruk verende O kutlu gün gelende Oyun son bulur artık TÜRK meydana inende! Yıkılır kahpe düzen TÜRK meydana inende! #BarışPınarı #BarışPınarıHarekatı #TurkishArmy</t>
  </si>
  <si>
    <t>الأدب والأخلاق ثوب الروح .. فكيف للإنسان ان يتخلى عن اناقته ..!</t>
  </si>
  <si>
    <t>https://pbs.twimg.com/media/EGcNOZVWoAELzp3.jpg</t>
  </si>
  <si>
    <t>أبوعبيدة حايل</t>
  </si>
  <si>
    <t>pic.twitter.com/CcODm4GpIj</t>
  </si>
  <si>
    <t>Rohan</t>
  </si>
  <si>
    <t>ᴹᴱᴼ ᴬᴿᵀ Yürü diyor, hakkı zulüm kanattı..</t>
  </si>
  <si>
    <t>مدينة الجبيل الصناعية - السعود</t>
  </si>
  <si>
    <t>أرتاحت القرعة من كد الأمشاط</t>
  </si>
  <si>
    <t>Tğm. Kurt</t>
  </si>
  <si>
    <t>"ZAFERLERİ VE MAZİSİ İNSANLIK TARİHİ İLE BAŞLAYAN, HER ZAMAN ZAFERLERLE BERABER MEDENİYET NURLARINI TAŞIYAN KAHRAMAN TÜRK ORDUSU!" 🇹🇷 Kılıcınız keskin olsun, ayağınıza taş değmesin. Allah yardımcınız olsun. #BarışPınarıHarekatı #TürkSilahlıKuvvetleri #TurkishArmy</t>
  </si>
  <si>
    <t>https://pbs.twimg.com/media/EGcNO9VXoAA2lIt.jpg</t>
  </si>
  <si>
    <t>فؤاد العسيري</t>
  </si>
  <si>
    <t>pic.twitter.com/Euk9fP3O6U</t>
  </si>
  <si>
    <t>Türkçü, Militarist, Askeri Havacılık ve Silah Meraklısı. Beşiktaşlı. (Yeni Hesap, Askeri Personel Değilim)</t>
  </si>
  <si>
    <t>Mehmet DAĞ</t>
  </si>
  <si>
    <t>Gün birlik vakti #Türkiye🇹🇷 @Akparti @herkesicinCHP @iyiparti @MHP_Bilgi @TBMMresmi @TBMMGenelKurulu @iletisim @tcbestepe @TSKGnkur @tcsavunma #BarışPınarıHarekatı #ALLAHbizimledir #TurkishArmy #BarışPınarı #Çarşamba #Turks #Syria #TSK #Mehmetçik #ALLAHuEkber #DualardaBuluşalım</t>
  </si>
  <si>
    <t>عبد اللطيف بن مسفر</t>
  </si>
  <si>
    <t>اللواء المتقاعد د. زايد العمري: خبير استراتيجي ومحلل سياسي: قطر تحاول أن تتطاول على جمهورية مصر العربية .  - جمال خاشقجي #خاشقجي #ايران</t>
  </si>
  <si>
    <t>pic.twitter.com/eSePuSUEBf</t>
  </si>
  <si>
    <t>Poor #AfrikaSevdalısı http://tadd.org.tr #İyilikSever #Fenerbahçe #MenDakkaDukka #İHHgönüllü HepimizinİyilikYapmayaİhtiyacıVar #İyilikteBuluşalım #TADDgönüllüsü</t>
  </si>
  <si>
    <t>Salgar 🇹🇷</t>
  </si>
  <si>
    <t>@HDPgenelmerkezi Ananızın amını göstermeye geliyoruz..! #BarışPınarıHarekatı #TurkishArmy</t>
  </si>
  <si>
    <t>قاصد دهاس</t>
  </si>
  <si>
    <t>محلل قناة ٢٤ سعودي الفضائية ا. يوسف علاونه في الحقيقة :التلاقي في الأهداف بين الترك و الفرس هو تدمير العرب أو إضعاف العرب لصالح المشروعين الإيراني والتركي  - جمال خاشقجي #خاشقجي #تركيا</t>
  </si>
  <si>
    <t>pic.twitter.com/biaKOr9lMb</t>
  </si>
  <si>
    <t>Varlığım Türk Varlığına Armağan Olsun... 🇹🇷</t>
  </si>
  <si>
    <t>https://instagram.com/salgarburak</t>
  </si>
  <si>
    <t>عَود لسّآنك علىُ ؛ . . / ( آللهمُ آغفِر ليُ ) فإن لله سَآعاَت لا يَردُ فيّهآ سَآئلاً</t>
  </si>
  <si>
    <t>حميدان بعيطي</t>
  </si>
  <si>
    <t>Hasan Uzguç</t>
  </si>
  <si>
    <t>#BarışPınarıHarekatı’nda dualarımız kahraman Mehmetçiklerimizle...Vur Allah aşkına vur, vur bayrak aşkına vur. #TurkishArmy</t>
  </si>
  <si>
    <t>pic.twitter.com/8gMOAVaEN4</t>
  </si>
  <si>
    <t>اقترب من الله فهناك حياة جميلة لا تراها وانت بعيد</t>
  </si>
  <si>
    <t>Mustafa Kemal ATATÜRK 🖤 •AKÜ Beden Eğitimi ve Spor Yüksekokulu</t>
  </si>
  <si>
    <t>عطيه بن هادي</t>
  </si>
  <si>
    <t>pic.twitter.com/ucsZ2ucQQg</t>
  </si>
  <si>
    <t>نافع الواكد</t>
  </si>
  <si>
    <t>أ. نايف الحربي: إعلامي وكاتب صحفي: ايران دولة ليست موثوقة .. ولا أحد يثق فيها .  - جمال خاشقجي #خاشقجي #ايران</t>
  </si>
  <si>
    <t>pic.twitter.com/ReYB5WiVzu</t>
  </si>
  <si>
    <t>ربما تنام وعشرات الدعوات تُرفع لك من فقير أعنته، أو جائع أطعمته، أو حزين أسعدته، أو مكروب نفّست عنه فلا تستهن بفعل الخير أبداً</t>
  </si>
  <si>
    <t>عبد اللطيف الماجد</t>
  </si>
  <si>
    <t>أ. عبدالرحمن الملحم - كاتب ومحلل سياسي : قطر قامت بخيانة دول مجلس التعاون بإعطاء احداثيات حول الجنود الاماراتيين والسعوديين .  - جمال خاشقجي #خاشقجي #الاخوان</t>
  </si>
  <si>
    <t>pic.twitter.com/NZtfLYSghG</t>
  </si>
  <si>
    <t>الخبر - السعودية</t>
  </si>
  <si>
    <t>العقل يعمل بقدرة الله ولكنه يجهل مدى قدرة الله</t>
  </si>
  <si>
    <t>ذويبان العمري</t>
  </si>
  <si>
    <t>أتصال/ أ. مهدي عفيفي: عضو الحزب الديموقراطي الأمريكي السابق – نيويورك: هذه ليست المرة الأولى للعصابة القطرية في تمويلها للمؤسسات المشبوهة .. وخاصةً التابعة لجماعة الاخوان الإرهابية .  - جمال خاشقجي #خاشقجي #الجزيرة</t>
  </si>
  <si>
    <t>pic.twitter.com/sBBScGs92L</t>
  </si>
  <si>
    <t>الناس معادن.. تصدأ بالملل و تتمدد بالأمل و تنكمش بالألم</t>
  </si>
  <si>
    <t>نايف السهلي</t>
  </si>
  <si>
    <t>pic.twitter.com/DYvzeEa7r7</t>
  </si>
  <si>
    <t>Can Radyo</t>
  </si>
  <si>
    <t>#barışpınarıharekatı🇹🇷 başladı. Yüce Allah Devletimizi, Milletimizi, Askerimizi korusun. Gazanız Mübarek Olsun. #TurkishArmy</t>
  </si>
  <si>
    <t>https://www.instagram.com/p/B3ZkeT0FwDK-AA0zSsjzlDuJVo0a29ijzVrZLk0/?igshid=16izk8diquarj</t>
  </si>
  <si>
    <t>وردان العرجاوي</t>
  </si>
  <si>
    <t>pic.twitter.com/x0c5lpj99Z</t>
  </si>
  <si>
    <t>Kayseri/Turkey</t>
  </si>
  <si>
    <t>Türkiye'yi Oynatan Radyo Can Radyo ... Havada FM 101.0 MHz., Karada http://www.canradyo.net...</t>
  </si>
  <si>
    <t>http://www.canradyo.net</t>
  </si>
  <si>
    <t>الصبر محراب الأنبياء</t>
  </si>
  <si>
    <t>🅵 [ ia for real ]</t>
  </si>
  <si>
    <t>بندر الزعاق</t>
  </si>
  <si>
    <t>I swear for a moment I really thought... #TurkishArmy</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</si>
  <si>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#خاشقجي #الاخوان</t>
  </si>
  <si>
    <t>pic.twitter.com/9z7NsgQqw7</t>
  </si>
  <si>
    <t>clikarmy™</t>
  </si>
  <si>
    <t>#YOONGI:kes lan amınakodugum oglu lan amınakodugumun ibnesi daha senin kayıt yerin yok lan hırrime gidirsen dinçer öztürkün götüne yapışirsen ki sene kayıt alsı</t>
  </si>
  <si>
    <t>https://curiouscat.me/calicopilots</t>
  </si>
  <si>
    <t>الزيقين - السعودية</t>
  </si>
  <si>
    <t>يارب؛ اجعل الإيمان يسكُننا ونسكُنه</t>
  </si>
  <si>
    <t>رياض المطرفي</t>
  </si>
  <si>
    <t>pic.twitter.com/RRtnVj7BM1</t>
  </si>
  <si>
    <t>ugur37</t>
  </si>
  <si>
    <t>Allah güç kuvvet versin ayaklarına taş değmesin #TurkishArmy #tsk #pınarbarısharekatı</t>
  </si>
  <si>
    <t>من العيب أن تفتخر بشيء لم تصنعه! فلا تفتخر بجمالك لانك لم تخلقه، ولا تفتخر بنسبك لأنك لم تختاره، إنما افتخر بأخلاقك فأنت من يصنعها</t>
  </si>
  <si>
    <t>Has depdep Koyu Beşiktaş Ellanın Babası</t>
  </si>
  <si>
    <t>مهدى الكعبي</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</si>
  <si>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#JamalKhashoggi #ايران</t>
  </si>
  <si>
    <t>pic.twitter.com/DD5zyS0eir</t>
  </si>
  <si>
    <t>Sercan Ç.</t>
  </si>
  <si>
    <t>Dualar sizinle... #TurkishArmy #BarisPinariHarekati</t>
  </si>
  <si>
    <t>https://pbs.twimg.com/media/EGcNMU6X0AECkez.jpg</t>
  </si>
  <si>
    <t>أرجح - السعودية</t>
  </si>
  <si>
    <t>بل الســاعة موعـدهم والسـاعة أدهـى وأمـر</t>
  </si>
  <si>
    <t>رامي الوافي</t>
  </si>
  <si>
    <t>أ. خالد النزر : هناك أطماع تركية واضحة في الأراضي السورية ، وأصبحت سوريا قابلة للتقسيم في ظل الظروف التي تمر بها.  #ايران #خاشقجي</t>
  </si>
  <si>
    <t>Alkol en iyi dost değil kardeştir.</t>
  </si>
  <si>
    <t>pic.twitter.com/SttoAXApI9</t>
  </si>
  <si>
    <t>Erol Kaya</t>
  </si>
  <si>
    <t>“Ecdadımızın heybeti ma'rûf-ı cihandır, Fıtrat değişir sanma bu kan yine o kandır.” #TurkishArmy #BarisPinariHarekati</t>
  </si>
  <si>
    <t>https://pbs.twimg.com/media/EGcNMdXWkAEiQNf.jpg</t>
  </si>
  <si>
    <t>ماجد اليهري</t>
  </si>
  <si>
    <t>اللواء متقاعد د. شامي الظاهري : تنظيم الإخوان هو المحرك الأساسي للدولتين قطر و تركيا .  - جمال خاشقجي #ايران #خاشقجي</t>
  </si>
  <si>
    <t>pic.twitter.com/bG5v3aKYGj</t>
  </si>
  <si>
    <t>Manisa</t>
  </si>
  <si>
    <t>Sınıf Öğretmeni 📚🖌📚</t>
  </si>
  <si>
    <t>🦅İam_karayilan🦅</t>
  </si>
  <si>
    <t>#BarışPınarıHarekati kapsamında ordumuz içeri girdi rabbim yolunuza taş çıkarmasın #TurkishArmy değil Türk ordusu</t>
  </si>
  <si>
    <t>سرور مناكد</t>
  </si>
  <si>
    <t>Bana Karın öldü!dediklerinde ne yapacağımı,nasıl tepki vereceğimi bilemedim,içimden gidip karıma olanı anlatmak ve bana ne yapmam gerektiğni söylemesini istedim</t>
  </si>
  <si>
    <t>تقرير: إعلام الزيف القطري التركي الإخوانجي .. فبركة الأخبار وتضليل الرأي العام .  - جمال خاشقجي #خاشقجي #ايران</t>
  </si>
  <si>
    <t>pic.twitter.com/aZziwh8BE3</t>
  </si>
  <si>
    <t>Selime Tükenmez</t>
  </si>
  <si>
    <t>Mazlumlar korkmasın #TurkishArmy öldürmek için değil yaşatmak için #BarışPınarıHarekatı mı başlatıyor.Allah yar yardımcısı olsun.</t>
  </si>
  <si>
    <t>كن لها رجل تكون لك آنثي</t>
  </si>
  <si>
    <t>Ünsal ŞEKER</t>
  </si>
  <si>
    <t>Gazanız mübarek olsun #TSK Ayagınıza taş degmesin. Allah yardımcınız olsun #BarisPinari #TurkishArmy #turkmilletiordusununyaninda</t>
  </si>
  <si>
    <t>ITU Uçak Muh.</t>
  </si>
  <si>
    <t>وسام الشهري</t>
  </si>
  <si>
    <t>أتصال/ أ. أحمد محارم: كاتب صحفي ومحلل سياسي – نيويورك: تاريخ ايران على مدار 40سنه كان عدواني ولاسيما ضد المملكة .  - جمال خاشقجي #خاشقجي #ايران</t>
  </si>
  <si>
    <t>pic.twitter.com/cHKwLewjUg</t>
  </si>
  <si>
    <t>إدريس الفراج</t>
  </si>
  <si>
    <t>pic.twitter.com/9A5CqH9qir</t>
  </si>
  <si>
    <t>anadolununsesi</t>
  </si>
  <si>
    <t>#BarisPinari #BarisPinariHarekati #TurkishArmy TENGRİ BİZ MENEN</t>
  </si>
  <si>
    <t>https://pbs.twimg.com/media/EGcNLxvW4AMxC1O.jpg</t>
  </si>
  <si>
    <t>كامل سمري</t>
  </si>
  <si>
    <t>pic.twitter.com/7pcn2mMIwW</t>
  </si>
  <si>
    <t>سامح الجميع .. لأنه من المخجل ، أن نقف أمام الله نرجو العفو ونحن لا نعفو !</t>
  </si>
  <si>
    <t>Fatih Arbypn</t>
  </si>
  <si>
    <t>"Ben ezelden beridir hür yaşadım, hür yaşarım; Hangi çılgın bana zincir vuracakmış? Şaşarım! Kükremiş sel gibiyim, bendimi çiğner, aşarım. Yırtarım dağları, enginlere sığmam, taşarım." #BarisPinariHarekati #TurkishArmy #BarisPinari</t>
  </si>
  <si>
    <t>إسماعيل حدادي</t>
  </si>
  <si>
    <t>https://pbs.twimg.com/media/EGcNLo0XYAAq0-j.jpg</t>
  </si>
  <si>
    <t>pic.twitter.com/c2UH5y3pyL</t>
  </si>
  <si>
    <t>عامل الناس كما تحب ان يعاملوك</t>
  </si>
  <si>
    <t>https://www.instagram.com/fatiharbypn/</t>
  </si>
  <si>
    <t>خميس الشماخي</t>
  </si>
  <si>
    <t>تقرير: خالد بن سلمان: آن الأوان ليقف اليمنيون صفاً واحداً أمام مشروع الدمار الإيراني.  #خاشقجي #عام_على_رحيل_جمال</t>
  </si>
  <si>
    <t>pic.twitter.com/OiVV8isFfN</t>
  </si>
  <si>
    <t>Emrah Çakmak</t>
  </si>
  <si>
    <t>Cumhurbaşkanı Erdoğan #BarisPinariHarekati talimatını verdiği an. #TurkishArmy</t>
  </si>
  <si>
    <t>الراس شاب والسن ذاب ومثوانا للتراب</t>
  </si>
  <si>
    <t>https://pbs.twimg.com/media/EGcNLQBXoAEnZWr.jpg</t>
  </si>
  <si>
    <t>علولي الضبيطي</t>
  </si>
  <si>
    <t>محلل قناة ٢٤ سعودي الفضائية عبدالجليل السعيد في حقائق في دقائق : ايران اليوم تُغْرق العراق في المنتجات الإيرانية الفاسدة وتنهب من بلاد الرافدين النفط والثروات للإنفاق على نظام الملالي  - جمال خاشقجي #ايران #JamalKhashoggi</t>
  </si>
  <si>
    <t>pic.twitter.com/iJvmQKa0mp</t>
  </si>
  <si>
    <t>Televizyon Habercisi Vatanına aşık. @haberglobal</t>
  </si>
  <si>
    <t>https://haberglobal.com.tr/</t>
  </si>
  <si>
    <t>الحمدللہ تعباً , الحمدللہ وجعاً , الحمدللہ فرحاً الحمدللہ سعاده , الحمدللہ في السّراء والضّراء لك الحمد دائماً وأبداً يا اللہ</t>
  </si>
  <si>
    <t>سامي الرهيف</t>
  </si>
  <si>
    <t>د. عبدالرحمن العناد : الوضع الإقتصادي في تركيا متدهور ومن المتوقع أن يزداد تدهوره وهذا دليل على سوء السياسات الاقتصادية التي يتبعها اردوغان .  - جمال خاشقجي #خاشقجي #تركيا</t>
  </si>
  <si>
    <t>pic.twitter.com/hFx9NbKTfz</t>
  </si>
  <si>
    <t>المديلف - السعودية</t>
  </si>
  <si>
    <t>المكتوب على الجبين لازم تشوفه العين</t>
  </si>
  <si>
    <t>فايز الجسري</t>
  </si>
  <si>
    <t>د. عبد الرحمن العناد: ما يُغيظ الاعلام القطري المُعادي ان الاعلام السعودي قام بكشف ما يقومون به من مشاريع تخريبية في المنطقة.  - جمال خاشقجي #خاشقجي #عام_على_رحيل_جمال</t>
  </si>
  <si>
    <t>pic.twitter.com/njZz3oDA2i</t>
  </si>
  <si>
    <t>Dr. Jack Brown</t>
  </si>
  <si>
    <t>THREAD: Body Language Analysis No. 4398: Mohammed bin Salman re #Murder of Jamal Khashoggi ("#60Minutes" Interview) — #Nonverbal &amp; Emotional Intelligence —  — #BodyLanguage #BodyLanguageExpert #EmotionalIntelligence #MohammedBinSalman #JamalKhashoggi #MBS</t>
  </si>
  <si>
    <t>https://youtu.be/EkYmEeKizgg</t>
  </si>
  <si>
    <t>Body Language &amp; Emotional Intelligence Expert, Physician, RT≠endorsement http://www.BodyLanguageEQ.com</t>
  </si>
  <si>
    <t>http://www.BodyLanguageSuccess.com</t>
  </si>
  <si>
    <t>عمير لافي</t>
  </si>
  <si>
    <t>Ç.</t>
  </si>
  <si>
    <t>د. محمد العوين: على الأوروبيون ان يُدركوا ان النظام الإيراني مُدمر للعالم والحضارات الإنسانية والاقتصاد العالمي.  - جمال خاشقجي #خاشقجي #الاخوان</t>
  </si>
  <si>
    <t>pic.twitter.com/UU5TbuJBpK</t>
  </si>
  <si>
    <t>https://pbs.twimg.com/media/EGcNKbaXoAAsFuk.jpg</t>
  </si>
  <si>
    <t>عامل البشر على أنهم بشر .. لا على أشكالهم .. أو أموالهم .. أو وظائفهم</t>
  </si>
  <si>
    <t>?</t>
  </si>
  <si>
    <t>Herkesin bi fikri var ama sussalar kavuşcam sonsuz bi huzura</t>
  </si>
  <si>
    <t>المًكلكع</t>
  </si>
  <si>
    <t>@7ayam_h @NasserIbnHamad ههههههه ترامب في ٢٠١٨ ايام ازمة القس وصل الاقتصاد التركي والعملة بالارض بعد عقوبة واحدة فما بالك لو استكرت العقوبات الكبيرة لن تقاوم تركيا، لكن نقول الله يرحم #خاشقجي هو الي خفف الضغط على تركيا ولولا الله ثم هو لاستمر ترامب بالتضييق على تركيا.</t>
  </si>
  <si>
    <t>Mustafa Yavuz Küsmez</t>
  </si>
  <si>
    <t>🇹🇷🇹🇷🇹🇷 Dalgalandığın yerde ne korku, ne keder. Gölgende bana da, bana da yer ver!🇹🇷🇹🇷🇹🇷 #BarışPınarıHarekatı #TurkishArmy #BarışPınarı #OperationPeaceSpring</t>
  </si>
  <si>
    <t>https://pbs.twimg.com/media/EGcNKOcWoAANJzl.jpg</t>
  </si>
  <si>
    <t>‏‏تغريداتي لا تمثلتي</t>
  </si>
  <si>
    <t>عبدالله الفريح</t>
  </si>
  <si>
    <t>اتصال هاتفي من: أ. طارق أبو زينب – إعلامي ومحلل سياسي – لبنان. قطر نموذج للمطابخ الإعلامية السوداء لتكون خِنجر في قلب الامة العربية.  - جمال خاشقجي #JamalKhashoggi #ايران</t>
  </si>
  <si>
    <t>Nevşehir, Ankara, Türkiye</t>
  </si>
  <si>
    <t>İnşaat Mühendisi | ŞantiyeŞefi | Araştırmacı | Tasarım | Yönetici |</t>
  </si>
  <si>
    <t>pic.twitter.com/XQQZn5EHlM</t>
  </si>
  <si>
    <t>salem 🇹🇷</t>
  </si>
  <si>
    <t>Amerika ne derse o olur" devri bitti... Artık "Recep Tayyip Erdoğan ne derse o olacak" devri başladı. İşinize gelirse. #BarışPınarıHarekatı #TurkishArmy</t>
  </si>
  <si>
    <t>كونوا على ثقة ان هناك رباً، اذا سمَع عبده يتضرع اليه، اهداه اضعاف مَا أراد</t>
  </si>
  <si>
    <t>Suudi Arabistan</t>
  </si>
  <si>
    <t>ثابت مهني</t>
  </si>
  <si>
    <t>لا تحزن إن الله معنا</t>
  </si>
  <si>
    <t>pic.twitter.com/HupT9uUStw</t>
  </si>
  <si>
    <t>Murat aydın</t>
  </si>
  <si>
    <t>Allah yar ve yardımcınız olsun #BarisPinariHarekati #TurkishArmy</t>
  </si>
  <si>
    <t>https://pbs.twimg.com/media/EGcNJK1XUAEqScy.jpg</t>
  </si>
  <si>
    <t>عبد المجيد فجر</t>
  </si>
  <si>
    <t>pic.twitter.com/U07tKEDIib</t>
  </si>
  <si>
    <t>كل شيء له فرصه ثانيه ... إلا الثقة ....!</t>
  </si>
  <si>
    <t>MNuRuLLaHv</t>
  </si>
  <si>
    <t>Gazzeden füze atıldığında tüm İsrail'de sirenler çalar ve sivil asker herkes sığınaklara iner. Rasulayna yapılan harekatı Türk halkı evlerin çatılarından izliyor 😁 #TurkishArmy #BarışPınarıHarekati</t>
  </si>
  <si>
    <t>هاني شامان</t>
  </si>
  <si>
    <t>د. محمد الحلفي : باحث في التاريخ الحديث : المنبوذين من بلدانهم فقط هم من تجدهم في منصة قناة الجزيرة  #خاشقجي #قطر</t>
  </si>
  <si>
    <t>pic.twitter.com/1Wd4JmAQiX</t>
  </si>
  <si>
    <t>Ben Yok Biz VaR</t>
  </si>
  <si>
    <t>Sare</t>
  </si>
  <si>
    <t>Vatanına göz dikeni ez oğlum.. #TurkishArmy</t>
  </si>
  <si>
    <t>https://pbs.twimg.com/media/EGcNJx7XoAI7vPT.jpg</t>
  </si>
  <si>
    <t>ابراهيم مطر</t>
  </si>
  <si>
    <t>د. فايز النشوان في أبعاد : تركيا التي قادت حملة شرسة ضد السعودية، لديها 220 ألف معتقل في السجون التركية بتهمة الانقلاب 2016 معظمهم صحفيين وقضاة وأساتذة جامعيين هم تابعين لتيار عبدالله كولن  - جمال خاشقجي #خاشقجي #عام_على_رحيل_خاشقجي</t>
  </si>
  <si>
    <t>Milleti ve Vatanı bölmek isteyenlerle kavgamız vardır.</t>
  </si>
  <si>
    <t>pic.twitter.com/Tyvn7rNOWU</t>
  </si>
  <si>
    <t>Tugce</t>
  </si>
  <si>
    <t>#BarisPinariHarekati #TurkishArmy Allah askerlerimizin yardımcısı olsun. Allah ülkemizi, milletimizi korusun.</t>
  </si>
  <si>
    <t>Sophia&amp;Philia</t>
  </si>
  <si>
    <t>سعود مقداد</t>
  </si>
  <si>
    <t>اتصال/ أ. رامي العلي: محلل قنوات سعودي 24 – باريس: أردوغان أرسل وزير خارجيته إلى الولايات المتحدة الأمريكية من أجل دفع الطبقة السياسية لتغير العلاقات التاريخية بين المملكة و أمريكا .  - جمال خاشقجي #خاشقجي #عام_على_رحيل_جمال</t>
  </si>
  <si>
    <t>pic.twitter.com/vniWIPaaSd</t>
  </si>
  <si>
    <t>Fevzi YILDIRIM</t>
  </si>
  <si>
    <t>A light of hope for the oppressed. Great army. You have a nice way. 🇹🇷🇹🇷🇹🇷 #TurkishArmy</t>
  </si>
  <si>
    <t>https://pbs.twimg.com/media/EGcNIUdWkAEyVtN.jpg</t>
  </si>
  <si>
    <t>http://Instagram.com/fevziyildirim</t>
  </si>
  <si>
    <t>Furkan Arslan</t>
  </si>
  <si>
    <t>İl; devlet devlet kükreyecek, Şan, ordu ordu yürüyecek Türk’ün olsun! Mazlumların kurtuluşu İnsanlığın huzuru için Cihan mülkün mülk Türk’ün olsun Tanrı Türk’ü korusun… #BarışPınarıHarekati #TurkishArmy</t>
  </si>
  <si>
    <t>http://instagram.com</t>
  </si>
  <si>
    <t>سامي الفيفي</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</si>
  <si>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#JamalKhashoggi #ايران</t>
  </si>
  <si>
    <t>pic.twitter.com/N56pdyuSzo</t>
  </si>
  <si>
    <t>القويعية  - السعودية</t>
  </si>
  <si>
    <t>©ayhanbeyaz</t>
  </si>
  <si>
    <t>Haydi bismillah. Gazamız mübarek olsun. Sefer bizim zafer Allah'ın olsun. #BarışPınarıHarekatı #BarışPınarı #TürkMilletiOrdusununYanında #TurkishArmy</t>
  </si>
  <si>
    <t>على العوني</t>
  </si>
  <si>
    <t>pic.twitter.com/wpe34lAq3Z</t>
  </si>
  <si>
    <t>اللهم أبطل أثر عين و حسد أصابت جسدا فأمرضته ، و أصابت جمالا فشوهته ، و أصابت أعيناً فأمرضتها ، و أصابت قلبا فأحزنته</t>
  </si>
  <si>
    <t>🌹 Absolute Dissent 🌹 / RSN LeFaye</t>
  </si>
  <si>
    <t>Scum-sucking pig. She knows #Erdogan has the #JamalKhashoggi tapes and she doesn't even care, it's all about leverage. How much money do these evil people even need? #IvankaTrump #Trump @POTUS RT @soccernut43: @twmentality1 What a fvcking asshole....and then Ivanka says this and then takes it down. Trumps do anything for money.</t>
  </si>
  <si>
    <t>https://twitter.com/soccernut43/status/1181368669483470849</t>
  </si>
  <si>
    <t>https://pbs.twimg.com/media/EGUQipgWsAAxCnA.jpg</t>
  </si>
  <si>
    <t>#LabourActivist🌹 ✊ #JC4PM #GTTO ~Patriotism is the virtue of the vicious~ #RESIST.</t>
  </si>
  <si>
    <t>Z🌻</t>
  </si>
  <si>
    <t>سوريا ناقصة حروب يا ولاد الحرام #TurkishArmy</t>
  </si>
  <si>
    <t>محرم العوضي</t>
  </si>
  <si>
    <t>د. عدنان محمد: من يتواجد ويعمل على قناة الجزيرة غالبهم لديهم جنسيات إسرائيلية .  - جمال خاشقجي #ايران #خاشقجي</t>
  </si>
  <si>
    <t>pic.twitter.com/fyJQwXmUBx</t>
  </si>
  <si>
    <t>🎆 ⠀ ⠀ ⠀</t>
  </si>
  <si>
    <t>مع رائحہ الصباح ؛ يولد للحياة أمل ، فقط ابتسامہ مع بدايہ كل صباح جميل و بك أصبحنآ يا آللـه</t>
  </si>
  <si>
    <t>ماجد العنزي</t>
  </si>
  <si>
    <t>تقرير : قطر والإخوان في أوروبا .. جمعيات مشبوهة وتمويل للإرهاب  - جمال خاشقجي #خاشقجي #الجزيرة</t>
  </si>
  <si>
    <t>pic.twitter.com/rV5CIxFePz</t>
  </si>
  <si>
    <t>gizem</t>
  </si>
  <si>
    <t>Allah yardımcınız olsun 🇹🇷 #BarışPınarıHarekatı #TurkishArmy</t>
  </si>
  <si>
    <t>عسير - السعودية</t>
  </si>
  <si>
    <t>علاوي الحوطي</t>
  </si>
  <si>
    <t>العميد متقاعد. حسن الشهري: قناة الجزيرة تستهدف الشعب السعودي منذ عام 96 وعندما فشلت انتقلت إلى صف الأعداء .  - جمال خاشقجي #خاشقجي #الجزيرة</t>
  </si>
  <si>
    <t>pic.twitter.com/cpkH0OYhyM</t>
  </si>
  <si>
    <t>🇹🇷 Murat 🇹🇷</t>
  </si>
  <si>
    <t>Tüm Siyasi partilerin (Hdpkk hariç) ve partililerin, bu harekata destek vermesi Ülkem adına sevindirici.Allah muvaffak etsin inşallah. #BarışPınarıHarekati #TurkishArmy</t>
  </si>
  <si>
    <t>🇹🇷"Adım Müslüman, soyadım Türk benim."🇹🇷</t>
  </si>
  <si>
    <t>سليمان بانصر</t>
  </si>
  <si>
    <t>Erhan KOLCU 🇹🇷</t>
  </si>
  <si>
    <t>Tarih boyunca mazlumların gölgesi olan bu al bayrak sonsuza kadar dalgalansın!🇹🇷 #barişpınarıharekati #barispinari #TurkishArmy</t>
  </si>
  <si>
    <t>pic.twitter.com/BB0DhTeh7l</t>
  </si>
  <si>
    <t>https://pbs.twimg.com/media/EGcNEo6WkAAEr7o.jpg</t>
  </si>
  <si>
    <t>حب الله والإل والوطن وسيدي السلطان</t>
  </si>
  <si>
    <t>Eden bulur...</t>
  </si>
  <si>
    <t>سلطان حلواني</t>
  </si>
  <si>
    <t>العميد متقاعد. حسن الشهري : على ايران إدراك أنها لن تستطيع التطاول على أي دولة من دول الخليج أو تستبيح أجواءها أو تؤثر في إقتصادها.  #JamalKhashoggi #ايران</t>
  </si>
  <si>
    <t>Beşiktaş🇹🇷Erkan</t>
  </si>
  <si>
    <t>#TurkishArmy Fırat'ın doğusuna yönelik yapılan Barış Pınarı Harekatı'nda Tüm güvenlik güçlerimizin Allah yâr ve yardımcıları olsun, ayaklarına taş değmesin. #BarısPınarıOperasyonu #BarisPinariHarekati</t>
  </si>
  <si>
    <t>pic.twitter.com/lUBTEmiYnm</t>
  </si>
  <si>
    <t>pic.twitter.com/2RgZlbYYgl</t>
  </si>
  <si>
    <t>* اللهم ارزقني توبتةً نصوحاً قبل الموت</t>
  </si>
  <si>
    <t>ANKARA Türkiye</t>
  </si>
  <si>
    <t>SADECE BEŞİKTAŞ 🇹🇷Kartal🦅 Yüksekten 🦅Uçar</t>
  </si>
  <si>
    <t>خليل العثاثي</t>
  </si>
  <si>
    <t>pic.twitter.com/ihVs766Od2</t>
  </si>
  <si>
    <t>POLİSİZASKERİZ 🌐</t>
  </si>
  <si>
    <t>@realDonaldTrump @realDonaldTrump How are you ? 😉 @RTErdogan #TurkishArmy 🇹🇷🇹🇷🇹🇷</t>
  </si>
  <si>
    <t>https://pbs.twimg.com/media/EGcNEs6XoAA1Fs3.jpg</t>
  </si>
  <si>
    <t>السيح الشمالي - السعودية</t>
  </si>
  <si>
    <t>خذ المفقوشه حتى تجيء المنقوشه</t>
  </si>
  <si>
    <t>مازن المعطي</t>
  </si>
  <si>
    <t xml:space="preserve">Türkiye 🇹🇷 </t>
  </si>
  <si>
    <t>محلل قناة ٢٤ سعودي الفضائية جيري ماهر في برنامج لمن يهمه الأمر: أردوغان يستخدم القضية الفلسطينية فقط من أجل الدعاية والاستهلاك الإعلامي و تركيا لم تقدم لـ فلسطين أو سوريا أي شيء  - جمال خاشقجي #JamalKhashoggi #الجزيرة</t>
  </si>
  <si>
    <t>Antalya / İzmir / Berlin</t>
  </si>
  <si>
    <t>pic.twitter.com/4kSuZpM9HC</t>
  </si>
  <si>
    <t>bayezid 𐰉𐰖𐰔𐰓</t>
  </si>
  <si>
    <t>Fırtınalar dursun yana Yolver Türk'ün bayrağına #BarışPınarıHarekatı #TurkishArmy</t>
  </si>
  <si>
    <t>https://pbs.twimg.com/media/EGcNEavWsAEFMdl.jpg</t>
  </si>
  <si>
    <t>حنيث - السعودية</t>
  </si>
  <si>
    <t>Ne Mutlu TÜRK'üm Diyene</t>
  </si>
  <si>
    <t>YaRaMaZıM</t>
  </si>
  <si>
    <t>DALIMIZI KIRANLARIN AĞAÇLARINI KÖKÜNDEN SÖKMEYE GELİYORUZ #TurkishArmy</t>
  </si>
  <si>
    <t>جبريل المطوع</t>
  </si>
  <si>
    <t>https://pbs.twimg.com/media/EGcNDafW4AE9kyp.jpg</t>
  </si>
  <si>
    <t>pic.twitter.com/LHicx8JSUm</t>
  </si>
  <si>
    <t>الصحنة - السعودية</t>
  </si>
  <si>
    <t>جمال الخطأ في حياتنا،،، أنه يجعلنا نبحث عن الصواب</t>
  </si>
  <si>
    <t>Dokuz Köyden Kovuldum Sonunda Kendi Köyümü Kurdum... Milliyetçi,Atatürkçü,Vatansever Beğenen takip eder beğenmeyen siktir olup gider</t>
  </si>
  <si>
    <t>شداد الخطاب</t>
  </si>
  <si>
    <t>pic.twitter.com/qvuWDILflY</t>
  </si>
  <si>
    <t>الفايضة - السعودية</t>
  </si>
  <si>
    <t>صقر العالي</t>
  </si>
  <si>
    <t>pic.twitter.com/Yy7pyl5MJI</t>
  </si>
  <si>
    <t>#SavasaHayır diye tag açmayın. Biz savaşmıyoruz. Domuzlar çoğalmış ava çıkıp biraz leş toplayacağız. Savaşlar devletler arasında olur. #BarısPınarHarekatı #TurkishArmy</t>
  </si>
  <si>
    <t>عودة سويدي</t>
  </si>
  <si>
    <t>محلل قناة ٢٤ سعودي الفضائية د. عمر عبدالستار في نيران ايران: لا رفع للعقوبات الأمريكية على ايران، ولا لقاء بين ترمب وخامنئي هذا هو السيناريو الأول  #خاشقجي #ايران</t>
  </si>
  <si>
    <t>pic.twitter.com/O25RnwspyK</t>
  </si>
  <si>
    <t>قرصه في ناره و عينه على جاره</t>
  </si>
  <si>
    <t>حمادة القبضي</t>
  </si>
  <si>
    <t>pic.twitter.com/r9OCbqaZT8</t>
  </si>
  <si>
    <t>R. Güngör CİHANGİR</t>
  </si>
  <si>
    <t>Vur, senin darbenden çıkacak ateş İntikam isteyen bir milletindir! 🇹🇷🇹🇷🇹🇷 #BarışPınarıHarekatı #TurkishArmy</t>
  </si>
  <si>
    <t>https://pbs.twimg.com/media/EGcNDaDXkAEPkob.jpg</t>
  </si>
  <si>
    <t>الركوب على الخنفس ولا المشي على الديباج</t>
  </si>
  <si>
    <t>عمر عبد الرزاق</t>
  </si>
  <si>
    <t>د. عبدالرحمن العناد : الوضع الإقتصادي في تركيا متدهور ومن المتوقع أن يزداد تدهوره وهذا دليل على سوء السياسات الاقتصادية التي يتبعها اردوغان .  - جمال خاشقجي #JamalKhashoggi #ايران</t>
  </si>
  <si>
    <t>pic.twitter.com/ujwRjZTcKF</t>
  </si>
  <si>
    <t>Ne Mutlu TÜRK'üm Diyene ! Trabzonspor ♥💙 😎</t>
  </si>
  <si>
    <t>https://www.instagram.com/gcihangir61/?hl=tr</t>
  </si>
  <si>
    <t>المدينة - السعودية</t>
  </si>
  <si>
    <t>اللهم إجعلني ممن طّاب ذكرهم وحسنت سيرتهم وأستمر أجرهم في حياتهم وبعد موتهم</t>
  </si>
  <si>
    <t>Mustafa Yılmaz</t>
  </si>
  <si>
    <t>Türk ordusu sınırının dışına çıkınca #SavaşaHayır diyenler ile ABD ordusunun gittiği yere özgürlük getirdiğine inananlar aynı art niyette kişilerdir. Mesele bu toprakları korumaksa sonuna kadar savaşarız ! #TurkishArmy</t>
  </si>
  <si>
    <t>https://pbs.twimg.com/media/EGcNCTbWkAAP5sH.jpg</t>
  </si>
  <si>
    <t>فايد السبيعي</t>
  </si>
  <si>
    <t>pic.twitter.com/Dz3t6pXky3</t>
  </si>
  <si>
    <t>Rize,Ankara</t>
  </si>
  <si>
    <t>Ak Kadın Şehitkamil</t>
  </si>
  <si>
    <t>“Barış pınarı” operasyonunun amaç ve hedefleri OPERATION PEACE SPRING EXPLAINED IN 10 STEPS #BarışPınarıHarekatı #TurkishArmy #OperationPeaceSpring</t>
  </si>
  <si>
    <t>https://pbs.twimg.com/media/EGcKyApXYAAg_v_.jpg</t>
  </si>
  <si>
    <t>رضا مهني</t>
  </si>
  <si>
    <t>العميد متقاعد. حسن الشهري : لم يقف في وجه المملكة دولة أو نظام أو حزب الا خسر وتبقى المملكة منتصرة .  - جمال خاشقجي #JamalKhashoggi #ايران</t>
  </si>
  <si>
    <t>pic.twitter.com/K9IHFDY3Mp</t>
  </si>
  <si>
    <t>Gaziantep / Turkey</t>
  </si>
  <si>
    <t>قيل لطفل سوري ماذا تُحبّ أن تُصبح إذا كبُرت؟ قال : إذا نجوتُ من بشار سأخبركالبراح - السعودية</t>
  </si>
  <si>
    <t>AK Parti Şehitkamil ilçe Kadın Kolları Başkanlığı Hülya KILIÇ</t>
  </si>
  <si>
    <t>https://www.facebook.com/akpartisehitkamilkadinkollari27/</t>
  </si>
  <si>
    <t>عبادي عويس</t>
  </si>
  <si>
    <t>pic.twitter.com/mPyGDOHXZl</t>
  </si>
  <si>
    <t>دراسة يابانيه تقول الزواج يطيل عمر الرجال .. ويقصر عمر النساء !!حتات سدير - السعودية</t>
  </si>
  <si>
    <t>توفيق الفريح</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</si>
  <si>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#خاشقجي #ايران</t>
  </si>
  <si>
    <t>pic.twitter.com/DVH6wuFcHo</t>
  </si>
  <si>
    <t>TR UĞUR ŞAHİN TR</t>
  </si>
  <si>
    <t>#BarışPınarıHarekati Sen tarihsin, Sen zafersin, Sen vatansın Vur Mehmedim! Vur ki; Dünya utansın🇹🇷 #TurkishArmy</t>
  </si>
  <si>
    <t>ليس مهماً أن يحبك لأنه يراكِ جميلة ولكن المهم أن يراكِ جميلة لأنه يحبك!!</t>
  </si>
  <si>
    <t>نور معيض</t>
  </si>
  <si>
    <t>أ. نايف الحربي: إعلامي وكاتب صحفي: من يضع يده بيد طهران و أنقرة سيجد الخراب والدمار .  - جمال خاشقجي #خاشقجي #الجزيرة</t>
  </si>
  <si>
    <t>pic.twitter.com/u44CfOk8nZ</t>
  </si>
  <si>
    <t>Emre BAŞER</t>
  </si>
  <si>
    <t>Yakala heval geliyor. 🇹🇷 #TurkishArmy RT @TTAgrup: Dualarımız Türk Ordusu ile. #BarışPınarıHarekatı</t>
  </si>
  <si>
    <t>https://twitter.com/ttagrup/status/1181921951943680000</t>
  </si>
  <si>
    <t>https://pbs.twimg.com/media/EGcHv0WX0AANkha.jpg</t>
  </si>
  <si>
    <t>http://instagram.com/emre_baseer</t>
  </si>
  <si>
    <t>فواز البكاري</t>
  </si>
  <si>
    <t>العميد متقاعد. حسن الشهري : على ايران إدراك أنها لن تستطيع التطاول على أي دولة من دول الخليج أو تستبيح أجواءها أو تؤثر في إقتصادها.  #JamalKhashoggi #تركيا</t>
  </si>
  <si>
    <t>pic.twitter.com/5gXDbKugnP</t>
  </si>
  <si>
    <t>aziz ün</t>
  </si>
  <si>
    <t>Patatesi,soğanı,doları bilmem amma fistan tavan yapmıştır.hele battal beden giyen sezginhasip gibiler servet öder.#TurkishArmy</t>
  </si>
  <si>
    <t>ankara gölbaşı</t>
  </si>
  <si>
    <t>tokat/zile/büyüközlü(kağızman)ankara gölbaşında yaşıyor.</t>
  </si>
  <si>
    <t>على ضباح</t>
  </si>
  <si>
    <t>pic.twitter.com/3CZsDRoTI8</t>
  </si>
  <si>
    <t>Alper ama...</t>
  </si>
  <si>
    <t>Ayağınıza taş değmesin yiğitlerim. #turkmilletiordusununyaninda #TurkishArmy</t>
  </si>
  <si>
    <t>Ordu-Manisa</t>
  </si>
  <si>
    <t>زامل العبدلي</t>
  </si>
  <si>
    <t>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#ايران #خاشقجي</t>
  </si>
  <si>
    <t>pic.twitter.com/MQ3BZAfBLb</t>
  </si>
  <si>
    <t>https://pbs.twimg.com/media/EGcNAqaXYAE2sjP.jpg</t>
  </si>
  <si>
    <t>نبيل المرمي</t>
  </si>
  <si>
    <t>عاجل و 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#ايران #JamalKhashoggi</t>
  </si>
  <si>
    <t>Mehdi Mnaouar⏳</t>
  </si>
  <si>
    <t>pic.twitter.com/9Slyts83XG</t>
  </si>
  <si>
    <t>#TURQUIE 🇹🇷 #TurkishArmy #Syrie #Syria</t>
  </si>
  <si>
    <t>https://pbs.twimg.com/media/EGcM_OtXUAAUuI_.jpg</t>
  </si>
  <si>
    <t>القوز - السعودية</t>
  </si>
  <si>
    <t>مهما وثقت بـ الناس أترك أسرارك لنفسك !</t>
  </si>
  <si>
    <t>[Trop d'infos tue l'info] #Candidat #Législatives2017 🇫🇷 #Circo7811 http://facebook.com/MnaouarMehdi http://youtube.com/c/MehdiMnaouar</t>
  </si>
  <si>
    <t>http://www.MehdiMnaouar.com</t>
  </si>
  <si>
    <t>صهيب الكريمي</t>
  </si>
  <si>
    <t>د. فايز النشوان في أبعاد : تركيا التي قادت حملة شرسة ضد السعودية، لديها 220 ألف معتقل في السجون التركية بتهمة الانقلاب 2016 معظمهم صحفيين وقضاة وأساتذة جامعيين هم تابعين لتيار عبدالله كولن  - جمال خاشقجي #JamalKhashoggi #السعودية</t>
  </si>
  <si>
    <t>pic.twitter.com/FG9M2XrAmB</t>
  </si>
  <si>
    <t>MTTB Kütahya</t>
  </si>
  <si>
    <t>من أمن بالآخرة لا يحرص على الدنيـا</t>
  </si>
  <si>
    <t>عبد الرحمن الحليبي</t>
  </si>
  <si>
    <t>تقرير : قطر والإخوان في أوروبا .. جمعيات مشبوهة وتمويل للإرهاب  - جمال خاشقجي #خاشقجي #ايران</t>
  </si>
  <si>
    <t>Kütahya</t>
  </si>
  <si>
    <t>MTTB Kütahya İl Başkanlığı</t>
  </si>
  <si>
    <t>http://facebook.com/mttbkutahya</t>
  </si>
  <si>
    <t>pic.twitter.com/OQKwUlaQ7i</t>
  </si>
  <si>
    <t>bazer</t>
  </si>
  <si>
    <t>First thing turkey needs to do is drop a bomb where the 70.000 isis fighters are being held before they get released or escape #TurkishArmy #TurkeyKurds</t>
  </si>
  <si>
    <t>محمد الحرازي</t>
  </si>
  <si>
    <t>pic.twitter.com/VHpg16TmFt</t>
  </si>
  <si>
    <t>It ain’t about how hard you hit, it’s about how hard you can get hit and keep moving forward. That’s how winning is done.</t>
  </si>
  <si>
    <t>الرياض - السعودية</t>
  </si>
  <si>
    <t>Ruh Adam</t>
  </si>
  <si>
    <t>https://pbs.twimg.com/media/EGcM_WRWsAQmL96.jpg</t>
  </si>
  <si>
    <t>عايش الزبياني</t>
  </si>
  <si>
    <t>محلل قناة ٢٤ سعودي الفضائية د. فهد الشليمي في مع الحدث : الحملة على مصر تم التحضير لها منذ شهرين بمشاركة تركيا وتنظيم الاخوان الإرهابي و ايران من أجل ضرب الاقتصاد المصري  - جمال خاشقجي #خاشقجي #الجزيرة</t>
  </si>
  <si>
    <t>pic.twitter.com/cTwTDm5iPp</t>
  </si>
  <si>
    <t>وما الحب الا أن تخاف الله في من تُحب</t>
  </si>
  <si>
    <t>Sahin</t>
  </si>
  <si>
    <t>رامي الصالح</t>
  </si>
  <si>
    <t>أتصال/ أ. أحمد محارم: كاتب صحفي ومحلل سياسي – نيويورك: تاريخ ايران على مدار 40سنه كان عدواني ولاسيما ضد المملكة .  - جمال خاشقجي #خاشقجي #الجزيرة</t>
  </si>
  <si>
    <t>pic.twitter.com/38l7F5t3Ho</t>
  </si>
  <si>
    <t>Tokatlı</t>
  </si>
  <si>
    <t>الله وأفقر غيرك لتعلم نعمة الله عليك</t>
  </si>
  <si>
    <t>#TarihteBugün bugün #dünyapostagünü #Reis yaptın yine yapacağını cehenneme baya posta gönderecek😂😂😂 #BarisPinari #KurdsSideWithTurkey #TurkishArmy</t>
  </si>
  <si>
    <t>توفيق عرعر</t>
  </si>
  <si>
    <t>أ. خالد النزر : الدولة القطرية تريد أن تجعل لها دور فعال في عديد من المواضيع فأصبحت سلم تمتطيه العديد من الدول .  - جمال خاشقجي #خاشقجي #ايران</t>
  </si>
  <si>
    <t>pic.twitter.com/XDTOYNuHKE</t>
  </si>
  <si>
    <t>Beytullah KUVAN</t>
  </si>
  <si>
    <t>#TurkishArmy let the show begin #BarışPınarıHarekati</t>
  </si>
  <si>
    <t>pic.twitter.com/hANDUWhAvV</t>
  </si>
  <si>
    <t>الشوارى - السعودية</t>
  </si>
  <si>
    <t>(طوبى لمن وجد في صحيفته استغفارًا كثيرًا) . . أستغفر الله أستغفر الله أستغفر الله</t>
  </si>
  <si>
    <t>بخيت القطان</t>
  </si>
  <si>
    <t>pic.twitter.com/QQ3Gd7o7YW</t>
  </si>
  <si>
    <t>FATSA</t>
  </si>
  <si>
    <t>Kafandaki plana göre yön çizer yola çıkarsın sona yaklaştım oh diyeceğin anda tekrar başa dönersin,hemde koca bir zaman kaybı ve umutsuzlukla!</t>
  </si>
  <si>
    <t>muhammed ihsan sarı</t>
  </si>
  <si>
    <t>الحنابيج - السعودية</t>
  </si>
  <si>
    <t>Arkadaşlar Şikayet Edelim ! #BarisPinari #BarisPinariHarekati #Suriye #harekat #Tuerksilahlıkuvvetleri #TuerkMilletiOrdusununYanında #TuerklerGeliyor #carsamba #TurkishArmy</t>
  </si>
  <si>
    <t>رجل يقف عند حافة حفرة ملئت بالحمم المذابة فلا يتقدم فذلك هو الذي يتقي محارم الله وحدوده</t>
  </si>
  <si>
    <t>https://pbs.twimg.com/media/EGcM-JeWoAADhID.jpg</t>
  </si>
  <si>
    <t>باسم عويس</t>
  </si>
  <si>
    <t>محلل قناة ٢٤ سعودي الفضائية جيري ماهر في برنامج لمن يهمه الأمر: تعهد الرئيس التركي بشراء النفط الإيراني هو دليل على أن اردوغان يدعم الإرهاب الإيراني  - جمال خاشقجي #خاشقجي #ايران</t>
  </si>
  <si>
    <t>pic.twitter.com/CHv1zSl6LR</t>
  </si>
  <si>
    <t>Fotoğrafçı 📸📷 Gaziantep. Gaziantepspor🦅</t>
  </si>
  <si>
    <t>الأرتوية  - السعودية</t>
  </si>
  <si>
    <t>Burak</t>
  </si>
  <si>
    <t>إذا غلي عليك الضأني ميل على الحمصاني</t>
  </si>
  <si>
    <t>https://pbs.twimg.com/media/EGcM-UuXoAAr4gk.jpg
https://pbs.twimg.com/media/EGcMAODX0AEYD_C.jpg</t>
  </si>
  <si>
    <t>عبادة الغالطي</t>
  </si>
  <si>
    <t>Bilişim-Yazılım 🎓 🇹🇷</t>
  </si>
  <si>
    <t>pic.twitter.com/JeHMZKSC4G</t>
  </si>
  <si>
    <t>الصالحية - السعودية</t>
  </si>
  <si>
    <t>صحة العقيدة في العلم قبل القول أو العمل</t>
  </si>
  <si>
    <t>يحيي الخزمري</t>
  </si>
  <si>
    <t>د. محمد الحلفي : باحث في التاريخ الحديث : المنبوذين من بلدانهم فقط هم من تجدهم في منصة قناة الجزيرة  #خاشقجي #ايران</t>
  </si>
  <si>
    <t>pic.twitter.com/ZWZOVja4CO</t>
  </si>
  <si>
    <t>اللهم ارح قلوب لم تَنم ، ترجوا شيء من رحمتك</t>
  </si>
  <si>
    <t>:-*Hakkı:-*KA®ADAĞ</t>
  </si>
  <si>
    <t>مزيد المحيسني</t>
  </si>
  <si>
    <t>#BarışPınarıHarekati başlamıştır Bütün dualarımız Sizinle Aslan parçaları Ayağınıza taşdeğmesin Allah Yar ve Yardımcınız olsun #TurkishArmy 🇹🇷🇹🇷🇹🇷🇹🇷🇹🇷</t>
  </si>
  <si>
    <t>فيديو .. شاهد .. محلل قناة ٢٤ سعودي الحصري د . صباح الخزاعي يلجم مذيع وضيوف قناة الجزيرة للمرة الثانية خلال اسبوع  - جمال خاشقجي #JamalKhashoggi #ايران</t>
  </si>
  <si>
    <t>pic.twitter.com/G7pnL6Fnqc</t>
  </si>
  <si>
    <t>https://pbs.twimg.com/media/EGcM3iIX0AEJh89.jpg</t>
  </si>
  <si>
    <t>🇹🇷🇹🇷ÖNCE VATAN ATATÜRK FENERBAHÇE🇹🇷🇹🇷</t>
  </si>
  <si>
    <t>مسلم طليحان</t>
  </si>
  <si>
    <t>Mehmet Karacık</t>
  </si>
  <si>
    <t>pic.twitter.com/nE8mdxTKY1</t>
  </si>
  <si>
    <t>YÂ RABBİM" sen ordumuzu muzafer eyle, Askerlerimize güç kuvvet ver, tırnaklarına zarar gelmeden sağ salim gidip dönmelerini nasip eyle. #BarisPinari #BarısPınarlarıHarekatı #TurkishArmy</t>
  </si>
  <si>
    <t>https://pbs.twimg.com/media/EGcM9WYWwAAFy-f.jpg</t>
  </si>
  <si>
    <t>EDEPLE GELEN LÜTUFLA DÖNER İLLÂ EDEP İLLÂ EDEP! GİRDİM İRFAN MECLİSİNE, KILDIM İLMİ TALEP, İLİM GERİDE KALDI İLLÂ EDEP, İLLÂ EDEP!</t>
  </si>
  <si>
    <t>أحمد الرباعي</t>
  </si>
  <si>
    <t>pic.twitter.com/b1PqgWORQC</t>
  </si>
  <si>
    <t>Zeynep Demirbilek</t>
  </si>
  <si>
    <t>Sen tarihsin, Sen zafersin, Sen vatansın Vur Mehmedim! Vur ki; Dünya utansın🇹🇷 Türk Silahlı Kuvvetleri'miz Suriye Milli Ordusu'yla birlikte Suriye'nin kuzeyinde PKK/YPG ve Deaş terör örgütlerine karşı #BarışPınarıHarekatı'nı başlatmıştır. #TurkishArmy #BarışPınarıHarekatı</t>
  </si>
  <si>
    <t>https://pbs.twimg.com/media/EGcM8R3WkAAgCTs.jpg</t>
  </si>
  <si>
    <t>زاهر حلواني</t>
  </si>
  <si>
    <t>حصريا.. السفير ادم ايرلي متحدث الخارجية الأمريكية السابق: اردوغان منافق كبير ..يذرف دموع التماسيح على خاشقجي بينما يزج بالاَف الاتراك بالسجونAdam Ereli: Erdogan is the biggest hypocrite on the plant  #خاشقجي #الاخوان</t>
  </si>
  <si>
    <t xml:space="preserve">İstanbul /Türkiye </t>
  </si>
  <si>
    <t>"EY GÖNÜL! NE TUHAF DEĞİL Mİ? BİR ÖMÜR, ŞAH DAMARINDAN DAHA YAKIN BİR SEVGİLİYİ ARAMAKLA GEÇİYOR." Hz. Mevlana *🌙</t>
  </si>
  <si>
    <t>pic.twitter.com/f3dZxbyclM</t>
  </si>
  <si>
    <t>http://instagram.com/zeynepdem08/</t>
  </si>
  <si>
    <t>©️ Adsız</t>
  </si>
  <si>
    <t>Yolumuz gaza, sonu şehadet, Dinimiz ister sıdk ile hizmet Anamız vatan, babamız millet, Vatanı ma’mur eyle Ya Rabbi! Milleti mesrur eyle ya Rabbi! #TurkishArmy #BarışPınarıHarekati #BarisPinari Haydi Bismillah Gazamız Allah Ordumuzun Orta Doğu'da</t>
  </si>
  <si>
    <t>عدنان أبو جرة</t>
  </si>
  <si>
    <t>أتصال/ أ. توفيق قويدر شيشي: كاتب صحفي ومحلل سياسي أمني في الشأن الأوروبي – باريس: القرضاوي منع من دخول فرنسا وأوروبا بشكل عام .  - جمال خاشقجي #خاشقجي #تركيا</t>
  </si>
  <si>
    <t>https://pbs.twimg.com/media/EGcM9kAXUAE9Iob.jpg</t>
  </si>
  <si>
    <t>pic.twitter.com/Da7WK2fTop</t>
  </si>
  <si>
    <t>Devlet Ebed Müddet</t>
  </si>
  <si>
    <t>عزام عبد الغني</t>
  </si>
  <si>
    <t>العميد متقاعد. حسن الشهري: الدوحة مُسيرة ولا تملك من امرها شيء فلديها برنامج تخريبي في المنطقة يجب ان تُنفذه فالمُستهدف هو الاسلام.  - جمال خاشقجي #خاشقجي #الاخوان</t>
  </si>
  <si>
    <t>İsmail AYDIN 🇹🇷</t>
  </si>
  <si>
    <t>#TurkishArmy 🤫 olun 🔥🔥🔥 👌🇹🇷🇹🇷🇹🇷👍</t>
  </si>
  <si>
    <t>pic.twitter.com/ENHp5ek2QF</t>
  </si>
  <si>
    <t>İnsan bir ömrün hakkını vermek varken neden şeytanın atına binip kötüye ram olur. Oysa güneş bir mızrak boyuna indiği gün kötülerin sığınacak gölgesi olmayacak.</t>
  </si>
  <si>
    <t>مليجة - السعودية</t>
  </si>
  <si>
    <t>أرضي بقردك لا يجيك أقرد منه</t>
  </si>
  <si>
    <t>Cany💙Aslı💛</t>
  </si>
  <si>
    <t>جبريل الجسري</t>
  </si>
  <si>
    <t>Allah Mehmetçiklerimizi korusun yardımcısı olsun...🇹🇷🇹🇷🇹🇷 Dualarımız sizinle 🙏 #BarışPınarıHarekatı #BarışPınarı #TurkishArmy</t>
  </si>
  <si>
    <t>اتصال / أ. أيمن إبراهيم : إعلامي وباحث إستقصائي - القاهرة : منذ سقوط الإخوان الإرهابيين عام 2013 في مصر سقطت نسبة المشاهدين لـ قناة الجزيرة بشكل كبير جدا.  #خاشقجي #ايران</t>
  </si>
  <si>
    <t>pic.twitter.com/O1KUSGGKwt</t>
  </si>
  <si>
    <t>https://pbs.twimg.com/media/EGcM83hWwAEKrd-.jpg</t>
  </si>
  <si>
    <t>القديح - السعودية</t>
  </si>
  <si>
    <t>الطلب من الله بالتضرع والدعاء ثم التحصيل بالعمل وفعل الأسباب</t>
  </si>
  <si>
    <t>🇹🇷 M.KEMAL ATATÜRK 🇹🇷 Fenerbahçe Aşkı Bitmez</t>
  </si>
  <si>
    <t>محسن بن محفوظ</t>
  </si>
  <si>
    <t>اتصال / أ. خالد الزعتر : محلل سياسي – الرياض : رفع العلم الإسرائيلي في الدوحة هو إثبات للعلاقات الإسرائيلية القطرية وهذا ما تثبته الوقائع التاريخية على مر السنين .  - جمال خاشقجي #ايران #خاشقجي</t>
  </si>
  <si>
    <t>pic.twitter.com/mhMYVRIkCa</t>
  </si>
  <si>
    <t>Furkan Sert</t>
  </si>
  <si>
    <t>Hala beton taşıyorlar olum salaklar havadan gelicez sizi gömücez sonra karadan gelicez sizi .... #TurkishArmy</t>
  </si>
  <si>
    <t>العبد عن الاستغفار أكبر من الذنب</t>
  </si>
  <si>
    <t>Furkan sert</t>
  </si>
  <si>
    <t>ابراهيم المسحل</t>
  </si>
  <si>
    <t>pic.twitter.com/K3g4WoiSTp</t>
  </si>
  <si>
    <t>H Aslı Ömür</t>
  </si>
  <si>
    <t>Vurduğunuz leş olsun #TurkishArmy #BarışPınarıHarekatı 🇹🇷</t>
  </si>
  <si>
    <t>البوابه الوحيده لتحقيق الأماني: هي سجودك لمن جعلك تعيش حتى هذا اليوم</t>
  </si>
  <si>
    <t>عبد الواحد بليلة</t>
  </si>
  <si>
    <t>أتصال/ أ. توفيق قويدر شيشي: كاتب صحفي ومحلل سياسي أمني في الشأن الأوروبي – باريس: القرضاوي منع من دخول فرنسا وأوروبا بشكل عام .  - جمال خاشقجي #JamalKhashoggi #ايران</t>
  </si>
  <si>
    <t>seni hiç alakadar etmez 🤸🏻‍♀️</t>
  </si>
  <si>
    <t>pic.twitter.com/CKKuQJJIO7</t>
  </si>
  <si>
    <t>Muhtaç olduğun kudret damarlarındaki asil kanda mevcuttur. #BarisPinariHarekati #turkmilletiordusununyaninda #TurkishArmy</t>
  </si>
  <si>
    <t>https://pbs.twimg.com/media/EGcM7s7XkAUh2hL.jpg</t>
  </si>
  <si>
    <t>القصب - السعودية</t>
  </si>
  <si>
    <t>اقولها وعيون العرب كلها تقرا .. انت اكثر انسان وجوده يفرحني ..</t>
  </si>
  <si>
    <t>ظافر البعداني</t>
  </si>
  <si>
    <t>اتصال / أ. أيمن إبراهيم : إعلامي وباحث إستقصائي - القاهرة : منذ سقوط الإخوان الإرهابيين عام 2013 في مصر سقطت نسبة المشاهدين لـ قناة الجزيرة بشكل كبير جدا.  #خاشقجي #عام_على_رحيل_خاشقجي</t>
  </si>
  <si>
    <t>pic.twitter.com/emBbjsbF5O</t>
  </si>
  <si>
    <t>الجبيل - السعودية</t>
  </si>
  <si>
    <t>دراسة يابانيه تقول الزواج يطيل عمر الرجال .. ويقصر عمر النساء !!</t>
  </si>
  <si>
    <t>Gökhan Kılıç</t>
  </si>
  <si>
    <t>#BarisPinariHarekati #turkmilletiordusununyaninda #TurkishArmy Tüm şehitlerimiz için, bir damla kanı akmış gazi askerlerimiz için tüm gücünle tüm öfkenle vur Şanlı Türk Ordusu. Vur ki bir daha kanlı ellerini ülkemize uzatamasınlar. 🇹🇷 Allah yardımcımız olsun🇹🇷</t>
  </si>
  <si>
    <t>https://pbs.twimg.com/media/EGcM7NfXYAIsSwd.jpg</t>
  </si>
  <si>
    <t>بيان الرفاعي</t>
  </si>
  <si>
    <t>pic.twitter.com/lL77XAKxui</t>
  </si>
  <si>
    <t>البرك - السعودية</t>
  </si>
  <si>
    <t>مقصِّر جدَّاً يَا ألله ، فردنيَّ إليك ردَّا جميلاً</t>
  </si>
  <si>
    <t>خضير عجمان</t>
  </si>
  <si>
    <t>عاجل :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#الجزيرة</t>
  </si>
  <si>
    <t>pic.twitter.com/KkPGSI1bHS</t>
  </si>
  <si>
    <t>عباس عماش</t>
  </si>
  <si>
    <t>د. عثمان البريكان : تركيا تدعي انها تحارب الارهاب و داعش وهم في الأساس يتحركون من خلالها .  - جمال خاشقجي #خاشقجي #الاخوان</t>
  </si>
  <si>
    <t>eyran</t>
  </si>
  <si>
    <t>pic.twitter.com/Su36hw3Vp8</t>
  </si>
  <si>
    <t>https://pbs.twimg.com/media/EGcM6D0XkAIAI2S.jpg</t>
  </si>
  <si>
    <t>المزاحمية - السعوديةالمزاحمية - السعودية</t>
  </si>
  <si>
    <t>izmit/alanya</t>
  </si>
  <si>
    <t>http://Instagram.com/aydemirhnn</t>
  </si>
  <si>
    <t>Snarky Snowflake 🌊</t>
  </si>
  <si>
    <t>FYI: Approximately 11,000+ #Kurds have died &amp; 22,000+ #Kurds injured during the fight against ISIS. Now, @realDonaldTrump will be adding more to that tally because he's beholden to Erdogan &amp;amp; Putin, etc etc. Beyond disgraceful !! #KurdishGenocide RIP #JamalKhashoggi</t>
  </si>
  <si>
    <t>Upstate New York</t>
  </si>
  <si>
    <t>I'm a filthy-mouthed #NastyWoman in #TheResistance who is Anti-Trump AF. Full of Tatt's &amp; Sass. Animal lover, especially Horses. #ImpeachTheMF #DisloyalToTrump</t>
  </si>
  <si>
    <t>Adem Uçar</t>
  </si>
  <si>
    <t>#MustafaKemalATATURK #TurkishArmy</t>
  </si>
  <si>
    <t>https://pbs.twimg.com/media/EGcM6VSWsAEqnFv.jpg</t>
  </si>
  <si>
    <t>ربيع الحذيفي</t>
  </si>
  <si>
    <t>pic.twitter.com/rcUGnPdehx</t>
  </si>
  <si>
    <t>Vidd Film</t>
  </si>
  <si>
    <t>Oğuzhan Karakayalar</t>
  </si>
  <si>
    <t>Mete'den beri dünyanın en önemli kara gücü Türk ordusudur. #TurkishArmy #BarisPinariHarekati</t>
  </si>
  <si>
    <t>Maslahatgüzar düzeyinde...</t>
  </si>
  <si>
    <t>مرتضى الشماخي</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</si>
  <si>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#ايران</t>
  </si>
  <si>
    <t>pic.twitter.com/oHQ77Vr3pX</t>
  </si>
  <si>
    <t>Sefer bizden, Zafer Allahtan! Gazamız mübarek olsun. #BarışPınarıHarekati #TurkishArmy</t>
  </si>
  <si>
    <t>https://pbs.twimg.com/media/EGcM582W4AAzs6I.jpg</t>
  </si>
  <si>
    <t>ينبع - السعودية</t>
  </si>
  <si>
    <t>ذويبان البعداني</t>
  </si>
  <si>
    <t>السفير 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#خاشقجي #ايران</t>
  </si>
  <si>
    <t>pic.twitter.com/KCDLj3Ktjw</t>
  </si>
  <si>
    <t>Şükrü Alnıaçık</t>
  </si>
  <si>
    <t>"Avrupa Birligi"ne giden yolu bilmem de!.. Uygarlığa giden yol, bugünlerde Diyarbakır'dan geçiyor!. Allah ayağınızı taşa değdirmesin. #TurkishArmy #BarisPinari #turkmilletiordusununyaninda #BarisPinariHarekati</t>
  </si>
  <si>
    <t>إذا أحبك الله سبحانه صرف عنك كل سوء</t>
  </si>
  <si>
    <t>https://pbs.twimg.com/media/EGcM5McX0AA3nBe.jpg</t>
  </si>
  <si>
    <t>نجيب بن سعود</t>
  </si>
  <si>
    <t>pic.twitter.com/WgngKqXQLO</t>
  </si>
  <si>
    <t>Tarihçi- Yazar, 27. Dönem MHP Ankara Milletvekili Adayı</t>
  </si>
  <si>
    <t>http://mhp.org.tr</t>
  </si>
  <si>
    <t>بالأسمر - السعودية</t>
  </si>
  <si>
    <t>اللهم إني أعوذ بك من الهم والحزن، وأعوذ بك من العجز والكسل، وأعوذ بك من الجبن والبخل، وأعوذ بك من غلبة الدّين وقهر الرجال.</t>
  </si>
  <si>
    <t>محمد السديسي</t>
  </si>
  <si>
    <t>أ. عبدالرحمن الملحم - كاتب ومحلل سياسي : قطر قامت بخيانة دول مجلس التعاون بإعطاء احداثيات حول الجنود الاماراتيين والسعوديين .  - جمال خاشقجي #JamalKhashoggi #ايران</t>
  </si>
  <si>
    <t>Songül DURSUN</t>
  </si>
  <si>
    <t>#BarışPınarıHarekati Bir gece ansızın gelebiliriz demiştik ama Tüm dünya görsün diye gündüz girdik! Sağ salim gidin sağ salim gelin #TurkishArmy #BarısPınarıOperasyonu</t>
  </si>
  <si>
    <t>pic.twitter.com/ZYTq762GZZ</t>
  </si>
  <si>
    <t>https://pbs.twimg.com/media/EGcM4zgWsAErto5.jpg</t>
  </si>
  <si>
    <t>عجباً لمن ستر الله ذنوبه، وأبى إلا أن تُفضح !</t>
  </si>
  <si>
    <t>Fırat Gazetesi</t>
  </si>
  <si>
    <t>سيد العالي</t>
  </si>
  <si>
    <t>هام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#ايران</t>
  </si>
  <si>
    <t>pic.twitter.com/newlMzh9Oq</t>
  </si>
  <si>
    <t>Zoroğlu</t>
  </si>
  <si>
    <t>Savaşa hayır diyen, bi bok bilmeden ahkam kesen dunkofların inadına #BarisPinari #TurkishArmy</t>
  </si>
  <si>
    <t>سبحان لله وبحمده سبحان الله العظيم</t>
  </si>
  <si>
    <t>Bide pazar ve ertesi olunca zorlanırım gülümsemem. inadına Trabzonspor</t>
  </si>
  <si>
    <t>Ⓗ ⓐ ⓡ ⓘ ⓚ ⓐ🦀</t>
  </si>
  <si>
    <t>Ya Allah Bismillah #TurkishArmy #BarisPinari #TürkMilletiOrdusununYanında</t>
  </si>
  <si>
    <t>🍉06AMA21🍉 🇹🇷BJK🇹🇷</t>
  </si>
  <si>
    <t>مهند بن عودة</t>
  </si>
  <si>
    <t>أ. عبدالرحمن الملحم - كاتب ومحلل سياسي : قطر مصابة بعمى سياسي كبير ولا تعرف إلى اين تتجه .  - جمال خاشقجي #ايران #JamalKhashoggi</t>
  </si>
  <si>
    <t>pic.twitter.com/QE4yya4eQX</t>
  </si>
  <si>
    <t>Selim KAPLAN 🇹🇷</t>
  </si>
  <si>
    <t>🇹🇷🇹🇷🇹🇷🇹🇷🇹🇷🇹🇷🇹🇷🇹🇷🇹🇷🇹🇷🇹🇷🇹🇷🇹🇷 #BarışPınarıHarekatı #TurkishArmy</t>
  </si>
  <si>
    <t>ANGARA/MAMAK</t>
  </si>
  <si>
    <t>إنك لا تقدر أن ترضي الناس كلهم، فأصلح ما بينك وبين الله ثم لا تبال بالناس. - الإمام الشافعيالقوز - السعودية</t>
  </si>
  <si>
    <t>Bir saniyesine bile hakim olamadığımız, hükmedemediğimiz bir hayat için, bir dünya için, bu kadar fırıldak olmanın anlamı yoktur. Muhsin YAZICIOĞLU</t>
  </si>
  <si>
    <t>مصطفي فتياني</t>
  </si>
  <si>
    <t>اللواء متقاعد. عبدالله القحطاني : أينما وجدت ايران و قطر و تركيا وُجد الارهاب .  - جمال خاشقجي #JamalKhashoggi #قطر</t>
  </si>
  <si>
    <t>Yesi Noona</t>
  </si>
  <si>
    <t>#VonVacation #TurkishArmy y Tannie siendo tu global... y si @BTS_twt</t>
  </si>
  <si>
    <t>pic.twitter.com/bUAqjbjMir</t>
  </si>
  <si>
    <t>Ushuaia, Argentina</t>
  </si>
  <si>
    <t>Bibliotecaria, amo comer, dormir, los animales y gasto gran parte de mi sueldo en Bangtan. Los dedos meñiques de Jimin y la nariz de Hoseok son todo.</t>
  </si>
  <si>
    <t>https://twitter.com/mirlk?s=09</t>
  </si>
  <si>
    <t>kind words matter</t>
  </si>
  <si>
    <t>Something must be done immediately to stop @POTUS’ reversal of Syrian involvement. We owe our Kurdish friends respect. High priority action required by Pentagon. Is there a plot to further hide underpinnings of #JamalKhashoggi ‘s murder &amp; how Trump &amp;amp; Jared looked the other way.</t>
  </si>
  <si>
    <t>Uğur Üzümcü</t>
  </si>
  <si>
    <t>Pediatric Nurse Practitioner &amp; International Board Certified Lactation Consultant</t>
  </si>
  <si>
    <t>Ben ezelden beridir hür yaşadım,hür yaşarım. Hangi çılgın bana zincir vuracakmış? Şaşarım! Kükremiş sel gibiyim, bendimi çiğner, aşarım. Yırtarım dağları,enginlere sığmam,taşarım. Gazamız mübarek olsun Allah(c.c) yardımcımız olsun. #BarisPinariHarekati #BarisPinari #TurkishArmy</t>
  </si>
  <si>
    <t>شريف مصبح</t>
  </si>
  <si>
    <t>pic.twitter.com/FAxT7UJwzg</t>
  </si>
  <si>
    <t>“İslâm’dır elbette en yüce ülkü, Neyleyim Allah-u Ekber demeyen Türkü”</t>
  </si>
  <si>
    <t>Yavuz</t>
  </si>
  <si>
    <t>#TurkishArmy #BarışPınarıHarekatı Tanrı Türk'ü korusun!</t>
  </si>
  <si>
    <t>اللهم هب لنا نفوساً راضية .. وصدوراً من الهموم خالية .. وقلوباً بحبك وافية .. واتمم علينا العافية ..</t>
  </si>
  <si>
    <t>عقيل آل الشيخ</t>
  </si>
  <si>
    <t>محلل قناة ٢٤ سعودي الفضائية د. أنور مالك في المراقب : "كتاب أوراق قطر" تحقيق استقصائي أورد أن الدوحة حولت مبالغ مالية كبيرة إلى أوروبا لدعم 140 مشروعاً يرتبط بالتنظيم الدولي للإخوان  - جمال خاشقجي #JamalKhashoggi #ايران</t>
  </si>
  <si>
    <t>🇹🇷🇦🇿🇰🇿🇰🇬🇹🇲🇺🇿 Bir düşün başların üstünde kağanlık tuğunu, Ruh duyar orada ölürken bile Türk olduğunu. #ATSIZ</t>
  </si>
  <si>
    <t>pic.twitter.com/MMFqKmpGCR</t>
  </si>
  <si>
    <t>AYARSIZZADE</t>
  </si>
  <si>
    <t>ليوم الجمعة فيه ساعة مستجابة ودعوة الصائم لاترد اللهم من أراد بلادنا بسوءٍ فرد كيده في نحر</t>
  </si>
  <si>
    <t>https://pbs.twimg.com/media/EGcM4ATWwAE78vl.jpg</t>
  </si>
  <si>
    <t>عبد الرحيم العنزي</t>
  </si>
  <si>
    <t>pic.twitter.com/Qkwq2QmESU</t>
  </si>
  <si>
    <t>%88.8 raporlu ◥♌◤</t>
  </si>
  <si>
    <t>⚪M.KEMAL ATATÜRK⚪🇹🇷 •─✦࿐ཽ༵ BEŞİKT∆Ş ࿐ཽ༵✦─• Makedonya`skopje имигрант 🇲🇰 ✴️ϜϓſϞ✴️</t>
  </si>
  <si>
    <t>http://instagram.com/okangaraj</t>
  </si>
  <si>
    <t>الرين - السعودية</t>
  </si>
  <si>
    <t>ayşenur bozer</t>
  </si>
  <si>
    <t>Şimdi bir yerlerden "mal mal" bakabilirsiniz. #BarisPinariHarekati başladı. #TurkishArmy 🇹🇷</t>
  </si>
  <si>
    <t>acıbadem</t>
  </si>
  <si>
    <t>eng.</t>
  </si>
  <si>
    <t>Refik Gül</t>
  </si>
  <si>
    <t>سالم الهريفي</t>
  </si>
  <si>
    <t>Peygamberimizin efendimizin övgüsüne mazhar olmuş, Mübarek “TÜRK ASKERİ” kılıcınız keskin, Rabbim yardımcınız olsun... #BarisPinariHarekati #TurkishArmy</t>
  </si>
  <si>
    <t>pic.twitter.com/svlcPgZqpi</t>
  </si>
  <si>
    <t>https://pbs.twimg.com/media/EGcM4ziW4AAG410.jpg</t>
  </si>
  <si>
    <t>Adanaspor Taraftarlar Derneği Turbeyler Grubu Başkanı</t>
  </si>
  <si>
    <t>http://www.facebook.com/RefikGulAdana</t>
  </si>
  <si>
    <t>إبراهيم الخاطر</t>
  </si>
  <si>
    <t>اللواء المتقاعد د. زايد العمري: خبير استراتيجي ومحلل سياسي: قطر اصابتها الغيرة من هذا النموذج الإسلامي الوسطي الصحيح .  - جمال خاشقجي #JamalKhashoggi #ايران</t>
  </si>
  <si>
    <t>pic.twitter.com/McIAtoV8Kt</t>
  </si>
  <si>
    <t>Aytekin53</t>
  </si>
  <si>
    <t>Bir gece ansızın gelebiliriz demiştik ama Tüm dünya görsün diye gündüz girdik! Sağ salim gidin sağ salim gelin #TurkishArmy #BarışPınarı</t>
  </si>
  <si>
    <t>https://pbs.twimg.com/media/EGcM32sW4AADyCI.jpg</t>
  </si>
  <si>
    <t>وليد الغفالي</t>
  </si>
  <si>
    <t>د. نايف الوقاع: ما تقوم به عصابة الحوثي المدعومة من ايران في اليمن تعتبر جريمة حرب بكل ما تحمله من معاني.  - جمال خاشقجي #خاشقجي #ايران</t>
  </si>
  <si>
    <t>pic.twitter.com/RKDMH4re33</t>
  </si>
  <si>
    <t>Saray, Tekirdağ</t>
  </si>
  <si>
    <t>🌿GençFenerBahçeliler🌿</t>
  </si>
  <si>
    <t>عواد العوضي</t>
  </si>
  <si>
    <t>pic.twitter.com/OKIwYDCgvs</t>
  </si>
  <si>
    <t>خميس السويجي</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</si>
  <si>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#خاشقجي #ايران</t>
  </si>
  <si>
    <t>pic.twitter.com/minp2bJ5MH</t>
  </si>
  <si>
    <t>Umur Avar</t>
  </si>
  <si>
    <t>“La Galibe İllallah!” #TurkishArmy</t>
  </si>
  <si>
    <t>من يقع فى خطأ فهو إنسان ومن يصر عليه فهو شيطان</t>
  </si>
  <si>
    <t>"Şartlar değişince insanlar da değişir."</t>
  </si>
  <si>
    <t>http://instagram.com/umuravar</t>
  </si>
  <si>
    <t>عبد الرزاق القرني</t>
  </si>
  <si>
    <t>د. عدنان محمد: يٌقاتل ترامب الإيرانيين بالسلاح الذي يخشونه وليس بالسلاح الذي يُريدونه.  - جمال خاشقجي #خاشقجي #الجزيرة</t>
  </si>
  <si>
    <t>pic.twitter.com/hDF40SEn6i</t>
  </si>
  <si>
    <t>رضيت بالله ربًا وبالإسلام ديناً وبمحمداًً صلى الله عليه وسلم نبيا ورسولا</t>
  </si>
  <si>
    <t>ريان ضبيب</t>
  </si>
  <si>
    <t>pic.twitter.com/XXlzotKySo</t>
  </si>
  <si>
    <t>hugolaa</t>
  </si>
  <si>
    <t>Başladık tutmayın! #BarisPinariHarekati #BarisPinari #TurkishArmy</t>
  </si>
  <si>
    <t>SİYASETİNİZİ SİKİYİM OROSPU ÇOCUKLARI ÜLKESİ SİKTİ HERKES HERKESİN ANASINI SİKİYİM</t>
  </si>
  <si>
    <t>إسماعيل العطار</t>
  </si>
  <si>
    <t>FURKAN 🇹🇷</t>
  </si>
  <si>
    <t>ALLAHU EKBER KEBİRA! 🇹🇷 #BarışPınarıHarekatı #TurkishArmy #OperationPeaceSpring</t>
  </si>
  <si>
    <t>pic.twitter.com/DIrjqpG49J</t>
  </si>
  <si>
    <t>https://pbs.twimg.com/media/EGcMz_1WkAAa0Xc.jpg</t>
  </si>
  <si>
    <t>السلايل - السعودية</t>
  </si>
  <si>
    <t>الحياة نفق باتجاه واحـد ونهاية ذلك النفق هو المـوت</t>
  </si>
  <si>
    <t>http://www.instagram.com/furkanhoskun</t>
  </si>
  <si>
    <t>غانم الشهري</t>
  </si>
  <si>
    <t>pic.twitter.com/FbEHH6DEgQ</t>
  </si>
  <si>
    <t>Emre ♈</t>
  </si>
  <si>
    <t>#TurkishArmy #BarisPinari #BarışPınarıHarekati Eyy Amerika sen kime kafa tuttugunun farkindamisin, 7 sinden 70 ne gece gündüz PuBG oynayan bu milleti hafife alma. Askerimize yol verdi milletimiz. Dikkat et Türk Milleti Silahi eline almasin..</t>
  </si>
  <si>
    <t>جودة - السعودية</t>
  </si>
  <si>
    <t>يا رب ارزقنا اياماً جميلة كـ تلك التي نتمناها وأكثر ..!</t>
  </si>
  <si>
    <t xml:space="preserve"> Stuttgart | Kadikoy |</t>
  </si>
  <si>
    <t>#FenerBahceSK | Teacher | #Referee | BlackSeaTecnichal | Vardır Serrim veLakin kalanim Hayirdir.</t>
  </si>
  <si>
    <t>Safa Bekirhanlı</t>
  </si>
  <si>
    <t>We are coming 🐺🐺🐺🐺🐺 #TurkishArmy</t>
  </si>
  <si>
    <t>https://pbs.twimg.com/media/EGcM4CHXYAACsqi.jpg</t>
  </si>
  <si>
    <t>ناصر اليهري</t>
  </si>
  <si>
    <t>pic.twitter.com/ULWxCxLZwn</t>
  </si>
  <si>
    <t>DEÜ</t>
  </si>
  <si>
    <t>بعضهم كالأوطان قُربهم أمان وفراقهم غُربه</t>
  </si>
  <si>
    <t>Akın Altuntaş</t>
  </si>
  <si>
    <t>Sana secde eden ordularına mağlubiyet yüzü gösterme Allah'ım . Zaferle şereflendir. Ne mutlu Türk'üm Diyene 🇹🇷🇹🇷 #TurkishArmy</t>
  </si>
  <si>
    <t>https://pbs.twimg.com/media/EGcM4GRW4AEvg3q.jpg</t>
  </si>
  <si>
    <t>*Economist* *Trabzonspor💙♥️*</t>
  </si>
  <si>
    <t>Hakan Aydın</t>
  </si>
  <si>
    <t>Allah yardımcınız olsun. #BarisPinariHarekati #TurkishArmy</t>
  </si>
  <si>
    <t>Beşiktaş Yetiyor.</t>
  </si>
  <si>
    <t>Canlı Oku Spor</t>
  </si>
  <si>
    <t>Allah yar ve yardımcıları olsun. #BarışPınarıHarekatı #BarisPinari #TurkishArmy</t>
  </si>
  <si>
    <t>Süper Lig TFF 1. Lig 2. Lig 3. Lig, BAL Türkiye Kupası, Premier Lig La Liga Bundesliga Serie A Ligue 1 @canlioku http://facebook.com/canliokuspor http://instagram.com/canliokuspor</t>
  </si>
  <si>
    <t>http://www.canlioku.com</t>
  </si>
  <si>
    <t>Can Dada</t>
  </si>
  <si>
    <t>Allah yardımcınız olsun. 🇹🇷🇹🇷🇹🇷 #BarışPınarıHarekatı #TurkishArmy</t>
  </si>
  <si>
    <t>https://pbs.twimg.com/media/EGcM2yLWoAEjjmW.jpg</t>
  </si>
  <si>
    <t>Ordu, Türkiye</t>
  </si>
  <si>
    <t>akar zaman, yakar zaman</t>
  </si>
  <si>
    <t>seda yeşilgül</t>
  </si>
  <si>
    <t>#TurkishArmy Sandılar Türk uyudu, Ata cenge buyurdu, Türk'ün asker olduğunu Dünyalara duyurdu.</t>
  </si>
  <si>
    <t>https://pbs.twimg.com/media/EGcM27uXkAEbUaU.jpg</t>
  </si>
  <si>
    <t>yiyip yiyip doymayanlar derneği kurucu başkanı</t>
  </si>
  <si>
    <t>Battalgazi'nin Sesi</t>
  </si>
  <si>
    <t>Turk ordusu vefadir 🇹🇷 Turk ordusu sereftir 🇹🇷 Turk ordusu beklenendir 🇹🇷 Turk ordusu merhamettir 🇹🇷 #TurkishArmy #BarisPinariHarekati</t>
  </si>
  <si>
    <t>https://pbs.twimg.com/media/EGcM2ueX0AAfYjp.jpg</t>
  </si>
  <si>
    <t>Hakliysan korkma! Hakk seni korur. |Hz. Ali |Sahsi ve tek hesabimdir 🇹🇷</t>
  </si>
  <si>
    <t>YunusEmre Demirci</t>
  </si>
  <si>
    <t>Allah Türk'ü korusun ve yüceltsin 🙏 #TurkishArmy</t>
  </si>
  <si>
    <t xml:space="preserve">Adnan Menderes Üniversitesi </t>
  </si>
  <si>
    <t>Aktepe Sigorta Acentesi / Müdürr 😎 ANKARA</t>
  </si>
  <si>
    <t>https://www.facebook.com/yemrede</t>
  </si>
  <si>
    <t>معجب معتبي</t>
  </si>
  <si>
    <t>تقرير: الجبير : التهدئة لا تنفع مع إيران ونعمل للتوصل إلى خيار دولي للتعامل معها  - جمال خاشقجي #خاشقجي #الاخوان</t>
  </si>
  <si>
    <t>pic.twitter.com/vl9w7v1dXK</t>
  </si>
  <si>
    <t>Allah sizleri korusun yiğitler. #TurkishArmy</t>
  </si>
  <si>
    <t>https://pbs.twimg.com/media/EGcM1v2X0AEq32H.jpg</t>
  </si>
  <si>
    <t>عادي العنبري</t>
  </si>
  <si>
    <t>محلل قناة ٢٤ سعودي الفضائية د. عمر عبدالستار في نيران ايران : من الوارد أن تتعرض إحدى منشآت إيران النووية إلى ضربة أمريكية  #ايران #JamalKhashoggi</t>
  </si>
  <si>
    <t>~~~İSTANBUL~~~</t>
  </si>
  <si>
    <t>ÜÜ👨🏼‍🎓 TRABZONSPOR 🖤</t>
  </si>
  <si>
    <t>pic.twitter.com/w7yLr0zzp7</t>
  </si>
  <si>
    <t>Stephanie Lowder</t>
  </si>
  <si>
    <t>@NikkiHaley Why did you @NikkiHaley resign the day after journalist #JamalKhashoggi was cut into suitcase-size pieces on the order of Saudis?</t>
  </si>
  <si>
    <t>Hendersonville NC</t>
  </si>
  <si>
    <t>1 day, the horrorman in our White House will be gone — 🌱We will reclaim kindness, truth, reason, clean air/water, laughter, wildflowers, songbirds . 1 day☀️</t>
  </si>
  <si>
    <t>HASAN</t>
  </si>
  <si>
    <t>Türk beklenendir.🇹🇷 #BarışPınarıHarekatı #TurkishArmy</t>
  </si>
  <si>
    <t>زين النايف</t>
  </si>
  <si>
    <t>https://pbs.twimg.com/media/EGcM1c6XkAASBhB.jpg</t>
  </si>
  <si>
    <t>pic.twitter.com/LpsseV8qLe</t>
  </si>
  <si>
    <t>Eray Kaygusuz</t>
  </si>
  <si>
    <t>خليف الزياني</t>
  </si>
  <si>
    <t>#TurkishArmy ABD P*çlerini Gelip Alsana #BarisPinariHarekati</t>
  </si>
  <si>
    <t>د. محمد الحلفي – باحث في التاريخ الحديث: لا يمكن لـ قناة الجزيرة ان تُذيع ولو حلقة واحدة عما يجري في الداخل القطري.  #خاشقجي #قطر</t>
  </si>
  <si>
    <t>pic.twitter.com/I1KVnsO7Z8</t>
  </si>
  <si>
    <t>Sinan Oğan</t>
  </si>
  <si>
    <t>Bugün başlayan #BarışPınarıHarekati için bölgeden detaylı bilgiler veren Suriye Türkmenlerinin de sesi olan @SuriyeTurkleri hesabını takip etmenizi öneririm. @TakipOnerimiz 👉 @SuriyeTurkleri  #TurkishArmyRT @SuriyeTurkleri: PKK/YPG'nin Resulayn bölgesinde yerleştikleri mevzileri TSK'nın Hava Kuvvetleri ve Türkiye sınırındaki topçu birlikleri tarafından imha harekatıyla #BarışPınarıHarekatı başladı. Milli Ordu ile beraber Türkmen Güçleri de harekata hazır... #TurkishArmy #BarisPinari</t>
  </si>
  <si>
    <t>أحمد مخارش</t>
  </si>
  <si>
    <t>https://twitter.com/SuriyeTurkleri/status/1181922976834506754?s=20</t>
  </si>
  <si>
    <t>محلل قناة ٢٤ سعودي الفضائية ا. يوسف علاونه في الحقيقة :التلاقي في الأهداف بين الترك و الفرس هو تدمير العرب أو إضعاف العرب لصالح المشروعين الإيراني والتركي  - جمال خاشقجي #JamalKhashoggi #ايران</t>
  </si>
  <si>
    <t>pic.twitter.com/Fvs36IZzcP</t>
  </si>
  <si>
    <t>https://pbs.twimg.com/media/EGcIriVXkAARwHH.jpg</t>
  </si>
  <si>
    <t>الزلفي - السعودية</t>
  </si>
  <si>
    <t>غالب الفراج</t>
  </si>
  <si>
    <t>#OAnGeliyor ϜϓſϞ 🇹🇷http://instagram.com/DrSinanOgan http://Facebook.com/DrSinanOgan</t>
  </si>
  <si>
    <t>pic.twitter.com/zzG3hyy8a2</t>
  </si>
  <si>
    <t>http://www.sinanogan.com</t>
  </si>
  <si>
    <t>أعز مانملك .. تراب الوطن الطاهر، ان لم نمت من أجله فلا حياة لنا</t>
  </si>
  <si>
    <t>Azra’</t>
  </si>
  <si>
    <t>Herkes elinden geleni yapıyor,biz de duâ, dualarımız Mehmetçiklere ve Türkiye'ye Allah'ın görünmez Ordu'ları hep yanınızda olsun .. Bismillâhîrrâhmânîrrâhîm .. 🇹🇷🇹🇷🇹🇷 #BarisPinari #TurkishArmy</t>
  </si>
  <si>
    <t>The Angry Democrat</t>
  </si>
  <si>
    <t>“Disgusting?” “Grotesque?” You called #JamalKhashoggi’s murder “disrespectful” to @realDonaldTrump, and promised that Congress would do something about it () How’d that work out? Stay in your lane, you ignorant fuck. RT @marcorubio: .@NBA is throwing the GM of @HoustonRockets under the bus to please the Communist Chinese Govt. Disgusting. They allow #China to punish a U.S. citizen for free speech in order to protect NBA’s market access in China. Grotesque</t>
  </si>
  <si>
    <t>https://www.businessinsider.com/marco-rubio-saudi-arabia-jamal-khashoggi-congressional-response-2018-10
https://twitter.com/marcorubio/status/1181173981422014464
https://www.wsj.com/articles/the-nba-feels-a-backlash-in-china-after-a-tweet-supporting-hong-kong-11570396236?redirect=amp#click=https://t.co/uh5BMC591q</t>
  </si>
  <si>
    <t>"Power attracts the corruptible" - Frank Herbert Follow on Facebook: http://www.facebook.com/pages/Angry-Dem/116582765084810</t>
  </si>
  <si>
    <t>http://www.angrydem.com</t>
  </si>
  <si>
    <t>‏فاتيه</t>
  </si>
  <si>
    <t>Az Huzur💚Sen içimde kalandın, ben de sustum.. #Akrep Ses'sizlik d'okunur .. #Azra 🇹🇷</t>
  </si>
  <si>
    <t>Angel Hall☘️</t>
  </si>
  <si>
    <t>@JuliaDavisNews @littlesueellis @TimesofIsrael Just like #JamalKhashoggi s blood is on MBS, trump &amp; Jared’s hands!! This is sickening!! Trump must go!</t>
  </si>
  <si>
    <t>PNW</t>
  </si>
  <si>
    <t>Apparel &amp; Jewelry designer/Maker| We need humanity back! |Kind| loving woman|Coexist!🤷‍♀️ support small businesses see my Etsy. 😉</t>
  </si>
  <si>
    <t>https://etsy.me/2ZgSR1H</t>
  </si>
  <si>
    <t>Voni Kay</t>
  </si>
  <si>
    <t>We all know why Dotard abandoned the Kurds. He is being blackmailed by Turkey. They have the #JamalKhashoggi tapes and dotard &amp; Kushner knew about the murder before it happened. #hardball</t>
  </si>
  <si>
    <t>Grand Rapids, MI</t>
  </si>
  <si>
    <t>My tweets are mine</t>
  </si>
  <si>
    <t>ﺍﺣﻤﺪ ﺍﻝ ﺯﺍﻣﻞ</t>
  </si>
  <si>
    <t>أ. خالد النزر : أين الإعلام القطري من الفضائح التي تحدث داخل قطر  #خاشقجي #ايران</t>
  </si>
  <si>
    <t>pic.twitter.com/V9ugFquIh7</t>
  </si>
  <si>
    <t>Ahmet Sevinç Dikmen 𐱅𐰼𐰇𐰰</t>
  </si>
  <si>
    <t>Biz geldik annelerinizin entarileri Hazır mı? Şanlı ordumuzun allah yar ve yardımcısı olsun #TurkishArmy</t>
  </si>
  <si>
    <t>#Türk 𐱅𐰼𐰇𐰰</t>
  </si>
  <si>
    <t>natalie 🇺🇸</t>
  </si>
  <si>
    <t>@kurteichenwald @LindseyGrahamSC @senatemajldr @GOPLeader @marcorubio @GOP @HouseGOP @SenateGOP Lets not forget about #JamalKhashoggi either.</t>
  </si>
  <si>
    <t>Toprak</t>
  </si>
  <si>
    <t>Kahraman #TurkishArmy #BarışPınarıHarekati'nı başlattı.</t>
  </si>
  <si>
    <t>Born in Appalachia; Lives in California #resist #notmypresident loves smocking and long walks in the forest</t>
  </si>
  <si>
    <t>احمد الدهماني</t>
  </si>
  <si>
    <t>د. عبدالرحمن العناد : الوضع الإقتصادي في تركيا متدهور ومن المتوقع أن يزداد تدهوره وهذا دليل على سوء السياسات الاقتصادية التي يتبعها اردوغان .  - جمال خاشقجي #ايران #JamalKhashoggi</t>
  </si>
  <si>
    <t>pic.twitter.com/5Q7yJjkiQj</t>
  </si>
  <si>
    <t>Fatih PEKDOĞAN</t>
  </si>
  <si>
    <t>Atışlarınızı EGE den hissettik, Yer Gök Titriyor Allah Yar ve Yardımcınız Olsun şanlı Mehmetcik... NE MUTLU TÜRK'ÜM DİYENE #TurkishArmy #BarisPinari #BarisPinariHarekati #Deprem</t>
  </si>
  <si>
    <t>وللموتُ خيرٌ للفتى من حياتِه … إِذا لم يثبتْ للأمرِ أِلا بقائدِ</t>
  </si>
  <si>
    <t>İzmir, Türkiye    KIRIKKALE</t>
  </si>
  <si>
    <t>Ne Mutlu ϜϓſϞ’üm Diyene!.. #MHP</t>
  </si>
  <si>
    <t>http://Instagram.com/fthpekdogan</t>
  </si>
  <si>
    <t>dilekuçarışıktaş</t>
  </si>
  <si>
    <t>Allah yar ve yardımcınız olsun.. Fırtınalar dursun yana yol ver Türk’ün Bayrağına ..#TurkishArmy</t>
  </si>
  <si>
    <t>https://pbs.twimg.com/media/EGcMyXZX0AEYCgV.jpg</t>
  </si>
  <si>
    <t>غسان غسان</t>
  </si>
  <si>
    <t>د. محمد الحلفي – باحث في التاريخ الحديث: لا يمكن لـ قناة الجزيرة ان تُذيع ولو حلقة واحدة عما يجري في الداخل القطري.  #خاشقجي #الجزيرة</t>
  </si>
  <si>
    <t>pic.twitter.com/8nTohOg6Gs</t>
  </si>
  <si>
    <t>İnsanla hayvan arasındaki fark edeptir.</t>
  </si>
  <si>
    <t>Barış Hızalan</t>
  </si>
  <si>
    <t>- إذا نظرت بعين التفاؤل إلى الوجود، لرأيت الجمال شائعاً في كل ذراته. مصطفى السباعي</t>
  </si>
  <si>
    <t>https://pbs.twimg.com/media/EGcMxkXWkAAr9BC.jpg</t>
  </si>
  <si>
    <t xml:space="preserve"> محمد الشهري</t>
  </si>
  <si>
    <t>pic.twitter.com/7Uz3cZuTom</t>
  </si>
  <si>
    <t>Acemi Yatırımcı #borsa #kripto</t>
  </si>
  <si>
    <t>https://www.binance.com/?ref=16807159</t>
  </si>
  <si>
    <t>muhammet oztoprak</t>
  </si>
  <si>
    <t>#BarisPinariHarekati #TurkishArmy #carsamba</t>
  </si>
  <si>
    <t>https://pbs.twimg.com/media/EGcMxDXW4AUEVbv.jpg</t>
  </si>
  <si>
    <t>GANAVUR 🇹🇷 🇹🇷</t>
  </si>
  <si>
    <t>Ahmet kilic</t>
  </si>
  <si>
    <t>https://pbs.twimg.com/media/EGcMwlFXUAAZNB7.jpg</t>
  </si>
  <si>
    <t>ALLAH OL DER VE OLUR</t>
  </si>
  <si>
    <t>ﻋﺒﺪﺍﻟﻌﺰﻳﺰ ﻋﺎﻳﺾ</t>
  </si>
  <si>
    <t>pic.twitter.com/Ma8E3LrFyb</t>
  </si>
  <si>
    <t>Gokhan Malçok</t>
  </si>
  <si>
    <t>Allah yardimcimiz olsun. Sizinleyiz #TurkishArmy</t>
  </si>
  <si>
    <t>Vedanta</t>
  </si>
  <si>
    <t>#TurkishArmy RT @TTAgrup: Muhtaç olduğun kudret, damarlarındaki asil kanda mevcuttur!</t>
  </si>
  <si>
    <t>⚫ Herre_Mörker</t>
  </si>
  <si>
    <t>@mannaknews Another factor of course, #JamalKhashoggi RT @artisteboy: The Kurdish people have been sold off for #Erdogan silence on #JamalKhashoggi. I can't possibly express my disgust strongly enough.</t>
  </si>
  <si>
    <t>https://twitter.com/ttagrup/status/1181686227076096010</t>
  </si>
  <si>
    <t>https://twitter.com/artisteboy/status/1181348741464375298
https://twitter.com/HerreMorker/status/1181313733160837120</t>
  </si>
  <si>
    <t>https://pbs.twimg.com/media/EGYxWh8W4AAzc1B.jpg</t>
  </si>
  <si>
    <t xml:space="preserve">West Yorkshire &amp; Sweden </t>
  </si>
  <si>
    <t>Ratty, sides with Underdog, sometimes Crabby. Female</t>
  </si>
  <si>
    <t xml:space="preserve"> ﻋﻤﺮﺍﻥ ﺍﻟﺼﺎﻋﺪﻱ</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</si>
  <si>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#تركيا</t>
  </si>
  <si>
    <t>pic.twitter.com/La5Omv48ir</t>
  </si>
  <si>
    <t>Olumsuz düşünceleri zihinsel canavarlar halini almadan önce yok edin !!!</t>
  </si>
  <si>
    <t>DARKNESS BİLGİ</t>
  </si>
  <si>
    <t>Dünya Türk'ün gücünü izliyor. BAŞLADIK! #TurkishArmy 🇹🇷</t>
  </si>
  <si>
    <t>https://pbs.twimg.com/media/EGcMwx9XoAAH8rs.jpg</t>
  </si>
  <si>
    <t xml:space="preserve"> عباس آل عاشور</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</si>
  <si>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#ايران</t>
  </si>
  <si>
    <t>pic.twitter.com/wsx6OTpwbb</t>
  </si>
  <si>
    <t>Termal GazZ</t>
  </si>
  <si>
    <t>#BarışPınarı #BarisPinariHarekati #TurkishArmy Allah Utandırmasın , Allah Yardımcımız olsun , Gafil olanlarla yanyana getirmesin hepimizi böyle mevzuların sağı solu ortası olmaz , Saygılarımla....</t>
  </si>
  <si>
    <t xml:space="preserve">  صقر  العمري</t>
  </si>
  <si>
    <t>pic.twitter.com/1a9zvZJMv2</t>
  </si>
  <si>
    <t>Akıllı olan mutlu olmuyor , mutlu olan akıllı olmuyor tercih senin ...!</t>
  </si>
  <si>
    <t>Menekşe Yıldırım</t>
  </si>
  <si>
    <t>#BarisPinari #TurkishArmy RT @omaxsah: Ne güzel de demiş..: Siz Bizi Çanakkale den iyi tanırsınız.. Rabbim Benzersiz ve Kahraman Ordumuzu Muzaffer eylesin.. Ayaklarına taş değdirmesin... 🤲🤲🤲🇹🇷🇹🇷🇹🇷🇹🇷🇹🇷🇹🇷🇹🇷 #BarisPinari #BarisPinariHarekati #TurkishArmy #GazamızMübarekOlsun</t>
  </si>
  <si>
    <t>https://twitter.com/omaxsah/status/1181927095955578885</t>
  </si>
  <si>
    <t xml:space="preserve"> خالد  الدوسري</t>
  </si>
  <si>
    <t>أ. نايف الحربي: إعلامي وكاتب صحفي: قطر تريد أن تشق الصف العربي والإسلامي .  - جمال خاشقجي #JamalKhashoggi #الجزيرة</t>
  </si>
  <si>
    <t>pic.twitter.com/YjcDJ1Tqm3</t>
  </si>
  <si>
    <t>🇹🇷🇹🇷🇹🇷⚡⚡⚡</t>
  </si>
  <si>
    <t>TGB Işık</t>
  </si>
  <si>
    <t>https://pbs.twimg.com/media/EGcMgVWWoAEYbgr.jpg</t>
  </si>
  <si>
    <t>Loreena</t>
  </si>
  <si>
    <t>@ahmed @LoujainHathloul @Telegraph Oh Boy!!!!! What about all the executions? #JamalKhashoggi death? 😢</t>
  </si>
  <si>
    <t>Syria is in my heart ImWhoIam #Freedom #HumanRights #FreeSpeech</t>
  </si>
  <si>
    <t>Türkiye Gençlik Birliği (TGB) - Işık Üniversitesi Birimi</t>
  </si>
  <si>
    <t>ONUR</t>
  </si>
  <si>
    <t>pic.twitter.com/BMaVHR671f</t>
  </si>
  <si>
    <t>new account</t>
  </si>
  <si>
    <t xml:space="preserve"> سليم الدغيثر </t>
  </si>
  <si>
    <t>HNas</t>
  </si>
  <si>
    <t>Allahu ekber #TurkishArmy</t>
  </si>
  <si>
    <t>pic.twitter.com/UYA20deT0Y</t>
  </si>
  <si>
    <t>Ümit Danagöz</t>
  </si>
  <si>
    <t>Yürekleri Titrete Titrede Giriyoruz... #BarisPinariHarekati #TurkishArmy #TurkeyIsNotOurFriend</t>
  </si>
  <si>
    <t>https://pbs.twimg.com/media/EGcMvWHXkAAHwq1.jpg</t>
  </si>
  <si>
    <t>يحيى ابراهيم</t>
  </si>
  <si>
    <t>pic.twitter.com/lOIPgHb4z2</t>
  </si>
  <si>
    <t>Güngören, İstanbul</t>
  </si>
  <si>
    <t>“İ’lay-ı kelimetullah ve nizam-ı alem ☝️🇹🇷☝️🇹🇷</t>
  </si>
  <si>
    <t>Muhammed Çiftçi</t>
  </si>
  <si>
    <t>Şu kopan fırtına Türk ordusudur yâ Rabbi. Senin uğrunda ölen ordu, budur yâ Rabbi. Tâ ki yükselsin ezanlarla müeyyed nâmın, Galip et, çünkü bu son ordusudur İslâm'ın! #TurkishArmy #BarışPınarıHarekatı</t>
  </si>
  <si>
    <t>https://pbs.twimg.com/media/EGcMu9fWoAAYFkR.jpg</t>
  </si>
  <si>
    <t xml:space="preserve"> دخيل آل دخيل</t>
  </si>
  <si>
    <t>اللواء المتقاعد د. زايد العمري: خبير استراتيجي ومحلل سياسي: سيكون هناك دول ستلحق بـ فرنسا قريباً وستوقف قطر وجمعيتها التي ظاهرها الرحمة وباطنها العذاب .  - جمال خاشقجي #JamalKhashoggi #ايران</t>
  </si>
  <si>
    <t>pic.twitter.com/ezSgbU8A9I</t>
  </si>
  <si>
    <t>MAVI JEANS</t>
  </si>
  <si>
    <t>Feridun Karaoglu</t>
  </si>
  <si>
    <t>@RTErdogan Allah yar ve yardımcımız olsun. Rabbim tüm askerlerimizi korusun #TurkishArmy</t>
  </si>
  <si>
    <t>Beşiktaşlı Freddy🦅</t>
  </si>
  <si>
    <t>Bir Gece Ansızın Gelebiliriz Dediler GELDİLER 🇹🇷 #TurkishArmy 🦅</t>
  </si>
  <si>
    <t>pic.twitter.com/AHV0z0c8mC</t>
  </si>
  <si>
    <t>Elm,Sokağı</t>
  </si>
  <si>
    <t>-Gazi Mustafa Kemal #ATATÜRK🇹🇷 @Besiktas 🦅</t>
  </si>
  <si>
    <t>YASİN ⭐️⭐️⭐️</t>
  </si>
  <si>
    <t>Vur Mehmet’im Vur 🇹🇷#TurkishArmy</t>
  </si>
  <si>
    <t>Türk’üz , Türk’çüyüz /Beşiktaş JK</t>
  </si>
  <si>
    <t>Muhammad Javed</t>
  </si>
  <si>
    <t>Turkey 🇹🇷 we are wd ur back 🔙... Our prays for u... #SyriaWithdrawal #TurkishArmy @ElifEmiite</t>
  </si>
  <si>
    <t>pic.twitter.com/jB9j9IimwW</t>
  </si>
  <si>
    <t>Naaa laiq☺️</t>
  </si>
  <si>
    <t>SEZER</t>
  </si>
  <si>
    <t>https://pbs.twimg.com/media/EGcMtxtXUAIxYOX.jpg</t>
  </si>
  <si>
    <t>| | CBU [YAŞIYORUM BEŞIKTAŞ'IM INAN SENI]</t>
  </si>
  <si>
    <t>Fatmanur Çelik</t>
  </si>
  <si>
    <t>İnnâ fetahnâ leke fethan mubînâ. Allah yar ve yardımcınız olsun. #BarisPinariHarekati #TurkishArmy</t>
  </si>
  <si>
    <t>https://pbs.twimg.com/media/EGcMttrWsAABrg-.jpg</t>
  </si>
  <si>
    <t>CİMBOM💛❤️</t>
  </si>
  <si>
    <t>KAHVECİ</t>
  </si>
  <si>
    <t>Allah cc. Yar ve yardımcımız olsun. #BarışPınarıHarekatı #TurkishArmy #BarışPınarı</t>
  </si>
  <si>
    <t>https://pbs.twimg.com/media/EGcLoA_XkAAPxjK.jpg</t>
  </si>
  <si>
    <t xml:space="preserve">   عايض الامامي</t>
  </si>
  <si>
    <t>العميد متقاعد. حسن الشهري: قناة الجزيرة لا تنقل خير قط وتقوم ببث الطائفية والكراهية  - جمال خاشقجي #ايران #خاشقجي</t>
  </si>
  <si>
    <t>pic.twitter.com/mNF1kb8Jhk</t>
  </si>
  <si>
    <t>#Büyükdoğu #Ak</t>
  </si>
  <si>
    <t>🇹🇷🇹🇷Bir Gece Ansızın🇹🇷🇹🇷</t>
  </si>
  <si>
    <t>Şanlı Ordumuz Operasyona başladı. Sefer sizden Zafer Rabbim'den inşAllah Allah'ım ayağınıza taş değdirmesin Muvaffak eylesin hepinizi Aslanlar 🇹🇷 #TurkishArmy #BarışPınarıHarekatı</t>
  </si>
  <si>
    <t>راشد فيصل</t>
  </si>
  <si>
    <t>https://pbs.twimg.com/media/EGcMswWWsAcHxuu.jpg</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</si>
  <si>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#الجزيرة</t>
  </si>
  <si>
    <t>pic.twitter.com/E1MMgfrF9E</t>
  </si>
  <si>
    <t>Ömer Bilen</t>
  </si>
  <si>
    <t>Bu ordu Türk Ordusu Yarabbi, Yolunu açık et, Ayaklarına taş değdirme. Atılan Bombalar kafalarına düşsün.. Sıkılan mermiler ağızlarının içine gelsin... #TurkishArmy #BarisPinari #BarışPınarıHarekati</t>
  </si>
  <si>
    <t xml:space="preserve"> ﻧﺎﻳﻒ ﻋﺒﺪﺍﻟﻌﺰﻳﺰ ‏ </t>
  </si>
  <si>
    <t>محلل قناة ٢٤ سعودي ا. يوسف علاونه في الحقيقة :قناة الجزيرة انكشفت وأصحبت مجرد منبراً يضحك الناس عليها بسبب الفتن السخيفة التي تحاول إثارتها بين الشعوب العربية بحسب التوجيهات الصادرة لِما يسمى المخابرات القطرية  #خاشقجي #ايران</t>
  </si>
  <si>
    <t>pic.twitter.com/q3JABRbGJf</t>
  </si>
  <si>
    <t>Makine Mühendisi</t>
  </si>
  <si>
    <t>عبدالواحد ال نصرالله</t>
  </si>
  <si>
    <t>اتصال هاتفي من: أ. محمد الحلفي – محلل سياسي – الرياض. عندما انكشف مُخطط قناة الجزيرة بدأ الظهور لأذرعها الإعلامية لتبث سمومها في المنطقة وخصوصاً ضد المملكة  - جمال خاشقجي #JamalKhashoggi #الجزيرة</t>
  </si>
  <si>
    <t>#cypheus</t>
  </si>
  <si>
    <t>Allah askerimizin yardımcısı olsun 🙏🏻#BarisPinari #BarışPınarıHarekati #TurkishArmy</t>
  </si>
  <si>
    <t>pic.twitter.com/B1qmLjqzdq</t>
  </si>
  <si>
    <t>yiğit</t>
  </si>
  <si>
    <t>TC erkeklerine kimin ne dediği umrumda değil. Eğer söz konusu vatansa bu çocukların damarına basmayacaksınız. Allah yardımcımız olsun. #TurkishArmy 🇹🇷</t>
  </si>
  <si>
    <t>http://curiouscat.me/wornlives</t>
  </si>
  <si>
    <t xml:space="preserve"> نايف  الزهراني </t>
  </si>
  <si>
    <t>العميد متقاعد. حسن الشهري: قناة الجزيرة تستهدف الشعب السعودي منذ عام 96 وعندما فشلت انتقلت إلى صف الأعداء .  - جمال خاشقجي #JamalKhashoggi #ايران</t>
  </si>
  <si>
    <t>pic.twitter.com/O8ShwObkmi</t>
  </si>
  <si>
    <t>Anlayana Yazıyor Anlamayana...</t>
  </si>
  <si>
    <t>RABBİM ayağınıza taş değdirmesin Rabbim yâr yardımcınız olsun sen muzaffer eğle ya râb..... 🤲🏻🙏🏻🇹🇷 @TSKGnkur @jandarma #BarisPinariHarekati #TurkishArmy</t>
  </si>
  <si>
    <t>Dünyanın merkezi 🇹🇷</t>
  </si>
  <si>
    <t>🇹🇷🧔🏻 Güldürürken düşündüren 🧐.. Burada aklıma gelenleri yazıyorum ...🤨</t>
  </si>
  <si>
    <t>İsmail Damat</t>
  </si>
  <si>
    <t>Türk Silahlı Kuvvetleri'miz Suriye Milli Ordusu'yla birlikte Suriye'nin kuzeyinde PKK/YPG ve Deaş terör örgütlerine karşı #BarışPınarıHarekatı'nı başlatmıştır. ALLAH kahraman askerimizi korusun. #TurkishArmy #TürkMilletiOrdusununYanında</t>
  </si>
  <si>
    <t>Avukat&amp;Arabulucu / İÜHF Mezunu // Ak Parti Beylikdüzü (2016-2018) İlçe Başkanı</t>
  </si>
  <si>
    <t>http://instagram.com/av.ismaildamat</t>
  </si>
  <si>
    <t xml:space="preserve"> مساعد عواد</t>
  </si>
  <si>
    <t>أ. نايف الحربي: إعلامي وكاتب صحفي : لايزال سلوك ايران عدواني  - جمال خاشقجي #خاشقجي #ايران</t>
  </si>
  <si>
    <t>pic.twitter.com/jb1vundsG2</t>
  </si>
  <si>
    <t>Genç Beyin Dergisi</t>
  </si>
  <si>
    <t>🇹🇷🔽ÖĞLENİ KILDIN MI? (GENÇ BEYİN ANLATILMAZ, DOYA DOYA OKUNUR! 17 yıldaki TÜM SAYILARI (132) iste: 02125339700  #BarışPınarıHarekati #BarisPinari #TurkishArmy #EmineBulut #CheGuevara Tevfik Göksu #DMDduyulsundiye #sağlıkyönetimineatamaşart Muzaffer Avazyan</t>
  </si>
  <si>
    <t>http://GencBeyin.org</t>
  </si>
  <si>
    <t>https://pbs.twimg.com/media/EGcMdwGWoAAh2CY.png</t>
  </si>
  <si>
    <t>knuckles67</t>
  </si>
  <si>
    <t>@a_fly_guy Erdogan knows that trump gave the okay to have #JamalKhashoggi murdered.</t>
  </si>
  <si>
    <t>Genç Beyin Türkiye'nin en çok SATILAN ve OKUNAN kişisel gelişim dergisi. 132. sayımız BÜTÜN BAYİLERDE! Daha fazla şey kaçırmadan MUTLAKA TANIŞIN! 0212 533 97 00</t>
  </si>
  <si>
    <t>http://www.GencBeyin.org</t>
  </si>
  <si>
    <t>Washington, USA</t>
  </si>
  <si>
    <t>Any day above dirt is a good one! I'm in it for the long haul! 🐼 #TheResistance #Resist #ImpeachTrumpNow #VoteBlueNoMatterWho 🌊🌊🌊🌊 No DMs</t>
  </si>
  <si>
    <t>علي الزهراني</t>
  </si>
  <si>
    <t>حصريا..ادم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#خاشقجي #الجزيرة</t>
  </si>
  <si>
    <t>pic.twitter.com/vyKXs7UNqA</t>
  </si>
  <si>
    <t>pic.twitter.com/Ma6sBun2NR</t>
  </si>
  <si>
    <t>عبدالله العريفي</t>
  </si>
  <si>
    <t>عاجل ومهم: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#الجزيرة</t>
  </si>
  <si>
    <t>İrfan AKIN</t>
  </si>
  <si>
    <t>#TurkishArmy Allah ordumuzu ve tüm mazlumları korusun. Türkün töresinde ordu sefere çıktı mı millet yek vücut olur. Bu Çanakkalede de böyle oldu viyana kapısında da...</t>
  </si>
  <si>
    <t>pic.twitter.com/maoV8i5lLs</t>
  </si>
  <si>
    <t>Çanakkale, Türkiye</t>
  </si>
  <si>
    <t>Psikolojik Danışman, Eğitim ve Tercih Danışmanı</t>
  </si>
  <si>
    <t>http://www.psikolojidanismanim.wordpress.com</t>
  </si>
  <si>
    <t>Caeruleus</t>
  </si>
  <si>
    <t>Run Heval Run çok yakında sinemalarda #BarışPınarıHarekati #BarisPinari #TurkishArmy #OperationPeaceSpring</t>
  </si>
  <si>
    <t>Brand new #artist #Archery #Kickbox #Basketball and #Motorsports lover. @trabzonspor fan. #Art #Photography #Programming #Solidworks #Autocad #Cars</t>
  </si>
  <si>
    <t>Veysel Ali ☇</t>
  </si>
  <si>
    <t>Tâ ki yükselsin ezanlarla müeyyed nâmın, Galip et, çünkü bu son ordusudur İslâm'ın! #TurkishArmy #BarışPınarıHarekatı</t>
  </si>
  <si>
    <t>https://pbs.twimg.com/media/EGcMph9X0AEsChS.jpg</t>
  </si>
  <si>
    <t>Ak Parti Yomra Gençlik Kolları Başkan Yardımcısı/Tanıtım Medya Birim Başkanı.. Güleryüz, Samimiyet, Dava Bilinci.. Ktü İnşaat</t>
  </si>
  <si>
    <t>http://instagram.com/veysellali/</t>
  </si>
  <si>
    <t>Ege Aşık</t>
  </si>
  <si>
    <t>#TurkishArmy #BarışPınarıHarekatı Taşında gözü olanın, yurduna mezar kazacağız!</t>
  </si>
  <si>
    <t>https://pbs.twimg.com/media/EGcMpyBW4AEjud8.jpg</t>
  </si>
  <si>
    <t>Saray/Tekirdağ</t>
  </si>
  <si>
    <t>dert insana yol gösterir</t>
  </si>
  <si>
    <t>Make Me Aware</t>
  </si>
  <si>
    <t>BREAKING: SDF spokesman @mustefabali said Turkish warplanes had started carrying out airstrikes in northeastern Syria. @AJEnglish #TurkeyKurds #TurkishArmy #SyriaWithdrawal #SyriaCrisis #MakeMeAware</t>
  </si>
  <si>
    <t>https://www.aljazeera.com/news/2019/10/turkey-syria-border-latest-updates-191008131745495.html</t>
  </si>
  <si>
    <t>Embracing change, provoking thought and empowering the next generation.</t>
  </si>
  <si>
    <t>http://www.makemeaware.com</t>
  </si>
  <si>
    <t>ç𝓪ğ𝓪𝓽𝓪𝔂</t>
  </si>
  <si>
    <t>Allah Allah illâllah baş unyan, sine püryan, kılıç al kan bu meydanda nice başlar kesilir hiç olmaz soran eyvallah, eyvallah üçler, yediler, kırklar gülbangi muhammedî, nûri nehî, keremi ali pirimiz hünkârımız hacı bektaşı velî demine, devrânına hu diyelim!. huuu!. #TurkishArmy</t>
  </si>
  <si>
    <t>kale-i sultaniye</t>
  </si>
  <si>
    <t>𝕺𝖐𝖚𝖞𝖚𝖓, 𝖉𝖎𝖞𝖔𝖗 𝖔𝖐𝖚𝖞𝖚𝖓. 𝕮𝖚𝖓𝖐𝖚 𝖒𝖚𝖗𝖊𝖐𝖐𝖊𝖇𝖎𝖓 𝖆𝖐𝖒𝖆𝖉𝖎𝖌𝖎 𝖞𝖊𝖗𝖉𝖊 𝖐𝖆𝖓 𝖆𝖐𝖎𝖞𝖔𝖗... ✒️ medieval expert</t>
  </si>
  <si>
    <t>MaaB¹⁹⁰⁷</t>
  </si>
  <si>
    <t>#Tuerksilahlıkuvvetleri #TurkishArmy</t>
  </si>
  <si>
    <t>https://pbs.twimg.com/media/EGcMofwXkAM-zEq.jpg</t>
  </si>
  <si>
    <t>د. محمد الحلفي : باحث في التاريخ الحديث : المنبوذين من بلدانهم فقط هم من تجدهم في منصة قناة الجزيرة  #ايران #JamalKhashoggi</t>
  </si>
  <si>
    <t>pic.twitter.com/P0SIDBzhea</t>
  </si>
  <si>
    <t xml:space="preserve">   زيد المطيرى</t>
  </si>
  <si>
    <t>د. محمد العوين : الحكومة القطرية ليس لها أي توجه إسلامي فهي لديها شعور بالضآلة وهو ما أوصلها للحقد والكراهية نحو المملكة .  - جمال خاشقجي #JamalKhashoggi #قطر</t>
  </si>
  <si>
    <t>pic.twitter.com/LZxtCDb1cl</t>
  </si>
  <si>
    <t>ﻣﺤﻤﺪ ﺍﻝ ﺳﺎﺑﺮ</t>
  </si>
  <si>
    <t>أ. نايف الحربي: إعلامي وكاتب صحفي: جماعة الأخوان الإرهابية هي من تسيطر على الإعلام القطري وهي من تدعمهم بالتقارير المزيفة .  - جمال خاشقجي #JamalKhashoggi #ايران</t>
  </si>
  <si>
    <t>pic.twitter.com/ZNRod7t0f0</t>
  </si>
  <si>
    <t>غرم لله  الغامدي</t>
  </si>
  <si>
    <t>د.أنور مالك :الحوثي لم يلتزم بشيء من قرارات الأمم المتحدة بل تعدى إلى العدوان على الدول المجاورة، وكل ذلك بإيعاز من إيران، حيث راحت تزود الحوثيين بأسلحة وصواريخ وعتاد وأموال  - جمال خاشقجي #JamalKhashoggi #الجزيرة</t>
  </si>
  <si>
    <t>Oguz Ozdemir</t>
  </si>
  <si>
    <t>#TurkishArmy "Şu kopan fırtına Türk ordusudur Yâ Rabbi Senin uğrunda ölen ordu, budur yâ Rabbi Tâ ki yükselsin ezanlarla müeyyed nâmın Galib et; çünkü bu son ordusudur İslâm’ın"</t>
  </si>
  <si>
    <t>pic.twitter.com/xfId4eXv3o</t>
  </si>
  <si>
    <t>RAHATÇA SÖVMEK EN GÜZEL HOBİM ...</t>
  </si>
  <si>
    <t>Alone</t>
  </si>
  <si>
    <t>Vur şanlı silahınla gönül mülkü düzelsin, Sen öldürüyorken de vururken de güzelsin. #BarisPinariHarekati #TurkishArmy</t>
  </si>
  <si>
    <t>☣oguzgirdap☣</t>
  </si>
  <si>
    <t>Allah yar yardımcınız olsun. Dualarımız sizinle 🇹🇷 #BarisPinariHarekati #TurkishArmy</t>
  </si>
  <si>
    <t xml:space="preserve"> ﻣﻮﺳﻰ ﻋﺴﻴﺮﻱ  </t>
  </si>
  <si>
    <t>اللواء المتقاعد د. زايد العمري: خبير استراتيجي ومحلل سياسي : إيواء قطر لجماعة الاخوان سيجعلها في قائمة الإرهاب في أوروبا .  - جمال خاشقجي #JamalKhashoggi #قطر</t>
  </si>
  <si>
    <t>https://pbs.twimg.com/media/EGcMlvKXUAEuhcC.jpg</t>
  </si>
  <si>
    <t>pic.twitter.com/DTDTx1oXWZ</t>
  </si>
  <si>
    <t>Asla geri çekilme.Asla açıklama getirme.İşini yap ve bırak ulusunlar. [Benjamin Jowett] İnstagram : ogzgrdp</t>
  </si>
  <si>
    <t>enoughalready</t>
  </si>
  <si>
    <t>@NikkiHaley , you are disgusting. Where is your voice for #JamalKhashoggi ? We know you will support the trump turd until the end. RT @NikkiHaley: We must always have the backs of our allies, if we expect them to have our back. The Kurds were instrumental in our successful fight against ISIS in Syria. Leaving them to die is a big mistake. #TurkeyIsNotOurFriend</t>
  </si>
  <si>
    <t>https://twitter.com/nikkihaley/status/1181191973367160834</t>
  </si>
  <si>
    <t>𝑺𝒖̈𝒍𝒆𝒚𝒎𝒂𝒏 𝑫𝒖̈𝒏𝒅𝒂𝒓</t>
  </si>
  <si>
    <t>Gazamız mübarek olsun #BarışPınarıHarekatı'nda. 🇹🇷 #TurkishArmy</t>
  </si>
  <si>
    <t>https://pbs.twimg.com/media/EGcMmxZWkAEizLJ.jpg</t>
  </si>
  <si>
    <t>America shames itself with concentration camps. Please stop the cruelty.</t>
  </si>
  <si>
    <t>Worldwide</t>
  </si>
  <si>
    <t>🛎Advisor⚡️#Animal DR 🥩🥛Board</t>
  </si>
  <si>
    <t>http://www.facebook.com/suleymandundarofficial</t>
  </si>
  <si>
    <t>Ned Carlysle</t>
  </si>
  <si>
    <t>@gtconway3d What did @NikkiHaley know about #JamalKhashoggi's murder and when did she know it?</t>
  </si>
  <si>
    <t>Atlantic City, NJ</t>
  </si>
  <si>
    <t>I weigh 400 pounds, and live in my mom’s basement.</t>
  </si>
  <si>
    <t>https://www.facebook.com/WhatNedSaid/</t>
  </si>
  <si>
    <t>murat</t>
  </si>
  <si>
    <t>Tarih boyunca dosta güven düşmana korku olan büyük TÜRK ordusunun Allah yardımcı olsun 🇹🇷#TurkishArmy #BarisPinariHarekati</t>
  </si>
  <si>
    <t>https://pbs.twimg.com/media/EGcMm0EWoAAV46Q.jpg</t>
  </si>
  <si>
    <t xml:space="preserve"> مستور   الشيباني</t>
  </si>
  <si>
    <t>تقرير: إعلام الزيف القطري التركي الإخوانجي .. فبركة الأخبار وتضليل الرأي العام .  - جمال خاشقجي #JamalKhashoggi #ايران</t>
  </si>
  <si>
    <t>pic.twitter.com/BRtn0XYvhc</t>
  </si>
  <si>
    <t>beşiktaş taraftarı</t>
  </si>
  <si>
    <t>Balkanlııı</t>
  </si>
  <si>
    <t>Ne kadar terörist varsa yok edeceğiz ama yurt içinde ama yurt dışında.. #TurkishArmy #BarışPınarıHarekatı</t>
  </si>
  <si>
    <t>Kırklareli</t>
  </si>
  <si>
    <t>Kemalist / Trakyalı / Galatasaraylı..</t>
  </si>
  <si>
    <t>M A Y</t>
  </si>
  <si>
    <t>Kahraman Türk askerleri, Fırat'ın Doğusu'nda. Selahattin Demirtaş sen de mal mal bakarsın Silivri'den... #BarışPınarıHarekatı #TurkishArmy</t>
  </si>
  <si>
    <t>http://www.instagram.com/maylmz43</t>
  </si>
  <si>
    <t>İlelebet Beşiktaş</t>
  </si>
  <si>
    <t>#BarışPınarıHarekati #TurkishArmy Allah muvaffak etsin 🙏👊👊👊</t>
  </si>
  <si>
    <t xml:space="preserve">  حازم  العتيبي</t>
  </si>
  <si>
    <t>أ. سامي المرشد: قطر عبارة عن محطة غاز وقناة إعلامية مُسيطِر عليها جهات أكبر من حجمها تستغلها لزرع العداوة وبث السموم في المنطقة.  - جمال خاشقجي #JamalKhashoggi #تركيا</t>
  </si>
  <si>
    <t>pic.twitter.com/cmxl1dVFsn</t>
  </si>
  <si>
    <t>Merve Merve ⚡</t>
  </si>
  <si>
    <t>Teröre destek veren Belediyelere kayyum atandığı gün, soluğu Diyarbakır'da alan CHP'li İBB Başkanı İmamoğlu, 2 gündür şanlı askerimiz için 1 destek twiti bile atmadı! İstanbul'a kimi seçtiniz ve herşeyin nasıl güzel olacağını anladınız mı? #TurkishArmy #BarisPinari</t>
  </si>
  <si>
    <t xml:space="preserve"> ﺣﻤﺪ ﺍﻟﻌﻨﺰﻱ</t>
  </si>
  <si>
    <t>محلل قناة ٢٤ سعودي الفضائية جيري ماهر في برنامج لمن يهمه الأمر: تعهد الرئيس التركي بشراء النفط الإيراني هو دليل على أن اردوغان يدعم الإرهاب الإيراني  - جمال خاشقجي #JamalKhashoggi #الجزيرة</t>
  </si>
  <si>
    <t>pic.twitter.com/H5ifS0CFeu</t>
  </si>
  <si>
    <t>Taylan Özgür</t>
  </si>
  <si>
    <t>TÜRK İSLAM DÜŞMANINI.. Vur ALLAH Aşkına Vur Vur TÜRK'lük Aşkına Vur Vur VATAN Aşkına Vur Vur Yiğidim Vur! #BarisPinari #TurkishArmy Allah'ın Adıyla İnsin Mermiler . 🇹🇷🇹🇷🇹🇷 #BarışPınarıHarekati</t>
  </si>
  <si>
    <t>https://pbs.twimg.com/media/EGcMlnZWsAAOscS.jpg</t>
  </si>
  <si>
    <t>Eğer Bir Gün Benim Sözlerim BİLİM İle Ters Düşerse BİLİM'i Seçin. MUSTAFA KEMAL ATATÜRK</t>
  </si>
  <si>
    <t>Feyyaz Ama Çalışkan Olmayan</t>
  </si>
  <si>
    <t>Vur Yiğidim, Vur Mehmetçiğim! TANRI TÜRK ASKERİNİ KORUSUN! #TurkishArmy #BarışPınarıHarekati</t>
  </si>
  <si>
    <t>pic.twitter.com/hmsuOKSyYV</t>
  </si>
  <si>
    <t>يزيد عيد</t>
  </si>
  <si>
    <t>pic.twitter.com/7ijq8b8kBA</t>
  </si>
  <si>
    <t>Bu ülke delilerle , gerizekalılarla , ruh hastalarıyla doludur. H.Nihal ATSIZ</t>
  </si>
  <si>
    <t xml:space="preserve">  ﺳﻌﻴﺪ ﺍﻷﺣﻤﺮﻱ</t>
  </si>
  <si>
    <t>اللواء المتقاعد د. زايد العمري: خبير استراتيجي ومحلل سياسي: قطر اصابتها الغيرة من هذا النموذج الإسلامي الوسطي الصحيح .  - جمال خاشقجي #JamalKhashoggi #تركيا</t>
  </si>
  <si>
    <t>pic.twitter.com/dVgmOphMIO</t>
  </si>
  <si>
    <t>Leah Krevit 💙</t>
  </si>
  <si>
    <t>@saradannerdukic Keep asking that question! If she ever runs for office, it should be the first and only question asked. #JamalKhashoggi 💙</t>
  </si>
  <si>
    <t>https://pbs.twimg.com/media/EGT25xpXkAE_rrV.jpg</t>
  </si>
  <si>
    <t>Fxsosyal  /🇹🇷</t>
  </si>
  <si>
    <t>Allah milletimize Şanlı Türk ordusuna Türk Askerine güç kuvvet versin Vatan İçin Ne Mutlu Türk’üm Diyene #TurkishArmy</t>
  </si>
  <si>
    <t>https://pbs.twimg.com/media/EGcMlQTWsAULkb6.jpg</t>
  </si>
  <si>
    <t>Far West Texas, USA</t>
  </si>
  <si>
    <t>🎬Movies and Books 📚 and Libraries! 🏤💻 Native Texan 🌵 #VoteBlue2020 🌊 #ProChoice 🚺#TeamKamala💛💜 #PostcardsToVoters 💌 #StillWithHer👠 #ScienceIsReal🌍</t>
  </si>
  <si>
    <t>Burada yapılan fikir düşünce ve yorumlar YTD dir.</t>
  </si>
  <si>
    <t>Buğra Bora</t>
  </si>
  <si>
    <t>#BarisPinari Allah yar ve yardımcınız olsun #TurkishArmy 🇹🇷🇹🇷🇹🇷</t>
  </si>
  <si>
    <t>https://pbs.twimg.com/media/EGcMkHPX0AI-1uw.jpg</t>
  </si>
  <si>
    <t>Sosyalmanset.com</t>
  </si>
  <si>
    <t>CNN Türk muhabirinin Ceylanpınar'da yaptığı yayın sırasında patlama oldu #TurkishArmy</t>
  </si>
  <si>
    <t>https://www.sosyalmanset.com/cnn-turk-muhabirinin-ceylanpinarda-yaptigi-yayin-sirasinda-patlama-oldu-4267v.htm</t>
  </si>
  <si>
    <t>https://pbs.twimg.com/media/EGcMjmrW4AAm7K2.png</t>
  </si>
  <si>
    <t>En Doğru, En Hızlı, Tarafsız Haber http://sosyalmanset.com Resmi Twitter Hesabı sosyalmansetweb@gmail.com</t>
  </si>
  <si>
    <t>https://www.sosyalmanset.com/</t>
  </si>
  <si>
    <t>Tuncay Snow</t>
  </si>
  <si>
    <t>Atasının izinde... #TurkishArmy</t>
  </si>
  <si>
    <t xml:space="preserve"> عواض العتيبي</t>
  </si>
  <si>
    <t>https://pbs.twimg.com/media/EGcMiYWXkAMNn6b.jpg</t>
  </si>
  <si>
    <t>pic.twitter.com/xSoRgJUq6w</t>
  </si>
  <si>
    <t>Şişli, İstanbul</t>
  </si>
  <si>
    <t>Kes lan gevşek.</t>
  </si>
  <si>
    <t>ضيف الله  القرني</t>
  </si>
  <si>
    <t>حصري..السفير ادم ايرلي متحدث الخارجية الأمريكية السابق: اردوغان أكبر المنافقين ..يذرف دموع التماسيح على جمال خاشقجي بينما يزج بالاَف الاتراك بالسجونAdam Ereli: Erdogan is the biggest hypocrite on the plant  #خاشقجي #الجزيرة</t>
  </si>
  <si>
    <t>pic.twitter.com/Skb8qcIbQO</t>
  </si>
  <si>
    <t>Fatma Demir</t>
  </si>
  <si>
    <t>#TurkishArmy Geliyoruz ayık olun! 😎🇹🇷🇹🇷☝️</t>
  </si>
  <si>
    <t>https://pbs.twimg.com/media/EGcMhX2WoAAe4_f.jpg</t>
  </si>
  <si>
    <t>Bayram ALTAŞ 🇹🇷</t>
  </si>
  <si>
    <t>Milletimiz var olsun, Devletimiz dirlik bulsun, Ordumuz muzaffer olsun. #TurkishArmy</t>
  </si>
  <si>
    <t xml:space="preserve"> محمد العوامي </t>
  </si>
  <si>
    <t>https://pbs.twimg.com/media/EGcMhzOWwAEid4h.jpg</t>
  </si>
  <si>
    <t>pic.twitter.com/Rk2eb9lCts</t>
  </si>
  <si>
    <t>Akkent Şirketler Grubu /YKB Chairman of the Board, Akkent Group of Companies 📍 İstanbul /Ankara /Sivas</t>
  </si>
  <si>
    <t>http://www.akkentgroup.com.tr</t>
  </si>
  <si>
    <t>Burhan Özcan</t>
  </si>
  <si>
    <t>Mazlumların ve Mağdurların Umudu Şanlı Ordumuzu Muzaffer Eyle Yarabbim. 🇹🇷🇹🇷 #TurkishArmy #BarısPınarlarıHarekatı</t>
  </si>
  <si>
    <t>Ziraat Mühendisi.</t>
  </si>
  <si>
    <t>Düşünen Deli</t>
  </si>
  <si>
    <t>Allah Türk ordusunu korusun🙏 Dualarımız sizinle... #TurkishArmy #barışpınarıharekatı #TurkMilletiOrdusununYanındadır</t>
  </si>
  <si>
    <t>Delilik öyle kolay olmuyor, ben yıllarımı verdim...</t>
  </si>
  <si>
    <t>ﺳﻌﻴﺪ ﺍﻟﻤﻄﻴﺮﻱ</t>
  </si>
  <si>
    <t>أ. نايف الحربي: إعلامي وكاتب صحفي: قناة الجزيرة يصرف عليها مليارات .. واستطاع المغرد السعودي بحسابه الشخصي أن يدافع عن وطنه وقادته .  - جمال خاشقجي #خاشقجي #ايران</t>
  </si>
  <si>
    <t>pic.twitter.com/L8pZqRb7r5</t>
  </si>
  <si>
    <t>Selim ÖZTÜRK</t>
  </si>
  <si>
    <t>#TurkishArmy Geliyor !</t>
  </si>
  <si>
    <t>@slm_oztrk</t>
  </si>
  <si>
    <t>Emin Çapar</t>
  </si>
  <si>
    <t>Sana secde eden orduna yenilgi yüzü gösterme Allah'ım🤲🏻🙏🏻🇹🇷 #BarısPınarHarekatı #TurkishArmy</t>
  </si>
  <si>
    <t>https://pbs.twimg.com/media/EGcMgh3WwAATY0c.jpg</t>
  </si>
  <si>
    <t>Kayseri</t>
  </si>
  <si>
    <t>Turkish Air Forces 🇹🇷 Kayserispor</t>
  </si>
  <si>
    <t>http://instagram.com/mecpr38</t>
  </si>
  <si>
    <t>krediburs</t>
  </si>
  <si>
    <t>#TurkishArmy vurun yiğitler Allah yar ve yardımcınız olsun # BarışPınarıHarekati</t>
  </si>
  <si>
    <t xml:space="preserve"> رحيم  محمد</t>
  </si>
  <si>
    <t>هام..السفير ادم ايرلي متحدث الخارجية الأمريكية السابق: اردوغان المنافق ..يذرف دموع التماسيح على جمال خاشقجي بينما يزج بالاَف الاتراك بالسجونAdam Ereli: Erdogan is the biggest hypocrite on the plant  #خاشقجي #ايران</t>
  </si>
  <si>
    <t>Üniversite Burs veren kurumlar</t>
  </si>
  <si>
    <t>pic.twitter.com/YjzNBxCfjT</t>
  </si>
  <si>
    <t>http://Krediburs.com Burs veren kurum ve vakıflar</t>
  </si>
  <si>
    <t>Tolga Çetinkaya</t>
  </si>
  <si>
    <t>Ya Allah! Kim var imiş biz burada yoğ iken! #TurkishArmy #BarışPınarıHarekati</t>
  </si>
  <si>
    <t>https://pbs.twimg.com/media/EGcMgNJXYAYmM1x.jpg</t>
  </si>
  <si>
    <t>☾✰ http://Instagram.com/ttollgga FREEFALL</t>
  </si>
  <si>
    <t>Mert Gülyağı</t>
  </si>
  <si>
    <t>Allah askerimizin yardımcısı olsun 🇹🇷#TurkishArmy</t>
  </si>
  <si>
    <t xml:space="preserve"> هليل الحربي</t>
  </si>
  <si>
    <t>اللواء المتقاعد د. زايد العمري: خبير استراتيجي ومحلل سياسي: قطر اصابتها الغيرة من هذا النموذج الإسلامي الوسطي الصحيح .  - جمال خاشقجي #ايران #JamalKhashoggi</t>
  </si>
  <si>
    <t>pic.twitter.com/0SAi7e4Mip</t>
  </si>
  <si>
    <t>Yusuf BAHAR</t>
  </si>
  <si>
    <t>Korkaklıkta ar, ilerlemekte şeref ve itibar var diyerek ordumuz ilerlemeye başladı Hamd olsun. Zalimlerin karşında Allah yardımcınız olsun. Vira Bismillah. “SEFER BİZİM ZAFER ALLAH’INDIR” #pınarbarısharekatı #TurkishArmy</t>
  </si>
  <si>
    <t>https://pbs.twimg.com/media/EGcMdwlXYAE9hpQ.jpg</t>
  </si>
  <si>
    <t>Nancy Mitchell</t>
  </si>
  <si>
    <t>#JamalKhashoggi was KILLED .. chopped into pieces by Saudi't under the direction of KILLER #MBS #SaudiArabia 's Embassy in Turkey RT @saradannerdukic: Reminder that Jamal Khashoggi was murdered inside the Saudi Embassy in Turkey.</t>
  </si>
  <si>
    <t>https://twitter.com/saradannerdukic/status/1181207927094497280
https://www.theguardian.com/world/2019/jun/19/consulate-recordings-reveal-saudi-plan-for-jamal-khashoggi</t>
  </si>
  <si>
    <t>Müslüman çağın gözüyle İslam'a bakmaz! İslam'ın gözüyle çağa bakar... Rasim Özdenören</t>
  </si>
  <si>
    <t>RETIRED.. Mass Liberal, Red Sox fan, #metoo, I support 1 female Monastery n Tibet ., Bernie will beat Trump 2020 he got Amazon/Disney to pay workers $15hr</t>
  </si>
  <si>
    <t>Ahmet Akış 🇹🇷‏</t>
  </si>
  <si>
    <t>Rasulayn ve Tel-Abyad'daki hedeflere yoğun topçu ateşi başladı. #TurkishArmy</t>
  </si>
  <si>
    <t>pic.twitter.com/lUCrZjsUBq</t>
  </si>
  <si>
    <t>"LÖSEV hayat verir"</t>
  </si>
  <si>
    <t>zglbhtin</t>
  </si>
  <si>
    <t>Şu kopan fırtına Türk ordusudur yâ Rabbi. Senin uğrunda ölen ordu budur yâ Rabbi. Tâ ki yükselsin ezanlarla müeyyed nâmın, Galib et, çünkü bu son ordusudur İslâm'ın. #BarışPınarıHarekatı #TurkishArmy</t>
  </si>
  <si>
    <t>https://pbs.twimg.com/media/EGcMfo2XoAE9hMS.jpg</t>
  </si>
  <si>
    <t>Her şeye biraz BEŞİKTAŞ</t>
  </si>
  <si>
    <t xml:space="preserve">علي مفرح </t>
  </si>
  <si>
    <t>the end</t>
  </si>
  <si>
    <t>Allah askerlerimizi, ordularımızı muvaffak eylesin sağsalim evlerine yurdumuza dönmesini rabbim nasip etsin. Orospu evladı bölücü piçlerin analarını sikeceklerinden gram şüphemiz yok #TurkishArmy</t>
  </si>
  <si>
    <t>pic.twitter.com/1zYEHK3UYy</t>
  </si>
  <si>
    <t>çok ilginçtir ki bu hesabı iki tane adammmmm yönetiyor</t>
  </si>
  <si>
    <t>Akit Okurları 🇹🇷</t>
  </si>
  <si>
    <t xml:space="preserve"> ﻏﺎﺯﻱ ﺭﻭﻳﻼﻥ  </t>
  </si>
  <si>
    <t>Fistanları giy pkk BİZ GELİYORUZ #BarışPınarıHarekati #BarisPinari #TurkishArmy</t>
  </si>
  <si>
    <t>حصريا..ادم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#ايران #JamalKhashoggi</t>
  </si>
  <si>
    <t>pic.twitter.com/3HhqY62hLI</t>
  </si>
  <si>
    <t>Akit TV/Akit Gazetesi hayranları tarafından yönetilmektedir. ↘ Resmî hesaplar: @yeniakit @akittv</t>
  </si>
  <si>
    <t>Cemal ÖZTÜRK</t>
  </si>
  <si>
    <t>Suriye'nin kuzeyinde PKK/YPG ve Deaş terör örgütlerine karşı #BarışPınarıHarekatı başladı. Türkiye’nin hedefi terör koridorunu yok etmek, barış koridorunu tesis etmek. Her daim yiğitlerimizin yanındayız, kalben ve dua ile. Allah yardımcınız olsun 🇹🇷 #TurkishArmy</t>
  </si>
  <si>
    <t>https://pbs.twimg.com/media/EGcMewjWwAAfCtb.jpg</t>
  </si>
  <si>
    <t>T.B.M.M.</t>
  </si>
  <si>
    <t>26. ve 27. Dönem AK Parti Giresun Milletvekili, Karadeniz Ekonomik İşbirliği Parlamenter Asamblesi Komisyonu Başkanı (KEİPA), TBMM Plan ve Bütçe Komisyonu Üyesi</t>
  </si>
  <si>
    <t>http://cemalozturk.com.tr</t>
  </si>
  <si>
    <t>Resul Başkara</t>
  </si>
  <si>
    <t>Anaların duasını aldık geliyoruz. 🇹🇷 #BarışPınarıHarekati #TurkishArmy</t>
  </si>
  <si>
    <t>https://pbs.twimg.com/media/EGcMdesXYAABhA3.jpg</t>
  </si>
  <si>
    <t xml:space="preserve"> قليل العبدلي </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</si>
  <si>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#قطر</t>
  </si>
  <si>
    <t>pic.twitter.com/FiPTCBOFyC</t>
  </si>
  <si>
    <t>The Firat University</t>
  </si>
  <si>
    <t>yeliz ager</t>
  </si>
  <si>
    <t>“Hilalin altında bir olun. Çok kalabalık olacağız; göreceksiniz!” ‘La Galibe İllallah’ #BarisPinariHarekati #BarisPinari #TurkishArmy</t>
  </si>
  <si>
    <t>https://pbs.twimg.com/media/EGcMeKRXoAIfpHa.jpg</t>
  </si>
  <si>
    <t>Kalbin bir gün seni sevgiliye götürecek. Ruhun bir gün seni sevgiliye taşıyacak. Sakın acında kaybolma. Bil ki çektiğin acı bir gün dermanın olacak. Mevlana</t>
  </si>
  <si>
    <t xml:space="preserve"> يوسف  الهذال </t>
  </si>
  <si>
    <t>محلل قناة ٢٤ سعودي الفضائية جيري ماهر في برنامج لمن يهمه الأمر: أردوغان يستخدم القضية الفلسطينية فقط من أجل الدعاية والاستهلاك الإعلامي و تركيا لم تقدم لـ فلسطين أو سوريا أي شيء  - جمال خاشقجي #JamalKhashoggi #قطر</t>
  </si>
  <si>
    <t>pic.twitter.com/Rss7uPN4EL</t>
  </si>
  <si>
    <t>ﻓﺎﻳﺰ ﻓﻬﻴﺪ</t>
  </si>
  <si>
    <t>pic.twitter.com/ptg6leT798</t>
  </si>
  <si>
    <t>Serdar SARIL</t>
  </si>
  <si>
    <t>Allah yar ve yardımcınız olsun #TurkishArmy</t>
  </si>
  <si>
    <t>https://pbs.twimg.com/media/EGcMeASW4AAztBo.jpg</t>
  </si>
  <si>
    <t>Bodrum &amp; Zonguldak</t>
  </si>
  <si>
    <t>GM BHR</t>
  </si>
  <si>
    <t>http://www.bodrumholidayresort.com</t>
  </si>
  <si>
    <t>Hürkan AKKUZU</t>
  </si>
  <si>
    <t>ZAFER ZAMANI 🇹🇷🇹🇷🇹🇷🇹🇷 MAZLUMLARIN YERYUZUNDEKİ TEK KORUYUCU GÜCÜ , HERBİRİ ASLAN PARCASİ VE ALLAHIN YERYEYUZUNDEKİ ORDUSU ZAFERİNİZ MUBERAK OLSUN #TurkishArmy #Tuerksilahlıkuvvetleri</t>
  </si>
  <si>
    <t>pic.twitter.com/crCkhP8TMj</t>
  </si>
  <si>
    <t xml:space="preserve"> مرعي احمد</t>
  </si>
  <si>
    <t>Istanbul / Turkey</t>
  </si>
  <si>
    <t>Fizyoterapist ( Physiotherapist ) , Hürkan Akkuzu ile Uzun Ömür Programı , Kadikoy/ Istanbul, https://www.instagram.com/hurkanakkuzu/?hl=tr</t>
  </si>
  <si>
    <t>http://www.hurkanakkuzu.com/</t>
  </si>
  <si>
    <t>pic.twitter.com/oW0PmOfpIM</t>
  </si>
  <si>
    <t>İbrahim Aydın</t>
  </si>
  <si>
    <t>Savaş birden fazla devlet arasında vuku bulan bir hadisedir. Türkiye, Suriye devleti ile savaşmıyor. Bilakis Suriye'nin kuzeyini işgal eden, halkına zulmeden, sınırlarımızı tehdit eden teröristlere karşı "OPERASYON" yapıyor. Haydi Bismillah! #BarışPınarıHarekatı #TurkishArmy</t>
  </si>
  <si>
    <t>تقرير: خالد بن سلمان: آن الأوان ليقف اليمنيون صفاً واحداً أمام مشروع الدمار الإيراني.  #JamalKhashoggi #ايران</t>
  </si>
  <si>
    <t>pic.twitter.com/0qnSlGViuH</t>
  </si>
  <si>
    <t>'Yaşayan denizimdir Karadeniz; hüznü de sevinci de uçlarda yaşayan, durağanlığa teslim olmayan...''</t>
  </si>
  <si>
    <t>Milat Gazetesi</t>
  </si>
  <si>
    <t>Jetler Diyarbakır'dan Barış Pınarı için havalanıyor  #flaş #TurkishArmy #BarisPinari</t>
  </si>
  <si>
    <t>https://www.milatgazetesi.com/gundem/jetler-diyarbakirdan-baris-pinari-icin-havalaniyor/haber-219247</t>
  </si>
  <si>
    <t>https://pbs.twimg.com/media/EGcMdjVWoAEWtOu.jpg</t>
  </si>
  <si>
    <t>Milat Gazetesi Resmi Twitter hesabı</t>
  </si>
  <si>
    <t>http://milat.com.tr</t>
  </si>
  <si>
    <t>Fıtrat değişir sanma bu kan yine o kandır rüzgar ektik fırtına biçmeye geliyoruz hazırmısınız... #TurkishArmy #BarisPinariHarekati #BarısPınarHarekatı #BarisPinari</t>
  </si>
  <si>
    <t>pic.twitter.com/Kj7mNWeM5Y</t>
  </si>
  <si>
    <t>💙💛Fenerbahçe Aşığı 💛💙</t>
  </si>
  <si>
    <t>Ghalia Mahjoub الغالية محجوب</t>
  </si>
  <si>
    <t>And the Operation is launched, officially announced by the President. بسم الله الرحمان الرحيم @RTErdogan @hasandogan @TSKGnkur 🇹🇷🇹🇷🇹🇷🇲🇷🇲🇷🇲🇷 #BarışPinarıHarekatı #TheWorldSideWithTurkey #OperationPeaceSpring #TurkishArmy #KurdsSideWithTurkey #سوريا #تركيا_الان</t>
  </si>
  <si>
    <t>https://pbs.twimg.com/media/EGcMdGYXUAAwt-1.jpg</t>
  </si>
  <si>
    <t>Ankara, Turkey</t>
  </si>
  <si>
    <t>🇲🇷|🇹🇷 International Relations |Security 🌍Recognizes Justice Only! #TurkishForeignPolicy #MENA #Africa #HumanRights #Activism #Volunteeringforabetterworld</t>
  </si>
  <si>
    <t>doblosuz_eniste</t>
  </si>
  <si>
    <t>Call of duty veya PUBG sanmayın #TurkishArmy'dir bu gelen.....</t>
  </si>
  <si>
    <t>, Türkiye</t>
  </si>
  <si>
    <t>Et ete değecek aga (speyşıl layf, speyşıl layf)</t>
  </si>
  <si>
    <t>Donald Blais Jr.</t>
  </si>
  <si>
    <t>Here we go. The #TurkishArmy has begun the invasion....absolutely unacceptable. RT @BBCBreaking: Turkish troops enter northern Syria, says President Erdogan, setting up a potential clash with Kurdish-led forces</t>
  </si>
  <si>
    <t>https://twitter.com/BBCBreaking/status/1181922189454524416
https://bbc.in/2B8526N</t>
  </si>
  <si>
    <t>Three Rivers, Massachusetts</t>
  </si>
  <si>
    <t>My name is Donald, I'm a former Town Councilor in the town of Palmer, Massachusetts. Also a huge sports fan. 🇺🇸🇬🇧🏳️‍🌈🏴󠁧󠁢󠁥󠁮󠁧󠁿</t>
  </si>
  <si>
    <t>محبوبي الملكي</t>
  </si>
  <si>
    <t>د. عثمان البريكان : تركيا تدعي انها تحارب الارهاب و داعش وهم في الأساس يتحركون من خلالها .  - جمال خاشقجي #خاشقجي #عام_على_رحيل_خاشقجي</t>
  </si>
  <si>
    <t>pic.twitter.com/cnY4qpbEMo</t>
  </si>
  <si>
    <t>Banuuu</t>
  </si>
  <si>
    <t>#TurkishArmy VUR MEHTER !!</t>
  </si>
  <si>
    <t>pic.twitter.com/WvhQmArIYG</t>
  </si>
  <si>
    <t>الاهلي في الماضي والحاضر</t>
  </si>
  <si>
    <t xml:space="preserve"> اسماعيل آل عراد</t>
  </si>
  <si>
    <t>pic.twitter.com/M8eRhigk5a</t>
  </si>
  <si>
    <t>QUZZULUQURT</t>
  </si>
  <si>
    <t>ÇAYI DEMLE HACIEMMİ #TurkishArmy</t>
  </si>
  <si>
    <t xml:space="preserve"> مرزوق الهلالي</t>
  </si>
  <si>
    <t>https://pbs.twimg.com/media/EGcMbnNXUAA2Mep.jpg</t>
  </si>
  <si>
    <t>تقرير: الجبير : التهدئة لا تنفع مع إيران ونعمل للتوصل إلى خيار دولي للتعامل معها  - جمال خاشقجي #JamalKhashoggi #ايران</t>
  </si>
  <si>
    <t>pic.twitter.com/yC8fWt469y</t>
  </si>
  <si>
    <t>Emre Arduç</t>
  </si>
  <si>
    <t>Şu kopan fırtına türk ordusudur Yâ Rabbi. Senin uğrunda ölen ordu, budur Yâ Rabbi. Tâ ki yükselsin ezanlarla müeyyed nâmın, Galib et, çünkü bu son ordusudur İslâm'ın #TurkishArmy #BarışPınarıHarekati</t>
  </si>
  <si>
    <t>أ. هاني الحجي : العملية الانتخابية التي حدثت ورفضها اردوغان أثرت على مسار الحياة الاقتصادية في تركيا .  - جمال خاشقجي #ايران #JamalKhashoggi</t>
  </si>
  <si>
    <t>pic.twitter.com/rz9kQ1aH8S</t>
  </si>
  <si>
    <t>Engineer</t>
  </si>
  <si>
    <t>https://www.instagram.com/emrearduc</t>
  </si>
  <si>
    <t>Uğur Erc</t>
  </si>
  <si>
    <t>KİN YUTTUK KAN KUSTURCAĞIZ ALLAH YÂR VE YARDIMCINIZ OLSUN #TurkishArmy</t>
  </si>
  <si>
    <t>https://pbs.twimg.com/media/EGcMbOZXYAIIYhH.jpg</t>
  </si>
  <si>
    <t>Edirne, Türkiye</t>
  </si>
  <si>
    <t>http://instagram.com/ugurercann/</t>
  </si>
  <si>
    <t xml:space="preserve">هانى دوهان </t>
  </si>
  <si>
    <t>pic.twitter.com/C3DtAgq6Wz</t>
  </si>
  <si>
    <t>Alper İşbilen🇹🇷</t>
  </si>
  <si>
    <t>#BarışPınarıHarekatı başladı. Gazamız mübarek olsun. ALLAH Kahraman Ordumuzu muzaffer eylesin. 🇹🇷🇹🇷🇹🇷 #BarisPinari #TurkishArmy</t>
  </si>
  <si>
    <t>https://pbs.twimg.com/media/EGcMbE5WwAAbKMZ.jpg</t>
  </si>
  <si>
    <t xml:space="preserve"> رزق الدعيلج</t>
  </si>
  <si>
    <t>pic.twitter.com/M8tCqaMrIK</t>
  </si>
  <si>
    <t>~Çukurova Üniversitesi~ #AdanaDemirspor #Galatasaray 💛❤️#RecepTayyipErdoğan</t>
  </si>
  <si>
    <t>http://Instagram.com/alperisbilen</t>
  </si>
  <si>
    <t xml:space="preserve"> ﻓﻴﺼﻞ ﻓﻠﺤﺎﻥ</t>
  </si>
  <si>
    <t>حصرياً. السفير ادم ايرلي متحدث الخارجية الأمريكية السابق: اردوغان المنافق..يذرف دموع التماسيح على جمال خاشقجي بينما يزج بالاَف الاتراك بالسجونAdam Ereli: Erdogan is the biggest hypocrite on the plant  #خاشقجي #الاخوان</t>
  </si>
  <si>
    <t>pic.twitter.com/7U5xZB5M2N</t>
  </si>
  <si>
    <t>@sametgok2567</t>
  </si>
  <si>
    <t>Rabbim ülkemizin devletimizin ve askerimizin yardımcısı olsun inşaallah #BarisPinari #BarışPınarıHarekati #OperationPeaceSpring #BarışPınarı #BarışPınarıHarekatı #TurkishArmy</t>
  </si>
  <si>
    <t>🇹🇷 Ömer ŞAHİN 🇹🇷</t>
  </si>
  <si>
    <t>Ne güzel de demiş..: Siz Bizi Çanakkale den iyi tanırsınız.. Rabbim Benzersiz ve Kahraman Ordumuzu Muzaffer eylesin.. Ayaklarına taş değdirmesin... 🤲🤲🤲🇹🇷🇹🇷🇹🇷🇹🇷🇹🇷🇹🇷🇹🇷 #BarisPinari #BarisPinariHarekati #TurkishArmy #GazamızMübarekOlsun</t>
  </si>
  <si>
    <t>Ya Baki Entel Baki....! Derviş olamadın Ama başıboş da kalmadın.. Yazdıklarım bana aittir, olmayanların ismi yazar.. 'LÜTFEN ANLAMLARIMI KISITLAMA'</t>
  </si>
  <si>
    <t>https://yazbee.com/omaxsah</t>
  </si>
  <si>
    <t xml:space="preserve"> خميس العامري </t>
  </si>
  <si>
    <t>أ. نايف الحربي: إعلامي وكاتب صحفي: جماعة الأخوان الإرهابية هي من تسيطر على الإعلام القطري وهي من تدعمهم بالتقارير المزيفة .  - جمال خاشقجي #ايران #JamalKhashoggi</t>
  </si>
  <si>
    <t>pic.twitter.com/Iyz7D78Vib</t>
  </si>
  <si>
    <t>Zincirsiz</t>
  </si>
  <si>
    <t>Şu kopan fırtına Türk ordusudur yâ Rabbi. Senin uğrunda ölen ordu budur yâ Rabbi. Tâ ki yükselsin ezanlarla müeyyed nâmın, Galib et, çünkü bu son ordusudur İslâm'ın. #TurkishArmy #BarışPınarıHarekatı</t>
  </si>
  <si>
    <t>#TÜRK</t>
  </si>
  <si>
    <t xml:space="preserve"> حامد  النجار</t>
  </si>
  <si>
    <t>pic.twitter.com/bWksuGSTax</t>
  </si>
  <si>
    <t xml:space="preserve">  فوزان محمد </t>
  </si>
  <si>
    <t>تقرير: علم إسرائيل يرفرف مجدداً في سماء الدوحة في بطولة ألعاب القوى.  - جمال خاشقجي #JamalKhashoggi #الجزيرة</t>
  </si>
  <si>
    <t>pic.twitter.com/CevzbMM36B</t>
  </si>
  <si>
    <t>FATİHHKR</t>
  </si>
  <si>
    <t>https://pbs.twimg.com/media/EGcMaCmWwAEM2Ln.jpg</t>
  </si>
  <si>
    <t>Mersin</t>
  </si>
  <si>
    <t>Adnan Menderes üniversitesi</t>
  </si>
  <si>
    <t>علياء عبدﷲ</t>
  </si>
  <si>
    <t>العميد متقاعد. حسن الشهري: قناة الجزيرة لا تنقل خير قط وتقوم ببث الطائفية والكراهية  - جمال خاشقجي #ايران #JamalKhashoggi</t>
  </si>
  <si>
    <t>Av. Fatih GÜRER</t>
  </si>
  <si>
    <t>beklenmekte olan umut geliyor.. #Turkısharmy #BarışPınarıHarekati</t>
  </si>
  <si>
    <t>pic.twitter.com/S3lEn0XkfL</t>
  </si>
  <si>
    <t>https://pbs.twimg.com/media/EGcMaH3XkAESVqE.jpg</t>
  </si>
  <si>
    <t>Söke, Aydın</t>
  </si>
  <si>
    <t>رَبَّنَا لاَ تُؤَاخِذْنَا إِن نَّسِينَا أَوْ أَخْطَأْنَا رَبَّنَا وَلاَ تَحْمِلْ عَلَيْنَا إِصْرًا كَمَا حَمَلْتَهُ عَلَى الَّذِينَ مِن قَبْلِنَا</t>
  </si>
  <si>
    <t>Yusuf Emir ve Zeynep Deniz’in babası..Hukukçu..Ve halen Milli Görüşçü..</t>
  </si>
  <si>
    <t>Muvaffak İLTER</t>
  </si>
  <si>
    <t>Şu saatten sonra tek bir şey diyebiliriz, Allah yardımcınız olsun Mehmetçik.Ya Allah, Ya Muhammed, Ya Ali #BarışPınarıHarekati #TurkishArmy</t>
  </si>
  <si>
    <t>https://pbs.twimg.com/media/EGcMZb3XUAE39HW.png</t>
  </si>
  <si>
    <t>TAKİBE TAKİP...</t>
  </si>
  <si>
    <t xml:space="preserve"> سعد الوسمى</t>
  </si>
  <si>
    <t>أ. نايف الحربي: إعلامي وكاتب صحفي: قناة الجزيرة لديها مزاعم واكاذيب تحاول أن تخدع الرأي العام للنيل من المملكة .  - جمال خاشقجي #خاشقجي #قطر</t>
  </si>
  <si>
    <t>pic.twitter.com/QKuRlxdN1u</t>
  </si>
  <si>
    <t xml:space="preserve"> حمد المحارب</t>
  </si>
  <si>
    <t>د. محمد العوين: على الأوروبيون ان يُدركوا ان النظام الإيراني مُدمر للعالم والحضارات الإنسانية والاقتصاد العالمي.  - جمال خاشقجي #ايران #JamalKhashoggi</t>
  </si>
  <si>
    <t>pic.twitter.com/xoVLJ3dkvM</t>
  </si>
  <si>
    <t>AGAH</t>
  </si>
  <si>
    <t>#BarışPınarıHarekati #TurkishArmy #büyükvegüçlütürkiye</t>
  </si>
  <si>
    <t>https://pbs.twimg.com/media/EGcMZLlXoAY9BAr.jpg</t>
  </si>
  <si>
    <t>ADALETLE HÜKMET</t>
  </si>
  <si>
    <t> حسين العجمي </t>
  </si>
  <si>
    <t>تقرير: علم إسرائيل يرفرف مجدداً في سماء الدوحة في بطولة ألعاب القوى.  - جمال خاشقجي #JamalKhashoggi #ايران</t>
  </si>
  <si>
    <t>pic.twitter.com/eMTPjjYPut</t>
  </si>
  <si>
    <t>AYTUN ÖDER</t>
  </si>
  <si>
    <t>Allah yardımcınız olsun, ayağınıza taş değmesin Yüce Türk Milletinin aslanları.. Dualarımız sizlerle.. 🤲#TurkishArmy</t>
  </si>
  <si>
    <t>ﺳﻠﻄﺎﻥ ﺳﻌﻴﺪﺍﻥ</t>
  </si>
  <si>
    <t>pic.twitter.com/Xn1OyeL4h2</t>
  </si>
  <si>
    <t>Aleme Karşı İnadına Ç@R$!</t>
  </si>
  <si>
    <t>Ömür καяα  〰️</t>
  </si>
  <si>
    <t>Gökte Kartal, Yer de Aslan Dağ da Bozkurt ordusu Varolsun yiğit Mehmetler YAŞASIN TÜRK ORDUSU! 🇹🇷 #BarisPinari #TurkishArmy</t>
  </si>
  <si>
    <t xml:space="preserve"> ﺳﻌﻴﺪ ﺍﻟﺼﺎﻋﺪﻱ</t>
  </si>
  <si>
    <t>أ. نايف الحربي: إعلامي وكاتب صحفي: قناة الجزيرة تعتمد على الإعلاميين الهاربين من دولهم .  - جمال خاشقجي #JamalKhashoggi #ايران</t>
  </si>
  <si>
    <t>pic.twitter.com/Fg9nFGdPFW</t>
  </si>
  <si>
    <t>Manisa, Türkiye</t>
  </si>
  <si>
    <t>Football Player GK 🧤⚽️ BEŞİKTAŞ JK 🇹🇷🦅</t>
  </si>
  <si>
    <t>http://instagram.com/0murkara</t>
  </si>
  <si>
    <t xml:space="preserve"> سليمان العطوي</t>
  </si>
  <si>
    <t>اتصال/ أ. رامي العلي: محلل قنوات سعودي 24 – باريس: أردوغان أرسل وزير خارجيته إلى الولايات المتحدة الأمريكية من أجل دفع الطبقة السياسية لتغير العلاقات التاريخية بين المملكة و أمريكا .  - جمال خاشقجي #JamalKhashoggi #تركيا</t>
  </si>
  <si>
    <t>pic.twitter.com/UOKn24MqCA</t>
  </si>
  <si>
    <t>Mehmet Uğur</t>
  </si>
  <si>
    <t>-Dağlar demirdendi dediler, Türk'ün yüreği çeliktendi öğrettik ! #BarışPınarıHarekati #TurkishArmy</t>
  </si>
  <si>
    <t>https://pbs.twimg.com/media/EGcMY2AWwAAWQqf.jpg</t>
  </si>
  <si>
    <t xml:space="preserve"> حيدر الموسوي</t>
  </si>
  <si>
    <t>pic.twitter.com/FfFrDrNyT3</t>
  </si>
  <si>
    <t>Nevi şahsına münhasır Yıldız Teknik</t>
  </si>
  <si>
    <t>🏴‍☠️Individual 671⚓️</t>
  </si>
  <si>
    <t>@TheTBohn I don't doubt for a moment that #JamalKhashoggi's murder / summary execution figured into this.</t>
  </si>
  <si>
    <t>BizarroUSA</t>
  </si>
  <si>
    <t>Windmill tilter, ex-bubblehead USN veteran, 🏌️‍♂️. Varsity-level liberal politics &amp; sports. I didn't used to be this sarcastic. 🚫🍊🤡 #Floridaman</t>
  </si>
  <si>
    <t>ﻣﻔﺮﺡ ﺍﻟﻤﺎﻟﻜﻲ</t>
  </si>
  <si>
    <t>أ. سامي المرشد: الدوحة أصبحت مكان لكل الشواذ سياسياً في العالم .. تلاحظ وجود الإسرائيليين، الحرس الثوري الإيراني والاخوان المسلمين المطرودين من بلدانهم .  - جمال خاشقجي #ايران #خاشقجي</t>
  </si>
  <si>
    <t>𝓝𝓲𝓵</t>
  </si>
  <si>
    <t>#BarışPınarıHarekati Soran olursa TÜRKLER geliyor dersiniz. Allah, askerlerimizi korusun; güç ve kuvvet versin. 🌹❤️ #TurkishArmy #türklergeliyor #turkmilletiordusununyaninda</t>
  </si>
  <si>
    <t>pic.twitter.com/2jxUCdk5zx</t>
  </si>
  <si>
    <t>Atlantis</t>
  </si>
  <si>
    <t>instagram: 00nilay / Doğuş University 📖 Gastronomy and Culinary Arts🍽️</t>
  </si>
  <si>
    <t>https://www.instagram.com/00nilay</t>
  </si>
  <si>
    <t>Kent Yaşam TV</t>
  </si>
  <si>
    <t>SON DAKİKA: Operasyon Başladı Cumhurbaşkanı Tayyip Erdoğan, sosyal medya hesabından yaptığı paylaşımla Suriye’nin kuzeyinde Fırat nehrinin doğusunda YPG’ye yönelik harekatın başladığını duyurdu.  #BarışPınarıHarekati #BarisPinari #TurkishArmy</t>
  </si>
  <si>
    <t xml:space="preserve"> ضاوي  العتيبي </t>
  </si>
  <si>
    <t>د. نايف الوقاع : عندما تقول الولايات المتحدة أنها لن ترفع العقوبات على ايران فإنها تملك دليل قاطع أن هذا النظام لن يتغير .  - جمال خاشقجي #خاشقجي #عام_على_اغتيال_جمال</t>
  </si>
  <si>
    <t>http://www.yasamgazetesi.com.tr/siyaset/baris-pinari-harekati-basladi-h210891.html</t>
  </si>
  <si>
    <t>pic.twitter.com/dDW3ydgPOX</t>
  </si>
  <si>
    <t>pic.twitter.com/9PCNKD9pha</t>
  </si>
  <si>
    <t xml:space="preserve"> غريب العنزي</t>
  </si>
  <si>
    <t>pic.twitter.com/MuIbhHKwl2</t>
  </si>
  <si>
    <t>Kent Yaşam TV Resmi Twitter Hesabı - https://www.youtube.com/KentYasamTV</t>
  </si>
  <si>
    <t>http://www.yasamgazetesi.com.tr</t>
  </si>
  <si>
    <t> ابراهيم القاضي</t>
  </si>
  <si>
    <t>أ. نايف الحربي: إعلامي وكاتب صحفي: قطر صرفت المليارات على وسائل التواصل الاجتماعي .. والهدف الترويج لبرامجها الكاذبة .  - جمال خاشقجي #JamalKhashoggi #تركيا</t>
  </si>
  <si>
    <t>pic.twitter.com/LmP4AFcH2i</t>
  </si>
  <si>
    <t>Nuh Kocabaş</t>
  </si>
  <si>
    <t>Allah Mehmetçiğimizin yar ve yardımcısı olsun inşAllah. Sefer sizden, zafer Allah'tan şanlı Mehmetçik. Allah ordumuzu, askerimizi korusun inşAllah. Ne büyüksün ki kanın kurtarıyor tevhidi. Bedr’in aslanları ancak, bu kadar şanlı idi. #BarışPınarıHarekatı #TurkishArmy</t>
  </si>
  <si>
    <t>https://pbs.twimg.com/media/EGcMY6FWsAE2O5v.jpg</t>
  </si>
  <si>
    <t xml:space="preserve"> صادق عواد </t>
  </si>
  <si>
    <t>تقرير: وثائقي فرنسي يكشف علاقة قطر بتمويل التطرف الإرهاب في أوروبا .  - جمال خاشقجي #JamalKhashoggi #ايران</t>
  </si>
  <si>
    <t>pic.twitter.com/OkBZg7Bau4</t>
  </si>
  <si>
    <t>Konya Barosu / Stj. Av. ⚖️</t>
  </si>
  <si>
    <t>I'm Sherlock</t>
  </si>
  <si>
    <t>Savaş bir milketin topyekün savaşa girmesidir. Eğer bu bütünlük sağlanmazsa zafer tesadüfi, yenilgi kaderdir. II. Abdulhamit Han Bence ülkece yapmamız gereken ilk önemli şey şu partizanlığı bir kenara bırakmak..? #TurkishArmy</t>
  </si>
  <si>
    <t>https://pbs.twimg.com/media/EGcMXzPXYAEw-GL.jpg</t>
  </si>
  <si>
    <t>Come come who ever you are</t>
  </si>
  <si>
    <t>TCengizKeskin</t>
  </si>
  <si>
    <t>Şu kopan fırtına Türk ordusudur yâ Rabbi. Senin uğrunda ölen ordu, budur yâ Rabbi. Tâ ki yükselsin ezanlarla müeyyed nâmın, Galib et, çünkü bu son ordusudur İslâm'ın. #BarısPınarıHarekatı #BarisPinari #TurkishArmy</t>
  </si>
  <si>
    <t>ﻣﻨﺼﻮﺭ ﻏﺎﺯﻱ ‏</t>
  </si>
  <si>
    <t>د. عثمان البريكان : تركيا تدعي انها تحارب الارهاب و داعش وهم في الأساس يتحركون من خلالها .  - جمال خاشقجي #خاشقجي #ايران</t>
  </si>
  <si>
    <t>pic.twitter.com/lKC6SN9TDV</t>
  </si>
  <si>
    <t>Bosna i Hercegovina</t>
  </si>
  <si>
    <t>social democrat, likes to read, writes, researches, argues, shares truth, does not pursue wrong</t>
  </si>
  <si>
    <t>Yusuf Talha Eren</t>
  </si>
  <si>
    <t>Fırtınalar dursun yana, Yol ver Türk'ün bayrağına. #BarisPinari #TurkishArmy</t>
  </si>
  <si>
    <t xml:space="preserve"> محمد الدوسري </t>
  </si>
  <si>
    <t>أ. سامي المرشد: الدوحة أصبحت مكان لكل الشواذ سياسياً في العالم .. تلاحظ وجود الإسرائيليين، الحرس الثوري الإيراني والاخوان المسلمين المطرودين من بلدانهم .  - جمال خاشقجي #خاشقجي #الجزيرة</t>
  </si>
  <si>
    <t>https://pbs.twimg.com/media/EGcMX_pXkAAOQq_.jpg</t>
  </si>
  <si>
    <t>pic.twitter.com/whfaJ5uy96</t>
  </si>
  <si>
    <t>Sdfl'19 İÜ|Hukuk 🇹🇷</t>
  </si>
  <si>
    <t>Kerim Rifaioğlu</t>
  </si>
  <si>
    <t>#BarisPinariHarekati Allah yardımcınız olsun. 🇹🇷 #TuerkMilletiOrdusununYanında #türkiye #TurkishArmy</t>
  </si>
  <si>
    <t>All that glitters is not gold...</t>
  </si>
  <si>
    <t>http://www.ritech.com.tr</t>
  </si>
  <si>
    <t>the gates of hell</t>
  </si>
  <si>
    <t>@therealJFKFAN I'll say it again FU #JamalKhashoggi</t>
  </si>
  <si>
    <t>BEŞİKTAŞ HAYATTIR..</t>
  </si>
  <si>
    <t>#TurkishArmy bu saatten sonra kim hangi parti hangi ideoloji tarafı olursa olsun VATAN müdafaası ve TÜRK askerinin sağlığı için dua etmeli TÜRK devletide bu Piçlerin kökünü kazımadan dönmemeli.İç hesaplaşma başka VATAN müdafaası başka...🇹🇷🇹🇷🇹🇷🇹🇷🇹🇷🇹🇷🇹🇷🇹🇷🇹🇷</t>
  </si>
  <si>
    <t>#Resist twin to heather at vanisles who is suspended for 7 days. Staying here...Atheist and lover of all animals before humans. Oh I curse a lot so...</t>
  </si>
  <si>
    <t>İnegöl, Türkiye</t>
  </si>
  <si>
    <t>ATATÜRK VE BEŞİKTAŞ KONUSUNDA HASSASIM ÇOK AĞIR SÖVERİM....</t>
  </si>
  <si>
    <t xml:space="preserve"> محمود الدريبي</t>
  </si>
  <si>
    <t>د. أنور مالك :"كتاب أوراق قطر"وثيقة استثنائية يكشف عن ضخ الأموال لشبكات الإخوان المتواجدة في أوروبا، وفيه تسريبات كشفت معالم تدخل قطر في أوربا خاصة في فرنسا وسويسرا وإيطاليا وألمانيا  - جمال خاشقجي #خاشقجي #الجزيرة</t>
  </si>
  <si>
    <t>pic.twitter.com/Aha8zlYoXk</t>
  </si>
  <si>
    <t>Msarisahin</t>
  </si>
  <si>
    <t>Allah ayağınıza taş değdirmesin. #TurkishArmy</t>
  </si>
  <si>
    <t>https://pbs.twimg.com/media/EGcMXzDWwAIsrH1.jpg</t>
  </si>
  <si>
    <t>راشد الغيث</t>
  </si>
  <si>
    <t>pic.twitter.com/Vq6tNfeLzI</t>
  </si>
  <si>
    <t xml:space="preserve">34 İstanbul
</t>
  </si>
  <si>
    <t>İsa BAL 🇹🇷 Herkeş</t>
  </si>
  <si>
    <t>Vur savrulsun leşleri. Dağılsın keleşleri, Pusucu kalleşleri. Vur Allah aşkına vur! #BarışPınarıHarekatı #BarisPinari #TurkishArmy</t>
  </si>
  <si>
    <t>https://pbs.twimg.com/media/EGcMXv3XkAA_dlt.jpg</t>
  </si>
  <si>
    <t>Ataşehir, İstanbul</t>
  </si>
  <si>
    <t>İç Mimar / Interior Architect / 3D Animatör / CG Artist /</t>
  </si>
  <si>
    <t>pic.twitter.com/dCUlbCKbvP</t>
  </si>
  <si>
    <t>Fatih Özkan</t>
  </si>
  <si>
    <t>Sana secde eden ordularına yenilgi yüzü gösterme Allah'ım! #TurkishArmy #BarışPınarıHarekatı</t>
  </si>
  <si>
    <t>https://pbs.twimg.com/media/EGcMXpoW4AE9ItR.jpg</t>
  </si>
  <si>
    <t xml:space="preserve"> حسن  الدوسري</t>
  </si>
  <si>
    <t>د. محمد العوين : الحكومة القطرية ليس لها أي توجه إسلامي فهي لديها شعور بالضآلة وهو ما أوصلها للحقد والكراهية نحو المملكة .  - جمال خاشقجي #خاشقجي #الجزيرة</t>
  </si>
  <si>
    <t>AGD , #TTAksiyon , Erciyes Üniversitesi , Turkish Airlines</t>
  </si>
  <si>
    <t>pic.twitter.com/fmUpKvupqC</t>
  </si>
  <si>
    <t>Çay koy Dedem, başlıyoruz... #BarışPınarıHarekatı #TurkishArmy</t>
  </si>
  <si>
    <t>https://pbs.twimg.com/media/EGcMXVsWkAUnK-y.jpg</t>
  </si>
  <si>
    <t xml:space="preserve">ﻣﺸﻌﻞ ﺑﻦ ﻫﺎﺩﻱ </t>
  </si>
  <si>
    <t>أ. نايف الحربي: إعلامي وكاتب صحفي: ايران قابلت الاتفاق النووي بالمزيد من العمليات الإرهابية والتخريبية .  - جمال خاشقجي #خاشقجي #الجزيرة</t>
  </si>
  <si>
    <t>pic.twitter.com/DffMlmFJzM</t>
  </si>
  <si>
    <t>@Fenerbahçe 💛💙</t>
  </si>
  <si>
    <t xml:space="preserve"> ﺿﻴﻒ ﺍﻟﻠﻪ ﻋﺎﺋﺾ ‏ </t>
  </si>
  <si>
    <t>أ. نايف الحربي: إعلامي وكاتب صحفي: جماعة الأخوان الإرهابية هي من تسيطر على الإعلام القطري وهي من تدعمهم بالتقارير المزيفة .  - جمال خاشقجي #خاشقجي #ايران</t>
  </si>
  <si>
    <t>pic.twitter.com/MaZ2o8W08t</t>
  </si>
  <si>
    <t xml:space="preserve"> حمد  اسحاق</t>
  </si>
  <si>
    <t>pic.twitter.com/JSiE7Q0YW9</t>
  </si>
  <si>
    <t>WMAL Sağlık</t>
  </si>
  <si>
    <t>Sen Anlat Karadeniz'de bu akşam fırtınalar kopacak!  #TurkishArmy #EmineBulut #CheGuevara #çarşamba Arap Birliği Natali Avazyan Tevfik Göksu Merih Demiral İran Cumhurbaşkanı Ruhani Mustafa İslamoğlu Göksu'ya Bakan Akar'dan İrem Helvacıoğlu Ulaş Tuna Astepe</t>
  </si>
  <si>
    <t>https://www.wmal.net/magazin/sen-anlat-karadeniz-de-bu-aksam-firtinalar-kopacak-h17346.html</t>
  </si>
  <si>
    <t>✩ ✩ ✩ ✩ ✩</t>
  </si>
  <si>
    <t>https://wmal.net/</t>
  </si>
  <si>
    <t xml:space="preserve"> ﺭﺍﺟﺢ ﺍﻻﺣﻤﺪﻱ </t>
  </si>
  <si>
    <t>pic.twitter.com/EesZWgmNi1</t>
  </si>
  <si>
    <t>KaptanORTAKAPI</t>
  </si>
  <si>
    <t>Allah ordumuza güç versin ansızın girsek daha mı iyi olurdu acaba 2 haftadır pkk/pyd ye gelicez hazırlanın diyoruz tv lerden, tuzaklayıp kaçmıştır şerefsizler #TurkishArmy</t>
  </si>
  <si>
    <t xml:space="preserve">حمد سالم </t>
  </si>
  <si>
    <t>هام..السفير ادم ايرلي متحدث الخارجية الأمريكية السابق: اردوغان المنافق ..يذرف دموع التماسيح على جمال خاشقجي بينما يزج بالاَف الاتراك بالسجونAdam Ereli: Erdogan is the biggest hypocrite on the plant  #JamalKhashoggi #ايران</t>
  </si>
  <si>
    <t>Murat Akyüz</t>
  </si>
  <si>
    <t>pic.twitter.com/mhYfFjgXXt</t>
  </si>
  <si>
    <t>Allah yardımcınız olsun. 🇹🇷🇹🇷🇹🇷#TurkishArmy #BarışPınarıHarekatı</t>
  </si>
  <si>
    <t>Farzet ki, yazdıklarımı anlayabildin. Ya anlayamadıkların? Ya yazıp da sildiklerim? Ya yazamadıklarım?</t>
  </si>
  <si>
    <t>فرحان العنزي</t>
  </si>
  <si>
    <t>د. محمد الحلفي – باحث في التاريخ الحديث: لا يمكن لـ قناة الجزيرة ان تُذيع ولو حلقة واحدة عما يجري في الداخل القطري.  #JamalKhashoggi #الجزيرة</t>
  </si>
  <si>
    <t>internethaber.com</t>
  </si>
  <si>
    <t>pic.twitter.com/TXhLSaeNNq</t>
  </si>
  <si>
    <t>Dünyanın beklediği Türkiye'nin Suriye operasyonu resmen başladı. Cumhurbaşkanı Erdoğan haberi Twitter'dan son dakika olarak duyurdu. Türk Savaş uçakları Suriye’de Resulayn’daki hedefleri vurdu &gt;&amp;gt;  #BarisPinariHarekati #BarısPınarıOperasyonu #TurkishArmy</t>
  </si>
  <si>
    <t>https://www.internethaber.com/suriye-harekatinda-son-durum-savas-ucaklari-hedefleri-vurdu-2055547h.htm</t>
  </si>
  <si>
    <t xml:space="preserve"> مصطفى  مكي</t>
  </si>
  <si>
    <t>pic.twitter.com/nlBfOylgHT</t>
  </si>
  <si>
    <t>https://pbs.twimg.com/media/EGcMV84XYAEiqUw.jpg</t>
  </si>
  <si>
    <t>Haberin Doğru Adresi @internethaber Resmi Twitter Hesabı http://tr.pinterest.com/internethabercom http://facebook.com/internethaber http://instagram.com/wwwinternethabercom</t>
  </si>
  <si>
    <t>http://www.internethaber.com</t>
  </si>
  <si>
    <t>Laura Kolaczkowski</t>
  </si>
  <si>
    <t>#JamalKhashoggi was killed in Turkey &amp; they have the proof. Trump has 2 hotel towers in Turkey. Have to wonder what blackmail Turkey used on Trump for him to reach this decision.</t>
  </si>
  <si>
    <t>Ohio</t>
  </si>
  <si>
    <t>Patient Advocate/Activist #multiplesclerosis @iConquerMS Tweets are my own and do not represent view of others</t>
  </si>
  <si>
    <t>http://multiplesclerosis.net/author/laura</t>
  </si>
  <si>
    <t>Özcan</t>
  </si>
  <si>
    <t xml:space="preserve"> ﺳﻮﻳﻌﺪ ﺍﻟﻤﻄﻴﺮﻱ </t>
  </si>
  <si>
    <t>حصرياً.. السفير ادم ايرلي متحدث الخارجية الأمريكية السابق: اردوغان أكبر منافق في الكرة الأرضية..يذرف الدموع على خاشقجي بينما يزج بالاَف الاتراك بالسجونAdam Ereli: Erdogan is the biggest hypocrite on the plant  #خاشقجي #الجزيرة</t>
  </si>
  <si>
    <t>pic.twitter.com/lNmgOE0SrG</t>
  </si>
  <si>
    <t>executive chef</t>
  </si>
  <si>
    <t>Merely Me</t>
  </si>
  <si>
    <t>Who believes that #Trump and #JaredKushner didn't know #JamalKhashoggi was going to be butchered? RT @Amy_Siskind: What is Trump getting in return from Erdogan? Jamal Khashoggi was murdered in Turkey.</t>
  </si>
  <si>
    <t>https://twitter.com/Amy_Siskind/status/1181205848154087424
https://twitter.com/hillaryclinton/status/1181191825459159040</t>
  </si>
  <si>
    <t>Mother Earth</t>
  </si>
  <si>
    <t>Evil happens when good men (and women) stand by and do nothing. #EndTrumpTyranny #Resistance #Resist #ImpeachmentTaskForce #SaveTheEarth #ClimateChange</t>
  </si>
  <si>
    <t>erleksglu 🇹🇷</t>
  </si>
  <si>
    <t>#TurkishArmy #BarisPinariHarekati Ecdâdımızın heybeti ma'rûf-u cihândır. Fıtrat değişir sanma bu kan yine o kandır 🇹🇷</t>
  </si>
  <si>
    <t>Gümrük Müşaviri - Customs Consultant</t>
  </si>
  <si>
    <t>TC ULUCA ¹⁹⁰⁷ 🏆TÜRK</t>
  </si>
  <si>
    <t>Gazamız Muzaffer Olsun.... Mehmetlerimin Ayaklarına taş değmesin... #BarışPınarıHarekatı #TürkMilletiOrdusununYanında #TurkishArmy</t>
  </si>
  <si>
    <t>https://pbs.twimg.com/media/EGcMUlNWoAApJlS.jpg</t>
  </si>
  <si>
    <t>"ATATÜRK, Türk’e aşk, insan sevgisi ve bilimin önderliğine inanç demektir." A.TÜRKEŞ #FENERBAHÇE💛💙 RT ONAY DEĞİL BİLGİ PAYLAŞIMIDIR🇹🇷🇦🇿🇹🇲🇵🇼🇺🇿🇰🇬</t>
  </si>
  <si>
    <t>Yusuf Ozden</t>
  </si>
  <si>
    <t>#TurkishArmy #BarışPınarıHarekatı @RTErdogan 🇹🇷🇹🇷🇹🇷🇹🇷💪💪💪</t>
  </si>
  <si>
    <t>https://pbs.twimg.com/media/EGcMUidX0AQVHVv.jpg</t>
  </si>
  <si>
    <t>Adalet bakanlığı İKM</t>
  </si>
  <si>
    <t>ÖMER FARUK BAŞBUĞ</t>
  </si>
  <si>
    <t>Gazamız mübarek olsun. Rabbim yolumuzu açık etsin. Yar ve yardımcımız olsun İnşaAllah. Haydi Bismillah #BarisPinariHarekati #TurkishArmy</t>
  </si>
  <si>
    <t>Bizimkisi; Bir Osmanlı sevdâsı, Bir Kudüs rüyâsı.🇵🇸 AK Parti Konya İl Gençlik Kolları Yönetim Kurulu Üyesi 〰 Gençlik Ve Spor Bakanlığı ⏳ #EvladıOsmanlı</t>
  </si>
  <si>
    <t>http://instagram.com/omerfarkbasbug</t>
  </si>
  <si>
    <t xml:space="preserve">طلال محمود </t>
  </si>
  <si>
    <t>İnsanlık kazanacak</t>
  </si>
  <si>
    <t>#TurkishArmy hayırlarla gidin hayırlarla dönün. Fettah olan Rabbim milletimize hayır kapıları açsın.</t>
  </si>
  <si>
    <t>محلل قناة ٢٤ سعودي الفضائية د. صباح الخزاعي في بصريح العبارة : كلمة أردوغان أمام الجمعية العامة الأمم المتحدة تضمنت تصرف أحمق وصلف وعنجهية وتدخُّل فاضح في شؤون مصر .  - جمال خاشقجي #JamalKhashoggi #ايران</t>
  </si>
  <si>
    <t>pic.twitter.com/BH56vY5jT5</t>
  </si>
  <si>
    <t>Aydın</t>
  </si>
  <si>
    <t>#ege #Önceİnsan #Vicdan #KHK #FB #felsefe #din #psikoloji #dil #edebiyat</t>
  </si>
  <si>
    <t xml:space="preserve"> مشهور البارقي </t>
  </si>
  <si>
    <t>اللواء متقاعد. عبدالله القحطاني : تنظيم الإخوان تنظيم عميق وخطير ومتغلغل في القارة الأوروبية وصل لمراحل خطيرة جداً .  - جمال خاشقجي #JamalKhashoggi #تركيا</t>
  </si>
  <si>
    <t>pic.twitter.com/VsLzOWtUTu</t>
  </si>
  <si>
    <t>mammoth #BarışPınarı🇹🇷</t>
  </si>
  <si>
    <t>Allah doğruların yardımcısıdır. Zafer ise inananların. #BarışPınarıHarekatı #PeaceSpringOperation #TurkishArmy 🇹🇷</t>
  </si>
  <si>
    <t>DesertMan</t>
  </si>
  <si>
    <t>Bizim kimsenin toprağında gözümüz yoktur, Canımıza malımıza ırzımıza göz dikenin gözünü oymak için Suriyedeyiz #TurkishArmy</t>
  </si>
  <si>
    <t>Ateşle yaklaşma !!! Varsa 2 damla yağmurun, hoşgeldin hüzünlü bulutum.</t>
  </si>
  <si>
    <t>Abdulsamet MEMİŞ</t>
  </si>
  <si>
    <t>Sefer bizim zafer Allahindir.#TurkishArmy</t>
  </si>
  <si>
    <t>عبدالله القحطاني</t>
  </si>
  <si>
    <t>اللواء متقاعد. عبدالله القحطاني : النظام القطري ليس ممولاً للجماعات الإرهابية فقط بل هو يهيء الغطاء الدبلوماسي و السياسي لهم  - جمال خاشقجي #ايران #JamalKhashoggi</t>
  </si>
  <si>
    <t>https://pbs.twimg.com/media/EGcMUUnXoAAplL2.jpg</t>
  </si>
  <si>
    <t>pic.twitter.com/xBKNNSmSrU</t>
  </si>
  <si>
    <t xml:space="preserve">Istanbul </t>
  </si>
  <si>
    <t>İstanbul Aydin Üniversitesi</t>
  </si>
  <si>
    <t xml:space="preserve"> مسلم العطوي</t>
  </si>
  <si>
    <t>Kürt Gundi 🇹🇷</t>
  </si>
  <si>
    <t>Rabbim, bizler sana sığınan aciz kullarınız Suriye'de senin yolunda yürüyen Mehmetçiklerimize yardım eyle, sana düşmanlık edenler karşısında muzaffer eyle Rabbim; işiten ve görensin Dualarımızı izzet i dergâhına kabul eyle #pınarbarısharekatı #carsamba #TurkishArmy #BarisPinari</t>
  </si>
  <si>
    <t>pic.twitter.com/eTZCpJnr8n</t>
  </si>
  <si>
    <t>https://pbs.twimg.com/media/EGcMULWWwAAV1dB.jpg</t>
  </si>
  <si>
    <t>Geri takip... Cesareti olmayan kuş misali; tepeden düşenlere gülmekle geçiyor ömrüm... Müslüman Kürt</t>
  </si>
  <si>
    <t xml:space="preserve"> راشد  العبيدي</t>
  </si>
  <si>
    <t>عاجل و هام: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#السعودية</t>
  </si>
  <si>
    <t>pic.twitter.com/MVtsR0BG3N</t>
  </si>
  <si>
    <t>Umut</t>
  </si>
  <si>
    <t>Hadi Allah yardımcımız olsun 🇹🇷 #BarisPinari #TurkishArmy</t>
  </si>
  <si>
    <t>https://pbs.twimg.com/media/EGcMUAVXYAY9b8s.jpg</t>
  </si>
  <si>
    <t>ﻣﺎﻃﺮ ﺍﻟﻤﻄﻴﺮﻱ,</t>
  </si>
  <si>
    <t>pic.twitter.com/MA6d4G6nfv</t>
  </si>
  <si>
    <t>http://instagram.com/umutgulderen</t>
  </si>
  <si>
    <t>ekrem ekmen</t>
  </si>
  <si>
    <t>"İnnâ fetahnâ leke fethan mubînâ" #vatanım #TurkishArmy #BarısPınarlarıHarekatı #VakitGazaVakti</t>
  </si>
  <si>
    <t xml:space="preserve">   حمزه السيد </t>
  </si>
  <si>
    <t>أتصال/ أ. مهدي عفيفي: عضو الحزب الديموقراطي الأمريكي السابق – نيويورك: هذه ليست المرة الأولى للعصابة القطرية في تمويلها للمؤسسات المشبوهة .. وخاصةً التابعة لجماعة الاخوان الإرهابية .  - جمال خاشقجي #JamalKhashoggi #السعودية</t>
  </si>
  <si>
    <t>pic.twitter.com/a8KGhfYXhW</t>
  </si>
  <si>
    <t>Reyhanlı, Hatay</t>
  </si>
  <si>
    <t>tercüman</t>
  </si>
  <si>
    <t>Aras</t>
  </si>
  <si>
    <t>#BarışPınarıHarekati #TurkishArmy KAHRAMAN TÜRK ORDUSU GELİYOR... TÜRK 'ÜN GÜCÜNÜ GÖRECEKSİNİZ! !!!!!!!</t>
  </si>
  <si>
    <t>https://pbs.twimg.com/media/EGcMThZXoAAb36l.jpg</t>
  </si>
  <si>
    <t>🌷🇶🇦🌷عمري قطر 🌷🇶🇦🌷</t>
  </si>
  <si>
    <t>@sabqorg مزحة والد لولده وضحك قلبتوها بطش على الملأ 😂😂 والي من ذبح #خاشقجي متلثم ومتخبي ولمى جى قرار عزله ذبح #عبدالعزيز__بداح_الفغم وإلى اليوم يتحايل على القانون وعامل حاله مش فاعم ومايدري من ذبح من مانقول لكم غير الله لا يبلانا مما إبتلاكم به</t>
  </si>
  <si>
    <t>التغريدات في المفضلة</t>
  </si>
  <si>
    <t>Vatan-Devlet-Millet ve Bayrak Aşığı 🌟🌙 Allah Türk 'e yar olsun, Turan eller var olsun...</t>
  </si>
  <si>
    <t>محمد الدرعاني</t>
  </si>
  <si>
    <t>pic.twitter.com/SQBLEKwrGD</t>
  </si>
  <si>
    <t>Anıl Aksoy</t>
  </si>
  <si>
    <t>Allah yardımcınız olsun. #TurkishArmy #OperationPeaceSpring</t>
  </si>
  <si>
    <t>Yaşamak bir ağaç gibi tek ve hür.</t>
  </si>
  <si>
    <t>pic.twitter.com/bezY7w0XLK</t>
  </si>
  <si>
    <t>Mustafa Çalışkan</t>
  </si>
  <si>
    <t>Die #Türkei kämpft nicht gegen die „DIE #Kurden“! Die Türkei wird lediglich nur gegen die Terroristen ( PKK, YPG, SDF, IS und wie sie alle heißen ) ! @zeitonline #TurkishArmy #BarışPınarıHarekatı #StandWithTheKurds RT @zeitonline: Nordsyrien: Türkei beginnt Offensive gegen Kurden</t>
  </si>
  <si>
    <t>https://twitter.com/zeitonline/status/1181922030310035456
https://www.zeit.de/politik/ausland/2019-10/nordsyrien-tuerkei-beginnt-offensive-gegen-kurden</t>
  </si>
  <si>
    <t>Konya-Hannover-Bremen-München</t>
  </si>
  <si>
    <t>Marmara Üniversitesi / YL</t>
  </si>
  <si>
    <t>http://Instagram.com/calisknmstf</t>
  </si>
  <si>
    <t>Steveo’s news outlet</t>
  </si>
  <si>
    <t>@WatergateStupid @thehill #JamalKhashoggi</t>
  </si>
  <si>
    <t xml:space="preserve">🌎 </t>
  </si>
  <si>
    <t>Moderation is 🔑</t>
  </si>
  <si>
    <t>Ayrıntılı Haber</t>
  </si>
  <si>
    <t>Türk savaş uçakları Resulayn bölgesini vurdu! 📍#BarisPinari Harekatı, Suriye’nin kuzeyinde yer alan terör hedeflerinin etkisiz hale getirilmesi amacıyla resmen başlatıldı. #TurkishArmy #BarışPınarıHarekati</t>
  </si>
  <si>
    <t>pic.twitter.com/228IFIBtqg</t>
  </si>
  <si>
    <t>Ayrıntılı Haber Gazetesi resmî Twitter hesabı. Facebook: http://fb.com/ayrintilihaber</t>
  </si>
  <si>
    <t>http://www.ayrintilihaber.com.tr</t>
  </si>
  <si>
    <t>yyyyulia👶🏻 bambi seokjin main enthusiast</t>
  </si>
  <si>
    <t>wth #TurkishArmy</t>
  </si>
  <si>
    <t>каллены сюда не суются</t>
  </si>
  <si>
    <t>19/ru/eng/she/intp/lesbian my name is yulia #loonarmytaejinkookers:seokjinnies are just horny alphas</t>
  </si>
  <si>
    <t>https://www.instagram.com/zurichtair/</t>
  </si>
  <si>
    <t xml:space="preserve">قاسم قريطي </t>
  </si>
  <si>
    <t>pic.twitter.com/P5rJ2Swa3f</t>
  </si>
  <si>
    <t xml:space="preserve"> أحمد الحربى </t>
  </si>
  <si>
    <t>pic.twitter.com/OFrcK2fFO3</t>
  </si>
  <si>
    <t>Emre 🇹🇷</t>
  </si>
  <si>
    <t>Sen sözünde durdun, biz ölene dek arkandayız. @RTErdogan #BarısPınarlarıHarekatı #BarisPinariHarekati #TurkishArmy</t>
  </si>
  <si>
    <t xml:space="preserve"> عبدالرحمن الجريد </t>
  </si>
  <si>
    <t>عاجل و مهم :أحد كبار ضباط المخابرات الامريكية -CIA - : تسريبات تركيا ليست صديقة بل عدائية وتستهدف توجيه حملة دولية ضد السعودية 2⃣ ما يحدث في تركيا من استضافة الاخوان وقنواتهم هو تهديد للسعودية  - جمال خاشقجي #خاشقجي #ايران</t>
  </si>
  <si>
    <t>https://pbs.twimg.com/media/EGcMRg6WoAIXKMU.jpg</t>
  </si>
  <si>
    <t>pic.twitter.com/E540VCaMYq</t>
  </si>
  <si>
    <t>CLK</t>
  </si>
  <si>
    <t>https://pbs.twimg.com/media/EGcMR7IWkAACeUn.jpg</t>
  </si>
  <si>
    <t xml:space="preserve"> رافت البلاع </t>
  </si>
  <si>
    <t>اللواء متقاعد. عبدالله القحطاني : تنظيم الإخوان تنظيم عميق وخطير ومتغلغل في القارة الأوروبية وصل لمراحل خطيرة جداً .  - جمال خاشقجي #خاشقجي #ايران</t>
  </si>
  <si>
    <t>pic.twitter.com/mepOKaCjQR</t>
  </si>
  <si>
    <t>iyi kitaplar okumak , geçmiş yüzyılların en iyi insanlarıyla sohbet etmek gibidir.</t>
  </si>
  <si>
    <t>Efrahim</t>
  </si>
  <si>
    <t>#TurkishArmy Allah bless you 🐺</t>
  </si>
  <si>
    <t>Benim bilmediğiniz ne gaflarım var (RT) @çukurovaüniversitesi @ÇılgınMühendis</t>
  </si>
  <si>
    <t>beyzA</t>
  </si>
  <si>
    <t xml:space="preserve"> محمد الخرشت</t>
  </si>
  <si>
    <t>اتصال / أ. خالد الزعتر : محلل سياسي – الرياض : رفع العلم الإسرائيلي في الدوحة هو إثبات للعلاقات الإسرائيلية القطرية وهذا ما تثبته الوقائع التاريخية على مر السنين .  - جمال خاشقجي #JamalKhashoggi #ايران</t>
  </si>
  <si>
    <t>https://pbs.twimg.com/media/EGcMRvZX0AA9ggw.jpg</t>
  </si>
  <si>
    <t>pic.twitter.com/ozxL4NH6lO</t>
  </si>
  <si>
    <t>Izmir, Turkey</t>
  </si>
  <si>
    <t>fear fun, fear love</t>
  </si>
  <si>
    <t>batuhan ünal</t>
  </si>
  <si>
    <t>Vur şanlı silahınla gönül mülkü düzelsin. Sen vururken de öldürürken de güzelsin....... #TurkishArmy</t>
  </si>
  <si>
    <t>https://pbs.twimg.com/media/EGcMHBKWkAAhsAJ.jpg</t>
  </si>
  <si>
    <t xml:space="preserve"> عبود العبيد</t>
  </si>
  <si>
    <t>pic.twitter.com/pufFHlL9ME</t>
  </si>
  <si>
    <t>Ertuğrul gazi</t>
  </si>
  <si>
    <t xml:space="preserve"> عيسي راجح  </t>
  </si>
  <si>
    <t>pic.twitter.com/nYQsoP1U0d</t>
  </si>
  <si>
    <t xml:space="preserve"> عبدالله  المزعل </t>
  </si>
  <si>
    <t>د.عمر عبدالستار: الخرق الثالث لإيران في الملف النووي قد يؤدي لإنسحاب أوروبي من الاتفاق النووي وصولاً إلى تفعيل آلية فض النزاع التي قد تؤدي إلى عودة إيران إلى البند السابع مرورا بمجلس الأمن الدولي  - جمال خاشقجي #خاشقجي #عام_على_رحيل_جمال</t>
  </si>
  <si>
    <t>pic.twitter.com/FZjIUCtx01</t>
  </si>
  <si>
    <t>BuRHaN 🇹🇷</t>
  </si>
  <si>
    <t>#BarışPınarıHarekati #TurkishArmy Sefer bizim zafer Allah' ındır!</t>
  </si>
  <si>
    <t>https://pbs.twimg.com/media/EGcMRSuXYAE0pq_.jpg</t>
  </si>
  <si>
    <t xml:space="preserve"> بدر  الرويلي</t>
  </si>
  <si>
    <t>pic.twitter.com/YsQFrV2nSo</t>
  </si>
  <si>
    <t>Volkanyeah1907🇺🇦</t>
  </si>
  <si>
    <t>Yeahhhhhhhh🧿#TurkishArmy</t>
  </si>
  <si>
    <t>pic.twitter.com/kTwCwXELOP</t>
  </si>
  <si>
    <t>Ne Azizci,ne Alici,ne Aykutçu,ne de Ersuncu direk Fenerbahçeli🇺🇦🇺🇦🇺🇦İyi seyirler👍</t>
  </si>
  <si>
    <t>Gökhan Karaca</t>
  </si>
  <si>
    <t>#TurkishArmy asaletine tüm dünya kurban olsun</t>
  </si>
  <si>
    <t>https://pbs.twimg.com/media/EGcMQpJXUAEj27x.jpg</t>
  </si>
  <si>
    <t xml:space="preserve"> مبارك خليفه </t>
  </si>
  <si>
    <t>pic.twitter.com/ECygecx5FP</t>
  </si>
  <si>
    <t>Arkadaş ateş gibidir. Azı nimet çoğu felakettir.</t>
  </si>
  <si>
    <t xml:space="preserve">أيمن بن محمد </t>
  </si>
  <si>
    <t>أ. عبدالرحمن الملحم - كاتب ومحلل سياسي : ايران استغلت ضعف الإدارة الامريكية السابقة إدارة "أوباما" .. حين تم توقيع موضوع الملف النووي .  - جمال خاشقجي #JamalKhashoggi #تركيا</t>
  </si>
  <si>
    <t>pic.twitter.com/PMgLE6kuu4</t>
  </si>
  <si>
    <t>Düşünen DeLi</t>
  </si>
  <si>
    <t xml:space="preserve">خالد عبدالله </t>
  </si>
  <si>
    <t>Rabbim mehmetçiğin yar ve yardımcısı olsun. Ve #BarisPinari operasyonu başladı..ALLAH Askerlerimizi korusun...Ayaklarına taş değdirmesin sağ salim Başarı ile çıkmalarını sağlasın.. #TurkishArmy "Haydi Bismillah" #BarisPinariHarekati</t>
  </si>
  <si>
    <t>د. محمد الحلفي – الباحث في التاريخ الحديث: اصبح التسويق لـ قناة الجزيرة غير مقبول في ظل ما تقوم به.  #JamalKhashoggi #ايران</t>
  </si>
  <si>
    <t>pic.twitter.com/XRRWiI3tqf</t>
  </si>
  <si>
    <t>https://pbs.twimg.com/media/EGcMPKsXoAIOuML.jpg</t>
  </si>
  <si>
    <t>Sayfayı Takip etmeyi ve Paylaşımları Retweet Lemeyi unutmayın..Sorularınız ve Sorunlarınız için ➡️DM...HALKTAN Yana Biri..</t>
  </si>
  <si>
    <t>mustafa berigel</t>
  </si>
  <si>
    <t>#TurkishArmy Bismillah tevekkültü alellah lahavle vela kuvvete illa billah! Erdoğan: Türk Silahlı Kuvvetleri'miz Suriye Milli Ordusu'yla birlikte Suriye'nin kuzeyinde PKK/YPG ve Deaş terör örgütlerine karşı #BarışPınarıHarekatı'nı başlatmıştır. Rabbim yardımcımız olsun.</t>
  </si>
  <si>
    <t>فيصل الشثري</t>
  </si>
  <si>
    <t>çiko bruno</t>
  </si>
  <si>
    <t>اللواء متقاعد. عبدالله القحطاني : أينما وجدت ايران و قطر و تركيا وُجد الارهاب .  - جمال خاشقجي #خاشقجي #ايران</t>
  </si>
  <si>
    <t>If Europe keep silent about Turkey's Attack on #kurds in #Syria Europe must know that: #Europe will be first to bear the brunt because #Erdogan going to north Syria to free 10 000 #ISIS fighters,who are currently inside Kurdish prisons Help kurdish people #BM #TurkishArmy</t>
  </si>
  <si>
    <t>pic.twitter.com/ZFukPH0SZe</t>
  </si>
  <si>
    <t>küçükken hiç bisiklete binmeyen bir cocuk...</t>
  </si>
  <si>
    <t>http://www.instagram.com/cikobruno</t>
  </si>
  <si>
    <t xml:space="preserve"> ﻋﺒﺪﺍﻟﻠﻪ ﺑﻦ ﻓﺎﻟﺢ</t>
  </si>
  <si>
    <t>تقرير: علم إسرائيل يرفرف مجدداً في سماء الدوحة في بطولة ألعاب القوى.  - جمال خاشقجي #ايران #JamalKhashoggi</t>
  </si>
  <si>
    <t>Muharrem</t>
  </si>
  <si>
    <t>#TurkishArmy 🇹🇷 #TurkMilletiOrdusununYanındadır</t>
  </si>
  <si>
    <t>pic.twitter.com/d10WaSyWem</t>
  </si>
  <si>
    <t>https://pbs.twimg.com/media/EGcMPPkXoAI3srG.jpg</t>
  </si>
  <si>
    <t>#M13 #FU #inşaat #mühendisi</t>
  </si>
  <si>
    <t>ali</t>
  </si>
  <si>
    <t>NASILSIN, İYİ MİSİN? TÜRK DEVLETİNİ TANIYOR MUSUN ARTIK? @hdpdemirtas #TurkishArmy #BarışPınarıHarekati</t>
  </si>
  <si>
    <t>https://pbs.twimg.com/media/EGcMO2lXoAAnrPQ.jpg</t>
  </si>
  <si>
    <t>فهد هتلان</t>
  </si>
  <si>
    <t>أ. نايف الحربي: إعلامي وكاتب صحفي: قطر تريد أن تشق الصف العربي والإسلامي .  - جمال خاشقجي #ايران #JamalKhashoggi</t>
  </si>
  <si>
    <t>pic.twitter.com/f77Rukllfo</t>
  </si>
  <si>
    <t>Merve Asena Çiçek</t>
  </si>
  <si>
    <t>Vakit düğün vakti.. #BarışPınarıHarekati #TurkishArmy</t>
  </si>
  <si>
    <t>https://pbs.twimg.com/media/EGcMOsYXUAAmiS-.jpg</t>
  </si>
  <si>
    <t>Afyon Kocatepe Üniversitesi | GSB Kamp Lideri</t>
  </si>
  <si>
    <t>Bircan Basak 🇹🇷</t>
  </si>
  <si>
    <t>Diyarbakır'dan Havalanan F-16'lar gereğeni yapıyor... Tel Abyad ve Resulayn’daki terör örgütü YPG’ye ait silah depoları, mevziler, barınaklar Türk Hava Kuvvetleri tarafından vuruluyor. #BarışPınarıHarekatı #BarisPinari #TurkishArmy 🇹🇷🇹🇷🇹🇷</t>
  </si>
  <si>
    <t>https://pbs.twimg.com/media/EGcMOyZXkAEK680.jpg</t>
  </si>
  <si>
    <t xml:space="preserve"> كاظم الضفيرى</t>
  </si>
  <si>
    <t>هام وعاجل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#ايران</t>
  </si>
  <si>
    <t>pic.twitter.com/710gZ5uakv</t>
  </si>
  <si>
    <t>لاَ ت حْزَنْ إِنَّ اللّهَ مَعَنَا biz hala aynı yerde #ÖlümüneErdoğan #WeLoveErdoğan #BizÖlümüne @RTErdogan #AkEkip #EkipPayitaht</t>
  </si>
  <si>
    <t>Salih Çebi</t>
  </si>
  <si>
    <t>ZAFER ÌNANANLARINDIR.🇹🇷🇹🇷🇹🇷🇹🇷 #TurkishArmy</t>
  </si>
  <si>
    <t>https://pbs.twimg.com/media/EGcMO3xW4AAdbpk.jpg</t>
  </si>
  <si>
    <t>Gülçin Tozluca</t>
  </si>
  <si>
    <t>Allah Yâr ve Yardımcımız Olsun Dualarımız Sizlerle 🤘🤘🇹🇷🇹🇷 #BarisPinariHarekati #TurkishArmy #Türkaskeri</t>
  </si>
  <si>
    <t>https://pbs.twimg.com/media/EGcMM55X0AA1TQa.jpg</t>
  </si>
  <si>
    <t>Konya/Adana 🇹🇷</t>
  </si>
  <si>
    <t>Ş𝚎𝚢𝚖𝚊 Ş𝙴𝙽</t>
  </si>
  <si>
    <t>#TurkishArmy Aşk ile çıktık yola yenilendik, tazelendik Sevdalıyız bu Vatan'a Haydi Bismillah Söylenecek sözümüz var. Yürünecek yolumuz var. Hep beraber yürüyelim Haydi Bismillah #turkmilletiordusununyaninda</t>
  </si>
  <si>
    <t>https://pbs.twimg.com/media/EGcMNm0WsAAM5qj.jpg</t>
  </si>
  <si>
    <t xml:space="preserve">    لكسح الكربي</t>
  </si>
  <si>
    <t>pic.twitter.com/56US6ce29A</t>
  </si>
  <si>
    <t>Bursa/İnegöl #Akparti Tşk.💡 Byn Hacker Bilişm&amp;Net🛡 Bjk~Kartaliçe🌟🌟🌟 İslam&amp;Vatan 🕋 🇹🇷 http://Instagram.com/amatormzk16 http://Instagram.com/senseymaa</t>
  </si>
  <si>
    <t>http://youtube.com/c/KanalNetizmSeymaSen</t>
  </si>
  <si>
    <t>KrSd ArS</t>
  </si>
  <si>
    <t>abbas.elfaisal@yande</t>
  </si>
  <si>
    <t>د. محمد الحلفي : باحث في التاريخ الحديث : نشأت قناة الجزيرة من اجل استهداف دول مُعينة.  #JamalKhashoggi #ايران</t>
  </si>
  <si>
    <t>Allah Yar ve yardımcısı olsun ordumuzun.İşi buralara kadar getirmeden,diplomasi ile ve hatasız yönetebilirdik süreçleri,çok büyük yanlışlar yapıldı ve maalesef olmadı. Artık söz bitti.Hepimiz Türk Askeriyiz, duadayız.Mübarek olsun. #BarisPinari #TurkishArmy #BarışPınarıHarekati</t>
  </si>
  <si>
    <t>pic.twitter.com/cDvwmQM1yg</t>
  </si>
  <si>
    <t>~ ••• RoVa İNŞaaT ••• ~</t>
  </si>
  <si>
    <t>Ak Gençlik Yomra</t>
  </si>
  <si>
    <t>Şu kopan fırtına Türk ordusudur yâ Rabbi.. Senin uğrunda ölen ordu, budur yâ Rabbi.. Tâ ki yükselsin ezanlarla müeyyed nâmın, Galip et, çünkü bu son ordusudur İslâm'ın! #TurkishArmy #BarışPınarıHarekatı #OperationPeaceSpring</t>
  </si>
  <si>
    <t>https://pbs.twimg.com/media/EGcMM--XUAMKeaw.jpg</t>
  </si>
  <si>
    <t xml:space="preserve"> سعود  الحارثي</t>
  </si>
  <si>
    <t>pic.twitter.com/fhlYnLm6tV</t>
  </si>
  <si>
    <t>Yomra, Trabzon</t>
  </si>
  <si>
    <t>Ak Parti Yomra Gençlik Kolları Resmi Twitter hesabıdır.</t>
  </si>
  <si>
    <t>https://m.facebook.com/yomraakgenclik/</t>
  </si>
  <si>
    <t>علي الشهراني</t>
  </si>
  <si>
    <t>العميد متقاعد. حسن الشهري: قناة الجزيرة تستهدف الشعب السعودي منذ عام 96 وعندما فشلت انتقلت إلى صف الأعداء .  - جمال خاشقجي #ايران #JamalKhashoggi</t>
  </si>
  <si>
    <t>pic.twitter.com/1XzHZhqUBN</t>
  </si>
  <si>
    <t>Taha Buğra Erdemir</t>
  </si>
  <si>
    <t>Allah yar yardımcınız olsun 🇹🇷 #TurkishArmy</t>
  </si>
  <si>
    <t>عبود الأركاني</t>
  </si>
  <si>
    <t>هام..السفير ادم ايرلي متحدث الخارجية الأمريكية السابق: اردوغان المنافق ..يذرف دموع التماسيح على جمال خاشقجي بينما يزج بالاَف الاتراك بالسجونAdam Ereli: Erdogan is the biggest hypocrite on the plant  #JamalKhashoggi #قطر</t>
  </si>
  <si>
    <t>pic.twitter.com/xqt8Jb7ZMY</t>
  </si>
  <si>
    <t>خسارة بطولة ليست نهاية العالم القادم أجمل يا أهلي</t>
  </si>
  <si>
    <t xml:space="preserve"> عمر المحمدي</t>
  </si>
  <si>
    <t>السفير ادم ايرلي متحدث الخارجية الأمريكية السابق: اردوغان أكبر منافق في الكرة الأرضية..يذرف دموع التماسيح على خاشقجي بينما يزج بالاَف الاتراك بالسجونAdam Ereli: Erdogan is the biggest hypocrite on the plant  #JamalKhashoggi #الجزيرة</t>
  </si>
  <si>
    <t>pic.twitter.com/Gl4ty6N5Yv</t>
  </si>
  <si>
    <t>N</t>
  </si>
  <si>
    <t>YOL VER TÜRK'ÜN BAYRAĞINA! #BarışPınarıHarekatı #TurkishArmy</t>
  </si>
  <si>
    <t>ﺳﻌﺪ ﺍﻟﻜﺤﻴﻠﻲ</t>
  </si>
  <si>
    <t>اللواء متقاعد د. شامي الظاهري : تنظيم الإخوان هو المحرك الأساسي للدولتين قطر و تركيا .  - جمال خاشقجي #JamalKhashoggi #ايران</t>
  </si>
  <si>
    <t>pic.twitter.com/7Qk9Ci0XLB</t>
  </si>
  <si>
    <t>cnrbkts</t>
  </si>
  <si>
    <t>Allah ordumuzu muzaffer eylesin #BarisPinariHarekati #TurkishArmy</t>
  </si>
  <si>
    <t xml:space="preserve"> ﺳﺎﻳﺮ ﺍﻟﻌﺘﻴﺒﻲ</t>
  </si>
  <si>
    <t>العميد متقاعد. حسن الشهري: الدوحة مُسيرة ولا تملك من امرها شيء فلديها برنامج تخريبي في المنطقة يجب ان تُنفذه فالمُستهدف هو الاسلام.  - جمال خاشقجي #خاشقجي #الجزيرة</t>
  </si>
  <si>
    <t>pic.twitter.com/8s94G8gHT3</t>
  </si>
  <si>
    <t>mesut karayildirim</t>
  </si>
  <si>
    <t>Allah devletimize ve ordumuza zeval vermesin... #BarisPinari #TurkishArmy</t>
  </si>
  <si>
    <t>34-23 . Tıp»»IÜDHF(çapa diş)4/5 Dentist-Siyasetçi adayi THY kaptan pilotluğu belki 😉</t>
  </si>
  <si>
    <t xml:space="preserve"> جاسر  الجاسر </t>
  </si>
  <si>
    <t>محلل قناة ٢٤ سعودي الفضائية صباح الخزاعي في بصريح العبارة : ارتباط دبلوماسيين إيرانيين بمخطط الهجوم على مباراة كرة القدم في كأس العالم عام 2016م في ألبانيا  #خاشقجي #الاخوان</t>
  </si>
  <si>
    <t>pic.twitter.com/c0nNmykklu</t>
  </si>
  <si>
    <t>ADEM ÇAYIR</t>
  </si>
  <si>
    <t>Gazanız mübarek olsun aslanlar #TurkishArmy</t>
  </si>
  <si>
    <t xml:space="preserve"> فهد السطامي</t>
  </si>
  <si>
    <t>ادم ايرلي متحدث الخارجية الأمريكية السابق: اردوغان أكبر منافق في العالم..يذرف دموع التماسيح على جمال خاشقجي بينما يزج بالاَف الاتراك بالسجونAdam Ereli: Erdogan is the biggest hypocrite on the plant  #JamalKhashoggi #الجزيرة</t>
  </si>
  <si>
    <t>pic.twitter.com/KBq9G5jVSB</t>
  </si>
  <si>
    <t>عبدالله صالح</t>
  </si>
  <si>
    <t>pic.twitter.com/QlUtBHJC9r</t>
  </si>
  <si>
    <t xml:space="preserve">  بدر  الظاهري </t>
  </si>
  <si>
    <t>اللواء متقاعد د. شامي الظاهري : الجناح الرئيسي لـ ايران هم الحوثيين ، إذا كسِر هذا الجناح ستضعف إيران كثيراً .  - جمال خاشقجي #JamalKhashoggi #قطر</t>
  </si>
  <si>
    <t>pic.twitter.com/MLgGRaSdPX</t>
  </si>
  <si>
    <t>🕊HANCI🕊</t>
  </si>
  <si>
    <t>Yaşarsak Gazi ölürsek şehit. Her türlü giderim yeter ki vatan sağ olsun.Bu topraklar için canım feda olsun..🇹🇷🇹🇷 🇹🇷#BarisPinari #TurkishArmy🇹🇷 ALLAH VATANIMIZI MILLETIMIZI MEHMETÇİĞİMİZİ KORUSUN !! .🤲 DUALARIMIZ SIZINLE YIĞITLER ALLAH YAR VE YARDIMCINIZ OLSUN...🤲</t>
  </si>
  <si>
    <t>https://pbs.twimg.com/media/EGcMKUjWwAE03KV.jpg</t>
  </si>
  <si>
    <t xml:space="preserve"> أحمد  اليحياء</t>
  </si>
  <si>
    <t>اللواء متقاعد. عبدالله القحطاني : تنظيم الإخوان تنظيم عميق وخطير ومتغلغل في القارة الأوروبية وصل لمراحل خطيرة جداً .  - جمال خاشقجي #JamalKhashoggi #ايران</t>
  </si>
  <si>
    <t>pic.twitter.com/a4upm6LX55</t>
  </si>
  <si>
    <t xml:space="preserve">Türkiye </t>
  </si>
  <si>
    <t>Umudum bitmedi 1 EYLÜL 2016 T 672 T K H K</t>
  </si>
  <si>
    <t>ابو فارس بن عبدالله</t>
  </si>
  <si>
    <t>لن يرحموك اسيادك ولو بلطت لهم البحر .. ألم يهينو كرامتك بحجزك وضربك في الرياض ولولا تدخل الفرنسيين لكان الصهيوني بن سلمان قطعك مثل #خاشقجي. ياحريري اعتز بلبنانيتك ولاتكن امعه وماسح احذي لاسيادك بالسعودية والامارات فهم في الرمق الاخير للسقوط ياساقط يامضربة ياعميل. RT @saadhariri: ننحني إجلالاً أمام تضحيات أبطال القوات المسلحة الإماراتية، الذين فدوا بأرواحهم هذا البلد الحبيب ودافعوا عن أمان أهله الأعزاء وعن العروبة جمعاء. رحم الله شهداءكم الأبرار وأسكنهم فسيح جناته. #الامارات #لبنان</t>
  </si>
  <si>
    <t>Berat Tunalı</t>
  </si>
  <si>
    <t>Ya Allah bismillah #BarisPinariHarekati #TurkishArmy</t>
  </si>
  <si>
    <t>https://twitter.com/saadhariri/status/1181289882297090048</t>
  </si>
  <si>
    <t>Konya</t>
  </si>
  <si>
    <t>pic.twitter.com/aRGsVQLOoT</t>
  </si>
  <si>
    <t>HER ZAMAN ŞÜKÜR EDİN! KBÜ/KONYA Basketbol 🏀🥇</t>
  </si>
  <si>
    <t>http://instagram.com/berattunali</t>
  </si>
  <si>
    <t>Törekul</t>
  </si>
  <si>
    <t>Bozkurtlar Ordusu hücuma geçti. Allah yar ve yardımcımız olsun. #TurkishArmy</t>
  </si>
  <si>
    <t>🤘KÜN TUĞ BOLGIL KÖK KURIKAN🤘 Türk Birleşik Devletleri Konfederasyonu</t>
  </si>
  <si>
    <t>İnci</t>
  </si>
  <si>
    <t>ﺳﻠﻴﻢ ﺍﻟﺮﺩﺍﺩﻱ</t>
  </si>
  <si>
    <t>#BarisPinari #TurkishArmy</t>
  </si>
  <si>
    <t>اللواء متقاعد. عبدالله القحطاني : أينما وجدت ايران و قطر و تركيا وُجد الارهاب .  - جمال خاشقجي #JamalKhashoggi #الجزيرة</t>
  </si>
  <si>
    <t>https://pbs.twimg.com/media/EGcMKZCXYAACqIt.jpg</t>
  </si>
  <si>
    <t>pic.twitter.com/pXxPvA8ugx</t>
  </si>
  <si>
    <t>Tayyip Erdoğan University</t>
  </si>
  <si>
    <t xml:space="preserve"> عبد الباسط  ال عبد </t>
  </si>
  <si>
    <t>pic.twitter.com/oyHCaTk72O</t>
  </si>
  <si>
    <t>ش</t>
  </si>
  <si>
    <t>Ey şanlı ordu,ey şanlı asker Haydi gazanfer, umman-ı safter Bir elde kalkan, bir elde hançer Serhadde doğru ey şanlı asker. #TurkishArmy #BarisPinari #BarisPinariHarekati</t>
  </si>
  <si>
    <t>https://pbs.twimg.com/media/EGcMKTjXoAEN87q.jpg</t>
  </si>
  <si>
    <t>حسن المحجاني</t>
  </si>
  <si>
    <t>pic.twitter.com/EshvfF23a4</t>
  </si>
  <si>
    <t>☪</t>
  </si>
  <si>
    <t>Ali Emre</t>
  </si>
  <si>
    <t>Hazırlansın Tabutluklar Yine Girip Çıkacağız ! Ya Allah Bismillah ! Rabbim Ordumuzun Yardımcısı Olsun... 🇹🇷 #TurkishArmy #BarisPinari #BarışPınarıHarekati</t>
  </si>
  <si>
    <t>https://pbs.twimg.com/media/EGcMKGAWkAE0Arg.jpg</t>
  </si>
  <si>
    <t>pic.twitter.com/hDAVILqIYA</t>
  </si>
  <si>
    <t>🇹🇷 @uniakkonya Teşkilatlanma Başkanı 🇹🇷</t>
  </si>
  <si>
    <t xml:space="preserve"> ماجد الدوسري</t>
  </si>
  <si>
    <t>أ. نايف الحربي: إعلامي وكاتب صحفي: جماعة الأخوان الإرهابية هي من تسيطر على الإعلام القطري وهي من تدعمهم بالتقارير المزيفة .  - جمال خاشقجي #JamalKhashoggi #الجزيرة</t>
  </si>
  <si>
    <t>pic.twitter.com/H05Wq2wvdY</t>
  </si>
  <si>
    <t xml:space="preserve"> غنام  صالح </t>
  </si>
  <si>
    <t>محلل قناة ٢٤ سعودي الفضائية د. عمر عبدالستار في نيران ايران : ايران بهذا النظام غير قابلة للتغيير، ولكنها في نفس الوقت هي عرضة للتفكك  - جمال خاشقجي #خاشقجي #ايران</t>
  </si>
  <si>
    <t>pic.twitter.com/37YGpxHL9Q</t>
  </si>
  <si>
    <t>Seda Erbaş</t>
  </si>
  <si>
    <t>Bismillâh tevekkeltü alâllâh lâ havle velâ kuvvete illâ billâh. Rabbim utandırma, yiğitlerimize muvaffakiyet nasip et! 🇹🇷 #BarışPınarıHarekatı #TurkishArmy</t>
  </si>
  <si>
    <t>"Yaşantımız duâmız olsun ömrümüze/ Âminimiz de ölümümüz..."</t>
  </si>
  <si>
    <t xml:space="preserve"> ﺑﻨﺪﺭ ﻋﻴﺴﻲ</t>
  </si>
  <si>
    <t>محلل قناة ٢٤ سعودي الفضائية د. أنور مالك في المراقب : واضح جداً ومما لا شك فيه أبداً أن الممول للحوثيين هم ملالي طهران ويتم ذلك عبر الحرس الثوري الإيراني أو حزب الله اللبناني  - جمال خاشقجي #JamalKhashoggi #ايران</t>
  </si>
  <si>
    <t>pic.twitter.com/MUurUoHT8n</t>
  </si>
  <si>
    <t xml:space="preserve"> ﻋﺒﺪﺍﻟﻠﻪ ﺍﻟﺸﻬﺮﺍﻧﻲ</t>
  </si>
  <si>
    <t>pic.twitter.com/q0OoljgsTZ</t>
  </si>
  <si>
    <t>Kadir Topal</t>
  </si>
  <si>
    <t>#TurkishArmy Allahumme'nsur ibadike'l -muminine ale'l -kafirine nasran aziza" "Allah’ım, yüce yardımınla kafir topluluğuna karşı, inanan kullarına yardımcı ol."</t>
  </si>
  <si>
    <t>https://pbs.twimg.com/media/EGcMJlaWoAAVuRM.jpg</t>
  </si>
  <si>
    <t xml:space="preserve"> فيصل الحازمي </t>
  </si>
  <si>
    <t>pic.twitter.com/cBnaJhkEjp</t>
  </si>
  <si>
    <t xml:space="preserve">حمود رشيد </t>
  </si>
  <si>
    <t>حصرياً..السفير ادم ايرلي متحدث الخارجية الأمريكية السابق: اردوغان أكبر منافق ..يذرف دموع التماسيح على جمال خاشقجي بينما يزج بالاَف الاتراك بالسجونAdam Ereli: Erdogan is the biggest hypocrite on the plant  #JamalKhashoggi #الجزيرة</t>
  </si>
  <si>
    <t>pic.twitter.com/wZtGZH3I0e</t>
  </si>
  <si>
    <t xml:space="preserve"> عبدالمحسن  الحمالي</t>
  </si>
  <si>
    <t>محلل قناة ٢٤ سعودي الفضائية د. عمر عبدالستار في نيران ايران: لا رفع للعقوبات الأمريكية على ايران، ولا لقاء بين ترمب وخامنئي هذا هو السيناريو الأول  #خاشقجي #الاخوان</t>
  </si>
  <si>
    <t>pic.twitter.com/LTdUVVvbdp</t>
  </si>
  <si>
    <t>Emre Doğan</t>
  </si>
  <si>
    <t>@abdullahciftcib 🇹🇷🇹🇷🇹🇷🇹🇷🇹🇷🇹🇷🇹🇷🇹🇷 "Allahûteala" ordumuzu muzaffer kılsın, muvaffak eylesin. Gazamız mübarek olsun... ⚪☆🔴#BarışPınarıHarekatı ⚪☆🔴#TurkishArmy ⚪☆🔴#BarisPinari</t>
  </si>
  <si>
    <t>https://pbs.twimg.com/media/EGcMIfsXkAEGKzX.jpg</t>
  </si>
  <si>
    <t>Gümüşhane, Türkiye</t>
  </si>
  <si>
    <t>🇹🇷 #Cemahir'i #Müttefika'i #İslamiye 🇹🇷 AzametIi bahtsız bir kıt’anın, şanIı taIi’siz bir devIetin, değerIi sahibsiz bir kavmin reçetesi; ittihad-ı İsIâmdır</t>
  </si>
  <si>
    <t>https://www.youtube.com/channel/UCUCktphEW1RAT-2nynMpREg</t>
  </si>
  <si>
    <t>Iman Abdi Jama</t>
  </si>
  <si>
    <t>Turkey’s Erdogan announces start of military offensive in northern Syria after Trump’s decision to withdraw U.S. troops #TurkishArmy</t>
  </si>
  <si>
    <t>https://pbs.twimg.com/media/EGcMH3dWwAAfZfl.jpg</t>
  </si>
  <si>
    <t>Somalia</t>
  </si>
  <si>
    <t>الحمد لله على ما أنا عليه و على ما كُنت و ما سأكون.🙏🌹</t>
  </si>
  <si>
    <t>http://linkedin.com/in/iman-abdi-jama-250b0abb</t>
  </si>
  <si>
    <t>Emre GÜLHAN</t>
  </si>
  <si>
    <t>Şanlı TÜRK ordusunun başlatmış olduğu #BarisPinariHarekati nın askerlerimizin saçının teline zarar gelmeden sonuçlanmasını temenni ediyorum ve inanıyorum ki şanlı ordumuz bölgedeki güvenliği sağlayıp sağ salim dönecektir.Allah yar ve yardımcımız olsun. #TurkishArmy #BarisPinari</t>
  </si>
  <si>
    <t>https://pbs.twimg.com/media/EGcMH4nX0AAfa9Q.jpg</t>
  </si>
  <si>
    <t> علي بامقابل</t>
  </si>
  <si>
    <t>محلل قناة ٢٤ سعودي الفضائية: د. رامي خليفة العلي : هناك سوء في السياسة التركية التي سمحت بسيطرة جبهة النصرة على مناطق واسعة ما أعطى مبرراً لروسيا وللنظام السوري للتقدم في تلك المنطقة .  - جمال خاشقجي #خاشقجي #الاخوان</t>
  </si>
  <si>
    <t>FlipFlop</t>
  </si>
  <si>
    <t>Allah utandırmasın. Sırtınız yere gelmesin. #BarışPınarıHarekati #TurkishArmy #BarisPinari</t>
  </si>
  <si>
    <t>pic.twitter.com/jLO8C2sLPu</t>
  </si>
  <si>
    <t>Tek Gerçek Fenerbahçe💛💙 24 Saat içinde GT yapılır.</t>
  </si>
  <si>
    <t>Kenan Bakırçay</t>
  </si>
  <si>
    <t>اِنَّا فَتَحْنَا لَكَ فَتْحاً مُب۪يناًۙ.. .. İnna fetehna leke fethan mübiyna.. ..Doğrusu biz sana apaçık bir fetih İhsan ettik .. (Fetih 1) #Barışpınarı #TurkishArmy</t>
  </si>
  <si>
    <t xml:space="preserve"> خالد  الحربي</t>
  </si>
  <si>
    <t>د. عدنان محمد : مكاتب قناة الجزيرة في البلدان هي وكر للتجسس وزرع الخلايا التي تريد نشر الفوضى.  - جمال خاشقجي #خاشقجي #الاخوان</t>
  </si>
  <si>
    <t>pic.twitter.com/whv5fSW1oI</t>
  </si>
  <si>
    <t>Zalime merhamet, Mazluma ihanettir.!!</t>
  </si>
  <si>
    <t>Mediha Düden</t>
  </si>
  <si>
    <t>#BarisPinariHarekati basladı...🇹🇷🇹🇷🇹🇷🇹🇷 #GazamızMubarekOlsun. #TSK #turkmilletiordusununyaninda #TurkishArmy #TurkAskerı 🇹🇷🇹🇷🇹🇷🇹🇷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</si>
  <si>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Jacob Carah</t>
  </si>
  <si>
    <t>Did the assassination of #JamalKhashoggi undermine protections of American Journalists? How does the current political moment affect the work of foreign correspondents? What has changed from Jim to Jamal? #JamesFoley @MargauxEwen @pressfreedom @JamesFoleyFund</t>
  </si>
  <si>
    <t>https://pbs.twimg.com/media/EGTgBzWUEAAhIQe.jpg</t>
  </si>
  <si>
    <t>Antalya Gazeteciler Cemiyeti</t>
  </si>
  <si>
    <t>Mustafa Cesur</t>
  </si>
  <si>
    <t>82 resulayn 83 tel abyat #TurkishArmy</t>
  </si>
  <si>
    <t>Flint, MI</t>
  </si>
  <si>
    <t>Journalist, Knight Wallace Fellow, Filmmaker, Correspondent. DFP@WFU, Closet foodie. Mizzou Tiger, and Demon Deacon. Retweets do not endorse. #Flint #Detroit</t>
  </si>
  <si>
    <t>http://jacobcarah.com</t>
  </si>
  <si>
    <t>https://instagram.com/mceesur</t>
  </si>
  <si>
    <t xml:space="preserve">  محمد هادي </t>
  </si>
  <si>
    <t>العميد متقاعد. حسن الشهري : لم يقف في وجه المملكة دولة أو نظام أو حزب الا خسر وتبقى المملكة منتصرة .  - جمال خاشقجي #JamalKhashoggi #الجزيرة</t>
  </si>
  <si>
    <t>pic.twitter.com/EasFZjLP4I</t>
  </si>
  <si>
    <t>Allah yar ve yardımcınız olsun dualarımız 🤲🤲🇹🇷🇹🇷🇹🇷 sizinle #TurkishArmy</t>
  </si>
  <si>
    <t>محمد الدوسري</t>
  </si>
  <si>
    <t>kelimeleri incitme. kırıldığın yanını Allah'a bırak.</t>
  </si>
  <si>
    <t>أ. سامي المرشد: المال القطري أنفق بسخاء على الإرهاب والعصابات وتهييج الشعوب .  - جمال خاشقجي #ايران #خاشقجي</t>
  </si>
  <si>
    <t>pic.twitter.com/kq2am4Bb8R</t>
  </si>
  <si>
    <t>Celal BOSTANCI</t>
  </si>
  <si>
    <t>Bu gelen Türk ordusudur yarabbi... Hayırlısıyla gidip gelirler İNŞALLAH🇹🇷 #TurkishArmy</t>
  </si>
  <si>
    <t>Janet Cho</t>
  </si>
  <si>
    <t>Even worse, because of hostile authoritarian regimes, @Joelcpj says: “This is the worst moment in recent history in terms of attacks against #journalists” like #JimFoley and #JamalKhashoggi, and @PressFreedom around the world. @UMKnightWallace</t>
  </si>
  <si>
    <t>https://pbs.twimg.com/media/EGTf8WAUcAATX2x.jpg</t>
  </si>
  <si>
    <t>#Cleveland, Ohio, USA, Earth</t>
  </si>
  <si>
    <t>Business Journalist headed to @UMKnightWallace this fall. #Journalist. #Immigrant. #Grateful. Former #Cleveland tweeter of the week. @UChicago grad. #ChooseKind</t>
  </si>
  <si>
    <t>http://ow.ly/oRPG8</t>
  </si>
  <si>
    <t>server</t>
  </si>
  <si>
    <t>Vur göm inlesin #TurkishArmy</t>
  </si>
  <si>
    <t>Alanya/Eskişehir</t>
  </si>
  <si>
    <t>http://instagram.com/erkinserver</t>
  </si>
  <si>
    <t>اللواء المتقاعد د. زايد العمري: خبير استراتيجي ومحلل سياسي: يشق علينا أن نراء الشعب القطري يمر بهذه التجربة المريرة الذي فرضها النظام القطري عليه .  - جمال خاشقجي #خاشقجي #ايران</t>
  </si>
  <si>
    <t>pic.twitter.com/L9Nc96TDZD</t>
  </si>
  <si>
    <t xml:space="preserve"> نايف  المطرد</t>
  </si>
  <si>
    <t>مهم جدا :أحد كبار ضباط المخابرات الامريكية - CIA - : تسريبات تركيا ليست صديقة بل عدائية وتستهدف توجيه حملة دولية ضد السعودية 2⃣ ما يحدث في تركيا من استضافة الاخوان وقنواتهم هو تهديد للسعودية  - جمال خاشقجي #JamalKhashoggi #الجزيرة</t>
  </si>
  <si>
    <t>Tarık KILIÇ</t>
  </si>
  <si>
    <t>pic.twitter.com/UVphJchdvX</t>
  </si>
  <si>
    <t>Zafer inananlarındır ve zafer yakındır... #BarışPınarıHarekatı #TurkishArmy</t>
  </si>
  <si>
    <t>https://pbs.twimg.com/media/EGcMFsIWsAEYyrA.jpg</t>
  </si>
  <si>
    <t>Ankara - Sakarya</t>
  </si>
  <si>
    <t>654! #lazibore #BoysOfRiver #SS</t>
  </si>
  <si>
    <t xml:space="preserve"> غنيم  النخلي</t>
  </si>
  <si>
    <t>http://instagram.com/tarklc/</t>
  </si>
  <si>
    <t>pic.twitter.com/ryGfYiGngA</t>
  </si>
  <si>
    <t>Jacqueline R.</t>
  </si>
  <si>
    <t>Vur şanlı silahınla gönül mülkü düzelsin Sen öldürüyorken de vururken de güzelsin #BarisPinariHarekati #TurkishArmy</t>
  </si>
  <si>
    <t>Batuhan</t>
  </si>
  <si>
    <t>https://pbs.twimg.com/media/EGcMFwbX0AADauf.jpg</t>
  </si>
  <si>
    <t>Erhan Demir</t>
  </si>
  <si>
    <t>Nerde kalmıştık rabbim ordumuzu muzaffer eyle #TurkishArmy</t>
  </si>
  <si>
    <t>Eyüphan</t>
  </si>
  <si>
    <t>Topunuz gelin dedik, ses çıkmayınca biz geldik! 🇹🇷🇹🇷 #BarışPınarıHarekatı #TurkishArmy</t>
  </si>
  <si>
    <t>https://instagram.com/eyuphansezi</t>
  </si>
  <si>
    <t>oğuz balkı</t>
  </si>
  <si>
    <t>Dualarımız ordumuz ile. #BarışPınarıHarekati #TurkishArmy #OperationPeaceSpring</t>
  </si>
  <si>
    <t>Çü/Sbf</t>
  </si>
  <si>
    <t>ŞEVKET YAHYA VURDU</t>
  </si>
  <si>
    <t>Şanlı ordumuz Operasyona başladı Sefer sizden Zafer Rabbim'den inşallah. Rabbim yar ve yardımcımız olsun ordumuzun.... Allah'ım ayağınıza taş değdirmesin Muvaffak eylesin hepinizi Aslanlar 🇹🇷 #TurkishArmy</t>
  </si>
  <si>
    <t>ALLAH VAR KEDER YOK</t>
  </si>
  <si>
    <t>şerwan leşker</t>
  </si>
  <si>
    <t>If Europe keep silent about Turkey's Attack on #kurds in #Syria Europe must know that: #Europe will be first to bear the brunt because #Erdogan going to north Syria to free 10 000 #ISIS fighters,who are currently inside Kurdish prisons #TurkishArmy</t>
  </si>
  <si>
    <t>eski hesabım kapatılmıştır 🇧🇪 🇳🇴</t>
  </si>
  <si>
    <t>veronston</t>
  </si>
  <si>
    <t>Türk Ordusunun girdiği yere huzur gelir #TurkishArmy</t>
  </si>
  <si>
    <t>Avanos, Türkiye</t>
  </si>
  <si>
    <t>Teknoloji Türkiye Siyaseti Ekonomi ve Finans Spor Süper Lig Gündem Bilim</t>
  </si>
  <si>
    <t>YeniçeriOcağı</t>
  </si>
  <si>
    <t>Are you ready ? Come is #TurkishArmy</t>
  </si>
  <si>
    <t>Allah Türk’ü korusun</t>
  </si>
  <si>
    <t>Allah yardımcınız olsun dualarımız sizlerle🇹🇷🇹🇷🇹🇷 #TurkishArmy</t>
  </si>
  <si>
    <t>selçuk akkuş</t>
  </si>
  <si>
    <t>Allah yardımcınız olsun. #TurkishArmy #BarisPinari #BarışPınarıHarekati</t>
  </si>
  <si>
    <t>İdris</t>
  </si>
  <si>
    <t>Biz milleti olan bir ORDUYUZ.. #PINARBARISİHAREKATI #TurkishArmy Allah yardımcımız olsun 🙏🙏🇹🇷🇹🇷🇹🇷🇹🇷🇹🇷🇹🇷🇹🇷🇹🇷🇹🇷🇹🇷🇹🇷🇹🇷🇹🇷🇹🇷🇹🇷🇹🇷</t>
  </si>
  <si>
    <t>https://pbs.twimg.com/media/EGcMCi4XkAM6oMa.jpg</t>
  </si>
  <si>
    <t>Enes TUTAR</t>
  </si>
  <si>
    <t>Lozan'da kaybettiklerimizi yakın zamanda alacağız! #TurkishArmy #BarışPınarıHarekati #MisakıMilli</t>
  </si>
  <si>
    <t>Turkey / İstanbul</t>
  </si>
  <si>
    <t>Ak Parti Tuzla İlçe Gençlik Emektarı / Genç Ensar Vakfı Tuzla Şb. Kurucu Bşk. / Erzurum Eğt. Kltr. Vakfı G.K / Genç Ensar Genel Merkez / İnstagram: etutar25</t>
  </si>
  <si>
    <t>http://www.facebook.com/enestutar25</t>
  </si>
  <si>
    <t>ARTHUR</t>
  </si>
  <si>
    <t>Yedi düvele meydan okuyan şanlı ecdadın yiğit evladı. Sen zulme baş kaldırdıkça vesayetler yıkılsın. Mazlumlara aydınlık yollar açılsın. #TurkishArmy #BarisPinari #BarışPınarıHarekati</t>
  </si>
  <si>
    <t>https://pbs.twimg.com/media/EGcMBw9XoAI1-g3.jpg</t>
  </si>
  <si>
    <t>Eyüp Sultan, İstanbul</t>
  </si>
  <si>
    <t>fetöcüler giremez.</t>
  </si>
  <si>
    <t>http://instagram.com/bumuhamet</t>
  </si>
  <si>
    <t>laliça</t>
  </si>
  <si>
    <t>Rabbim yar ve yardımcısi olsun askerlerimizin #TurkishArmy</t>
  </si>
  <si>
    <t>Laliçagi</t>
  </si>
  <si>
    <t>Burak🇹🇷</t>
  </si>
  <si>
    <t>Allah'ın ordusu geliyor. Allah yolunuzu açık etsin. #BarışPınarıHarekati #TurkishArmy #turkmilletiordusununyaninda #TuerklerGeliyor</t>
  </si>
  <si>
    <t>𐰀𐰤𐰀𐰘𐰃𐰓:𐰢𐰜𐰼𐰇𐱅:𐰆𐰞𐱃𐰆𐰢:𐰀𐰤</t>
  </si>
  <si>
    <t>Mosocialo</t>
  </si>
  <si>
    <t>Tarihte bugün şanlı Türk ordusu Kıbrıs Harekatı'ndan sonra en büyük harekata başladı. Allah Türk Ordusu'nun yardımcısı olsun. Dualarımız onlarla. 🇹🇷 #TurkishArmy #BarisPinari #BarisPinariHarekati #Türkiye #Turkey</t>
  </si>
  <si>
    <t>https://pbs.twimg.com/media/EGcMBOOXoAM9ABu.jpg</t>
  </si>
  <si>
    <t>Derdim bilim, sanat biraz da varoluşsal sancılar. Coğrafyaya tapıyorum. Buralarda arada bir varım :). Yani hayatsız biri bence fazla bulaşmayın.</t>
  </si>
  <si>
    <t>Eda Ören</t>
  </si>
  <si>
    <t>Vur şanlı silahınla gönül mülkü düzelsin Sen vururken de öldürürken de güzelsin . Tanrı yardımcınız olsun . Haydi aslanlarım rast gele 🙏🏼 #TurkishArmy #BarisPinariHarekati</t>
  </si>
  <si>
    <t>Konusuşur çünkü söylemek istedikleri var . AHBAP Kocaeli 👋🏻 İYİ ☀️</t>
  </si>
  <si>
    <t>http://www.facebook.com/EdaOren</t>
  </si>
  <si>
    <t>امن جلک</t>
  </si>
  <si>
    <t>#TurkishArmy bölgedeki tüm güçlere ve güçlüklere rağmen harekat başladı kutlu ordumuza yüce Allah'tan güç kuvvet niyaz ederim. Gazamız mübarek olsun</t>
  </si>
  <si>
    <t>Akif #scofield</t>
  </si>
  <si>
    <t>“vur şanlı silahınla gönül mülkü düzelsin/ sen öldürüyorken de vururken de güzelsin” #BarışPınarıHarekatı #TurkishArmy</t>
  </si>
  <si>
    <t>https://pbs.twimg.com/media/EGcMBK7WoAAmhB3.jpg</t>
  </si>
  <si>
    <t>Öylesine</t>
  </si>
  <si>
    <t>seda</t>
  </si>
  <si>
    <t>Allah muvaffak etsin. Ayagınıza taş degmesin. #TurkishArmy #BarisPinari 🇹🇷🇹🇷🇹🇷</t>
  </si>
  <si>
    <t>North</t>
  </si>
  <si>
    <t>Merhaba sevgili stalker sana sözlü notu kaç vermiştik?</t>
  </si>
  <si>
    <t>Orta Asya Dünyası</t>
  </si>
  <si>
    <t>https://pbs.twimg.com/media/EGcMAODX0AEYD_C.jpg</t>
  </si>
  <si>
    <t>”Zamanı Tanrı yasar, kişioğlu hep ölmek için türemiş.”</t>
  </si>
  <si>
    <t>http://www.instagram.com/ortaasyadunyasi</t>
  </si>
  <si>
    <t>yusuf</t>
  </si>
  <si>
    <t>“Amacımız, Fıratın Doğusunu da barış pınarlarıyla sulamaktır.” #BarisPinari #BarışPınarıHarekati #OperationPeaceSpring #TurkishArmy</t>
  </si>
  <si>
    <t>https://pbs.twimg.com/media/EGcMAmRWsAA7OZp.jpg</t>
  </si>
  <si>
    <t>"Mesele gücü ele geçirmek değil, hakikate teslim olmak."</t>
  </si>
  <si>
    <t>https://youtu.be/Sdw7eaCSzhg</t>
  </si>
  <si>
    <t>🌌🧚‍♀️</t>
  </si>
  <si>
    <t>𝑬𝑴İ𝑵𝑬 𝑮𝑶̈𝒁𝑬 🇹🇷</t>
  </si>
  <si>
    <t>Syrcenter: SDG saflarında çözülmeler başladı Haseke'nin batısında bulunan el Hamm beldesinde 80 Tel Abyad’da ise zorla askere alınan 45Arap asıllı milisin üniformalarını bırakarak SDG’den kaçtı NOT: Türkiye sınırına gelip TSK'ya teslim olanların haddi hesabı yok.. #TurkishArmy</t>
  </si>
  <si>
    <t>pic.twitter.com/aVvqYROAdD</t>
  </si>
  <si>
    <t xml:space="preserve">EL-Ucra </t>
  </si>
  <si>
    <t>Ana hesap ↪ @EmineGoze ↩ ↪Biz Üç Kıtaya Adalet Merhamet↩ Emniyet Götüren🌟 Devlet-i🌟🌟 Aliyye🌟Osmanlıyız🌟 🌟↔ Kudret Ve Zafer ↔Bizlere Miras Dedemizden↔</t>
  </si>
  <si>
    <t>Aysu Kaya</t>
  </si>
  <si>
    <t>Bozkurtlar Geliyor! #TurkishArmy #BarışPınarıHarekatı</t>
  </si>
  <si>
    <t>https://pbs.twimg.com/media/EGcL9S7W4AE7xmv.jpg</t>
  </si>
  <si>
    <t>müslüm kintas</t>
  </si>
  <si>
    <t>🇹🇷🇹🇷🇹🇷 #TurkishArmy 🇹🇷🇹🇷🇹🇷 LA GALİBE İLALLAH ☝️</t>
  </si>
  <si>
    <t>HİRA DAGININ ÇOCUKLARI HALA OKÇULAR TEPESİNDEDİR TERKETMEDİK ETMEYECEYİZ</t>
  </si>
  <si>
    <t>TM07</t>
  </si>
  <si>
    <t>#BarisPinariHarekati YOL Ver TÜRK"ÜN BAYRAĞINA #BarisPinari #TurkishArmy 🇹🇷 🇹🇷</t>
  </si>
  <si>
    <t>https://pbs.twimg.com/media/EGcL_EDX0AAXdn0.jpg</t>
  </si>
  <si>
    <t>#ϜϓſϞ</t>
  </si>
  <si>
    <t>#TurkishArmy Türk Askeri demek; Bir elinle "Adalet" dağıtırken. Diğer elinle merhamet dağıtmak demektir Savaş bir yada bir kaç ülke devlet ile olur Türk ordusu Savaşta değıl "temizliktedir"... 60 bin sarı leş çöp poşeti...</t>
  </si>
  <si>
    <t>#Harbiyeli Atatürk'ün çizdiği,Atsızın yazdığı yoldan #ATATÜRK #Fenerbahce</t>
  </si>
  <si>
    <t>Halil İbrahim SELÇUK</t>
  </si>
  <si>
    <t>Sefer bizden, zafer Allah'tan. #BarışPınarıHarekatı #OperationPeaceSpringfu #TurkishArmy</t>
  </si>
  <si>
    <t>https://pbs.twimg.com/media/EGcL-EEXoAAnbfz.jpg</t>
  </si>
  <si>
    <t>@akgenclikagri / Tanıtım ve Medya Başkanı</t>
  </si>
  <si>
    <t>ᴹᵉʰᵐᵉᵗ İʀғᴀɴ ᴬⱽᵁᴿ</t>
  </si>
  <si>
    <t>Rabbim ordumuzu muzaffer kılsın. Dualarımız sizlerle... #BarisPinari #TurkishArmy</t>
  </si>
  <si>
    <t>https://pbs.twimg.com/media/EGcL-OOWoAMUaiT.jpg</t>
  </si>
  <si>
    <t>Şanlıurfa&amp;İstanbul 🎓Gazi Üni.</t>
  </si>
  <si>
    <t>MEB'de Öğretmen (Yönetici) | Hayatta sevecen 🗣▪Ben'den ne köy olur ne kasaba...Olsa olsa Memleket olur! 🇹🇷</t>
  </si>
  <si>
    <t>ümit erdoğan</t>
  </si>
  <si>
    <t>Tırnağınıza taş değmesin Aslan parçaları. Allah sizleri sağ Salim sevenlerinize kavuştursun. #TurkishArmy #BarisPinariHarekati #BarisPinari</t>
  </si>
  <si>
    <t>bedir</t>
  </si>
  <si>
    <t>Allah yardımcınız olsun #TurkishArmy</t>
  </si>
  <si>
    <t>oğlum da seni sevecek @Trabzonspor Akü/Harita Müh.</t>
  </si>
  <si>
    <t>ALtarınoğLu</t>
  </si>
  <si>
    <t>Allah yar ve yardımcımız olsun 🇹🇷🇹🇷🇹🇷🤘🤘🤘#TurkishArmy</t>
  </si>
  <si>
    <t>https://pbs.twimg.com/media/EGcL3n2WoAEMPS7.jpg</t>
  </si>
  <si>
    <t>Türkiye,Antalya</t>
  </si>
  <si>
    <t>olursa ekime olmazsa artık suyun akışına göre..</t>
  </si>
  <si>
    <t>Muhammed Bilgiç</t>
  </si>
  <si>
    <t>Savaşa hayır diyen çürüklere sesleniyorum. Savaş nerede ve kiminle yapılıyor bir söyler misiniz. Ortada savaş yok terör örgütlerine operasyon var. Pkk/ypg/pyd örgütlerine operasyona hayır derseniz anlarım kuyruk acısı der geçerim 🇹🇷🇹🇷 #TurkishArmy #BarisPinari</t>
  </si>
  <si>
    <t>Web tasarım, E-ticaret, Dijital pazarlama</t>
  </si>
  <si>
    <t>https://www.instagram.com/muhammedblgc/</t>
  </si>
  <si>
    <t>Erkam Çiftçi</t>
  </si>
  <si>
    <t>Şehitlerimiz için, mazlumlar için intikam intikam intikam #TurkishArmy</t>
  </si>
  <si>
    <t>Hasan parlak.</t>
  </si>
  <si>
    <t>İhvan cı terör örgütü iktidar ın ağızı ile kuş tutsa Türkiye Cumhuriyeti nde daha iktidar da kalması imkansız, bu doğrultuda ülkeyi kendilerini tüketene kadar direnmenin de alemi yok! #TurkishArmy</t>
  </si>
  <si>
    <t>Her şeyin en iyisini umar en kőtűsű için ise planı 'mızı yaparız.</t>
  </si>
  <si>
    <t>zitra_</t>
  </si>
  <si>
    <t>Allah ordumuzu Muzaffer etsin!! Gök girsin kızıl çıksın.. Barış Pınarı Harekatı ülkeme hayırlı olsun.. Allah Türkü korusun ve yüceltsin!! #TurkishArmy</t>
  </si>
  <si>
    <t>https://pbs.twimg.com/media/EGcL8GfWkAAhZlw.jpg</t>
  </si>
  <si>
    <t>İMKB</t>
  </si>
  <si>
    <t>mühendis.. finansla da ilgilenir.. asla yatırım tavsiyesi vermez.. #Terekeme #Karapapak #Qarapapaq 🇦🇿🇹🇷</t>
  </si>
  <si>
    <t>Harun Gündoğdu</t>
  </si>
  <si>
    <t>Sizi herkes bırakır ama Bisikletiniz daima yanınızdadır 🚲♥️</t>
  </si>
  <si>
    <t>https://instagram.com/harungund52?igshid=1mch975j62l6k</t>
  </si>
  <si>
    <t>selen elif coşkun</t>
  </si>
  <si>
    <t>Allah yar ve yardimciniz olsun #TurkishArmy</t>
  </si>
  <si>
    <t>#KırımTürkü #solist #Bilkent Üniversitesi #Müzik ve Sahne Sanatları Fakültesi #ATATÜRK sevdalısı #besiktaşlı #dişikartallar #izmire hayran</t>
  </si>
  <si>
    <t>BerkanBOSS#HEDEF24</t>
  </si>
  <si>
    <t>Biz de yarına kalır ama kimsenin yanına kalmaz #BarisPinariHarekati #TurkishArmy</t>
  </si>
  <si>
    <t>https://pbs.twimg.com/media/EGcL48rW4AAvktx.jpg</t>
  </si>
  <si>
    <t>Seyrantepe, İstanbul</t>
  </si>
  <si>
    <t>Alen En</t>
  </si>
  <si>
    <t>Cansınız siz ❤️😍😍😍 #TurkishArmy</t>
  </si>
  <si>
    <t>https://pbs.twimg.com/media/EGcL7sEWsAAaM2P.jpg</t>
  </si>
  <si>
    <t>Antalya - saygılı olacaksın sadece eğleniyoruz DM🚫 + 🔞 - 19-20... Reklam ve işbirliği yok 😀😜</t>
  </si>
  <si>
    <t>Emre  </t>
  </si>
  <si>
    <t>https://pbs.twimg.com/media/EGcL7VYXUAUqsDV.jpg</t>
  </si>
  <si>
    <t>Atakum, Samsun</t>
  </si>
  <si>
    <t>Evli mutlu Photographer</t>
  </si>
  <si>
    <t>İbrahim Çağrı ÇINAR</t>
  </si>
  <si>
    <t>#BarışPınarlarıHarekatı #TürkMilletiOrdusununYanında #TurkishArmy 🇹🇷🇹🇷🇹🇷</t>
  </si>
  <si>
    <t>☔💭ayşe</t>
  </si>
  <si>
    <t>Allahu Teâla askerlerimizi korusun,yardımcısı olsun.amin. ♥Lâ Havle Velâ Kuvvete İllâ Billâh ♥ #TurkishArmy #BarışPınarıHarekatı #OperationPeaceSpring</t>
  </si>
  <si>
    <t>🏁BJK 💪✌</t>
  </si>
  <si>
    <t>Celal Koçoğlu 🇹🇷</t>
  </si>
  <si>
    <t>Bir ulus, sımsıkı birbirine bağlı olmayı bildikçe yeryüzünde onu dağıtabilecek bir güç düşünülemez. M. Kemal Atatürk #TurkishArmy #BarisPinariHarekati</t>
  </si>
  <si>
    <t>https://pbs.twimg.com/media/EGcL7ZTWoAMtGGJ.jpg</t>
  </si>
  <si>
    <t>Burak Ali TAŞÇI</t>
  </si>
  <si>
    <t>#BarisPinari #TurkishArmy geliyoruz... 🇹🇷🇹🇷🇹🇷</t>
  </si>
  <si>
    <t>Bebek, İstanbul</t>
  </si>
  <si>
    <t>İstanbul Büyükşehir Belediye Başkanı | Mayor of Istanbul Metropolitan Municipality</t>
  </si>
  <si>
    <t>Olcay Sanal 🇹🇷🇹🇷</t>
  </si>
  <si>
    <t>Şanlı zaferlerin ordusu Türk askerinin her koşulda destekçisiyiz. Attıkları isabetli olsun Allah sağ salim zafere yürümeyi ve dönmeyi nasip etsin. #BarışPınarı #TurkishArmy</t>
  </si>
  <si>
    <t>Gazeteci / Journalist</t>
  </si>
  <si>
    <t>http://www.mavikocaeli.com.tr</t>
  </si>
  <si>
    <t>Şahan</t>
  </si>
  <si>
    <t>Buralar fazla karanlıktı aydınlanmalı.🇹🇷 #TurkishArmy</t>
  </si>
  <si>
    <t>https://pbs.twimg.com/media/EGcL6szXoAAzc9J.jpg</t>
  </si>
  <si>
    <t>Türk için,Türk'e göre,Türk tarafından... İçişleri Bakanlığı 🇹🇷</t>
  </si>
  <si>
    <t>Hakan Toprak</t>
  </si>
  <si>
    <t>Askeri diyet nasıl yapılır ? Ne işe yarar ?  #TurkishArmy #BarisPinari #EmineBulut #tubayayardımedin Sezgin Tanrıkulu</t>
  </si>
  <si>
    <t>https://www.wmal.net/diyet/askeri-diyet-nedir-ise-yariyor-mu-h17345.html</t>
  </si>
  <si>
    <t>https://pbs.twimg.com/media/EGcL6O5WwAE96-o.jpg</t>
  </si>
  <si>
    <t>Varsın öyle olsun...</t>
  </si>
  <si>
    <t>Ahmet Küçükdoğan 🇹🇷</t>
  </si>
  <si>
    <t>Allah is greatest Allah bless the #TurkishArmy #OperationPeaceSpring</t>
  </si>
  <si>
    <t>De ki: Benim namazım, ibadetim, hayatım ve ölümüm hep âlemlerin Rabbi Allah içindir.(En'am 162) #Tokat #Zile #Bayburt</t>
  </si>
  <si>
    <t>Deniz Durmuş</t>
  </si>
  <si>
    <t>https://pbs.twimg.com/media/EGcL5iNW4AARkO-.jpg</t>
  </si>
  <si>
    <t>BeYzAdE</t>
  </si>
  <si>
    <t>Biz Bilinmeyenleriz.. Ansızın Gelir Ansızın Gideriz.. #TurkishArmy #BarisPinari</t>
  </si>
  <si>
    <t>https://pbs.twimg.com/media/EGcL5SGWwAcNUH3.jpg</t>
  </si>
  <si>
    <t>Soysuzlardan Korkup Döşeğe Gireceğime.. Şerefimle Ölür Mezara Girerim..</t>
  </si>
  <si>
    <t>Ramin Türk Ayyildiz</t>
  </si>
  <si>
    <t>işte bu... Haydi Bismillah Gazamız mübarek olsun Allah Mehmetçiğimizin yar yardımcısı olsun. Ortadoğuda Türkiye VAR...! Azerbaycan'dan Dualarımız türk ordusuyladır... #BarışPınarıHarekati başlamıştır #TurkishArmy #BarisPinari</t>
  </si>
  <si>
    <t>https://pbs.twimg.com/media/EGcL5XMWwAMj9h3.jpg</t>
  </si>
  <si>
    <t>Odlar Yurdu Azerbaycan</t>
  </si>
  <si>
    <t>@RT_Erdogan sevdalısı Ak genç...</t>
  </si>
  <si>
    <t>Vahap Dağcı  (Onuncu Köydeki Adam)</t>
  </si>
  <si>
    <t>Geliyoruz, geliyoruz zafer bizim biliyoruz. 🇹🇷🇹🇷🇹🇷 #BarisPinari #BarisPinariHarekati #TurkishArmy</t>
  </si>
  <si>
    <t>Türk olduğunu sen unutsan bile düşmanların unutmaz. 🇹🇷🇹🇷</t>
  </si>
  <si>
    <t>Neşe</t>
  </si>
  <si>
    <t>Allahım sen muzaffer kıl, düşmanlarmızın birliklerini bozguna uğrat, ayaklarımızı sabit kıl, düşman kavmine karşı bize, ordumuza, devletimize, askerlerimize yardım et🤲🏼🇹🇷 #BarisPinariHarekati #turkmilletiordusununyaninda #TurkishArmy RT @RTErdogan: #BarışPınarıHarekatı'nda görev alan kahraman Mehmetçiklerimizin her birini alınlarından öpüyor, kendilerine ve bu harekatta Türkiye'yle birlikte olan tüm yerel destek unsurlarına muvaffakiyetler diliyorum. Allah yar ve yardımcımız olsun.</t>
  </si>
  <si>
    <t>Turkey/İstanbul</t>
  </si>
  <si>
    <t>khancer</t>
  </si>
  <si>
    <t>Dualarımız sizinle,Allah yardımcınız olsun #BarışPınarıHarekati #TurkishArmy</t>
  </si>
  <si>
    <t>http://instagram.com/k_hancerrr</t>
  </si>
  <si>
    <t>Murat ZENGİN</t>
  </si>
  <si>
    <t>Zafere armalı Türk Ordumuz operasyona başladı. Cenab’ı Allah askerimizin ayağına taş değdirmesin inşallah #TurkishArmy</t>
  </si>
  <si>
    <t>Hasan🇵🇰</t>
  </si>
  <si>
    <t>@RTErdogan Allha save &amp; help my #TurkishArmy</t>
  </si>
  <si>
    <t>New pakistan</t>
  </si>
  <si>
    <t>Pakistan zinda abad</t>
  </si>
  <si>
    <t>Safa Akyol</t>
  </si>
  <si>
    <t>Şehitler Tepesi boş değil, Toprağını kahramanlar bekliyor! Ve bir Bayrak dalgalanmak için, Rüzgar bekliyor! #TurkishArmy #BarisPinari</t>
  </si>
  <si>
    <t>https://pbs.twimg.com/media/EGcL4CkWoAEDl-0.jpg</t>
  </si>
  <si>
    <t>Türkiye Gençlik Vakfı (TÜGVA) - Kahramanmaraş İl Teşkilat Koordinatörü, K.S.Ü - History - M.A.</t>
  </si>
  <si>
    <t>PARS✈️</t>
  </si>
  <si>
    <t>Fucking time 💪🏻 #TurkishArmy</t>
  </si>
  <si>
    <t>St.julians</t>
  </si>
  <si>
    <t>Malta 🇲🇹 Ekonomicus</t>
  </si>
  <si>
    <t>Sergei samudu</t>
  </si>
  <si>
    <t>Eteklerı hazırlayın kocanız geliyor.Mehmetçik öyle bir vur ki sesini tüm Dünya duysun tüm mazlumlara güç olsun. #TurkishArmy</t>
  </si>
  <si>
    <t>Temel Erdoğan</t>
  </si>
  <si>
    <t>Tanrı yardımcınız olsun #TurkishArmy</t>
  </si>
  <si>
    <t>http://www.tth.com.tr</t>
  </si>
  <si>
    <t>Kafakalem</t>
  </si>
  <si>
    <t>#BarışPınarıHarekati #TurkishArmy #BarisPinari #DMDduyulsundiye #sağlıkyönetimineatamaşart Sezgin Tanrıkulu Haydi Bismillah Gazamız</t>
  </si>
  <si>
    <t>https://kafakalem.com/elektrik-dagitim-firmanizi-degistirebilir-ucuz-kampanyalardan-yararlanabilirsiniz/7017/</t>
  </si>
  <si>
    <t>http://kafakalem.com</t>
  </si>
  <si>
    <t>Henry A. Pinto</t>
  </si>
  <si>
    <t>Primer bombardeo que Turquía contra los kurdos en el norte de Siria  #TurkishArmy</t>
  </si>
  <si>
    <t>https://es.rt.com/72eq</t>
  </si>
  <si>
    <t>pic.twitter.com/JvEccVDcEO</t>
  </si>
  <si>
    <t>Rusia</t>
  </si>
  <si>
    <t>Periodista y asesor político. Estuve vinculado con El Mundo, Europa Press, Onda Cero IB y fui jefe de prensa de la Consejería de Inmigración del Govern balear</t>
  </si>
  <si>
    <t>https://www.youtube.com/channel/UCiRUKVdWdPCGKhoVF0bwF9w</t>
  </si>
  <si>
    <t>~~~NEFESS~~~</t>
  </si>
  <si>
    <t>@Turks_alp @HurAdamHD @cetin_petek @ak_sanem_ @ElvanErdoan15 @vali1453 @ANTALYA_41 @_MRTE_ @karadenizli5552 @hayalim2023 🇹🇷🇹🇷🇹🇷🇹🇷🇹🇷 Ya Allah Bismillah☝ Şu kopan fırtına Türk ordusudur YA RABBİ Senin uğrunda ölen ordu Budur YARABBİ Tâ ki yükselsin ezanlarla Müeyyed namın GALİP et çünkü Bu son ordusudur İSLAM'IN 🇹🇷🇹🇷🇹🇷🇹🇷🇹🇷 #BarısPınarıHarekatı #TurkishArmy</t>
  </si>
  <si>
    <t>❤Karadenuz Sevdalisu❤ Espiri anlayişu olmayan sayfamdan uzak dursun😎 #ilahiyat #muallime 🔥DM de gereksuz Riv Riv yapmayun bağa🔪</t>
  </si>
  <si>
    <t>Vubu16</t>
  </si>
  <si>
    <t>#TurkishArmy #BarışPınarıHarekati O kadar hirslanmisim ki yemin ederim gozlerim dolu aglayacagim neredeyse.</t>
  </si>
  <si>
    <t>Ebrr@skr</t>
  </si>
  <si>
    <t>Rabbim yardımcın olsun, ayağına taş değmesin şanlı TÜRK askeri #TurkishArmy</t>
  </si>
  <si>
    <t>https://pbs.twimg.com/media/EGcL2yBWwAEa_gX.jpg</t>
  </si>
  <si>
    <t>T.C. CEPHEVATAN</t>
  </si>
  <si>
    <t>#TurkishArmy RT @cephevatan: #BizASLAUNUTMAYIZ</t>
  </si>
  <si>
    <t>https://twitter.com/cephevatan/status/1177690663124717569</t>
  </si>
  <si>
    <t>https://pbs.twimg.com/media/EFf_aQKWsAEBLS1.jpg</t>
  </si>
  <si>
    <t>VATANIM TÜRKİYE CUMHURİYETİDİR</t>
  </si>
  <si>
    <t>Yaşasın Vatan, Yaşasın Türk Milleti. ATATÜRK'te Birleşeceğiz! Ne Mutlu Türküm diyene!𐱅𐰼𐰇𐰰</t>
  </si>
  <si>
    <t>Türkler geliyor.. #TurkishArmy #BarisPinariHarekati</t>
  </si>
  <si>
    <t>❤💛 🇹🇷🇦🇿🇰🇿🇹🇲🇺🇿🇰🇬🇹🇯 💛❤ Şanlı Türk Milletinin, Şanlı Türkiye Cumhuriyetinin ve Şanlı Galatasarayın Aşığı.. ⏩Ankara</t>
  </si>
  <si>
    <t>Terra Novi</t>
  </si>
  <si>
    <t>@NigelMcCrery @BBCBreaking Kurdish believers are with #TurkishArmy but SDG (YPG or PKK) is non believer God will not help them ;)</t>
  </si>
  <si>
    <t>Bad guys always Die</t>
  </si>
  <si>
    <t>Mehmet AKPINAR</t>
  </si>
  <si>
    <t>Allah Yardımcımız Olsun 🇹🇷 #BarışPınarıHarekati #TurkishArmy</t>
  </si>
  <si>
    <t>https://pbs.twimg.com/media/EGcL1yTX0AAKp4v.jpg</t>
  </si>
  <si>
    <t>Mustafa ÖZLÜ 🇹🇷</t>
  </si>
  <si>
    <t>Yâ Allah Bismillah! Allah (C.C.) yâr ve yardımcımız olsun. Mehmetçiğimizi, ordumuzu muzaffer eyle, her türlü düşmanların, zalimlerin hain planlarını başlarına geçir Allah'ım! #BarışPınarıHarekatı🇹🇷 #TurkishArmy #BarisPinari #OperationPeaceSpring</t>
  </si>
  <si>
    <t>https://pbs.twimg.com/media/EGcL1YKXoAIgI3D.jpg</t>
  </si>
  <si>
    <t>Mevlâm Görelim Neyler, Neylerse Güzel Eyler... Bilgisayar Yüksek Mühendisi</t>
  </si>
  <si>
    <t>http://www.mustafaozlu.com</t>
  </si>
  <si>
    <t>k</t>
  </si>
  <si>
    <t>Allah yar ve yardımcımız olsun #BarışPınarıHarekatı #TurkishArmy</t>
  </si>
  <si>
    <t>EREN</t>
  </si>
  <si>
    <t>BİR ÖLÜR BİN DİRİLİRİZ 🇹🇷 🇹🇷 🇹🇷 #BarışPınarıHarekati #TurkishArmy</t>
  </si>
  <si>
    <t>pic.twitter.com/Y4RU7cuX78</t>
  </si>
  <si>
    <t>Program var gt yapmayanları çıkıyorum Gt var BEŞİKTAŞ JK 🦅 MKA ❤️ 🇹🇷</t>
  </si>
  <si>
    <t>Türkçe Düşünen Adam</t>
  </si>
  <si>
    <t>Türk savaş uçakları, Şanlıurfa'nın Ceylanpınar ilçesinin karşısında yer alan Rasulayn'daki terör hedeflerini bombardımana tuttu. Vur yiğidim vur! 'Vur şanlı silahınla gönül mülkü düzelsin; Sen öldürüyorken de vururken de güzelsin !' #BarisPinari #BarışPınarıHarekati #TurkishArmy</t>
  </si>
  <si>
    <t>https://pbs.twimg.com/media/EGcL0dgXoAAYMGj.jpg</t>
  </si>
  <si>
    <t>Türk Milliyetçisi http://facebook.com/turkcedusunena… http://instagram.com/turkcedusunena…</t>
  </si>
  <si>
    <t>http://www.turkcedusunenadam.com</t>
  </si>
  <si>
    <t>Songulen😤 bi gruba dahil degil, hakkini ariyor.🦋</t>
  </si>
  <si>
    <t>Tanri yardimciniz olsun🙏 #TurkishArmy</t>
  </si>
  <si>
    <t>Dunya maalesef</t>
  </si>
  <si>
    <t>🇹🇷 köpük değil bı yerden de turemedi Ata'nin kızı 💛💙 Psikolojisi bozuk #eyt li ıssız geçimsiz mağdur asabi kizgin boş iş değil 7️⃣8️⃣0️⃣0️⃣ prim.</t>
  </si>
  <si>
    <t>Sinan Kanyılmaz</t>
  </si>
  <si>
    <t>Demokrasi denen sistemin içkiyi, kumarı, fuhuşu, domuz etini, eşcinselliği, çıplaklığı, serbest bırakıp özendirdiğini neden görmüyorsun? Seçim sandığı İslâmda da var, fikir özgürlüğü İslamda da var..Bunlar demokrasinin nimeti değil yani.. #TurkishArmy</t>
  </si>
  <si>
    <t>Bitlis, Türkiye</t>
  </si>
  <si>
    <t>Tavada panik baklava hamuru -Homeostazimi arıyorum, yarışmaya mutfaktan katılıyorum… -Bravo salak.</t>
  </si>
  <si>
    <t>Bilal Koçak</t>
  </si>
  <si>
    <t>Allah Yardımcımız Olsun 🇹🇷🇹🇷 #TurkishArmy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</si>
  <si>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https://twitter.com/rterdogan/status/1181919804619407360?s=21</t>
  </si>
  <si>
    <t>https://pbs.twimg.com/media/EGcLx9oXYAEohQ1.jpg</t>
  </si>
  <si>
    <t>Ezan Dinmez Bayrak İnmez.. @Akgencbevler RTE🇹🇷🇹🇷</t>
  </si>
  <si>
    <t>İzzet</t>
  </si>
  <si>
    <t>Topçular atışa başladı, uçaklar havalandı, tanklar hareket ediyor.. Gazamız mübarek olsun. Operasyon başladı. #TurkishArmy</t>
  </si>
  <si>
    <t>https://pbs.twimg.com/media/EGcLytQXoAA9uQ_.jpg</t>
  </si>
  <si>
    <t>Cumhur İttifakı/🇹🇷</t>
  </si>
  <si>
    <t>Ertuğrul Özküney</t>
  </si>
  <si>
    <t>Yetim bıraktıkları her çocuk için.... Haydi Bismillah.... 🇹🇷🇹🇷🇹🇷 #TurkishArmy #BarışPınarıHarekati</t>
  </si>
  <si>
    <t>🇹🇷Senin adın TÜRK!!! 📌DAÜ/HUKUK</t>
  </si>
  <si>
    <t>https://www.instagram.com/ertugrulozkny/</t>
  </si>
  <si>
    <t>Orhan ipin</t>
  </si>
  <si>
    <t>Sadece beşiktaş</t>
  </si>
  <si>
    <t>S.K</t>
  </si>
  <si>
    <t>Allah ordumuzu korusun.🇹🇷🇹🇷 #BarisPinariHarekati #TurkishArmy</t>
  </si>
  <si>
    <t>Uşak Üniversitesi</t>
  </si>
  <si>
    <t>http://Instagram.com/samedkavak</t>
  </si>
  <si>
    <t>Eyyüp Keleş</t>
  </si>
  <si>
    <t>Vur Şanlı silahınla Gönül mülkü düzelsin🇹🇷🇹🇷 #BarisPinari #TurkishArmy</t>
  </si>
  <si>
    <t>https://pbs.twimg.com/media/EGcLyF8X0AAbr11.jpg</t>
  </si>
  <si>
    <t>📌 Genç Kızılay Şehitkamil Şube Başkanı 🇹🇷🌙</t>
  </si>
  <si>
    <t>Ali İhsan Irmak</t>
  </si>
  <si>
    <t>Allah'ım! TÜRK'ü galip et! Çünkü Türk, senin için savaşan son millet!..Âmin..🇹🇷 #TurkishArmy #BarışPınarıHarekati</t>
  </si>
  <si>
    <t>TÜRK, ALLAH'ın kılıcıdır!.. ÇÜ Tıp Fakültesi 5/6</t>
  </si>
  <si>
    <t>EK</t>
  </si>
  <si>
    <t>Sefer bizden Zafer Allah’tandır. Allah yar ve yardımcımız olsun. 🇹🇷 🇹🇷#BarışPınarıHarekatı🇹🇷🇹🇷 #TurkishArmy #BarisPinari</t>
  </si>
  <si>
    <t>https://pbs.twimg.com/media/EGcLxASWsAwfd25.jpg</t>
  </si>
  <si>
    <t>🇹🇷Ne Mutlu Türküm Diyene🇹🇷 @Akgencbevler @akgencobancesme ☪️Tek Orjinal Hesabim☪️ İstanbul Büyükşehir Belediye Baskanı😊</t>
  </si>
  <si>
    <t>BorsaReisi</t>
  </si>
  <si>
    <t>#BarisPinariHarekati başladı. Allah ordumuzun yar ve yardımcınız olsun. 🇹🇷 Türk milleti her zaman ordusunun yanında #TurkishArmy</t>
  </si>
  <si>
    <t>Doğru yerdesin 👌Yazılanlar hayal ürünü 👍Vatan Sevdalısı. 🇹🇷 Yatırım tavsiyesi yapmıyorum🎖 Kuruluş 08.01.2019💪🏻</t>
  </si>
  <si>
    <t>Anıl Çetinalp ⚓️</t>
  </si>
  <si>
    <t>Bu Kan yine aynı Kandır 🇹🇷 🐺 Var Ol ! Kahraman Türk Silahlı Kuvvetleri #BarisPinariHarekati #TurkishArmy</t>
  </si>
  <si>
    <t>∞ M.KEMAL ATATÜRK ∞ KFK ∞ E❣️ ⚓️</t>
  </si>
  <si>
    <t>http://www.kotyorafk.com</t>
  </si>
  <si>
    <t>nur🇹🇷🇹🇷🇹🇷🇹🇷🇹🇷</t>
  </si>
  <si>
    <t>We will contribute to peace, peace and stability in Syria ... #TurkishArmy #OperationPeaceSpring #BarisPinariHarekati 🇹🇷🇹🇷🇹🇷🇹🇷🇹🇷🇹🇷🇹🇷🇹🇷🇹🇷🇹🇷🇹🇷🇹🇷 RT @gerilim54: #OperationPeaceSpring 🇹🇷 Turkey supports the territorial integrity and political unity of Syria. Turkey's occupation or demography is no intention to change. The PKK / YPG did this in northeastern Syria. It's time to fix this....</t>
  </si>
  <si>
    <t>https://twitter.com/gerilim54/status/1181925563805655042</t>
  </si>
  <si>
    <t>https://pbs.twimg.com/media/EGcLBtfWoAYCbyH.jpg</t>
  </si>
  <si>
    <t>Kainattta ilk işlenen günah kibirdir.Karton toplayan,çöpten yemek yiyen insanlarla eşitiz.Kimse kendini bir halt sanmasın....</t>
  </si>
  <si>
    <t>🇹🇷 syh . byz 🇹🇷 ®</t>
  </si>
  <si>
    <t>Allah yâr ve yardımcınız olsun... #BarısPınarıHarekatı #TurkishArmy</t>
  </si>
  <si>
    <t>pic.twitter.com/KFHgOsu2wt</t>
  </si>
  <si>
    <t>@Besiktas @forzabesiktas</t>
  </si>
  <si>
    <t>Muhammed Ali</t>
  </si>
  <si>
    <t>Sırtlarını dayadıklarına dayamaya geldik 🇹🇷 #BarisPinari #TurkishArmy #Syrie</t>
  </si>
  <si>
    <t>istanbul/Turkey</t>
  </si>
  <si>
    <t>BALIKESİR ÜNİVERSİTESİ 👨‍🎓 AU İnşaat Mühendisliği 📐📏</t>
  </si>
  <si>
    <t>https://www.instagram.com/muhammedcky</t>
  </si>
  <si>
    <t>Mehmet Ziya</t>
  </si>
  <si>
    <t>Yeri geliyor kızıyor, yeri geliyor güceniyoruz. Ama başka yerimiz yurdumuz yok. BU VATAN BİZİM. BU MEMLEKET BİZİM. Allah ordumuzun yanında olsun! #TurkishArmy #BarisPinari #BarisPinariHarekati</t>
  </si>
  <si>
    <t>https://pbs.twimg.com/media/EGcLwO5WwAE8iR6.jpg</t>
  </si>
  <si>
    <t>Rasti-rustî! Beşiktaş ⚫⚪</t>
  </si>
  <si>
    <t>Niyazi Gürgen</t>
  </si>
  <si>
    <t>Vatan uğruna can alıp, can verenlerin şerefine... 🇹🇷 #TurkishArmy</t>
  </si>
  <si>
    <t>Erbaa, Türkiye</t>
  </si>
  <si>
    <t>Fotoğraf çeken, Gezgin Bir İngilizce Öğretmeni. Bir Zamanlar Anadolu'da... Paylaştığım tüm fotoğraflar bana aittir...</t>
  </si>
  <si>
    <t>http://www.instagram.com/niyazi_gurgen</t>
  </si>
  <si>
    <t>Halit Okumus</t>
  </si>
  <si>
    <t>Sonuna kadar Mehmetçiğimizin yanındayız #TurkishArmy</t>
  </si>
  <si>
    <t>The music is the leader.</t>
  </si>
  <si>
    <t>http://instagram.com/okumushalit/</t>
  </si>
  <si>
    <t>Tahsin Bal</t>
  </si>
  <si>
    <t>Türk'ün olduğu yerde umut bitmez. Tüm mazlumların umudu asırlardır olduğu gibi bugünde Türk milleti. Ya İslamla olacağız ya inkarla solacağız... Allah'ım Islamın ordusu olan Türk askerine güç versin. Şanlı zaferle dönmeyi nasip etsin... #BarışPınarıHarekatı #TurkishArmy</t>
  </si>
  <si>
    <t>Şiirdir hayat... Hukukçu(lawyer)</t>
  </si>
  <si>
    <t>🦋ⓂəryəⓂ🍂</t>
  </si>
  <si>
    <t>Allah güç kuvvet versin . zaferle , sağ salim dönün inşallah kardeşlerim 🇹🇷🙏#TurkishArmy</t>
  </si>
  <si>
    <t>GeZeGeN</t>
  </si>
  <si>
    <t>Organ bağışı hayat kurtarır. 👍💕🍀</t>
  </si>
  <si>
    <t>the walking dead</t>
  </si>
  <si>
    <t>Ayşe tatilde ... #TurkishArmy</t>
  </si>
  <si>
    <t>Türk kavminden... İç işleri Bakanlığı</t>
  </si>
  <si>
    <t>Ozan Demir</t>
  </si>
  <si>
    <t>O değilde şimdi biri yada bir kaçı geldi Ortalığı yaktı, yıktı şimdi ise ben karışmam ne haliniz varsa görün diyor... 🤔🤔 Kimyada buna katalizör etkisi denir Tarihte ne diyecekler aceba ???# #BarisPinari #BarisPinariHarekati #TurkishArmy #Suriye #türkiye #abd</t>
  </si>
  <si>
    <t>Büşra Kaynar</t>
  </si>
  <si>
    <t>Bismillahirrahmanirrahim Ya Rabbi Ordumuzu daim muzaffer eyle 🇹🇷 #TurkishArmy #BarisPinariHarekati RT @RTErdogan: #BarışPınarıHarekatı'nda görev alan kahraman Mehmetçiklerimizin her birini alınlarından öpüyor, kendilerine ve bu harekatta Türkiye'yle birlikte olan tüm yerel destek unsurlarına muvaffakiyetler diliyorum. Allah yar ve yardımcımız olsun.</t>
  </si>
  <si>
    <t>İstanbul♥️</t>
  </si>
  <si>
    <t>AHMET GÜNEŞ</t>
  </si>
  <si>
    <t>"Ben ezelden beridir hür yaşadım, hür yaşarım; Hangi çılgın bana zincir vuracakmış? Şaşarım! Kükremiş sel gibiyim, bendimi çiğner, aşarım. Yırtarım dağları, enginlere sığmam, taşarım." #BarışPınarıHarekatı #TurkishArmy #TurkMilletiOrdusununYanındadır @TSKGnkur</t>
  </si>
  <si>
    <t>Near East University</t>
  </si>
  <si>
    <t>thierry debels</t>
  </si>
  <si>
    <t>Kurdish #SDF spokesperson: "Turkish warplanes have started to carry out airstrikes on civilian areas. There is a huge panic among people of the region." - #NBC News #TurkishArmy #SyriaWar @NewsBreaking</t>
  </si>
  <si>
    <t>overijse</t>
  </si>
  <si>
    <t>author</t>
  </si>
  <si>
    <t>http://about.me/thierrydebels</t>
  </si>
  <si>
    <t>Mihriban TÜRK</t>
  </si>
  <si>
    <t>Siyonist ve Emperyalistlerin Türkiye'yi ve coğrafyamızdaki diğer İslam ülkelerini böl parçala yönet planına karşı ülke tarihinin en büyük sınır dışı operasyonu olan #BarışPınarıHarekati başladı. Rabbim ordumuzu muzaffer eylesin. #TurkishArmy</t>
  </si>
  <si>
    <t xml:space="preserve">Türkiye      0 Rh+    </t>
  </si>
  <si>
    <t>TV Editör/ İç-Dış Haberler</t>
  </si>
  <si>
    <t>Turkotuz7</t>
  </si>
  <si>
    <t>#TurkishArmy @realDonaldTrump Turkish fuck, you look 🇹🇷 🇹🇷 🇹🇷 🇹🇷 🇹🇷 🇹🇷 🇹🇷 🇹🇷 🇹🇷 🇹🇷 🇹🇷 🇹🇷 🇹🇷 🇹🇷 🇹🇷 🇹🇷 🇹🇷 🇹🇷 🇹🇷 🇹🇷 🇹🇷 🇹🇷 🇹🇷 🇹🇷 🇹🇷 🇹🇷 🇹🇷 🇹🇷 🇹🇷 🇹🇷 🇹🇷 🇹🇷 🇹🇷 🇹🇷 🇹🇷 🇹🇷 🇹🇷 🇹🇷 🇹🇷 🇹🇷 🇹🇷 🇹🇷 🇹🇷 🇹🇷 🇹🇷 🇹🇷 🇹🇷 🇹🇷</t>
  </si>
  <si>
    <t>EYT Mağduru..... 🇹🇷 🇹🇷 🇹🇷 🇹🇷 🇹🇷 🇹🇷 🇹🇷 🇹🇷 🇹🇷 🇹🇷 🇹🇷 🇹🇷 🇹🇷 🇹🇷 🇹🇷</t>
  </si>
  <si>
    <t>BesS</t>
  </si>
  <si>
    <t>Dünyadaki tüm mazlumların intikamını almaya geliyor Şanlı Türk Askeri 🇹🇷 #TurkishArmy #BarisPinari</t>
  </si>
  <si>
    <t>https://pbs.twimg.com/media/EGcLt35WwAQNnq3.jpg</t>
  </si>
  <si>
    <t>Biraz siyaset,birazda hayat işte 🙋‍♀️ Bir garip İzmirli 😊</t>
  </si>
  <si>
    <t>MG</t>
  </si>
  <si>
    <t>Rabbim yiğit Türk askerlerimizin yar ve yardımcısı olsun #BarisPinariHarekati #TurkishArmy 🇹🇷🇹🇷 RT @RTErdogan: Türk Silahlı Kuvvetleri'miz Suriye Milli Ordusu'yla birlikte Suriye'nin kuzeyinde PKK/YPG ve Deaş terör örgütlerine karşı #BarışPınarıHarekatı'nı başlatmıştır. Amacımız güney sınırımızda oluşturulmaya çalışılan terör koridorunu yok etmek ve bölgeye barış ve huzuru getirmektir.</t>
  </si>
  <si>
    <t>¬İnsanlar büyük hayal kırıklıklarıdır</t>
  </si>
  <si>
    <t>manuel freschi</t>
  </si>
  <si>
    <t>Fermate quel guerrafondaio di #Erdogan. Sanzioni alla Turchia per la vile invasione della Siria e l'attacco al popolo curdo!! #TurkishArmy #Siria #curdi</t>
  </si>
  <si>
    <t>Venezia</t>
  </si>
  <si>
    <t>identità in evoluzione</t>
  </si>
  <si>
    <t>Ekrem Imamoglu 😀❤😀</t>
  </si>
  <si>
    <t>“Şu kopan fırtına Türk ordusudur yâ Rabbi. Senin uğrunda ölen ordu budur yâ Rabbi. Tâ ki yükselsin ezanlarla müeyyed nâmın, Galib et, çünkü bu son ordusudur İslâm'ın.” #TurkishArmy #BarisPinari</t>
  </si>
  <si>
    <t>https://pbs.twimg.com/media/EGcLtuTXUAIRrmX.jpg</t>
  </si>
  <si>
    <t>Çerkezköy, Tekirdag</t>
  </si>
  <si>
    <t>ALMILA</t>
  </si>
  <si>
    <t>Hainlere kargışlı,kahpe Acun dar olsun...🇹🇷🇹🇷 #TurkishArmy</t>
  </si>
  <si>
    <t>Yıkılsın Ergenekon; yurtlarım azatlansın! Hainlere kargışlı,kahpe acun dar olsun...🤘🇹🇷🤘🏻🇹🇷</t>
  </si>
  <si>
    <t>süleyman şenkardeş</t>
  </si>
  <si>
    <t>Mehmetçik sana emanet Ya Rabbel Alemin #BarisPinari #TurkishArmy 🇹🇷🇹🇷</t>
  </si>
  <si>
    <t>iddaa bayi</t>
  </si>
  <si>
    <t>erol izmir</t>
  </si>
  <si>
    <t>Türk Silahlı Kuvvetlerinin sınır ötesine ypg/pkk ya yönelik başlattığı operasyonda başarılar diliyorum Allah yar ve yardımcısı olsun. Allah Mehmetçiğimizin ayağanı taş değdirmesin. Burunlarını dahi kanatmadan ailelerine kavuşsunlar Amin! #TurkishArmy #BarisPinariHarekati</t>
  </si>
  <si>
    <t>https://pbs.twimg.com/media/EGcLskQXUAUii5u.jpg</t>
  </si>
  <si>
    <t>İYİlik kazanacak</t>
  </si>
  <si>
    <t>Allahü ekber, Allahü ekber Ordumuz olsun daim muzaffer #BarışPınarıHarekati #TurkishArmy</t>
  </si>
  <si>
    <t>https://pbs.twimg.com/media/EGcLs6KWkAEB72y.jpg</t>
  </si>
  <si>
    <t>izmit</t>
  </si>
  <si>
    <t>O Sene Bu Sene !!</t>
  </si>
  <si>
    <t>falkao</t>
  </si>
  <si>
    <t>#TurkishArmy Aslan mehmetçiğimizin Allah yar ve yardımcısı olsun. Yolunuz açık olsun Yiğitler...</t>
  </si>
  <si>
    <t>https://pbs.twimg.com/media/EGcLs8JXoAA22tB.jpg</t>
  </si>
  <si>
    <t>muhammet</t>
  </si>
  <si>
    <t>Sana secde eden ordularına yenilgi yüzü gösterme Allah'ım! #TurkishArmy #BarisPinariHarekati</t>
  </si>
  <si>
    <t>https://pbs.twimg.com/media/EGcLqwYXkAE_DTi.jpg</t>
  </si>
  <si>
    <t>Tunahan</t>
  </si>
  <si>
    <t>https://pbs.twimg.com/media/EGcLsxMXUAA-UF4.jpg</t>
  </si>
  <si>
    <t>yazıyor...</t>
  </si>
  <si>
    <t>ABD'nin Türkiye Büyükelçisi'nin, Barış Pınarı Harekatı'nın başlamasından kısa bir süre sonra Dışişleri Bakanlığı'na çağrıldığını yazıyor... #Çarşamba #BarısPınarıHarekat #BarisPinari #BarısPınarıOperasyonu #Suriye #TurkishArmy #TSK RT @cnnturk: #SONDAKİKA ABD Büyükelçisi Dışişleri Bakanlığı'na çağrıldı</t>
  </si>
  <si>
    <t>https://twitter.com/cnnturk/status/1181925143565737989
https://www.cnnturk.com/dunya/son-dakika-abd-buyukelcisi-disisleri-bakanligina-cagrildi</t>
  </si>
  <si>
    <t>https://pbs.twimg.com/media/EGcKpk0X0AUtvNm.jpg</t>
  </si>
  <si>
    <t>280 karakterde tüm detaylar.</t>
  </si>
  <si>
    <t>Burak Ergin</t>
  </si>
  <si>
    <t>Allah utandırmasın! #TurkishArmy #BarisPinariHarekati</t>
  </si>
  <si>
    <t>Tekirdağ, Türkiye</t>
  </si>
  <si>
    <t>İAÜ / Halkla İlişkiler ve Tanıtım / PR</t>
  </si>
  <si>
    <t>GeldikleriGibiGidecekler1907</t>
  </si>
  <si>
    <t>operasyon basladigina göre artik sadece Ordumuzu destekleyecegiz ve operasyona katilan bütün askerlerimizin en kisa zamanda sagsalim dönmelerini bekleyecegiz. bu arada hava hala aydinlikken operasyonun baslatilmasini anlamadim #TurkishArmy #BarisPinari #BarisPinariHarekati</t>
  </si>
  <si>
    <t>Fenerbahce'ye 3 Temmuz kumpasini yapan, bu kumpasa sahip cikan, hala bu kumpastan faydalanan HERKESIN annesine selamim (!) var. HEPSININ annesiyle akrabayim</t>
  </si>
  <si>
    <t>Ramazan Bilir</t>
  </si>
  <si>
    <t>#TurkishArmy başıboş çakalları bağlamaya gitmiş. Sahipleri ipini çözmüş. Beslemiş kudurtmuş. Türk'ün sabrını zorlamaya gelmez. Rabbim askerimizi korusun. Ayaklarına taş değmesin....</t>
  </si>
  <si>
    <t>Efe Akyaman</t>
  </si>
  <si>
    <t>Ya Rabbi... vaadini yerine getir. Nurunu tamamla ve parlat. Münafıkların ve kafirlerin planlarını başlarına çevir, kahru perişan et ve onları hüsrana uğrat. Kahraman Ordumuza Muzafferiyetler nasip et.. 🇹🇷🇹🇷🇹🇷 . . . . #TurkishArmy #BarisPinari</t>
  </si>
  <si>
    <t>https://pbs.twimg.com/media/EGcLqqsWwAAuoD8.jpg</t>
  </si>
  <si>
    <t>Konak, İzmir</t>
  </si>
  <si>
    <t>• Bediüzzaman • Risale-i Nur http://youtube.com/c/efeakyaman</t>
  </si>
  <si>
    <t>http://www.instagram.com/efeaky1453</t>
  </si>
  <si>
    <t>Kemal Şan ⚡️🇹🇷</t>
  </si>
  <si>
    <t>The Turks are coming 🇹🇷🐺 #BarisPinari #BarisPinariHarekati #TurkishArmy 🇹🇷🇹🇷🇹🇷</t>
  </si>
  <si>
    <t>https://pbs.twimg.com/media/EGcLq4gWwAAWebr.jpg</t>
  </si>
  <si>
    <t>07/08/2016❤️</t>
  </si>
  <si>
    <t>¥ Ayşegül Deli ¥</t>
  </si>
  <si>
    <t>#TurkishArmy #BarisPinari Sefer Bizden Zafer ALLAH'tan Gazamız mübarek olsun☝</t>
  </si>
  <si>
    <t>☝️Kûn Fe Yekûn☝️ AntiKemalist 😡 DM'ye bakmıyorum.</t>
  </si>
  <si>
    <t>بدر بن صالح  العيادة</t>
  </si>
  <si>
    <t>@MSNBC The #world is responsible for what is happening in #Syria. #UnitedStates is the most capable to stop #TurkishArmy aggression on innocent civilians, but is doing nothing. The hypocrisy of #Erdogan of getting angry about the wrongful killing of one man, is now on display.</t>
  </si>
  <si>
    <t>Riyadh, Saudi Arabia</t>
  </si>
  <si>
    <t>مهندس مستشار ورجل اعمال , ماجستير هندسه مدنيه في تخطيط النقل وهندسه المرور من جامعه نيويورك NYU . لا أحاور من لا يفصح عن شخصيته . proud alum of @nyuniversity</t>
  </si>
  <si>
    <t>http://aleyadah.blogspot.com</t>
  </si>
  <si>
    <t>Engin🇹🇷🇹🇷🇹🇷</t>
  </si>
  <si>
    <t>#TurkishArmy girdik mi pkklı terorist RT @hdpdemirtas: Ayakkabıyla girmeyin Kobane'ye, Kobane'liler böyle şeylere çok kızıyor demiştik değil mi</t>
  </si>
  <si>
    <t>münzevi</t>
  </si>
  <si>
    <t>Serhat🇹🇷</t>
  </si>
  <si>
    <t>Anne türkler geliyor... #TurkishArmy</t>
  </si>
  <si>
    <t>https://pbs.twimg.com/media/EGcLqZVW4AAEscQ.jpg</t>
  </si>
  <si>
    <t>Mutsuz insanlar,mutlu fotoğraflar |Omü</t>
  </si>
  <si>
    <t>Muhammed Said Göçer</t>
  </si>
  <si>
    <t>Türkiye Cumhuriyeti, ilelebet payidar kalacaktır. #BarışPınarıHarekati #TurkishArmy Allah yar ve yardımcınız olsun.</t>
  </si>
  <si>
    <t>Medical Doctor/Urfa/Galatasaray/MKA</t>
  </si>
  <si>
    <t>S. T.</t>
  </si>
  <si>
    <t>https://pbs.twimg.com/media/EGcLqeGWoAAhNCy.jpg</t>
  </si>
  <si>
    <t>Moscow, Russia</t>
  </si>
  <si>
    <t>ϜϓſϞ -ATATÜRK -BeşiktAŞK</t>
  </si>
  <si>
    <t>Kürşat</t>
  </si>
  <si>
    <t>Mekanın sahibi geldi ! #BarisPinariHarekati #TurkishArmy</t>
  </si>
  <si>
    <t>https://pbs.twimg.com/media/EGcLp_kWwAExnTb.jpg</t>
  </si>
  <si>
    <t>Aaaa</t>
  </si>
  <si>
    <t>fatma değer</t>
  </si>
  <si>
    <t>Allahım yar ve yardımcıları olsun inşallah 🇹🇷 #TurkishArmy</t>
  </si>
  <si>
    <t>http://instagram.com/ftmadgr</t>
  </si>
  <si>
    <t>cagri ergun</t>
  </si>
  <si>
    <t>Allah Yüce Ordumuzu Korusun. Ayaklarına Taş Değdirmesin... #BarışPınarıHarekati #TurkishArmy</t>
  </si>
  <si>
    <t>https://pbs.twimg.com/media/EGcLpy3XkAAagqk.jpg</t>
  </si>
  <si>
    <t>M. Kemal Atatürk - 🇹🇷</t>
  </si>
  <si>
    <t>Mhmtkn</t>
  </si>
  <si>
    <t>Dış politikada yapılan yanlışlar ve bunun sonucunda ülkemizin bu hale gelmesi bu saatten sonra önemsiz. Askerimiz oraya girdi ise onlara güç, kuvvet dilemekten başka sözlerin de önemi yok. İnşallah Burnunuz bile kanamaz. Sağ salim dönün. #TurkishArmy #BarisPinariHarekati</t>
  </si>
  <si>
    <t>aks&amp;ümit</t>
  </si>
  <si>
    <t>#BarışPınarıHarekati Allah bu muzaffer ordunun yardımcısı olsun, korusun... Amin #TurkishArmy</t>
  </si>
  <si>
    <t>Gıda, Tarım ve Hayvancılık Bakanlığı</t>
  </si>
  <si>
    <t>Emre DUMAN</t>
  </si>
  <si>
    <t>Allah muzaffer kılsın. O'na emanetsiniz... #BarisPinari #BarisPinariHarekati #TurkishArmy</t>
  </si>
  <si>
    <t>https://pbs.twimg.com/media/EGcLpfvXUAM6BWI.jpg</t>
  </si>
  <si>
    <t>Gülçin Altıparmak</t>
  </si>
  <si>
    <t>Şanlı ordumuz gazamız mübarek olsun.#TurkishArmy</t>
  </si>
  <si>
    <t>Yasin Gökçe</t>
  </si>
  <si>
    <t>“Benden sonra, ileride yalan söyleyip zulmeden devlet başkanları türeyecektir. Onların yalanlarını tasdik edip zulümlerinde onlara yardımcı olanlar, benden değil ve ben de onlardan değilim. hadis #TurkishArmy</t>
  </si>
  <si>
    <t>Gece yatağına girip, o güzel gözlerini her kapadığında aklına ben geleceğim. Bu bana yeter. O da sana yeter.</t>
  </si>
  <si>
    <t>Muhammet Balta 🇹🇷</t>
  </si>
  <si>
    <t>AK Parti 25-26-27. Dönem Trabzon Milletvekili/ TBMM Çevre Komisyonu Başkanı.</t>
  </si>
  <si>
    <t>http://muhammetbalta.net</t>
  </si>
  <si>
    <t>🍀🦋Sibel☀Güneş🍀🦋</t>
  </si>
  <si>
    <t>Haydi Bismillah #BarisPinariHarekati #TurkishArmy</t>
  </si>
  <si>
    <t>https://pbs.twimg.com/media/EGcLoGeXUAEFXXQ.jpg</t>
  </si>
  <si>
    <t>🌹KUN FE YEKÛN 🌹 💛GALATASARAY❤</t>
  </si>
  <si>
    <t>Berra Feyza Çakar</t>
  </si>
  <si>
    <t>Vur şanlı silahınla gönül mülkü düzelsin Sen öldürüyorken de vururken de güzelsin... #TurkishArmy</t>
  </si>
  <si>
    <t>https://pbs.twimg.com/media/EGcLoWSX0AIOjAL.jpg</t>
  </si>
  <si>
    <t>Kağıthane, İstanbul</t>
  </si>
  <si>
    <t>Sevmişiz seni belki de şuursuzca |5399|</t>
  </si>
  <si>
    <t>Beyza Duru</t>
  </si>
  <si>
    <t>#TurkishArmy Allah yar ve yardımcınız olsun. Ayağınız taşa değmesin</t>
  </si>
  <si>
    <t>Dünyayı sevgi kurtaracak</t>
  </si>
  <si>
    <t>http://instagram.com/duruubeyza</t>
  </si>
  <si>
    <t>Doğu</t>
  </si>
  <si>
    <t>Zaferleri ve geçmişi insanlık tarihi ile başlayan, her zaman zaferle beraber uygarlık nurlarını taşıyan kahraman Türk Ordusu! #BarışPınarı #TurkishArmy</t>
  </si>
  <si>
    <t>https://pbs.twimg.com/media/EGcLoUqWkActfXC.jpg</t>
  </si>
  <si>
    <t>Ankara-Trabzon</t>
  </si>
  <si>
    <t>KTU Electrical &amp; Electronics Engineering insta: @udogukankurt</t>
  </si>
  <si>
    <t>http://www.kurtsoftware.com</t>
  </si>
  <si>
    <t>H.AYKAÇ🇹🇷🦅🔟</t>
  </si>
  <si>
    <t>Bütün çakallar sırtlanlar sussun! Şimdi er meydanında Bozkurtlar konuşacak! Allah sizi korusun yiğitler! Allah sizi muzaffer kılsın!🇹🇷🐺👊 #TurkishArmy #BarisPinari</t>
  </si>
  <si>
    <t>https://pbs.twimg.com/media/EGcLnuvWoAAxJ_q.jpg</t>
  </si>
  <si>
    <t>Türkiye- İstanbul</t>
  </si>
  <si>
    <t>Hiç Kimse Hayat Kadar Sert Vuramaz! BEŞİKTAŞ Milliyetçisi / Sen TÜRK Olduğunu Unutsan da Düşmanların Unutmaz/Selçuk Üniversitesi</t>
  </si>
  <si>
    <t>Mustafa Özdemir 🇹🇷</t>
  </si>
  <si>
    <t>Bismillahirrahmanirrahim #BarisPinariHarekati #TurkishArmy #Türksilahlıkuvvetleri</t>
  </si>
  <si>
    <t>Pınarbaşı - IZMIR</t>
  </si>
  <si>
    <t>Özmen Gökçeimam</t>
  </si>
  <si>
    <t>" Laik der ki: Allah'a ve Peygambere Evet, Şeriat'a Hayır ! yani Güneşe Evet, ışığına hayır ! O Kadar Saçma... " #TurkishArmy</t>
  </si>
  <si>
    <t>Nevşehir, Türkiye</t>
  </si>
  <si>
    <t>Güzel çocuk senin olsun hayatım istersen. Niçin gözüm sana baktıkça böyle yaşlanıyor? -Teyfik Fikret</t>
  </si>
  <si>
    <t>Elif</t>
  </si>
  <si>
    <t>Allah Türk askerinin ayağına taş değdirmesin. Sefer ordumuzun zafer Allah’ındır. Ne mutlu Türk’üm diyene! 🇹🇷 #TurkishArmy</t>
  </si>
  <si>
    <t>http://Instagram.com/eliiftopuz</t>
  </si>
  <si>
    <t>Asırlık hayallerine belki de hiç bu kadar yaklaşmamaışlardı,Abd yi asla affetmeyecekler :)))#TurkishArmy</t>
  </si>
  <si>
    <t>Yüreyimin hemdemiydin Her sırrımın mahremiydin Özün yara olmamışken Her yaranın merhemiydin</t>
  </si>
  <si>
    <t>MeşinHead</t>
  </si>
  <si>
    <t>Savaşa hayırcılar hortlamış yine. Savaşa değil Barışa koşuyoruz. İnsan hayatını hiçe sayan insan müsveddelerine haddini bildirmeye gidiyoruz... #TurkishArmy</t>
  </si>
  <si>
    <t>TUFAN</t>
  </si>
  <si>
    <t>ayanızı denk alın #TurkishArmy geliyor.</t>
  </si>
  <si>
    <t>KaraGümrük</t>
  </si>
  <si>
    <t>Peygamberin Davetine icabet için Orta Asya bozkırından Anadoluya geldim Başım ALLAH tan gayrısına eğilmedi eğilmeyecek.1071 de geldim kıyamette giderim.</t>
  </si>
  <si>
    <t>پاکستان کا سپاہی</t>
  </si>
  <si>
    <t>@alikeskin_tr May Allah help Turkish Army to protect their country from the enemies. 🇵🇰 ❤️ 🇹🇷 #TurkishArmy</t>
  </si>
  <si>
    <t>میری جان پاکستان میری پہچان پاکستان</t>
  </si>
  <si>
    <t>https://www.pakistan.com.pk</t>
  </si>
  <si>
    <t>Salih 🇹🇷</t>
  </si>
  <si>
    <t>Operasyon çok kısa süre sonra başlayabilir. Yakın tarihimizin en görkemli ve kapsamlı harekatını yapacağız. Allah’ın izni ile Zafer bizim olacak! #TurkishArmy</t>
  </si>
  <si>
    <t>“Zaman bendedir ve mekân bana emanettir!" şuurunda bir gençlik... 🇹🇷</t>
  </si>
  <si>
    <t>serdar</t>
  </si>
  <si>
    <t>#TurkishArmy Domates 🍅 1.5 tl Soğan 2 tl Patates 🥔 2tl Yaya üst geçiş 2.60 tl Diyeceklerim bu kadar 😂</t>
  </si>
  <si>
    <t>victory33</t>
  </si>
  <si>
    <t>Daha önce saçma sapan videolarıyla tvlere çıkan MHP Ordu milletvekili Cemal Enginyurt, şimdi de Soner isimli bir askere 'onursuz piç' diyerek hakaret etti, askere ettiği küfürü eleştirenlere de daha ağır küfürlere devam ediyor. #TurkishArmy #ölmekistemiyoruz sezgin tanrıkulu</t>
  </si>
  <si>
    <t>Türk beklenendir #TurkishArmy</t>
  </si>
  <si>
    <t>Risus in Wonderland</t>
  </si>
  <si>
    <t>#TurkishArmy gündem olunca hayırdır yine ne yaptı bu fandom oldum ulan aklım fikrim fangirllükte</t>
  </si>
  <si>
    <t>7-1= 0</t>
  </si>
  <si>
    <t>Kaliteli müziğin kölesi</t>
  </si>
  <si>
    <t>https://www.instagram.com/asli.demr/</t>
  </si>
  <si>
    <t>Şengül Etleç</t>
  </si>
  <si>
    <t>Sabretmem gerekiyor, tâ ki sabrım sabrıma tahammül edemeyene kadar. Sabretmem lazım, tâ ki Allah meselem için bir kapı açana kadar. .İmam Şâfiî  #TurkishArmy</t>
  </si>
  <si>
    <t>https://pbs.twimg.com/media/D0EesKUWsAEmbK0.jpg</t>
  </si>
  <si>
    <t>Okyanusla, gökyüzü gibiydik biz seninle. İkimizde maviydik, birlikte gibiydik. Aslında hiç birleşmemiştik..</t>
  </si>
  <si>
    <t>Cihan ELÇİ</t>
  </si>
  <si>
    <t>Geliyor şanlı ordumuz 🇹🇷 #TurkishArmy #türkiye 🇹🇷🇹🇷🇹🇷</t>
  </si>
  <si>
    <t>https://pbs.twimg.com/media/EGb_9FpW4AE2AFn.jpg</t>
  </si>
  <si>
    <t xml:space="preserve">Barbaros Tekirdağ </t>
  </si>
  <si>
    <t>Bir Galatasaray Aşığı 🦁💛❤️💛❤️</t>
  </si>
  <si>
    <t>Mehmet Ali Tiryaki</t>
  </si>
  <si>
    <t>VEFALI TÜRK! #TurkishArmy #ŞanlıTürk RT @aybers: "Türkler, müslümanlar gelmişler. Allah'a şükür o köpeklerden kurtulduk. YPG/PKK'dan kurtulduk. Ne namus bıraktılar, ne çocuk bıraktılar. 8 çocuğum vardı hepsi gitti. Hiçbiri kalmadı." #TurkishArmy</t>
  </si>
  <si>
    <t>MUSTAFA KEMAL ATATÜRK! 🇹🇷</t>
  </si>
  <si>
    <t>Ahmetglsn14</t>
  </si>
  <si>
    <t>ĶÜRT GEMİSİNİ YÜRÜTÜKTEN SONRA KENDİNİ KAPTAN ZAN EDER SATILMIS YADA KENDİNİ SATAN ÇOK SAYIDA KÜRDE RASTLAMAMIZ MÜMKÜNDÜR. BÖYLE LAF VAR KÜRDÜN BAŞINA NE GELMİSSE AKILSIZLIGINDANDIR BU TÜR SATILMIŞLARDAN OLMASA İDİ. KÜRT BU KADAR ÇİLE ÇEKİP AYAK ALTINA ALINMAZDI.#TurkishArmy</t>
  </si>
  <si>
    <t>Dıyarbakır İli Ergani İlçesi</t>
  </si>
  <si>
    <t>sevencen ve cana yakın birisiyim çok duygusalım hoş goŕu sahibi ve mutevaziyim.cok bilmiş geçinen kişilerden nefret ederim.</t>
  </si>
  <si>
    <t>Zehra ülkeye reset istiyor</t>
  </si>
  <si>
    <t>Vaktiyle bir Atsız varmış derlerse ne hoş!Anılmakla hangi ruh olmaz ki sarhoş?Var olsun! #gerigelenmektup #TurkishArmy</t>
  </si>
  <si>
    <t>İyi ki @galatasaray</t>
  </si>
  <si>
    <t>https://www.instagram.com/zehractinkaya</t>
  </si>
  <si>
    <t>Dnz</t>
  </si>
  <si>
    <t>#TurkishArmy #CheGuevara</t>
  </si>
  <si>
    <t>https://pbs.twimg.com/media/EGb_2vRXUAAkqML.jpg</t>
  </si>
  <si>
    <t>Ankara /Bjk /MKA- Takip sevmiyorum!</t>
  </si>
  <si>
    <t>Arzu Polat(571)🇹🇷⚡</t>
  </si>
  <si>
    <t>"Bize son savaşınız olacak diyenlerin ,son savaşı bizimle olmuştur." #TurkishArmy #çarşamba #barışpınarıharekatı #Türksilahlıkuvvetleri #Suriye</t>
  </si>
  <si>
    <t>Allah aşık olanı asla kavuşturmaz.Kavuştursa adı aşk olmaz.Allah Vedûd dur.Sever sevilir. asla ortak kabul etmez. MÜSLÜMAN Türk</t>
  </si>
  <si>
    <t>http://instagram.com/arzpol571</t>
  </si>
  <si>
    <t>Baba-Oğul-Kutsal(biberon)🍼</t>
  </si>
  <si>
    <t>#TurkishArmy için atılan tweetlere bakınca,insanın göğsü kabarıyor resmen.</t>
  </si>
  <si>
    <t>Büyüsen de,bir zamanlar çocuk olduğunu unutmaman dileğiyle...</t>
  </si>
  <si>
    <t>Hüzün Yarası</t>
  </si>
  <si>
    <t>.. İnna fetehna leke fethan mübiyna.. ..Doğrusu biz sana apaçık bir fetih İhsan ettik .. Fetih 1 #Barışpınarı #TurkishArmy</t>
  </si>
  <si>
    <t>Son Dakika GÜNCEL</t>
  </si>
  <si>
    <t>Arapların gözünden #Reis #TurkishArmy Çok doğru tespit etmişler RT @abukarsh2018: #مسلسل_كرتوني_تعشقه هذا 👇</t>
  </si>
  <si>
    <t>https://twitter.com/abukarsh2018/status/1181834879006326784</t>
  </si>
  <si>
    <t>pic.twitter.com/XA7jdahj96</t>
  </si>
  <si>
    <t>MilliTürk #EVET</t>
  </si>
  <si>
    <t>Savaşa hayır diyen terör seviciler! İçiniz rahat olsun! Türkiye savaşmayacak! Alçak teröristlere operasyon yapacak! Yani "ha Fırat'ın doğusu, ha Kandil"; Ha içimizdeki teröristler ha dışımızda ki! Farkeden bir şey yok! #TurkishArmy</t>
  </si>
  <si>
    <t>İslam,Türkiye ve millet Takibe girip takipleşince kaçanlar karaktersizdir!Engellenirler!</t>
  </si>
  <si>
    <t>Aziz Altınsoy</t>
  </si>
  <si>
    <t>”Dünyada en zâlimce şey, yalan yere umut vermektir.” #TurkishArmy</t>
  </si>
  <si>
    <t>Diyorlar bana: Kalsın şiir de söz de yerde! Sen araştır, göklere çıkan merdiven nerde?- Necip Fazıl</t>
  </si>
  <si>
    <t>Cihan ARSLAN</t>
  </si>
  <si>
    <t>https://pbs.twimg.com/media/EGb_tkfWsAIdHnK.jpg</t>
  </si>
  <si>
    <t>İÜ</t>
  </si>
  <si>
    <t>SELAHATTIN AYVACIOGLU</t>
  </si>
  <si>
    <t>#TurkishArmy #Türksilahlıkuvvetleri Respect! #Trump</t>
  </si>
  <si>
    <t>https://youtu.be/OFdlTzovEg4</t>
  </si>
  <si>
    <t>İnşaattan anlarım 😉</t>
  </si>
  <si>
    <t>ⓂEHⓂET ŞAHℹN 📣</t>
  </si>
  <si>
    <t>Amerika denen canavar PKK'lı Kürtler yerine dikkat edin sadece Kürler katledilip diyerek, Kürtleri adeta sokağa salmaya hazırlanıyor. Buda benden bir Mesaj olsun. BEN KÜRDÜM ve DEVLETİMİN YANINDAYIM. Devletimizin bize karşı hıçbir baskısı yok! #TurkishArmy</t>
  </si>
  <si>
    <t>Resmî twitter hesabım *Official Twitter account of #EhliSünnetteBirleşelim Mahlas-ı Ukab ✏</t>
  </si>
  <si>
    <t>https://www.instagram.com/mehmetsahin.6301/?hl=tr</t>
  </si>
  <si>
    <t>Birisi</t>
  </si>
  <si>
    <t>En şerefli ordu... #TurkishArmy</t>
  </si>
  <si>
    <t>Atatürkçü birisi :)</t>
  </si>
  <si>
    <t>Berkay Fatih Doğan</t>
  </si>
  <si>
    <t>https://pbs.twimg.com/media/EGb_hvxXoAEpMlB.jpg</t>
  </si>
  <si>
    <t>Kartal Ülkü Ocakları Başkanı</t>
  </si>
  <si>
    <t>⋈ Fifty Shades of Wonho ⋈</t>
  </si>
  <si>
    <t>Dünya ülkeleri çok değişik yani Türkiy’ye kafa tutmalar falan boş işler bunlar aslan parçaları yormayın bizi #TurkishArmy</t>
  </si>
  <si>
    <t>BTS and Monsta X airspace🌍U r not ugly discovery just self _____fan acc____ 걱정 마 우린 이미 서로의 의지야 - Kim Namjoon / Kim Jonghyun</t>
  </si>
  <si>
    <t>Halis Etleç</t>
  </si>
  <si>
    <t>Bence dindarım diyenler köleymiş gibi takılabilir ama dinler insana bir amaç ve stil sunar.. #dinlerköleliksistemidir diyenler dine değil,dindarım diyenlere düşman..Gerçek dindarlarla sizin hiçbir alıp veremediğiniz yok aslında.. #TurkishArmy</t>
  </si>
  <si>
    <t>Kime ne emanet ettiysek, Ya kırdı, yada kaybetti.. Anladım ki emanete en güzel bakan ”ALLAH” ‘ idi..</t>
  </si>
  <si>
    <t>Mücahit Bakırkaya</t>
  </si>
  <si>
    <t>BŞEÜ Makine Mühendisliği (3/∞)</t>
  </si>
  <si>
    <t>hamzali</t>
  </si>
  <si>
    <t>Kemal kılıçtaroğlu iyi dinleyin.. Barış pınarı harekatını niye mi yapıyoruz.. Afrindeki gibi aynı kararlılıkla sınırlarımızdaki teroristleri temizlemek için... #TurkishArmy</t>
  </si>
  <si>
    <t>pic.twitter.com/LnCJPRDF1o</t>
  </si>
  <si>
    <t>Bildirimleri açmayı unutmayın!</t>
  </si>
  <si>
    <t>Kişi sevdiğiyle beraberdir.araştırmacı</t>
  </si>
  <si>
    <t>Fikri Hür®</t>
  </si>
  <si>
    <t>Trump değil bildiğin kramp bu! #TurkishArmy</t>
  </si>
  <si>
    <t>Kişisel bilgiler DNA'da [parola 61] 🇹🇷🇹🇷</t>
  </si>
  <si>
    <t>Caner Aksan</t>
  </si>
  <si>
    <t>Amerikaya ne söz verildi ? Ne söylendi ki bu adam ısrarla işid vurgusu yapıyor.Böyle bir durumda işid eğer tekrar canlanırsa sorumluluk kimde olacak ? #TurkishArmy</t>
  </si>
  <si>
    <t>Medya Veri</t>
  </si>
  <si>
    <t>Trump: Türkiye Avrupa'nın kabul etmediği tutuklu IŞİD militanlarıyla ilgili sorumluluk almalı  #TurkishArmy #KendineGelPezeberk #EmineBulut #CheGuevara #neredekalmıştık</t>
  </si>
  <si>
    <t>http://www.medyaveri.com/gundem/trump-turkiye-avrupa-nin-kabul-etmedigi-tutuklu-isid-militanlariyla-h66881.html</t>
  </si>
  <si>
    <t>Son dakika gelişmeleri, hızlı ve güvenilir haberin adresi http://Medyaveri.com</t>
  </si>
  <si>
    <t>http://www.medyaveri.com</t>
  </si>
  <si>
    <t>Selin Atılgan</t>
  </si>
  <si>
    <t>Hainin, soysuzun, döneğin Alnına "vatan" yazacağız. #TurkishArmy</t>
  </si>
  <si>
    <t>https://pbs.twimg.com/media/EGb_Wz0XkAAlmm1.jpg</t>
  </si>
  <si>
    <t>YU/Khas-İç Mimar 🇹🇷 Ak Parti İzmir İl Gençlik Kolları Yönetim Kurulu Üyesi</t>
  </si>
  <si>
    <t>https://tr.pinterest.com/atlganselin/</t>
  </si>
  <si>
    <t>Elçim atar</t>
  </si>
  <si>
    <t>🇹🇷🇹🇷#TurkishArmy🇹🇷🇹🇷</t>
  </si>
  <si>
    <t>Samandağ, Hatay</t>
  </si>
  <si>
    <t>SEVDİĞİNLE SEVİŞİYORSAN KUTSALSIN. . 》《》《》《》《》《》《》《 MUSTAFA KEMAL ATATÜRK</t>
  </si>
  <si>
    <t>HCÇ</t>
  </si>
  <si>
    <t>Fıtrat değişir sanma, bu kan yine o kandır! #TurkishArmy</t>
  </si>
  <si>
    <t>https://pbs.twimg.com/media/EGb_V4FWoAU157w.jpg</t>
  </si>
  <si>
    <t>Aslan Yılmaz</t>
  </si>
  <si>
    <t>Yazar burada: "CHP bizi laikleştiremedi, ama Akp hepimizi kafirleştirdi " demek istemiş😜😂 Ben böyle anladım. Alın okuyun çomarlar. #TurkishArmy "İran Cumhurbaşkanı Ruhani" Rusya "Arap Birliği" Ortadoğu'da RT @aDilipak: Hayırlı sabahlar. Bugünkü yazım: Yes-hill feministler - Abdurrahman Dilipak</t>
  </si>
  <si>
    <t>https://twitter.com/aDilipak/status/1181832980383354880
https://www.yeniakit.com.tr/yazarlar/abdurrahman-dilipak/yes-hill-feministler-29990.html</t>
  </si>
  <si>
    <t>Tayyip Erdoğan tarafından kafirlikle suçlandığı güne kadar Ak partiliydi. Allah Bizi Afetsin. Ben münafıksam, sen münafıkbaşıydın.</t>
  </si>
  <si>
    <t>http://www.Partisizler.com</t>
  </si>
  <si>
    <t>Ortadogu"nun ve Avrupa'nın en güçlü ordusu #TurkishArmy</t>
  </si>
  <si>
    <t>MKD🇹🇷</t>
  </si>
  <si>
    <t>FIRTINALAR DURSUN YANA YOLVER TÜRK'ÜN BAYRAĞINA #TurkishArmy</t>
  </si>
  <si>
    <t xml:space="preserve">hayellerimde </t>
  </si>
  <si>
    <t>MUSTAFA KEMAL DEVELİ</t>
  </si>
  <si>
    <t>http://instagram.com/mustafakemaldvl</t>
  </si>
  <si>
    <t>m.a.m.d</t>
  </si>
  <si>
    <t>Selamun Aleyküm, Biz geldik 🇹🇷 #TurkishArmy</t>
  </si>
  <si>
    <t>https://pbs.twimg.com/media/EGb_NJLX0AAfc9b.jpg</t>
  </si>
  <si>
    <t>Ötüken,Altay Dağları</t>
  </si>
  <si>
    <t>ŞEHİT P.Ö.H MEVLÜT DÜNDAR.. 𐱅𐰇𐰼𐰰🇹🇷🇦🇿 yedek hesap @mamd13922738</t>
  </si>
  <si>
    <t>Göktuğ Uygar</t>
  </si>
  <si>
    <t>Arap Birliği havlamış.. Hayır yeni değil ki bu,Osmanlı’yı bile arkadan vuranlar,asırlardır emperyalizmin köpekliğini yapanlar bunlar değil mi ? Onun için diyoruz ki; 🇹🇷🇦🇿🇰🇿🇺🇿🇰🇬🇹🇲 YAŞASIN TÜRK MİLLETİ! VAROLSUN IRKIMIN TURAN ÜLKÜSÜ! #TurkishArmy 🇹🇷</t>
  </si>
  <si>
    <t>https://pbs.twimg.com/media/EGb_MpCWsAA_RcZ.jpg</t>
  </si>
  <si>
    <t>TURAN ÜLKESİ</t>
  </si>
  <si>
    <t>1923 🇹🇷 19🌿7 🇺🇦 1944 🐺 #FENERBAHÇE SK Üyesi #TÜRK #TÜRKÇÜ #ATATÜRKÇÜ #ATSIZ #TÜRKEŞ #FIRATÇAKIROĞLU (24 saat takip &amp; unf )</t>
  </si>
  <si>
    <t>Bymedia HT</t>
  </si>
  <si>
    <t>Çağın hastalıkları. Birincisi yalakalık, İkincisi ego Üçüncü bencillik. #TurkishArmy #EmineBulut</t>
  </si>
  <si>
    <t>Takibe Takip</t>
  </si>
  <si>
    <t>https://www.youtube.com/channel/UCiSPFRLFNOcUVwL0gL24NZQ</t>
  </si>
  <si>
    <t>αнмεт 💫</t>
  </si>
  <si>
    <t>Ne mutlu göğsü iman dolu askere. İşte geliyor ölümün bile korktuğu Türk Askeri 🇹🇷🇹🇷 #TurkishArmy</t>
  </si>
  <si>
    <t>https://pbs.twimg.com/media/EGb_I4wW4AQEXRI.jpg</t>
  </si>
  <si>
    <t>Öyle işte.</t>
  </si>
  <si>
    <t>🇹🇷Mustf¹⁹⁰⁷ #NeslicanTay</t>
  </si>
  <si>
    <t>Allah’ın yeryüzünde ki ordusu TÜRK ordusudur. #TurkishArmy</t>
  </si>
  <si>
    <t>https://pbs.twimg.com/media/EGb_IXKWkAAiKl7.jpg</t>
  </si>
  <si>
    <t>Zühtüpaşa, Kadıköy</t>
  </si>
  <si>
    <t>Hüseyin Baradan,Kont Adnan,Hadise,Ağasarlı Zehra,Volkan Demirel,Ankaralı Turgut,Cüneyt Arkın,Emre Belözoğlu,Kaşüstü/Yomra Fan Club :d Allah,Kitap,FENERBAHÇE</t>
  </si>
  <si>
    <t>Gökhan Kadıoğlu⚡🇹🇷</t>
  </si>
  <si>
    <t>Ak Parti'den ayrılıp parti kurmaya çalışanlardan Operasyonla iligili bir açıklama var mı?🤔 -Yok dimi! Onların tarafı belli, hedefi belli; niyetleri şer, amaçları hayırsız. -Allah Partinizi kuramadan dağılmanızı nasip etsin. Ne diyim..!!! #TurkishArmy</t>
  </si>
  <si>
    <t>Son Osmanlı</t>
  </si>
  <si>
    <t>Ölümüne Ölümüne 🇹🇷❗❗ *Devlet'i Âliyyei Osmaniyye🌙 *Recep Tayyip Erdoğan⚘ *Şehadet Sevdalısı bir kul..✒ *Hâk'kı yazar, Hâk'kı söylerim.📌📍📋</t>
  </si>
  <si>
    <t>Delifiştek</t>
  </si>
  <si>
    <t>https://pbs.twimg.com/media/EGb_FcjXUAEkc50.jpg</t>
  </si>
  <si>
    <t>Bayburt, Türkiye</t>
  </si>
  <si>
    <t>Hsn.Sncktr</t>
  </si>
  <si>
    <t>Şu kopan fırtına Türk ordusudur ya Rabbi Senin uğruna ölen bu ordudur ya Rabbi Tâ ki yükselsin ezanlar ile müeyyed nâmın Galip et ya Rabbi bu son ordusudur islamın... #SeferbizimZaferAllah’ındır.... 🇹🇷🇹🇷🇹🇷 #Barışpınarı #TurkishArmy</t>
  </si>
  <si>
    <t>https://pbs.twimg.com/media/EGb_FRJXUAI11pB.jpg</t>
  </si>
  <si>
    <t>Elfü-elfi salâtin ve elfü-elfi selâmin aleyke Yâ Resûlullâh! (Sana, milyon salât ve milyon selâm olsun Ey Allah'ın Resûlü!) Âmîn. #EkipPayitaht</t>
  </si>
  <si>
    <t>Irmak Çiftçi</t>
  </si>
  <si>
    <t>Bir Ayet...Bakara suresi 186  #TurkishArmy</t>
  </si>
  <si>
    <t>https://pbs.twimg.com/media/D5jl1pVX4AAaP73.jpg</t>
  </si>
  <si>
    <t>Evin başı erkektir, tamam ama kadın da boynudur.Unutma, boyun ne tarafa isterse, baş o tarafa döner.</t>
  </si>
  <si>
    <t>TASAVVUR U MİLLİYE</t>
  </si>
  <si>
    <t>https://pbs.twimg.com/media/EGb_C0rXYAA4u99.jpg</t>
  </si>
  <si>
    <t>#𝓐𝓚𝓽𝓪𝓻</t>
  </si>
  <si>
    <t>Yarab sen ordumuzu Koru muhafaza eyle gazasını mubarek eyle Çıktığı yolda muzaffer eyle #TurkishArmy</t>
  </si>
  <si>
    <t>“Dilini terbiye etmeden önce yüreğini terbiye et; Çünkü söz yürekten gelir, dilden çıkar.” (Hz. Mevlânâ) DİLİNDE KÜFÜR VARSA TAKİP ETME</t>
  </si>
  <si>
    <t>Emre OFLAZ</t>
  </si>
  <si>
    <t>Türk Gençliği olarak Mehmetçiğizin her daim yanındayız! Mahvolan Türkiye değil, Trump olacaktır! ABD'nin bölgemize çizmeye çalıştığı harita, Mehmetçiğin postalları altında ezilecektir. #TurkishArmy RT @adkiu: İ.Ü. ADK olarak, ülkemize tehditler savuran Trump'a vatansever üniversite gençliği olarak yanıtımızı verdik. Fırat'ın doğusunda gerçekleşecek olan operasyonda Türk ordusunun yanındayız. "Türk ordusu kazanacak. ABD/PKK kaybedecek." #turkmilletiordusununyaninda #MahvolursunTrump</t>
  </si>
  <si>
    <t>https://twitter.com/adkiu/status/1181879028816453632</t>
  </si>
  <si>
    <t>https://pbs.twimg.com/media/EGbgqslWwAEx-ao.jpg</t>
  </si>
  <si>
    <t>Boğaziçi Üniversitesi - Kimya / İstanbul Üniversitesi - Felsefe / İstanbul Üniversitesi Atatürkçü Düşünce Kulübü Başkanı</t>
  </si>
  <si>
    <t>Ali Kemal</t>
  </si>
  <si>
    <t>@cenkerenonline Şerefin daim olsun #türkmilletiordusununyanında #TurkishArmy #KurdsSideWithTurkey</t>
  </si>
  <si>
    <t>oğuzhan akdaş</t>
  </si>
  <si>
    <t>Rabbim yâr ve yardımcımız olsun..! 🇹🇷 #TurkishArmy</t>
  </si>
  <si>
    <t>BEŞİKT(aşk) ♥️ profesyonel kayak - boksör 👌🏼</t>
  </si>
  <si>
    <t>ZalımDünya</t>
  </si>
  <si>
    <t>Sezgin Tanrıkulu Merih Demiral Tevfik Göksu #CheGuevara #TurkishArmy NE EKERSEN ONU BİÇERSİN ALLAH ASKERLERİMİZİ KORUSUN SİZLERİ UNUTMAYACAK BU ÜLKE İŞTE ÇEKTİ GİDİYOR HEPSİ SİLAHLI KENDİNCE BEN KÜRTLERE BORCUMU ÖDEDİM ŞİMDİ KENARDA ONLARA SİLAH MERMİ İSTİHBARAT BORÇ PARA</t>
  </si>
  <si>
    <t>https://pbs.twimg.com/media/EGb-9t_WoAIbeAL.png</t>
  </si>
  <si>
    <t>Türkiye - İzmir</t>
  </si>
  <si>
    <t>10/12/1957 İzmir doğumlu ATATÜRK ilke ve İnkılaplarını benimsemiyen⚡ VATAN SEVGİSİNDEN YOKSUN PARTİCİLER🇹🇷SIRF KENDİ TWİTLERİNİ TİWİT SANANLAR LÜTFEN TAKİP ETME</t>
  </si>
  <si>
    <t>https://www.youtube.com/channel/UC8OP9lvImOKpZ_zDuql931Q?disable_polymer=true</t>
  </si>
  <si>
    <t>Emre Yazıcı 🇹🇷</t>
  </si>
  <si>
    <t>Soran olursa Türkler geldi dersiniz. Hoşgeldiniz diyene sahip çıkın. Neden geldiniz diye soranın kafasına sıkın... #TurkishArmy #BarışPınarı</t>
  </si>
  <si>
    <t>https://pbs.twimg.com/media/EGb-8NHXUAYlKxj.jpg</t>
  </si>
  <si>
    <t>Instagram:emrreyazicii Mekanın Sahibiyim 👍</t>
  </si>
  <si>
    <t>http://Instagram.com/emrreyazicii</t>
  </si>
  <si>
    <t>Andreas Ekkeshis</t>
  </si>
  <si>
    <t>@WalidPhares @antistrofos They are obviously celebrating the upcoming “peace operation” in #Syria by the #TurkishArmy which armed with the latest #American weapons will fight and destroy #YPG #Kurdish fighters who fought bravely the #ISIS on behalf of the #US. Shameful betrayal by the US.</t>
  </si>
  <si>
    <t>Atay Kubat</t>
  </si>
  <si>
    <t>"Cebrâil bana komşu hakkında o kadar çok tavsiyede bulundu ki ben (Allah Teâlâ) komşuyu komşuya mirasçı kılacak zannettim. "(Buhârî, “Edeb”, 28 Müslim, ) #TurkishArmy</t>
  </si>
  <si>
    <t>Konuşsam dilim yanar, sussam kalbim.- Necip Fazıl</t>
  </si>
  <si>
    <t>İlk Kurşun</t>
  </si>
  <si>
    <t>https://pbs.twimg.com/media/EGb-4OfXYAAwZMV.jpg</t>
  </si>
  <si>
    <t>İlk Kurşun Gazetesi Resmi Hesabıdır.</t>
  </si>
  <si>
    <t>http://www.ilk-kursun.com/</t>
  </si>
  <si>
    <t>Bahattin SEnEL</t>
  </si>
  <si>
    <t>Çocuklara Çikolata Teröristlere Ölüm Getirdiler Herkez Payına Düşeni Alacak ALLAH c.c Askerimize Güç Kuvvet Versin Dualar Sizinle Yiğitler. #TurkishArmy</t>
  </si>
  <si>
    <t>Ertuğrul kılıç</t>
  </si>
  <si>
    <t>Kaderde Ne varsa, O Gelir Başa. #TanrıTürküKorusun #TurkishArmy</t>
  </si>
  <si>
    <t>https://pbs.twimg.com/media/EGb-2E5WoAUyGu8.jpg</t>
  </si>
  <si>
    <t>Gaziantep,Kayseri, Türkiye</t>
  </si>
  <si>
    <t>Buyursunlar...Bizim için Savaş Düğündür; Din Arab'ın, Hukuk Sizin, Harp Türklüğündür.</t>
  </si>
  <si>
    <t>IYI</t>
  </si>
  <si>
    <t>#TurkishArmy Türk'ün gücüyle ezin.</t>
  </si>
  <si>
    <t>pic.twitter.com/rwOhqHgieC</t>
  </si>
  <si>
    <t xml:space="preserve">TÜRK'ÜN AYAK BASTIĞI HER YER. </t>
  </si>
  <si>
    <t>Türk milliyetçisi IYI Parti gönüllüsü Ozan Arif hayranı.Soyu Türk olmayan, kendini Türk olarak görmeyen benim düşmanımdır (Tarikat 🚫AKP🚫PKK/HDP🚫FETO🚫)</t>
  </si>
  <si>
    <t>TÜRK</t>
  </si>
  <si>
    <t>Bu ülkenin sözde cumhurbaşkanı nerede 13 Kasım'a kadar konuşmayacak herhalde #TurkishArmy</t>
  </si>
  <si>
    <t>Yaradılışımda bir fevkalâdelik varsa, O da TÜRK olarak dünyaya gelmemdir...</t>
  </si>
  <si>
    <t>AmazingLife</t>
  </si>
  <si>
    <t>@ArinBaskir Ama bu dost edinmis #EmineBulut #TurkishArmy #Trump #Erdoğan</t>
  </si>
  <si>
    <t>https://pbs.twimg.com/media/EGb-0ikWoAAxs4e.jpg</t>
  </si>
  <si>
    <t>Yusuf İslam TAŞKIRAN</t>
  </si>
  <si>
    <t>Aslanların meydana inmediği yerde, çakallar kendini kral zannedermiş. #TurkishArmy</t>
  </si>
  <si>
    <t>Sinop, Türkiye</t>
  </si>
  <si>
    <t>K.Ü/Sinop🇹🇷 Yüreği mürekkep dolu..📝 Kalk haydi, ebediyen uyuyacağız zaten!</t>
  </si>
  <si>
    <t>http://instagram.com/islmysf</t>
  </si>
  <si>
    <t>cheetah</t>
  </si>
  <si>
    <t>#TurkishArmy bizim için yaptığınız fedakarlik lar asla unutulmayacak sadece asker değil yüreği şevkat ve merhamet dolu birer kahramanlarsiniz ayağınıza taş değmesin birinizin dahi burnu kanamasin başarı ile tamamlansin nice görevleriniz</t>
  </si>
  <si>
    <t>Enis Uysal</t>
  </si>
  <si>
    <t>Farklı bir açıdan bakıp Rahip Brunson meselesinde devletin ABD yaptırımlarına karşı mâli esnekliğini test ettiğini düşünerek bir sonuç çıkarabilirsek eğer; Trump'ın tehditkâr söylemleri, olası bir Türk harekatını engelleyecek düzeyde olamayacaktır denilebilir. #TurkishArmy</t>
  </si>
  <si>
    <t>İstanbul, Ankara</t>
  </si>
  <si>
    <t>Biraz toprak, biraz deniz🖤 Jeoloji Mühendisi</t>
  </si>
  <si>
    <t>Doğa Rençber</t>
  </si>
  <si>
    <t>A Haberin sosyal medya uygulamasını getiriyorlar, bence sürekli gündeme soktukları yerli milli twitter vb. uygulama örnekleriyle Twitterın fazla muhalif ve uyandırıcı etkisinin ve kamuoyu oluşturmasının önüne geçmek istiyorlar #TurkishArmy</t>
  </si>
  <si>
    <t>Istanbul, Türkiye</t>
  </si>
  <si>
    <t>"When someone stabs you it's not your fault that you feel pain." -Louise Penny</t>
  </si>
  <si>
    <t>TR Mustafa Karabulut 🇹🇷</t>
  </si>
  <si>
    <t>#TurkishArmy Fırat'ın doğuşuna giriyor şimdi mal mal bakanlar ellerini kaldırsın görelim.,🇹🇷✋✋</t>
  </si>
  <si>
    <t>AKILLI İNSANLARI VE DOSTLARIMIZ OLAN HAYVANLARI SEVİYORUM. OLD TRUCK DRİVER. 🚛 SOMA</t>
  </si>
  <si>
    <t>Furkan Atmaca</t>
  </si>
  <si>
    <t>Alfabedeki tüm harflerden isimleri olan, binbir çeşit teröriste karşı savaşan yiğitler. Allah Yâr ve Yardımcınız Olsun! #TurkishArmy</t>
  </si>
  <si>
    <t>https://pbs.twimg.com/media/EGb-o9wXYAEiIg7.jpg</t>
  </si>
  <si>
    <t>Arş. Gör. , Ney Üfleyen Birisi, Voleybol sever, Fakir ama Gururlu</t>
  </si>
  <si>
    <t>https://www.youtube.com/channel/UCzXEcOykGc_-u1SRwA7i_Pg</t>
  </si>
  <si>
    <t>Uğur Vural</t>
  </si>
  <si>
    <t>ABD, Suriye’deki varlığını meşrulaştırmak için mi Türkiye’nin Suriye’ye girmesine izin veriyor? Eğer bu düşüncedeyse Türkiye girdikten sonra Işid’e dolaylı destek vermeyeceği ne malum!? #TurkishArmy #Suriye</t>
  </si>
  <si>
    <t>Beşiktaş ⚪️⚫️</t>
  </si>
  <si>
    <t>M. Türkmen</t>
  </si>
  <si>
    <t>Sdf PKK ypg vs en iyi ağlayan hesaplarını seçiyoruz, lütfen yorum kısmına yazın operasyon boyunca nasıl ağladıklarını biz de takip edelim, sonra takipten çıkarsınız zaten. #carsamba #TurkishArmy #TuerkMilletiOrdusununYanında #BarisPinariHarekati #OperationPeaceSpring</t>
  </si>
  <si>
    <t>Şenol Bulut bulutbey</t>
  </si>
  <si>
    <t>https://pbs.twimg.com/media/EGb-n-3WoAAPLn6.jpg</t>
  </si>
  <si>
    <t>turkey istanbul 34</t>
  </si>
  <si>
    <t>Ebedi Seadet-i kazanmak için çalışıyoruz Müslüman Ehli sünnet velcemaat</t>
  </si>
  <si>
    <t>http://instagram.com/bulut_bey79</t>
  </si>
  <si>
    <t>mehmet yeloğlu</t>
  </si>
  <si>
    <t>https://pbs.twimg.com/media/EGb-mo1XoAEheJX.jpg</t>
  </si>
  <si>
    <t>Beşiktaş Beykent Üni</t>
  </si>
  <si>
    <t>Şükrü Harmantepe</t>
  </si>
  <si>
    <t>Başlıyoruz #TurkishArmy</t>
  </si>
  <si>
    <t>https://pbs.twimg.com/media/EGb-k__W4Ag8XgY.jpg</t>
  </si>
  <si>
    <t>irfan warya</t>
  </si>
  <si>
    <t>We #Pakistani always stand with our Turkish Brothers and Sisters against the enimies of Turkey and Islam. Trump playing wrong cards with Muslims. They don't know our Power. It's time to stand Togather. #Trump #Turkish #PakistanStandsWithTurkey #PakistanArmy #TurkishArmy RT @alikeskin_tr: Bismillahirrahmanirrahim İnna fetahna leke fetham mübına #TurkishArmy</t>
  </si>
  <si>
    <t>https://twitter.com/alikeskin_tr/status/1181876599542685697</t>
  </si>
  <si>
    <t>https://pbs.twimg.com/media/EGbefs3XUAAOKOU.jpg</t>
  </si>
  <si>
    <t>very simple, not prefect but not fake: kindly don't play with innocent peoples because God will reward you with the same.😃</t>
  </si>
  <si>
    <t>Numan Leventoğlu</t>
  </si>
  <si>
    <t>FIRTINALAR DURSUN YANA YOL VER TÜRK'ÜN BAYRAĞINA #TurkishArmy</t>
  </si>
  <si>
    <t>https://pbs.twimg.com/media/EGb-kC1WoAEnn4h.jpg</t>
  </si>
  <si>
    <t>Antalya /Alanya</t>
  </si>
  <si>
    <t>Selçuk Üniversitesi Finans 🎓 Süleyman Demirel Üniversitesi İktisat 🎓 📌 Düzce EGM 🇹🇷 🇹🇷 🇹🇷 👮</t>
  </si>
  <si>
    <t>LEGEND 박지민</t>
  </si>
  <si>
    <t>Burada ne işimiz var diyordum kiii sonradan anladım 😂 #TurkishArmy</t>
  </si>
  <si>
    <t>Bighit Entertainment</t>
  </si>
  <si>
    <t>Singularity&amp;Spring Day&amp;Promise @BTS_twt👑 Jimin biased</t>
  </si>
  <si>
    <t>Hasibe Büyükdoğan</t>
  </si>
  <si>
    <t>“Onlar, kendi canları çekmesine rağmen yemeği yoksula, yetime ve esire yedirirler.” Dehr Suresi 8.  #TurkishArmy</t>
  </si>
  <si>
    <t>https://pbs.twimg.com/media/Cx-TlEgWQAEuw0g.jpg</t>
  </si>
  <si>
    <t>Siirt, Türkiye</t>
  </si>
  <si>
    <t>Mutlu olmak kimin umrunda, sen yanımda ol yeter.</t>
  </si>
  <si>
    <t>Deli Trump Pkk/Ypg'yi kendi haline bırakacak. Trump Amerikan askerinin Ortadoğu'da bulunmasını istemiyor. Türk ordusu ve teröristler baş başa kalacaklar.....Kürt ve terörist ayrımını iyi yapın artık. #TurkishArmy</t>
  </si>
  <si>
    <t>siyaset</t>
  </si>
  <si>
    <t>Vakkass Shtin</t>
  </si>
  <si>
    <t>#TurkishArmy It's time for Macron to wear a skirt.</t>
  </si>
  <si>
    <t>https://pbs.twimg.com/media/EGb-ebKWsAUYSz4.jpg</t>
  </si>
  <si>
    <t>Košice,Slovak Republic</t>
  </si>
  <si>
    <t>Metin KARATAŞOĞLU</t>
  </si>
  <si>
    <t>#TurkishArmy Dosta güven Mazlumun yanında Terör ve yandaslarin korkulu ruyasi TÜRK ordusu</t>
  </si>
  <si>
    <t>Felsefe,teoloji,araştırma ,bilim,teknoloji meraklısı biri TÜRK MİLLİYETCİSİ 🇹🇷NE Mutlu Tüküm Diyene ! ☪️🇹🇷☪️ Vatan Sana Canım Feda🇹🇷</t>
  </si>
  <si>
    <t>ϜϓſϞ Kızı 🇹🇷</t>
  </si>
  <si>
    <t>Koç yiğitlik nam olmuş Kırk yiğidin kırkına Tanrı güç kuvvet versin Kürşadların ırkına #TurkishArmy 🇹🇷 #BarisPinari</t>
  </si>
  <si>
    <t>https://pbs.twimg.com/media/EGb-bk1X0AAkO13.jpg</t>
  </si>
  <si>
    <t>Türkiye Cumhuriyeti</t>
  </si>
  <si>
    <t>MUSTAFA KEMAL ATATÜRK💙 YurtAçan Malazgirt//YurtTutan Miryokefalon//YurtKurtaran BüyükTaarruzdan BuYana TümŞehitlerimize Borcumuz Ödenmez ŞEHiTLER ÖLMEZ</t>
  </si>
  <si>
    <t>Turgay</t>
  </si>
  <si>
    <t>Terrororganisation PKK verübt Anschläge auf Zivilisten, Polizisten, Soldaten in der Türkei. USA (+Vasallen): 🙈🙉🙊 Türkei bekämpft PKK, YPG. USA (+🐕): "Ethnische Säuberung gegen Kurden" 🤔 Türkei: 🖕🖕🖕 #TurkishArmy</t>
  </si>
  <si>
    <t>https://pbs.twimg.com/media/EGb-XJEXYAAoI3m.jpg</t>
  </si>
  <si>
    <t>Geschichte/Germanistik 🎓 - İlim peygamberlerden miras, mal firavunlardan!</t>
  </si>
  <si>
    <t>Onur AKdogan</t>
  </si>
  <si>
    <t>#TurkishArmy Türkiyede sirket kur holding kur Türkiye nin ekmegini ye suyunu icin sonra bu vatana millete ihanet et bu ne serefsizliktir bu ne köpekliktir, türkiye ye düsmanlik eden holdingler sirketler vs vs bu millete hesap vereceksiniz</t>
  </si>
  <si>
    <t>Osmanlinin ayak Sesi AK Parti</t>
  </si>
  <si>
    <t>Türkiyenin Can Damari AK Parti inanclarin özgürlügü AK Parti,Kardesligin Teminati AK Parti,</t>
  </si>
  <si>
    <t>Yunus Akman</t>
  </si>
  <si>
    <t>Bir düğme neler yapabiliyor😎#TurkishArmy</t>
  </si>
  <si>
    <t>https://pbs.twimg.com/media/EGb-TTEWkAAUZmU.jpg</t>
  </si>
  <si>
    <t>Önce vatan🇹🇷 Gs, Tsk:Etkin , Saygın, Caydırıcı ❤ İstediğim gibi değil istediğin gibi olsun Ey zat-ı Pakım Süphaniyem 🎼🎼🎼🎶🎵🎧</t>
  </si>
  <si>
    <t>Son Ütücü</t>
  </si>
  <si>
    <t>müslümanın Kutsalı Kuran Olmalıydı, Halbuki̇ Kuranı Tartışmaya Değer Bi̇le Görmedi̇ler, Demokrasi̇yi̇ Tartışılmaz Yaptılar... #TurkishArmy</t>
  </si>
  <si>
    <t>Ütücülerden Son</t>
  </si>
  <si>
    <t>İsmail Örenkaya</t>
  </si>
  <si>
    <t>Fırtınalar dursun yana Yol ver TÜRK'ün bayrağına.. #BarisPinariHarekati #TurkishArmy</t>
  </si>
  <si>
    <t>https://pbs.twimg.com/media/EGb-RjPXUAY3XQQ.jpg</t>
  </si>
  <si>
    <t>Tengri Biz Menen 🇹🇷</t>
  </si>
  <si>
    <t>Ümit AYDIN |🇹🇷🇦🇿</t>
  </si>
  <si>
    <t>1. photo #TurkishArmy 2. Photo #IsraelArmy 3. photo #UsaArmy</t>
  </si>
  <si>
    <t>https://pbs.twimg.com/media/EGb-QT8X0AAXaJp.jpg</t>
  </si>
  <si>
    <t>Gündemi onlar konuşur,biz belirleriz! | 🇹🇷 🇹🇷</t>
  </si>
  <si>
    <t>https://www.instagram.com/umitaydintc/</t>
  </si>
  <si>
    <t>Gökte Bürküt Yerde Gökbörü</t>
  </si>
  <si>
    <t>https://www.youtube.com/watch?v=mWnAqdW76GY</t>
  </si>
  <si>
    <t>havada,karada,denizde,çölde çatakta ve batakta her zaman ve heryerde #TurkishArmy</t>
  </si>
  <si>
    <t>Merkez, Bolu</t>
  </si>
  <si>
    <t>YOU KNOW WHO I AM</t>
  </si>
  <si>
    <t>https://www.instagram.com/erenakcayim/</t>
  </si>
  <si>
    <t>kasimsek</t>
  </si>
  <si>
    <t>Gök girsin kızıl çıksın #TurkishArmy</t>
  </si>
  <si>
    <t>Çamlıca, Eskişehir</t>
  </si>
  <si>
    <t>baba, eğitimci,</t>
  </si>
  <si>
    <t>TEKAÜT TÜRK POLİSİ 👮</t>
  </si>
  <si>
    <t>Çocukların korkmadığı tek ordu... #çarşamba #TurkishArmy #NeredeKalmıstık</t>
  </si>
  <si>
    <t>https://pbs.twimg.com/media/EGb-M5vXoAEt2yq.jpg</t>
  </si>
  <si>
    <t>701 KHK ile Hakkı Gasp edilen Türk Polisi, namı diğer tekaüt👮.</t>
  </si>
  <si>
    <t>Biz fıratın doğusuna girecez sizde Maaaal Maaaal bakacaksınız. Selo ne diyordu? O zaman haydi dans... #TurkishArmy</t>
  </si>
  <si>
    <t>https://pbs.twimg.com/media/EGb-IszWoAA1sbs.jpg</t>
  </si>
  <si>
    <t>zeynep aslan</t>
  </si>
  <si>
    <t>Ev Yapmı Doğal Cif  #DMDyedestekzinciri #EmineBulut #CheGuevara #TurkishArmy #MasterChef #Turkey</t>
  </si>
  <si>
    <t>https://youtu.be/I513l7Pzu0M</t>
  </si>
  <si>
    <t>https://www.youtube.com/channel/UCpuFJYXiVHtCQq1iY8pTnYg</t>
  </si>
  <si>
    <t>makyildiz</t>
  </si>
  <si>
    <t>Mehmetçiğimin ayağına taş değmesin #TurkishArmy</t>
  </si>
  <si>
    <t>Connee Conehead</t>
  </si>
  <si>
    <t>Finally, American television is reporting what I learned yesterday (MSNBC reporting now 8:30 am 10/9) from a British cousin.  All because Baby King did not consult the Pentagon before withdrawing troops. #TurkeyIsNotOurFriend #TurkishArmy #Kurds</t>
  </si>
  <si>
    <t>https://www.thesun.co.uk/news/10088178/turkey-kurdish-bases-explosion-syria-border-troops/</t>
  </si>
  <si>
    <t>Eastern Shore of Maryland</t>
  </si>
  <si>
    <t>Retired (Fed Gov) wife, ma, grandma, hound/cat owner, graphic artist, Raven Maniac, Ex-Republican, anti-hate (my shop below) Pray for impeachment</t>
  </si>
  <si>
    <t>https://shop.spreadshirt.com/balmer-hon/</t>
  </si>
  <si>
    <t>Yavuz Sultan Selim</t>
  </si>
  <si>
    <t>Bir zamanlar asteğmendi Şimdi başkomutan. #TurkishArmy</t>
  </si>
  <si>
    <t>https://pbs.twimg.com/media/EGb-GHNXoAAyXPh.jpg</t>
  </si>
  <si>
    <t>intikamı alınmadık tek bir vatan evladı kalmayacak...</t>
  </si>
  <si>
    <t>Ucubeler Sirki</t>
  </si>
  <si>
    <t>Sezgin Tanrıkulu isimli pkk destekçisi CHP li vekil porno izlemiş, üstüne üstlük birde beğeni yaparak takipçilerinin önüne düşürmüş Ama suçlusu biziz, bunların alayı sapık, alayı yalancı Tevfik Göksu #CheGuevara Mustafa İslamoğlu #TurkishArmy #EmineBulut</t>
  </si>
  <si>
    <t>pic.twitter.com/guZwGQoIQm</t>
  </si>
  <si>
    <t>Sertan Birol</t>
  </si>
  <si>
    <t>Teröre destek veren Belediyelere kayyum atandığı gün, soluğu Diyarbakır'da alan CHP'li İBB Başkanı İmamoğlu, 2 gündür şanlı askerimiz için 1 destek twiti bile atmadı! İstanbul'a kimi seçtiniz ve herşeyin nasıl güzel olacağını anladınız mı? #TurkishArmy #BarışPınarı</t>
  </si>
  <si>
    <t>Her nefis ölümü tadacaktır #PayitahtAbdülhamit #Kosova, #Prïština, #Türkiye Arnavuta bulaşma Boşnağa rahmet okutur Türkle dalaşma yerin yurdun unutulur</t>
  </si>
  <si>
    <t>Eren Fıçı</t>
  </si>
  <si>
    <t>Recep Tayyip Erdoğan fan</t>
  </si>
  <si>
    <t>@suleymansoylu Mazlumların ve Dünyanın Tek Umudu TÜRK ASKERİ  #BarışPınarı #TurkishArmy #çarsamba</t>
  </si>
  <si>
    <t>pic.twitter.com/ntXUPZ1yEE</t>
  </si>
  <si>
    <t>Recep Tayyip Erdoğan destek Hesabıdır .</t>
  </si>
  <si>
    <t>Mehmet Taha Aksoy</t>
  </si>
  <si>
    <t>Ekrem İmamoğlu’na insanca ve kardeşçe davranan Müslüman Türk kızı Recep Tayyip Erdoğan’a düşmanca davranan sözde laik devrimci kadının acınası hali Farka bakınız Kimler bozguncu görülüyor Burada Ekrem İmamoğlu’nu değil başörtülü bacıyı kutlamak lazım #TurkishArmy #CheGuevara</t>
  </si>
  <si>
    <t>https://pbs.twimg.com/media/EGb977xWoAEZAY5.jpg</t>
  </si>
  <si>
    <t>Bahçeşehir</t>
  </si>
  <si>
    <t>Marmara Üni.,Samsun ,Karadeniz ve Orman aşkı ,Finansal Yönetim 📟Mıymıylar, Çapulcular, mallar,Şizolar, devlet düşmanları ve ironiden anlamayanlar uzak dursun❗️</t>
  </si>
  <si>
    <t>🇹🇷_____mine _____🇹🇷</t>
  </si>
  <si>
    <t>@zodex3458 Adam....❤ #TurkishArmy</t>
  </si>
  <si>
    <t>“Biz ancak rükûda eğiliriz” -Allâh var... Ümitsizlik yok. -Duâ var... Çaresizlik yok. 🇹🇷1907💛💙 @karasoylu55</t>
  </si>
  <si>
    <t>yüksel hoca</t>
  </si>
  <si>
    <t>#TurkishArmy şu ortamda gireceklerini sanmıyorum çünkü sonu çoklu ihtimali getiriyor..güvenli bölge için kalıcı olmak şartken böyle bir şansımız yok..bu şartlar altında yarar sağlamaz</t>
  </si>
  <si>
    <t>Rümeysa SEVİNÇ</t>
  </si>
  <si>
    <t>Bir Türk'ün bir damla yaşı Yok edecek dağı taşı Düşmanın başına arşı, Gökyüzünü yıkacağız! #TurkishArmy</t>
  </si>
  <si>
    <t>@bursasporsk 🐊</t>
  </si>
  <si>
    <t>http://instagram.com/rumeysasevnc</t>
  </si>
  <si>
    <t>israfil yalçin</t>
  </si>
  <si>
    <t>#TurkishArmy Binlerce temiz ve saf kalp dua ettik bugün. Rabbim muzaffer eylesin @RTErdogan @BeratAlbayrak @ziyaselcuk @hmzaydg</t>
  </si>
  <si>
    <t>pic.twitter.com/unCngScLxD</t>
  </si>
  <si>
    <t>Sultan Çiftliği, İstanbul</t>
  </si>
  <si>
    <t>ÇORGENÇ BAŞKAN YARDIMCISI EĞİTİM VE ARGE BAŞKANI SINIF ÖĞRETMENİ BAHATTİN YILDIZ ALGEM DE TÜRKÇE ÖĞRETCİSİ</t>
  </si>
  <si>
    <t>M.Bugrahan KILIC</t>
  </si>
  <si>
    <t>@rcallimachi @brett_mcgurk Oooo Translate it mcgurk Oooo Translate it mcgurk Oooo Translate it mcgurk Oooo approaching can you hear? #TurkishArmy against to #isis #ypg #PKK_PYD_YPG #QSD #YPJ #asdfgsjhd</t>
  </si>
  <si>
    <t>pic.twitter.com/A40JIETR2Z</t>
  </si>
  <si>
    <t>Istanbul -  Anatolia, Turkiye</t>
  </si>
  <si>
    <t>Istanbul University, Astronomer - {Curious, Voyager and Researcher} #gökbilim #uzay #astronomi #astronomy</t>
  </si>
  <si>
    <t>https://mbugrahankilic.wordpress.com/</t>
  </si>
  <si>
    <t>Aysenaz Erdurak</t>
  </si>
  <si>
    <t>'Diyorlar ki hüküm verme işinde bize bir pay var mıdır? De ki emrin ve hükmün tamamı yalnız ALLAH'a aittir.'' (Al-i İmran: 154) #TurkishArmy</t>
  </si>
  <si>
    <t>https://pbs.twimg.com/media/D2KwefGXgAACWK6.jpg</t>
  </si>
  <si>
    <t>Gülbahar Göktaş</t>
  </si>
  <si>
    <t>winger</t>
  </si>
  <si>
    <t>Bir arkadaşa bakıcaz da çıkar mıyız bilmiyorum #turkisharmy</t>
  </si>
  <si>
    <t>Sosyopat</t>
  </si>
  <si>
    <t>Muhteşem</t>
  </si>
  <si>
    <t>Aptallardan dolandırıcı çıkmaz. Çünkü dolandırıcılık ve puştluk için de zekâ gerekir. Dumur beyinli solaklar, yeltendikleri siyaset dolandırıcılığını, puştluğu beceremiyor, ellerine yüzlerine bulaştırıyorlar. Yine de rezil olmuyorlar. Çünkü edep de yok bunlarda. #TurkishArmy</t>
  </si>
  <si>
    <t>Birazdan yenilenir çağrısı şehitlerin/Geçer ışık hızıyla atlıları Bedir'in</t>
  </si>
  <si>
    <t>https://yazbee.com/muhtesem</t>
  </si>
  <si>
    <t>💛💙Fenerbahçeli👉Kemal💛💙</t>
  </si>
  <si>
    <t>Gelde geleyim Sana kanımın son damlasına kadar feda olsun Canım iki gözüm Türkiyem Türk Bayrağım 🇹🇷🇹🇷🇹🇷 #TurkishArmy</t>
  </si>
  <si>
    <t>https://pbs.twimg.com/media/EGb9wLwXkAECmLw.jpg</t>
  </si>
  <si>
    <t>EVLAD-I OSMANLI🇹🇷💛💙FENERBAHÇE💛💙 Dünya sulh istiyorsa 𐱅𐰇𐰼𐰰’e biat etmek zorundadır 🇹🇷 NE MUTLU TÜRK’ÜM DİYENE ⚖️ #OmuzOmuzaSampiyonluğa @Fenerbahce</t>
  </si>
  <si>
    <t>https://www.instagram.com/kemalbolbolcu06/</t>
  </si>
  <si>
    <t>OlGÑ AYTŞ</t>
  </si>
  <si>
    <t>@t24comtr Pkklı teröristler, abdliler ülkeyi kevgire çevirirken neredeydiniz ? Yardıma gidiyoruz bize karşı koyacaklarmış !! harbiden deve insan diken üçlemesi amk #TurkishArmy</t>
  </si>
  <si>
    <t>19🌿7 MUSTAFA KEMAL ATATÜRK.</t>
  </si>
  <si>
    <t>Aczmendi Mustafa</t>
  </si>
  <si>
    <t>#TurkishArmy RT @MustafAczmendi: Biz amerikayı da dağıtırız. #BarışPınarı #çarşamba #TürkSilahlıKuvvetleri #aczmendi #geceyebirnot</t>
  </si>
  <si>
    <t>https://twitter.com/MustafAczmendi/status/1181746164238032897</t>
  </si>
  <si>
    <t>pic.twitter.com/pQrbO5QgyM</t>
  </si>
  <si>
    <t>Bana o mukaddes dükkânın hizmetkârlığı yeter. Müflis bir hizmetkâr olsam, daha hoşuma gidiyor.#SaidNursi http://youtube.com/aczimustafaçelik</t>
  </si>
  <si>
    <t>http://YouTube.com/aczimustafaçelik</t>
  </si>
  <si>
    <t>Talip Demirkapı</t>
  </si>
  <si>
    <t>En son nerede görüldün?  #TurkishArmy</t>
  </si>
  <si>
    <t>https://pbs.twimg.com/media/D6byqvKXoAAfmQs.jpg</t>
  </si>
  <si>
    <t>Alnını ne kɑdɑr dik tutɑrsɑn yere o kɑdɑr sɑğlɑm bɑsɑrsın. -Cenap Şahabettin</t>
  </si>
  <si>
    <t>ilhan aksoy</t>
  </si>
  <si>
    <t>Türkiyenin Suriye de ne işi var diyenlerin gözüne şu haritayı sokun. #TurkishArmy</t>
  </si>
  <si>
    <t>https://pbs.twimg.com/media/EGb9lMUXkAAycNc.jpg</t>
  </si>
  <si>
    <t>Düşünen Adam</t>
  </si>
  <si>
    <t>https://pbs.twimg.com/media/EGb9j30W4AAnzS9.jpg</t>
  </si>
  <si>
    <t>Türkiye,Vatan,Gurbet, Atatürk, Beşiktaş,Objektif bir deli🙂</t>
  </si>
  <si>
    <t>Mustafa Yaşar</t>
  </si>
  <si>
    <t>İran ve Rusya, PYD, Suriye hükümeti ile anlaşmalı diyor. ABD tüm sorumluluk sizde diyerek DAEŞe işaret ediyor. Nasıl bir oyunun içindeyiz, nasıl bir plan var, anlamak güç. Umarım devletimiz her türlü duruma hazırlıklıdır. Güveneceğimiz Allah'tan başka merci yok. #TurkishArmy</t>
  </si>
  <si>
    <t>Tam otuz yıl saatim işlemiş ben durmuşum.. Gökyüzünden habersiz uçurtma uçurmuşum..</t>
  </si>
  <si>
    <t>http://www.mustafayasar.net</t>
  </si>
  <si>
    <t>Çağdaş BUDAK ⚡️</t>
  </si>
  <si>
    <t>Geliyoruz 😎 #TurkishArmy</t>
  </si>
  <si>
    <t>https://pbs.twimg.com/media/EGb9faQXYAA1yK7.jpg</t>
  </si>
  <si>
    <t>AK PARTİ Pendik Belediye Meclis Üyesi - AK PARTİ Pendik Gençlik Kolları Başkan Vekili</t>
  </si>
  <si>
    <t>mustafa cakici</t>
  </si>
  <si>
    <t>Gökçen Kız 🇹🇷🇦🇿</t>
  </si>
  <si>
    <t>Siz doldurun silahı, BİZ ATEŞLERİZ! Siz vurun, BİZ GÖMERİZ! Siz Sözde devlet kurun, BİZ YIKARIZ! Siz Bugünün Çocuğu etnik çöp, BİZ TARİHİ YAZAN VE ONA SIĞMAYAN TÜRK! Siz Çakal sürüsü BİZ BOZKURT, TANRININ BÖRÜSÜ! KİNİMİZ DİNİMİZDİR!!! #TurkishArmy</t>
  </si>
  <si>
    <t>Türkçü- ATATÜRK gibi TÜRK MİLLİYETÇİSİ</t>
  </si>
  <si>
    <t>Paul Atreides</t>
  </si>
  <si>
    <t>🇹🇷 #TurkishArmy</t>
  </si>
  <si>
    <t>Bilim kurgu ve fantastik eser hayranı, Fenerbahçeli... 🇹🇷💛💙</t>
  </si>
  <si>
    <t>MUR4T</t>
  </si>
  <si>
    <t>afyonkarahisar</t>
  </si>
  <si>
    <t>İslambol Belediye Başganı.. Hürgeneral....</t>
  </si>
  <si>
    <t>Sema Nur</t>
  </si>
  <si>
    <t>minecelik 🇹🇷</t>
  </si>
  <si>
    <t>#TurkishArmy Hendek savaşında ne zaman ki sahabe hendek kazıp harakete geçmeye başlayınca Rabbimiz melekleri ordusunu yardıma gönderdi Şimdi mazlumlar ve teröristleri yok etmek için Serhat ordumuza görünmez ordularımızda Biiznillah olacaktır #TurkishArmy</t>
  </si>
  <si>
    <t>https://pbs.twimg.com/media/EGb9ZMGWsAIJikM.jpg</t>
  </si>
  <si>
    <t>Önce Vatan ve Temiz Siyaset Evli .. &amp; TÜRKİYE İSTANBUL SÖLEŞMESİ’nden çıkmalıdır ..#AilemizHerşeyimiz’dir ANAHESAB tır RT HESAB👉@mineCellikk</t>
  </si>
  <si>
    <t>hoca'ca</t>
  </si>
  <si>
    <t>Barış kelimesiyle terör örgütlerinin koruyuculuğuna soyunanlar, Demokrasi sözcüğüyle de devletin elini kolunu bağlayıp ortalıkta at koşturuyorlar. Peki biz ne yapıyoruz veya ne yapabiliyoruz? #TurkishArmy #BarışPınarıHarekatı</t>
  </si>
  <si>
    <t>Muhammed Böyük</t>
  </si>
  <si>
    <t>En bağnaz ve yobaz kitle, araştırmadan İslam hakkında ahkâm kesen ve kulaktan doğma bilgilerle İslam'a saldıran sözde özgür düşünceli kesimdir. Fikirlerini din gibi kutsayıp bildiğini sandıkları şeyleri hakikat diye kusarlar. #TurkishArmy</t>
  </si>
  <si>
    <t>Aşk, siyaset, tıp, savaş. Bunların hepsi insanoğlunun boynuna taktığı aksesuardır.- Hakan Günday</t>
  </si>
  <si>
    <t>Muharrem GÜLMEZ</t>
  </si>
  <si>
    <t>Vur bozkurtum vur tilkiye. Vurki kurtulsun Türkiye. ALLAH yar ve yardımcınız olsun. Cennetle müjdelenen Mehmetçiğim. Dualarımız sizinle. #TurkishArmy</t>
  </si>
  <si>
    <t>Kelly 🌊</t>
  </si>
  <si>
    <t>#Congress Please help us - STOP the troop withdrawal. #KurdsBetrayedByTrump #TurkishArmy RT @IgnatiusPost: A bad situation in Northeast Syria is about to get much worse. Sources tell me that US officials have just informed the Syrian Kurds that Turkey is likely to attack on air and ground in next 24 hours. The US will do nothing. Targets are Tal Abyad and Ras al Ayn....</t>
  </si>
  <si>
    <t>https://twitter.com/IgnatiusPost/status/1181724204233904128</t>
  </si>
  <si>
    <t>Time to save OUR country, the Land of the Free - #Impeach and #VoteBlue. Please vote.</t>
  </si>
  <si>
    <t>Bilgi Şefi</t>
  </si>
  <si>
    <t>Mor Lahana Turşusu Salatalarınız İçin Efsane Tat #turşu #lahanaturşusu #tarif #bilgi #EmineBulut #CheGuevara #TurkishArmy #çarşamba</t>
  </si>
  <si>
    <t>https://www.bilgisefi.net/mor-lahana-tursusu/</t>
  </si>
  <si>
    <t>Pratik yemekler, besinlerin fayda ve zararları, ipuçları, tatlı ve pasta tarifleri, pratik bilgiler, diyet önerileri ve daha fazlası sizlerle.</t>
  </si>
  <si>
    <t>https://www.bilgisefi.net/</t>
  </si>
  <si>
    <t>Metin KÜLÜNK</t>
  </si>
  <si>
    <t>http://www.metinkulunk.org</t>
  </si>
  <si>
    <t>ANTBİLGİ</t>
  </si>
  <si>
    <t>#CheGuevara #TurkishArmy #EmineBulut  Sezgin Tanrıkulu Merih Demiral Tevfik Göksu Divan Restaurant</t>
  </si>
  <si>
    <t>https://www.antbilgi.com/baldiran-otu/</t>
  </si>
  <si>
    <t>BİLGİ VE FORUM SİTESİ</t>
  </si>
  <si>
    <t>Kaan Küpeli</t>
  </si>
  <si>
    <t>Yetişecek çocuklarımıza ve gençlerimize, görecekleri tahsilin hududu ne olursa olsun, en evvel, her şeyden evvel Türkiye’nin istikbaline, kendi benliğine, millî an’anelerine düşman olan bütün unsurlarla mücadele etmek lüzumu öğretilmelidir.#TurkishArmy Mustafa Kemal Atatürk</t>
  </si>
  <si>
    <t>BU PROFİLDE Kİ HER ŞEY ATA"TÜRK"ÇÜLÜK ÜZERİNEDİR.</t>
  </si>
  <si>
    <t>Kadir Yalnız</t>
  </si>
  <si>
    <t>Bu videodan sonra “savoşa hoyoooor” diyenin vicdanını da, insanlığını da, Türklüğünü de, Müslümanlığını da... “Biz sanatçıyız, aykırıyız” diyenler de bir seferliğine abd ye aykırıyız deyin de... #TurkishArmy</t>
  </si>
  <si>
    <t>pic.twitter.com/j9V4zHAL1Q</t>
  </si>
  <si>
    <t>Arel Casım Bakır</t>
  </si>
  <si>
    <t>https://pbs.twimg.com/media/EGb9NV0WkAUaE2X.jpg</t>
  </si>
  <si>
    <t>ESKİŞEHİR/ ISPARTA</t>
  </si>
  <si>
    <t>Fırat'ın Doğusu Barış Pınarı 🇹🇷</t>
  </si>
  <si>
    <t>Sınırda yaşayan Kürt teyzeden Mehmetçiklere : " Siz benim gözümsünüz başımsınız, onları ezin.! #TurkishArmy #BarışPınarıHarekatı #TürkMilletiOrdusununYanında</t>
  </si>
  <si>
    <t>pic.twitter.com/dVXz0z6k7Y</t>
  </si>
  <si>
    <t>Bana ne amerika'dan</t>
  </si>
  <si>
    <t>Sezin Demirbaş</t>
  </si>
  <si>
    <t>Allahım! Huşu duymaz kalpten, dinlenmeyen duadan, doymak bilmeyen nefisten, faydası olmayan ilimden sana sığınırım. #TurkishArmy</t>
  </si>
  <si>
    <t>Özgürlüğü elinden alınan çocuğa büyük derler. -Özdemir Asaf</t>
  </si>
  <si>
    <t>⏸Hünkar🌶</t>
  </si>
  <si>
    <t>Trump- Bombaladım Hissettiniz mi? Pantagon -Sikseydin Başgan #TurkishArmy</t>
  </si>
  <si>
    <t>🇹🇷 ‏ ‏دولة العثمانية</t>
  </si>
  <si>
    <t>🌿#Lamassu 🏹 🌩Gök Gürültülü⛈ GRUPLARA 🌶EK🌶LE🌶ME🌶YİN🌶Gündüz Hayvan, Gece İnsan.Evli, Botlu, Gocuklu, Kışın Don Yazın Foturlü. #Oba Çiğköftecisi😉</t>
  </si>
  <si>
    <t>http://OralBiber.com</t>
  </si>
  <si>
    <t>Efraim Açıksöz</t>
  </si>
  <si>
    <t>#TurkishArmy Allah yar ve yardımcısı olsun. Tüm dualarımız sizinle...</t>
  </si>
  <si>
    <t>Siyasî Aday</t>
  </si>
  <si>
    <t>veni vidi vici</t>
  </si>
  <si>
    <t>@zodex3458 İlk önce o arabaladan inecek, halkın arasında yaşayacak sonra bu sözleri söyleme cüretkarlığına sahip olacak. Bir vatan sevdalısı, dün Türkiye'ye ihanet yapıyor dediği adamlarla, el ele tutuşamaz. Benim nazarımda söylediğinin hükmü yoktur. #TurkishArmy</t>
  </si>
  <si>
    <t>in my great and unmatched wisdom</t>
  </si>
  <si>
    <t>Doğan Şahinbaş</t>
  </si>
  <si>
    <t>Vur şanlı silahınla gönül mülkü düzelsin; Sen öldürüyorken de vururken de güzelsin.🇹🇷 #TurkishArmy</t>
  </si>
  <si>
    <t>https://pbs.twimg.com/media/EGb9DtMXoAE00uG.jpg</t>
  </si>
  <si>
    <t>Hamsiköylü</t>
  </si>
  <si>
    <t>Önder Cansız</t>
  </si>
  <si>
    <t>https://pbs.twimg.com/media/EGb9B1AW4AAki3W.jpg</t>
  </si>
  <si>
    <t>Çorum Merkez, Çorum</t>
  </si>
  <si>
    <t>Tarih , Edebiyat , Fotoğraf</t>
  </si>
  <si>
    <t>https://twitter.com/Turan1530/status/1181854226231812096</t>
  </si>
  <si>
    <t>pic.twitter.com/SuaQla8DC1</t>
  </si>
  <si>
    <t>Tahir Kemal</t>
  </si>
  <si>
    <t>#TurkishArmy #DonaldTrump #soneryalcin #sözcü #RecepTayyipErdogan</t>
  </si>
  <si>
    <t>https://pbs.twimg.com/media/EGb8ztGWwAAiPgw.jpg</t>
  </si>
  <si>
    <t>🆈🆄🅽🆄🆂 🅴🅼🆁🅴</t>
  </si>
  <si>
    <t>Ne mutlu Türküm diyene ne mutlu Türk askeriyim diyene.🇹🇷 #TurkishArmy #TurkeyIsNotOurFriend #turkmilletiordusununyaninda</t>
  </si>
  <si>
    <t>https://pbs.twimg.com/media/EGb8_fSXoAAKHg6.jpg</t>
  </si>
  <si>
    <t>▁ ▂ ▄ ▅𝔐𝔢𝔨𝔞𝔫ı𝔫 𝔖𝔞𝔥𝔦𝔟𝔦𝔶𝔦𝔪▅ ▄ ▂ ▁</t>
  </si>
  <si>
    <t>mücahit ersöz</t>
  </si>
  <si>
    <t>Turk ordusu Allah seni korusun. #TurkishArmy</t>
  </si>
  <si>
    <t>Yaman Şatır</t>
  </si>
  <si>
    <t>“Her şeyi ifsat edecek bir bela vardır, bu dinin afeti de kötü idarecilerdir.” .”(Camiu’s-sağir.c.1,hds:475) #TurkishArmy</t>
  </si>
  <si>
    <t>Koç Üniversitesi</t>
  </si>
  <si>
    <t>Oktay Gökmen</t>
  </si>
  <si>
    <t>Ayağınıza taş değmesin mehmetcik, şehitlik şaadettir. Olsun yinede sağ salim dönün baba ocaklarınıza.#TurkishArmy</t>
  </si>
  <si>
    <t>MUHAFAZAKAR ATATÜRKÇÜ... yaşadıklarımız ve yaşattıklarımızla yargılanacağız.....</t>
  </si>
  <si>
    <t>Murat Yavan</t>
  </si>
  <si>
    <t>☝️ #TurkishArmy</t>
  </si>
  <si>
    <t>https://pbs.twimg.com/media/EGb88BxXUAEueOI.jpg</t>
  </si>
  <si>
    <t>Bir gıdım insan...</t>
  </si>
  <si>
    <t>Oğuzhan</t>
  </si>
  <si>
    <t>#TurkishArmy dualar sizlere bu canlar sizlere emanet babayiğitler .</t>
  </si>
  <si>
    <t>Instagram: oguzhanyaylim</t>
  </si>
  <si>
    <t>Hazar Karaköy</t>
  </si>
  <si>
    <t>Vur şanlı silahınla gönül mülkü düzelsin; Sen öldürüyorken de vururken de güzelsin. #TurkishArmy</t>
  </si>
  <si>
    <t>“Bir insanın bedenini ameliyat etmek için uyutmak, ruhunu ameliyat etmek içinse uyandırmak gerekir."</t>
  </si>
  <si>
    <t>http://hazarkarakoy.com</t>
  </si>
  <si>
    <t>İsmail YAŞAR</t>
  </si>
  <si>
    <t>God be with you ..🙏#TurkishArmy</t>
  </si>
  <si>
    <t>Hasbel12345</t>
  </si>
  <si>
    <t>Yeni daiş li sivil mülteci kardeşlere otobüs mü ayarlanıyor çok sakin ortalık bu kez hiç acımıcak görünüyor #TurkishArmy</t>
  </si>
  <si>
    <t>🇹🇷 Furkan Yardım</t>
  </si>
  <si>
    <t>#TurkishArmy "Kılıç kınından çıkmadıkça it sürüsü dağılmaz"</t>
  </si>
  <si>
    <t>https://pbs.twimg.com/media/EGb83IVX0AES-Wa.jpg</t>
  </si>
  <si>
    <t>Kızılelma'ya hey... Kızıl Elmaya 🇹🇷</t>
  </si>
  <si>
    <t>Sukahveuyku</t>
  </si>
  <si>
    <t>“Şu kopan fırtına Türk ordusudur yâ Rabbi. Senin uğrunda ölen ordu, budur yâ Rabbi. Tâ ki yükselsin ezanlarla müeyyed nâmın, Galib et, çünkü bu son ordusudur İslâm'ın." #TurkishArmy</t>
  </si>
  <si>
    <t>Dünya eşrafı sakinlerinden,ünsüz düşünür,acizliğini bilen bir beşer.</t>
  </si>
  <si>
    <t>https://www.twitter.com/MehmetMermutlu</t>
  </si>
  <si>
    <t>Kaan Kuşaksız</t>
  </si>
  <si>
    <t>Delinse yer, çökse gök,yansa, kül olsa dört yan, Yüce dileğe doğru yine yürürüz yayan. Yıldırımdan, tipiden, kasırgadan yılmayan, Ölümlerle eğlenen tunç yürekli Türkleriz... -Hüseyin Nihal ATSIZ #TurkishArmy #BarisPinariHarekati</t>
  </si>
  <si>
    <t>https://pbs.twimg.com/media/EGb83IZWsAETWS3.jpg</t>
  </si>
  <si>
    <t>Uludağ Üniversitesi - Oasis/USAT</t>
  </si>
  <si>
    <t>https://www.instagram.com/kaankusaksiz</t>
  </si>
  <si>
    <t>Tolga MURİQİ</t>
  </si>
  <si>
    <t>Bi bakıp çıkıcaz #TurkishArmy</t>
  </si>
  <si>
    <t>https://pbs.twimg.com/media/EGb81pjXUAAEe9J.jpg</t>
  </si>
  <si>
    <t>Özlüce</t>
  </si>
  <si>
    <t>Allah1 Metin2</t>
  </si>
  <si>
    <t>Esim Çeliker</t>
  </si>
  <si>
    <t>GÜN GELECEK DİLLERİ, ELLERİ VE AYAKLARI yapmış oldukları bütün kötülükleri bildirecektir...(Nur Suresi/24.Ayet)  #TurkishArmy</t>
  </si>
  <si>
    <t>https://pbs.twimg.com/media/C2sEMG3WIAEzvMt.jpg</t>
  </si>
  <si>
    <t>Bir şairin en büyük keşfi, kendi muharririni, iç alemine doğru kendisini götürecek olanları bulmaktır.</t>
  </si>
  <si>
    <t>NotAnyoneElse</t>
  </si>
  <si>
    <t>#TurkishArmy Yolunuz açık olsun aslanlar 🇹🇷</t>
  </si>
  <si>
    <t>pic.twitter.com/zQWhHTy5QE</t>
  </si>
  <si>
    <t>fur</t>
  </si>
  <si>
    <t>at avrat Galatasaray</t>
  </si>
  <si>
    <t>İsmail BOZBIYIK</t>
  </si>
  <si>
    <t>Çocukların korkmadığı tek ordu... #TurkishArmy</t>
  </si>
  <si>
    <t>https://pbs.twimg.com/media/EGb8xEDWsAA58OL.jpg</t>
  </si>
  <si>
    <t>ibrahim İğci 🇹🇷</t>
  </si>
  <si>
    <t>https://pbs.twimg.com/media/EGb8taYWwAApQND.jpg</t>
  </si>
  <si>
    <t>GIDA TEKNiKERi</t>
  </si>
  <si>
    <t>ÇOK ŞÜKÜR...</t>
  </si>
  <si>
    <t>"Ben size ölmeyi emrediyorum"..diyen Gazi Mustafa Kemal Atatürk...Ve #savaşahayır diyen solcu kemalistler, Güya biz hepimiz Atatürk'üz diyen sözde Atatürkçü'ler. Siz Atatürk'ün "A" sı bile olamazsınız... #TurkishArmy</t>
  </si>
  <si>
    <t>Evvel ALLAH...sonra VATAN... Hakkıdır " HAKKA TAPAN " milletimin İstiklal...</t>
  </si>
  <si>
    <t>T.CKemalBildiş</t>
  </si>
  <si>
    <t>Arap Birliği Türkiye yi kınamış..! Ortadoğu'da Türkiye'nin kim yanında.! ALIN SİZE ÜMMET..! #TurkishArmy RT @muhalifhaber__: Arap birliği Türkiye'yi kınadı, İran Türkiye'ye destek verdi!</t>
  </si>
  <si>
    <t>https://twitter.com/muhalifhaber__/status/1181900614441340929
http://www.muhalifhaberler.com/arap-birligi-turkiye-yi-kinadi--iran-turkiye-ye-destek-verdi--8878.html</t>
  </si>
  <si>
    <t>https://pbs.twimg.com/media/EGb0VySXoAAl41S.jpg</t>
  </si>
  <si>
    <t>Atatürkçü-Emekli Denizli KOSGEB Müdürü KİMSE ALINMASIN! YANLIŞA YANLIŞ, DOĞRUYA DOĞRU DERİM..</t>
  </si>
  <si>
    <t>mayakokulusilgi</t>
  </si>
  <si>
    <t>Well if this is not surprise, why do we just mention about the Turkish offensive attack and only #TurkishArmy ? This is the case also US central commands must get involved as much as us .. It's an image that we are addicted to war NO we are being forced to protect our borders RT @brett_mcgurk: This is not a surprise. The POTUS green-lighting a Turkish attack into NE Syria (that's how it's seen by all parties on the ground and in the region) opens Pandora's box. Expect Russian-backed forces to move as well. Total mess.</t>
  </si>
  <si>
    <t>https://twitter.com/brett_mcgurk/status/1181736182465478657
https://twitter.com/NBCNewsWorld/status/1181717508522467329?s=20</t>
  </si>
  <si>
    <t>e ben de harranlıyam!</t>
  </si>
  <si>
    <t>Türker Kuyucu</t>
  </si>
  <si>
    <t>Allah iyilik edenleri sever.  #TurkishArmy</t>
  </si>
  <si>
    <t>https://pbs.twimg.com/media/DSZIuFKWAAU9SNm.jpg</t>
  </si>
  <si>
    <t>"I was always looking outside myself for strength and confidence but it comes from within. It is there all the time."</t>
  </si>
  <si>
    <t>Deren Yayla</t>
  </si>
  <si>
    <t>https://pbs.twimg.com/media/EGb8h8qWwAAnuww.jpg</t>
  </si>
  <si>
    <t>süslü</t>
  </si>
  <si>
    <t>Allahım sizi korusun #TurkishArmy</t>
  </si>
  <si>
    <t>boşver</t>
  </si>
  <si>
    <t>TAYYİBE NUR TEKİN</t>
  </si>
  <si>
    <t>Hazırlansın tabutluklar, yine girip çıkacağız ! #TurkishArmy</t>
  </si>
  <si>
    <t>Kırıkkale,Trabzon</t>
  </si>
  <si>
    <t>Ak Parti Kırıkkale İl Gençlik Kolları Başkan Yrd.</t>
  </si>
  <si>
    <t>rabisçe⚡</t>
  </si>
  <si>
    <t>Begenin ya da beğenmeyin, işinize gelir ya da gelmez Türk milletini en güzel anlatan sözdür. "Her Türk asker doğar" #TurkishArmy</t>
  </si>
  <si>
    <t>https://pbs.twimg.com/media/EGb8eCXWkAUBGb8.jpg</t>
  </si>
  <si>
    <t>Vatan sevgisi imandandır düsturu ile Allah☝rızası için, Vatan, Millet ve Reis için buradayız</t>
  </si>
  <si>
    <t>Enibull</t>
  </si>
  <si>
    <t>#deprem #EmineBulut #TurkishArmy #HipHopAwards #MexicoVsTurquia</t>
  </si>
  <si>
    <t>http://www.enibul.com/en-guzel-kucuk-dovmeler-ve-anlamlari/</t>
  </si>
  <si>
    <t>http://enibul.com</t>
  </si>
  <si>
    <t>gökhan kahraman</t>
  </si>
  <si>
    <t>#SonDakika 🔴 Trump : ABDAsla Orta Doğuda Olmamalıydı. ⚫️ 50 Askerimizi Çıkardık. 🔴 Aptal Sonsuz Savaşlar Bizim İçin Sona Eriyor. #TurkishArmy</t>
  </si>
  <si>
    <t>https://pbs.twimg.com/media/EGb8ZR7XYAAodOm.jpg</t>
  </si>
  <si>
    <t>🇹🇷Hak Bir Dava Bir🇹🇷</t>
  </si>
  <si>
    <t>1.BAŞKAN R.T.ERDOĞAN</t>
  </si>
  <si>
    <t>madem ki kaşındınız #TurkishArmy bütün sıkıntılarınıza son verecek,oksijen ihtiyacınız bile olmayacak,toprak azota doyacak,biz TÜRK ler buna modern tarım diyoruz mübarek olsun</t>
  </si>
  <si>
    <t>elhamdülillah müslüman,sonuna kadar reisin yanında,hıra nın aslanları olimposun yavşaklarına asla geçit vermeyecek</t>
  </si>
  <si>
    <t>Elif🇹🇷</t>
  </si>
  <si>
    <t>Biz partizan değiliz. Ne hükümetin ne de sözde muhalefetlerin yanlısıyız. Biz devletimizin yanındayız. Türk'e göre olan her şeye destekçiyiz, Türk'e karşı olan her şeye muhalefetiz. Türk'üz, Türk'e tarafız. Türk Ordusu'nun yanındayız. #TurkishArmy</t>
  </si>
  <si>
    <t>https://pbs.twimg.com/media/EGb8XzzXYAAZCTl.jpg</t>
  </si>
  <si>
    <t>Altay Bayraktar</t>
  </si>
  <si>
    <t>https://pbs.twimg.com/media/EGb8XBYW4AA7Ejd.jpg</t>
  </si>
  <si>
    <t>Tüm vatan</t>
  </si>
  <si>
    <t>Savunma sanayii uzmanı/Askeri stratejist</t>
  </si>
  <si>
    <t>Ahmet Murat HATABAY</t>
  </si>
  <si>
    <t>Yine bir takım barış(!) havarileri türemiş, sanki ortada bir savaş var gibi... Bu zarurî bir “sınır ötesi operasyon”dur. Rahmetli Muhsin Başkan’ın dediği gibi: “Kan dökmeyi seven millet değiliz. Ancak söz konusu vatansa Dünya’nın şah damarını keseriz.” #TurkishArmy #BarışPınarı</t>
  </si>
  <si>
    <t>Ankara-İstanbul-G.Antep-Kilis</t>
  </si>
  <si>
    <t>@UniBogazici Siyaset Bilimi &amp; Uluslararası İlişkiler / @sankookul</t>
  </si>
  <si>
    <t>Rabia Özgürol</t>
  </si>
  <si>
    <t>İman böyle bir şeydir...  #TurkishArmy</t>
  </si>
  <si>
    <t>https://pbs.twimg.com/media/D5bbQyqWkAE8fn_.jpg</t>
  </si>
  <si>
    <t>Ben aramam, bulurum. - Pablo Picasso</t>
  </si>
  <si>
    <t>Liz</t>
  </si>
  <si>
    <t>Never again thanks to the #TurkishArmy Fuck you for supporting these child killing terrorists!</t>
  </si>
  <si>
    <t>https://pbs.twimg.com/media/EGb8THoW4AAQhni.jpg</t>
  </si>
  <si>
    <t>Bodrum</t>
  </si>
  <si>
    <t>ex- white- collar plays hashtag games and ignores dms. secular.</t>
  </si>
  <si>
    <t>herşeydenbiraz</t>
  </si>
  <si>
    <t>Biz savaş istemiyoruz dedik, savaşmayı bilmiyoruz demedik.. Şimdi Mehmetçik hak adalet nasıl sağlanır çakallar ortadan nasıl kalkar onu öğretecekler #TurkishArmy</t>
  </si>
  <si>
    <t>Bighit intertainment</t>
  </si>
  <si>
    <t>Sistemi kitlendi || 115 || Pilotcu || tansiyonu yüksek || BTSXARMY || ✈️</t>
  </si>
  <si>
    <t>https://instagram.com/sistemimkitlendiaga?igshid=1hn649zi19rdc</t>
  </si>
  <si>
    <t>özkan karakeçili</t>
  </si>
  <si>
    <t>Ülke yine hakiki milliyetçileri izliyor. Gerçek vatanseverler deri koltuklarda değil , çamurlu dağlarda , tozlu ovalarda yol yürüyor. Şanlı Türk bayrağını hakettiği yerlere yükseltiyor. #TurkishArmy</t>
  </si>
  <si>
    <t>Söylediklerim karşındakinin anladığı kadar olsada , söylemeye devam edeceğim.</t>
  </si>
  <si>
    <t>Hoparu</t>
  </si>
  <si>
    <t>Fırıncı ateşe yakindir , kasap bıçağa ,mesleğidir der geçerim... ancak turk askerinin operasyona yakin olmasını ,türk halkı olarak endişesini ciddi yaşıyoruz , mesleğidir deyip geçemiyoruz ... Allahım sen askerimizi ve ordaki masumları koru , hepsi sana emanet.... #TurkishArmy</t>
  </si>
  <si>
    <t>hayat kısa , kuşlar uçuyor....</t>
  </si>
  <si>
    <t>faik işçimenler</t>
  </si>
  <si>
    <t>Ortadoğu’nun Türkiye’de olduğunu herkes öğrenecek. Öğrenmeyen güvende olmayacak. Sadece yanımızda olmayı dürüstçe ve mertçe bilenler bu savaştan sağ çıkacak. Evet doğru duydunuz bu bir savaş ilanıdır. Reis su videoyuda atsinda tam olsun #TurkishArmy</t>
  </si>
  <si>
    <t>hayatta ne kadar çok şeye sahip olduğun değil, ne kadar az şeye ihtiyacın olduğu önemlidir.</t>
  </si>
  <si>
    <t>Tilbe Gözügül</t>
  </si>
  <si>
    <t>“İlerde başınıza öyleleri gelecek ki, dininizin haram kabul ettiği şeyi serbest bırakacak,iyi kabul ettiği işleri de kötü sayacaklardır. Bilin ki Allah’a isyan edene itaat yoktur” .” Hadis #TurkishArmy</t>
  </si>
  <si>
    <t>Kafana göre yaşayacaksan ayaklarını rahat bırakman gerek.</t>
  </si>
  <si>
    <t>Blayhawkx</t>
  </si>
  <si>
    <t>@realDonaldTrump #TurkishArmy 👏</t>
  </si>
  <si>
    <t>https://pbs.twimg.com/media/EGb8FuuWsAE7Agx.jpg</t>
  </si>
  <si>
    <t>Neslih4n</t>
  </si>
  <si>
    <t>Tüyler diken diken... Galip et Ya Rabbim! Çünkü son ordusudur bu İslâm'ın! Allah Türk'ü korusun ve yüceltsin... #TurkishArmy</t>
  </si>
  <si>
    <t>https://pbs.twimg.com/media/EGb8EtKWoAArmZU.jpg</t>
  </si>
  <si>
    <t>Üslub-u beyân ayniyle insan.</t>
  </si>
  <si>
    <t>Ghjj</t>
  </si>
  <si>
    <t>#TurkishArmy 😛😛😛 @realDonaldTrump seni seviyoruz aslan parçası demokratlara ragmen ve cumhuriyetcilere ragmen onurlu durdun aslanım 👏👏👏👏👏</t>
  </si>
  <si>
    <t>wolfswinkel</t>
  </si>
  <si>
    <t>Elektrik-elektronik Mühendisiyim yeni mezunum iş arıyorum yardımcı olabilecek var mı? ankarada ikamet ediyorum #TurkishArmy #EmineBulut</t>
  </si>
  <si>
    <t>MURATBEY</t>
  </si>
  <si>
    <t>Havada,karada,denizde, çölde,çatakta ve batakta ; Her zaman ve her yerde, hazır ; daima hazır! #TurkishArmy</t>
  </si>
  <si>
    <t>https://pbs.twimg.com/media/EGb8BPTXoAAvQa1.jpg</t>
  </si>
  <si>
    <t>Mehmet Cemal Arslan</t>
  </si>
  <si>
    <t>#TurkishArmy Kılışdaroğlu yarın çıkıpta, #Suriye de, burnumuzun dibinde kaç ülkenin askeri #Suriye'yi paylaşamıyor #TürkOrdusu nerede diye çemkirirse?, şaşırmayalım...</t>
  </si>
  <si>
    <t>#Tillo ~ #İstanbul SY♥️H⚽BY🖤Z http://instagram.com/arslanmcemal http://facebook.com/arslanmcemal</t>
  </si>
  <si>
    <t>Mehmet Tahmazoğlu 🇹🇷</t>
  </si>
  <si>
    <t>Bilinsin ki; "Türkiye sadece Türkiye sınırlarıyla sınırlı değildir"...  #TurkishArmy 🇹🇷</t>
  </si>
  <si>
    <t>https://pbs.twimg.com/media/DFfzqZNWsAEdjNq.jpg</t>
  </si>
  <si>
    <t>Şahinbey</t>
  </si>
  <si>
    <t>Şahinbey Belediye Başkanı / Mayor of Şahinbey</t>
  </si>
  <si>
    <t>http://mehmettahmazoglu.com</t>
  </si>
  <si>
    <t>Mervee</t>
  </si>
  <si>
    <t>takip #TurkishArmy</t>
  </si>
  <si>
    <t>😉Eğlenceli 😉Muhabbetçi 😉Takip Et Bekle</t>
  </si>
  <si>
    <t>Turhan Tunç</t>
  </si>
  <si>
    <t>https://pbs.twimg.com/media/EGb76BKXoAAwAsL.jpg</t>
  </si>
  <si>
    <t>Fenerbahçe</t>
  </si>
  <si>
    <t>DESTANBAY</t>
  </si>
  <si>
    <t>#TurkishArmy (or) Absolute Victory</t>
  </si>
  <si>
    <t>|Üsküdar Üniversitesi - Sinema| Türküm demek derde talip olmaktır. Türkçü Yönetmen Adayı &amp; İllüstratorist</t>
  </si>
  <si>
    <t>http://instagram.com/kocadestan/</t>
  </si>
  <si>
    <t>Sir Mervee</t>
  </si>
  <si>
    <t>FIRTINALAR DURSUN YANA YOL VER TÜRK'ÜN BAYRAĞINA #TurkishArmy🇹🇷</t>
  </si>
  <si>
    <t>https://pbs.twimg.com/media/EGb73-dX0AEpwLQ.jpg</t>
  </si>
  <si>
    <t>Galatasaray kadar heyecanlandıran oldu da biz mi sevmedik ;)</t>
  </si>
  <si>
    <t>can enver</t>
  </si>
  <si>
    <t>#CheGuevara #TurkishArmy YOK BÖYLE CEVAP EFSANE İZLEMEDEN GEÇME</t>
  </si>
  <si>
    <t>https://youtu.be/qlbZKRJxvxM</t>
  </si>
  <si>
    <t>Muh4mmed محمّد آتای</t>
  </si>
  <si>
    <t>Türkiye Cumhuriyeti ordusunda Türkler ve Kürtler var. Ordu terörle mücadele ediyor. Kürtlerle değil. %99u Müslüman olan bu ordu, ışide karşı da mücadele edip başarılı olmuştur. İslama karşı değildir. Allah ordumuzu bu mücadelede muzaffer etsin. #TurkishArmy</t>
  </si>
  <si>
    <t>Belçika</t>
  </si>
  <si>
    <t>Hâdim el-Furkan , Tilmiz-i Kur'an , Bende-i Ferman, Nefer-i İttihâd-i İslâm , Kemerbeste-i Bedîuzzaman, HAYRAT AVRUPA, Risale-i Nur Eu http://www.osmanlicaegitim.com</t>
  </si>
  <si>
    <t>http://Www.hayratvakfi.org</t>
  </si>
  <si>
    <t>الحمد الله✨</t>
  </si>
  <si>
    <t>#WALvFIJً O0I ُ🔥#StrayKids_DoubleKnotً O0I ُ🔥#SağlıkYönetimineAtamaŞartً O0I ُ🔥#TurkishArmyً O0I ُ🔥#Halleً O0I ُ🔥</t>
  </si>
  <si>
    <t>https://ift.tt/2MuMv9K</t>
  </si>
  <si>
    <t>لاحول ولا قوة الا بالله❤️</t>
  </si>
  <si>
    <t>zeynep`</t>
  </si>
  <si>
    <t>Cidden, en merhametli askerlere sahip olan tek milletiz. #TurkishArmy RT @eskibirmuhtar: Çocukların korkmadığı tek ordu... #TurkishArmy</t>
  </si>
  <si>
    <t>Adalet olmadıkça; Yönetimin faydası olmaz.Güven olmadıkça sevincin faydası olmaz. Cömertlik olmadıkça; Zenginliğin faydası olmaz. Hz.Ömer - eng./istanbul...</t>
  </si>
  <si>
    <t>Mustafa Ozel</t>
  </si>
  <si>
    <t>#TurkishArmy RT @TTAgrup: Bu delileri bir araya getirmeyecektiniz! #TurkishArmy</t>
  </si>
  <si>
    <t>https://twitter.com/TTAgrup/status/1181829264490029056</t>
  </si>
  <si>
    <t>pic.twitter.com/eXVwXYgULs</t>
  </si>
  <si>
    <t>galatasaray</t>
  </si>
  <si>
    <t>Bayındır Kızanoğlu</t>
  </si>
  <si>
    <t>Kim nefsinin bencil-tutkularından korunursa işte onlar, felah bulanlardır. Teğabün Suresi 16. #ayet  #TurkishArmy</t>
  </si>
  <si>
    <t>https://pbs.twimg.com/media/CjWG_bgXIAAzk9J.jpg</t>
  </si>
  <si>
    <t>Kırıkkale, Türkiye</t>
  </si>
  <si>
    <t>Altındɑn kendini koru, zehiri hiçbir zɑmɑn teneke kutu içinde sunmɑzlɑr. -Cenap Şahabettin</t>
  </si>
  <si>
    <t>Mustafa Bozkurt</t>
  </si>
  <si>
    <t>Yol ver Türk 'ün bayrağına #TurkishArmy</t>
  </si>
  <si>
    <t>https://pbs.twimg.com/media/EGb7wUkXUAAZ2m5.jpg</t>
  </si>
  <si>
    <t>Üç günlük ömür için fani dünyada, kula kul olmamak kararımız var. 🇹🇷 HİÇ 🇹🇷 YOLCU.. kendine...</t>
  </si>
  <si>
    <t>İsmail Trmn</t>
  </si>
  <si>
    <t>Bizim görevimiz öldürmek değil yaşatmak buyrun tutan yok #TurkishArmy</t>
  </si>
  <si>
    <t>sevdiklerimiz sevdiklerimiz mi ?</t>
  </si>
  <si>
    <t>SancarUguryol</t>
  </si>
  <si>
    <t>Honor of the Nation🇹🇷 Guarantor of the region #TurkishArmy</t>
  </si>
  <si>
    <t>Ara sıra dalar bazen de düşlerinin peşinden uçar. siVri diLLi, hem paranoyaktır hem de işkiLLi</t>
  </si>
  <si>
    <t>http://www.sancaruguryol.org/</t>
  </si>
  <si>
    <t>Muhammed Hüseyin Varol</t>
  </si>
  <si>
    <t>Fotoğraflarda görüldüğü üzere PYD/YPG bir Kürt hareketi değildir. Bilâkis bir Haçlı çapulcu sürüsüdür. Haçlı çapulcularını Selahaddin’in torunlarıyla bir tutmak ise cehalet değilse hıyanettir. Neo-Haçlıları ise ancak Selahaddin ve Kılıç Aslan’ın torunları temizler. #TurkishArmy</t>
  </si>
  <si>
    <t>https://pbs.twimg.com/media/EGb7uGlWsAA86-S.jpg</t>
  </si>
  <si>
    <t>Marmara Üniversitesi İlahiyat Fakültesi 📚 Marmara Üniversitesi İslam Tarihi YL 📖🖋 Tarih ve Edebiyat</t>
  </si>
  <si>
    <t>💛❤ Yellow_Red_Lion💛❤ 🇹🇷🇧🇦</t>
  </si>
  <si>
    <t>Adam dansın kralını yapmış #MexicoVsTurquia #CheGuevara #TurkishArmy #carsamba</t>
  </si>
  <si>
    <t>pic.twitter.com/xpM3j3oZJQ</t>
  </si>
  <si>
    <t>💛❤GalataSarayım&amp;Sakaryasporum💚🖤 #SenŞampiyonOlacaksın 💛❤ 💚🖤 #MüslümGürses</t>
  </si>
  <si>
    <t>The magıc hand</t>
  </si>
  <si>
    <t>#TurkishArmy #carsamba #wednesday #KendineGelPezeberk ABD başkanı trump'tan</t>
  </si>
  <si>
    <t>https://pbs.twimg.com/media/EGb7qoxXkAI5x8o.jpg</t>
  </si>
  <si>
    <t>Mehmet GÜLER</t>
  </si>
  <si>
    <t>siyasal islamın geleneğinde ve karakterinde abd ye karşı çıkmak yoktur #TurkishArmy #DMDduyulsundiye</t>
  </si>
  <si>
    <t>https://pbs.twimg.com/media/EGb7qWFXkAA1OCF.png</t>
  </si>
  <si>
    <t>susurluk</t>
  </si>
  <si>
    <t>Ender bulunur değil adım Adanalı lakabım Telefon rehberlerinde ilk siradadır kaydım Bu sebepten hep yanlışlıkla aranırım Mehmet adım sade bir vatandaşım</t>
  </si>
  <si>
    <t>alisami Göktaş</t>
  </si>
  <si>
    <t>Vatan ne Türkiye'dir ne Türkistan, vatan büyük ve müebbet bir ülkedir; Turan. #TurkishArmy</t>
  </si>
  <si>
    <t>dyrozn89</t>
  </si>
  <si>
    <t>#TurkishArmy GAME OVER</t>
  </si>
  <si>
    <t>https://pbs.twimg.com/media/EGb7qp1XoAEaO9n.jpg</t>
  </si>
  <si>
    <t>Büşra Şener</t>
  </si>
  <si>
    <t>https://pbs.twimg.com/media/EGb7pOzWoAAUS4P.jpg</t>
  </si>
  <si>
    <t>‏‏ 🌙‏‏‏‏‏سيدة حافظ</t>
  </si>
  <si>
    <t>Muhammet Emre AKYÜZ</t>
  </si>
  <si>
    <t>https://pbs.twimg.com/media/EGb7oZhXoAA1ujh.jpg</t>
  </si>
  <si>
    <t>Bursa Orhangazi</t>
  </si>
  <si>
    <t>Muhammet Emre Akyüz</t>
  </si>
  <si>
    <t>Feridun Balta</t>
  </si>
  <si>
    <t>Olay1 : Adam, lise öğretmeni olan karısının bir öğrencisiyle ilişkisi olduğunu ispatlıyor ama deliller yasal yoldan elde edilmedi denilip kabul edilmiyor. Olay2 : Kanıt olmadan bir erkek lise öğretmenine tacizci deniliyor ve adam 87 yıl hapis cezası alıyor #TurkishArmy</t>
  </si>
  <si>
    <t>Sustuğunu bilen olgundur, bildiğini susan değil. -Özdemir Asaf</t>
  </si>
  <si>
    <t>👊🏼</t>
  </si>
  <si>
    <t>Tehdit mi ediliyorduk ? 🤩 #TurkishMilitary #TürkMilletiOrdusununYanındadır #TurkishArmy #Turkey</t>
  </si>
  <si>
    <t>https://pbs.twimg.com/media/EGb7nPwWoAEkGpi.jpg</t>
  </si>
  <si>
    <t>NO WORDS❌</t>
  </si>
  <si>
    <t>ahmet akın</t>
  </si>
  <si>
    <t>Donald Trump'tan son mesaj: "Türkiye ele geçirilen ve Avrupa'nın geri almayı reddettiği IŞİD'li teröristleri devralmak ZORUNDA..." #TurkishArmy #CheGuevara Arap Birliği Sezgin Tanrıkulu Tevfik Göksu</t>
  </si>
  <si>
    <t>https://pbs.twimg.com/media/EGb7nUBWsAAIzlR.png</t>
  </si>
  <si>
    <t>“Ne Mutlu Türküm Diyene!” M. K. Atatürk</t>
  </si>
  <si>
    <t>https://www.stratejikanaliz.com</t>
  </si>
  <si>
    <t>Leyl</t>
  </si>
  <si>
    <t>#TurkishArmy 🌹</t>
  </si>
  <si>
    <t>https://pbs.twimg.com/media/EGb7mNPWkAE5RBe.jpg</t>
  </si>
  <si>
    <t>Muş</t>
  </si>
  <si>
    <t>Türk Dilcisi ve Edebiyatçısı/ Diksiyon,Drama ve Osmanlı Türkçesi Usta Öğreticisi</t>
  </si>
  <si>
    <t>ZÜLKARNEYN TÜRK🇹🇷</t>
  </si>
  <si>
    <t>#TurkishArmy TÜRK ULU ALLAH'ın cc Soylu gözdesi suriyenin kuzeyi BATI'nın MÜSLÜMAN TÜRK MİLLETİNE SECDESİ...</t>
  </si>
  <si>
    <t>TÜRK İSLAM DEVLETİ YOLUNDA yalnızca bir nefer bir nefes... HÜKÜM YALNIZCA ALLAH'a CC aittir 'yusuf 40'</t>
  </si>
  <si>
    <t>mikail dönmez</t>
  </si>
  <si>
    <t>Fight them, and Allah will punish them by your hands, cover them with shame, help you (to victory) over them, heal the breasts of Believers,(1262) #TurkishArmy</t>
  </si>
  <si>
    <t>turkey/Beyazid-i Bestami</t>
  </si>
  <si>
    <t>Melek Sarıoğlu</t>
  </si>
  <si>
    <t>https://pbs.twimg.com/media/EGb7j5cXkAEVZ1C.jpg</t>
  </si>
  <si>
    <t>https://pbs.twimg.com/media/EGb7jpDWwAA1WAl.jpg</t>
  </si>
  <si>
    <t>Ahmet Can KÖK</t>
  </si>
  <si>
    <t>TÜRKLER GELİYOR! #TurkishArmy</t>
  </si>
  <si>
    <t>https://pbs.twimg.com/media/EGb7hV_WwAIn-e3.jpg</t>
  </si>
  <si>
    <t>Fatsa, Türkiye</t>
  </si>
  <si>
    <t>Mustafa Kemal ATATÜRK Birimizin yoluna kurban olsun hepimiz.</t>
  </si>
  <si>
    <t>Ak Kuş</t>
  </si>
  <si>
    <t>Bide demez mi Klavye delikanlısı LAn piç Savaşan Aslanların silah mühimmat parasını Uçağından topuna tüm masrafları Anan sikişerekmi ödeyecek Göt Cephede Mehmedim vuruşacak Geride Cümlemiz çalışacak Gerektiğinde Cümlemiz kazma kürek dalarız Ama önce sana dalarız #TurkishArmy</t>
  </si>
  <si>
    <t>bir</t>
  </si>
  <si>
    <t>Kızıl Elma Yolcusu</t>
  </si>
  <si>
    <t>Elezân 🇹🇷</t>
  </si>
  <si>
    <t>"Bizi ufukların ötesinde ara, Kızılelmamız Maverâ! Doğuyor küllerinden şimdi yüzbinlerce çocukla. Yeniden merhaba diyoruz kavgaya ve aşk'a, Menzilimiz Kaf dağı'nın ardı, her birimiz Zümrüt-ü Anka!" Metehan Temizel #TurkishArmy</t>
  </si>
  <si>
    <t>https://pbs.twimg.com/media/EGb7ghBWsAAXeD_.jpg</t>
  </si>
  <si>
    <t>Dört yaman sızım var inceden ince... Vatanca, Bayrakca, Törece, Dince... Ayyıldızın ışşığını görünce soysuz eller kuruyacak Bozkurtum... 🇹🇷</t>
  </si>
  <si>
    <t>T.C 🌲🌳 🌴 Bozkurtun Gözü ϜϓſϞ #TürkSoycusu</t>
  </si>
  <si>
    <t>#TurkishArmy have a history of more than 2 thousand years every Turk is born as a Soldier we will never give up we will never lose</t>
  </si>
  <si>
    <t>https://pbs.twimg.com/media/EGb7e0fWsAEac22.png</t>
  </si>
  <si>
    <t>T.S.K🇹🇷 ATATÜRK 🇹🇷 #Türkmen #Alevi 🇹🇷🇦🇿🇰🇿🇹🇲🇰🇬🇺🇿 #ANDIMIZ #ERGENEKON #CHP (Yazdiklarim benim özgür düsüncelerimdir)</t>
  </si>
  <si>
    <t>MiralayKarikatürleri</t>
  </si>
  <si>
    <t>#Trump tehdit eder #TurkishArmy #MiralayKarikatürleri @Miralaykarika</t>
  </si>
  <si>
    <t>https://pbs.twimg.com/media/EGb7eogX0AA_o0A.jpg</t>
  </si>
  <si>
    <t>Akaid Mektebi</t>
  </si>
  <si>
    <t>Şu kopan fırtına Türk ordusudur yâ Rabbi Senin uğrunda ölen ordu, budur yâ Rabbi Tâ ki yükselsin ezanlarla müeyyed nâmın Galib et; çünkü bu son ordusudur İslâm’ın Rabbim İslam'ın ordusu vasfını omuzlarımızdan almasın ve bayrağımız ebede kadar İslam'ın sancağı olsun. #TurkishArmy</t>
  </si>
  <si>
    <t>https://pbs.twimg.com/media/EGb7e4YWkAUtELs.jpg</t>
  </si>
  <si>
    <t>Ehl-i Sünnet Çizgisinde Akâid, Kelam ve Felsefe Araştırmaları Sayfası</t>
  </si>
  <si>
    <t>Şevket Sonay</t>
  </si>
  <si>
    <t>Akraba ilişkisini kesen cennete giremez. Hz Muhammed (s.a.v)  #TurkishArmy</t>
  </si>
  <si>
    <t>https://pbs.twimg.com/media/D2YC84sWsAI5ZGJ.jpg</t>
  </si>
  <si>
    <t>Mardin, Türkiye</t>
  </si>
  <si>
    <t>Şu kafamı yastığa rahat rahat koyayım istiyorum. Gözlerimde kendiliğinden kapansın istiyorum. Başka bir şey istemiyorum. (Kuzey Güney)</t>
  </si>
  <si>
    <t>Kerem</t>
  </si>
  <si>
    <t>👣👣👣 #TurkishArmy</t>
  </si>
  <si>
    <t>Bodrum, Türkiye</t>
  </si>
  <si>
    <t>Yabancı Müzik Süper Lig akrep burcu 🦂</t>
  </si>
  <si>
    <t>AİBÜ</t>
  </si>
  <si>
    <t>İpsiz Medya 🇹🇷</t>
  </si>
  <si>
    <t>Türkiye Gündemi ve Siyasetin arka kapısında 8 Ekim 2019 Türkiye yeni bir çözüm sürecine mi giriyor? Türkiye Barış Pınarı Harekatı ile bölgenin Jandarması pozisyonumu alıyor? Daha fazlası için lütfen YouTube kanalıma abone olunuz…  #TurkishArmy</t>
  </si>
  <si>
    <t>https://youtu.be/Llk9lGqBVY8</t>
  </si>
  <si>
    <t>https://pbs.twimg.com/media/EGb7aQaW4AAI2oH.jpg</t>
  </si>
  <si>
    <t>#ipsizmedya RT yapmaya unutmayın 😁</t>
  </si>
  <si>
    <t>http://ipsizmedya.com</t>
  </si>
  <si>
    <t>kahvegibi</t>
  </si>
  <si>
    <t>Ne garip ülke oldu burası... Çocuklarını askerden kaçıran her fırsatta savaş çığırtkanlığı yapıyor. Daha düne kadar bedelli askerlik diye yırtınanlar ise şimdi en ön saflarda. #SavasaHayır diyenlere küfür edip milliyetçilik, vatanseverlik kasıyor :)) #TurkishArmy</t>
  </si>
  <si>
    <t>Lütfen Sayfama Girerken Kibrinizi Dışarıda Bırakın...</t>
  </si>
  <si>
    <t>(ن)🍁</t>
  </si>
  <si>
    <t>Hakiki vatansever, vatanını diğerlerine üstün tutan değil, vatanının söz konusu övgüye (üstünlük övgüsüne) mazhar olmasını sağlayacak şekilde hareket edendir.!! #Aliyaİzzetbegoviç #TurkishArmy</t>
  </si>
  <si>
    <t>Sevmek,ancak Allah'a götürecek bir sebepse sevmekti bence. Bu dünyaya keyif yapmaya mı geldik? Yoksa keyif yapacağımız sonsuz bir hayat için imtihan olmaya mı?</t>
  </si>
  <si>
    <t>Veysel Alarslan⚡️</t>
  </si>
  <si>
    <t>Ya Türk' e yâr olacaksınız! Ya da Türk' e yâren olacaksınız!🇹🇷🇹🇷 #TurkishArmy</t>
  </si>
  <si>
    <t>https://pbs.twimg.com/media/EGb7U6OWwAEkdBW.jpg</t>
  </si>
  <si>
    <t>•AK Parti Muş İl Gençlik Kolları Başkan Yardımcısı. •AK Parti Muş İl Gençlik Kolları Ekonomi Ve Mali İşler Başkanı. •MŞÜ Finans-Bankacılık ve Sigortacılık</t>
  </si>
  <si>
    <t>Hakikatin İzinde</t>
  </si>
  <si>
    <t>Savaştan önce dünyaya haklılığımızı anlatmalıyız. Haklı olmaktan daha önemlisi nasıl algılandığımızdır. Batı bizim terörist değil soykırım yapmaya gittiğimizi sanıyor. #TurkishArmy</t>
  </si>
  <si>
    <t>Cenabı Hakkın antika eserlerine meraklı bir seyyah</t>
  </si>
  <si>
    <t>https://www.youtube.com/hakikatinizinde</t>
  </si>
  <si>
    <t>Çağrı D.</t>
  </si>
  <si>
    <t>Dualarımız sizinle #TurkishArmy 🇹🇷</t>
  </si>
  <si>
    <t>demircagri32@gmail.com</t>
  </si>
  <si>
    <t>Yazma'nın büyüsüne kapıldığım yerdeyim...✍️</t>
  </si>
  <si>
    <t>https://www.youtube.com/channel/UCB9VeccIu0Qsy6czgP3GeZQ</t>
  </si>
  <si>
    <t>Velican</t>
  </si>
  <si>
    <t>#KurdsSideWithTurkey #TürkMilletiOrdusununYanında #BarisPinariHarekati #TurkishArmy Yüzyılın en büyük bebek ve kadın katili çetesini (#YPG+#PKK=#SDF) çökertmeye gidenlere selam olsun. Bundan sonra orta doğuda bebekler yaşayacak..👍</t>
  </si>
  <si>
    <t>https://pbs.twimg.com/media/EGb7Sh_W4AAE3vu.jpg</t>
  </si>
  <si>
    <t>arzu</t>
  </si>
  <si>
    <t>Yahu ne alaka!! Donald Amcaya anlayacağı dilden konuştuk işte. 🙄 #TurkishArmy</t>
  </si>
  <si>
    <t>https://pbs.twimg.com/media/EGb7QqnWsAET2_y.jpg</t>
  </si>
  <si>
    <t>Düşünür, okur, yazar...</t>
  </si>
  <si>
    <t>8x8</t>
  </si>
  <si>
    <t>#KendineGelPezeberk #EmineBulut #TurkishArmy #CheGuevara Sezgin Tanrıkulu Tevfik Göksu #tubayayardımedin Divan Restaurant Arap Birliği 2019 nobel kimya ödülü</t>
  </si>
  <si>
    <t>https://www.youtube.com/watch?v=9Zlqt-WUdgs</t>
  </si>
  <si>
    <t>Osman Topaç</t>
  </si>
  <si>
    <t>En ufak zamda ekonomi profu olanlar Türkiye Cumhuriyet tarihinin enbüyük operasyonunda sessiz! #TurkishArmy #turkordusumilletininyanında</t>
  </si>
  <si>
    <t>Vemtazul yevme eyyuhel mucrimûn. «Ayrılın bir tarafa bugün, ey günahkârlar!»</t>
  </si>
  <si>
    <t>turangülmüş</t>
  </si>
  <si>
    <t>🌹⚔️#TurkishArmy</t>
  </si>
  <si>
    <t>onlarla savaşın ki Allah sizin ellerinizle onları cezalandırsın tevbe 14</t>
  </si>
  <si>
    <t>ercan bozkuş</t>
  </si>
  <si>
    <t>Melih ARGA 🇹🇷</t>
  </si>
  <si>
    <t>Tehlike görmek istiyorsanız; #TurkishArmy</t>
  </si>
  <si>
    <t>https://pbs.twimg.com/media/EGb7KkqX0AEDlK2.jpg</t>
  </si>
  <si>
    <t>Bahçe, Osmaniye</t>
  </si>
  <si>
    <t>🚑 Acil Tıp Teknisyeni / 📚 EAÜ - Adalet / 📚 OKÜ - Bankacılık / Mustafa Kemal ATATÜRK</t>
  </si>
  <si>
    <t>𝐒𝐀𝐔𝐑𝐎𝐍</t>
  </si>
  <si>
    <t>Zalimleri titreten, Mazlumları güldüren, Yardım sever BEKLENİLEN TÜRK'ÜM ben. #TurkishArmy</t>
  </si>
  <si>
    <t>https://pbs.twimg.com/media/EGb7J14X0AEI3Zt.jpg</t>
  </si>
  <si>
    <t>Mordor</t>
  </si>
  <si>
    <t>Merhaba insan ırkı ben Mordor Kralı / Barad-dûr Lordu / Karanlıklar Efendisi ⭐️⭐️⭐️⭐️ #middleearth #lotr #tolkien #NKFVAS</t>
  </si>
  <si>
    <t>Cünooo</t>
  </si>
  <si>
    <t>Hainin, soysuzun, döneğin alnına Vatan yazacağız. #TurkishArmy</t>
  </si>
  <si>
    <t>Konuşamam yalnızca WhatsApp 🏃</t>
  </si>
  <si>
    <t>ihsan ÇİÇEKLİ</t>
  </si>
  <si>
    <t>#TurkishArmy #Geliyoruz</t>
  </si>
  <si>
    <t>https://pbs.twimg.com/media/EGb7IywW4AAM1G3.jpg</t>
  </si>
  <si>
    <t>KONYA-SELÇUKLU</t>
  </si>
  <si>
    <t>S.M. MALİ MÜŞAVİR</t>
  </si>
  <si>
    <t>Fatmagül Dede</t>
  </si>
  <si>
    <t>İktidar irtifa kaybederken tehdit dili yükselir' demişler.. Hem suçlu hem güçlü olmak böyle bişey heralde. Suçu hep başkalarında aramak da bariz kibir alametidir. İsrail, Bop, Irak, Suriye, Laikliğin tavsiyesi meseleleri başlı başına tokat yemeleri için yeterli oysa #TurkishArmy</t>
  </si>
  <si>
    <t>"Do you know the feeling, when your heart is so hurt, that you could feel the blood dripping?"</t>
  </si>
  <si>
    <t>Dost Makinası</t>
  </si>
  <si>
    <t>https://pbs.twimg.com/media/EGb7F1DWoAANmXB.jpg</t>
  </si>
  <si>
    <t>Sanane</t>
  </si>
  <si>
    <t>Ben Yoruldum Hayat</t>
  </si>
  <si>
    <t>Çemberlitaş tramvay durağına Çince "Konstantinopol Sütunu" yazdıran İBB ve Başkanı buraya iyi bak gençlerden sana mesaj var...! 👏🇹🇷 #edho #iyilik #Esad #teketek #BarışPınarı #TurkishArmy</t>
  </si>
  <si>
    <t>pic.twitter.com/oCCdj7vtwG</t>
  </si>
  <si>
    <t>Kelimelerin yetmediği bazı anlar vardır. Kelimelerin tedavi edemeyeceği bazı yaralar. Ve kelimelerin anlayamayacağı bazı hayatlar...</t>
  </si>
  <si>
    <t>Ümit Tüfekçi</t>
  </si>
  <si>
    <t>Türk Ordusu Daima Hazır! #TurkishArmy @kirpivekobra 🇹🇷</t>
  </si>
  <si>
    <t>pic.twitter.com/OIhZ3uKJkM</t>
  </si>
  <si>
    <t>🍂 Electricity, Software, Desing 🍂</t>
  </si>
  <si>
    <t>EDA NUR EROL</t>
  </si>
  <si>
    <t>Korku Nedir Bilmeyiz Diyerekten Çıkmıştık Yola Sonunda Zafer Varsa Ne Kutludur Bayrak Aşkı Ay Yıldız’ın Sevdasında Yanıp Tutuşmak. Birileri Bizim Suriye’de Ne İşimiz Var Derken Korkaklığını Belirtip Saçmalamış Yüreği Olmayan Ne Bilsin Vatanı Milleti Yaşasın Ordumuz!🇹🇷#TurkishArmy</t>
  </si>
  <si>
    <t>pic.twitter.com/rCGmRLeFLQ</t>
  </si>
  <si>
    <t>Bayrakları Bayrak Yapan Üstündeki Kandır, Toprak Eğer Uğrunda Ölen Varsa Vatandır! 🇹🇷🇹🇷🇹🇷</t>
  </si>
  <si>
    <t>http://instagram.com/edanur_bayan_hemsiree/</t>
  </si>
  <si>
    <t>kadir mızrak</t>
  </si>
  <si>
    <t>Tam istedikleri noktaya geldik Düşünmeyen sorgulamayan toplum Savaş cigirtkanlari yapanlarin vatansever,barış yanlısı #SavasaHayır diyenlerin ise terörist ilan edildiği bir ülke olduk #TurkishArmy</t>
  </si>
  <si>
    <t>https://pbs.twimg.com/media/EGb7AxWXkAA8EDT.jpg</t>
  </si>
  <si>
    <t>öyle</t>
  </si>
  <si>
    <t>Lütfü Yorgun</t>
  </si>
  <si>
    <t>kim Rabbıne kavuşmayı Arzu ediyorsa iyi işler yapsın ve Rabbine yaptığı ibadetlerle kimseye ortak koşmasın Kehf Suresi 110.Ayet #TurkishArmy</t>
  </si>
  <si>
    <t>https://pbs.twimg.com/media/D5vvd0-WwAM3j2e.jpg</t>
  </si>
  <si>
    <t>Amerika, İslam’ı anlamaya muhtaç. Çünkü bu din, ırk sorununu söküp atan dindir.- Malcolm</t>
  </si>
  <si>
    <t>Orhan SARIKAYA 🇹🇷</t>
  </si>
  <si>
    <t>https://pbs.twimg.com/media/EGb68U1WsAY1tPu.jpg</t>
  </si>
  <si>
    <t>http://ipsizmedya.com Genel Yayın Yönetmeni</t>
  </si>
  <si>
    <t>mücahit yağcı</t>
  </si>
  <si>
    <t>france</t>
  </si>
  <si>
    <t>MeTeHan</t>
  </si>
  <si>
    <t>Koç'un borozanlığını yaparsan miadın dolunca sepetini koluna takarlar yoluna uğurlarlar #TurkishArmy</t>
  </si>
  <si>
    <t>https://pbs.twimg.com/media/EGb66uyWsAI5JvZ.jpg</t>
  </si>
  <si>
    <t>#ÖmerHalisdemir DM kapalı</t>
  </si>
  <si>
    <t xml:space="preserve">ميما </t>
  </si>
  <si>
    <t>#WALvFIJً AK8 ُ🔥#StrayKids_DoubleKnotً AK8 ُ🔥#SağlıkYönetimineAtamaŞartً AK8 ُ🔥#TurkishArmyً AK8 ُ🔥#Halleً AK8 ُ🔥</t>
  </si>
  <si>
    <t>https://ift.tt/320HcFL</t>
  </si>
  <si>
    <t>Musa Baglan</t>
  </si>
  <si>
    <t>Japon karikatürist bizim yıllarca anlatmaya çalıştığımız durumu, bir resimle anlatmış.... #TurkishArmy</t>
  </si>
  <si>
    <t>https://pbs.twimg.com/media/EGb657AX0Ac475G.jpg</t>
  </si>
  <si>
    <t>İstanbul, Türkiye Fatsa</t>
  </si>
  <si>
    <t>Sabrımız Devlet içindir itaatimiz Allah içindir Yerel yönetimler -Adalet - Medya tanıtım Mütevazi adam gibi adam @yunari06 başkanımızı takip etmeniz tavsiyemdir</t>
  </si>
  <si>
    <t>TayfunG🌿</t>
  </si>
  <si>
    <t>Devletimizin, kahraman ordumuzun yanındayız. #TurkishArmy</t>
  </si>
  <si>
    <t>https://pbs.twimg.com/media/EGb65UBWsAA7ARG.jpg</t>
  </si>
  <si>
    <t>⚽ FENERB🌿HÇE 💻 Bilişim Teknolojileri</t>
  </si>
  <si>
    <t>METİN KARAKAYA</t>
  </si>
  <si>
    <t>the only soldier the children are not afraid of #TurkishArmy</t>
  </si>
  <si>
    <t>https://pbs.twimg.com/media/EGb64A9XkAAj_8M.jpg</t>
  </si>
  <si>
    <t>http://www.metinkarakaya.com</t>
  </si>
  <si>
    <t>İlker Keser</t>
  </si>
  <si>
    <t>Dünyadaki en zor şey,Türkleri AYAĞA KALDIRMAKTIR…ikinci en zor şeyde TEKRAR YERLERİNE OTURTMAKTIR.” -Mustafa Kemal Atatürk #TurkishArmy</t>
  </si>
  <si>
    <t>Ne mutlu eğri zamanda doğru yerde durana</t>
  </si>
  <si>
    <t>Minel_lami</t>
  </si>
  <si>
    <t>En iyi kim tanır Onu? Tabiki hocası Yani; RTE ne zaman Israile-ABDye kafa tutarsa bilinki BOPta bi sonraki aşama.. #SavasaHayır #TurkishArmy</t>
  </si>
  <si>
    <t>https://pbs.twimg.com/media/EGb6ytbXkAI9CzH.jpg</t>
  </si>
  <si>
    <t>Ne olursan ol,evvela iNSAN OL!</t>
  </si>
  <si>
    <t>Bi takım güldürüklü düşündürüklü twikleşmeler felan filan...😌</t>
  </si>
  <si>
    <t>Vatan Sevdalısı🇹🇷</t>
  </si>
  <si>
    <t>@60vatansevda #TurkishArmy Elhamdülillah Türk Askerimizin Merhameti Dünyanın hiç bir Ordusunda Türk Askeri kadar Merhametli yiğit cesur şerefli bir Asker yoktur.🇹🇷 🇹🇷🇹🇷🇹🇷🇹🇷🇹🇷🇹🇷</t>
  </si>
  <si>
    <t>https://pbs.twimg.com/media/EGb60MgWsAAEiFN.jpg</t>
  </si>
  <si>
    <t>Müslüman Türk🇹🇷evlâdı 🇹🇷ϜϓſϞ🇹🇷 🇦🇿🇶🇦🇵🇰🇵🇸 yedek hesabım 🤘@60vatansevda 🤘</t>
  </si>
  <si>
    <t>Fazıl Duygun</t>
  </si>
  <si>
    <t>ABD itirafı: Suriye'de nüfusun sadece %10'u Kürt. Ateist PKK-PYD, çoğunluğu müslüman olan bu Kürtlerin,/%7sini, kovdu(1.5 milyon Kuzey Irak'a, 500 bin Türkiye) geriye kalan %3'ü baskılayarak, bölgede devlet kurmaya çalışıyor.Bu eşyanın tabiatına aykırıdır. #TurkishArmy</t>
  </si>
  <si>
    <t>https://pbs.twimg.com/media/EGb60Z1X0AASPN8.png</t>
  </si>
  <si>
    <t>International journalist, http://biyografi.net/kisiayrinti.asp?kisiid=4551 http://fazilduygun.blogspot.com http://yazbee.com/Fazil 21. yüzyıl eski kavramlarla anlaşılamaz.</t>
  </si>
  <si>
    <t>http://fazilduygun.blogcu.com/</t>
  </si>
  <si>
    <t>Beha Gökmen</t>
  </si>
  <si>
    <t>şahit olun biz müslümanlarız Ali İmran suresi 64 ayet #TurkishArmy</t>
  </si>
  <si>
    <t>https://pbs.twimg.com/media/D5vvseUWAAAx8QL.jpg</t>
  </si>
  <si>
    <t>Asla ağlamam deyip her gece yatağa yattığında aklına o gelip gözünden iki damla yaş süzülüyorsa eğer utançla işte o zaman aşıksın demektir…</t>
  </si>
  <si>
    <t>•MUHÂLİF• "Şeytan'ın Avukatı"</t>
  </si>
  <si>
    <t>"Kantonlarsa sözde Kürdistan'ın 'puzzle' parçaları misâli Birleşince petrol Irak'tan akacak Akdeniz'e.." Yıl 2015.. Dış politikamızı herhangi bir vatandaş bile yönetse bugüne kadarki dışişleri bakanlarından çok daha iyi iş çıkarırdı.. #TurkishArmy</t>
  </si>
  <si>
    <t>https://www.youtube.com/watch?v=wNDRb1f03sA</t>
  </si>
  <si>
    <t>#B1REB1R Kürşad Zafer.. Sarının lâciverdi, kırmızının beyazı.. Mustafa Kemal'in askeri.. Keyif pezevengi.. Hiçbir şey uzmanı herbokolog.. 😈</t>
  </si>
  <si>
    <t>https://www.youtube.com/muhalifkarargah</t>
  </si>
  <si>
    <t>mehmet.yilmaz</t>
  </si>
  <si>
    <t>https://pbs.twimg.com/media/EGb6yDcXoAAHJtv.jpg</t>
  </si>
  <si>
    <t>Zerre i nAciz. İstanbul. Günceli takip amaçlı kullanıyorum. Teşekkürler.</t>
  </si>
  <si>
    <t>Muhammet Özkul</t>
  </si>
  <si>
    <t>Benim memleketim savas icinde olacak? el alemin cocuklari darma duman edecek ülkemi? Mahremim olan evimi yikacak ve ben baska ülkede keyfime bakicam öyle mi? Yok abi kimse maval okumasin #TurkishArmy</t>
  </si>
  <si>
    <t>Wien, Österreich</t>
  </si>
  <si>
    <t>#mustafakemalataturk #vienna #izmir</t>
  </si>
  <si>
    <t>نوري</t>
  </si>
  <si>
    <t>#WALvFIJً D3X ُ🔥#StrayKids_DoubleKnotً D3X ُ🔥#SağlıkYönetimineAtamaŞartً D3X ُ🔥#TurkishArmyً D3X ُ🔥#Halleً D3X ُ🔥</t>
  </si>
  <si>
    <t>https://ift.tt/2AHa0al</t>
  </si>
  <si>
    <t>ðм͠m</t>
  </si>
  <si>
    <t>فتاة لست مثاليهه ولكن : نيتي : طآهره ولصمتي حكايه... o0my 7aaty</t>
  </si>
  <si>
    <t>Ekrem KAYA</t>
  </si>
  <si>
    <t>Farkında mısınız ABD 4000 tır silah yardımı yaptı PKK ya şimdi bizimle savaştırıyor . Peki biz o tirlari gorduk niye bombalayip imha etmedik. Geç bile kelindi bu hamle için Allah ordumuzu muaffak etsin .. #TurkishArmy</t>
  </si>
  <si>
    <t>Artvin, Türkiye</t>
  </si>
  <si>
    <t>Eriniyorsam yarın..</t>
  </si>
  <si>
    <t>sadro</t>
  </si>
  <si>
    <t>#TurkishArmy 🇹🇷🇹🇷🇹🇷🇹🇷🇹🇷🇹🇷🇹🇷🇹🇷🇹🇷🇹🇷🇹🇷🇹🇷🇹🇷🇹🇷🇹🇷🇹🇷🇹🇷🇹🇷🇹🇷🇹🇷🇹🇷🇹🇷🇹🇷🇹🇷🇹🇷🇹🇷🇹🇷🇹🇷🇹🇷🇹🇷🇹🇷🇹🇷🇹🇷🇹🇷🇹🇷🇹🇷🇹🇷🇹🇷🇹🇷🇹🇷🇹🇷🇹🇷🇹🇷🇹🇷🇹🇷🇹🇷🇹🇷🇹🇷🇹🇷🇹🇷🇹🇷🇹🇷🇹🇷🇹🇷🇹🇷🇹🇷🇹🇷🇹🇷🇹🇷🇹🇷🇹🇷🇹🇷🇹🇷🇹🇷🇹🇷🇹🇷🇹🇷🇹🇷🇹🇷🇹🇷🇹🇷🇹🇷🇹🇷🇹🇷🇹🇷🇹🇷🇹🇷🇹🇷🇹🇷🇹🇷🇹🇷🇹🇷🇹🇷🇹🇷🇹🇷🇹🇷🇹🇷🇹🇷🇹🇷🇹🇷🇹🇷🇹🇷🇹🇷🇹🇷🇹🇷🇹🇷🇹🇷🇹🇷🇹🇷🇹🇷🇹🇷🇹🇷🇹🇷🇹🇷🇹🇷🇹🇷🇹🇷🇹🇷🇹🇷🇹🇷🇹🇷🇹🇷🇹🇷🇹🇷🇹🇷🇹🇷🇹🇷🇹🇷🇹🇷🇹🇷🇹🇷🇹🇷🇹🇷🇹🇷🇹🇷🇹🇷🇹🇷🇹🇷🇹🇷🇹🇷</t>
  </si>
  <si>
    <t>out of game</t>
  </si>
  <si>
    <t>Reyis</t>
  </si>
  <si>
    <t>Parti içinde ben izin vermeden kimse dostum Trump'ı kınayamaz. Gelecek ay Cuma'yı Washington'da kılıcağım hamdolsun. Bir ay operasyon yapılmayacak yani. Bizim tabanı evde zor tutuyorum çünkü şimdiden cola dökme ve sahte dolar yakma eylemi hazırlığındalar. #TurkishArmy</t>
  </si>
  <si>
    <t>Yüzüklerin efendisi. Parody account (mizah).</t>
  </si>
  <si>
    <t>Kadın ve Ötesi</t>
  </si>
  <si>
    <t>#DMDduyulsundiye #SağlıkYönetimineAtamaŞart #TurkishArmy #CheGuevara #EmineBulut #sivilce</t>
  </si>
  <si>
    <t>https://www.kadinveotesi.com/sivilce-izlerini-geciren-ayva-cekirdegi-maskesi/1749/</t>
  </si>
  <si>
    <t>Estetik, moda, magazin, yemek, diyet, anne ve çocuk, dekorasyon, yaşam, cinsellik, sağlık ve kadına dair aklınıza gelen her sorunun yanıtı...</t>
  </si>
  <si>
    <t>http://www.kadinveotesi.com</t>
  </si>
  <si>
    <t>Mehmet ASLAN</t>
  </si>
  <si>
    <t>Biz girdik haberiniz olmuştur. @realDonaldTrump @HDPgenelmerkezi @herkesicinCHP @YpgInt #pkk 🇹🇷🇹🇷🇹🇷🇹🇷🇹🇷🇹🇷🇹🇷 #TurkishArmy #BarisPinariHarekati #TuerkMilletiOrdusununYanında 🇹🇷🇹🇷🇹🇷🇹🇷🇹🇷🇹🇷🇹🇷</t>
  </si>
  <si>
    <t>Azdavay’lı🇹🇷🇹🇷</t>
  </si>
  <si>
    <t>Yetişecek çocuklarımıza Türkiye'nin istiklaline, kendi benliğine ve milli ananelerine düşman olan bütün unsurlarla mücadele etmek lüzumu öğretilmelidir.🇹🇷🇹🇷</t>
  </si>
  <si>
    <t>Ahmet Yürük</t>
  </si>
  <si>
    <t>https://pbs.twimg.com/media/EGb6jSaWkAEfyKU.jpg</t>
  </si>
  <si>
    <t>Antalya-İzmir-Ege University</t>
  </si>
  <si>
    <t>ⓄⓃⓊⓇ</t>
  </si>
  <si>
    <t>türk ordusunun her şartta yanındayız, gerekirse evdeki çatalımızı, bıçağımızı alır savaşa gideriz burda sorun yok, sorun karar alıcılarda: biz niye savaştayız, bilen varsa beri gelsin? #TurkishArmy</t>
  </si>
  <si>
    <t>Endüstri Müh. 🎓SAP Application Consultant💻Sahne tozu yutmuş tiyatro İzleyicisi🎭YaY🌍 http://instagram.com/onr.tkl/</t>
  </si>
  <si>
    <t>https://www.instagram.com/onr.tkl/</t>
  </si>
  <si>
    <t>Bozuk Trip</t>
  </si>
  <si>
    <t>Allah'ım kahraman askerlerimize, komutanlarımıza ve Özgür Suriye Ordusundaki (ÖSO) Mücahitlere yardım et, onları koru, onlara zafer ver. Ömer Halisdemir #TurkishArmy</t>
  </si>
  <si>
    <t>https://pbs.twimg.com/media/EGb6f66WoAYXy2t.jpg</t>
  </si>
  <si>
    <t>1. Allah'a güven 2. Gayret et 3. Hayırlı olanı iste 4. Sabırlı ol.. (Netice muhakkak zafer olacak)</t>
  </si>
  <si>
    <t>Deli Bekir💎</t>
  </si>
  <si>
    <t>@kilicdarogluk #TurkishArmy #BarisPinari Gene eline birşeyler vermişler, gene kafana su kaçırmışlar,gene zamansız kurmuşlar Seni.Bir defa,bir defa ya şu ülkenin yanında saf tut UTANALIM!</t>
  </si>
  <si>
    <t>Dünya kolay,zor olan Bizleriz #Fenerbahçe'li BAHÇEŞEHİR</t>
  </si>
  <si>
    <t>🦋 Kıvırcık BiLgi 🦋</t>
  </si>
  <si>
    <t>Bu delileri hafife almayın derim... #TurkishArmy</t>
  </si>
  <si>
    <t>pic.twitter.com/Fhjj5Bepfr</t>
  </si>
  <si>
    <t>#GALATASARAY #ATATURK #SU #MİZAH #BİLGİ Sayfası reklam iletişim için DM📩http://instagram.com/helsinkigoa?utL…</t>
  </si>
  <si>
    <t>🇹🇷💡Muharrem GÜNEŞ⛦⛦⛦⛦</t>
  </si>
  <si>
    <t>#TurkishArmy #MasalBitti Hani m. kAmal pusulası bozuk, gövdesi delik işgal kuvvetlerinden kaçarak Samsun' a çıkmıştı. Murat BARDAKÇI bunun yalan olduğunu ingiliz vizesi ile 25 Asker 6 at 1 otomobil Padişahın bizzatihi izni ile Samsun'a gönderildiğini belgeleri ile anlatıyor.</t>
  </si>
  <si>
    <t>https://pbs.twimg.com/media/EGb6ZqwX0AAFD7r.jpg</t>
  </si>
  <si>
    <t>Ordu-Ünye</t>
  </si>
  <si>
    <t>La galibe illallah 🇹🇷💡#RecepTayyipERDOĞAN 🇹🇷💡#Akparti 🇹🇷💡#HÖHNeferi 🇹🇷💡#EvladıOsmanlı #Galatasaray</t>
  </si>
  <si>
    <t>erdal yılmaz</t>
  </si>
  <si>
    <t>#DMDduyulsundiye sizde destek verip dmd kas erimesi çocuklarımız için paylaşım yapabilir misiniz 🙏 #TurkishArmy</t>
  </si>
  <si>
    <t>pic.twitter.com/ptENw1KUri</t>
  </si>
  <si>
    <t>Adıyaman, Türkiye</t>
  </si>
  <si>
    <t>İ.A.E</t>
  </si>
  <si>
    <t>Elif Ayhan 🇹🇷🤘🏻</t>
  </si>
  <si>
    <t>Ayağınıza taş değmesin yiğitler 🇹🇷🇹🇷🤘🏻🇹🇷🤘🏻 #TurkishArmy</t>
  </si>
  <si>
    <t>Koleksiyon Olarak Kendimi Topluyorum...</t>
  </si>
  <si>
    <t>®'❦</t>
  </si>
  <si>
    <t>Konuyu yanlış anladım çıkıyorum gündemden ndnxncncmc #TurkishArmy</t>
  </si>
  <si>
    <t>Upss!</t>
  </si>
  <si>
    <t>BirTürkMeyra</t>
  </si>
  <si>
    <t>https://pbs.twimg.com/media/EGb6S2OXYAALG7m.jpg</t>
  </si>
  <si>
    <t>🇹🇷🇹🇷🇹🇷🇹🇷🇹🇷🇹🇷🇹🇷🇹🇷🇹🇷🇹🇷</t>
  </si>
  <si>
    <t>kaderim</t>
  </si>
  <si>
    <t>#TurkishArmy #Turksbetrayedbyallies RT @YavuzhanKARTAL: My darling, do you remember? #KurdsSideWithTurkey #BarisPinariHarekati #TurkishArmy</t>
  </si>
  <si>
    <t>https://twitter.com/yavuzhankartal/status/1181679753092304896</t>
  </si>
  <si>
    <t>https://pbs.twimg.com/media/EGUD_LRXoAAwojz.jpg</t>
  </si>
  <si>
    <t>Victoria, Australia</t>
  </si>
  <si>
    <t>YENER YAKIN</t>
  </si>
  <si>
    <t>#TurkishArmy Esme artık denizde ey öfkeli kasırga, Selam götür reise, demir alsın kadırga. Çelik filler en önde, demir atlar dizilsin, Türkün şanlı bayrağı gök kubbeye dikilsin.</t>
  </si>
  <si>
    <t>Murat KÖROĞLU</t>
  </si>
  <si>
    <t>Haberler den anladığım kadarıyla ABD bizim girmek istediğimiz 120 km lik alanda toplam 50 asker bulunduruyormuş farzedilen 40 50 bin YpG/Pkk teröristini sadece 50 kişimi yönlendiriyor hayret. Koyun sürüsü demekki. #TurkishArmy</t>
  </si>
  <si>
    <t>Devlet bizim biz devletiz.</t>
  </si>
  <si>
    <t>Ama güzel yazdım he</t>
  </si>
  <si>
    <t>Biz neden NATO üyesiyiz? Hiçbir olayda yanımızda durmayan, hep düşmanımızdan taraf olan NATO'nun ne faydası var bize? DEVLET bile olmaya PKK'yı savunup Türkiye'nin karşısında duran bir topluluk. #TurkishArmy</t>
  </si>
  <si>
    <t>işte biz de yazıyoruz falan</t>
  </si>
  <si>
    <t>Serkan Dere</t>
  </si>
  <si>
    <t>https://pbs.twimg.com/media/EGb6Ku_WsAc9Bsh.jpg</t>
  </si>
  <si>
    <t>SAU @serkanderee</t>
  </si>
  <si>
    <t>EL Tigre Falcao</t>
  </si>
  <si>
    <t>Jennifer Lawrence: "hey trump ...." duygularımıza tercüman oluyor.. #TurkishArmy #Trump</t>
  </si>
  <si>
    <t>pic.twitter.com/4N08TmrzT4</t>
  </si>
  <si>
    <t>Santa Marta</t>
  </si>
  <si>
    <t>Radamel Falcao Garcia Zarate Ailesi Ali Sami Yen kurucumuz Metin Oktay efsanemiz GT vardır..🔄 işbirliği için DM..✉️ #ELTigre #Falcao 🐯</t>
  </si>
  <si>
    <t>herdogan</t>
  </si>
  <si>
    <t>#TurkishArmy diye yazılır. İslamın sancaktarı diye okunur. Rabbim yar ve yardımcıları olsun.</t>
  </si>
  <si>
    <t>https://pbs.twimg.com/media/EGb6IxKXoAEJfwe.jpg</t>
  </si>
  <si>
    <t>ALLAH'A İTAAT EDENE HER ŞEY İTAAT EDER.</t>
  </si>
  <si>
    <t>Trump askerleri çekme konusunda tweet atıyor lütfen destek.!#TurkishArmy</t>
  </si>
  <si>
    <t>Türk 🇹🇷 We are the best Galatasaray.! 🦁</t>
  </si>
  <si>
    <t>Eᴠʟᴀᴅ-ıFᴀᴛɪʜᴀɴ42 🇹🇷</t>
  </si>
  <si>
    <t>Metin Özkan, #BarışPınarıHarekatı’na karşı çıkan CHP ve HDP’lileri tek tek sıraya dizmiş. #TurkishArmy</t>
  </si>
  <si>
    <t>pic.twitter.com/yifDU3ecph</t>
  </si>
  <si>
    <t>I ᴋɴᴏᴡ I ʜᴀᴠᴇɴ’ᴛ ᴄʜᴀɴɢᴇᴅ ʙᴜᴛ I’ᴍ ɴᴏᴛ ᴛʜᴇ sᴀᴍᴇ Dᴀᴠᴀᴍ Hᴀᴋ Yᴏʟᴜᴍ Aᴋ/#EᴠʟᴀᴅıOsᴍᴀɴʟı/#Aᴋᴘᴀʀᴛɪ/#BᴀşᴋᴀɴRᴇᴄᴇᴘTᴀʏʏɪᴘEʀᴅᴏɢ̆ᴀɴ Aşᴋ-ı İsᴛᴀɴʙᴜʟ</t>
  </si>
  <si>
    <t>M.Raşit Deniz</t>
  </si>
  <si>
    <t>Bu yemine ortak olan 2 tür insan vardır ki; Biri; yeminle birlikte kanı, cenk için tutuşan #TurkishArmy Diğeri de, o kana anlam veremeyip boş beleş konuşan #Trump RT @_34emre: Babayiğitlerimizin Afrin operasyonu öncesi yaptığı yemini birkez daha hatırlayalım!🇹🇷 #SavasaHayır #BarisPinariHarekati #TürkMilletiOrdusununYanında #yesimsalkım #Trump #RecepTayyipErdogan #Afrin #suriye #TurkishArmy #OperationPeaceSpring #Amerika #AllahBizimledir #Turkey #Syria</t>
  </si>
  <si>
    <t>https://twitter.com/_34emre/status/1181522696921858048</t>
  </si>
  <si>
    <t>pic.twitter.com/cFF8FXBeg4</t>
  </si>
  <si>
    <t>Software engineer in his own room. Honest man. This is my superpower. Content creator. cqrstv@gmail.com for business inquiries. Also http://instagram.com/rasitdenis</t>
  </si>
  <si>
    <t>https://www.twitch.tv/cqrstv</t>
  </si>
  <si>
    <t>Her daim bu ülkenin istiklali ve kahraman ordusunun yanındayız. Askerimizin canı ve gayretini kendi menfaati için bir payanda olarak görenlerin karşısındayız. Allah, Mehmetçiğimizi korusun!.. #TurkishArmy</t>
  </si>
  <si>
    <t>https://pbs.twimg.com/media/EGb591LWoAAjniO.jpg</t>
  </si>
  <si>
    <t>Nev'î Şahsına Münhasır Biri - Muallim</t>
  </si>
  <si>
    <t>Gülay</t>
  </si>
  <si>
    <t>#TurkishArmy Dünyanın en mehametli Ordusu TSK</t>
  </si>
  <si>
    <t>https://pbs.twimg.com/media/EGb5w0tW4AITJ9q.jpg</t>
  </si>
  <si>
    <t>FALCAO THE AMAZING</t>
  </si>
  <si>
    <t>https://pbs.twimg.com/media/EGb57rKXoAArz_H.jpg</t>
  </si>
  <si>
    <t>ALLAHIM GOLLLL</t>
  </si>
  <si>
    <t>tunc_ismail</t>
  </si>
  <si>
    <t>ABD li Trump; Aptal savaşlar artık sona ermeli açıklaması yap mış? Hayır o değilde dünya savaşır ses yok Türkiye bölücü terör örgötlerine operasyon yapmaya kalıncamı bu sözler akıllara geliyor!? #TurkishArmy</t>
  </si>
  <si>
    <t>https://pbs.twimg.com/media/EGb55T0XoAAEaDV.jpg</t>
  </si>
  <si>
    <t>tanrı dağlarından koşup Hira da ALLAH'A secde edenlerdeniz🇹🇷🇹🇷🇹🇷</t>
  </si>
  <si>
    <t>KOCAELİ TV</t>
  </si>
  <si>
    <t>Türk Ordusu Gündemde #TurkishArmy  #kocaelitv #kocaelihaber #sondakika #sıcakgelişme #çarşamba #türkordusu #suriye #türkiye #gündem #türksilahlıkuvvetleri #tsk #operasyon #twitter #twittergündem</t>
  </si>
  <si>
    <t>https://www.kocaelitv.com.tr/haber-turk-ordusu-gundemde-sharpturkisharmy-46699.html</t>
  </si>
  <si>
    <t>Kocaeli haberlerini http://www.kocaelitv.com.tr, Türksat Uydu, D-Smart, Digitürk uydu platformlarıyla dünya ile paylaşan yayın kuruluşudur.</t>
  </si>
  <si>
    <t>http://www.kocaelitv.com.tr</t>
  </si>
  <si>
    <t>Masorsivas34</t>
  </si>
  <si>
    <t>Merhaba ben masorunuz Ali deneyimli Belgeli masorum kendi yerim yoktur sizin yerinize gelerek masaj hizmeti sunuyorum Sivas 05078829242</t>
  </si>
  <si>
    <t>Omer Faruk</t>
  </si>
  <si>
    <t>☠🇹🇷🐺 #TurkishArmy</t>
  </si>
  <si>
    <t>https://pbs.twimg.com/media/EGb508fWoAEaICH.jpg</t>
  </si>
  <si>
    <t>Nilüfer, Türkiye</t>
  </si>
  <si>
    <t>ϜϓſϞ JANDARMA</t>
  </si>
  <si>
    <t>sana benim gözümle bakmayanın mezarını kazacağım. -Arif Nihat Asya #TurkishArmy</t>
  </si>
  <si>
    <t>https://pbs.twimg.com/media/EGb5x1xXUAI9jKt.jpg</t>
  </si>
  <si>
    <t>Boş</t>
  </si>
  <si>
    <t>Amatör fotografcı 📷</t>
  </si>
  <si>
    <t>Hangi çılgın bana zincir vuracakmış şaşarım🇹🇷🇹🇷🇹🇷 Ayagınıza taş değmesin ALLAH yar yardımcınız olsun.🙏🏼 #TurkishArmy</t>
  </si>
  <si>
    <t>https://pbs.twimg.com/media/EGb5xrHW4AAodw4.jpg</t>
  </si>
  <si>
    <t>Bize her sevdadan geriye kalan sadece GALATASARAY💛❤️ #mustafakemalatatürk #galatasaray #istanbul</t>
  </si>
  <si>
    <t>Kuvva-i Seyyare</t>
  </si>
  <si>
    <t>Bir Mücahidi güldürmek istiyorsaniz, onu ölümle tehtid edin #TurkishArmy</t>
  </si>
  <si>
    <t>Apoletsiz General</t>
  </si>
  <si>
    <t>Captain's Son</t>
  </si>
  <si>
    <t>#PakistanArmy #TurkishArmy RT @SajjadHQamar: ترک فوج کا پاکستانی فوج کے ساتھ کشمیر میں شانہ بشانہ لڑنے کا اعلان. ترکی فوج کی پاکستان فوج کے ساتھ محبت شئیر کریں. 🇵🇰❤🇹🇷 #PakistanArmy #TurkishArmy #PakistanZindabad #TurkeyZindabad #WeWillSaveKashmir</t>
  </si>
  <si>
    <t>https://twitter.com/SajjadHQamar/status/1158880246738956289</t>
  </si>
  <si>
    <t>pic.twitter.com/v2Q3ZK2TKw</t>
  </si>
  <si>
    <t>AJK Pakistan</t>
  </si>
  <si>
    <t>🇵🇰🍁_____Simplicity💯%_____🍁🇵🇰</t>
  </si>
  <si>
    <t>https://www.facebook.com/imgulraizTLP</t>
  </si>
  <si>
    <t>erkan</t>
  </si>
  <si>
    <t>@gokhankhrman @Vedatkaraca18 Eee ölür bunların hepsi kamyonete doluşup nereye gidiyor 😂 #TurkishArmy</t>
  </si>
  <si>
    <t>Benim dinime ,hayat tarzıma, yaşam hakkıma razı değilsen sen neden rahat yaşayasın ki ?</t>
  </si>
  <si>
    <t>Engin#54 🇹🇷</t>
  </si>
  <si>
    <t>OMO TOYYOP ABD'nin ODOMO! #TurkishArmy RT @DavasihAK: GİİİİİİİİİRRRRRDDDDDİİİİİİİİCCCCKKKKK #TurkishArmy</t>
  </si>
  <si>
    <t>https://twitter.com/DavasihAK/status/1181864551404494848</t>
  </si>
  <si>
    <t>pic.twitter.com/x7glxukqEl</t>
  </si>
  <si>
    <t>Belgium-Sakarya</t>
  </si>
  <si>
    <t>Sakarya, sâf çocuğu, mâsum Anadolunun, Divanesi ikimiz kaldık Allah yolunun! #EvladıOsmanlı #GALATASARAY #Sinema</t>
  </si>
  <si>
    <t>Cem Büyükkellecioğlu</t>
  </si>
  <si>
    <t>@LindseyGrahamSC Forever Turkiye Forever #Turkisharmy</t>
  </si>
  <si>
    <t>semih</t>
  </si>
  <si>
    <t>#TurkishArmy Türk Devleti ve Milleti buralardan geliyor.. 200 senelik mazisi ve bir milliyeti dahi olmayanlar bir kez daha oturup düşünmeli o muhteşem bilgeligiyle ..</t>
  </si>
  <si>
    <t>https://pbs.twimg.com/media/EGb5pjZW4AEu9kC.jpg</t>
  </si>
  <si>
    <t>🅴🆁🅼📈📉🅽</t>
  </si>
  <si>
    <t>Klavye başında ahkam kesmeden söylenecek tek şey, Allah savaş alanında olan yiğitlerimizin tırnağına taş değdirmesin. Sağ salim gidip gelsinler inşallah. Dualarımız onlar için. 🙏 #TurkishArmy #turkmilletiordusununyaninda RT @hiyibildiren: Operasyona gitmeden önce yeni doğmuş bebeğini koklayarak vedalaşan yiğitlerimiz var bizim Savaş Türk’ün Düğünüdür... #TürkMilletiOrdusununYanında</t>
  </si>
  <si>
    <t>https://twitter.com/hiyibildiren/status/1181303306846646272</t>
  </si>
  <si>
    <t>pic.twitter.com/4zLuZwYDuo</t>
  </si>
  <si>
    <t>Akademisyen, mühendis, #BIST100 yatırımcı Tradingview: https://tr.tradingview.com/u/ermansntrk Youtube: https://www.youtube.com/channel/UCa8tHP0PgVt-IxzgLaQw7CA</t>
  </si>
  <si>
    <t>https://drive.google.com/drive/folders/15UJA2jamhIcS_XqIf1aL2JwIxAzGTOFV?usp=sharing</t>
  </si>
  <si>
    <t>Astro Dıravacı</t>
  </si>
  <si>
    <t>#TurkishArmy Herkes orduya övgüler, methiyeler diziyor... İçerde haksız yere hapis yatan askerler var. Acilen yargı süreçlerindeki tıkanıklık çözülmeli.</t>
  </si>
  <si>
    <t>Timuçin Özdemir</t>
  </si>
  <si>
    <t>Allah askerimizi muzaffer eylesin. Bir gece ansızın... 👍👍👏👏#TurkishArmy</t>
  </si>
  <si>
    <t>Sema</t>
  </si>
  <si>
    <t>Vur şanlı silahınla gönül mülkü düzelsin; Sen öldürüyorken de vururken de güzelsin! Şanlı #TurkishArmy!</t>
  </si>
  <si>
    <t>başım bir deli nehir</t>
  </si>
  <si>
    <t>https://www.instagram.com/semaakhrmn</t>
  </si>
  <si>
    <t>🆃🆁🅰🅲🅴🆁 ™</t>
  </si>
  <si>
    <t>https://pbs.twimg.com/media/EGb5iRAXkAAx6zl.jpg</t>
  </si>
  <si>
    <t>Nebuchadnezzar</t>
  </si>
  <si>
    <t>SUDO</t>
  </si>
  <si>
    <t>Abdulkadir Artut</t>
  </si>
  <si>
    <t>@cuneytozdemir Bu trump tan bi halt anlamadım ..... savaş için dünyanın silahı ve askerini orta doğuya getirdi...şimdide orta-doğuda hiç olmamalıydık , aptalların savaşı bitmeli diyor....bla bla öpecekler bizi yine #TurkishArmy</t>
  </si>
  <si>
    <t>Sözlükte Anlam</t>
  </si>
  <si>
    <t>" Parya " isim, toplum bilimi (pa'rya) Fransızca paria 1. isim, toplum bilimi Hindistan'da toplumsal sınıfların dışında kalanlar. 2. Herkes tarafından hor görülen ve aşağılanan kimse, ayaktakımı. #TurkishArmy #CheGuevara</t>
  </si>
  <si>
    <t>Gündemi meşgul eden kelimeler, sıkça kullanıp anlamını bilmediğimiz kelimeler, deyimler, atasözleri ve anlamları...</t>
  </si>
  <si>
    <t>hasret buyuk</t>
  </si>
  <si>
    <t>Çocuklаrı kullаnırlаr, şer güçler, Hаin senаryodа, sаklаnmış düşler, Uyаn ey milletim uyаn, Ülkeni pаrçаlаmаdаn bu güçler… Ay-yıldız sevdаsı bаşkаdır bende, Şehidimin kаnı kаlır mı yerde, Hesаp er geç elbet sorulur, Birileri onlаrа olsа dа perde… #TurkishArmy</t>
  </si>
  <si>
    <t>Hayallerim.</t>
  </si>
  <si>
    <t>Gurhan</t>
  </si>
  <si>
    <t>This isn't war, we're just going to operate to end terrorism. #TurkishArmy</t>
  </si>
  <si>
    <t>Bahçelievler, Gölbaşı</t>
  </si>
  <si>
    <t>Believe Your Dreams🤹‍♂️</t>
  </si>
  <si>
    <t>seyfi akgün</t>
  </si>
  <si>
    <t>#TurkishArmy Dostun dostu düşmanın ecelidir benim askerim, onun olduğu yerde adalet vardır şefkat vardır</t>
  </si>
  <si>
    <t>https://pbs.twimg.com/media/EGb5c9sWkAAljMk.jpg</t>
  </si>
  <si>
    <t>İmâm-ı Hârun</t>
  </si>
  <si>
    <t>Selâmun aleyküm mekanın sahibiyim #TurkishArmy</t>
  </si>
  <si>
    <t>https://pbs.twimg.com/media/EGb5Vq-XUAA0-GS.jpg</t>
  </si>
  <si>
    <t>Dâr-ı dünya</t>
  </si>
  <si>
    <t>Bela mahşerinde beni afiyetle rızıklandıran Allah'a hamd ediyorum</t>
  </si>
  <si>
    <t>İlhami Toprak</t>
  </si>
  <si>
    <t>Biz ordusu olan bir Devlet değil, milleti ordu olan bir Devletiz. 🇹🇷🇹🇷🇹🇷 #TurkishArmy</t>
  </si>
  <si>
    <t>https://pbs.twimg.com/media/EGb5U0WXkAEDbKb.jpg</t>
  </si>
  <si>
    <t>Recep Tayyip Erdoğan üniversitesi mezunu 🇹🇷🇹🇷🇹🇷</t>
  </si>
  <si>
    <t>H.Mert Tuncel</t>
  </si>
  <si>
    <t>'Türk olmak zordur, çünkü dünya ile savaşırsın. Türk olmamak daha zordur, çünkü Türk ile savaşırsın." #TurkishArmy</t>
  </si>
  <si>
    <t>Antalya 🇹🇷</t>
  </si>
  <si>
    <t>Hakan</t>
  </si>
  <si>
    <t>https://pbs.twimg.com/media/EGb5UCxWkAUy5wT.jpg</t>
  </si>
  <si>
    <t>heves mi bıraktınız</t>
  </si>
  <si>
    <t>SARI ®</t>
  </si>
  <si>
    <t>Bizim başımıza ALLAH'ın yazdığından başkası gelmez. #BarisPinariHarekati #TurkishArmy #OperationPeaceSpring</t>
  </si>
  <si>
    <t>ĭڪے†∂ηßﺙℓ</t>
  </si>
  <si>
    <t>Bütün uyuyanları uyandırmaya bir tek uyanık yeter. ! Müslüman Türk - 2 çocuk babası ve Fenerbahçeli. Her RT katıldığım anlamına gelmez.</t>
  </si>
  <si>
    <t>𝒮𝓊𝓂𝑒𝓎𝓎𝑒</t>
  </si>
  <si>
    <t>https://pbs.twimg.com/media/EGb5TdxWwAA9Ofs.jpg</t>
  </si>
  <si>
    <t>Bekir Özkavak</t>
  </si>
  <si>
    <t>#TurkishArmy yani diyor ki ben adama bilezik gibi geçiririm 😎</t>
  </si>
  <si>
    <t>İnşaat Mühendisi / Civil Engineer ÖZKAVAK YAPI&amp;İNŞAAT Şirketi Kurucusu-Sahibi</t>
  </si>
  <si>
    <t>#TurkishArmy Turkish military is expected. RT @diyap_aga: “Dünyanın hiçbir ordusunda yüreği seninkinden daha temiz, daha sağlam bir askere rastlanmamıştır." Mustafa Kemal Atatürk #TurkishArmy</t>
  </si>
  <si>
    <t>https://twitter.com/diyap_aga/status/1181866964676939776</t>
  </si>
  <si>
    <t>pic.twitter.com/5LPrRQBCKc</t>
  </si>
  <si>
    <t>Biraz benden, çokça senden...</t>
  </si>
  <si>
    <t>Noha</t>
  </si>
  <si>
    <t>#WALvFIJً C2G ُ🔥#StrayKids_DoubleKnotً C2G ُ🔥#SağlıkYönetimineAtamaŞartً C2G ُ🔥#TurkishArmyً C2G ُ🔥#Halleً C2G ُ🔥</t>
  </si>
  <si>
    <t>https://ift.tt/321tqCP</t>
  </si>
  <si>
    <t>Belman Aydogan</t>
  </si>
  <si>
    <t>Zamanında verilen tavizlerin sonucu bugünleri yaşıyoruz ! Allahım askerlerimizi korusun tek bir şehit haberine tahammülümüz kalmadı artık..🙏🏻🙏🏻🙏🏻😔🇹🇷 #TurkishArmy</t>
  </si>
  <si>
    <t>Barış Öztel 🇹🇷</t>
  </si>
  <si>
    <t>Ana duası alanın sırtı yere gelmez 🤲 #TurkishArmy</t>
  </si>
  <si>
    <t>pic.twitter.com/T3FQIoe3p6</t>
  </si>
  <si>
    <t>Of, Trabzon</t>
  </si>
  <si>
    <t>Mücevherat Tasarımı 🖥💎💍 Pazarlama 👔 💼 Rızkımı veren Hüda’dır. Kula minnet eylemem الحمد لله</t>
  </si>
  <si>
    <t>http://www.aygoldkuyumculuk.com.tr</t>
  </si>
  <si>
    <t>katya ama 𐱅𐰼𐰇𐰰</t>
  </si>
  <si>
    <t>https://pbs.twimg.com/media/EGb5NYZW4AErDi0.jpg</t>
  </si>
  <si>
    <t>Moskova Ülkü Ocakları</t>
  </si>
  <si>
    <t>MFÖ değil MFD</t>
  </si>
  <si>
    <t>@neseidil Aynen bedelli gerizekalı, aynen. ‘TOPRAK UĞRUNDA ÖLEN VARSA VATANDIR.’ Sizin gibi kadıköy barlarında pkk piçlerine dibini dövdürenlerin anlayamayacağı bir şey tabi bu. #turkmilletiordusununyaninda #TurkishArmy</t>
  </si>
  <si>
    <t>https://pbs.twimg.com/media/EGb5J6ZWkAAPWB3.jpg</t>
  </si>
  <si>
    <t>Geçerken uğradım.</t>
  </si>
  <si>
    <t>marlon ♠️</t>
  </si>
  <si>
    <t>Muharrem İnce "ABD SURİYE'DE NE İSTİYOR?! Türkiye, ben sana bir koridor oluşturacağım,Sen öyle Ermenistan, Ege,Kıbrıs,Yunanistanla uğraşama,Senin bir belan olsun bu koridorla uğraş dur 50 sene diyor,benim enerji için daha güzel oyuncaklarım var diyor " @vekilince #TurkishArmy</t>
  </si>
  <si>
    <t>pic.twitter.com/AMOHf1kc6T</t>
  </si>
  <si>
    <t>life is hard for to live İNCE HALK CEPHESİ -DMx Hak yerini bulacak. Meydanlar dolacak. Muharrem İnce CUMHURBAŞKANI olacak</t>
  </si>
  <si>
    <t>seçil ayhan</t>
  </si>
  <si>
    <t>Allah Türk Ordusunu, Türk Askerini korusun #TurkishArmy</t>
  </si>
  <si>
    <t>Dünya Küçük.</t>
  </si>
  <si>
    <t>Ayaz Ziya KAYA</t>
  </si>
  <si>
    <t>Turkiye'yi Suriye'de sadece PKK beklemiyor. ABD'nin ikinci tuzağı DAEŞ te bekliyor. ABD remmen Türkiye'yi bataklığa soktu. Trump attığı tweet ile Avrupa'ya bundan sonraki DAEŞ saldırısında Türkiye sorumludur diyor. #TurkishArmy #KendineGelPezeberk RT @realDonaldTrump: Fighting between various groups that has been going on for hundreds of years. USA should never have been in Middle East. Moved our 50 soldiers out. Turkey MUST take over captured ISIS fighters that Europe refused to have returned. The stupid endless wars, for us, are ending!</t>
  </si>
  <si>
    <t>https://twitter.com/realDonaldTrump/status/1181896127471333381?s=19
https://twitter.com/twittermoments/status/1181053382850514947</t>
  </si>
  <si>
    <t>GES-DER Kurucu Başkanı YAD Üyesi Sosyo-Yazar Hayvansever Cumhuriyet sevdalısı Kurtuluş, ATATÜRK'ÜN GENÇLİĞE HİTABESİNDEDİR. (Elazığ'lı)</t>
  </si>
  <si>
    <t>__ONUR__</t>
  </si>
  <si>
    <t>Neden sürekli kışın operasyon oluyormuş Bozkurt’lar sisli havayı sever 🇹🇷🇹🇷🇹🇷 #TurkishArmy</t>
  </si>
  <si>
    <t>pic.twitter.com/0bZaaPfATx</t>
  </si>
  <si>
    <t>#SadeceFenerbahçe💛💙</t>
  </si>
  <si>
    <t>http://www.fenerbahce.org/</t>
  </si>
  <si>
    <t>KOBİ YAŞAM</t>
  </si>
  <si>
    <t>Arap Birliği, "Türkiye'nin Suriye kuzeyine düzenleyeceği harekatı reddediyoruz." şeklinde bir açıklama yaptı. #TurkishArmy #çarşamba</t>
  </si>
  <si>
    <t>https://pbs.twimg.com/media/EGb5FCcXkAAhI0A.jpg</t>
  </si>
  <si>
    <t>AYLIK İŞ DÜNYASI VE EKONOMİ DERGİSİ 📸Instagram: @kobiyasam #KOBİYAŞAM #KOBİ #KOSGEB #YAŞAM #EKONOMİ #İŞ #GÜNDEM</t>
  </si>
  <si>
    <t>http://www.kobiyasam.com.tr</t>
  </si>
  <si>
    <t>Bilim101</t>
  </si>
  <si>
    <t>Milli lazer silahı #ARMOL kabul testlerini başarıyla geçerek #Türk Silahlı Kuvvetleri envanterine girdi. #TurkishArmy #bilim #teknoloji #tsk</t>
  </si>
  <si>
    <t>pic.twitter.com/klRs51Zxn8</t>
  </si>
  <si>
    <t>Türkiye'nin En Renkli Bilim Kanalı</t>
  </si>
  <si>
    <t>https://www.youtube.com/c/bilim101</t>
  </si>
  <si>
    <t>atsız</t>
  </si>
  <si>
    <t>Kur'an'ı Kerim</t>
  </si>
  <si>
    <t>Şimdi en mukaddes cemiyet, ehl-i iman askerlerin cemiyetidir. #TurkishArmy</t>
  </si>
  <si>
    <t>https://pbs.twimg.com/media/EGb45SHW4AADZMf.jpg</t>
  </si>
  <si>
    <t>Kur'an'ı Kerim ve Hadisi Şerif paylaşımı yapılıyor. Allah bizi İHDİNA SİRATEL MÜSTEĞİM olanlardan kılsın İNŞALLAH 🥀</t>
  </si>
  <si>
    <t>/DUYGU&amp;ATA\</t>
  </si>
  <si>
    <t>#TurkishArmy Trump yeni tweet</t>
  </si>
  <si>
    <t>https://pbs.twimg.com/media/EGb4zuXWsAAoMZW.jpg</t>
  </si>
  <si>
    <t>Bilal Taş</t>
  </si>
  <si>
    <t>Macron Pkk'ya desteğini açık açık dile getirmiş. Askerlerini Suriye'ye bekliyoruz Pkk'ya desteğe. Uzaktan destek açıklamalarını kabul etmiyoruz. #TurkishArmy</t>
  </si>
  <si>
    <t>İnsanın gölgesine sığındığı bir duası, bir davası, bir de sevdası olmalı...</t>
  </si>
  <si>
    <t>Erman Uçar</t>
  </si>
  <si>
    <t>Hiçbir zafer gaye değildir, zafer ancak kendisinden daha büyük bir gayeyi elde etmek için en belli başlı vasıtadır. #TurkishArmy #Atatürk</t>
  </si>
  <si>
    <t>https://pbs.twimg.com/media/EGb41oyWwAA4ZFR.jpg</t>
  </si>
  <si>
    <t>Vergilerimi ödeyen bir vatandaşım.</t>
  </si>
  <si>
    <t>Tır Şoförü</t>
  </si>
  <si>
    <t>#TurkishArmy 'nin, görevi başındaki askerine hakaret eden Milliyetçi HaKAret Partisi milletvekili Cemal Enginyurt. @cenginyurt52 Milliyetçilik adına görebildiğimiz tek icraatı Tanrı dağına karşı ulumak olan vekil, Şemdinli'deki askere "piç" diyor. Delireceğim...</t>
  </si>
  <si>
    <t>https://pbs.twimg.com/media/EGb41NRXkAAK0rX.jpg</t>
  </si>
  <si>
    <t>Açılın ben tır şoförüyüm. GS 💛❤💛❤</t>
  </si>
  <si>
    <t>hope</t>
  </si>
  <si>
    <t>#TurkishArmy Eski Dünyâ, Yeni Dünyâ, bütün akvâm-ı Yedi iklîmi cihânın duruyor karşına da, Ostralya'yla berâber bakıyorsun: Kanada!Çehreler başka, lisanlar, deriler rengârenk;Sâde bir hâdise var ortada: Vahşetler denk. Kimi Hindû, kimi yamyam, kimi bilmem ne belâ...</t>
  </si>
  <si>
    <t>https://pbs.twimg.com/media/EGb40zWWsAAw2H5.png</t>
  </si>
  <si>
    <t>Fikri Hür, Vicdanı Hür, İrfanı Hür</t>
  </si>
  <si>
    <t>Mesnevi</t>
  </si>
  <si>
    <t>#TurkishArmy #BarisPinariHarekati Cehennem Olsa Göğsümüzde söndürürüz. (SavunanAdam)</t>
  </si>
  <si>
    <t>pic.twitter.com/pbulER0yBJ</t>
  </si>
  <si>
    <t>Yol</t>
  </si>
  <si>
    <t>Aha baba burda</t>
  </si>
  <si>
    <t>Timur ALP</t>
  </si>
  <si>
    <t>#TurkishArmy siz kimle dans ediyorsunuz haberiniz yok.</t>
  </si>
  <si>
    <t>https://pbs.twimg.com/media/EGb4yUkW4AAI9x9.jpg</t>
  </si>
  <si>
    <t>Türk olmak şereftir. 🇹🇷 Beşiktaş 🦅 İyi insan olmadan , iyi Beşiktaşlı olunmaz 🤙</t>
  </si>
  <si>
    <t>Alem'i İSLAM</t>
  </si>
  <si>
    <t>Allah'tan ki, Allah var. Ve O(c.c), yâr. #TurkishArmy</t>
  </si>
  <si>
    <t>!!!!!.....</t>
  </si>
  <si>
    <t>YeNGeÇ</t>
  </si>
  <si>
    <t>Gözü dönmüş cani #TurkishArmy Türk askeri küçük çocuğun kafasını koparırken...</t>
  </si>
  <si>
    <t>https://pbs.twimg.com/media/EGb4yhJXUAA0hGk.jpg</t>
  </si>
  <si>
    <t xml:space="preserve">Zihuatanejo🦀 </t>
  </si>
  <si>
    <t>Kendi işinin patronu 🇹🇷 💛💙 Evli</t>
  </si>
  <si>
    <t>http://www.youtube.com/watch?v=6Be9kENo0vk</t>
  </si>
  <si>
    <t>Ünal Seymen</t>
  </si>
  <si>
    <t>#TurkishArmy domuz avını bekliyorlar💪🇹🇷</t>
  </si>
  <si>
    <t>https://pbs.twimg.com/media/EGb4wI5WkAAXdHB.jpg</t>
  </si>
  <si>
    <t>https://www.instagram.com/seymenunall</t>
  </si>
  <si>
    <t>#TurkishArmy Tüm Türkiye, 2 gündür operasyonu konuşuyor, askerine destek yağdırıyor, yaprak kımıldasa yorum yapan Ekrem İmamoğlu suspus. Adam, Demirtaş'ın gözlüklü versiyonu çıktı Rıza Baba.</t>
  </si>
  <si>
    <t>thegulgen</t>
  </si>
  <si>
    <t>#TurkishArmy is coming .... 🇹🇷</t>
  </si>
  <si>
    <t>bahsetme kimselere yaramızda kalsın , sığmadık şehirlere şiirlere taştık .... Gelotoloji uzmanı hayat doktoru İZMİR.......Fenerbahçe 💛💙</t>
  </si>
  <si>
    <t>AskerHaber</t>
  </si>
  <si>
    <t>Türk beklenendir.#TurkishArmy #BarisPinariHarekati #turkmilletiordusununyaninda</t>
  </si>
  <si>
    <t>https://pbs.twimg.com/media/EGb4u9vXoAMvNNj.jpg</t>
  </si>
  <si>
    <t>Seyit nizam</t>
  </si>
  <si>
    <t>https://pbs.twimg.com/media/EGb4udKXUAA5z_z.jpg</t>
  </si>
  <si>
    <t>fatih23</t>
  </si>
  <si>
    <t>Her Türk asker dogar.Tarihte Türk'ün carpismadan kaçtığı nerde görülmüş?Adina ister operasyon deyin ister savaş.Hazir olun devletsiz Amerikan usaklari.#TurkishArmy</t>
  </si>
  <si>
    <t>Emrehan Keles</t>
  </si>
  <si>
    <t>“... Allah inananlarla beraberdir” Enfal/19 Ülkemizin güvenliği ve terör unsurlarının etkisiz hale getirilmesi için başlatılan #BarışPınarıHarekatı Rabbimiz Mehmetçiklerimizi ve Aziz Milletimizi şerlerden muhafaza eylesin. #TurkishArmy</t>
  </si>
  <si>
    <t>https://pbs.twimg.com/media/EGb4qXUXYAE5R5e.jpg</t>
  </si>
  <si>
    <t>Müdür Yrd.</t>
  </si>
  <si>
    <t>Cengiz Han</t>
  </si>
  <si>
    <t>Impossible Mission Force; "Başkanın onayı olmadan #EYT hakkında yapılan çalışmaları ne inkar edebilir ne de kabul edebiliriz." Milli güvenlik meselesi olduk! #EmeklilikteYaşaTakılanlar #TurkishArmy #tubayayardımedin #EmineBulut #CheGuevara #çarşamba #EmeklilikteYaşaYakılanlar</t>
  </si>
  <si>
    <t>https://pbs.twimg.com/media/EGb4ocKXUAEPYvb.jpg</t>
  </si>
  <si>
    <t>Rize</t>
  </si>
  <si>
    <t>Diplomalı İşsiz</t>
  </si>
  <si>
    <t>Üstümüzden eksilmesin al bayrağın gölgesi 🇹🇷#TurkishArmy</t>
  </si>
  <si>
    <t>Araklı, Trabzon</t>
  </si>
  <si>
    <t>İnstagram/sumeyye.soyyigit Açü🎓 Aöf📚</t>
  </si>
  <si>
    <t>şeref DAYI..</t>
  </si>
  <si>
    <t>CHP günlüğü. Kemal Kılıçdaroğlu ypg terör örgütü değil dedi Faik öztrak otel odalarında IMF heyetine bu ülkeden elini çek dedi İmamoğlu Demirtaş'ın çizgisini beğeniyorum dedi Sezgin Tanrıkulu porno sayfasını beğendi Ve kapanış.. #TurkishArmy</t>
  </si>
  <si>
    <t>Marla</t>
  </si>
  <si>
    <t>Onlara gelince savaş açtı, bize gelince güncelleme yapıldı. #TurkishArmy #ortadoğuda</t>
  </si>
  <si>
    <t>https://pbs.twimg.com/media/EGb4lsEXkAExfzC.jpg</t>
  </si>
  <si>
    <t>🔊 Adnan Oktar'ın sevenleri olarak tüm dünyaya bir notumuz var. 🔊 Sevgimizi anlamayanlara hatta bu sevgiyi kıskananlara da cevabımız yine; SEVGİNİN DÜNYAYA HAKİM OLUŞU olacaktır.🌍 (DelilOlsa BunlarMıKonuşulur #TurkishArmy Dünya Bankası 9 Ekim)</t>
  </si>
  <si>
    <t>https://pbs.twimg.com/media/D1pGJfbWkAIyadk.jpg</t>
  </si>
  <si>
    <t>Ömer Akel</t>
  </si>
  <si>
    <t>Yıldırım çakar gibi çökün karanlığın üstüne ışığınız geceyi aydinlatsin ateşiniz dusmani yaksın #TurkishArmy</t>
  </si>
  <si>
    <t>https://pbs.twimg.com/media/EGb4j5fX0AcdHYz.jpg</t>
  </si>
  <si>
    <t>OMÜ Tıp Fakültesi 2018' Samsun Gazi Devlet Hastanesi Acil Doktoru http://instagram.com/omerakel55 Yeniden..</t>
  </si>
  <si>
    <t>Cindy</t>
  </si>
  <si>
    <t>@realDonaldTrump #25thAmendmentNow #TurkishArmy #TrumpTowersIstanbul</t>
  </si>
  <si>
    <t>Omaha, NE</t>
  </si>
  <si>
    <t>#resist #lgbtqAlly 🌊 Live the life you were intended to live and fight for what you believe in. I'm a really nice lady but I am a rebel</t>
  </si>
  <si>
    <t>AYULARINsessizliği</t>
  </si>
  <si>
    <t>yurtda sulh cihanda sulh diyen Başkomutan uygun konjekturde HATAYI almıştı #TurkishArmy siz olayı çok yanlış anlamışınız yahu biz bizim olanı almaya diyoruz kime ne ...</t>
  </si>
  <si>
    <t>Ufuk</t>
  </si>
  <si>
    <t>Bedelli tagı :) #TurkishArmy</t>
  </si>
  <si>
    <t>Vurduğun her yerde gül biter sanma :(</t>
  </si>
  <si>
    <t>Soner Yıldız</t>
  </si>
  <si>
    <t>@gs_jackal Bağırıyoruz hep içten ulan yallah piçler #TurkishArmy aslanları sker</t>
  </si>
  <si>
    <t>ATA'TÜRKİYE vatandaşı Leyla ile Mecnun izleyicisi Sarı kırmızıya gönül verenler derneği üyesi We Are The Best</t>
  </si>
  <si>
    <t>Ahmet salih</t>
  </si>
  <si>
    <t>𝔖𝔢𝔩𝔠𝔲𝔨 𝔖𝔢𝔯𝔞𝔩𝔭</t>
  </si>
  <si>
    <t>https://pbs.twimg.com/media/EGb4hjCXUAUUC5C.jpg</t>
  </si>
  <si>
    <t>𝕭𝖎𝖑𝖟𝖊𝖗𝖎𝖆𝖓 𝕱𝖆𝖒𝖎𝖑𝖞 ANT/DITAL</t>
  </si>
  <si>
    <t>http://www.instagram.com/selcuk.seralp</t>
  </si>
  <si>
    <t>DOĞUKAN</t>
  </si>
  <si>
    <t>https://pbs.twimg.com/media/EGb4hT5XkAAGIom.jpg</t>
  </si>
  <si>
    <t>Milliyetçi, Atatürkçü..</t>
  </si>
  <si>
    <t>http://instagram.com/dogukannekinci</t>
  </si>
  <si>
    <t>Yaşar papaker</t>
  </si>
  <si>
    <t>Biz türk üz kardeş bizde geri vites kullanılmaz bunu böyle bilesiniz.#TurkishArmy</t>
  </si>
  <si>
    <t>bu devir de tekbiri dilden,Tedbiri elden bırakmamak lazım kardeş.#rize #srahoz</t>
  </si>
  <si>
    <t>Resul SARIHAN</t>
  </si>
  <si>
    <t>AKP'nin savaş konusunda tek doğru hareketi 2003 yılı 1 Mart tezkeresini reddetmek olmuştur . @RTErdogan ve yakın arkadaşları onaylarken @cbabdullahgul ve arkadaşları ayrica CHP eksiksiz kadroyla reddetmiştir #BarisPinariHarekati #TurkishArmy</t>
  </si>
  <si>
    <t>Araştırmacı ve Anketçi</t>
  </si>
  <si>
    <t>Artvin Borçka'da doğdum. İstanbul'da yaşıyorum. 10 yıldır siyasi ve tüketici anket yapar. Kamu yönetimi mezunu, Eleştirileriniz için , resulsaruhan@gmail.com</t>
  </si>
  <si>
    <t>Alpagut</t>
  </si>
  <si>
    <t>https://pbs.twimg.com/media/EGb4ctUXkAAkNGu.jpg</t>
  </si>
  <si>
    <t>berxwedan</t>
  </si>
  <si>
    <t>Terörist #TurkishArmy</t>
  </si>
  <si>
    <t>Antarctica</t>
  </si>
  <si>
    <t>herkesin bir dayanma sınırı vardır .</t>
  </si>
  <si>
    <t>ZAFER  YILMAZ</t>
  </si>
  <si>
    <t>Yaylaları geçtik, karlı dağları aştık Siz salonda dans ederken bizler savaştık! Hüseyin Nihal ATSIZ #TurkishArmy</t>
  </si>
  <si>
    <t>https://pbs.twimg.com/media/EGb4cTLXYAEzKE2.jpg</t>
  </si>
  <si>
    <t>MAZLUMLARAYUNUSZALIMLEREYAVUZ</t>
  </si>
  <si>
    <t>ZALİMLERE YAVUZ MAZLUMLARA YUNUS . 𐱅𐰇𐰼𐰰 MİLLİYETÇİSİ 🇹🇷🇹🇷🇹🇷</t>
  </si>
  <si>
    <t>A. Yılmaz Şardağ</t>
  </si>
  <si>
    <t>Bizi islam icin cihada ömrünü adamis ve bu sebeple işi savaşmak olan bir ceddin çocuklarıyız. Allah askerimize cesaret sukunet başarı azim keskin görüş nasip etsin ins #TurkishArmy</t>
  </si>
  <si>
    <t>£lif 🐾£</t>
  </si>
  <si>
    <t>2- Again, on the eve of an operation, timingly or untimingly, but caring for justice, dreaming of smiling children, women, spouses; the Turkish Armed Forces and Syrian National Army will this time walk for the Syrian brothers and sisters #OperationPeaceSpring #TurkishArmy</t>
  </si>
  <si>
    <t>Hayvan sever, insanlarında vicdanlı ve merhametli olanlarını sever.lüzumsuzDM yazmayın 👍😅</t>
  </si>
  <si>
    <t>Md Abdur Rahim</t>
  </si>
  <si>
    <t>are you looking for #psd to #html #website?  #BoyWithLuv #LoveYourselfSpeakYourself #TheConcertTour #WALvFIJ #StrayKids_DoubleKnot #Rebekah_Vardy #SağlıkYönetimineAtamaŞart #ノーベル化学賞 #TurkishArmy #FelizMiercoles #ミスド #ニール #キララん</t>
  </si>
  <si>
    <t>https://bit.ly/2VpNdco</t>
  </si>
  <si>
    <t>Sandiso Mbulelo</t>
  </si>
  <si>
    <t>@Laflxre P2 of S4 E1 #onlyfans #capitec #FreeKanyaCekeshe #FeesMustFall #Fergusonfilms #WhatsAppStokvel #IwonderifMyCrush #tko2019 #At20IWishIHad #SoHowIDealWithStress #WALvFIJ #WorldMentalHealthDay #TurkishArmy #StrayKids_DoubleKnot #질서선 #çarşamba #Upd8 #WednesdayThoughts</t>
  </si>
  <si>
    <t>pic.twitter.com/yukgXyTeYE</t>
  </si>
  <si>
    <t>Cape Town, South Africa</t>
  </si>
  <si>
    <t>Stream Game Plan here https://open.spotify.com/album/5mMo2xpXgF3ttoZl1s97LW</t>
  </si>
  <si>
    <t>http://soundcloud.com/tharealseyda</t>
  </si>
  <si>
    <t>💻📚Eğitim Portalı🇹🇷☪️</t>
  </si>
  <si>
    <t>Ehliyet adaları için... 2019 çıkmış soruları derledim ve bu sayfada online olarak hazırladım. Online ehliyet soruları ve cevapları...  #CheGuevara #TurkishArmy</t>
  </si>
  <si>
    <t>https://www.rasitgokhansucu.com/cikmis-ehliyet-sorulari/</t>
  </si>
  <si>
    <t>Eğitime dair her şey... 📘🖊️📓 Analiz 💸📈💰📊 Danışman 😎🔊 Eğitimci Uzman 🏫📖🖋</t>
  </si>
  <si>
    <t>https://www.rasitgokhansucu.com.tr</t>
  </si>
  <si>
    <t>MERT DEMİREL</t>
  </si>
  <si>
    <t>Şu kopan fırtına Türk ordusudur yâ Rabbi. #TurkishArmy</t>
  </si>
  <si>
    <t>https://pbs.twimg.com/media/EGb4VrAXoAI57tO.jpg</t>
  </si>
  <si>
    <t>Fenerbahçe💛💙</t>
  </si>
  <si>
    <t>Altar'ın Oğlu Tarkan</t>
  </si>
  <si>
    <t>REİS</t>
  </si>
  <si>
    <t>#Dünyada asker sayısı belli olmayan tek ülke TÜRKİYE 'dir Çünkü her TÜRK asker doğar..🇹🇷🇹🇷🇹🇷🇹🇷 #TurkishArmy #BarısPınarHarekatı #turkmilletiordusununyaninda #KurdsSideWithTurkey</t>
  </si>
  <si>
    <t>https://pbs.twimg.com/media/EGb4TvlXoAA_D8C.jpg</t>
  </si>
  <si>
    <t>TAKİBE TAKİP 👉DİL SÖYLER KULAK DİNLER KALP SÖYLER KAİNAT DİNLER ...AK PARTİ - MHP DAVA KARDEŞLİĞİ VATAN KARDEŞLİĞİ 🤘🇹🇷🤘🇹🇷🤘🇹🇷🤘🇹🇷🤘</t>
  </si>
  <si>
    <t>Serkan KÜÇÜK</t>
  </si>
  <si>
    <t>“Şu kopan fırtına Türk ordusudur yâ Rabbi. Senin uğrunda ölen ordu budur yâ Rabbi. Tâ ki yükselsin ezanlarla müeyyed nâmın, Galib et, çünkü bu son ordusudur İslâm'ın.” #TurkishArmy</t>
  </si>
  <si>
    <t>https://pbs.twimg.com/media/EGb4Rg_W4AAJ49L.jpg</t>
  </si>
  <si>
    <t>İst. Üniversitesi Siyasal Bilgiler Fakültesi. Mali Müşavir-Bağımsız Denetçi. İst.Tic.Üniv.Muhasebe Denetim Yüksek Lisan</t>
  </si>
  <si>
    <t>http://www.serkankucuk.com.tr</t>
  </si>
  <si>
    <t>aLpEr_</t>
  </si>
  <si>
    <t>👉İsrail ,Akdenizde doğalgaz platformları kurdu, 👉Türkiye'yi Doğu Akdeniz'de saf dışı bıraktı, 👉Damat İsrail'in doğalgazını Türkiye üzerinden pazarladı, 👉Erdoğan'ın izlediği Suriye politikası tamamen İsrail'e hizmet etmiştir. #TurkishArmy 👉</t>
  </si>
  <si>
    <t>https://youtu.be/7UXIiGLKT0Q</t>
  </si>
  <si>
    <t>Mustafa Kemal #Atatürk hayranı🇹🇷 Çağdaş,Demokrat ve Laik T.C. Muhafızı - Bilim ve Akıl Kazanacak.. Tweetlerimden dolayı korkacak değilim..Sende korkma..!!!</t>
  </si>
  <si>
    <t>Mustafa İçipek</t>
  </si>
  <si>
    <t>https://pbs.twimg.com/media/EGb4RZgX0AANbCi.jpg</t>
  </si>
  <si>
    <t>İsmini hatırlayan son kişi de öldüğünde hiç dogmamış olacaksın.</t>
  </si>
  <si>
    <t>https://instagram.com/mustafaicipek1?igshid=vmyo35k8w1ey</t>
  </si>
  <si>
    <t>Mrh Raju</t>
  </si>
  <si>
    <t>Fashion Web Header Design For Any Kind Of Design Contact Me -  #Webdesign #headerdesign #Graphic #designer #WALvFIJ #StrayKids_DoubleKnot #RebekahVardy #TurkishArmy #dribbble #fiverr #upwork #dribbleshot</t>
  </si>
  <si>
    <t>http://bit.ly/2nHWY9A</t>
  </si>
  <si>
    <t>https://pbs.twimg.com/media/EGb4PjyX0AAgF0i.jpg</t>
  </si>
  <si>
    <t>Dhaka,Bangladesh</t>
  </si>
  <si>
    <t>Hi There I'm Mrh Raju. #Digital_Marketer,#Graphics_Designer,#Video_Editor,#Photographer,Color Expert Also. I Have 4 Years professional Experience.</t>
  </si>
  <si>
    <t>https://www.fiverr.com/mrhraju/design-eyecatching-youtube-thumbnail-within-24-hours</t>
  </si>
  <si>
    <t>İlkay Cebeci</t>
  </si>
  <si>
    <t>Vur Pençe-i Âlî'deki şemşîr aşkına Gülbang-ı âsmânı tutan pîr aşkına Tanrının adalet kırbacı Ey şanlı ordu, Vur Türk Devleti ve Türk milleti aşkına... #TurkishArmy</t>
  </si>
  <si>
    <t>“Ağaç kovuğundan çıkmadık, gökten zembille inmedik. Tesadüfen olmadık, toplamayla oluşmadık. Tarihte Türk’tük, halde Türk’üz, istikbalde de Türk olacağız.”</t>
  </si>
  <si>
    <t>Elif Sara BOZKURT</t>
  </si>
  <si>
    <t>dualarımız ordumuza .. #TurkishArmy</t>
  </si>
  <si>
    <t>ERDOĞAN ve KIRŞEHİR kırmızı çizgim !</t>
  </si>
  <si>
    <t>Muslim Selman</t>
  </si>
  <si>
    <t>🍍 MİLLİ ŞUUR ÇOK ÖNEMLİ, GENÇLERİMİZ ACİLEN BİLİNÇLENDİRİLMELİ. 🍍  🌀 #DMDduyulsundiye Stefano Pioli Mustafa İslamoğlu #TurkishArmy İran Cumhurbaşkanı Ruhani gabardin yarandırmak profilci açık zaman 🌀</t>
  </si>
  <si>
    <t>pic.twitter.com/FAafeTdR5f</t>
  </si>
  <si>
    <t>Bartın</t>
  </si>
  <si>
    <t>Olmayacak bir şeyi zorlamaya calışmaktansa hayatına devam etmek daha iyi</t>
  </si>
  <si>
    <t>Serap Doğan</t>
  </si>
  <si>
    <t>Güvenli bölge oluşturacağız, kalıcı konut ve yaşam alanları oluşturacağız ama Türkiye'deki Suriyelilerin gitmesi gönüllü olacak, kim gider ya, böyle bir adım atıyorsan kaçak yollardan ülkeye giren tüm Suriye'liler zorunlu bu bölgeye gönderilmelidir. #TurkishArmy</t>
  </si>
  <si>
    <t>Dünya İnsanı, Objektif, erdemli bir insan olmak için çaba harcayan bir vatandaş...</t>
  </si>
  <si>
    <t>Son Kuş Bükücü</t>
  </si>
  <si>
    <t>İmamoğlu'dan "Gol nasıl atılır" adlı ders😂 Tevfik Göksu #EmineBulut #KendineGelPezeberk Divan Restaurant #TurkishArmy</t>
  </si>
  <si>
    <t>pic.twitter.com/9Xf8OiqkSD</t>
  </si>
  <si>
    <t>Emmanuel Macron PKK terör örgütünün çatı oluşumu Suriye Demokratik Güçleri'nin sözcüsüyle dün bir araya geldi. Sizi kazdığınız çukurlara Suriye’de gömdüğümüzde Macron artık taziye mesajı yayınlar @cmoc_sdf #TurkishArmy</t>
  </si>
  <si>
    <t>Doğukan 🇹🇷 #ZeytinDalı</t>
  </si>
  <si>
    <t>Okul Açık Amerika’ya selam söylüyor 😉 @realDonaldTrump #TurkishArmy</t>
  </si>
  <si>
    <t>pic.twitter.com/5B3YxK0ijn</t>
  </si>
  <si>
    <t>hiç.</t>
  </si>
  <si>
    <t>https://www.instagram.com/laciseytan/</t>
  </si>
  <si>
    <t>Onur Kaya</t>
  </si>
  <si>
    <t>HER TÜRK ASKER DOĞAR... SAVAŞMAKTAN KAÇINIR KİM VARSA ALNI KARA... #TurkishArmy</t>
  </si>
  <si>
    <t>pic.twitter.com/Dws9JrBGQJ</t>
  </si>
  <si>
    <t>Türk'e Taraf</t>
  </si>
  <si>
    <t>Yer yüzünde başka bir ırk yoktur ki savaşmaktan zevk alsın,Savaş Türk’ün Düğünüdür.#turkisharmy</t>
  </si>
  <si>
    <t>https://pbs.twimg.com/media/EGb4IWUWoAE84QX.jpg</t>
  </si>
  <si>
    <t>Gündem ve Politika.</t>
  </si>
  <si>
    <t>Yalancının Mumu</t>
  </si>
  <si>
    <t>@MSTanrikulu Yazıklar olsun ortaya çıkınca hemen trol iftra şu bu ne biçim insansınız ya herkes izledi #deprem #ChpZihniyeti #CHP #TurkishArmy</t>
  </si>
  <si>
    <t>FETÖ - KATALOG ABLALAR - KANDİLİN UŞAKLARI-PELİKANCILAR - GÜLCÜLER - İP PARTİNİN ÇAKMA ÜLKÜCÜLERİ -AK PARTİ GÖRÜNÜMLÜ AKPLİLER HER GÜN BİRİNİZİ BİR GÜN HEPİNİZİ</t>
  </si>
  <si>
    <t>Asuman Sert Erturan</t>
  </si>
  <si>
    <t>Allah görünür, görünmez bütün tehlikelerden korusun. Allah muzaffer eylesin. #BarışPınarıHarekatı #OrdumuzunYanındayız #TurkishArmy RT @seldasoyer_: Türklerin Suriye'de ne işi var diyenler iyi izle! - Türkler, müslümanlar gelmişler. - Allah'a şükür YPG/PKK kopeklerinden kurtulduk. - Ne namus bıraktılar, ne çocuk bıraktılar. - 8 çocuğum vardı hepsi gitti. Hiçbiri kalmadı. Askerin tesellisine bakın 🇹🇷 #TurkishArmy</t>
  </si>
  <si>
    <t>İzmit</t>
  </si>
  <si>
    <t>Kadem Kocaeli Temsilcisi | İşletmeci | Kocaeli Üniversitesi | Galatasaray</t>
  </si>
  <si>
    <t>SS</t>
  </si>
  <si>
    <t>Yakın tarihin en muazzam Ordu fotoğrafı 👏🏻 #TurkishArmy</t>
  </si>
  <si>
    <t>https://pbs.twimg.com/media/EGb4FTKXYAMby-A.jpg</t>
  </si>
  <si>
    <t>Hayatın Anlamı GALATASARAY / Atatürk İlke ve devrimlerinin yılmaz savunucusu / Şahsına münasır /</t>
  </si>
  <si>
    <t>Osman Celep</t>
  </si>
  <si>
    <t>Dᴇɴɪᴢɪɴ Çᴏᴄᴜᴋʟᴀʀı Hᴇᴍ Asɪ Hᴇᴍ Mᴀᴠɪᴅɪʀ /MUSTAFA KEMAL ATATÜRK / Aғʏᴏɴ / 🇹🇷</t>
  </si>
  <si>
    <t>Muhammet Akkay</t>
  </si>
  <si>
    <t>Vur şanlı silahınla gönül mülkü düzelsin; Sen öldürüyorken de vururken de güzelsin! #TurkishArmy @TSKGnkur</t>
  </si>
  <si>
    <t>Nhbvü Electrical/Electronics Engineer</t>
  </si>
  <si>
    <t>İbrahim YAVUZ</t>
  </si>
  <si>
    <t>Hewaller eteklerini giysin. Kocaları geldi. #TurkishArmy</t>
  </si>
  <si>
    <t>Wordpress Specialist - Selçuk Üniversitesi - Bilişim Emektarı - Blog Yazarı - Kampsever.</t>
  </si>
  <si>
    <t>Volkan Uzun</t>
  </si>
  <si>
    <t>https://pbs.twimg.com/media/EGb39U_WkAAJXjm.jpg</t>
  </si>
  <si>
    <t>Nevro</t>
  </si>
  <si>
    <t>kemal tanrıverdi</t>
  </si>
  <si>
    <t>Merhametin en büyük örneği #TurkishArmy</t>
  </si>
  <si>
    <t>https://pbs.twimg.com/media/EGb384_XYAAA32r.jpg</t>
  </si>
  <si>
    <t>Kars Merkez, Kars</t>
  </si>
  <si>
    <t>Yazılışı Kars'lı Okunuşu Garssslllııı</t>
  </si>
  <si>
    <t>Hasan Kartas</t>
  </si>
  <si>
    <t>#TurkishArmy tabutlarınızı hazırlayın geliyor aslanlarımız 🤲🏻🤲🏻🇹🇷🇹🇷🧿 RT @ravenn444: Yüce Rabbim...! Türk Ordusunu Türk Askerini koru #TurkishArmy</t>
  </si>
  <si>
    <t>https://twitter.com/ravenn444/status/1181852412673495040</t>
  </si>
  <si>
    <t>https://pbs.twimg.com/media/EGbIejVWsAAfECb.jpg</t>
  </si>
  <si>
    <t xml:space="preserve">HERŞEY  KARAKARTAL </t>
  </si>
  <si>
    <t>Coșkun IRMAK ''AKCOJR''</t>
  </si>
  <si>
    <t>🇹🇷 İnanıyorum. #TurkishArmy</t>
  </si>
  <si>
    <t>🇹🇷 IESU RTP 🎓 One day I will be at the place I always wanted to be... ♑ Oğlak ♑</t>
  </si>
  <si>
    <t>http://instagram.com/akcojr</t>
  </si>
  <si>
    <t>NWO</t>
  </si>
  <si>
    <t>#TurkishArmy Al-Baghdadi progressed from the Muslim Brotherhood’s Salafism to the violent Salafism of al-Qaeda, ultimately breaking from al-Qaeda to establish ISIS. Al-Baghdadi served time in Camp Bucca, a U.S. detention center in Iraq, later formed ISIS</t>
  </si>
  <si>
    <t>Anıl</t>
  </si>
  <si>
    <t>Çomü anlmrcc 🎃</t>
  </si>
  <si>
    <t>Selman BAYRAK</t>
  </si>
  <si>
    <t>Arkadaşlar mini bir anket yapıyorum.Türkiye Suriye’ye girmeli mi girmemeli mi ? #TurkishArmy</t>
  </si>
  <si>
    <t>19 Mayıs Üniversitesi Mezunu,Boğaziçi perakende mezunu İstanbul üniversitesi (öğrenci)</t>
  </si>
  <si>
    <t>ısla</t>
  </si>
  <si>
    <t>Yol ver, selam dur kahraman Türk Askeri geliyor.🙏🙏🙏🙏🇹🇷🇹🇷🇹🇷🇹🇷🇹🇷🇹🇷 #TurkishArmy</t>
  </si>
  <si>
    <t>Karşıyaka, İzmir</t>
  </si>
  <si>
    <t>Cihan Çelik</t>
  </si>
  <si>
    <t>pic.twitter.com/izLgf5nyWh</t>
  </si>
  <si>
    <t>istanbul 🇹🇷</t>
  </si>
  <si>
    <t>Av.Sinan KILIÇ</t>
  </si>
  <si>
    <t>Nedenmiş o? IŞİD'in babası biz miyiz? Asıl siz doğurduklarınıza sahip çıkın ! #TurkishArmy RT @bbcturkce: Trump: Türkiye, Avrupa'nın geri almayı reddettiği IŞİD savaşçılarının sorumluluğunu üstlenmek zorunda</t>
  </si>
  <si>
    <t>https://twitter.com/bbcturkce/status/1181903423475716101
https://bbc.in/2nuVMpT</t>
  </si>
  <si>
    <t>https://pbs.twimg.com/media/EGb25n5XUAA6kU8.jpg</t>
  </si>
  <si>
    <t>Pençe-i Âlî'deki şemşîr aşkına</t>
  </si>
  <si>
    <t>Adalet-Eşitlik-Özgürlük</t>
  </si>
  <si>
    <t>2ncielkitap</t>
  </si>
  <si>
    <t>#BarisPinariHarekati #BarısPınarlarıHarekatı #TurkishArmy #turkmilletiordusununyaninda</t>
  </si>
  <si>
    <t>https://pbs.twimg.com/media/EGb3zW1WoAA6GOP.jpg</t>
  </si>
  <si>
    <t>Kitap okuyun, hediye edin..</t>
  </si>
  <si>
    <t>Berk Öcbe</t>
  </si>
  <si>
    <t>Allah askerlerimizi korusun ve onlardan razı olsun Yüce Rabbim ayaklarına taş değdirmesin #TurkishArmy</t>
  </si>
  <si>
    <t>Fen ve Teknoloji Öğretmeni</t>
  </si>
  <si>
    <t>ebu-oğsan</t>
  </si>
  <si>
    <t>Coming Up 🎯 #TurkishArmy @PFPAOfficial</t>
  </si>
  <si>
    <t>https://pbs.twimg.com/media/EGb3yFiWoAAaCbE.jpg</t>
  </si>
  <si>
    <t>sorry for my bad England @GalatasaraySK</t>
  </si>
  <si>
    <t>http://instagram.com/oguzhanaje</t>
  </si>
  <si>
    <t>G Ü L P E R İ 👑</t>
  </si>
  <si>
    <t>You should be afraid of the #TurkishArmy</t>
  </si>
  <si>
    <t>pic.twitter.com/iMUkHxC4hZ</t>
  </si>
  <si>
    <t>Piyano, Beats, Trap, Enstrümantal, Film ve Dizi Müziği, Üreticisi. Youtube Kanalıma göz atabilirsin</t>
  </si>
  <si>
    <t>https://www.youtube.com/watch?v=82ls0wyffIc</t>
  </si>
  <si>
    <t>Misli 🚀</t>
  </si>
  <si>
    <t>Fransa da ypg/pkk ya destek vermiş. Daeşle mücadele ediyorlarmış, bunlar birbirlerinin karısı olmuş yataktan çıkmıyorlar. Bekleyin geliyoruz 🤘#TurkishArmy</t>
  </si>
  <si>
    <t>https://pbs.twimg.com/media/EGb3sxsWoAEOPh6.jpg</t>
  </si>
  <si>
    <t>Gelip geçici</t>
  </si>
  <si>
    <t>Hiçbir partiye mensup değilim, Türk milleti mensubuyum. #FetihAteşi #F16 #SoloTürk #Pars #Volvo #GALATASARAY #Yengeç #HerŞeyÇokGüzelOlacak</t>
  </si>
  <si>
    <t>Bekir Dilekci</t>
  </si>
  <si>
    <t>Vatan için, ümmet için yollara düşen Mehmetçik her daim muzaffer olsun. (amin) #TurkishArmy</t>
  </si>
  <si>
    <t>https://pbs.twimg.com/media/EGb3sqhWsAETT_-.jpg</t>
  </si>
  <si>
    <t>İstanbul/Türkiye</t>
  </si>
  <si>
    <t>Var edildiğine hamd etmek ve ardında hoş bir sada bırakmak için yaşamalısın.</t>
  </si>
  <si>
    <t>Yusuf Gel</t>
  </si>
  <si>
    <t>#TurkishArmy Koç yiğitlik nam olmuş , kırk yiğidin kırkına , rabbim kuvvet versin, kürşadların ırkına!</t>
  </si>
  <si>
    <t>murat oncell</t>
  </si>
  <si>
    <t>Vatanına göz dikeni ez oglum😉 #TurkishArmy</t>
  </si>
  <si>
    <t>pic.twitter.com/96fgMB7qOJ</t>
  </si>
  <si>
    <t>Elif_byt</t>
  </si>
  <si>
    <t>Türk beklenendir; herzaman 🇹🇷#TurkishArmy</t>
  </si>
  <si>
    <t>kitap 📖 kahve ☕️ huzur✌🏻</t>
  </si>
  <si>
    <t>Yusuf Can</t>
  </si>
  <si>
    <t>https://pbs.twimg.com/media/EGb3p9eWkAIhXi2.jpg</t>
  </si>
  <si>
    <t>Aranızdan Biri Biraz Çocuksu Biraz hüzünlü Bir o Kadarda neşeli .</t>
  </si>
  <si>
    <t>Serap Zekeriyaoğlu</t>
  </si>
  <si>
    <t>Ülkemiz Türk ülkesi, Aşık eder herkesi Üstümüzden eksilmesin Al bayrağın gölgesi. #TurkishArmy</t>
  </si>
  <si>
    <t>https://pbs.twimg.com/media/EGb3pDoXUAAZO_e.jpg</t>
  </si>
  <si>
    <t>Hayatın Anlamı GALATASARAY...</t>
  </si>
  <si>
    <t>Yücel</t>
  </si>
  <si>
    <t>#SokaklardaDumanAltıOluyoruz. Tevfik Göksu #TurkishArmy #KendineGelPezeberk #EmineBulut #CheGuevara #tubayayardımedin Sezgin Tanrıkulu Merih Demiral Mustafa İslamoğlu #StandWithTheKurds #DuraklardaVeSokaklardaYürürkenSigaraİçmekYasaklansın</t>
  </si>
  <si>
    <t>Münir Kosif</t>
  </si>
  <si>
    <t>Kürt bir amcanın TRT Habere gözyaşları içinde söyledikleri, işte biz bu amcalar için gidiyoruz.. Seferimiz mübarek olsun #TurkishArmy</t>
  </si>
  <si>
    <t>pic.twitter.com/wXhUzLqs1n</t>
  </si>
  <si>
    <t>Nous commençons à peine..</t>
  </si>
  <si>
    <t>Yok Operasyondu yok Ekonomik ambargoydu derken olan yine bizim damata olacak...! Tamda ekonomiyi düze cıkarmışken Damatımız yapılırmı bu be Turuncu kafa Trump.. Ne çektin bee Damatt 😏  #TurkishArmy</t>
  </si>
  <si>
    <t>pic.twitter.com/nKDZp4vfi6</t>
  </si>
  <si>
    <t>Kuzeyli , Kara Mizahlı adam . bu Maskenin altında espri değil, kinâye ,Hiciv ironi vardır.</t>
  </si>
  <si>
    <t>UmutMan☇</t>
  </si>
  <si>
    <t>👊#TurkishArmy</t>
  </si>
  <si>
    <t>09.01🌹</t>
  </si>
  <si>
    <t>Ben Şero</t>
  </si>
  <si>
    <t>https://pbs.twimg.com/media/EGb3lRQWoAAWUA9.jpg</t>
  </si>
  <si>
    <t>two roads diverged in the woods and i, i took the one less traveled by. and that has made all the difference.</t>
  </si>
  <si>
    <t>bi-garip-dr</t>
  </si>
  <si>
    <t>Vurun kahpelere ,,yankısı anadoludan duyulsun #TurkishArmy</t>
  </si>
  <si>
    <t>Dont worry follow me👠 🇹🇷OKUR@YAZAR🇹🇷 🔞 deli@sever🔞</t>
  </si>
  <si>
    <t>leman hamzaoglu</t>
  </si>
  <si>
    <t>🔄 TERÖRÜN HAYAT DAMARI İLMİ MÜCADELE İLE KESİLİR ❗️ 🔄  🍤 #SağlıkYönetimineAtamaŞart Divan Restaurant #çarşamba #TurkishArmy İran Cumhurbaşkanı Ruhani rasatçı hava şartları köşe minderi 🍤</t>
  </si>
  <si>
    <t>pic.twitter.com/pSeGszm2vV</t>
  </si>
  <si>
    <t>Birini kötulemeye calışırsan asla amacına ulaşamazsın cunku başkasına surmek istedigin camuraönce kendin bulanırsın</t>
  </si>
  <si>
    <t>callsedon</t>
  </si>
  <si>
    <t>Kızına İşkence Yapan Baba Hakkında Karar Verildi #TurkishArmy #EmineBulut #çarşamba  @callsedon aracılığıyla</t>
  </si>
  <si>
    <t>https://callsedon.com/kizina-iskence-yapan-baba-hakkinda-karar-verildi/</t>
  </si>
  <si>
    <t>Yeni Şeyler Öğrenmek İçin Yukarı Kaydırın! Doğru ve Güvenilir Bilgiyi Sizlerle Buluşturuyoruz. Takipte Kalın!</t>
  </si>
  <si>
    <t>https://www.callsedon.com</t>
  </si>
  <si>
    <t>Büyük sermaye uzun yıllar önce gidişata tepkisini koymalıydı. İktidar partisinin keyfi uygulamaları işlerine geldi. Büyüdüler, güçlendiler. Ama artık kılçıklar onlara da batıyor. Daha çok da batacaktır, emin olun. Sonun başlangıcındayız #TurkishArmy</t>
  </si>
  <si>
    <t>Muktefii 🌩️🇹🇷 🇵🇸🕊️</t>
  </si>
  <si>
    <t>#TurkishArmy Sınır hattında bir köyde kürt kökenli annenin Mehmetçik'ten isteği "Pkkyı ezin" Allah'u Ekber</t>
  </si>
  <si>
    <t>pic.twitter.com/yaDNwRzzDy</t>
  </si>
  <si>
    <t>Yeni İSLÂM'a Değil..!! Yeniden İSLAM'a MUHTACIZ... #15_Temmuz Unutursak Kanımız kurusun Karanlığa Işık💡Tutan Hep Birileri Olmalı</t>
  </si>
  <si>
    <t>x</t>
  </si>
  <si>
    <t>#WALvFIJً 8M2 ُ🔥#StrayKids_DoubleKnotً 8M2 ُ🔥#SağlıkYönetimineAtamaŞartً 8M2 ُ🔥#TurkishArmyً 8M2 ُ🔥#Halleً 8M2 ُ🔥</t>
  </si>
  <si>
    <t>https://ift.tt/2VcrPHI</t>
  </si>
  <si>
    <t>kuwait</t>
  </si>
  <si>
    <t>Erdi Tunç</t>
  </si>
  <si>
    <t>Türk olmak zordur, çünkü dünya ile savaşırsın. Türk olmamak daha zordur, çünkü Türk ile savaşırsın.🇹🇷🇹🇷🇹🇷 #TurkishArmy</t>
  </si>
  <si>
    <t>https://pbs.twimg.com/media/EGb3fbFX0AAT7qn.jpg</t>
  </si>
  <si>
    <t>Mustafa Kemal ATATÜRK ! 🐺🇹🇷 𐱅𐰇𐰼𐰰🇹🇷</t>
  </si>
  <si>
    <t>🇹🇷Alp-eren🇹🇷</t>
  </si>
  <si>
    <t>Pis katiller küçücük çocukları öldürdünüz utanmadan resimlerini kullanıyor sunuz! #BarisPinariHarekati #TurkishArmy RT @BagerMordem3: Direnecek, güneşin doğdugu yerdeki ateşin asi çocukları... #RojavaKazanacak</t>
  </si>
  <si>
    <t>https://twitter.com/BagerMordem3/status/1181647309395955715</t>
  </si>
  <si>
    <t>https://pbs.twimg.com/media/EGYNyxoXkAAeKmj.jpg</t>
  </si>
  <si>
    <t>Sünni MÜSLÜMAN Türkmen Yörüğü Silifke BAŞKAN RECEP TAYYİP ERDOĞAN 🇹🇷🧕 Evli💑</t>
  </si>
  <si>
    <t>🇹🇷🇹🇷 ASLANBEY🇹🇷🇹🇷</t>
  </si>
  <si>
    <t>Şu kopan fırtına TÜRK ordusudur, Ya RABBİ SENİN uğrunda ölen Budur Ya RABBİ ta ki yükselsin, Ezanlar'la müeyyed namın galip et, çünkü bu son ordusudur İSLAMIN.. #TurkishArmy</t>
  </si>
  <si>
    <t>https://pbs.twimg.com/media/EGb3cmTXkAACYLq.jpg</t>
  </si>
  <si>
    <t>Fazla Söze Gerek Yok; Galatasaray Aşığı Vatan Sevdalısı Vessalam.🇹🇷</t>
  </si>
  <si>
    <t>Gürtan Sürmen</t>
  </si>
  <si>
    <t>EnsarVakfındaki olaya mal bulmuş mağribi gibi atlayanlar bu tecavüz suçunu işleyen onbinlerce ayyaşı neden görmezden geliyor? Şu yazılan tweetleri bir yabancı görse Kuranın tecvüzü tşvik ettiğini sanır.İslamda tecavüzün cezası idamdır.! #TurkishArmy</t>
  </si>
  <si>
    <t>Anlamayanlar için dilimi, vefasızlar için yüreğimi yordum!</t>
  </si>
  <si>
    <t>Murat Kılıçarslan</t>
  </si>
  <si>
    <t>Korku nedir bilmeyiz #turkisharmy</t>
  </si>
  <si>
    <t>https://pbs.twimg.com/media/EGb3Zh-XkAAiBCI.jpg</t>
  </si>
  <si>
    <t>Beşiktaş çArşı</t>
  </si>
  <si>
    <t>SELÇUK K.</t>
  </si>
  <si>
    <t>Merhametin vicdanın tek sesi Türk ordusu .. #TurkishArmy</t>
  </si>
  <si>
    <t>https://pbs.twimg.com/media/EGb3ZTjXoAE246B.jpg</t>
  </si>
  <si>
    <t>İMANIM .ÜLKEM .DEĞERLERİM .DAVAM. Kırmızı cizgimdir..Sade bir ERDOĞAN gönüllüsü..</t>
  </si>
  <si>
    <t>Mustafa Demirbaş</t>
  </si>
  <si>
    <t>💪💪💪 #TurkishArmy</t>
  </si>
  <si>
    <t>19 Mayıs Üniversitesi</t>
  </si>
  <si>
    <t>#Húvel bâki#</t>
  </si>
  <si>
    <t>#TurkishArmy ABD BAŞKANI TRUMP 50 ASKERİMİZİ GERİ ÇEKTİK DEMİŞ,ONBİNLERCE SİLAHI 50 ASKER İÇİNMİ SURİYE SINIRINA YIĞDIN BİZİ DEĞİLDE KENDİNİ VE ABD HALKINI APTAL YERİNE KOYUYOR SENİN KARŞINDA BİNLERCE YILLIK ASİL BİR DEVLET VAR ZAVALLI</t>
  </si>
  <si>
    <t>M.H.K.T</t>
  </si>
  <si>
    <t>Inşallah başımızdakiler iyi önlem ve plan yapmıştır suriyede rezil olmayalım. #TurkishArmy</t>
  </si>
  <si>
    <t>.....</t>
  </si>
  <si>
    <t>CmSltn Ruşendil</t>
  </si>
  <si>
    <t>Ey şimdi süzgün, rüzgârlarda dalgalı; Barışın güvercini, savaşın kartalı Yüksek yerlerde açan çiçeğim. Senin altında doğdum. Senin altında öleceğim. Allah Ordumuzu muzaffer eylesin. #TurkishArmy #carsamba #çarşamba</t>
  </si>
  <si>
    <t>https://pbs.twimg.com/media/EGb3VjBWwAA0V_m.jpg</t>
  </si>
  <si>
    <t>Sevgi Bilgeliktir. Nefret ise Aptallık... Şahsına Münhasır Bir Sinoplu/SEV Sinop Eğitim Vakfı/SİNDEF Sinop Dernekleri Fed/Malî Müşavir/ Y.Lisans/FB</t>
  </si>
  <si>
    <t>Türk Irkı Sagolsun</t>
  </si>
  <si>
    <t>🤘🏼🤘🏼🤘🏼 #TurkishArmy</t>
  </si>
  <si>
    <t>Edremit, Balıkesir</t>
  </si>
  <si>
    <t>𐱅𐰼𐰇𐰰 Tengri Biz Menen</t>
  </si>
  <si>
    <t>ERTUĞRUL ATASEVEN</t>
  </si>
  <si>
    <t>Gerektiği yerde gerekeni yapan Kahraman Türk Ordusu #TurkishArmy</t>
  </si>
  <si>
    <t>https://pbs.twimg.com/media/EGb3MUcWkAA1EbH.jpg</t>
  </si>
  <si>
    <t>https://www.instagram.com/ertugrulataseven/</t>
  </si>
  <si>
    <t>karadenizli</t>
  </si>
  <si>
    <t>Çok bekledin biliyorum ama hasret sona erdi İnşallah O Topraklar Bizimdi Bizim olacak. #TurkishArmy</t>
  </si>
  <si>
    <t>https://pbs.twimg.com/media/EGb3Kl4X0AAYGyO.jpg</t>
  </si>
  <si>
    <t>Salih GÜNER</t>
  </si>
  <si>
    <t>Belki de tarih coğrafyaya dar geliyordur. Belki de bir fırtına kopar Misak-ı milli yeniden doğar !!! #TurkishArmy</t>
  </si>
  <si>
    <t>Kocaeli</t>
  </si>
  <si>
    <t>🇹🇷💛❤️👍😎🦁 Sempatik,güler yüzlü,anlayışlı,az konuşan,öz güvenli,az düşünen olun. Benim gibi</t>
  </si>
  <si>
    <t>Hüradam73⚡⚡</t>
  </si>
  <si>
    <t>Uykusuzum arkadaşlarım gece beşikmi salladın diyor Evet salladım diyorum ciddiye almıyorlar gülüyorlar acı ama gerçek şaka yapmıyorum cidden beşik sallıyorum arkadaşlar Siz yine de şaka yaptığımı bilin ama #TurkishArmy</t>
  </si>
  <si>
    <t>Cudi dağının aslanları...</t>
  </si>
  <si>
    <t>FAK’A BASTIK</t>
  </si>
  <si>
    <t>#7 bölüm yayında #HalukLevent #TurkishArmy #Amerika #kıskanç #köpek #cinayet #baba #oğul Spotify:  SoundCloud:  YouTube:</t>
  </si>
  <si>
    <t>https://open.spotify.com/episode/7dcv5jUuTAIH0K617hlGdf?si=Hq0gjZdWTbWhx8BA24ppzQ
https://soundcloud.com/altefdortpodcast/faka-bastik-7-haluk-levent-turkisharmy-kiskanc-kopek-avrupada-turk-kasabasi
https://youtu.be/ZAyUU5-WVCg</t>
  </si>
  <si>
    <t>Boş yapanlar:🐼@0nnuurr 🐈@brkkrgl Spotify:https://open.spotify.com/show/2cUYilh1B4mrqBmKeQBw1v?si=mOHWuVloT_SP_jMZmUwv0w</t>
  </si>
  <si>
    <t>http://soundcloud.com/altefdortpodcast</t>
  </si>
  <si>
    <t>⭐YaKuP⭐</t>
  </si>
  <si>
    <t>Huzurumuzun ve güvenliğimizin teminatı şanlı ordumuza Barış Pınarı Harekatı’nda rabbim muvaffakiyetler versin. Dualarımız ve yüreğimiz sizlerle! #TürkMilletiOrdusununYanında 🇹🇷 #TurkishArmy</t>
  </si>
  <si>
    <t>https://pbs.twimg.com/media/EGb3I97X0AAsW3T.jpg</t>
  </si>
  <si>
    <t>Rabbim,seni sevene sevdir beni..</t>
  </si>
  <si>
    <t>Ercan Açar</t>
  </si>
  <si>
    <t>Secde ne güzel bir şey. Yere fısıldıyorsun. Arş-ı ala duyuyor.  #TurkishArmy</t>
  </si>
  <si>
    <t>https://pbs.twimg.com/media/CzqSRDbWQAATkP4.jpg</t>
  </si>
  <si>
    <t>"Plan your life like you will live forever, and live your life like you will die the next day."</t>
  </si>
  <si>
    <t>Katie</t>
  </si>
  <si>
    <t>#WALvFIJً 2EF ُ🔥#StrayKids_DoubleKnotً 2EF ُ🔥#SağlıkYönetimineAtamaŞartً 2EF ُ🔥#TurkishArmyً 2EF ُ🔥#Halleً 2EF ُ🔥</t>
  </si>
  <si>
    <t>https://ift.tt/2ASHYJ0</t>
  </si>
  <si>
    <t>Öznur</t>
  </si>
  <si>
    <t>Yüce Rabbim korusun hepinizi #TurkishArmy</t>
  </si>
  <si>
    <t>Home VAN</t>
  </si>
  <si>
    <t>⚡️Burak ERİŞ7️⃣7️⃣ ⚡️</t>
  </si>
  <si>
    <t>İran Hükümet yetkilisi pardon kuklası açıklama yapmış 💩 #BarisPinariHarekati #turkmilletiordusununyaninda #TurkishArmy RT @mustafaislamogl: savaş için ne düşündüğümü soruyorlar. ben müslümanım. islam “barış”, müslüman “barışa adanmış insan” demektir. islama hizmet, barışa hizmettir. savaşın galibi bile mağlup, barışın mağlubu bile galiptir. buna inanır, bunu söylerim.</t>
  </si>
  <si>
    <t>https://twitter.com/mustafaislamogl/status/1181666154689044480</t>
  </si>
  <si>
    <t>B.evler-İstanbul / Skopye</t>
  </si>
  <si>
    <t>Hayatı önce kendin için yaşa ki, o hayat sevdiklerine zindan olmasın!</t>
  </si>
  <si>
    <t>♔ Aykut YILDIZ</t>
  </si>
  <si>
    <t>#TurkishArmy 🇹🇷🤘♥️🤲🌹</t>
  </si>
  <si>
    <t>https://www.instagram.com/p/B3ZZVYmoVny/?igshid=1gi9hwwrmku6j</t>
  </si>
  <si>
    <t>Keçiören, Ankara / TURKEY</t>
  </si>
  <si>
    <t>Sen, benim bu dünyadaki ünümü duydun mu hiç? Ben bir hiçim, ''HİÇ''. / #ϜϓſϞ #MKA #FB #HEPAR</t>
  </si>
  <si>
    <t>https://www.youtube.com/channel/UC0XxohTXaBwfKicZmHCeYXA</t>
  </si>
  <si>
    <t>Doğukan Çavuş</t>
  </si>
  <si>
    <t>#TurkishArmy Geliyoruz🇹🇷🇹🇷</t>
  </si>
  <si>
    <t>https://pbs.twimg.com/media/EGb28M6W4AA0hsk.jpg</t>
  </si>
  <si>
    <t>Düzce Merkez, Düzce</t>
  </si>
  <si>
    <t>Düzce Üniversitesi</t>
  </si>
  <si>
    <t>Kalel</t>
  </si>
  <si>
    <t>Operasyon hakkında ise... -Irak destek veriyor mu? -Suriye'yi doğrudan ilgilendiren bir konuda Suriye'nin toprak bütünlüğü hamaseti ile Suriye toprağına girmenin anlamı ne? -Rusya destek veriyor mu? -Nato destek veriyor mu? #TurkishArmy</t>
  </si>
  <si>
    <t>👁Meraklı 👣Gezgin ⚖️Adalet📖Okur 📝Yazar ☪️Milli #Uludağ Ünv/ Sanat Tarihi Istanbul ünv/Tarih</t>
  </si>
  <si>
    <t>https://www.facebook.com/arslan.tugtegin</t>
  </si>
  <si>
    <t>Ümit Ağkıran</t>
  </si>
  <si>
    <t>Ne CAN yakmaktır gayemiz, Ne HUZUR bozmaktır emelimiz! Lakin ZALİMLE hasımız, Mazlumu himayedir derdimiz... Savaşa hayır diyenler!!! Hani Nerede savaş? Masum ve mazlumların katledildiği bir soykırım var ortada.Türk ordusu ZULME dur demek için Suriye'de. #TurkishArmy</t>
  </si>
  <si>
    <t>1071 Anadolu Harekatı Eğitim Kültür Derneği Genel Başkanı (Devleti Ebed Müddet)</t>
  </si>
  <si>
    <t>Mikail Küçük</t>
  </si>
  <si>
    <t>Ölümü içinde öldürmüş olmak meselesi 🇹🇷 #TurkishArmy #turkmilletiordusununyaninda</t>
  </si>
  <si>
    <t>https://pbs.twimg.com/media/EGb24F4WkAAFWfe.jpg</t>
  </si>
  <si>
    <t>ITU</t>
  </si>
  <si>
    <t>https://www.instagram.com/mikailkucuuk</t>
  </si>
  <si>
    <t>Kemal Acar</t>
  </si>
  <si>
    <t>#çarşamba #TurkishArmy Zaman sağ,sol, ırk, mezhep ayırt etmeden, vatanımızın bekâsı, mümin ve mazlumlar için birlik olma vakti. Sabır ve dua ile...</t>
  </si>
  <si>
    <t>https://pbs.twimg.com/media/EGb226HWkAEKzkW.jpg</t>
  </si>
  <si>
    <t>“Çaysever-Çiftçi”    /Sakarya/</t>
  </si>
  <si>
    <t>Uğradığınız her iyilik Allah'tandır; başınıza gelen her kötülük de kendinizdendir. /NİSÂ 79.Ayet/</t>
  </si>
  <si>
    <t>Selimtiltas</t>
  </si>
  <si>
    <t>https://pbs.twimg.com/media/EGb21AjXYAEgFr0.jpg</t>
  </si>
  <si>
    <t>Oktay Sarıca</t>
  </si>
  <si>
    <t>Seçiminizi demokratik partiler arasında değil nizmlar arasında yapın!  #TurkishArmy</t>
  </si>
  <si>
    <t>https://pbs.twimg.com/media/D98DKf3XUAAhRKy.jpg</t>
  </si>
  <si>
    <t>Acıyı unutuşla silmeyi denemez, tersine onu umut aracılığıyla büyüterek itibarlı kılmaya çalışırdı. -Victor Hugo</t>
  </si>
  <si>
    <t>Totally Blunt ⚛️🏳️‍🌈⚡</t>
  </si>
  <si>
    <t>Cher gibi azılı Türk, Türkiye düşmanlarının Türkiye'ye girişine yasak konmalı. #TurkishArmy RT @cher: Syria &amp; Trump's plan to pull back troops: Everything you need to knowCNN.TRUMPS WELL AWARE OF GENOCIDE THAT HAPPENS AFTER🇺🇸TROOPS ARE PULLED OUT.THIS MAKES ”TRUMP”ACCESSORY 2 KURDISH GENOCIDE BY TURKS RUSSIA,IRAN.I🙏🏻TRUMP NEVER HAS ANOTHER ☮️SECOND</t>
  </si>
  <si>
    <t>https://twitter.com/cher/status/1181854655871164416
https://www.cnn.com/2019/10/07/middleeast/six-questions-syria-us-intl/index.html</t>
  </si>
  <si>
    <t>Aycan Kazbel</t>
  </si>
  <si>
    <t>ordumuzun yanındayız! #TurkishArmy</t>
  </si>
  <si>
    <t>istanbul kadıköy</t>
  </si>
  <si>
    <t>yine mi kader ama artık cidden yeter</t>
  </si>
  <si>
    <t>Political Strategy</t>
  </si>
  <si>
    <t>Millet olarak ordumuzun ve Cumhurbaşkanımızın Yanındayız.. #TurkishArmy</t>
  </si>
  <si>
    <t>-Siyaset-Askeri Strateji Politika Ve Analiz</t>
  </si>
  <si>
    <t>Hülya Okur</t>
  </si>
  <si>
    <t>Duamız Amerika’nın belasını Türklerin elinden bulmasıdır... İsmet Özel #TurkishArmy #CheGuevara #EmineBulut #KendineGelPezeberk</t>
  </si>
  <si>
    <t>Röportaj Yazarı.. Gazeteci.. Edebiyattan beslenir.. Rabıtası İslam... 'Oku, Düşün, Uygula, Neticelendir' Recep Tayyip Erdoğan</t>
  </si>
  <si>
    <t>http://superhaber.tv</t>
  </si>
  <si>
    <t>Genç Tarihçiler🇹🇷</t>
  </si>
  <si>
    <t>Sözde Arap Birliği bizim Suriye'ye operasyon yapmamızı kınamış , Amerikan uşakları sizi ! #TurkishArmy #TürkMilletiOrdusununYanında</t>
  </si>
  <si>
    <t>https://npasyria.com/en/blog.php?id_blog=976&amp;sub_blog=10&amp;name_blog=The+Arab+League+condemns+and+rejects+any+Turkish+incursion+into+Syrian+territories#.XZ2-t14O65c.twitter</t>
  </si>
  <si>
    <t>Tarihe gönül vermiş genç meslektaşların ortak bir çatı altında objektif usuller ışığında tartışma ve fikir alışverişinde bulunabilmeleri gayesiyle kurulmuştur.</t>
  </si>
  <si>
    <t>@okurhulya06 Röportaj Yazarı.. "Kork o mahkemeden ki, Hâkimin kendisi şahittir."(Câfer-i Sâdık r.a.)</t>
  </si>
  <si>
    <t>http://www.superhaber.tv</t>
  </si>
  <si>
    <t>Doğukan Yılmaz</t>
  </si>
  <si>
    <t>Dağlar demirdendi dediler Türk'ün yüreği çeliktendi öğrettik. #BarışPınarı #TurkishArmy</t>
  </si>
  <si>
    <t>https://pbs.twimg.com/media/EGb2qPFWoAAKXIU.jpg</t>
  </si>
  <si>
    <t>Survivormüdürü</t>
  </si>
  <si>
    <t>victory is of believers zafer inananlarındır #TurkishArmy RT @alikeskin_tr: Bismillahirrahmanirrahim İnna fetahna leke fetham mübına #TurkishArmy</t>
  </si>
  <si>
    <t>Çocukyüreklilhan</t>
  </si>
  <si>
    <t>Ünzile Nişancı</t>
  </si>
  <si>
    <t>🖤 #TurkishArmy</t>
  </si>
  <si>
    <t>https://pbs.twimg.com/media/EGb2nU8XkAEjyPq.jpg</t>
  </si>
  <si>
    <t>Faysal Söker</t>
  </si>
  <si>
    <t>Dizi-filmleri geçtim. Üst düzey Irkçıların, solcuların, ateistlerin sex kasetleri ortalıkta gezerken her cinsel taciz olayında dindar kesimi hedef alıp aşağılamak nasıl bir yüzsüzlüktür. Siz yapınca sevap mı oluyor? #TurkishArmy</t>
  </si>
  <si>
    <t>Gazi Üniversitesi</t>
  </si>
  <si>
    <t>umarsizcasina</t>
  </si>
  <si>
    <t>bakın bugün ordumuzun yanında birlik olmamız lazım . BEKARET TARTİSMALARİNİ YAPMANIN SIRASI DEĞİLLLL!!!! EVLENMEK İÇİN BEKAREY ŞARTI SUNANLARA DUYRULURRR !!!!! 🇹🇷🇹🇷🇹🇷🇹🇷🇹🇷🇹🇷🇹🇷🇹🇷🇹🇷🇹🇷🇹🇷🇹🇷 #TurkishArmy</t>
  </si>
  <si>
    <t>sortur</t>
  </si>
  <si>
    <t>@alikeskin_tr #TurkishArmy win</t>
  </si>
  <si>
    <t>hello, good days for you ;)</t>
  </si>
  <si>
    <t>http://feeds.soundcloud.com/users/soundcloud:users:619355622/sounds.rss</t>
  </si>
  <si>
    <t>Duruş Haber</t>
  </si>
  <si>
    <t>Son dakika… Trump’tan bir mesaj daha: Türkiye kesinlikle...  #TurkishArmy Ortadoğu'da</t>
  </si>
  <si>
    <t>https://www.durushaber.com.tr/dunya/son-dakika-trumptan-bir-mesaj-daha-turkiye-kesinlikle-h37877.html</t>
  </si>
  <si>
    <t>Duruş Haber Resmi Twitter Adresi</t>
  </si>
  <si>
    <t>http://www.durushaber.com.tr</t>
  </si>
  <si>
    <t>Anıl kose</t>
  </si>
  <si>
    <t>https://pbs.twimg.com/media/EGb2h68WoAImrRu.jpg</t>
  </si>
  <si>
    <t>http://Instagram.com/anil_koose</t>
  </si>
  <si>
    <t>Büş</t>
  </si>
  <si>
    <t>#savaşahayır diyen totoş götembeşler; Türk'ün "SAVAŞ"ıyla sizin "BARIŞ"ınızdan kurtuldu insanlar🇹🇷 #TurkishArmy</t>
  </si>
  <si>
    <t>pic.twitter.com/eTa3X0Hji8</t>
  </si>
  <si>
    <t>https://www.instagram.com/0busray</t>
  </si>
  <si>
    <t>Hz.Çağrı</t>
  </si>
  <si>
    <t>https://pbs.twimg.com/media/EGb2ahSX0AIVBYI.jpg</t>
  </si>
  <si>
    <t>Onur Gök</t>
  </si>
  <si>
    <t>Hazırlansın tabutluklar , yine girip çıkacağız 🇹🇷 #TurkishArmy</t>
  </si>
  <si>
    <t>https://pbs.twimg.com/media/EGb2a0DWoAMEAoY.jpg</t>
  </si>
  <si>
    <t>Çorum/Ankara Sağlık Bilimleri Üniversitesi TTA 🇹🇷 Dünyada pek bir işimiz yok Beşiktaş'ı sevip gideceğiz .</t>
  </si>
  <si>
    <t>Nermin Durmuş⚡</t>
  </si>
  <si>
    <t>#TurkishArmy an itibariyle ABD 😂 RT @bizadanaliyik: Başkanlık sorusuna alayına gider yaparak cevap veren Mersinli dayı. Ben genel kurmay cumhurbaşkanı başbakanınızım. Hem de amerikanın prezınt prezınım. Ankara beni bulsun!</t>
  </si>
  <si>
    <t>https://twitter.com/bizadanaliyik/status/931495332428607488</t>
  </si>
  <si>
    <t>pic.twitter.com/yjCMePfLrd</t>
  </si>
  <si>
    <t>Türk Dili ve Edebiyatı /Pedagoji Eğitimi /Kamu Yönetimi / Çocuk Gelişimi 😊RİZELİYİZ😊</t>
  </si>
  <si>
    <t>Uğur Dinç</t>
  </si>
  <si>
    <t>#TurkishArmy RT @oart7218: #TurkishArmy will soon liberate N. Syria from neo-marxist narco-gang pkk (rebranded as #ypg #pyd #sdf) and will bring peace and stability to the region 🇹🇷</t>
  </si>
  <si>
    <t>https://twitter.com/oart7218/status/1181902308868853761</t>
  </si>
  <si>
    <t>pic.twitter.com/4qiqKpyCHO</t>
  </si>
  <si>
    <t>Dominican Republic</t>
  </si>
  <si>
    <t>Sniper53</t>
  </si>
  <si>
    <t>KİNG ALWAYS KİNG #TurkishArmy 🇹🇷</t>
  </si>
  <si>
    <t>Rize sevdalısı bir Profesör ..</t>
  </si>
  <si>
    <t>http://www.atmacasm.com</t>
  </si>
  <si>
    <t>Ömer Faruk YEKELER</t>
  </si>
  <si>
    <t>#TurkishArmy #BarışPınarıHarekatı #PeaceSpringOperation</t>
  </si>
  <si>
    <t>Basınevleri, Keçiören</t>
  </si>
  <si>
    <t>Pamukkale Üniversitesi | İktisadi ve İdari Bilimler Fakültesi mezunu | İç Kontrol Yöneticisi | Aile Babası</t>
  </si>
  <si>
    <t>Üstümüze kılıç çekilmedikçe, ülkemize, tebâma cefa edilmedikçe bizden kimseye zarar gelmez. Fatih Sultan Mehmet #TurkishArmy</t>
  </si>
  <si>
    <t>Son sözler yeterince söz söylememiş aptallar içindir</t>
  </si>
  <si>
    <t>OsmanLı Cihad-ı</t>
  </si>
  <si>
    <t>#BarisPinari Mustafa islamoğlu Daha Önce Aziz Şehitlerimizede Yılan Dilini Uzatmıştı. Şimdide Hak oLan askeri Operasyonumuza Savaş Diye Bahsedip Barış Güvercini Kesiliyor. Şeytan Abdnin İSYAN-OĞLU Kukla Grubu Şirketi. #TurkishArmy #ZulumBiteneKadar</t>
  </si>
  <si>
    <t>https://pbs.twimg.com/media/EGb2RvcXkAItUT1.jpg</t>
  </si>
  <si>
    <t>Ehli Sünnet VelCemaat</t>
  </si>
  <si>
    <t>On4 TV</t>
  </si>
  <si>
    <t>İran Cumhurbaşkanı Hasan Ruhani: "Türkiye hükümetinin güney sınırlarıyla ilgili endişeleri var ve endişelenmekte haklıdır. Türkiye'nin güvenlik endişeleri giderilmelidir. Bunun için doğru yol seçilmelidir." ifadelerini kullandı. #TurkishArmy</t>
  </si>
  <si>
    <t>https://pbs.twimg.com/media/EGb2PDhWwAEXA1-.jpg</t>
  </si>
  <si>
    <t>◾️ Medyada yer verilmeyen haber ve içerikleri sizler için paylaşıyoruz!</t>
  </si>
  <si>
    <t>http://www.youtube.com/on4hd</t>
  </si>
  <si>
    <t>Sadettin Toprak</t>
  </si>
  <si>
    <t>pkk ypg pyd sdg deaş hepside aslında islam ve insan düşmanı şerefsizce kan döken kucak kucak gezen kancık sürüleri o korkak emperyalist sahipleriniz bu kadar seviyorsa sizi miamide manhattanda yaşatsın dağlarda köpek gibi besleyeceğine #TurkishArmy #TürkMilletiOrdusununYanında</t>
  </si>
  <si>
    <t>pic.twitter.com/QNLIXknZEN</t>
  </si>
  <si>
    <t>Bayrak ve Ezan tartışılmaz. Reis dedinmi akan sular durur.</t>
  </si>
  <si>
    <t>İbrahim A</t>
  </si>
  <si>
    <t>#TurkishArmy Şu kopan fırtına Türk ordusudur yâ Rabbi. Senin uğrunda ölen ordu, budur yâ Rabbi. Tâ ki yükselsin ezanlarla müeyyed nâmın, Galip et, çünkü bu son ordusudur İslâm'ın!</t>
  </si>
  <si>
    <t>https://pbs.twimg.com/media/EGb2KpOXkAA6lFr.jpg</t>
  </si>
  <si>
    <t>Emre Can</t>
  </si>
  <si>
    <t>https://pbs.twimg.com/media/EGb2K_rWwAAPO4f.jpg</t>
  </si>
  <si>
    <t>http://www.instagram.com/emrecantopuz/</t>
  </si>
  <si>
    <t>1OLAY HABER</t>
  </si>
  <si>
    <t>#TurkishArmy Erdoğan,Putin ile telefonda görüştü</t>
  </si>
  <si>
    <t>https://www.1olay.com/2019/10/erdoganputin-ile-telefonda-gorustu/</t>
  </si>
  <si>
    <t>https://pbs.twimg.com/media/EGb2IvpXoAAWqxn.jpg</t>
  </si>
  <si>
    <t>1OLAY HABER SİTESİ Bağımsız,kendine has,doğru haber sitesi 1olay</t>
  </si>
  <si>
    <t>https://www.1olay.com</t>
  </si>
  <si>
    <t>Cemre Karahan</t>
  </si>
  <si>
    <t>Kapı kapı gezip eşantiyon dağıtarak Laik düzenin hamallığını yapanlara destek vereceğime, kapı kapı gezer İslam'ı bildiğim kadarıyla anlatırım çok daha iyi.. Birincisini menfaati için partiler yapıyor, ikincisini Peygamber Efendimiz(sav) yapmış #BurasıDahaÖnemli #TurkishArmy</t>
  </si>
  <si>
    <t>Çorum, Türkiye</t>
  </si>
  <si>
    <t>Ateş gibi</t>
  </si>
  <si>
    <t>ahmet</t>
  </si>
  <si>
    <t>Anlatmaya gerek yok görüyorsunuz #TurkishArmy</t>
  </si>
  <si>
    <t>BNA</t>
  </si>
  <si>
    <t>#PeaceSpringOperation is not a war since war happens between two countries. This is just a sweeping terrorists away! #TurkishArmy</t>
  </si>
  <si>
    <t>İstanbul, Merkez Köy</t>
  </si>
  <si>
    <t>resmi hesap</t>
  </si>
  <si>
    <t>|| 𝙰𝙻𝙿 𝐎𝐒𝐌𝐀𝐍𝐋𝐈 🔀🇹🇷</t>
  </si>
  <si>
    <t>Sınır Hattında Boşaltılan Bir Köyde Kürt anamız emretti; ONLARI EZİN! #TurkishArmy 🇹🇷</t>
  </si>
  <si>
    <t>pic.twitter.com/N168dsQcth</t>
  </si>
  <si>
    <t>[ 🇹🇷 ] [ ‘La Galibe İllallah’ ] 🔀</t>
  </si>
  <si>
    <t>Burak TÜRKER 🇹🇷🇹🇷🤘🤘🦅🦅</t>
  </si>
  <si>
    <t>#TurkishArmy #TurkMilletiOrdusununYanında</t>
  </si>
  <si>
    <t>pic.twitter.com/5TAieTRgoe</t>
  </si>
  <si>
    <t>Allah'ın yolunda bir kul</t>
  </si>
  <si>
    <t xml:space="preserve"> LA GALİBE İLLALLAH ' Ne için varsan, O'nun için YAŞA 🎈 Ben bilmem 🤲🤲🤲</t>
  </si>
  <si>
    <t>Gndz</t>
  </si>
  <si>
    <t>#TurkishArmy RT @GndzAsi: Bu videoyu dikkatle izleyin biri 3.5 biri 2.5Yaşında iki tane çocuk @InsanHaklariDB @hakim_komite @HayvanHaklar @HayvanOzgurlugu @EmniyetGM @istanbulvalisi1 @SukruGENCBaskan @Vet_Sariyer @SariyerBelediye sizlereSoruyorum buÇocuklrGeceleriHıçkırarak ağlayarakUyanıyorNeYpmakLazım</t>
  </si>
  <si>
    <t>https://twitter.com/GndzAsi/status/1181901991515185152?s=19</t>
  </si>
  <si>
    <t>pic.twitter.com/B7fOGZBsfx</t>
  </si>
  <si>
    <t>Tamam Siz Kurnazsınız Ama Bizde SultanAhmet'te Turist Değiliz</t>
  </si>
  <si>
    <t>N.K.A. 🇹🇷</t>
  </si>
  <si>
    <t>#TurkishArmy will soon liberate N. Syria from neo-marxist narco-gang pkk (rebranded as #ypg #pyd #sdf) and will bring peace and stability to the region 🇹🇷</t>
  </si>
  <si>
    <t>Smyrna / İzmir</t>
  </si>
  <si>
    <t>Turkish, Ottoman, Anatolian, Asia Minor, Middle East &amp; Orientalist Art / History + Art Nouveau, PRB &amp; PunkRock 🇹🇷 takes it personal, trolls back</t>
  </si>
  <si>
    <t>Ayşe Karakaya</t>
  </si>
  <si>
    <t>Ayağınıza taş değmesin.. #TurkishArmy RT @Turan1530: Sınır Hattında Boşaltılan Bir Köyde Kürt anamız emretti; ONLARI EZİN! #TurkishArmy 🇹🇷</t>
  </si>
  <si>
    <t>FÜ-PARAMEDİK</t>
  </si>
  <si>
    <t>Ey şimdi süzgün, rüzgârlarda dalgalı; Barışın güvercini, savaşın kartalı Yüksek yerlerde açan çiçeğim. Senin altında doğdum. Senin altında öleceğim. #TurkishArmy</t>
  </si>
  <si>
    <t>https://pbs.twimg.com/media/EGb114dWsAEtaPO.jpg</t>
  </si>
  <si>
    <t>mood</t>
  </si>
  <si>
    <t>Ahmet Balaman</t>
  </si>
  <si>
    <t>Yurtta Sulh Konseyi 15 Temmuz’da başarılı olsaydı neler olacaktı sadece ufak bir detayı. #BarisPinariHarekati #TurkishArmy #carsamba</t>
  </si>
  <si>
    <t>pic.twitter.com/H8HNmPUVZr</t>
  </si>
  <si>
    <t>Genç Asder</t>
  </si>
  <si>
    <t>Aşkın Güç</t>
  </si>
  <si>
    <t>28 Şubat Mağdurlarına 'PARDON' Ne Zaman?  #TurkishArmy</t>
  </si>
  <si>
    <t>https://pbs.twimg.com/media/D2YEM24W0AIUeo9.jpg</t>
  </si>
  <si>
    <t>Bu dünyadaki tek servet ailendir. Paradan ve kudretten daha önemlidir. –Godfather</t>
  </si>
  <si>
    <t>zeynep</t>
  </si>
  <si>
    <t>Kapıya dayandıysa zulüm, Başka yolu yok ya istiklâl, ya ölüm❗️🇹🇷 #TurkishArmy #BarisPinariHarekati #TuerkMilletiOrdusununYanında</t>
  </si>
  <si>
    <t>https://pbs.twimg.com/media/EGb1y_hW4AAz9v_.jpg</t>
  </si>
  <si>
    <t>Tam zamanlı insan, yarı zamanlı makina mühendisi</t>
  </si>
  <si>
    <t>𐰽𐰆𐰣𐰀: 𐰏𐰇𐰚𐱃𐰆𐰣𐰀:</t>
  </si>
  <si>
    <t>Operasyon yapmadan önce bak biz geliyoruz ha diye defalarca uyaran ordu. Böyle de naziktir! #TurkishArmy</t>
  </si>
  <si>
    <t>Benlen poleniğe girmeyiniz üzerim.</t>
  </si>
  <si>
    <t>http://www.mariadebonne.blogspot.com</t>
  </si>
  <si>
    <t>GÜNGÖR</t>
  </si>
  <si>
    <t>Türk’e düşman olana tabi ki düşmanız.! 🇹🇷 Irkımıza düşmanlık edene tabiki ırkçıyız.! 🤘 #TurkishArmy</t>
  </si>
  <si>
    <t>https://pbs.twimg.com/media/EGb1tyeWwAA3e5V.jpg</t>
  </si>
  <si>
    <t>|🇹🇷 𐱅𐰇𐰼𐰜 |#Atatürk #Beşiktaş 🦅</t>
  </si>
  <si>
    <t>Türk Devleti</t>
  </si>
  <si>
    <t>Ömer Bozar</t>
  </si>
  <si>
    <t>Türk bayragini orada dalgalandiracagiz ... Biz ordusu olan bir millet değil; milleti ordu olan güçlü bir devletiz alimallah haydi bismillah #TurkishArmy</t>
  </si>
  <si>
    <t>https://pbs.twimg.com/media/EGb1rQkWoAId6wZ.jpg</t>
  </si>
  <si>
    <t>world</t>
  </si>
  <si>
    <t>İstanbul Üniversitesi-beşer şaşar yahu arasıra 🤭</t>
  </si>
  <si>
    <t>Serhat Işılak</t>
  </si>
  <si>
    <t>GÖKBÖRÜ #TurkishArmy</t>
  </si>
  <si>
    <t>https://pbs.twimg.com/media/EGb1qtmW4AAIPdb.jpg</t>
  </si>
  <si>
    <t>insan, insana çiçekli bahçe olmalı. 🌼</t>
  </si>
  <si>
    <t>Kocaeli'ninKADISI</t>
  </si>
  <si>
    <t>#TurkishArmy #BarisPinari 🇹🇷 🇹🇷Alemsin vesselam🇹🇷🇹🇷 RT @elmeru41_baba: Bi gün gelecek Elmeru baba da Chp'nin hakkını teslim edecek deselerdi inanmazdım.. Amerika bile YPG'den desteğini çekti Chp hala YPG'yi destekliyo .. Hiç satmadı teröristleri Takdir ettim bak hırboları 😀😁</t>
  </si>
  <si>
    <t>https://twitter.com/elmeru41_baba/status/1181900015645708293</t>
  </si>
  <si>
    <t>Sıradan bir Kul🙂</t>
  </si>
  <si>
    <t>Mustafa Aydın</t>
  </si>
  <si>
    <t>https://pbs.twimg.com/media/EGb1nshWkAMWu88.jpg</t>
  </si>
  <si>
    <t>Saraylarda süremem Dağlarda sürdüğümü. Bin cihana değişmem Şu öksüz Türk'lüğümü...</t>
  </si>
  <si>
    <t>Sanem Olmaz</t>
  </si>
  <si>
    <t>AK Parti'ye destek veren müslümanlar biilin ki elinizde Müslüman kanı var. Özellikle de Irak'ta katledilen milyonlarca Müslümanın kanı. “Irak a ilk bomba düştüğünde 8,5 milyar dolar hesabımıza yatacak” dediğinizi unutmadık. #TurkishArmy</t>
  </si>
  <si>
    <t>Hıçkırarak ağlayan bir kadının gözyaşları, Ağlatan adamın başına geleceklerinin altına atılacak imzadır… Bukowski</t>
  </si>
  <si>
    <t>Dursun AYAŞLI</t>
  </si>
  <si>
    <t>https://pbs.twimg.com/media/EGb1kmDX0AEVimg.jpg</t>
  </si>
  <si>
    <t>RTE İstanbul Arel üniversitesi</t>
  </si>
  <si>
    <t>isayıldız</t>
  </si>
  <si>
    <t>#TurkishArmy O zaman vecd ile bin secde eder varsa taşım, Her cerihamdan ilahi boşanıp kanlı yaşım, Fışkırır ruh-i mücerred gibi yerden na'şım O zaman yükselerek arşa değer belki başım. #BarisPinariHarekati #TuerkMilletiOrdusununYanında</t>
  </si>
  <si>
    <t>oku,uygula,takip et.</t>
  </si>
  <si>
    <t>Satender chaudhary 🇮🇳</t>
  </si>
  <si>
    <t>#TurkishArmy army will be attacking kurdish army,why ? COZ they r supporting kurds in #Turkey ..just a week ago Turkey's President was speaking abt Kashmir,but now they r going to attack,coz they dont want kurdish ppl to hv right of self determination. Hypocrisy. slow clap</t>
  </si>
  <si>
    <t>New Delhi, India</t>
  </si>
  <si>
    <t>An indian http://Asian.Earth.Milky way, worked with NGOs,Deshbhakt 🇮🇳 hate congress and Bjp both</t>
  </si>
  <si>
    <t>🇹🇷 AyşeNur 🇹🇷</t>
  </si>
  <si>
    <t>Fırtinalar dursun yana Yol Ver TÜRK'ün BAYRAĞINA. 🇹🇷🇹🇷🇹🇷#TurkishArmy</t>
  </si>
  <si>
    <t>pic.twitter.com/wrizuj4C3K</t>
  </si>
  <si>
    <t>♑ ATATÜRK Hayranı. 🇹🇷🇹🇷 Vatanına aşık TÜRK..Var Olsun TÜRK Irkı TÜRK Soyu .🇹🇷🇹🇷Ana hesap @Ayse_nur02 ♑</t>
  </si>
  <si>
    <t>sayan altincubuk</t>
  </si>
  <si>
    <t>♊ İNGİLİZ DERİN DEVLETİ PKK'YI KURMUŞ VE ABD ELİYLE DESTEKLEMİŞTİR. ♊  🚗 #çarşamba #CheGuevara Abdurrahman Dilipak #SağlıkYönetimineAtamaŞart #TurkishArmy boyutlamak macunlatmak patlatmak özgülenmek 🚗</t>
  </si>
  <si>
    <t>pic.twitter.com/RSKVvhoRrs</t>
  </si>
  <si>
    <t>Akıllı insan duşundugu herşeyi söylemezfakat söyledigi herşeyi duşunurMevlâna</t>
  </si>
  <si>
    <t>https://instagram.com/AltincubukSayan</t>
  </si>
  <si>
    <t>Unoistanbul</t>
  </si>
  <si>
    <t>#TurkishArmy Bir Gece Ansızın!</t>
  </si>
  <si>
    <t>https://pbs.twimg.com/media/EGb1dA2X0AASsiL.jpg</t>
  </si>
  <si>
    <t>Maslak, İstanbul</t>
  </si>
  <si>
    <t>Bir reklam ajansının “Firmaya Özel Hizmet” kapsamına dijital mecralara fikir ve iş üretmesi gerektiğini iyi biliyoruz!</t>
  </si>
  <si>
    <t>http://www.unoistanbul.com</t>
  </si>
  <si>
    <t>Emre Kimsesiz</t>
  </si>
  <si>
    <t>Sina-Filistin cephesi'nde Türk ordusu. Cemal paşa ve IV. ordu kurmay başkanı Ali Fuad bey harita üzerinde çalışıyorlar #Turkisharmy</t>
  </si>
  <si>
    <t>pic.twitter.com/IVeSnCJz38</t>
  </si>
  <si>
    <t>bursa</t>
  </si>
  <si>
    <t>Yavuz Kaan Aslan</t>
  </si>
  <si>
    <t>#TurkishArmy Hazır, daima hazır. Havada, karada, denizde, çölde, çatakta, batakta; her zaman ve yerde, hazır. Daima hazır! 🇹🇷</t>
  </si>
  <si>
    <t>https://pbs.twimg.com/media/EGb1bm-WsAE_Efk.jpg</t>
  </si>
  <si>
    <t>Majesty</t>
  </si>
  <si>
    <t>Dün Ergenekon balyozla indirilenlerin yerine koyduklarınız 15 temmuzu yarattı. Şimdi destan bekliyoruz..!!! #TurkishArmy</t>
  </si>
  <si>
    <t>Tuğçe Duran</t>
  </si>
  <si>
    <t>dinle  #TurkishArmy</t>
  </si>
  <si>
    <t>https://pbs.twimg.com/media/D8hqf_yWwAADKZC.jpg</t>
  </si>
  <si>
    <t>Aksaray, Türkiye</t>
  </si>
  <si>
    <t>"Life must be lived and curiosity kept alive. One must never, for whatever reason, turn his back on life." -Eleanor Roosevelt</t>
  </si>
  <si>
    <t>kübra🐾</t>
  </si>
  <si>
    <t>Dönse yüzünü Ötüken özlüyorum dese, Toplanmaz mı Turan Orduları ey Türk söylesene ! #TurkishArmy</t>
  </si>
  <si>
    <t>Selçuk üniversitesi // Anadolu üniversitesi // sağlık yönetimi</t>
  </si>
  <si>
    <t>#Independant #American</t>
  </si>
  <si>
    <t>@realDonaldTrump THROWS #Kurds to #TurkishArmy to be slaughtered . #KurdsBetrayedByTrump RT @ASavageNation: Should we Throw the Kurds to the Turkish Wolves? NO! #SavageNation #SavagePodcast #Kurds #Turkey</t>
  </si>
  <si>
    <t>https://twitter.com/ASavageNation/status/1181686522371854336
https://omny.fm/shows/savage-nation-with-michael-savage/should-we-throw-the-kurds-to-the-turkish-wolves-no</t>
  </si>
  <si>
    <t xml:space="preserve"> Florida</t>
  </si>
  <si>
    <t>#Conservative FollowedBy @IngrahamAngle @CodeOfVets @RealDrGina @JessieJaneDuff @WayneDupreeShow @MsDMcLaughlin @Harlan @LeahR77 @jjauthor #NRA #ProLife</t>
  </si>
  <si>
    <t>http://ActforAmerica.org</t>
  </si>
  <si>
    <t>Different People</t>
  </si>
  <si>
    <t>#Syria #KurdsSideWithTurkey #OperationPeaceSpring #TurkishArmy #BarisPinariHarekati Amerika ve Avrupa'da algı şöyle Türkiye Kürtleri Katlediyor Ermeni Rum Yahudi lobisi iş başında Türkiye devletini sözde (soykırımcı ) göstermek için herşeyi yapıyorlar Türkiye sessiz</t>
  </si>
  <si>
    <t>World</t>
  </si>
  <si>
    <t>Human Rights Advocate #Turkey🇹🇷 #Usa #Russia #Caucasus #İran #Syria #Fotball</t>
  </si>
  <si>
    <t>Ates_1903</t>
  </si>
  <si>
    <t>Yüce Rabbim senin ordun TÜRK ordusunu muzaffer eyle.. #TurkishArmy</t>
  </si>
  <si>
    <t>https://pbs.twimg.com/media/EGb1P6dWsAIFLjr.jpg</t>
  </si>
  <si>
    <t>Mücahid DELİOĞLU</t>
  </si>
  <si>
    <t>Çocukların korkmadığı tek ordu... #TurkishArmy 🇹🇷</t>
  </si>
  <si>
    <t>https://pbs.twimg.com/media/EGb1PW0XYAA5bhp.jpg</t>
  </si>
  <si>
    <t>Ankara/Şanlıurfa</t>
  </si>
  <si>
    <t>@turkjudo Şanlıurfa İl Temsilsicisi | @sanliurfajik Başkan V. | @akgencliksurfa Başkan Yardımcısı/Seçim İşleri Başkanı | Fenerbahçe SK.</t>
  </si>
  <si>
    <t>https://mucahiddelioglu.com.tr</t>
  </si>
  <si>
    <t>Hakan Ayan🇹🇷</t>
  </si>
  <si>
    <t>Az sabır 😁🇹🇷😎🇹🇷 #TurkishArmy #carsamba #BarisPinariHarekati</t>
  </si>
  <si>
    <t>https://pbs.twimg.com/media/EGb1O_CWkAAeaoa.jpg</t>
  </si>
  <si>
    <t>|| Teferruatı es geçmişiz ||</t>
  </si>
  <si>
    <t>UÇAN ADAM</t>
  </si>
  <si>
    <t>Savaş dediğiniz iki ordu-iki ülke arasında yapılan şey değil midir? Benim bildiğim Türkiye Cumhuriyetinin şu an icra ettiği şey bir operasyondur. Terör operasyonu... Teröristlere karşı operasyon... #Hayır diyecekseniz buna hayır demeniz gerekmez mi? 🤔 #savaşahayır #turkisharmy</t>
  </si>
  <si>
    <t>Uçan Adam - Fotoğrafçı - Seyyah - İçerik Üreticisi - Dijitalist-Proje Adamı . . . instagram: ➡ http://instagram.com/mahmutgediz Youtube: ➡http://goo.gl/uZTexD</t>
  </si>
  <si>
    <t>http://www.mahmutgediz.com</t>
  </si>
  <si>
    <t>Miral Kilo</t>
  </si>
  <si>
    <t>#kurds #kurdestan #QSD #SDF #Rojava #SaveKurds from #TurkishArmy #TürkischerTerrorismus</t>
  </si>
  <si>
    <t>https://pbs.twimg.com/media/EGb1OifX0AAE17m.jpg</t>
  </si>
  <si>
    <t>Kurdish Director and artist.</t>
  </si>
  <si>
    <t>Bayındır Çakmak</t>
  </si>
  <si>
    <t>Birgün bu iktidarın bizi İslamdan uzaklaştırma projesinin taşeronu olduğunu anlayacağız ama iş işten geçmiş olacak ne yazık ki.. tabi bu benim tahminim, inşallah gerçekleşmez #TurkishArmy</t>
  </si>
  <si>
    <t>Uzaktan şöyle bir “sucuk” dersen olabilir.</t>
  </si>
  <si>
    <t>Umut 🇹🇷</t>
  </si>
  <si>
    <t>@vejinihtilal Bunlarla uğraşmayı bırak heval eteklerinizi hazırlayın geliyoruz. #TurkishArmy</t>
  </si>
  <si>
    <t>https://pbs.twimg.com/media/EGb1K9mWwAIsJmh.jpg</t>
  </si>
  <si>
    <t>Bir garip TÜRK 🇹🇷🇦🇿🇰🇿🇹🇲🇺🇿🇰🇬</t>
  </si>
  <si>
    <t>dingiltere kralı</t>
  </si>
  <si>
    <t>Ne olursan ol git hewal ananıda al git #TurkishArmy</t>
  </si>
  <si>
    <t>E R S İ N 🎩</t>
  </si>
  <si>
    <t>Ulan bu kafelerde sahillerde nargile içen başı boş Suriyelilerden biri de çıkıp ülkesi için savaşa benide götürün demiş mi acaba. Ancak eli S..... gezsinler #TurkishArmy</t>
  </si>
  <si>
    <t>Tevhid</t>
  </si>
  <si>
    <t>#TurkishArmy #SağlıkYönetimineAtamaŞart "Harbiyeli Anneler "her Çarşamba saat 13:00'te toplumda farkındalık oluşturmak, evlatlarının davasındaki hukuksuzluğa dikkat çekmek için biraraya gelmeye çabalıyorlar.Ama otobüsten iner inmez gözaltı da ne?</t>
  </si>
  <si>
    <t>pic.twitter.com/wfoN3GjXDY</t>
  </si>
  <si>
    <t>Mehmet akif</t>
  </si>
  <si>
    <t>🇹🇷KRONİK REİSCİ🇹🇷</t>
  </si>
  <si>
    <t>Dünyada devletler savaşa girmek için halkını ikna etmeye çalışır.... TÜRKİYE' de halk savaşa girmek için devleti ikna etmeye çalışıyor !!! #TurkishArmy</t>
  </si>
  <si>
    <t>Do�a Sobay</t>
  </si>
  <si>
    <t>Adam akepeye ZKP deyince içeri attılar. Birde montajla darbeci yapmışlar...  #TurkishArmy</t>
  </si>
  <si>
    <t>pic.twitter.com/5C23KHSgXD</t>
  </si>
  <si>
    <t>Alelade bir kız çocuğu! Melek yüzlü(!) şeytan… Aslında tipik bir ‘Oğlak’ kızı. Ha! Bir’ de ÖSYM’den nefret ediyor…</t>
  </si>
  <si>
    <t>intoxicatingrealities</t>
  </si>
  <si>
    <t>#TurkishArmy is on the way..</t>
  </si>
  <si>
    <t>sufferer of anxiety</t>
  </si>
  <si>
    <t>Remzi ÖREN ( رمزي ) 💎 🇹🇷</t>
  </si>
  <si>
    <t>#TurkishArmy #Kurdıshmother RT @dalierzincanli: İşte bir Kürt anasının, Şanlı ordusundan isteği: Onları ezin! #TurkishArmy</t>
  </si>
  <si>
    <t>⠀⠀⠀⠀⠀⠀⠀⠀⠀⠀ ⠀ ⠀⠀⠀⠀⠀⠀ ⠀⠀⠀⠀⠀⠀ ⠀⠀⠀⠀⠀⠀⠀ ⠀⠀⠀⠀⠀ ⠀ ོ⠀⠀⠀⠀⠀ ⠀ ⠀⠀⠀ོ⠀⠀⠀⠀⠀⠀⠀ ⠀ོ⠀⠀⠀⠀ ⠀ ⠀ོ⠀⠀⠀⠀⠀⠀⠀⠀⠀⠀ོ ⠀⠀⠀⠀⠀⠀⠀⠀ོ⠀⠀⠀⠀</t>
  </si>
  <si>
    <t>Kemal Gündoğan</t>
  </si>
  <si>
    <t>Sen ne yüce bir ocaksinki Dünya önünde titrer de hiç bir ocuk senden asla korkmaz!! #TurkishArmy #koçyiğidim #çakirefem #ozanim Kanın kanımdır Canında canım! !</t>
  </si>
  <si>
    <t>onuncu köyden selamlar (yaradanın soracağı soruları sizler sormayın)</t>
  </si>
  <si>
    <t>RAGNAR</t>
  </si>
  <si>
    <t>@TTAgrup @Aslnmhmt Hep aynı terane bunlar.. Ekonomik buhrandan diğer Buhrana geçen bir milletiz Zam üstüne zam yiyen Her gün askeri şehit olan Bir kişinin iki dudağına haps olmuş bir milletiz Bu konularda üstümüze yok haklısın #TurkishArmy</t>
  </si>
  <si>
    <t>Avukat</t>
  </si>
  <si>
    <t>𝓑 𝓐 𝓣 𝓤 ♚</t>
  </si>
  <si>
    <t>Fıtrat Değişir Sanma Bu Kan Yine O Kandır. #TurkishArmy</t>
  </si>
  <si>
    <t>https://pbs.twimg.com/media/EGb0-SVWoA0HnCH.jpg</t>
  </si>
  <si>
    <t>“ Yaşıyoruz Öylece HasbelKader وا ”</t>
  </si>
  <si>
    <t>Zêrîn ☮</t>
  </si>
  <si>
    <t>Bugün türkiyenin desteklediği ÖSO çeteleri, bir kaç yıl önce 2 askeri yine türkiyenin bir kaç öfkeli genç dediği ve desteklediği İŞİD vahşilerine satmıştı. İşid bu iki askeri gözünü kırpmadan yakmıştı. Hatırladınız mı...! Hatırlatalım mı? #TurkishArmy #SavasaHayır</t>
  </si>
  <si>
    <t>https://pbs.twimg.com/media/EGb0-I2WkAAm49U.jpg</t>
  </si>
  <si>
    <t>Azrail olsaydım intiharı denerdim.</t>
  </si>
  <si>
    <t>NurAy K.</t>
  </si>
  <si>
    <t>#TurkishArmy Dualarımız askerlerimizle. Allah Türkiyemize Ordumuza daima hayırlı zaferler nasip etsin İnşallah. Amin 🇹🇷🇹🇷🇹🇷❤</t>
  </si>
  <si>
    <t>Osmanlı torunu... 🔢 Üniversite mezunu... Seyahat etmek hayat tarzım... #RecepTayyipERDOGAN #15TemmuzuUnutmaUnutturma #ŞehitlerÖlmezVatanBölünmez 🇹🇷</t>
  </si>
  <si>
    <t>AntiParalelKadın</t>
  </si>
  <si>
    <t>#TurkishArmy #SONDAKİKA Trump: ABD hiçbir zaman Ortadoğu'da asla bulunmamalıydı, 50 askerimizi çektik, bizim için aptal savaşlar bitiyor Hah şöyle Türk’ün gücünü enseniz de hissedecekseniz Bu bir savaş değil Ülkemin sınırlarını koruma hakkı Şimdi ötede oyna MR dü*zü Trump</t>
  </si>
  <si>
    <t>Yanlış bildiğim yolda kalabalıkla yürüyeceğime Doğru bildiğim yolda Tek başına yürürüm ! Ben yazdıklarımdan sorumluyum ! anladıklarınızdan değil !!!</t>
  </si>
  <si>
    <t>Haberler12</t>
  </si>
  <si>
    <t>İŞTE DÜNYANIN EN KÜÇÜK AKILLI TELEFONU PALM PALM TEKNİK ÖZELLİKLERİ VE FİYATI  #SağlıkYönetimineAtamaŞart #EmineBulut #TurkishArmy #CheGuevara #çarşamba #Palm</t>
  </si>
  <si>
    <t>https://haberler11.com/palm-akilli-telefon-ozellikleri-ve-fiyati/</t>
  </si>
  <si>
    <t>#haber #sondakika #haberler</t>
  </si>
  <si>
    <t>http://www.haberler12.com</t>
  </si>
  <si>
    <t>Acar@acar</t>
  </si>
  <si>
    <t>Ben Türkiye Cumhuriyeti vatandaşıyım. Hiçbir hesap memleketimden daha kıymetli olamaz. Ordu seferdeyken bize yakışan tek şey MİLLETÇE TEK YUMRUK OLMAKTIR. Allah yardımcımız, gazamız ise mübarek olsun.....#TurkishArmy</t>
  </si>
  <si>
    <t>Seher Karadeniz</t>
  </si>
  <si>
    <t>Allahım, namazları tatsız, hayatları amaçsız, imanları sebatsız, kalpleri kararsız kimselerden eyleme bizi. href= #TurkishArmy</t>
  </si>
  <si>
    <t>https://pbs.twimg.com/media/DuyrFlMWoAARLU6.jpg</t>
  </si>
  <si>
    <t>Sana olmayan özlem bir şeye benzemiyor..- Turgut Uyar</t>
  </si>
  <si>
    <t>Ragip Kocaağa</t>
  </si>
  <si>
    <t>SunglaY</t>
  </si>
  <si>
    <t>#turkmilletiordusununyaninda #TurkishArmy</t>
  </si>
  <si>
    <t>https://pbs.twimg.com/media/EGb042AWsAAuFmy.jpg</t>
  </si>
  <si>
    <t>ElifTandoğan</t>
  </si>
  <si>
    <t>Ne bir Amerikalı çocuğun Askerin önünü bayrakla kestiğini, Ne Alman bir yaşlının Askere çay ikram ettiğini, Ne de Fransız bir Askerin göreve giderken^beklemesinler^dediğini görebilirsiniz... Nasıl bir Milletle uğraştığınızı bilmiyorsnuz! #TurkishArmy #turkmilletiordusununyaninda</t>
  </si>
  <si>
    <t>öğretmen</t>
  </si>
  <si>
    <t>CCN</t>
  </si>
  <si>
    <t>#TurkishArmy troops cross into #Syria; #Iran launches military drill near Turkish border: reports</t>
  </si>
  <si>
    <t>https://www.foxnews.com/world/turkish-troops-cross-into-syria-iran-launches-military-drill-near-turkish-border-reports</t>
  </si>
  <si>
    <t>News Now 🇺🇸✝️🇮🇱✡⚖📖🎓</t>
  </si>
  <si>
    <t>GENERAL ERSUN YANAL🏆</t>
  </si>
  <si>
    <t>Çocukların korkmadığı tek ordu! #TurkishArmy 🇹🇷</t>
  </si>
  <si>
    <t>https://pbs.twimg.com/media/EGb03TPXYAM0LKN.jpg</t>
  </si>
  <si>
    <t>🏆</t>
  </si>
  <si>
    <t>https://pbs.twimg.com/media/EGb002LXYAEuMzH.jpg</t>
  </si>
  <si>
    <t>🇹🇷|🇦🇱 Explore to learn • Share to inspire</t>
  </si>
  <si>
    <t>omer beyazıt</t>
  </si>
  <si>
    <t>#TurkishArmy Tanrı Türkü korusun...</t>
  </si>
  <si>
    <t>https://pbs.twimg.com/media/EGb01JxWoAEOMjX.jpg</t>
  </si>
  <si>
    <t>firtina oncesi sessizlik halinde...</t>
  </si>
  <si>
    <t>Laik Bozucu</t>
  </si>
  <si>
    <t>"Geleceğiz yakında! Yarın bütün oralar, Demir bileklerdeki çelik kılıçlarındır." #TurkishArmy</t>
  </si>
  <si>
    <t>https://pbs.twimg.com/media/EGb00qgXkAAsdUW.jpg</t>
  </si>
  <si>
    <t>Adı ümmet olan bir aşkın derdi var yüreğimizde...#DEVAM</t>
  </si>
  <si>
    <t>Şafak Yılmaz</t>
  </si>
  <si>
    <t>We Turks do not want to fight. But we know how to fight. You wanted this to happen.#TurkishArmy</t>
  </si>
  <si>
    <t>https://pbs.twimg.com/media/EGb00MuW4AA6j7C.jpg</t>
  </si>
  <si>
    <t>Giresun</t>
  </si>
  <si>
    <t>Açü</t>
  </si>
  <si>
    <t>Selma 🇹🇷</t>
  </si>
  <si>
    <t>Bismillahirrahmanirrahim İnna fetahna leke fetham mübına #TurkishArmy The world will admire the power of the Turk! 🇹🇷🇹🇷🇹🇷🇹🇷🇹🇷 #StandWithTheTurks #StandWithThePeace</t>
  </si>
  <si>
    <t>pic.twitter.com/MIRsDd77sA</t>
  </si>
  <si>
    <t>Fe inne meâl usrî yûsra,inne meâl usrî yûsra"(inşirah 5-6)</t>
  </si>
  <si>
    <t>cenkkara+kartal</t>
  </si>
  <si>
    <t>Çakalların korkulu rüyası İbrahim'in delileri #TurkishArmy #TurkMilletiOrdusununYanındadır</t>
  </si>
  <si>
    <t>🇹🇷🔥🖤🦅🖤🔥🇹🇷Şerefi ile oynayıp Hakkı ile kazanan Beşiktaş aşığıyım.. VATANSIZLAR+FETOSARAYLILAR UZAK DURSUN.. TERSİM-+18</t>
  </si>
  <si>
    <t>#TurkishArmy Pkk Pyd Ypg Deaş Vs.... Hepsini üst üste koyacağız... İnsanlık kazanacak...</t>
  </si>
  <si>
    <t>🇹🇷Herkes Hak Ettiğini Alır🇹🇷🇦🇿🇧🇦</t>
  </si>
  <si>
    <t>Abdulmuttalip PiLATiN</t>
  </si>
  <si>
    <t>Tüm bölgesel, konjonktürel ve ekonomik sıkıntılara rağmen BIST'e yabancı yatırımcı ilgisi artarak devam ediyor. Eylül ayında yabancı yatırımcı 310 milyon doların üzerinde hisse senedi alımı yaptı. Çünkü Türkiye'ye güveniyorlar. #TurkishArmy</t>
  </si>
  <si>
    <t>🌍 Türkiye - Rize</t>
  </si>
  <si>
    <t>Recep Tayyip Erdoğan Üniversitesi Bankacılık ve Finans Bölümü Öğretim Görevlisi - RTEÜ Mezunlar Derneği Kurucu Başkanı - Yörünge Dergisi Yazarı</t>
  </si>
  <si>
    <t>http://Instagram.com/abdulmuttalip.pilatin</t>
  </si>
  <si>
    <t>Emrllah</t>
  </si>
  <si>
    <t>Namluyu kaldırdık geliyoruz #TurkishArmy</t>
  </si>
  <si>
    <t>https://pbs.twimg.com/media/EGb0qQTXUAEfGKW.jpg</t>
  </si>
  <si>
    <t>Bor, Niğde</t>
  </si>
  <si>
    <t>Niğde bor çukurkuyu</t>
  </si>
  <si>
    <t>Emre Filyos</t>
  </si>
  <si>
    <t>"Düşmanı çelik pençemle ezerim!" #TurkishArmy</t>
  </si>
  <si>
    <t>https://pbs.twimg.com/media/EGb0pQVW4AAXZJZ.jpg</t>
  </si>
  <si>
    <t>İngiltere</t>
  </si>
  <si>
    <t>Dünya kamuoyu tarafından kaygıyla izlenilen adam…</t>
  </si>
  <si>
    <t>Huriye Zengin</t>
  </si>
  <si>
    <t>#TurkishArmy ❤</t>
  </si>
  <si>
    <t>Ceyhun DEMİR🇦🇱🇲🇰🇹🇷</t>
  </si>
  <si>
    <t>#TurkishArmy #turkmilletiordusununyaninda RT @bisimit: 1- The Turkish Armed Forces have never gone to oppressed geographies like the Imperialist bloodsuckers for political ambitions. Cyprus is witness to this. South Korea, Bosnia are witnesses. Afghanistan is a witness. Every time we went, went for justice. #OperationPeaceSpring</t>
  </si>
  <si>
    <t>https://twitter.com/bisimit/status/1181283262897033216</t>
  </si>
  <si>
    <t>https://pbs.twimg.com/media/EGTCx6IXoAYdQsH.jpg</t>
  </si>
  <si>
    <t>müslüman</t>
  </si>
  <si>
    <t>Ops 🇹🇷</t>
  </si>
  <si>
    <t>#TurkishArmy maşallah ismi bile korkutuyor hainleri :)</t>
  </si>
  <si>
    <t>Ak Parti Ve Recep Tayyip Erdoğan Kırmızı Çizgim'dır❗️ Sadece Tanınmış Kişileri Takip Ediyorum Lütfen Takip Etmeyin Geri Takip Olmayacaktır.</t>
  </si>
  <si>
    <t>1 Volkan’dir ¹⁹⁰⁷</t>
  </si>
  <si>
    <t>Ters Bayrak savas doneminde acilir, uzerinde; Allah, Namus, Vatan ve Birlik yazili. Vatani Namus bilenler birlik olup Muzaffer olsun. #TurkishArmy</t>
  </si>
  <si>
    <t>https://pbs.twimg.com/media/EGb0oHwWwAMv9Oy.jpg</t>
  </si>
  <si>
    <t>#Atatürk #Fenerbahçe</t>
  </si>
  <si>
    <t>om_ery</t>
  </si>
  <si>
    <t>#Trump #usa #England #france #Italia #Germany #europa #TurkishArmy 🇹🇷 RT @ulkucan04: #Trump #Turkey #TurkishArmy #turkmilletiordusununyaninda Her şeyi o kadar net biliyorlar ki!</t>
  </si>
  <si>
    <t>https://twitter.com/ulkucan04/status/1181512228148858880</t>
  </si>
  <si>
    <t>pic.twitter.com/kceY0vmNsC</t>
  </si>
  <si>
    <t xml:space="preserve">İstanbul
</t>
  </si>
  <si>
    <t>@om_ery (instgram ) #fenerbahce 💙💛💙💛</t>
  </si>
  <si>
    <t>ECEM</t>
  </si>
  <si>
    <t>Milleti olan ordu ! #TurkishArmy</t>
  </si>
  <si>
    <t>İstanbul/Edirne</t>
  </si>
  <si>
    <t>21 Stj.Fizyoterapist</t>
  </si>
  <si>
    <t>http://instagram.com/ecemcetinkaya_</t>
  </si>
  <si>
    <t>Emrah Aydın</t>
  </si>
  <si>
    <t>#TurkishArmy Hangi Arap birliği?Amerikanın İngilterenin İsrailin köpeği olan Arap birliği.Sözde müslüman olacak bu paragöz şerefsizler yıllarca Irakta Afganistanda Filistinde zulüm uyguladı Amerika İsrail hangisine sesiniz çıktı.Ülkemizdeki arap seviciler hadi şimdi göreyim sizi!</t>
  </si>
  <si>
    <t>Anlatılmaz yaşanır</t>
  </si>
  <si>
    <t>Nischeß Sczsnézy</t>
  </si>
  <si>
    <t>Böyle tehditler ile hiç bir sonuca varamazsın bu millet bu devlet sana boyun eğmez sari pipi git kafanı kendi toprakların üzerinde degerlendir çek elini ayağını ortadoğudan! #Trump #TurkishArmy #TrumpdanDostOlmaz</t>
  </si>
  <si>
    <t>daima gerçeği dile getiren</t>
  </si>
  <si>
    <t>Mehmet Apaydın</t>
  </si>
  <si>
    <t>Sürüngenlerin başını ezeceğiz. #TurkishArmy</t>
  </si>
  <si>
    <t>https://pbs.twimg.com/media/EGb0gpGXoAA4Ln5.jpg</t>
  </si>
  <si>
    <t>Bozyaka, İzmir</t>
  </si>
  <si>
    <t>YA DEVLET BAŞA YA KUZGUN LEŞE</t>
  </si>
  <si>
    <t>@dogan_ayseli @Serdengecti_66 @senkimsinya_RTE @serapgunes1841 @senledevamreis @60vatansevda @sabahsevgi35 @Vol87654321_0 @AylinUslu20 @53_ben_yoruldum @Beygesu @ftm_shn @erdogannsevdam @EypAKALIN2 @ihsanemirgazili @Malazgirt_6 @ReisbeyHuseyin "Allah-u ekber kebira, ( Allah büyülerin en büyüğüdür) Velhamdulillahi kesira (Allah'a olan hamdimiz çoktur) Ve Subhanallahhi bükraten ve esila" (Sabah akşam her an tesbihimiz Allah'a dır) Benim Bozkurt Yurdumda şeytan kılıklı Çakalların işi ne! #carsamba #TurkishArmy</t>
  </si>
  <si>
    <t>pic.twitter.com/s514XfrL9g</t>
  </si>
  <si>
    <t xml:space="preserve">Sakarya Türkiye </t>
  </si>
  <si>
    <t>Vatan Aşığı GÖK YÜZÜNÜ HİLAL'SİZ! YER YÜZÜNÜ TÜRK'SÜZ BU VATANI ÜLKÜCÜ'SÜZ BIRAKMA ALLAHIM! AKOĞUZHAN REISIN EMRİNDE AK DAVA BİRLİK TT can ablam @isgroznr💛❤GS</t>
  </si>
  <si>
    <t>M/d</t>
  </si>
  <si>
    <t>artık Kürtlerin ve Türklerin kardeşiliği son bulmalı" Kürtler kardeşimizdir sözleri yok edilmeli.. Kürtler için Kürdistan şarttır #TurkishArmy</t>
  </si>
  <si>
    <t>Hikmet Şahin</t>
  </si>
  <si>
    <t>Bir tarafta;dış düşmanlarımızın destekçisi partiler,bir tarafta da,dış ve iç düşmanlarımızla mücadele eden Tayyip ve Bahçeli var!Biz;Türkiye'den yanındayız;Cumhur ittifakıyla hâinlerin karşısındayız!#TurkishArmy</t>
  </si>
  <si>
    <t>https://pbs.twimg.com/media/EGb0c33XkAEhhz_.jpg</t>
  </si>
  <si>
    <t>EREN BÜLBÜL - HERKEŞ</t>
  </si>
  <si>
    <t>#FOLLOW 👇 @unsalmusavir_ #TheBestOnesFollow #GainWithXtianDela #DanielDrive #IFBDrive #TurkishArmy @unsalmusavir_</t>
  </si>
  <si>
    <t>Eren Bülbül'ü Sevenleri</t>
  </si>
  <si>
    <t>Ferhat DEMIR</t>
  </si>
  <si>
    <t>🇹🇷🇹🇷🇹🇷🇹🇷🇹🇷🇹🇷 #TurkishArmy</t>
  </si>
  <si>
    <t>Hüznü lisan eylediysek aşk ola</t>
  </si>
  <si>
    <t>İnstagram me.ferhat</t>
  </si>
  <si>
    <t>ismail karan</t>
  </si>
  <si>
    <t>Vur şanlı silahınla gönül mülkü düzelsin;Sen öldürüyorken'de vuruyorken'de güzelsin! #TurkishArmy</t>
  </si>
  <si>
    <t>https://pbs.twimg.com/media/EGb0ZCKWoAI98AF.jpg</t>
  </si>
  <si>
    <t>ÇOMÜ</t>
  </si>
  <si>
    <t>emel</t>
  </si>
  <si>
    <t>Başkomutan ve ordusu.. Rabbim başımızdan eksik etmesin..🤲 #TurkishArmy #TuerkMilletiOrdusununYanında</t>
  </si>
  <si>
    <t>https://pbs.twimg.com/media/EGb0XCoXkAAYkil.jpg</t>
  </si>
  <si>
    <t>Ne yapsalar boş göklerden gelen bir karar vardır...ALLAH nurunu tamamlayacak kâfirler hoş görmese de..</t>
  </si>
  <si>
    <t>Adem Aydın</t>
  </si>
  <si>
    <t>Kırılırda bir gün tüm dişliler. Döner şanlı şanlı bizim çarkımız bizim. Gökten bir el yaşlı gözleri siler. Şenlenir evimiz barkımız bizim. #TurkishArmy</t>
  </si>
  <si>
    <t>Dursun Kulak</t>
  </si>
  <si>
    <t>Güneydoğuda hastanede doğum yapan kadınlara 800 tl para yardımı yapılıyor. Neden? evde doğursa aşı yapamayacaksın ondan mı? Bu aşılarda ne var? Neden devlet için bu kadar önemli? Sağlık için madem neden milyonlarca suriyeliyi aşılamıyorsun? #TurkishArmy</t>
  </si>
  <si>
    <t>Aslında kendi elimin kiriydim, kendi lekemi çözemedim… (Sagopa Kajmer)</t>
  </si>
  <si>
    <t>Gazze Savaşı 🇹🇷</t>
  </si>
  <si>
    <t>PKK'nın açtığı tünellerin içinde yol boyunca yangın çıkma olasılığı nedir? Gaz kaçağı filan olmasın!!!:) güm güm güm. #TurkishArmy</t>
  </si>
  <si>
    <t>#RTE #AK</t>
  </si>
  <si>
    <t>mehtap</t>
  </si>
  <si>
    <t>#TurkishArmy 🇹🇷🇹🇷🇹🇷💪🏻</t>
  </si>
  <si>
    <t>Allah ordumuzu mansur muzaffer eylesin... #TurkishArmy</t>
  </si>
  <si>
    <t>https://pbs.twimg.com/media/EGb0SLNWkAALF_6.jpg</t>
  </si>
  <si>
    <t>Hayat İman ve Cihad</t>
  </si>
  <si>
    <t>TnCy JK 🇹🇷</t>
  </si>
  <si>
    <t>Türkiye harekat yapacak diye herkes endişeliymiş,,endişeliyiz diye açıklama yapmayan kalmadı :) Orospu çocukları sınırın dibine terör devleti kurdunuz bizden ondan endişeliyiz. #TurkishArmy</t>
  </si>
  <si>
    <t>Milliyetci,,,Beşiktaşlı ///////Software Specialist ///+ @php // 🦅</t>
  </si>
  <si>
    <t>GÜRKAN ŞAHİN</t>
  </si>
  <si>
    <t>Allah ayağınıza taş değdirmesin. Rabbim muzaffer eğlesin. Amin. #TurkishArmy</t>
  </si>
  <si>
    <t>sadece FENERBAHÇE..</t>
  </si>
  <si>
    <t>akıllı bir adam kendi tecrübelerinden, çok akıllı bir adam başkalarının da tecrübelerinden faydalanır...</t>
  </si>
  <si>
    <t>Ressam Özcan Temiz</t>
  </si>
  <si>
    <t>Temiz Sanat Dünyası Atölyemizde Gerçekçi karakalemportre kurslarımız devam ediyor... #turkishArmy #EmineBulutİcinAdalet #CheGuevara #HalukLevent #perihanekotürktv AKP'li Ünal Zabıta</t>
  </si>
  <si>
    <t>https://pbs.twimg.com/media/EGb0ONrXoAU6AVB.jpg</t>
  </si>
  <si>
    <t>Realist Karakalem Portre Sanatçısı</t>
  </si>
  <si>
    <t>http://www.temizkarakalem.com</t>
  </si>
  <si>
    <t>Ahmet Örenler</t>
  </si>
  <si>
    <t>Mevzu Türkiye olunca Arap Birliği dahil yine bilcümle yine biraraya gelmiş şaşırdık mi kesinlikle Hayır ... #TurkishArmy</t>
  </si>
  <si>
    <t>@meltemörenler ile evli</t>
  </si>
  <si>
    <t>Gelincik</t>
  </si>
  <si>
    <t>İki ordu vardır: Biri gazâ ordusu, diğeri de duâ ordusu ve bu savaşlar, bu iki ordunun ittifakı ile kazanılır. İmam Rabbani Hz. #TurkishArmy</t>
  </si>
  <si>
    <t>pic.twitter.com/euRG8c4Wdd</t>
  </si>
  <si>
    <t>🌹🌿🌹🌿🌹🌿🌹 İman edip sâlih amel işleyen kimseler ise Cennet ehlidirler; işte onlar orada ebedî kalacaklardır. 🌹🌿🌹🌿🌹🌿🌹 Bakara Sûresi</t>
  </si>
  <si>
    <t>Rüstem Pehlivanlar</t>
  </si>
  <si>
    <t>https://pbs.twimg.com/media/EGb0LYOWoAAEg-7.jpg</t>
  </si>
  <si>
    <t>Ölüler içinde en yalnız ölü.</t>
  </si>
  <si>
    <t>https://instagram.com/rustempehlivan_</t>
  </si>
  <si>
    <t>osman turan</t>
  </si>
  <si>
    <t>https://pbs.twimg.com/media/EGb0FRSXoAApE0y.jpg</t>
  </si>
  <si>
    <t>Makamlar ve mevkiler önce Allah'a, sonra Devlet-i Âliyye'ye karşı sorumluluktur.</t>
  </si>
  <si>
    <t>patient | BTS×IU💌</t>
  </si>
  <si>
    <t>@realDonaldTrump #BarisPinari #turkmilletiordusununyaninda #TurkishArmy</t>
  </si>
  <si>
    <t>https://pbs.twimg.com/media/EGb0F7GW4AEUSh1.jpg</t>
  </si>
  <si>
    <t xml:space="preserve">IU's Eyes </t>
  </si>
  <si>
    <t>#IU #Uaena ( since 2010) and #BTS 💜 #LOVE_POEM</t>
  </si>
  <si>
    <t>Şule.</t>
  </si>
  <si>
    <t>Savaş dışında bir çözüm yok muydu ne bileyim bürokratik biseyler şehit vermeyeceğimiz başka bir yol #TurkishArmy</t>
  </si>
  <si>
    <t>Ahmet Can</t>
  </si>
  <si>
    <t>Biz kimsenin düşmanı değiliz. Yalnız insanlığın düşmanı olanların düşmanıyız. 🇹🇷 MUSTAFA KEMAL ATATÜRK #TurkishArmy</t>
  </si>
  <si>
    <t>https://pbs.twimg.com/media/EGb0FAvWkAEofqr.jpg</t>
  </si>
  <si>
    <t>Marmaris, Türkiye</t>
  </si>
  <si>
    <t>Kadıköy/Marmaris/Rize</t>
  </si>
  <si>
    <t>adem</t>
  </si>
  <si>
    <t>Fistanlarınızı almayı unutmayın ortadoğunun kucaktan kucağa gezen fahişeleri #TurkishArmy geliyor</t>
  </si>
  <si>
    <t>https://pbs.twimg.com/media/EGb0FcpWkAAY07f.jpg</t>
  </si>
  <si>
    <t>özüm neyse sözümde odur kıvıran şerefsizdir</t>
  </si>
  <si>
    <t>@pinarharekati @EmmanuelMacron #TurkishArmy</t>
  </si>
  <si>
    <t>https://pbs.twimg.com/media/EGb0FUnWkAAHd1H.jpg</t>
  </si>
  <si>
    <t>S Sapan</t>
  </si>
  <si>
    <t>#TurkishArmy Arap Birliği Mustafa İslamoğlu İslam Barış dinidir demiş Tamam peki,düşmanlarınız geldiğinde topraklarınızı onlarla paylaşın,vatanınız onlara da yeter size de diye bir ayet hatırlamıyorum ben</t>
  </si>
  <si>
    <t>Türküleri, Türkiye'yi, insan olanları severim, ha birde gerçek hayvanları severim</t>
  </si>
  <si>
    <t>Tugay Urfalı</t>
  </si>
  <si>
    <t>Hamd, Âlemlerin Rabbi, Rahmân, Rahîm, hesap ve ceza gününün (ahiret gününün) sahibi, Allah'a mahsustur.  #TurkishArmy</t>
  </si>
  <si>
    <t>https://pbs.twimg.com/media/DMWJYFJWkAMW9nV.jpg</t>
  </si>
  <si>
    <t>Izmir, Türkiye</t>
  </si>
  <si>
    <t>Bilirim, gidenle ölünmez ama kalanlarla da yaşanmıyor.</t>
  </si>
  <si>
    <t>mehmet gündoğ4n 63 محمد</t>
  </si>
  <si>
    <t>https://pbs.twimg.com/media/EGbz-9pW4AANcSo.jpg</t>
  </si>
  <si>
    <t>geldik ve gidiyoruz</t>
  </si>
  <si>
    <t>Kemal EKİZ</t>
  </si>
  <si>
    <t>https://pbs.twimg.com/media/EGbz-eAWkAAb8uE.jpg</t>
  </si>
  <si>
    <t>F E N E R B A H Ç E #KGES</t>
  </si>
  <si>
    <t>https://www.instagram.com/kmlekz</t>
  </si>
  <si>
    <t>Mehmet Keskin</t>
  </si>
  <si>
    <t>https://pbs.twimg.com/media/EGbz79CWkAEcdL8.jpg</t>
  </si>
  <si>
    <t>MAKÜ MİMARLIK #OBA</t>
  </si>
  <si>
    <t>https://www.instagram.com/Mhmttkeskinn/</t>
  </si>
  <si>
    <t>MEHMET ŞEN</t>
  </si>
  <si>
    <t>ALLAHUEKBER #TurkishArmy #EmineBulutİcinAdalet #eminebulut</t>
  </si>
  <si>
    <t>https://pbs.twimg.com/media/EGbz72QWwAAHmXL.jpg</t>
  </si>
  <si>
    <t>Allaha Karşı sadık olmayan davasına sadık olamaz</t>
  </si>
  <si>
    <t>Cevat GÜLER</t>
  </si>
  <si>
    <t>#TurkishArmy National security is beyond our borders; The danger begins in the area where the threat and attack is taking place. Necessary measures are taken cross-border 🇹🇷🇹🇷🇹🇷</t>
  </si>
  <si>
    <t>~MEVLANIN ~KULU~</t>
  </si>
  <si>
    <t>BU ÜLKEDE DİNİ, VATANI İÇİN KARŞILIKSIZ ÖLMEYE HAZIR ÇOK İNSANLAR VAR 🇹🇷🇹🇷🇹🇷🇹🇷 YA SİZDE! VATANSIZLAR, UŞAKLIK YAPANLAR (CHPHDPKK AĞA BABALARI) #BarisPinarıHarekatı #TurkishArmy</t>
  </si>
  <si>
    <t>https://pbs.twimg.com/media/EGbz3_7WwAEZDzT.jpg</t>
  </si>
  <si>
    <t>💚HER KİM ŞAN VE ŞEREF İSTİYORSA BİLSİNKİ, ŞAN VE ŞEREF BÜTÜNÜYLE ALLAH, A AİTTİR. (FATIR 10)💚</t>
  </si>
  <si>
    <t>Çiçero Gümüşkayalı 🗡</t>
  </si>
  <si>
    <t>Cengiz Topel'in torunları olarak kıtamızda hazırız. Şimdi onlar düşünsün. 🇹🇷 #TurkishArmy</t>
  </si>
  <si>
    <t>https://pbs.twimg.com/media/EGbz4FCW4AAO6oJ.jpg</t>
  </si>
  <si>
    <t>Kadıköy, İstanbul &amp; Diyarbakır</t>
  </si>
  <si>
    <t>Hayvansever 🐕🐶🦋🐜🐛🐞🐠🐬🐢🐸🦜🦉🦆🦅🐧🐦🐥🦔🐎🐱🐈 Marmara Üniversitesi Göztepe.</t>
  </si>
  <si>
    <t>https://www.instagram.com/kasimpsali_onur/</t>
  </si>
  <si>
    <t>☣️⚡ Veli Dayi ⚡☣️</t>
  </si>
  <si>
    <t>#TurkishArmy Allah yolunu açık etsin</t>
  </si>
  <si>
    <t>Şafak Çağıl</t>
  </si>
  <si>
    <t>demokrasi sistemini başa gelecek kişilerin seçimle gelmesi sanıyordum, aslında bu yöntem islamda da varmış. Halifeler seçimle gelebiliyor mesela. Esas problem demokrasiyi kabul ettiğinde yüzlerce kanun ayetini inkar etmiş olmak. #TurkishArmy</t>
  </si>
  <si>
    <t>Kalbi kırdıktan sonra gelen özür, doyduktan sonra sofraya gelen tuz gibidir…</t>
  </si>
  <si>
    <t>MentesMstf</t>
  </si>
  <si>
    <t>https://pbs.twimg.com/media/EGbzzgMWoAEOFhq.jpg</t>
  </si>
  <si>
    <t>“Savaş yalnız sınırlarda olmaz. Savaş bir milletin topyekûn ateşe girmesidir. Eğer bu bütünlük sağlanmamışsa zafer tesadüfi, yenilgi kaderdir.” ll.Abdülhamid</t>
  </si>
  <si>
    <t>Kadriye ÇİMEN</t>
  </si>
  <si>
    <t>“ İnna fetahna leke fetham mübına “ #TurkishArmy</t>
  </si>
  <si>
    <t>https://pbs.twimg.com/media/EGbz1bLXUAAiMis.jpg</t>
  </si>
  <si>
    <t>Yaren Özel Eğitim Kurucu Müdürü-Ak Parti Mamak İlçe Yönetim Kurulu Üyesi-Poyraz ve Uraz’ın Annesi</t>
  </si>
  <si>
    <t>http://yarenozelegitim.com/</t>
  </si>
  <si>
    <t>İlgün Mustafa</t>
  </si>
  <si>
    <t>Yürü yiğidim yol senin! #TurkishArmy</t>
  </si>
  <si>
    <t>Avanos, Nevşehir</t>
  </si>
  <si>
    <t>Şamil</t>
  </si>
  <si>
    <t>Vur şanlı silahınla gönül mülkü düzelsin; Sen öldürüyorken de vururken de güzelsin #Turkisharmy</t>
  </si>
  <si>
    <t>İ S R A 🎈</t>
  </si>
  <si>
    <t>Bir Kürt olarak her zaman Türk Ordusunun yanında olacağım. Vatani bölmeye kasteden kim olursa olsun töreristtir. #TurkishArmy RT @mhmmedckrgz: Bir Kürt olarak her zaman Türk Ordusunun yanında olacağım. Vatani bölmeye kasteden kim olursa olsun töreristtir. #TurkishArmy</t>
  </si>
  <si>
    <t>https://twitter.com/mhmmedckrgz/status/1181899539537629184</t>
  </si>
  <si>
    <t>babamın evi</t>
  </si>
  <si>
    <t>﷽ Selçuk Üniversitesi 🎓 #EsTuğ Naciye'mm 🌸-Kitap kurdu 📚🐛 İmanın kuvvetinden ulvî bir zevk alan seyyah-ı talip... Yazdıklarım önce kendi nefs'ime.. 🖐🏻</t>
  </si>
  <si>
    <t>Ben kısaca k.e</t>
  </si>
  <si>
    <t>Sana secde eden ordularına, Yenilgi gösterme Allah’ım ... #turkmilletiordusununyaninda #TurkishArmy</t>
  </si>
  <si>
    <t>https://pbs.twimg.com/media/EGbzytEXoAApxwC.jpg</t>
  </si>
  <si>
    <t>Çakalın saltanatı Kurt gelene kadardır.</t>
  </si>
  <si>
    <t>ykyoutube</t>
  </si>
  <si>
    <t>Arkadaşlar şu milliyetçi damarlarımızı biraz bastırıp da sakince bi düşünelim. Bakın Dünyanın iki süper gücü bu duruma karşı, dünya kamuoyu sessiz bir tepki icerisinde. Türkiye'ye bir tuzak hazırlanmış gibi. Düşmeyelim... #TurkishArmy</t>
  </si>
  <si>
    <t>youtube</t>
  </si>
  <si>
    <t>Engin Dinç 🇹🇷</t>
  </si>
  <si>
    <t>Yapılan bu operasyon, Birleşmiş Milletler Antlaşmasının 51. maddesinde düzenlenen meşru savunma hakkına istinaden ülkemizin güvenliğini sağlamak üzere gerçekleştirilmekte olup müdahale uluslararası hukuka uygundur. #TurkishArmy #BarisPinari #KurdsSideWithTurkey #carsamba</t>
  </si>
  <si>
    <t>Türkiye 🇹🇷</t>
  </si>
  <si>
    <t>Araştırmacı, Yazar | #USMED Üyesi | TDV, AFAD, AHBAP Gönüllüsü | Yüce Türk 🇹🇷 Devletinde Hizmetkâr | Sosyal Medya Danışmanı</t>
  </si>
  <si>
    <t>http://makaleler.engindinc.com</t>
  </si>
  <si>
    <t>Cehennem olsa gelen, göğsümüzde söndürürüz; Bu yol ki Hak yoludur, dönme bilmeyiz, yürürüz. #TurkishArmy</t>
  </si>
  <si>
    <t>🇹🇷İzmir</t>
  </si>
  <si>
    <t>neset sebat</t>
  </si>
  <si>
    <t>🍠 MİLLİ ŞUUR ÇOK ÖNEMLİ, GENÇLERİMİZ ACİLEN BİLİNÇLENDİRİLMELİ. 🍠  #çarşamba Tevfik Göksu iran cumhurbaşkanı ruhani #TurkishArmy 2019 Nobel Kimya Ödülü meşe çıkarayazmak kıskanabilmek mütehassıs</t>
  </si>
  <si>
    <t>pic.twitter.com/R5hrFWnvV5</t>
  </si>
  <si>
    <t>Hayatta sevdigim her şey ya ahlak dışı ya yasadışı ya da şişmanlatıyor</t>
  </si>
  <si>
    <t>https://instagram.com/NesetSebat</t>
  </si>
  <si>
    <t>Emin Kırbıyık</t>
  </si>
  <si>
    <t>KORKMADIK SAVAŞDIK !#TurkishArmy</t>
  </si>
  <si>
    <t>https://pbs.twimg.com/media/EGbzorsWkAYXnIH.jpg</t>
  </si>
  <si>
    <t>Konçuy</t>
  </si>
  <si>
    <t>Glorious #TurkishArmy is writing poem at the war area. 🇹🇷</t>
  </si>
  <si>
    <t>https://pbs.twimg.com/media/EGbzRwgXYAEJTrx.jpg</t>
  </si>
  <si>
    <t>Yurdum seni yüceltmeye antlar olsun.🇹🇷 Arh(-)</t>
  </si>
  <si>
    <t>MEHMET KAZIM SARI</t>
  </si>
  <si>
    <t>Metin Özkan sözleriyle duygularımıza tercüman olmuş.. #TurkishArmy Reis @sedat_peker</t>
  </si>
  <si>
    <t>pic.twitter.com/bTf6k40zx9</t>
  </si>
  <si>
    <t>🇹🇷 BİR UMUTTUR YAŞAMAK 🇹🇷</t>
  </si>
  <si>
    <t>http://www.sedatpeker.com</t>
  </si>
  <si>
    <t>Geliyoruz vakit tamam #TurkishArmy</t>
  </si>
  <si>
    <t>https://pbs.twimg.com/media/EGbzmszXYAAP8Cx.jpg</t>
  </si>
  <si>
    <t>komik Erü EEM</t>
  </si>
  <si>
    <t>Simge Demirelli</t>
  </si>
  <si>
    <t>Zaten muhitimden uzak duruşumun, vahşiliğimin bir sebebi de kitaplarda tanıştığım ve benimsediğim insanları muhitimde bulamayışım değil miydi?- Sabahattin Ali</t>
  </si>
  <si>
    <t>abdurrahman</t>
  </si>
  <si>
    <t>#TurkishArmy mazlumun yanında zalimin her zaman karşısında 🇹🇷</t>
  </si>
  <si>
    <t>❤galatasaray 💛</t>
  </si>
  <si>
    <t>SERDAR-I HAKAN ⚡️</t>
  </si>
  <si>
    <t>Reis bu Trump’ın dengesini fena bozdu #TurkishArmy</t>
  </si>
  <si>
    <t>Çankaya, Ankara,  Erzurum</t>
  </si>
  <si>
    <t>DEVLET-İ ALİYYE-İ OSMANİYYE nin BAKİYESİ BÜYÜK TÜRKİYE CUMHURİYETİ DEVLETİ</t>
  </si>
  <si>
    <t>Kürşad</t>
  </si>
  <si>
    <t>#TurkishArmy Bu savaşı fırsat bilerek Türkiye'de Kürt Türk karşıtlığı yaratmak isteyen provokatörler olacaktır. Sağduyulu olmakta fayda var.</t>
  </si>
  <si>
    <t>benimkafa</t>
  </si>
  <si>
    <t>https://pbs.twimg.com/media/EGbzhfBWkAAwGIT.jpg</t>
  </si>
  <si>
    <t>uçan filler ülkesi</t>
  </si>
  <si>
    <t>orta halli kendi hali</t>
  </si>
  <si>
    <t>Memiş</t>
  </si>
  <si>
    <t>🇹🇷🇹🇷🇹🇷🇹🇷🇹🇷🇹🇷🇹🇷🇹🇷🇹🇷🇹🇷🇹🇷🇹🇷🇹🇷🇹🇷🇹🇷🇹🇷🇹🇷🇹🇷🇹🇷🇹🇷🇹🇷🇹🇷🇹🇷🇹🇷🇹🇷🇹🇷🇹🇷🇹🇷🇹🇷🇹🇷🇹🇷🇹🇷🇹🇷🇹🇷🇹🇷🇹🇷🇹🇷🇹🇷🇹🇷🇹🇷🇹🇷🇹🇷🇹🇷🇹🇷🇹🇷🇹🇷🇹🇷🇹🇷🇹🇷🇹🇷🇹🇷🇹🇷🇹🇷🇹🇷🇹🇷🇹🇷🇹🇷🇹🇷🇹🇷🇹🇷🇹🇷🇹🇷🇹🇷🇹🇷🇹🇷🇹🇷🇹🇷🇹🇷🇹🇷🇹🇷🇹🇷🇹🇷🇹🇷🇹🇷🇹🇷🇹🇷🇹🇷🇹🇷🇹🇷🇹🇷🇹🇷🇹🇷🇹🇷🇹🇷🇹🇷🇹🇷🇹🇷🇹🇷🇹🇷🇹🇷🇹🇷🇹🇷🇹🇷🇹🇷🇹🇷🇹🇷🇹🇷🇹🇷🇹🇷🇹🇷🇹🇷🇹🇷🇹🇷🇹🇷🇹🇷🇹🇷🇹🇷🇹🇷🇹🇷🇹🇷🇹🇷🇹🇷🇹🇷🇹🇷🇹🇷🇹🇷🇹🇷🇹🇷🇹🇷🇹🇷🇹🇷🇹🇷🇹🇷🇹🇷🇹🇷🇹🇷🇹🇷🇹🇷🇹🇷🇹🇷🇹🇷🇹🇷🇹🇷 #TurkishArmy</t>
  </si>
  <si>
    <t>AÜ Uluslararası İlişkiler</t>
  </si>
  <si>
    <t>A. Glaucus</t>
  </si>
  <si>
    <t>ABD'nin bıraktığı DAEŞliler, hangi ülkenin vatandaşıysa, TR uçağa koyup ülkesine göndersin..devletleri ne edeceklerse etsinler.. kabul etmemek diye bir şey yok/olamaz.. Suriye sınırımız dünyanın terörist çöplüğü değil.. Yeter! #BarisPinariHarekati #TurkishArmy #USA #Daesh</t>
  </si>
  <si>
    <t>Zekanin uretim unsurları ilgi,bilgi,sezgi ve duyarlılık (alaka,malumat,feraset ve hassasiyet) selim diyalektikle buluştuğunda,fikir ve fiilde hata hîçe meyleder</t>
  </si>
  <si>
    <t>Düşünür</t>
  </si>
  <si>
    <t>#TurkishArmy #carsamba #BarisPinari ABD Başkanı Donald Trump, "Suriye'de kimsenin tarafını tutmuyorum. Erdoğan ile çok iyi bir ilişkimiz var" dedi.</t>
  </si>
  <si>
    <t>https://pbs.twimg.com/media/EGbzfkrWoAAOks7.jpg</t>
  </si>
  <si>
    <t xml:space="preserve">Gizli Bahçe </t>
  </si>
  <si>
    <t>(Eddebeni Rabbi ve Ahsene Te’dibi ) Beni Rabbim terbiye etti terbiyemi ne güzel eyledi.</t>
  </si>
  <si>
    <t>bilal yayla</t>
  </si>
  <si>
    <t>#TurkishArmy Sonuna kadar ordumuzun arkadındayız</t>
  </si>
  <si>
    <t>Barış Pınarı Harekatı🇹🇷</t>
  </si>
  <si>
    <t>İşte Fırat'ın doğusunda terörden arındırılacak bölgeler ▪️Ayn el Arab ▪️Tel Abyad ▪️Resulayn ▪️Kamışlı ▪️Malikiyye, Amuda, Dirbasiye ve Fırat'ın batısında kalan Münbiç Fırat'ın doğusuna yapılacak operasyonla, 480 kilometrelik bir hat terörden arındırılacak. #TurkishArmy</t>
  </si>
  <si>
    <t>https://pbs.twimg.com/media/EGbzdTcWkAAw7Nd.jpg</t>
  </si>
  <si>
    <t>OĞUZLAR İçin Hangi Yöne Gidilirse Gidilsin Ulaşabileceğimiz Zafer, Ulaşılmadan Önce KIZIL ELMA'dır</t>
  </si>
  <si>
    <t>https://www.facebook.com/turkislam27</t>
  </si>
  <si>
    <t>Nurcan Sargın</t>
  </si>
  <si>
    <t>Her nefis ölümü tadacaktır. Sizi bir imtihan olarak kötülük ve İyilikle deneyeceğiz. Hepiniz de sonunda Bize döndürüleceksiniz. [ENBİYA-35  #TurkishArmy</t>
  </si>
  <si>
    <t>https://pbs.twimg.com/media/D6EImISWAAIePfm.jpg</t>
  </si>
  <si>
    <t>Mutlu insanlar</t>
  </si>
  <si>
    <t>Haluk Varol Bambur ⚡</t>
  </si>
  <si>
    <t>911km sınır hattımız boyunca kurulmak,meşru duruma getirebilmek istenen terör devletine karşı, Misakı Milli duruşu ile tüm Dünyaya Türklerle uğraşılmaz mesajını kahramanca veriyoruz ama chp kalkmış harekatı sorguluyor... Tarih KAHRAMANLARI unutmayacak alçaklarıda! 🇹🇷 #TurkishArmy</t>
  </si>
  <si>
    <t>Ayvalık/Sarımsaklı/Küçükköy</t>
  </si>
  <si>
    <t>🇹🇷 Boşnak ⚡ Evlad-ı Fatihan ⚡ Karadağ/Pljevlja İstanbul/Ayvalık-Küçükköy</t>
  </si>
  <si>
    <t>http://instagram.com/halukvarolbambur</t>
  </si>
  <si>
    <t>murat önal</t>
  </si>
  <si>
    <t>#TurkishArmy terör bükücüler geliyor , hazırlanın teröristler .</t>
  </si>
  <si>
    <t>Feyzi Akbulut 📷</t>
  </si>
  <si>
    <t>Türk Beklenendir! 🇹🇷 #TurkishArmy</t>
  </si>
  <si>
    <t>https://pbs.twimg.com/media/EGbzYiBXkAA5IuP.jpg</t>
  </si>
  <si>
    <t>Sevgi almaktan çok vermektir..</t>
  </si>
  <si>
    <t>Hüseyin BOZ</t>
  </si>
  <si>
    <t>Ülkede hareketelilik var biz yabancı basından öğreniyoruz çok güzel #TurkishArmy</t>
  </si>
  <si>
    <t>Denizli - PAÜ</t>
  </si>
  <si>
    <t>Çakırgöz 🇹🇷</t>
  </si>
  <si>
    <t>Bir Kürt olarak her zaman Türk Ordusunun yanında olacağım. Vatani bölmeye kasteden kim olursa olsun töreristtir. #TurkishArmy</t>
  </si>
  <si>
    <t>@Fenerbahce</t>
  </si>
  <si>
    <t>Ramazan Bener</t>
  </si>
  <si>
    <t>Alparslan’ı, Fatih’i, Yavuz’u bilmeyip; Ülkesi İçin Tek bİr Savaş dahi kazanmayan Anarşiden başka bişey bilmeyen #CheGuevara’yı öven arkadaşlar birazda Türk Olup Kahramanlarımızla övünelim... #TurkishArmy #Barispinari</t>
  </si>
  <si>
    <t>Emniyet Genel Müdürlüğü İHL Mezunuyum Gururluyum 𐱅𐰇𐰼𐰜 🇹🇷🇹🇷🇹🇷</t>
  </si>
  <si>
    <t>mr.jack</t>
  </si>
  <si>
    <t>👍🏻 #TurkishArmy</t>
  </si>
  <si>
    <t>makine muh. uçak bakım ✈️</t>
  </si>
  <si>
    <t>Dursun Rençber</t>
  </si>
  <si>
    <t>Kilisenin Türkiyedeki uşakları kendi suçlarını münferit tecavüz vakalarıyla Müslümanların üzerine yıkmaya çalışıyor. Avrupada dönen çocuk tecavüzü olaylarını bi googledan araştırın bakalım mideniz kaldıracak mı? #TurkishArmy</t>
  </si>
  <si>
    <t>Ölümle yüzleşmek, ölmeyi düşünmekten daha iyidir. -Ahmet Ümit</t>
  </si>
  <si>
    <t>Berkan</t>
  </si>
  <si>
    <t>https://pbs.twimg.com/media/EGbzUaOWwAEfQ7b.jpg</t>
  </si>
  <si>
    <t>💙💛💙💛💙💛</t>
  </si>
  <si>
    <t>Şekliniz Kime Lan?</t>
  </si>
  <si>
    <t>#TurkishArmy Yeni videomuz yayında izlemek için linke tıklayınız 👉</t>
  </si>
  <si>
    <t>https://bit.ly/2MoRVDq</t>
  </si>
  <si>
    <t>https://pbs.twimg.com/media/EGbzSmKWoAExrA3.jpg</t>
  </si>
  <si>
    <t>Oralar Buralar</t>
  </si>
  <si>
    <t>ümit</t>
  </si>
  <si>
    <t>Yetmez Türk'e dünya yetmez Dört yön, yedi kıta yetmez Aya çıksak aya, yetmez! Güneşi de yakacağızBir Türk'ün bir damla yaşı Yok edecek dağı taşı Düşmanın başına arşı, Gökyüzünü yıkacağız!#TurkishArmy</t>
  </si>
  <si>
    <t>https://pbs.twimg.com/media/EGbzRfqXoAAZGAj.jpg</t>
  </si>
  <si>
    <t>yurtta sulh,cihanda sulh</t>
  </si>
  <si>
    <t>eypyprk</t>
  </si>
  <si>
    <t>#TurkishArmy 'in yapacağı operasyondan rahatsız olduğunu açıklamayan ülke lideri kalmadıysa başlayalım artık. Haydi Bismillah.</t>
  </si>
  <si>
    <t>Betül'ün eşi, Emir Kaan'ın babası... #Reis ile "Biz ölümüne" #GALATASARAY</t>
  </si>
  <si>
    <t>T.C. Paylaşım platformu.</t>
  </si>
  <si>
    <t>Sınır Hattında Boşaltılan Bir Köyde Kürt anamız emretti; ONLARI EZİN! #TurkishArmy #BarisPinari</t>
  </si>
  <si>
    <t>pic.twitter.com/fEz8BnSPzw</t>
  </si>
  <si>
    <t>T.C. Paylaşım Platformu Resmî Twitter Hesabıdır.</t>
  </si>
  <si>
    <t>https://www.instagram.com/bordoberelilerr/?hl=tr</t>
  </si>
  <si>
    <t>Etkin</t>
  </si>
  <si>
    <t>#TurkishArmy ulke guvenligi icin duvar örüyordu meksikaya bunlar kdndilerine olunca mangalda kul birakmazlar ,yanibasimizda teroristler cirit atsin bizde elimiz kolumuz seyredelim hee ,Allah yar ve yArdimcimiz olsun</t>
  </si>
  <si>
    <t>asmtgvnn</t>
  </si>
  <si>
    <t>Çay demle hacı dayı yakındır gelmemiz #TurkishArmy</t>
  </si>
  <si>
    <t>http://instagram.com/asmtgvnn</t>
  </si>
  <si>
    <t>Eray</t>
  </si>
  <si>
    <t>Sizce Türk Ordusu 48 Saat Icerisinde Bir Operasyon Baslatacak Mi? . #turkisharmy #saglikyonetimineatamasart #suriye #türkiye #eminebulut #CheGuevara #çarşamba arap birliği natali avazyan tevfik göksu iran cumhurbaskani ruhani goksu'ya bakan akar'dan dışişleri bakanı çavuşoğlu</t>
  </si>
  <si>
    <t>Amerikan Futbolu (Nfl) Ve Amerikan Beyzbol Ligi (Mlb) Tipster &amp; Sosyolog &amp; Karar Alma Uzmanı &amp; Fx Trader</t>
  </si>
  <si>
    <t>http://www.americansportstr.com</t>
  </si>
  <si>
    <t>Serbaz61</t>
  </si>
  <si>
    <t>#TurkishArmy Mevzubahis vatansa gerisi teferruattır! Gazi Mustafa Kemal Atatürk</t>
  </si>
  <si>
    <t>Ete kemiğe büründüm, #Mustafa diye göründüm.! Ne mutlu #Türk’üm diyene..! (M. Kemal #Atatürk)</t>
  </si>
  <si>
    <t>http://instagram.com/serbazmustafa</t>
  </si>
  <si>
    <t>☪ 𝓗𝓪𝓻𝓾𝓷 ☪</t>
  </si>
  <si>
    <t>http://www.cumhuriyet.com.tr/haber/turkiye/1619276/AKP_li_Unal__Kadirova_nin_hayatini_kaybettigi_gun_bassavci_yardimcisini_evine_cagirmis.html</t>
  </si>
  <si>
    <t>Old ways dont open new doors.... 1907 💛💙🌿🇹🇷</t>
  </si>
  <si>
    <t>Halil İbrahim DEMİR</t>
  </si>
  <si>
    <t>https://pbs.twimg.com/media/EGbzHzsXkAABv4c.jpg</t>
  </si>
  <si>
    <t>Enes alici</t>
  </si>
  <si>
    <t>https://pbs.twimg.com/media/EGbzGraX0AAJJeF.jpg</t>
  </si>
  <si>
    <t>ATASPOR</t>
  </si>
  <si>
    <t>Ryan Babel: "Hemen çıldırmaya gerek yok!" ( Tevfik Göksu Arap Birliği ) #spor #süperlig #futbol #haber #Galatasaray #KendineGelPezeberk #EmineBulut #TurkishArmy #takip #destek #tt</t>
  </si>
  <si>
    <t>https://pbs.twimg.com/media/EGbzGWeXUAMh8SQ.jpg</t>
  </si>
  <si>
    <t>Sosyal spor sayfası</t>
  </si>
  <si>
    <t>Al Pacino the Turkish one</t>
  </si>
  <si>
    <t>Nothing more, Nothing less, #TurkishArmy Is the BEST! Mashallah! Allahu ekber! Elhamdülillah! Cheer!</t>
  </si>
  <si>
    <t>Twıtter HD</t>
  </si>
  <si>
    <t>Moslem. Student of skies and teacher of the earth. Reading. I love Palestine. 💓🌷Father. Married.</t>
  </si>
  <si>
    <t>DÜNYA GERÇEKLERİ حقاءق العالم WORLD REALİTİES</t>
  </si>
  <si>
    <t>يجب ان يعرف كل العالم : لن ولم نسمح بتأسيس الدولة الصهاينة الثانية في حدودنا. #وش_تسوي_الان #TurkishArmy</t>
  </si>
  <si>
    <t>BULUTLARIN ÜSTÜ</t>
  </si>
  <si>
    <t>EY ALLAHIM. SENDEN BASKA KİMSEYE VE HİÇ BİR MADDEYE BANA KULLUK ETTİRME.IRKÇILIK VE İDEOLOJİLERİN KÖLESİ OLMAKTAN SANA SIĞINIRIM</t>
  </si>
  <si>
    <t>Melih İlhan</t>
  </si>
  <si>
    <t>Bir yerin adına denince Türk ülkesi, Gözüm bayrak arar kulağım ezan sesi #TurkishArmy 🇹🇷</t>
  </si>
  <si>
    <t>https://pbs.twimg.com/media/EGbzCHvWoAAIhxb.jpg</t>
  </si>
  <si>
    <t>| Haliç University ~ Software Developer | Researcher | 🇹🇷 fikir beyanından ötürü suçlu olanlardan 🇹🇷</t>
  </si>
  <si>
    <t>𝓔 𝔃 𝓰 𝓲</t>
  </si>
  <si>
    <t>İnnâ fetahnâ leke fethan mubînâ 🤲🏻#TurkishArmy 🇹🇷</t>
  </si>
  <si>
    <t>https://pbs.twimg.com/media/EGbzAfpXYAAPWRB.jpg</t>
  </si>
  <si>
    <t>🇹🇷 İ𝐴𝑈̈ 🎓 𝐵𝑇 𝑂̈ğ𝑟𝑒𝑡𝑚𝑒𝑛𝑖💻📚</t>
  </si>
  <si>
    <t>mrtclk 🇹🇷⚡</t>
  </si>
  <si>
    <t>Tarihim, şerefim, şiirim, her şeyim: Yer yüzünde yer beğen! Nereye dikilmek istersen, Söyle, seni oraya dikeyim... #TurkishArmy</t>
  </si>
  <si>
    <t>https://pbs.twimg.com/media/EGbzB3aW4AIpUc2.jpg</t>
  </si>
  <si>
    <t>Twitter Inc.'in 'deki resmi hesabı. Şirketimiz, ürünlerimiz ve ortaklarımız hakkında bilgiler içerir.</t>
  </si>
  <si>
    <t>Bartu Temel</t>
  </si>
  <si>
    <t>Bakan Hanıma göre Nafakada 5 yıl kadını zorlarmış ?!? Kadın-Erkek eşit değil mi? Neden hep nafakayı erkek veriyor, kadın da erkeğe nafaka ödesin !.. Bunlar Aile kurumunu ve İslâm Medeniyetini kökünden bitirmek için her yolu deneyen truvalar #TurkishArmy</t>
  </si>
  <si>
    <t>Bir kadının kaderi</t>
  </si>
  <si>
    <t>reisci çocuk🇹🇷</t>
  </si>
  <si>
    <t>#TurkishArmy Savaşa hayır diyerek pkk'ya destek çıkanları gör ya rabbî.! Erdoğan nefreti uğruna, düşmana moral veren onlardır ya rabbî, ta ki, ezanları susturanlardır ezelden gelen namı bunların, Mağlup et, çünkü bu son azılı düşmanıdır İslam'ın....</t>
  </si>
  <si>
    <t>https://pbs.twimg.com/media/EGbzAnFW4AAs6xH.jpg</t>
  </si>
  <si>
    <t>İstanbul/Bayburt</t>
  </si>
  <si>
    <t>R.T.E / N.F.K / BÜYÜK DOĞU Beni ALLAH tutmuş kim eder azad http://instagram.com/reisci_cocuk 🇹🇷 reİStanbul Grupları Kurucu Başkanı</t>
  </si>
  <si>
    <t>bircicek hallac</t>
  </si>
  <si>
    <t>2 MİLLİ ŞUUR ÇOK ÖNEMLİ, GENÇLERİMİZ ACİLEN BİLİNÇLENDİRİLMELİ. 2  🎣 2019 Nobel Kimya Ödülü Stefano Pioli #TurkishArmy Tevfik Göksu #CheGuevara alüminyum taşı süreklileştirme buruşukça 🎣</t>
  </si>
  <si>
    <t>pic.twitter.com/zmTcj0amjy</t>
  </si>
  <si>
    <t>HAYAT ile HAYAL arasındaki tek fark TL dir</t>
  </si>
  <si>
    <t>Muhammet Faik Baykal</t>
  </si>
  <si>
    <t>#TurkishArmy #BarisPinariHarekati Özünden almışsın İslam nurunu, Bütün dünya tanır şanlı soyunu, Zalimlerin bozulur elbet oyunu, Bak işte geliyor Türk ordusu!!!</t>
  </si>
  <si>
    <t>https://pbs.twimg.com/media/EGby-HSXUAAr2FP.jpg</t>
  </si>
  <si>
    <t>- İÜ Siyaset Bilimi ve Uluslararası İlişkiler - İÜ Sosyoloji - Uluslararası Siyaset ve Tarih Akademisi</t>
  </si>
  <si>
    <t>http://www.ustakademi.com</t>
  </si>
  <si>
    <t>Kağan'ın Babası</t>
  </si>
  <si>
    <t>Vaziyet alın ortalık karışacak birazdan #TurkishArmy</t>
  </si>
  <si>
    <t>https://pbs.twimg.com/media/EGby87eX0AAmYJY.jpg</t>
  </si>
  <si>
    <t>Atatürk Beşiktaş Emel~Kağan gerisi yalan</t>
  </si>
  <si>
    <t>ibrahim eken</t>
  </si>
  <si>
    <t>https://pbs.twimg.com/media/EGby7RvXkAUFh1e.jpg</t>
  </si>
  <si>
    <t>İnsanlar uykudadır ölünce uyanırlar/Lakin Hay”dan geldik Hu”ya gideriz..#realestate#gayrimenkul#</t>
  </si>
  <si>
    <t>Urfadan Haber</t>
  </si>
  <si>
    <t>Top sesleri duyulmaya başladı  #Urfa #Haber #Suriye #TSK #TurkishArmy</t>
  </si>
  <si>
    <t>https://urfadanhaber.com/sinirda-hareketlilik-basladi/</t>
  </si>
  <si>
    <t>pic.twitter.com/VGIMqywzhd</t>
  </si>
  <si>
    <t>Doğru Haberin Adresi Haber İhbar Hattı 05419175589 Site Sorumlusu Yasin Doğan</t>
  </si>
  <si>
    <t>http://urfadanhaber.com/</t>
  </si>
  <si>
    <t>sıradan biri ❤️ ⭐️⭐️⭐️⭐️💛</t>
  </si>
  <si>
    <t>#TurkishArmy bizim ecdadımız, bu yaşta böyle olursa, siz ekonomik baskıylamı korkuyacaksınız bizi ulan turp 🇹🇷🇹🇷🇹🇷🇹🇷🇹🇷🇹🇷</t>
  </si>
  <si>
    <t>https://pbs.twimg.com/media/EGby6xyWoAEWHl4.jpg</t>
  </si>
  <si>
    <t>💛❤️#Galatasaray ❤️💛milliyetçi , Atatürkçü , şiir sever, yengeç.. 🇹🇷🇹🇷,İki mustafayıda seven sırandan bir vatandaş ( fetö, hdpkk takip etme )</t>
  </si>
  <si>
    <t>Hüseyin YILDIRIM</t>
  </si>
  <si>
    <t>Kalite Belgesi, E-Ticaret, Web Sayfası Danışmanlık Hizmetleri</t>
  </si>
  <si>
    <t>http://www.durucreative.com</t>
  </si>
  <si>
    <t>İbrahim Eğin</t>
  </si>
  <si>
    <t>Asalet 🇹🇷🇹🇷🇹🇷 #TurkishArmy</t>
  </si>
  <si>
    <t>https://pbs.twimg.com/media/EGby0RHXkAAunkZ.jpg</t>
  </si>
  <si>
    <t>ERÜ</t>
  </si>
  <si>
    <t>Mehmet Akif ERSOY</t>
  </si>
  <si>
    <t>Saat 15.00’da Manşet- Habertürk TV , Suriye sınırından canlı yayındayız. #BarısPınarlarıHarekatı #TurkishArmy @cetiner_cetin @abdullahagar2</t>
  </si>
  <si>
    <t>İstanbul - Middle East</t>
  </si>
  <si>
    <t>Gazeteci / Habertürk TV / - http://Instagram.com/maersoy</t>
  </si>
  <si>
    <t>sametcimbarut</t>
  </si>
  <si>
    <t>Tag ingilizce yazılanlar türkçe #TurkishArmy</t>
  </si>
  <si>
    <t>pic.twitter.com/2sJpH1TAyh</t>
  </si>
  <si>
    <t>body wants sex,hearts want love...</t>
  </si>
  <si>
    <t>Rıza ışıklı</t>
  </si>
  <si>
    <t>Bizim milletimiz İslami faaliyetleri engellemekle meşgul olan ükedeki derin yapıların varlığını bir türlü kabullenmek istemiyor nedense. Masal dinler gibi dinliyorlar ama aynı millet dış güçler'e şek ve şüphe duymadan inanıyor #TurkishArmy</t>
  </si>
  <si>
    <t>Gönül, han değil dergâhtır. Paldır küldür girilip çıkılmaz, günahtır! (Mevlana)</t>
  </si>
  <si>
    <t>Agâh Efendioğlu</t>
  </si>
  <si>
    <t>Vatan için duyulan sevgi, toprak ana için duyulan ya da çiğnediğimiz çimenlere karşı beslenilen gülünç sevgi değil; onu ezenlere karşı beslenilen yenilmez nefret ona saldırana karşı beslenilen ebedi hınçtır. #TurkishArmy</t>
  </si>
  <si>
    <t>https://pbs.twimg.com/media/EGbyxYOX0AEz8BC.jpg</t>
  </si>
  <si>
    <t>işsiz mimar. @besiktas ve @SpursOfficial taraftarı.</t>
  </si>
  <si>
    <t>ömer demir</t>
  </si>
  <si>
    <t>#TurkishArmy is coming</t>
  </si>
  <si>
    <t>Beni tanımak size birşey kazandırmaz. DM❎</t>
  </si>
  <si>
    <t>🇹🇷Gök𐱅𐰼𐰇𐰰 BEĞ</t>
  </si>
  <si>
    <t>28 NATO üyesi ülkeden sadece İspanya Türkiye’nin Terörle Mücadelesine tam destek verdi. İspanya yıllarca Bask bölgesinde bizdeki gibi Mayın Eşekleriyle az uğraşmadı. Terörün acısını biliyor. #TurkishArmy</t>
  </si>
  <si>
    <t>https://pbs.twimg.com/media/EGbywqsW4AIXLzl.jpg</t>
  </si>
  <si>
    <t xml:space="preserve">Uçmağ </t>
  </si>
  <si>
    <t>🇹🇷𐱅𐰼𐰇𐰰🇹🇷 Çəpni TÜRK'ü 🇹🇷 Devlet Ebed Müddet #MHP 🇹🇷</t>
  </si>
  <si>
    <t>H✨</t>
  </si>
  <si>
    <t>The amount of bullshit in this hashtag is amusing and terrifying at the same time #TurkishArmy</t>
  </si>
  <si>
    <t>Politics &amp; International Relations graduate from NTU | Marketing 👩🏻‍💻 | My tweets aren’t a true representation of myself, I promise 🤷🏻‍♀️</t>
  </si>
  <si>
    <t>Esin eylül özkök</t>
  </si>
  <si>
    <t>Zulme neşter vurmak için, Allah yolunda cihat için, sonsuza kadar adalet için #TurkishArmy</t>
  </si>
  <si>
    <t>Yazar,Şair,Ressam, Mücevher Tasarımcısı</t>
  </si>
  <si>
    <t>Tayfun  ARPACI</t>
  </si>
  <si>
    <t>Eğer dünya barış ve huzur istiyorsa Türk Ordusuna biat etmeli... #TurkishArmy</t>
  </si>
  <si>
    <t>•••Şair•••✒ AÇÜ İLAHİYAT 🎓 http://instagram.com/tayfun_arpaci_…</t>
  </si>
  <si>
    <t>https://pbs.twimg.com/media/EGbypvoXoAMpdf2.jpg</t>
  </si>
  <si>
    <t>Metin Altınöz</t>
  </si>
  <si>
    <t>lâ gâlibe illâllah 🇹🇷🇹🇷🇹🇷🇹🇷#TurkishArmy</t>
  </si>
  <si>
    <t>BMW MOTORSPORT GMBH ///M Power</t>
  </si>
  <si>
    <t>TSK Elo卍ist T.C.🌿🇹🇷</t>
  </si>
  <si>
    <t>Gittiği her yer yerde önce çocukların güvendiği ve sığındığı tek ordu @TSK. Dikkat edin tarafsız, savunmasız çocuklar diyorum. Türk askeri daima beklenen ve adalet getirendir. #TurkishArmy</t>
  </si>
  <si>
    <t>https://pbs.twimg.com/media/EGbyoe8WwAAxDGO.jpg</t>
  </si>
  <si>
    <t>NE MUTLU TÜRKÜM DİYENE</t>
  </si>
  <si>
    <t>ÖNCE GÖKTANRI SONRA ATATÜRK. 卍 TÜRKÇÜLÜK DİNLER VE SİYASET ÜSTÜDÜR. 卍 Saygı olsun bu çelik atlıların göktuğuna Tuğu kaldırmış olan orduların Başbuğu'na</t>
  </si>
  <si>
    <t>Anıl Atbaş</t>
  </si>
  <si>
    <t>İNSAN ilk önce kendine DÜRÜST olmalı. #TurkishArmy</t>
  </si>
  <si>
    <t>Ben seni uyuttum,seni karıştırdım,seni şaşırdım birşeyler akıp akıp giderdi,dünyada başvurduğum birşeydin,yalnızlığım gibi yanında sonsuz durduğum.-Turgut Uyar</t>
  </si>
  <si>
    <t>Calvin</t>
  </si>
  <si>
    <t>#TurkishArmy Türkiye’nin ekonomisi düzeldi sanki hemen savaşa giriyorlar, ekonomiyi düşünemiyorlar ekonomisi olmayan ülke bitik bir ülkedir. Ülke içindeki sorunları çözdüler suriye kaldı.</t>
  </si>
  <si>
    <t>halit FB</t>
  </si>
  <si>
    <t>Sivil kaybı olmadan teröre karşı savaş kazanmış dünyada tek ordudur🇹🇷#TurkishArmy</t>
  </si>
  <si>
    <t>Fenerbahce</t>
  </si>
  <si>
    <t>Urfa Haberleri</t>
  </si>
  <si>
    <t>VİRANŞEHİR'DE DÜĞÜNDE KÜRTÇE ŞARKI SÖYLEYENLERİN TUTUKLANMASININ ARDINDAN DÜN GECE YAPILAN OPERASYON İLE URFA'DA 66 KİŞİ GÖZALTINA ALINDI !!! #SağlıkYönetimineAtamaŞart #TurkishArmy #EmineBulut</t>
  </si>
  <si>
    <t>http://urfanews.com/sanliurfada-teror-propagandasi-gozaltilari-devam-ediyor-66-kisi-gozaltina-alindi</t>
  </si>
  <si>
    <t>Şanlıurfa Merkez, Şanlıurfa</t>
  </si>
  <si>
    <t>En Son Yayımlanan Şanlıurfa Haberlerini Takip Edebileceğiniz Etik Kurallar Çerçevesinde Haber Yapan Yerel ve Ulusal Haber Siteniz</t>
  </si>
  <si>
    <t>https://www.urfahaberleri.com</t>
  </si>
  <si>
    <t>Muhammet Ece</t>
  </si>
  <si>
    <t>We are Ready.Are you ?🤪🇹🇷🇹🇷🇹🇷#TurkishArmy</t>
  </si>
  <si>
    <t>https://pbs.twimg.com/media/EGbylrwX0AAm_bI.jpg</t>
  </si>
  <si>
    <t>Denizli</t>
  </si>
  <si>
    <t>yellowrider</t>
  </si>
  <si>
    <t>#TurkishArmy Arkadaslar bu hashtag i yayalim: #ShutDownIncirlikBase</t>
  </si>
  <si>
    <t>𝓐𝓼𝓪𝔂𝓲ş 𝓚𝓮𝓶𝓪𝓵</t>
  </si>
  <si>
    <t>https://pbs.twimg.com/media/EGbyk5SXYAIccYk.jpg</t>
  </si>
  <si>
    <t>Öyle süslü sözlerle ulus işleri yürütülemez,Vatan toprağı kutsaldır; Kaderine terk edilemez..</t>
  </si>
  <si>
    <t>Poyraz KARA 🦅</t>
  </si>
  <si>
    <t>bunlar afrinde Türk askerimizin karşısında kime, kim için, neden köpeklik yaptılar? vatanını mı savundu çinli :) #SAVASAHAYIR diyen bir kişi açıklayabilir mi ? hiç kürde-araba da benzemiyorlar :) 7 düvel toplanmışlardı #TurkishArmy RT @eha_news: 📌Does #Turkey really fight Kurds in #Syria ? ▪️ A closer look at foreign PKK/YPG terrorists shows the truth behind the wrong "Turkey fights Kurds" rhetoric used by Western countries 🔗</t>
  </si>
  <si>
    <t>https://twitter.com/eha_news/status/1181573996128735232
http://ehamedya.com/foreign-members-of-the-pkkypg-terror-organisation-in-syria_29727.html</t>
  </si>
  <si>
    <t>https://pbs.twimg.com/media/EGXLRdkXoAARVJI.jpg</t>
  </si>
  <si>
    <t>@localhost</t>
  </si>
  <si>
    <t>Bilişim ve Teknoloji | Sosyal Medya | Web Dizayn | BeşiktAŞK</t>
  </si>
  <si>
    <t>Kuzey</t>
  </si>
  <si>
    <t>FreeShop mağazalarından aldığımız bir ürünü yerel mağazasına iade edemediğim D&amp;R Gümrük kanunundan dem vuruyor. Peki, yerel mağaza aracılığı ile Dış Hatlar mağazanıza göndermemize yardımcı olun diyoruz ses yok muhatap yok. Lafta müşteri memnuniyeti. @DRdunyasi #TurkishArmy</t>
  </si>
  <si>
    <t>Fakir</t>
  </si>
  <si>
    <t>osmanlı  torunu</t>
  </si>
  <si>
    <t>Birine bakıp çıkacağız #TurkishArmy</t>
  </si>
  <si>
    <t>motorcuçocuk</t>
  </si>
  <si>
    <t>Allah yardımcınız olsun... Diyarbakır 8.ana jet üssü. #turkisharmy #BarisPinari</t>
  </si>
  <si>
    <t>https://pbs.twimg.com/media/EGbyYeTXUAAkG9s.jpg</t>
  </si>
  <si>
    <t>Kırmızıyı çok severim.</t>
  </si>
  <si>
    <t>DİLARA SAVRAN</t>
  </si>
  <si>
    <t>Bu ordu senin ordun Atam. #TurkishArmy</t>
  </si>
  <si>
    <t>https://pbs.twimg.com/media/EGbyW2NXkAAc6pG.jpg</t>
  </si>
  <si>
    <t>Atsızın talebesi, Atatürk askeri. HHO 2020</t>
  </si>
  <si>
    <t>Ali.G〽</t>
  </si>
  <si>
    <t>Sen Tarihsin, Sen Zafersin, Sen Bayraksın, Sen Vatansın, Vur Mehmedim! Vur ki; Dünya utansın.. #BarisPinari #Turkisharmy</t>
  </si>
  <si>
    <t>Dertli Karınca 🤲🇹🇷🤲</t>
  </si>
  <si>
    <t>#TurkishArmy Uykun geldi mi Hewal ? Psikolojin bozuldu mu? Devletlerin kucağına oturma demedik mi sana?</t>
  </si>
  <si>
    <t>https://pbs.twimg.com/media/EGbyUtsW4AAB9qq.jpg</t>
  </si>
  <si>
    <t>İnşallah ileride öyle nesiller gelir ki,Halk TV'de Erdoğan'ı anarlar! Bugün Allah için ne yapmadın? İlahi Ente Maksudi ve Rıdâke Matlubi.</t>
  </si>
  <si>
    <t>Mahire iris</t>
  </si>
  <si>
    <t>Edebin ne kadar önemli olduğunu bilseydiniz, Allah tan rızık yerine edep talep ederdiniz...(Hz. Ali)  #TurkishArmy</t>
  </si>
  <si>
    <t>https://pbs.twimg.com/media/Dx7k-voWsAAwdp1.jpg</t>
  </si>
  <si>
    <t>Yaratıcılıklarını yitirmiş insanlar barış yapamazlar. Çünkü barış zor ve insanların kolay kolay tadına varamadıkları bir yaşam biçimidir. -Yasar Kemal</t>
  </si>
  <si>
    <t>Hamza ÇOBAN</t>
  </si>
  <si>
    <t>#TurkishArmy Türkiye'nin 1 numaralı problemi Kılıçdaroğlu'dur. "Barış içinde yaşamak dururken ne işimiz var oralarda" demek de nedir? PKK/PYD 'ye verilen binlerce TIR silah BARIŞ için verilmedi. Erbakan sağ olsaydı "Seni gidi mandacı seniii!" derdi. Rahmetli adamdı vesselâm.</t>
  </si>
  <si>
    <t>لا حول ولا قوة إلا با لله</t>
  </si>
  <si>
    <t>Murat ➡ RTE ➡ Davamız ➡ İslam</t>
  </si>
  <si>
    <t>#TurkishArmy Heval cehenneme hoş geldin</t>
  </si>
  <si>
    <t>https://pbs.twimg.com/media/EGbyQ-IWsAE6qcE.jpg</t>
  </si>
  <si>
    <t>Elhamdüllillah Müslüman Türküm Bu Vatanın Gerçek Evlatlarından Biriyim Ne Mutlu Müslümanım Diyene.. ☝</t>
  </si>
  <si>
    <t>🦁KRAL🦁🎯23</t>
  </si>
  <si>
    <t>BismillahuAllahuekber #TurkishArmy</t>
  </si>
  <si>
    <t>Zafer Avcı 🇹🇷</t>
  </si>
  <si>
    <t>Her delikanlının bir gelişi vardır! #TurkishArmy</t>
  </si>
  <si>
    <t>pic.twitter.com/vpynUidDjs</t>
  </si>
  <si>
    <t>BU HESAP; DİNİNE, VATANINA HİZMET EDENİN VE MAZLUMUN YANINDA OLMAK İÇİN AÇILMIŞTIR. HAK İÇİN HAKİKAT KONUŞUR.</t>
  </si>
  <si>
    <t>Yımırta 🍳</t>
  </si>
  <si>
    <t>Bi an gündemde ne işimiz var dicektim #TurkishArmy</t>
  </si>
  <si>
    <t>MOON</t>
  </si>
  <si>
    <t>💜My life : Ichini Kochini Seokjinnie 💜 I want to be RJ 🐏 Yeontanist 🐯💜 (Winter Bear 🐻) 닭칼국수🍜 Naşıl severşin? Rafadan Lop Cıvık BTS PAVED THE WAY</t>
  </si>
  <si>
    <t>https://curiouscat.me/Yoggum7?t=1568561750</t>
  </si>
  <si>
    <t>Dogo</t>
  </si>
  <si>
    <t>#TurkishArmy Allah Türk ordusunun yardımcısı olsun. 🇹🇷🇹🇷</t>
  </si>
  <si>
    <t>https://pbs.twimg.com/media/EGbyOEXWwAAJ9a_.jpg</t>
  </si>
  <si>
    <t>Hacer Yigit</t>
  </si>
  <si>
    <t>Ey aşk gel dokun yüreğime gafletle perdelenmiş gözlerim de bin perde, O aşkı görüp de seyir etse benlik yok olup gitse. Ey aşk gel de dokun yüreğime sevgiliden gayri ne var ise silinsin Aşk hürmetine...! Hacer Yiğit #TurkishArmy</t>
  </si>
  <si>
    <t>Aşkta hicap olmalı...!</t>
  </si>
  <si>
    <t>Işık</t>
  </si>
  <si>
    <t>DelilOlsa BunlarMıKonuşulur ⏩Kuran'ın ⏩Laikliğin ⏩Hukukun ⏩Demokrasinin gereği olarak hiçbir vatandaşımız dini inancından dolayı yargılanamaz !! • Müşteki avukatları dini konularda soru soramaz !! @AYMBASKANLIGI @suleymansoylu #EmineBulut #TurkishArmy #çarşamba Haluk Levent</t>
  </si>
  <si>
    <t>https://pbs.twimg.com/media/EGbyMcTWwAEMdp1.jpg</t>
  </si>
  <si>
    <t>gürşat ülker</t>
  </si>
  <si>
    <t>ülker inşaat tekirdağ</t>
  </si>
  <si>
    <t>İzzet Canatan</t>
  </si>
  <si>
    <t>Ey iman edenler eğer Allah’tan korkarsanız O sizin için hak ve batılı ayırt edici bir anlayış kılar sizden kötülüklerinizi Örter ve size mağfiret eder Enfal 29 ayet .  #TurkishArmy</t>
  </si>
  <si>
    <t>https://pbs.twimg.com/media/D8ciokYWsAEV611.jpg</t>
  </si>
  <si>
    <t>Affet ama asla unutma yoksa tekrar yaralanırsın. Affetmek bakış açını değiştirir, unutmak ise aldığın dersi kaybettirir. - Paulo Coelho (Simyacı)</t>
  </si>
  <si>
    <t>NECAT GÖKTÜRK</t>
  </si>
  <si>
    <t>🇹🇷 “Dünyanın hiçbir ordusunda yüreği seninkinden daha temiz, daha sağlam bir askere rastlanmamıştır." Mustafa Kemal Atatürk #TurkishArmy #T.C.vatandaşımehmetçiğinyanında #T.C.barışpınarıoperasyonu #T.C.barışpınarıharekatı</t>
  </si>
  <si>
    <t>pic.twitter.com/rfzjzhqdyA</t>
  </si>
  <si>
    <t>TÜRKİYE İSTANBUL BAYRAMPAŞA ⚡️ İNSTAGRAM:ngokturk@gmail.com. FACEBOOK:necatgokturk73@yahoo.com SLATKİ GREH 🦅</t>
  </si>
  <si>
    <t>Vatan Sever🇹🇷</t>
  </si>
  <si>
    <t>#TurkishArmy Kafir orduları çoluk çocuk demeden bombalayıp katliam yabarlar ama Allah'ın askeri olan MEHMEDİM çocukları sevindiriyor🇹🇷 2'bin küsür tarihinde beri Oğuz Han'ın evladlarin geleneğinde ve Osmanlı geleginde Masum çocuklar ve kadınlarına dokunmaz. 🇹🇷🇹🇷🇹🇷🇹🇷 @efe60ayhan</t>
  </si>
  <si>
    <t>https://pbs.twimg.com/media/EGbyHo2XUAENIj2.jpg</t>
  </si>
  <si>
    <t>Müslüman Türk🇹🇷evlâdı 🇹🇷🇦🇿🇶🇦🇵🇰🇵🇸ϜϓſϞ🇹🇷 ana hesap 🤘@efe60ayhan 🤘</t>
  </si>
  <si>
    <t>Bayram Özdoğan</t>
  </si>
  <si>
    <t>"Muhtaç olduğun kudret, damarlarındaki asil kanda, mevcuttur!" Başkomutan Gazi Mustafa Kemal ATATÜRK Orduların yine destanlar yazacak, Büyük Komutanım. #TurkishArmy</t>
  </si>
  <si>
    <t>Bilecik Üniversitesi</t>
  </si>
  <si>
    <t>☝️🇹🇷🇹🇷🇹🇷Huzahvil 🇹🇷🇹🇷🇹🇷☝️</t>
  </si>
  <si>
    <t>The Turk is expected. #TurkishArmy</t>
  </si>
  <si>
    <t>https://pbs.twimg.com/media/EGbyGc4WoAkGkqw.jpg</t>
  </si>
  <si>
    <t>🇹🇷🇹🇷🇹🇷Zalime Yavuz... 🇹🇷🇹🇷🇹🇷</t>
  </si>
  <si>
    <t>Hüdaverdi ÖZCAN</t>
  </si>
  <si>
    <t>https://pbs.twimg.com/media/EGbyGLhWkAAK87a.jpg</t>
  </si>
  <si>
    <t>Selçuk üniversitesi</t>
  </si>
  <si>
    <t>Furkan Balcı</t>
  </si>
  <si>
    <t>https://pbs.twimg.com/media/EGbyFfWX0AED4rE.jpg</t>
  </si>
  <si>
    <t>arslanbey</t>
  </si>
  <si>
    <t>Kocaeli, Bursa, Türkiye</t>
  </si>
  <si>
    <t>Dünden ders alan bugün için yaşayan ve yarın için ümit eden biri</t>
  </si>
  <si>
    <t>Bilal</t>
  </si>
  <si>
    <t>Çakalın saltanatı kurt gelene kadardır #TurkishArmy</t>
  </si>
  <si>
    <t>https://pbs.twimg.com/media/EGbyEa0WsAExsNc.jpg</t>
  </si>
  <si>
    <t xml:space="preserve"> Kocaeli,Sakarya</t>
  </si>
  <si>
    <t>Sakarya Üniversitesi</t>
  </si>
  <si>
    <t>Kürşad Çetinkaya</t>
  </si>
  <si>
    <t>#TurkishArmy Ne mutlu Türk’üm diyene 🇹🇷</t>
  </si>
  <si>
    <t>https://pbs.twimg.com/media/EGbyBxNX0AEnsTX.jpg</t>
  </si>
  <si>
    <t>Atatürk Üniversitesi (İİBF) Selçuk Üniversitesi (Dış Ticaret)</t>
  </si>
  <si>
    <t>f.kaan.cikar</t>
  </si>
  <si>
    <t>Gerilir zorlu bir yay Oku fırlatmak için; Gece gökte doğar ay Yükselip batmak için. #TurkishArmy #TürkMilletiOrdusununYanında</t>
  </si>
  <si>
    <t>https://pbs.twimg.com/media/EGbx2llWkAAU9jp.jpg</t>
  </si>
  <si>
    <t>FKC</t>
  </si>
  <si>
    <t>muhammed mustafa</t>
  </si>
  <si>
    <t>Türkçülerin kendilerinden başka kimseyi sevdiklerini görmedim. İnsan olan ile oturup kalkarım ama ırkını rab edinenle asla, selamım bile olmaz! #EmineBulut #CheGuevara #tubayayardımedin #TurkishArmy #zulümbitenekadar #GönüllerBirOlsun #tubayayardımedin</t>
  </si>
  <si>
    <t>https://pbs.twimg.com/media/EGbx51kW4AALds8.jpg</t>
  </si>
  <si>
    <t>Irkçılara mezhepçilere lanet olsun!</t>
  </si>
  <si>
    <t>Nezih Oktar</t>
  </si>
  <si>
    <t>Everything is for peace and children. #TurkishArmy RT @eskibirmuhtar: Çocukların korkmadığı tek ordu... #TurkishArmy</t>
  </si>
  <si>
    <t>Neurosurgeon, Honorary Editor of JNS Turk (NS&amp;N)</t>
  </si>
  <si>
    <t>http://www.nezihoktar.net</t>
  </si>
  <si>
    <t>Burak Yeral</t>
  </si>
  <si>
    <t>Ensar vakfıydı, müftü fetva verdiydi, çomardı bilmem neydi. böyle konuşanların işlediği cinsel suçların binde birini işlemez müslümanlar! Sen kimi kandırıyorsun? #TurkishArmy</t>
  </si>
  <si>
    <t>Ignatius Reilly</t>
  </si>
  <si>
    <t>#TurkishArmy RT @ali82184018: Tel Abyad sınırına doğru ilerleyen Milli Ordu otobüsünün içi.</t>
  </si>
  <si>
    <t>https://twitter.com/ali82184018/status/1181657535922749452</t>
  </si>
  <si>
    <t>kurdish,christian,philosophy,history of art</t>
  </si>
  <si>
    <t>tuna ozdalga</t>
  </si>
  <si>
    <t>TERÖRÜN HAYAT DAMARI İLMİ MÜCADELE İLE KESİLİR ❗️  2019 Nobel Kimya Ödülü #TurkishArmy #CheGuevara #TurkishArmy İran Cumhurbaşkanı Ruhani yumuklaşma sunulmak kırmızımtırak ayrışım</t>
  </si>
  <si>
    <t>pic.twitter.com/Yy8OrKaaNI</t>
  </si>
  <si>
    <t>Tokat</t>
  </si>
  <si>
    <t>Her şeyin kadar degildegeri kadar seveceksin cunku beklentin ne kadar cok olursao kadar kırılırsın</t>
  </si>
  <si>
    <t>https://instagram.com/tunaozdalga2</t>
  </si>
  <si>
    <t>ipeğimsi</t>
  </si>
  <si>
    <t>Eyyy şanlı ordu, ey şanlı asker... ordumuz olsun, daim muzaffer ! #TurkishArmy</t>
  </si>
  <si>
    <t>☪☪☪TÜRK ☪☪☪. Notaufnahme Krankenschwester- Emergency Nurse</t>
  </si>
  <si>
    <t>Mehmet Tandoğan</t>
  </si>
  <si>
    <t>https://pbs.twimg.com/media/EGbxzHUU0AAr9cW.jpg</t>
  </si>
  <si>
    <t>Cheonan-si, Republic of Korea</t>
  </si>
  <si>
    <t>Hi! I'm ruined and Just 💛FENERBAHÇE💙</t>
  </si>
  <si>
    <t>https://www.instagram.com/m_tandogann/</t>
  </si>
  <si>
    <t>F@TiH</t>
  </si>
  <si>
    <t>https://pbs.twimg.com/media/EGbxu69XkAEBt9G.jpg</t>
  </si>
  <si>
    <t>Ahiret</t>
  </si>
  <si>
    <t>Allahuekber</t>
  </si>
  <si>
    <t>Arslan Bey</t>
  </si>
  <si>
    <t>🇹🇷🇹🇷🇹🇷 “Gerilir Zorlu Bir Yay, Oku Fırlatmak İçin...” 🇹🇷🇹🇷🇹🇷 #TurkishArmy</t>
  </si>
  <si>
    <t>🇹🇷 Elbet SIZMA’larınıza Kalmayan Memleket, SÜZME’lerinize de KALMAYACAK !!! 🇹🇷 TÜRK’ün Gücünü Göreceksiniz !!! 🇹🇷</t>
  </si>
  <si>
    <t>furkan</t>
  </si>
  <si>
    <t>🇹🇷🇹🇷🇹🇷 #TurkishArmy</t>
  </si>
  <si>
    <t>yolumu arıyorum 🇹🇷</t>
  </si>
  <si>
    <t>I Ş I L ☀</t>
  </si>
  <si>
    <t>Çekilin ben uluslararası ilişkilerciyim! #TurkishArmy</t>
  </si>
  <si>
    <t>Amsterdam, The Netherlands</t>
  </si>
  <si>
    <t>K o ç ♈ Uluslararası Politika 🌍 ATATÜRK 🇹🇷 İYİ☀️Twitlerin %99’unu ben atarım. % 1 danışmanlarım atabilir... 😏 Heralde ne sandın 😏 📍s-Hertogenbosch</t>
  </si>
  <si>
    <t>VolgaMuratCambazoglu</t>
  </si>
  <si>
    <t>#BarisPinari harekatına karşı olanlar. Bu memleket için savaşmayı bilmiyorsan, bölücülerden korkuyorsan, hayat standardın bozulacak diye endişe ediyorsan, senin yerine bunları yapan Mehmetçik için sus. Ya da hainler gibi avaz avaz bağırmaya devam et. #TurkishArmy</t>
  </si>
  <si>
    <t>Ülkücü, Aydın Ülkü Ocakları eski başkan'ı, MHP eski yönetici, köşe yazarı.</t>
  </si>
  <si>
    <t>ADALET GÜNEŞ</t>
  </si>
  <si>
    <t>Getirin Gaşşıh'ları mı 😏 #TurkishArmy</t>
  </si>
  <si>
    <t>pic.twitter.com/pAIM9404WK</t>
  </si>
  <si>
    <t>Her Dövülen Demir Kılıç Oluyor Diye, Her Kılıcı Zülfikâr Sanmayın..! @RTErdogan'la Devam</t>
  </si>
  <si>
    <t>celal kırılmaz</t>
  </si>
  <si>
    <t>A.Dilipak.. “..Parayı görüp, kadınla tanışınca, bir de makam; başımızı döndürdü, liberalleştik, deist olduk, agnostik olduk, belki hâlâ laiklikten haz etmiyoruz ama ciddi anlamda sekülerleştik” 👉Hırsız olduk, mazluma zulmettik,... 🤔🤔😥🤔 #TurkishArmy</t>
  </si>
  <si>
    <t>Türk insanını yükseltmek ve insanca yaşamasını sağlama idealinde olanların davasına sevdalı İstanbul, Bayrak-Millet aşığı, haksızlıklara karşı</t>
  </si>
  <si>
    <t>pizjek</t>
  </si>
  <si>
    <t>https://pbs.twimg.com/media/EGbxkRLW4AAAs80.jpg</t>
  </si>
  <si>
    <t>вeşı̇κтαş Kongre Üyesi</t>
  </si>
  <si>
    <t>darknight</t>
  </si>
  <si>
    <t>#TurkishArmy Damarlarımızdaki kan var oldukça bu ruh hiç ölmeyecek .</t>
  </si>
  <si>
    <t>pic.twitter.com/XeXg9fGH7B</t>
  </si>
  <si>
    <t>Kalbim hep aynı çukurda.</t>
  </si>
  <si>
    <t>GaLip</t>
  </si>
  <si>
    <t>Kırılır da birgün bütün dişliler Döner şanlı şanlı çarkımız bizim ! #TurkishArmy</t>
  </si>
  <si>
    <t>Türklüğü yüceltmek için yaşa 🇹🇷</t>
  </si>
  <si>
    <t>Zaferuzuner</t>
  </si>
  <si>
    <t>pic.twitter.com/MXbfjFVcGr</t>
  </si>
  <si>
    <t>Serdar TOZAR 🇹🇷</t>
  </si>
  <si>
    <t>#TurkishArmy Müslüman Türk Beklenendir Müslüman Türk Merhamettir</t>
  </si>
  <si>
    <t>https://pbs.twimg.com/media/EGbxexMWkAA8WE_.jpg</t>
  </si>
  <si>
    <t>Kendini kudüsün sahibi sananlar , Yarın arkasına saklanacak ağaç bulamayacaklar. Recep Tayip ERDOĞAN</t>
  </si>
  <si>
    <t>http://akparti.org.tr</t>
  </si>
  <si>
    <t>Murat inan</t>
  </si>
  <si>
    <t>#TurkishArmy Türk ordusunun yanında degil bizzat kendisi ve neferiyim bu millet 7 düvelle savaştı şimdi tekrar gerekiyorsa yine savasiriz vesselam</t>
  </si>
  <si>
    <t>💛💙🇹🇷🇹🇷FENERBAHÇE SEVDALISI🇹🇷🇹🇷💙💛</t>
  </si>
  <si>
    <t>TC</t>
  </si>
  <si>
    <t>ALLAHIM TÜRK ordusunu utandırma , intikamımızı almayı bizlere nasip et. #TurkishArmy</t>
  </si>
  <si>
    <t>https://pbs.twimg.com/media/EGbxdq4XkAIYTUx.jpg</t>
  </si>
  <si>
    <t>Biz Aşkı ,Vatan için canini verenlerden öğrendik</t>
  </si>
  <si>
    <t>Kartal56</t>
  </si>
  <si>
    <t>#TurkishArmy Allâh var gam yok Rabbim sizleri görünür görünmez hertürlü tuzak tan hainlerin gözlerinden sakınsın ailelerinize sağ salim ulastırsın.</t>
  </si>
  <si>
    <t>Avlanmak istedik mi uçup gittiğimiz yer Kafdağı'dır bizim Akbabalar gibi leş avlamayız biz.</t>
  </si>
  <si>
    <t>🇹🇷 Ömer GÖZE 🇹🇷</t>
  </si>
  <si>
    <t>🇹🇷 OTTOMAN EMPİRE 🇹🇷</t>
  </si>
  <si>
    <t>FENERBAHÇE sevdalısı !!! instagram /// omer_goze stepne hesap @goze_omer...!!!</t>
  </si>
  <si>
    <t>http://gozehurdacilik.com</t>
  </si>
  <si>
    <t>HAKAN⚡</t>
  </si>
  <si>
    <t>Savaştan savaşa bizimdir VATAN #TurkishArmy</t>
  </si>
  <si>
    <t>Önce ŞEREF sonra HAYAT 🇹🇷🇹🇷🇹🇷 Savaştan savaşa bizimdir VATAN, barışta sahibi değişir oğul...</t>
  </si>
  <si>
    <t>ZAFER UYAR</t>
  </si>
  <si>
    <t>#TurkishArmy demek harbi Army demek ona göre</t>
  </si>
  <si>
    <t>ÇEKMEKOY IN İST</t>
  </si>
  <si>
    <t>Evli mutlu cok asık ⚡️⚡️</t>
  </si>
  <si>
    <t>http://www.kuruvetemiz.com</t>
  </si>
  <si>
    <t>tayfun</t>
  </si>
  <si>
    <t>#TurkishArmy this is not war against any nation this is just a plan to destroy terrorists who killed 50k turkish people since 40 years</t>
  </si>
  <si>
    <t>İvan Atıf</t>
  </si>
  <si>
    <t>War for peace #TurkishArmy</t>
  </si>
  <si>
    <t>Selcuk Aslantas</t>
  </si>
  <si>
    <t>Biz de emri analar verir. #TurkishArmy</t>
  </si>
  <si>
    <t>#sales #marketing #economy #textile #spanish #entrepreneurship English : C1 🇬🇧 Español : B1 🇪🇸</t>
  </si>
  <si>
    <t>http://aslantaslive.wordpress.com</t>
  </si>
  <si>
    <t>Halim Geyik</t>
  </si>
  <si>
    <t>Memleketin can damarlarından biri haline gelen sosyal medyayı bitirmek için gündemlere eş zamanlı "bahis siteleri" saldırıları başlatıldı.. Toplum burdan bıkıp twiterı kullanmamaya başlarsa asıl haberleri duyacağı tek yer yandaş medya kanalları olacak çünkü #TurkishArmy</t>
  </si>
  <si>
    <t>Tunceli, Türkiye</t>
  </si>
  <si>
    <t>Derse “çirkinim”, bil ki iltifat bekler… (Alper Ayyıldız)</t>
  </si>
  <si>
    <t>İsmail Genç 🇹🇷</t>
  </si>
  <si>
    <t>Siha Sezgin diyorduk adam pornocu Sezgin çıktı hem terörist hem sapık #TurkishArmy</t>
  </si>
  <si>
    <t>https://pbs.twimg.com/media/EGbxUzyXYAAc8WJ.jpg</t>
  </si>
  <si>
    <t>Bir Garip Adam</t>
  </si>
  <si>
    <t>nuri dursun</t>
  </si>
  <si>
    <t>Biz ordusu olan bir millet değil milleti olan bir orduyuz #TurkishArmy</t>
  </si>
  <si>
    <t>pic.twitter.com/JAwo1krZSU</t>
  </si>
  <si>
    <t>Erdal MUSLUK</t>
  </si>
  <si>
    <t>Sefer Bizim Zafer Allahındır ... ins... #TurkishArmy</t>
  </si>
  <si>
    <t>https://pbs.twimg.com/media/EGbxUF8X0AAkmRy.jpg</t>
  </si>
  <si>
    <t>AslanBurhan</t>
  </si>
  <si>
    <t>Alıntı... #TurkishArmy</t>
  </si>
  <si>
    <t>https://pbs.twimg.com/media/EGbxRKCXUAEdUvW.jpg</t>
  </si>
  <si>
    <t>Vazife cümleden âlâ...</t>
  </si>
  <si>
    <t>EOA</t>
  </si>
  <si>
    <t>“Dünyanın hiçbir ordusunda yüreği seninkinden daha temiz, daha sağlam bir askere rast gelinmemiştir. Her zaferin en büyük payı senindir.” Atatürk #TurkishArmy</t>
  </si>
  <si>
    <t>Caddebostan, İstanbul</t>
  </si>
  <si>
    <t>@GalatasaraySK 💛❤️</t>
  </si>
  <si>
    <t>Arslan Ahmet</t>
  </si>
  <si>
    <t>Işte bunun için orada #TurkishArmy</t>
  </si>
  <si>
    <t>pic.twitter.com/9VWVcbZgIZ</t>
  </si>
  <si>
    <t>Yunus Emre</t>
  </si>
  <si>
    <t>Vel akıbetu lil muttakin... #TurkıshArmy</t>
  </si>
  <si>
    <t>La Havle | sakarya</t>
  </si>
  <si>
    <t>BÖRÜ</t>
  </si>
  <si>
    <t>Noldu pek bir keyfin yok düşlediğin gibi olmadı mı? Kaçmayın bak çünkü sadece yorgun öleceksiniz #TurkishArmy RT @ameddicleT: Saldırıyı 9 Ekim tarihine denk getirmelerinin iki sebebi var. 1-Öcalan'ın Suriye'den çıkma tarihi. (9 Ekim 1998) 2-Işid'in Kobane'ye en ağır şekilde saldırdığı tarih (9 Ekim 2015)</t>
  </si>
  <si>
    <t>https://twitter.com/ameddicleT/status/1181888468684808192</t>
  </si>
  <si>
    <t>öğretmen misin be Kübra</t>
  </si>
  <si>
    <t>#TurkishArmy Taşında gözü olanın, yurduna mezar kazacağız!</t>
  </si>
  <si>
    <t>https://pbs.twimg.com/media/EGbxD94X0AA9pFy.jpg</t>
  </si>
  <si>
    <t>Hey gidi küheylan koşmana bak sen</t>
  </si>
  <si>
    <t>İnsan büyür beşikte, mezarda yatmak için. Kahramanlar can verir yurdu yaşatmak için.!🇹🇷 #TurkishArmy</t>
  </si>
  <si>
    <t>Neşet Ertaş 🌙</t>
  </si>
  <si>
    <t>KUZEYİN OĞLU</t>
  </si>
  <si>
    <t>#TurkishArmy :Dosta güven ,düşmana korku !</t>
  </si>
  <si>
    <t>https://pbs.twimg.com/media/EGbw5_AXkAAp2__.jpg</t>
  </si>
  <si>
    <t>İki deli bir araya gelmemeliydi. Var olsun 3 harfliler #TurkishArmy</t>
  </si>
  <si>
    <t>Sosyal Bilgiler Öğretmeni/Neü</t>
  </si>
  <si>
    <t>Politik Tahlil</t>
  </si>
  <si>
    <t>Suriye hükümetinden YPG/SDG/PKK'ya : Hükümet, akıllarını başlarına toplamaları halinde kayıp evlatlarını kucaklamaya hazırdır. #TurkishArmy</t>
  </si>
  <si>
    <t>Uluslararası İlişkiler Uzmanı Tüm objektifliği ile gündem değerlendirmeleri. Analiz ve Yorum. Bu sayfa tamamen bağımsız ve tarafsız değerlendirme sayfasıdır.</t>
  </si>
  <si>
    <t>Mehmed Çavdar</t>
  </si>
  <si>
    <t>Töre buyruk verende, o kutlu gün gelende, yıkılır kahpe düzen Türk meydana inende! #TurkishArmy</t>
  </si>
  <si>
    <t>murat çalışkan</t>
  </si>
  <si>
    <t>#TurkishArmy Bakara Suresi, 193. ayet: (Yeryüzünde) Fitne kalmayıncaya kadar onlarla savaşın. Eğer vazgeçerlerse, artık zulüm yapanlardan başkasına karşı düşmanlık yoktur.</t>
  </si>
  <si>
    <t>Alaaddin</t>
  </si>
  <si>
    <t>Türk ordusu şefkatlidir, yardımseverdir. #TurkishArmy</t>
  </si>
  <si>
    <t>https://pbs.twimg.com/media/EGbws1GWoAEllPi.jpg</t>
  </si>
  <si>
    <t>Ramazan Obuz</t>
  </si>
  <si>
    <t>Allah ülkesini toprağını bağımsızlığını zalime karşı koruyan kahramanlarla beraber olsun #TurkishArmy</t>
  </si>
  <si>
    <t>Cahillerin ve önyargılıların düşmanıyım</t>
  </si>
  <si>
    <t>Fatih Kösretaş</t>
  </si>
  <si>
    <t>Kaçma hewal yorgun öleceksin.#TurkishArmy</t>
  </si>
  <si>
    <t>pic.twitter.com/OLRWCQvbxn</t>
  </si>
  <si>
    <t>Fenerbahçe Sivas 🇹🇷🇹🇷</t>
  </si>
  <si>
    <t>Huseyin Gamsiz</t>
  </si>
  <si>
    <t>En aziz peygamberin övgüsüyle şereflenmiş en güzel ordudur #TurkishArmy</t>
  </si>
  <si>
    <t>Zeynep</t>
  </si>
  <si>
    <t>#TurkishArmy savaşta sadece ölen masum halktır, savaşı çıkaranların ne kendisi nede sulalesi savaşa gitmez</t>
  </si>
  <si>
    <t>https://pbs.twimg.com/media/EGbwtMCW4AE0dZb.jpg</t>
  </si>
  <si>
    <t>💞 BEŞİKTAŞ 🏁</t>
  </si>
  <si>
    <t>ℋ𝓊̈𝓁𝓎𝒶🇹🇷</t>
  </si>
  <si>
    <t>Milli Savunma Bakanı Hulisi Akar “Harekat ile ilgili çalışmalarımız devam ediyor”dedi. Sayın bakanım millet olarak bizim de çalışmalarımız devam ediyor🤗🇹🇷 #TurkishArmy #BarisPinari</t>
  </si>
  <si>
    <t>https://pbs.twimg.com/media/EGbwrckXYAA8s9D.jpg</t>
  </si>
  <si>
    <t>#Bismillahirrahmanirrahim #oğuzlarbozokboyu Evli/Anne Allah yeniden başlayanların yardımcısıdır #BirSevdamızvaradıTÜRKİYE http://gazi.edu.TR Öğrenci #Akekip</t>
  </si>
  <si>
    <t>Salim Şanlıer</t>
  </si>
  <si>
    <t>Sahibine üzüntü veren günah, gurur veren ibadetten hayırlıdır. Atâullah İskenderî #TurkishArmy</t>
  </si>
  <si>
    <t>Yalnızlık kimseyi reddetmez.- Kahraman Tazeoğlu</t>
  </si>
  <si>
    <t>Havva Ekici 🇹🇷</t>
  </si>
  <si>
    <t>İki ordu vardır: Biri gazâ ordusu, diğeri de duâ ordusu ve bu savaşlar, bu iki ordunun ittifakı ile kazanılır. İmam Rabbani Hz. Duâlarımız sizinle.. #TurkishArmy #BarisPinari #TurkMilletiOrdusununYanında</t>
  </si>
  <si>
    <t>https://pbs.twimg.com/media/EGbwpzqWoAcWBeV.jpg</t>
  </si>
  <si>
    <t>La Galibe İllAllah 🎓A.Ü İLAHİYAT</t>
  </si>
  <si>
    <t>Mimolette</t>
  </si>
  <si>
    <t>Gayet güzel su @ekrem_imamoglu #TurkishArmy</t>
  </si>
  <si>
    <t>https://pbs.twimg.com/media/EGbwqRjXkAEqbzP.jpg</t>
  </si>
  <si>
    <t>👩🏻‍🍳🔪 chef</t>
  </si>
  <si>
    <t>BAŞKOMUTAN ERDOĞAN 🇹🇷</t>
  </si>
  <si>
    <t>İyi ki varız... #TurkishArmy</t>
  </si>
  <si>
    <t>https://pbs.twimg.com/media/EGbwqZ-WkAASgG0.jpg</t>
  </si>
  <si>
    <t>Rabbim Mehmetçiğimizi Koru</t>
  </si>
  <si>
    <t>Edmond Dantes</t>
  </si>
  <si>
    <t>https://pbs.twimg.com/media/EGbwpr6WkAElU2s.jpg</t>
  </si>
  <si>
    <t>Türk milletindenim, İslam ümmetindenim, Garb medeniyetindenim!</t>
  </si>
  <si>
    <t>🇹🇷tansuizmir🇹🇷</t>
  </si>
  <si>
    <t>#TurkishArmy Türk ordusu her daim tarih yazmasını bildi yine yazar yine yazar. Sen kimsin ABD bi daha düşün ağzından çıkanları. Biz Mustafa Kemal 'in askerleriyiz. Unuttuysanız eğer hatırlatmasını da biliriz. Allah yar ve yardımcın olsun Mehmet im.💕</t>
  </si>
  <si>
    <t xml:space="preserve"> Türkiye Cumhuriyeti'ni kuran Türkiye halkına Türk milleti denir..(M.Kemal Atatürk.) Türkiye Cumhuriyetini yıkmaya çalışanada şerefsiz gâvurun dölü denir.</t>
  </si>
  <si>
    <t>Emel</t>
  </si>
  <si>
    <t>Dualarımız sizinlee Rabbim sizi korusunn ❤ #TurkishArmy</t>
  </si>
  <si>
    <t>sanane amk gelcen mi</t>
  </si>
  <si>
    <t>Canın sıkılınca yazacaksan yazma o zaman GÖT 🖤BEŞİKTAŞK🖤</t>
  </si>
  <si>
    <t>esinti 🇹🇷</t>
  </si>
  <si>
    <t>@BircanBasak1453 Adım Adım Fırat'ın Doğusuna... Suriye sınırındaki askeri birliklerimize çok sayıda askeri araç ve zırhlı personel taşıyıcılar ile komando takviyesi yapıldı. #TSK🇹🇷🇹🇷🇹🇷 #BarisPinari #TurkishArmy 🇹🇷🇹🇷🇹🇷</t>
  </si>
  <si>
    <t>pic.twitter.com/nt4498j63l</t>
  </si>
  <si>
    <t>☘️hayata dair ne varsa☘️</t>
  </si>
  <si>
    <t>Oğuzhan Ayyılmaz</t>
  </si>
  <si>
    <t>#TurkishArmy "Yarın yeni bir dünya kurulur ve Türkiye orada yerini alır." - İsmet İnönü</t>
  </si>
  <si>
    <t>Susurluk, Türkiye</t>
  </si>
  <si>
    <t>Dağıstan - Makedonya SNÜ/Tarih</t>
  </si>
  <si>
    <t>Nadir Ç.</t>
  </si>
  <si>
    <t>Madem suriyeyi kurtarıp temizliyeceğiz bunu neden bizdeki suriyeli tosunlar yapmıyor da bizim askerimiz yapıyor ? #TurkishArmy</t>
  </si>
  <si>
    <t>Atatürkiye ve Fenerbahçe</t>
  </si>
  <si>
    <t>http://www.instagram.com/nadir.cakiroglu</t>
  </si>
  <si>
    <t>yasemin</t>
  </si>
  <si>
    <t>İsmail Ersoy   🛡</t>
  </si>
  <si>
    <t>#turkishArmy RT @Trabzonspor: Her şart ve koşulda sizinleyiz! 🇹🇷 #BarışPınarıHarekatı #TürkMilletiOrdusununYanında</t>
  </si>
  <si>
    <t>https://twitter.com/Trabzonspor/status/1181451561559572480</t>
  </si>
  <si>
    <t>pic.twitter.com/NUINlwvjpz</t>
  </si>
  <si>
    <t>Kavganın kitabını okumadık, kavganın kitabını yazmadık, kavganın ticaretini yapmadık, kendimizi içinde bulduk. #DEVAM</t>
  </si>
  <si>
    <t>Gerçeğe dair</t>
  </si>
  <si>
    <t>#turkishArmy</t>
  </si>
  <si>
    <t>pic.twitter.com/6UhFCfr8eg</t>
  </si>
  <si>
    <t>YOUTUBER başınızdan geçen paranormal olaylar varsa bana ulaşın kanalımda paylaşıp hikayenizi duyuralım abon olup bana destek verebilirsiniz şimdiden teşekkürler</t>
  </si>
  <si>
    <t>https://m.youtube.com/channel/UCcpyY9slkI_aqCF5cG9y4og</t>
  </si>
  <si>
    <t>İzzet Keçecioğlu</t>
  </si>
  <si>
    <t>Sonunda bize döneceksiniz. Enbiya 35.  #TurkishArmy</t>
  </si>
  <si>
    <t>https://pbs.twimg.com/media/D9WyUT4WkAISU8I.jpg</t>
  </si>
  <si>
    <t>Enektarlar goltuğun altında galık, beni ara!</t>
  </si>
  <si>
    <t>Huzur #TurkishArmy</t>
  </si>
  <si>
    <t>Ravza ve Medine’nin babası</t>
  </si>
  <si>
    <t>investing in Morocco 🇲🇦</t>
  </si>
  <si>
    <t>“When #money realizes that it is in #good hands, it wants to stay and multiply in those hands.” . . . . . #investingMorocco #investing #investinMorocco #investinginMorocco #Morocco #WALvFIJ #StrayKids_DoubleKnot #TurkishArmy</t>
  </si>
  <si>
    <t>http://Investingmorocco.com</t>
  </si>
  <si>
    <t>https://pbs.twimg.com/media/EGbwcyNXkAA4RHA.jpg</t>
  </si>
  <si>
    <t>Grand Casablanca, Morocco</t>
  </si>
  <si>
    <t>We HELP you to GROW your company, your Business by getting you THINKing clearly abt FUTURE."BIG Data of Today is SMALL Data of Tomorrow ". http://investingmorocco.com</t>
  </si>
  <si>
    <t>https://investingmorocco.com/</t>
  </si>
  <si>
    <t>Nazlı Bozkurt</t>
  </si>
  <si>
    <t>Kılıç kınından çıkmaya görsün. #TurkishArmy</t>
  </si>
  <si>
    <t>pic.twitter.com/GlMx4IgGHP</t>
  </si>
  <si>
    <t>Bize hergün #1Nisan</t>
  </si>
  <si>
    <t>ApoApo888888</t>
  </si>
  <si>
    <t>MACHINA HATTAB 🇹🇷</t>
  </si>
  <si>
    <t>https://youtu.be/wo3jMzaleAI</t>
  </si>
  <si>
    <t>Türk ! - | #Battlefield Gamer | MACHiNA_HATTAB | -@Fenerbahce Sevdalısı - ONLY in BATTLEFIELD!!!! http://youtube.com/c/MACHiNAHaTTaB</t>
  </si>
  <si>
    <t>http://www.youtube.com/MachinaHattab</t>
  </si>
  <si>
    <t>turgut yavuz</t>
  </si>
  <si>
    <t>#TurkishArmy Hani diyorlar ya bazıları siyasi olarak çözülemez miydi diye; artık geri dönüş yok ADALET NAMLUDA! TÜRK Ordusu geliyor...</t>
  </si>
  <si>
    <t>https://pbs.twimg.com/media/EGbwVntXkAAgiUc.jpg</t>
  </si>
  <si>
    <t>saliha</t>
  </si>
  <si>
    <t>benim anlamadığım yada anlamladiramadigim şey bu harekatın eninde sonunda olacağı belli iken 18 yaş ve üstü Suriyelilerin de egitilerek en azından bizim askerlerle beraber neden bu savaşa katilmadiklari #TurkishArmy</t>
  </si>
  <si>
    <t>Ferman Özbeyler</t>
  </si>
  <si>
    <t>Kim Allahın indirdiğiyle hükmetmezse onlar kafirlerin ta kendisidir  #TurkishArmy</t>
  </si>
  <si>
    <t>https://pbs.twimg.com/media/D46ZalgW0AEbLYP.jpg</t>
  </si>
  <si>
    <t>pusat çakır</t>
  </si>
  <si>
    <t>Bir damla Mehmetçik kanını bütün Amerika bütçesine değişmeyiz! Prf. Dr. Necmeddin Erbakan #TurkishArmy</t>
  </si>
  <si>
    <t>sıkılıncaya kadar</t>
  </si>
  <si>
    <t>Halil İbrahim Çenebaşı</t>
  </si>
  <si>
    <t>Şehirde tanıdık görünce üstüne araba dağda ise üstüne helikopter süren bi milletiz. İşte gerisini siz düşünün 😅 #TurkishArmy 🇹🇷 RT @TTAgrup: Bu delileri bir araya getirmeyecektiniz! #TurkishArmy</t>
  </si>
  <si>
    <t>https://twitter.com/ttagrup/status/1181829264490029056</t>
  </si>
  <si>
    <t>📌hukuk @istanbuledutr ‘19</t>
  </si>
  <si>
    <t>Ömer Ağdoğan</t>
  </si>
  <si>
    <t>Elbette "terörle mücadelede her adımı desteklemek milli sorumluluğumuzdur" Ama geçmişte yaşananhları ve yaşatılanları da unutmadığımızı hatırlatacağız hep... #TurkishArmy</t>
  </si>
  <si>
    <t>https://pbs.twimg.com/media/EGbwS0YW4AA2R6W.png</t>
  </si>
  <si>
    <t>Cumhuriyet Üniversitesi, Sivas</t>
  </si>
  <si>
    <t>Akit Çimento Ltd.Şti. | Şirket Ortağı =Aksilikleri dev aynasında büyüten rezil bir hassasiyetim var.=</t>
  </si>
  <si>
    <t>https://www.instagram.com/omeragdogan</t>
  </si>
  <si>
    <t>Medya Ege</t>
  </si>
  <si>
    <t>Kızına işkence eden adam tutuklandı!  #SağlıkYönetimineAtamaŞart #TurkishArmy #EmineBulut #CheGuevara #çarşamba</t>
  </si>
  <si>
    <t>https://www.medyaege.com.tr/kizina-iskence-eden-adam-tutuklandi-124562h.htm</t>
  </si>
  <si>
    <t>https://pbs.twimg.com/media/EGbwTvjX0AAeyDu.jpg</t>
  </si>
  <si>
    <t>Ege'den Dünya'ya Tarafsız Haber http://medyaege.com.tr Resmi Twitter Hesabı İletişim: info@medyaege.com.tr https://twitter.com/arif_cayan</t>
  </si>
  <si>
    <t>http://www.medyaege.com.tr</t>
  </si>
  <si>
    <t>munip morali</t>
  </si>
  <si>
    <t>📋 İNGİLİZ DERİN DEVLETİNİN TÜRKİYEYİ PARÇALAMA PLANI ️⬇️⬇️ 📋  🐝 #TurkishArmy #çarşamba Dünya Bankası Diyarbakır 8 2019 Nobel Kimya Ödülü katediş buğur göz akı 🐝</t>
  </si>
  <si>
    <t>pic.twitter.com/bLSLCfTYZu</t>
  </si>
  <si>
    <t>Sana seni seviyorum dediğimde artan bi egon değil de atan bir kalbin olsaydı eğer her şey farklı olabilirdi.</t>
  </si>
  <si>
    <t>https://instagram.com/munip_morali</t>
  </si>
  <si>
    <t>gökhan</t>
  </si>
  <si>
    <t>Mekanın sahibi geliyor bebeleri pistten alalım 🇹🇷🇹🇷 #TurkishArmy</t>
  </si>
  <si>
    <t>gaziantep</t>
  </si>
  <si>
    <t>İnstagram: goqhannn</t>
  </si>
  <si>
    <t>Abdul Majid Khanzad</t>
  </si>
  <si>
    <t>@eskibirmuhtar @ismailsahin_27 O Allah Help #TurkishArmy.Ameen</t>
  </si>
  <si>
    <t>Naushahro Firoz, Pakistan</t>
  </si>
  <si>
    <t>🙂🙂🙂</t>
  </si>
  <si>
    <t>⊙ KeGeN-Bey ♤</t>
  </si>
  <si>
    <t>Bu hareket için barış isteyen tüm karekter yoksunları sonunuz kolladığınız kişilerden olsun! #TurkishArmy</t>
  </si>
  <si>
    <t>https://pbs.twimg.com/media/EGbwDnFWwAEx9HW.jpg</t>
  </si>
  <si>
    <t>GőkTůrK,OĞUZBOYU,KayıBoyu</t>
  </si>
  <si>
    <t>Sen Hayırdır Ya.</t>
  </si>
  <si>
    <t>#TurkishArmy var oldukça mazlumların gözyaşlarını dindirmek zalimleri ezmek için mücadele edecektir.</t>
  </si>
  <si>
    <t>Jokeyler hevesli atlar yorgun ...</t>
  </si>
  <si>
    <t>Kemal Aydın</t>
  </si>
  <si>
    <t>@bahattinzorba Türk olmak zordur, Çünkü dünya ile savaşırsın...⁉️ Türk olmamak daha zordur,..⁉️ Çünkü Türk ile savaşırsın..⁉️ #TurkishArmy</t>
  </si>
  <si>
    <t>kemalaydin4646@gmail.com</t>
  </si>
  <si>
    <t>9+1 SEDAT DERİN</t>
  </si>
  <si>
    <t>#TurkishArmy Ey dünya, Sen bizi bilmez misin ki, Türk intikamcı Soy'dur. Kadın Erkek dinlememiş tarihte. Bu kan neslimizden hediye. 🇹🇷</t>
  </si>
  <si>
    <t>https://pbs.twimg.com/media/EGbwCDRWoAA2IkY.jpg</t>
  </si>
  <si>
    <t>Biz KIZILELMA yı unutmadık ki, O bizi unutsun. 💪💪💪🇹🇷🇹🇷🇹🇷</t>
  </si>
  <si>
    <t>Mert Gültekin</t>
  </si>
  <si>
    <t>Bü-SÖ</t>
  </si>
  <si>
    <t>yavuz</t>
  </si>
  <si>
    <t>Hoşgeldiniz diyene sahip çıkın, neden geldiniz diyenin kafasına sıkın ! #TurkishArmy 🇹🇷</t>
  </si>
  <si>
    <t>@amelikturkes Osmanlı ruhunun bölgede vücut bulmasıyla,tahtlarının altında kalma korkusudur o! #TurkishArmy #BarisPinari</t>
  </si>
  <si>
    <t>F. Sevgi Karayılan</t>
  </si>
  <si>
    <t>İnsan büyür beşikte, mezarda yatmak için. Kahramanlar can verir yurdu yaşatmak için.! #TurkishArmy Ayağınıza taş değmesin.</t>
  </si>
  <si>
    <t>https://pbs.twimg.com/media/EGbv6JjXUAAHEUO.jpg</t>
  </si>
  <si>
    <t>Siyahın her tonu 🖤</t>
  </si>
  <si>
    <t>Bozkurt Otağı</t>
  </si>
  <si>
    <t>Tanrıkut Metehan'dan son Başbuğ Atatürk'e #TurkishArmy 🇹🇷</t>
  </si>
  <si>
    <t>https://pbs.twimg.com/media/EGbv6TgXYAAz1Kg.jpg</t>
  </si>
  <si>
    <t>TÜRK,TÜRKçü,Atatürkçü - Yaşasın Irkımın TURAN ülküsü 🇹🇷</t>
  </si>
  <si>
    <t>Antoine Cassandra</t>
  </si>
  <si>
    <t>กรุงเทพมหานคร, ประเทศไทย</t>
  </si>
  <si>
    <t>C</t>
  </si>
  <si>
    <t>Ülkümüz göklerde dalgalanan sancak, Allah’ın huzurunda eğiliriz ancak... #TurkishArmy 🇹🇷</t>
  </si>
  <si>
    <t>B E Ş İ K T A Ş 🌹</t>
  </si>
  <si>
    <t>Mirzabeyoğlu_1453</t>
  </si>
  <si>
    <t>Karışır topsesi, nal sesi, davul... Çağdan çağa çığır açar gemiler. Bir hâkan atını denize sürer Ve der ki: "Yıkılsın Bizans'ı koruyan sur." -Vur! FETİH aşkına vur! Abdurrahim karakoç #TurkishArmy</t>
  </si>
  <si>
    <t>https://pbs.twimg.com/media/EGbv2kFWwAADR_o.jpg</t>
  </si>
  <si>
    <t>Mıgırdıç'ı sever de Osman'ı sevmez zındık İti-domuzu sever, insanı sevmez zındık İster ki diz üstüne çökertilsin Türkiye Ekmeğini yer amma vatanı sevmez zındık.</t>
  </si>
  <si>
    <t>emin kutluca</t>
  </si>
  <si>
    <t>#TurkishArmy *** OYUN BİTİNCE... KUKLACI...KUKLALARINI TOPLAR VE GİDER...</t>
  </si>
  <si>
    <t>ANK İHL MEZUNU---A.Ü HUKUK---HUKUKÇU--- 🛑DM YOK🛑----profil fotoğrafım dahil tüm fotoğraflar tarafımdan çekilmiştir bir çok profesyonel sitede yayınlanmaktadır</t>
  </si>
  <si>
    <t>Mehmet Yılmaz</t>
  </si>
  <si>
    <t>https://pbs.twimg.com/media/EGbv1eZXkAY8baU.jpg</t>
  </si>
  <si>
    <t>Ak Parti Tekirdağ İl Gençlik Kolları Başkan Yardımcısı ( Siyasi ve Hukuki işler Başkanı ) Methan İnşaat &amp; Goldhan Hotel</t>
  </si>
  <si>
    <t>http://www.goldhanhotel.com</t>
  </si>
  <si>
    <t>Emrah Cingöz</t>
  </si>
  <si>
    <t>Allah yar ve yardımcınız olsun . Analarımızın, bizlerin duaları sizinle #TurkishArmy</t>
  </si>
  <si>
    <t>https://pbs.twimg.com/media/EGbvwz4X0AErtxo.jpg</t>
  </si>
  <si>
    <t>Oğuz Cüneyt Kıyak</t>
  </si>
  <si>
    <t>Sezgin Amca'nın savaşa hayır deyişi bile bir başka. Savaşma seviş temasıyla mesaj gönderiyor hükümete 😂 #TurkishArmy</t>
  </si>
  <si>
    <t>https://pbs.twimg.com/media/EGbvrmeXoAUzVki.jpg</t>
  </si>
  <si>
    <t>İstanbul, Elaziz, Türkiye</t>
  </si>
  <si>
    <t>Mali Müşavir - Certified Public Accountant - Financial Advisor</t>
  </si>
  <si>
    <t>Tokgöz</t>
  </si>
  <si>
    <t>#TurkishArmy @RTErdogan Kükremiş sel gibiyim bendini çiğner aşarım</t>
  </si>
  <si>
    <t>https://pbs.twimg.com/media/EGbvqg0W4AA0Q_9.jpg</t>
  </si>
  <si>
    <t>İdealleri olmayan bir hiçtir</t>
  </si>
  <si>
    <t>http://www.tokgozbilisim.com</t>
  </si>
  <si>
    <t>Ali Karalar</t>
  </si>
  <si>
    <t>https://pbs.twimg.com/media/EGbvp3MXYAElv0e.jpg</t>
  </si>
  <si>
    <t>Mersin \Türkiye</t>
  </si>
  <si>
    <t>Sevmek güzeldir</t>
  </si>
  <si>
    <t>Muhammed Emin AKGÜÇ</t>
  </si>
  <si>
    <t>Ekim 1908 LE PELERİN dergisi karikatürü, Ekim'ler nelere gebe bilemezsiniz.. #Barışpınarı #NeredeKalmıştık #TurkishArmy</t>
  </si>
  <si>
    <t>https://pbs.twimg.com/media/EGbvoA8XUAI3Xp2.jpg</t>
  </si>
  <si>
    <t>Yeniden Refah Partisi Ataşehir İlçe Yön. Kurulu Üyesi / Gümrük Müşavir Yrd.-Dış Ticaret+İşletme Mezunu / Adalet Öğrencisi http://instagram.com/akgemin/</t>
  </si>
  <si>
    <t>https://youtu.be/WthpuQKN3Ho</t>
  </si>
  <si>
    <t>ÖMER ÖZDEMİR</t>
  </si>
  <si>
    <t>İşte bir Kürt anasının, Şanlı ordusundan isteği: Onları ezin! #TurkishArmy</t>
  </si>
  <si>
    <t>pic.twitter.com/TIVyom8MMe</t>
  </si>
  <si>
    <t>Erzurum, Ankara,Türkiye 🇹🇷</t>
  </si>
  <si>
    <t>---------FE EYNE TEZHEBUN---------- !🤔💤</t>
  </si>
  <si>
    <t>BATES™</t>
  </si>
  <si>
    <t>#Turkisharmy "We Turks are not a nation having an army; but, an army with a nation." Mustafa Kemal Ataturk</t>
  </si>
  <si>
    <t>Alessandro Altobelli</t>
  </si>
  <si>
    <t>#TurkishArmy Syrien RT @snnyldz41: #TurkishArmy🇹🇷💪🍎 NO MERCY TO TERRORISTS!</t>
  </si>
  <si>
    <t>https://twitter.com/snnyldz41/status/1181855905849196546</t>
  </si>
  <si>
    <t>pic.twitter.com/2DHRuLd0oU</t>
  </si>
  <si>
    <t>Yasin Uygun</t>
  </si>
  <si>
    <t>#TurkishArmy destek mesajlari yagiyor Tum dunyadan , Imamoğlu tatildemi acaba!!!!</t>
  </si>
  <si>
    <t>Bize her yer Trabzon...</t>
  </si>
  <si>
    <t>köri sos</t>
  </si>
  <si>
    <t>#TurkishArmy we are back hewal. wait for us.</t>
  </si>
  <si>
    <t>https://pbs.twimg.com/media/EGbvfIGXUAAfbi6.png</t>
  </si>
  <si>
    <t>Sydney, New South Wales</t>
  </si>
  <si>
    <t>vefalı türk</t>
  </si>
  <si>
    <t>Burak Çakmak</t>
  </si>
  <si>
    <t>#TurkishArmy 🇹🇷💪</t>
  </si>
  <si>
    <t>https://pbs.twimg.com/media/EGbvjUAXYAA-VNn.jpg</t>
  </si>
  <si>
    <t>Nurullah</t>
  </si>
  <si>
    <t>Benim anlamadığım zengin kesimler lüks içinde olduğu halde bizden daha çok dert yanıyor geçim konusunda kendinize gelin. #TurkishArmy</t>
  </si>
  <si>
    <t>-Hiç..</t>
  </si>
  <si>
    <t>🤜🏻Pa💥La🤛🏻🇹🇷</t>
  </si>
  <si>
    <t>Nizam-ı Alem için yine geliyor aslan Mehmedim..! #TurkishArmy</t>
  </si>
  <si>
    <t>https://pbs.twimg.com/media/EGbvhtBX0AYzTUb.jpg</t>
  </si>
  <si>
    <t>Her RT ≠ Onay //Şanlıurfa//</t>
  </si>
  <si>
    <t>Kime karşı olursa olsun HAKSIZLIĞA karşıyım. Ve; Yaratılmışları razı etmek için de yaratılmadık!!! OkurYazar Particiliğe karşı. Ortadoğu Araştırmaları</t>
  </si>
  <si>
    <t>Alp</t>
  </si>
  <si>
    <t>https://pbs.twimg.com/media/EGbvgb5WwAEVdAF.jpg</t>
  </si>
  <si>
    <t>AVA Müzik Yapım ®</t>
  </si>
  <si>
    <t>http://instagram.com/alpvahitalp</t>
  </si>
  <si>
    <t>EDA</t>
  </si>
  <si>
    <t>“Komplo teorilerine inanan biri olsaydım, mevcut iktidarın Kürdistan’ı kurmak için gece gündüz çalıştığını düşünürdüm.“ Muhtemel Suriye savaşının ardındaki gerçekler! - Levent Gültekin @acikcenk  @YouTube aracılığıyla #TurkishArmy #SavasaHayır</t>
  </si>
  <si>
    <t>https://youtu.be/DxCKHTfQNw0</t>
  </si>
  <si>
    <t>TarrakasımeşhurKonstantiniyye</t>
  </si>
  <si>
    <t>Political Science &amp; International Relations / Activists - Reporter / B♥️</t>
  </si>
  <si>
    <t>Arslan GÖKOĞLAN</t>
  </si>
  <si>
    <t>🇹🇷🇹🇷Fıtrat değişir sanma!bu kan yine o kandır #TurkishArmy</t>
  </si>
  <si>
    <t>https://pbs.twimg.com/media/EGbvgoGXoAAwgXh.jpg</t>
  </si>
  <si>
    <t>BirMinyonunHikayesi</t>
  </si>
  <si>
    <t>Bu henüz fragman,daha film başlamadı. #TurkishArmy Diyarbakır 8 #turkmilletiordusununyaninda</t>
  </si>
  <si>
    <t>https://pbs.twimg.com/media/EGbvfiPWwAEmtRk.jpg</t>
  </si>
  <si>
    <t>Bir akıl hastanesi tarafından keşfedilmeyi bekliyorum.</t>
  </si>
  <si>
    <t>Bütün Soysuzlara Bir SOYLU Yeter</t>
  </si>
  <si>
    <t>BİZ,KISIK SESLERİZ.MİNARELERİ, SEN,EZANSIZ BIRAKMA ALLAHIM! BİZE GÜÇ VER.CİHAD MEYDANINI, PEHLİVANSIZ BIRAKMA ALLAHIM! BİZİ SEN SEVGİSİZ,SUSUZ,HAVASIZ; VE VATANSIZ BIRAKMA ALLAH'IM! #TurkishArmy</t>
  </si>
  <si>
    <t>https://pbs.twimg.com/media/EGbvemMW4AA9AOS.jpg</t>
  </si>
  <si>
    <t>Zafer İnanlarındır ☝Fetonun Piçleri,Vatan Hainleri ve Kemalistler PUTCULAR Uzak Dursun</t>
  </si>
  <si>
    <t>Serkan Ceylan</t>
  </si>
  <si>
    <t>Vur, senin darbenden çıkacak ateş, intikam isteyen bir milletindir! #TurkishArmy</t>
  </si>
  <si>
    <t>https://pbs.twimg.com/media/EGbvfEOW4AUOef8.jpg</t>
  </si>
  <si>
    <t>instagram:srkncylan</t>
  </si>
  <si>
    <t>blonk</t>
  </si>
  <si>
    <t>armyblink</t>
  </si>
  <si>
    <t>im might be army but at least im armyphobic|| also blink but i love all yg artists</t>
  </si>
  <si>
    <t>EmineOzbudak</t>
  </si>
  <si>
    <t>@sputnik_TR Türkiye ile Suriye savaşı gibi tehlikeli oyun oynamasın kimse..! Kimlerin bundan yana olduğu hiç önemli değil!!! #TurkishArmy #TürkAskeriAkıllı ol #SavasaHayır #SavasFelakettir</t>
  </si>
  <si>
    <t>⚡ FATİH_YAŞAR ⚡</t>
  </si>
  <si>
    <t>#TurkishArmy -SONDAKIKA:SAM YONETIMI:Turkiye topraklarini genisletmek istiyor (icimizdeki muhalifleri de erdogan akparti vatani satiyor diye aldattilar:))(gercek ise bize fiili sinir genisligi degil etki edecegimiz sinirlar lazim 2023 vizyonumuz bu olmali) @ikalin1 @fuatoktay</t>
  </si>
  <si>
    <t xml:space="preserve">TURKEY </t>
  </si>
  <si>
    <t>TÜRKİYE'de günde 1002 kişi hayatını kaybediyor,552 si erkek,450si kadın(ona göre birbirinizi kırın,hakaret edin yada sevin )RTE&amp;ANTİK SİDE/Dünya Poker Şampiyonu</t>
  </si>
  <si>
    <t>Süheyl Aslan</t>
  </si>
  <si>
    <t>23 nisanlarda küçücük çocukları dekolte giydirmeye çağdaşlık diyenler onları ilerde oynatacakları ensest konulu dizilere hazırlıyorlar. Ve taciz olayları arttıkça da suçu müslümanlara atmaya devam edecekler. Sistem belli, Suçu Yap-işlet-müslümanlara at.. #TurkishArmy</t>
  </si>
  <si>
    <t>Yüzü güzele kırk günde doyarsın, huyu güzele kırk yılda doyamazsın. -Cemal Süreya</t>
  </si>
  <si>
    <t>Hira</t>
  </si>
  <si>
    <t>Verin coşkuyu... #TurkishArmy</t>
  </si>
  <si>
    <t>İnsana insan denmez kendini bulmayınca, gönül bir virane’dir sevgiyle dolmayınca. DEÜ ilhyt</t>
  </si>
  <si>
    <t>medya adamı</t>
  </si>
  <si>
    <t>gazeteci - son dakika haberleri ve canlı yayınlar için @medyaadamiSD</t>
  </si>
  <si>
    <t>DİRİLİŞ  🇹🇷</t>
  </si>
  <si>
    <t>pic.twitter.com/TSfGfwPoZl</t>
  </si>
  <si>
    <t>Bir Millet DİRİLİYOR! 🇹🇷</t>
  </si>
  <si>
    <t>T. ALİ Taşcı</t>
  </si>
  <si>
    <t>Gerilir zorlu bir yay, Oku fırlatmak için; Gece gökte doğar ay, Yükselip batmak için. İnsan büyür beşikte, Mezarda yatmak için. Kahramanlar CAN verir, YURDU YAŞATMAK İÇİN. "Hüseyin Nihal Atsız" Çok yaşa Türkiye Cumhuriyeti ve onun Mehmetçiği #TurkishArmy</t>
  </si>
  <si>
    <t>https://pbs.twimg.com/media/EGbvUAkWsAAL4Mb.jpg</t>
  </si>
  <si>
    <t>Dün, dünde kaldı cancağızım; Bu gün, yeni şeyler söylemek lazım.. Takip eden takip edilir. BEŞİKTAŞK...</t>
  </si>
  <si>
    <t>https://facebook.com/profile.php?id=100003209052221</t>
  </si>
  <si>
    <t>JAKULTA</t>
  </si>
  <si>
    <t>Tarihte hiç bir savaş dua ile kazanılmamıştır. Stratejik bir komutan, inançlı, çevik ve zeki bir ordu ile zafer mümkündür. #TurkishArmy</t>
  </si>
  <si>
    <t>Dışında</t>
  </si>
  <si>
    <t>Kişisel gelişimini tamamlamadı!!!!</t>
  </si>
  <si>
    <t>egeyonhaber.com</t>
  </si>
  <si>
    <t>Trafik cezaları cep yakıyor.. Hızı 50’yi geçen aracın plakasına ceza gönderiliyor!  #SağlıkYönetimineAtamaŞart #TurkishArmy #CheGuevara #çarşamba</t>
  </si>
  <si>
    <t>https://www.egeyonhaber.com/trafik-cezalari-cep-yakiyor-hizi-50yi-gecen-aracin-plakasina-ceza-gonderiliyor/</t>
  </si>
  <si>
    <t>Ege'nin gözü bu yönde</t>
  </si>
  <si>
    <t>http://egeyonhaber.com</t>
  </si>
  <si>
    <t>OKUTAN®️</t>
  </si>
  <si>
    <t>Kumandanın fermanına baş eğip, Mazlumların imdadına yetiştin. Karanlıkta süngü sana yol açtı, Sen o yoldan muradına yetiştin. Yürüyün asker, yürüyün. Yürüyün asker, yürüyün. 🇹🇷❤🇹🇷❤🇹🇷❤🇹🇷❤🇹🇷 #TurkishArmy</t>
  </si>
  <si>
    <t>pic.twitter.com/VCo1DQrOpY</t>
  </si>
  <si>
    <t>Sibel 🌙</t>
  </si>
  <si>
    <t>#TurkishArmy Birileri var 🇹🇷</t>
  </si>
  <si>
    <t>https://pbs.twimg.com/media/EGbvQXJWsAQAUJl.jpg</t>
  </si>
  <si>
    <t>Furkan Coşkun #MY</t>
  </si>
  <si>
    <t>Vur şanlı silahınla gönül mülkü düzelsin Sen vururken de öldürürken de güzelsin....... Hüseyin Nihal Atsız #TurkishArmy</t>
  </si>
  <si>
    <t>https://pbs.twimg.com/media/EGbvMZdXoAA6JbE.jpg</t>
  </si>
  <si>
    <t>Bin Cihana Değişmem Şu Öksüz Türklüğümü. H.NİHAL ATSIZ ☝MUHSİN YAZICIOĞLU☝</t>
  </si>
  <si>
    <t>http://www.instagram.com/furkancoskun.58</t>
  </si>
  <si>
    <t>I��l Gider</t>
  </si>
  <si>
    <t>İnsanları Allah'a çağırandan daha güzel sözlü kimdir.  #TurkishArmy</t>
  </si>
  <si>
    <t>https://pbs.twimg.com/media/D6_gaDcWkAAW34-.jpg</t>
  </si>
  <si>
    <t>Amasya, Türkiye</t>
  </si>
  <si>
    <t>Hayatınız kötü bir yola girmişse, unutmayın</t>
  </si>
  <si>
    <t>mehmet26eses1965</t>
  </si>
  <si>
    <t>ALLAH ayağınıza taş degdirmesin ananiza babanıza yarinize tez zamanda sağ salim dönmeyi nasip etsin siyâset başka vatan başka "mevzuu bahis vatansa gerisi teferruattır " #TurkishArmy</t>
  </si>
  <si>
    <t>eses sevdalısı eyt mağduru</t>
  </si>
  <si>
    <t>Ayşe Betül Akkoç</t>
  </si>
  <si>
    <t>#TurkishArmy RT @saidercan: Kimse durduk yere savaş istemiyor savaş yok zaten,dünya silah tüccarlarını arkasına almış bir çete benim ülkem için tehdit oluşturuyor bizde meşru müdafa yapıyoruz.Okyanusun ötesinden ülkemi savunuyorum diye savaşa gelenleri anlayanlar sınırımıza operasyonu anlamıyor #TurkishArmy</t>
  </si>
  <si>
    <t>https://twitter.com/saidercan/status/1181850282789081091</t>
  </si>
  <si>
    <t>Ben lafa değil, icraate bakarım.!</t>
  </si>
  <si>
    <t>ALİ #AK</t>
  </si>
  <si>
    <t>Çocuklarin korkmadigi Mazlumlara umut olan İslamin Son ordusu Sen koru Ya rabbi #TurkishArmy</t>
  </si>
  <si>
    <t>https://pbs.twimg.com/media/EGbvIjJWoAQ_t_P.jpg</t>
  </si>
  <si>
    <t>ulukurt</t>
  </si>
  <si>
    <t>#TurkishArmy korkarmı sandın deyyus</t>
  </si>
  <si>
    <t>https://pbs.twimg.com/media/EGbvG2GWwAAW_c6.jpg</t>
  </si>
  <si>
    <t>Kurt ulusun Türk kut olsun</t>
  </si>
  <si>
    <t>Mahmut Poyraz</t>
  </si>
  <si>
    <t>Erlik günü geldiğinde Yigitlere şan görünür. Yığın yığın harcanmaya Nice yüz bin can görünür. Kopunca bir büyük savaş Er tez gider, korkak yavaş. #TurkishArmy</t>
  </si>
  <si>
    <t>https://pbs.twimg.com/media/EGbvHIQX0AAe77T.jpg</t>
  </si>
  <si>
    <t>merhaba türkiye</t>
  </si>
  <si>
    <t>#AYDIN'da yaşayan Övünç Yorbik (48), #Tayland'da gemilerde tayfa olarak çalışırken gördüğü 'Ejder meyvesi' olarak bilinen pitaya adlı tropikal meyveyi yetiştirmek için bir arkadaşıyla sera kurdu.  #TurkishArmy #SağlıkYönetimineAtamaŞart</t>
  </si>
  <si>
    <t>https://bit.ly/2B118MB</t>
  </si>
  <si>
    <t>Gözucutr</t>
  </si>
  <si>
    <t>▪️Yol Yapma Vaadini Yerine Getirmeyen Başkan Yollarda Sürüklendi  #TurkishArmy #CheGuevara #DelilOlsaBunlarMıKonuşulur #haber #sondakika</t>
  </si>
  <si>
    <t>https://netbihal.com/yol-yapma-vaadini-yerine-getirmeyen-baskan-yollarda-suruklendi/</t>
  </si>
  <si>
    <t>Senden,benden,bizden 🔎</t>
  </si>
  <si>
    <t>https://youtu.be/acEr29JtDsU</t>
  </si>
  <si>
    <t>Ertuğrul Özkan</t>
  </si>
  <si>
    <t>#TurkishArmy Ebediyen sana yok, ırkıma yok izmihlal: Hakkıdır, hür yaşamış, bayrağımın hürriyet; Hakkıdır, hakk’a tapan, milletimin istiklal!</t>
  </si>
  <si>
    <t>Bayat atı birle sözüg başladım.Törütgen igidgen keçürgen idim. Yüce olan Tanrı adıyla söze başladım ki o Türeten, Yetiştiren ve göç ettirendir.(Kutadgu Bilig)</t>
  </si>
  <si>
    <t>Fener@ddiction</t>
  </si>
  <si>
    <t>Yüce Rabbim sizleri korusun. #TurkishArmy #Mehmetçik</t>
  </si>
  <si>
    <t>https://pbs.twimg.com/media/EGbu-LaWoAI24uz.jpg</t>
  </si>
  <si>
    <t>Manisalı Cengaver</t>
  </si>
  <si>
    <t>#TurkishArmy #SonDakika Suriye Dışişleri Bakanlığı: Türkiye’nin operasyonunu engellemek için tüm yollara başvuracağız. Bu olanların sorumlusu, daha önce çok defa uyardığımız ve Amerikalılara güvenen Kürt gruplardır. Bu gruplara çağrımız geçerlidir, vatan sizi kucaklamaya hazır.”</t>
  </si>
  <si>
    <t>Tehlikeli ve Merhametli</t>
  </si>
  <si>
    <t>Levent</t>
  </si>
  <si>
    <t>#KendineGelPezeberk #TurkishArmy RT @Mustafa63160074: Vay aq biz 3 milyona bakıyoz bu kadar övgü almadık #KendineGelPezeberk</t>
  </si>
  <si>
    <t>https://twitter.com/Mustafa63160074/status/1181817517821612032</t>
  </si>
  <si>
    <t>https://pbs.twimg.com/media/EGaowcbWwAERJRF.jpg</t>
  </si>
  <si>
    <t>Terörle arasına mesafe koyamayan siyasetçi ile cemaatlerle arasına mesafe koyamayan arasında hiç bir fark yoktur. Türk askeri(E)</t>
  </si>
  <si>
    <t>Yasir Yesiltepe</t>
  </si>
  <si>
    <t>Geliyoruz #TurkishArmy</t>
  </si>
  <si>
    <t>hamza</t>
  </si>
  <si>
    <t>Türk milleti her daim yanınızda #TurkishArmy RT @Trabzonspor: Her şart ve koşulda sizinleyiz! 🇹🇷 #BarışPınarıHarekatı #TürkMilletiOrdusununYanında</t>
  </si>
  <si>
    <t>https://twitter.com/trabzonspor/status/1181451561559572480</t>
  </si>
  <si>
    <t>5m_mühendis</t>
  </si>
  <si>
    <t>The only army the kids are not afraid of #TurkishArmy</t>
  </si>
  <si>
    <t>https://pbs.twimg.com/media/EGbuwNuXoAAnSHu.jpg</t>
  </si>
  <si>
    <t>Enerji Mühendisi</t>
  </si>
  <si>
    <t>Tamer Aluçlu</t>
  </si>
  <si>
    <t>a menfaatleri uğruna ev ev gezip eşantiyon dağıtarak laik/demokrat partilerine destek isteyenlerden değil, kapı kapı gezerek insanları Allah'ın ve Resûlünün(sav) yoluna, İlim öğrenmeye, İslâmı dünyaya hakim kılma yolunda mücadele etmeye davet edenlerden olun #TurkishArmy</t>
  </si>
  <si>
    <t>Muş, Türkiye</t>
  </si>
  <si>
    <t>"As we grow older, our bodies get shorter and our anecdotes longer." -Robert Quillen</t>
  </si>
  <si>
    <t>Ercünyo</t>
  </si>
  <si>
    <t>Eğer Yaşasaydı #CheGuevara Derdi ki; 1 Yılda Elektriğe %30 Zam Yapıp Maaşlara % 8 Zam Yaparsanız Ve Enflasyon % 9 larda Derseniz İnsana ''Senin Ekonomi Bakanın Diplomayı Nereden Aldı'' Diye Sorarlar. Katılıyor musunuz? #TurkishArmy</t>
  </si>
  <si>
    <t>Bir Gülüşünüz Yeter. Sizlerden İstediğim Sadece Beni Takdir Edin Beni Övün Beni Sevin Yeter 😏</t>
  </si>
  <si>
    <t>Venceremos</t>
  </si>
  <si>
    <t>Rojava'ya "Sefer olur, zafer olmaz". #TurkishArmy #BarisPinari</t>
  </si>
  <si>
    <t>pic.twitter.com/tOqsDT8g7a</t>
  </si>
  <si>
    <t>Büyütmeli Adalı'nın düşünü!</t>
  </si>
  <si>
    <t>İslam_Güner</t>
  </si>
  <si>
    <t>Meşru müdaafamız mübarek olsun..#TürkOrdusu #TurkishArmy</t>
  </si>
  <si>
    <t>ONUNCU KÖY🎋</t>
  </si>
  <si>
    <t>Abdulkadir Özkul</t>
  </si>
  <si>
    <t>https://pbs.twimg.com/media/EGbutkjX0AUxnPk.jpg</t>
  </si>
  <si>
    <t>İstanbul Üniversitesi</t>
  </si>
  <si>
    <t>^BuNCuKÇu™^⚡</t>
  </si>
  <si>
    <t>Heyy @realDonaldTrump !! 82 Newyork 83 Los Angeles 🙂 @dbdevletbahceli #TurkishArmy</t>
  </si>
  <si>
    <t>https://pbs.twimg.com/media/EGburfFWkAAV01e.jpg</t>
  </si>
  <si>
    <t>~Etkin Etkileşim için TwiTHaNe ~ TwiTHaNe Constituent president</t>
  </si>
  <si>
    <t>Ahmet Buğra Han</t>
  </si>
  <si>
    <t>Biliyoruz hasma karşı koymasını bizi cansız bırakma Allahım. Biz ki bağımsızlıkta karar kıldık bizi esaret altında bırakma Allahım. Sen bizden yardımını esirgeme Allahım. #TurkishArmy</t>
  </si>
  <si>
    <t>Bugün doğdum, dünden öldüm.. Vaktim garip, yaşım garip</t>
  </si>
  <si>
    <t>süleyman siyamoğlu</t>
  </si>
  <si>
    <t>Kula vefası olmayanın Hakka vefası olmazmış... #TurkishArmy</t>
  </si>
  <si>
    <t>https://pbs.twimg.com/media/EGbuqh5WkAMQG3j.jpg</t>
  </si>
  <si>
    <t>Kâzım Değirmenci🇹🇷</t>
  </si>
  <si>
    <t>Yıllarca Darbe Yapması için "Ordu göreve" diyenler, Şimdi "Ordu operasyon için Göreve gitmesin" diyor. #TurkishArmy</t>
  </si>
  <si>
    <t>KAYSERİ... İktidarı destekliyor olmam her politikasını onaylıyorum anlamına gelmez. REİS iktidarda olduğu sürece Hep destek Tam Destek.</t>
  </si>
  <si>
    <t>acemi.hacker</t>
  </si>
  <si>
    <t>#TurkishArmy Diyarbakır 8 Doğru adres</t>
  </si>
  <si>
    <t>https://www.takvim.com.tr/Yazarlar/ergundiler/2019/10/09/dogru-adres</t>
  </si>
  <si>
    <t>Erdemli, Mersin</t>
  </si>
  <si>
    <t>Mersin university CTIS</t>
  </si>
  <si>
    <t>Turgut Balcioğlu</t>
  </si>
  <si>
    <t>Kızıl Elma, Türk devleti için bir hedefi ve amacı simgeler Ulaşılması gereken bir yeri, fethedilmesi gereken bir beldeyi ifade eder Kimi zaman bir devlet kurma ideali Kimi zaman cihan hakimiyeti ideali Kimi zamanda Türk birliği idealidir #TürkMilletiOrdusununYanında #TurkishArmy</t>
  </si>
  <si>
    <t>https://pbs.twimg.com/media/EGbulelWkAARZ5U.jpg</t>
  </si>
  <si>
    <t>Teknik Ressam</t>
  </si>
  <si>
    <t>Bilmeden yapılan hata yanlışlıktır, bilerek yapılan hata ise ihanettir. B. Brecht HakAret yOksA, her türLÜ fikre saygılı... ÇayCUma - peNDik</t>
  </si>
  <si>
    <t>Tülin Demirkol</t>
  </si>
  <si>
    <t>Keşke dememek için Allah'ın rızasına uygun yaşamak gerekir.  #TurkishArmy</t>
  </si>
  <si>
    <t>https://pbs.twimg.com/media/D9VgNNpW4AEc3x-.jpg</t>
  </si>
  <si>
    <t>Yüreğine, acı korkusunun, acının kendisinden de kötü bir şey olduğunu söyle. -Paulo Coelho</t>
  </si>
  <si>
    <t>SemraOnay</t>
  </si>
  <si>
    <t>#turkmilletiordusununyaninda #TurkishArmy RT @LisanHal06: İki ordu vardır: Biri gazâ ordusu, diğeri de duâ ordusu ve bu savaşlar, bu iki ordunun ittifakı ile kazanılır. İmam Rabbani Hz. #TurkishArmy</t>
  </si>
  <si>
    <t>https://twitter.com/LisanHal06/status/1181867301286633472</t>
  </si>
  <si>
    <t>https://pbs.twimg.com/media/EGbWCwOWwAERqEN.jpg</t>
  </si>
  <si>
    <t>Antalyalı, vatanına sevdalı, 🇹🇷 Yaralarımız bize yaşadıklarımızı hatırlatır..</t>
  </si>
  <si>
    <t>Umut Demirer</t>
  </si>
  <si>
    <t>#turkisharmy</t>
  </si>
  <si>
    <t>pic.twitter.com/tFid3JvWHu</t>
  </si>
  <si>
    <t>instagram: jackdemirer 😇</t>
  </si>
  <si>
    <t>Ahmet Ali GÖK</t>
  </si>
  <si>
    <t>Kılıcının keskin olsun.#TurkishArmy</t>
  </si>
  <si>
    <t>Tekeli</t>
  </si>
  <si>
    <t>http://ahmetaligok.wordpress.com</t>
  </si>
  <si>
    <t>Bizim Baykus</t>
  </si>
  <si>
    <t>#TurkishArmy Kurds and Turks are brother! And trump is a lier!</t>
  </si>
  <si>
    <t>Kapitalist Gandalf</t>
  </si>
  <si>
    <t>Hi, we are #TurkishArmy. Nobody can play with wolves!</t>
  </si>
  <si>
    <t>pic.twitter.com/78GsP78PwZ</t>
  </si>
  <si>
    <t>MERHABALAR AQ</t>
  </si>
  <si>
    <t>Eda</t>
  </si>
  <si>
    <t>Allah, ordumuzun yar ve yardımcısı olsun. Yiğitlerimizin ayaklarına taş değdirmesin. #TurkishArmy</t>
  </si>
  <si>
    <t>https://pbs.twimg.com/media/EGbuYIEWoAATdoL.jpg</t>
  </si>
  <si>
    <t>Journalist</t>
  </si>
  <si>
    <t>Muhammed Büyükcam</t>
  </si>
  <si>
    <t>White Noise ile uyumaya çalıştığım için ekstra gelir vergisi öder miyim enter #TurkishArmy</t>
  </si>
  <si>
    <t>Niğde, Türkiye</t>
  </si>
  <si>
    <t>"It is not because things are difficult that we do not dare</t>
  </si>
  <si>
    <t>https://twitter.com/turan1530/status/1181854226231812096</t>
  </si>
  <si>
    <t>🇹🇷ERTAN🇹🇷</t>
  </si>
  <si>
    <t>#TurkishArmy Gazamiz mübarek,zaferimiz şen ola. ALLAH yar ve yardımcımiz olsun...🇹🇷🇹🇷</t>
  </si>
  <si>
    <t>◼◻ŞAMPİYON BEŞİKTAŞ ◼◻ 🐳AKVARİST🐳</t>
  </si>
  <si>
    <t>X-Technology</t>
  </si>
  <si>
    <t>Geç kalınmış bu operasyonda Türk Ordusunu canı gönülden destekliyoruz. 1000 Yıldır Türk Toprağı olan bu coğrafyada okyanus ötesinde ki insanların şeyi ile gerdeğe girmeye çalışan bu asalaklara fistan giydirme zamanı gelmiştir. Yaşasın Irkımın Turan Ülküsü.#TurkishArmy</t>
  </si>
  <si>
    <t>X Technology X Güvenlik Sistemleri X Yazılım &amp; Tasarım X Araç Takip Sistemleri</t>
  </si>
  <si>
    <t>Alp Arslan</t>
  </si>
  <si>
    <t>#TurkishArmy Umarım araç içinde sigara içme yasağından askerlerimiz muaftır. @TrafikEgm @TC_icisleri @suleymansoylu</t>
  </si>
  <si>
    <t>https://pbs.twimg.com/media/EGbuTzvWkAAeFVe.png</t>
  </si>
  <si>
    <t>Yozgat Merkez, Yozgat</t>
  </si>
  <si>
    <t>Türk mitolojisinde Savaş tanrısı {Yüce Obüs} İlla bi özlü söz mü yazmak lazım ? {Yazısız} Aslında bilindik biri #Milliyetçi #TÜRKÇÜ #TTKY</t>
  </si>
  <si>
    <t>http://www.allahseninbelaniversin.com/</t>
  </si>
  <si>
    <t>Son kafa bükücü</t>
  </si>
  <si>
    <t>#TurkishArmy askerlik yapmamak için senelerdir işletme okuyanlar bir zahmet bu taga yazmasın</t>
  </si>
  <si>
    <t>Ev reisi</t>
  </si>
  <si>
    <t>⚡️⚡️denizin kızı (slma) ⚡️⚡️</t>
  </si>
  <si>
    <t>#TurkishArmy Ordu sefere çıkmışsa,artık tartışmalar biter.Arkasından sadece dua edilir,Muzaffer olmaları dilenir. Aksini söyleyene vatan haini denilir. #BarışPınarı @fahrettinaltun @tcbestepe @zekibahce @themarginale @CumhurFrankfurt @RTErdogan @dbdevletbahceli</t>
  </si>
  <si>
    <t>🧚🏻‍♀️ ⭐️</t>
  </si>
  <si>
    <t>olivenoire</t>
  </si>
  <si>
    <t>#TurkishMilitary #TurkishArmy #BarisPinariHarekati</t>
  </si>
  <si>
    <t>https://pbs.twimg.com/media/EGbuS-yW4AALMOW.jpg</t>
  </si>
  <si>
    <t>çok değerli böyük hesaplar, takibe takip yapmayorum. beğenirsem, birbirini tekrarlayan hesaplar değilseniz takip edeyorum</t>
  </si>
  <si>
    <t>Onur Acar</t>
  </si>
  <si>
    <t>pic.twitter.com/OWRxB5kAGS</t>
  </si>
  <si>
    <t>yavuz selim</t>
  </si>
  <si>
    <t>harekat boyunca CHP'lileri iyi takip edin!!! asker soy kırım yapıyor, çocukları katlediyor, devlet katil değil seri katil, Fırat'ın doğusunda ne işimiz var orda terörist mi var??? söylemlerine şimdiden hazır olun!!! zira biz daha önce bunu yaşadık... #TurkishArmy</t>
  </si>
  <si>
    <t>https://pbs.twimg.com/media/EGbuRIlWwAAD5Gv.jpg</t>
  </si>
  <si>
    <t>g.ü</t>
  </si>
  <si>
    <t>karcebeyakisir</t>
  </si>
  <si>
    <t>#TurkishArmy siker ananızı inanmazsanız pkkya sorun onlar iyi bilir</t>
  </si>
  <si>
    <t>#bist #usd #euro #stockexchange #finance #economy #trading</t>
  </si>
  <si>
    <t>İZMİR</t>
  </si>
  <si>
    <t>Bloomberg: Türk ordusu Suriye’ye girdi Reuters: Daha girmedi Bloomberg’in “Türkiye Suriye'ye girdi" iddiasının ardından yalanlama geldi. Reuters’a ismini açıklamadan konuşan bir yetkili, askeri müdahalenin başlamadığını belirtti. #TurkishArmy</t>
  </si>
  <si>
    <t>https://pbs.twimg.com/media/EGbuQAoXkAQwd_j.jpg</t>
  </si>
  <si>
    <t>İzmir'e dair herşey. Yoksa sen de mi İzmir'lisin ?</t>
  </si>
  <si>
    <t>Fevzettin demir</t>
  </si>
  <si>
    <t>💪💪🇹🇷🇹🇷 #TurkishArmy</t>
  </si>
  <si>
    <t>pic.twitter.com/ITX7RIbiIH</t>
  </si>
  <si>
    <t>Muhammet Ali Kılıç</t>
  </si>
  <si>
    <t>https://pbs.twimg.com/media/EGbuOjUXYAEnS4S.jpg</t>
  </si>
  <si>
    <t>Tasariker®</t>
  </si>
  <si>
    <t>Irz ve namusun, özgürlük ve barışın, yek vatan ve adaletin teminatı müslüman #TurkishArmy</t>
  </si>
  <si>
    <t>https://www.instagram.com/tasa</t>
  </si>
  <si>
    <t>İstanbul Büyükşehir Belediye Başkanı | Mayor of İstanbul</t>
  </si>
  <si>
    <t>https://www.facebook.com/Tasariker</t>
  </si>
  <si>
    <t>Deli Ama Targaryen 🐲🔥</t>
  </si>
  <si>
    <t>Dünya'nın En Asil,En şerefli,En Güçlü ordusu.Bekleyin Geliyoruz😉🇹🇷💪 @realDonaldTrump #TurkishArmy</t>
  </si>
  <si>
    <t>https://pbs.twimg.com/media/EGbuMcBWkAEhxZZ.jpg</t>
  </si>
  <si>
    <t>Westeros Kings Landing</t>
  </si>
  <si>
    <t>Savaş Tarihi Seven,Game of Thrones ve Formula 1 Hayranı, Galatasaraylı bir TÜRK.</t>
  </si>
  <si>
    <t>Ender Kıyak</t>
  </si>
  <si>
    <t>Gündemde bir konu gündeme çıkmasın istiyorlarsa kendi görevlilerini hemen devreye sokup ilk 10'a bahis sitelerini yerleştiriyorlar. Hem sansür uygulamış hem de milleti twitterdan soğutmuş oluyorlar. bir taşla iki kuş #TurkishArmy</t>
  </si>
  <si>
    <t>Recep Tayyip Erdoğan Üniversitesi</t>
  </si>
  <si>
    <t>ugur sevim</t>
  </si>
  <si>
    <t>Tâ ki yükselsin ezanlarla müeyyed nâmın, Galip et, çünkü bu son ordusudur İslâm'ın! #TurkishArmy</t>
  </si>
  <si>
    <t>https://pbs.twimg.com/media/EGbuLwsW4AUlxCm.jpg</t>
  </si>
  <si>
    <t>Eyüprncbr</t>
  </si>
  <si>
    <t>Trump haklı Türkler ile Kürtler yüzyıllardır savaşıyor ama İTLERE karşı 😉#TurkishArmy</t>
  </si>
  <si>
    <t>Velikanizm 💪</t>
  </si>
  <si>
    <t>Kaya</t>
  </si>
  <si>
    <t>https://pbs.twimg.com/media/EGbuBz-X0AI6paY.png</t>
  </si>
  <si>
    <t>İslamdır ancak en büyük ülkü, neyleyim Allahu Ekber demeyen Türk'ü. ☝TR</t>
  </si>
  <si>
    <t>M.KAPLAN</t>
  </si>
  <si>
    <t>Yüce RABBİM ayağınoza taş değdirmesin inşallah islamın son ordusu #TurkishArmy</t>
  </si>
  <si>
    <t>İbrahim Toz</t>
  </si>
  <si>
    <t>https://pbs.twimg.com/media/EGbuHUHXkAIEkd8.jpg</t>
  </si>
  <si>
    <t>ERU .Öğrenmeyi bırakmadıkça düşünemezsin.</t>
  </si>
  <si>
    <t>SadeceAyşe</t>
  </si>
  <si>
    <t>Lâ gazayı illa gaza bil murtezayı iktidar La feta illa Ali la seyfe illa Zülfikâr! Ya Rabbi Ordumuza Hz.Ali kuvveti Silahlarına ve Toplarına Zülfikâr Hikmeti Nasip Eyle Peygamber Efendimiz Hatrına Sana dua edince yerleri titreten Şehidler hakkı için #TurkishArmy</t>
  </si>
  <si>
    <t>https://pbs.twimg.com/media/EGbuGm5WsAA0KG9.jpg</t>
  </si>
  <si>
    <t>Vatan...Bayrak...Reis...</t>
  </si>
  <si>
    <t>Muhammed Doğan</t>
  </si>
  <si>
    <t>“Şu kopan fırtına Türk ordusudur yâ Rabbi. Senin uğrunda ölen ordu budur yâ Rabbi. Tâ ki yükselsin ezanlarla müeyyed nâmın, Galib et, çünkü bu son ordusudur İslâm'ın.” #TurkishArmy #TurkishArmy</t>
  </si>
  <si>
    <t>https://pbs.twimg.com/media/EGbuGN3WoAA0WMC.jpg</t>
  </si>
  <si>
    <t>🇹🇷 nih@t©AD 🇹🇷</t>
  </si>
  <si>
    <t>İlla "Savaş" diyorsanız sizin dediğiniz gibi olsun , #TurkishArmy , Terör ve Terörden Beslenenlere Karşı SAVAŞ AÇMIŞTIR ! Şeyine Güvenen İki Adım Öne Çıksın ...</t>
  </si>
  <si>
    <t>Payitaht İSLAMBOL</t>
  </si>
  <si>
    <t>Üslûb-u Beyan , Ayniyle İnsan !</t>
  </si>
  <si>
    <t>Hanisdiee</t>
  </si>
  <si>
    <t>Kindest army💜😭 #TurkishArmy</t>
  </si>
  <si>
    <t>https://pbs.twimg.com/media/EGbuBzTUYAAJKFz.jpg</t>
  </si>
  <si>
    <t>Officially A.R.M.Ys💜 Jin is my bias but the others are my bias wreakers😂</t>
  </si>
  <si>
    <t>AK PARTİ HİLVAN</t>
  </si>
  <si>
    <t>https://pbs.twimg.com/media/EGbuCrHWkAER6Jy.jpg</t>
  </si>
  <si>
    <t>AK PARTİ HİLVAN İLÇE BAŞKANLIĞI RESMİ TWİTTER HESABI</t>
  </si>
  <si>
    <t>𝐈𝐥𝐤𝐧𝐮𝐫</t>
  </si>
  <si>
    <t>"Ey Rabbimiz! Üzerimize sabır yağdır ve ayaklarımızı sabit kıl, kafir kavme karşı bize yardım et." Bakara/250 #TurkishArmy</t>
  </si>
  <si>
    <t>Sükunetim deliliğimden.</t>
  </si>
  <si>
    <t>Sacit Serbest</t>
  </si>
  <si>
    <t>Din, kelime anlamı olarak 'düzen' demektir. Yani hayatımızı düzenleyen kurallara din denir.  #TurkishArmy</t>
  </si>
  <si>
    <t>https://pbs.twimg.com/media/D8pNX1YW4AAyIaT.jpg</t>
  </si>
  <si>
    <t>"Anytime you suffer a setback or disappointment, put your head down and plow ahead." -Les Brown</t>
  </si>
  <si>
    <t>Fatih Altunok</t>
  </si>
  <si>
    <t>https://pbs.twimg.com/media/EGbt_FhWwAE4NSL.jpg</t>
  </si>
  <si>
    <t>Oltu, Erzurum</t>
  </si>
  <si>
    <t>DADAŞ Giresun Üniversitesi</t>
  </si>
  <si>
    <t>Ali Emre Gül</t>
  </si>
  <si>
    <t>https://youtu.be/3vVuyMfYJJ4</t>
  </si>
  <si>
    <t>Ksü</t>
  </si>
  <si>
    <t>Mete Ertnlc</t>
  </si>
  <si>
    <t>Helalll...☺️☺️👏 #TurkishArmy</t>
  </si>
  <si>
    <t>pic.twitter.com/kf8vsgSwUw</t>
  </si>
  <si>
    <t>👉Anesthesiologoist👉 General Intensive Care and Reanimation👉Pediatric Intensive Care👉Antep Cuisine👉Hasan Ağanın Torunu💪💪</t>
  </si>
  <si>
    <t>Volkan</t>
  </si>
  <si>
    <t>Isparta,Ankara,Ordu</t>
  </si>
  <si>
    <t>You shall not pass</t>
  </si>
  <si>
    <t>Birand Ergenc</t>
  </si>
  <si>
    <t>🀄 İNGİLİZ DERİN DEVLETİ PKK'YI KURMUŞ VE ABD ELİYLE DESTEKLEMİŞTİR. 🀄  👈 #TurkishArmy #EmineBulut Natali Avazyan Stefano Pioli #SağlıkYönetimineAtamaŞart zamk tapırdamak saftirik 👈</t>
  </si>
  <si>
    <t>pic.twitter.com/BdTnflrhpa</t>
  </si>
  <si>
    <t>Karaman</t>
  </si>
  <si>
    <t>Aşk ecel gibidirgeldi mi kacamazsınAşk Başka EvdeSinan Akyuz</t>
  </si>
  <si>
    <t>OĞUZHAN UĞUZ</t>
  </si>
  <si>
    <t>Erdoğan’la Bahçeli yaşıyor mu ? #TurkishArmy</t>
  </si>
  <si>
    <t>Uyuyan Türk’ü 15 Temmuz’da uyandırdınız.</t>
  </si>
  <si>
    <t>https://pbs.twimg.com/media/EGbt68_W4AA22Dd.jpg</t>
  </si>
  <si>
    <t>Elisa ...||S-400||</t>
  </si>
  <si>
    <t>Bismillahirrahmanirrahim "Şüphesiz biz sana apaçık ir Fetih verdik " Müjdeler olsun Muhammedin Ordusu yeni fetihlere gidiyor 🇹🇷🇹🇷🇹🇷🇹🇷 #TurkishArmy</t>
  </si>
  <si>
    <t>pic.twitter.com/gW96ZYCqx3</t>
  </si>
  <si>
    <t xml:space="preserve">kudüs provincia </t>
  </si>
  <si>
    <t>Bu yol çok engebeli ama seninle Allahu Ekber dağına kadar yürürüz Reis. @RTErdogan</t>
  </si>
  <si>
    <t>Erdal Erdem</t>
  </si>
  <si>
    <t>🇹🇷🇹🇷🇹🇷Allah yardımcınız olsun. #TurkishArmy</t>
  </si>
  <si>
    <t>Bu toprakların evlâdıyım. Burada doğdum ve inşâallah burada öleceğim. Din, devlet, vatan, millet, bayrak ve ümmet kırmızı çizgimdir. RT'ler bilgi için, DM yok..</t>
  </si>
  <si>
    <t>Burhan Komşu</t>
  </si>
  <si>
    <t>#TurkishArmy bu çatışmaya karşı değilim ancak bizim strateji ortağımız olmamalı ABD 🇺🇸 ülkemizin yanımda olmadı bakın yarın ABD savaşa girse Türkiye 🇹🇷 ABD 🇺🇸 destekler artık bunların yanında durmayın Türklerin Türklerden başka dostu olmaz NATO da dahil</t>
  </si>
  <si>
    <t>En Önemlisi Kafanızdaki #Zihniyet Yapısı</t>
  </si>
  <si>
    <t>🇹🇷 Nihal FETTAHOĞLU 🇹🇷</t>
  </si>
  <si>
    <t>Dr. Devlet BAHÇELİ'nin basın danışmanı Metin ÖZKAN , CHP ve HDP'lileri SAĞLI SOLLU ŞAMARLIYOR Adamlarda YÜZ YOK Ne desen PİŞKİN PİŞKİN SAVUNURLAR #TurkishArmy</t>
  </si>
  <si>
    <t>pic.twitter.com/PDdI8LXi1a</t>
  </si>
  <si>
    <t>🛑Müslüman Türk kadını 🛑Ülkücü 🛑Mimar 🛑Vatan için canım feda 🛑Trabzonspor</t>
  </si>
  <si>
    <t>http://xn--trkgn-kvad.com</t>
  </si>
  <si>
    <t>Ahunur Kanyılmaz</t>
  </si>
  <si>
    <t>Allah azze ve celle kendine itaat şartının, peygambere itaatten geçtiğini bizlere bildiriyor...  #TurkishArmy</t>
  </si>
  <si>
    <t>https://pbs.twimg.com/media/D5jozVlWAAIWXF0.jpg</t>
  </si>
  <si>
    <t>İnsan keder ve sevinç zamanlarında yüreğinin katlanabileceğinden fazlasını, başka bir yürekle paylaşmak ister. - Halid Ziya Uşaklıgil</t>
  </si>
  <si>
    <t>İSA KESKİN</t>
  </si>
  <si>
    <t>🇹🇷🇹🇷🇹🇷🐺🤘 #TurkishArmy</t>
  </si>
  <si>
    <t>NE MUTLU TÜRKÜM DİYENE! 🇹🇷🇹🇷🇹🇷 TRABZONSPOR ♥️💙</t>
  </si>
  <si>
    <t>#TurkishArmy çocukların korkmadığı tek ordu..</t>
  </si>
  <si>
    <t>https://pbs.twimg.com/media/EGbtzAAXUAAnP2n.jpg</t>
  </si>
  <si>
    <t>🎓📚Fen Bilimleri Öğretmeni 💛💙</t>
  </si>
  <si>
    <t>Istisna-i Memur</t>
  </si>
  <si>
    <t>KAHRAMANLAR GEÇİDİ! #TurkishArmy</t>
  </si>
  <si>
    <t>Yıldız Yel</t>
  </si>
  <si>
    <t>💕Mustafa Kemal Atatürk 💕 Selçuk Üniversitesi📚</t>
  </si>
  <si>
    <t>dodo</t>
  </si>
  <si>
    <t>#TurkishArmy So , welcome back to ISIS</t>
  </si>
  <si>
    <t>pic.twitter.com/xcvkOUTAAZ</t>
  </si>
  <si>
    <t>SuatY 🇹🇷</t>
  </si>
  <si>
    <t>hem teröristlere destek olan süper güç ! ABD nin askerlerini çekmek zorunda kalması, hem de oy için bunlarla birlikte hareket edenlerin, içleri yana yana tezkereye evet demek zorunda kalması, yapılan harekatın ne kadar haklı olduğunu göstermekte, #TurkishArmy #BarisPinari</t>
  </si>
  <si>
    <t>Marka ve Patent Vekili ---</t>
  </si>
  <si>
    <t>DAVANIN DELİSİ</t>
  </si>
  <si>
    <t>#SağlıkYönetimineAtamaŞart #TurkishArmy  Allah herşeyden haberdardırRT @BeyzaGvenmez: "Harbiyeli Anneler "her Çarşamba saat 13:00'te toplumda farkındalık oluşturmak, evlatlarının davasındaki hukuksuzluğa dikkat çekmek için biraraya gelmeye çabalıyorlar.Bugün de biraraya gelip dertlerini anlatacak videolar çekeceklerdi.Ama otobüsten iner inmez gözaltı da ne?</t>
  </si>
  <si>
    <t>https://twitter.com/BeyzaGvenmez/status/1181890328527282176?s=19</t>
  </si>
  <si>
    <t>pic.twitter.com/8yng4RKF2F</t>
  </si>
  <si>
    <t>Ne mutlu öncü nesilde olana...</t>
  </si>
  <si>
    <t>alper</t>
  </si>
  <si>
    <t>yea i do love bts too🥵💘 #TurkishArmy</t>
  </si>
  <si>
    <t>hoes gay</t>
  </si>
  <si>
    <t>but when it’s dark inside your head who cares if the sky’s blue?</t>
  </si>
  <si>
    <t>Birsen Sarıkaya</t>
  </si>
  <si>
    <t>İnsanlık öldü, katili menfaat!</t>
  </si>
  <si>
    <t>Ahmet Özdemir</t>
  </si>
  <si>
    <t>https://pbs.twimg.com/media/EGbtrYvXkAAQRNq.jpg</t>
  </si>
  <si>
    <t>ınstegram ahmet.ozdemjr</t>
  </si>
  <si>
    <t>dogrucuadam HerkeŞ</t>
  </si>
  <si>
    <t>@avuaxuezman @06melihgokcek sikerler adamı akılı olun #TurkishArmy</t>
  </si>
  <si>
    <t>https://pbs.twimg.com/media/EGbtoVAXYAAOZ5D.jpg</t>
  </si>
  <si>
    <t>Dußlingen, Deutschland</t>
  </si>
  <si>
    <t>Doğru olanı da mı söylemeyek</t>
  </si>
  <si>
    <t>ÖzelHarekat</t>
  </si>
  <si>
    <t>pic.twitter.com/C8qVneVeiq</t>
  </si>
  <si>
    <t>Bizi İnstagram'da takip edin ⤵️ https://www.instagram.com/ozelharekattv/ #TürkSilahlıkuvvetleri #ÖzelHarekat #Afrin #TSK #İdlib #Münbiç</t>
  </si>
  <si>
    <t>http://ozelharekattv.com</t>
  </si>
  <si>
    <t>𝑹𝒂𝒎𝒂𝒛𝒂𝒏 𝑩𝒆𝒓𝒆𝒌𝒆𝒕</t>
  </si>
  <si>
    <t>Ordumuz ve Mehmetçiğimiz operasyondayken biz de dualarımızla onlara destek olacağız. Onlar zaferler kazanırken Allah'ın izniyle, biz de burada gerçekleri paylaşıp destek olacağız. Allah, ordumuza nice zaferler nasip etsin. #TurkishArmy</t>
  </si>
  <si>
    <t>Hiç kimse görmek istemeyen kadar kör değildir. 15.07.16 Araştırmacı Gazeteci #EvladıOsmanlı</t>
  </si>
  <si>
    <t>Serhat C</t>
  </si>
  <si>
    <t>Çok az kaldı abd’ye kul olmuş itleri gebertmeye.. 🇹🇷🇹🇷🇹🇷 #TurkishArmy</t>
  </si>
  <si>
    <t>http://instagram.com/serhtceylan</t>
  </si>
  <si>
    <t>Seda ÇTN</t>
  </si>
  <si>
    <t>Milli, dini coşku veren Ak troller söyleyebilir mi PYD'yi bölgeden çıkardıktan sonra, onların tuttuğu İŞİD bizde kalacak. PEKİ BU İŞİD/DAEŞ TERÖRİSTLERİ İLE NE YAPACAĞIZ/YAPIYORUZ?! -serbest mi bırakılacaklar?! -Yargılanmak için Türkiye'ye mi getirilecekler?! #TurkishArmy</t>
  </si>
  <si>
    <t>Farklı partileri, düşünceleri savunanlardan paylaşabilirim. Söz doğruysa veya haber değeri varsa paylaşırım. /Rational Monotheist/Liberal/Anatolian-Caucasian/</t>
  </si>
  <si>
    <t>Roda Uyanık</t>
  </si>
  <si>
    <t>#TurkishArmy evet, evet çocukların korkmadığı tek ordu! Sadece öldürürsünüz, o kadarcık! RT @gergerliogluof: Burası Diyarbakır Millettin içerisinde kağıt toplayan çocuğa zabita memuru tokat atıyor ve kimseden ses çıkmıyor. Ben burada OHAL doneminde artan ve sorgulanamaz iktidarın halka, mağdurlara attığı tokadı görüyorum..!</t>
  </si>
  <si>
    <t>https://twitter.com/gergerliogluof/status/1181832279997501440</t>
  </si>
  <si>
    <t>pic.twitter.com/od5n4qrwUx</t>
  </si>
  <si>
    <t xml:space="preserve">hawler </t>
  </si>
  <si>
    <t>Beddualar kraliçesi... Muhafazakar... Komünist... Her mahallenin ötekisi! Rojnamevan... Nivîskar.... Şair/Yazar Kitaplar: İşrak'ûl Kebir</t>
  </si>
  <si>
    <t>Künyesiz1881</t>
  </si>
  <si>
    <t>Bu yüzden Türk ulusu ona; “Atatürk” dedi! Ruhunuz şad olsun! @yvzah @aigurcihan @mustafaonsel @aliturksen @canerenoglu1 @cetinasemih @KumpasDer @BeyazitKaratas @YarbayAliTatar @NaimBaburoglu @dostdangelen @turkalican @afnguner #BarısPınarıHarekatı #pazar #Mersin #TurkishArmy</t>
  </si>
  <si>
    <t>pic.twitter.com/QIabKxwttr</t>
  </si>
  <si>
    <t>Ölü balığın canlanıp denize girdiği yerdeyiz! 🇹🇷 Kuvâ-yi Milliye ve Ebedi Başkomutan Ulu Önder Mareşal Başbuğ Gazi Mustafa Kemal Atatürk’ün Askeri🎖1881-193∞</t>
  </si>
  <si>
    <t>http://www.anitkabir.tsk.tr</t>
  </si>
  <si>
    <t>Saliha Beşlik</t>
  </si>
  <si>
    <t>Barışın güvercini, savaşın kartalı!🇹🇷🇹🇷🇹🇷.#TurkishArmy</t>
  </si>
  <si>
    <t>https://pbs.twimg.com/media/EGbth3JWsAUnU5R.jpg</t>
  </si>
  <si>
    <t>Evli-barklı🌹🌹🌹 Çorlu-çocuklu🌹🌹🌹 🇹🇷II.Abdülhamid Han🇹🇷Recep Tayyip Erdoğan🇹🇷 🇹🇷15 Temmuzu unutma, unutturma!!🇹🇷</t>
  </si>
  <si>
    <t>Oğuzhan Aktaş</t>
  </si>
  <si>
    <t>Çinli kız metrobüste fenalaşıp indi az önce. Öyle köpek yemeye çiğ balık yemeye benzemez bu işler burası metrobüs burda her şey gerçek #TurkishArmy</t>
  </si>
  <si>
    <t>“Kadınlar sözleriyle değil, gözleriyle konuşur aslında. Bu yüzden onları anlamak için dinlemek yetmez, izlemek gerek yalnızca.”</t>
  </si>
  <si>
    <t>MediaOlmasaydı;</t>
  </si>
  <si>
    <t>Savaş demeyelim çünkü savaş devletlerle olur. Bu bir örgütle çatışma #Diyarbakır #TurkishArmy</t>
  </si>
  <si>
    <t>Doğru tektir, doğru olmaktan kimse korkmaz</t>
  </si>
  <si>
    <t>metin kavak</t>
  </si>
  <si>
    <t>Düşman Yine Öz Yurduna El Attı Mezarından Atan Sana Kılıç Uzattı Yürü Diyor, Hakkı Zulüm Kanattı Attilâ'nın Oğlusun Sen Unutma! Medeniyet Deme, Duymaz, O Sağır Taş Üstünde Taş Kalmasın Durma Kır Kafalarla Düz Yol Olsun Her Bayır...! #TurkishArmy</t>
  </si>
  <si>
    <t>https://pbs.twimg.com/media/EGbteXsXkAAAWKZ.jpg</t>
  </si>
  <si>
    <t>Alim TUNÇ</t>
  </si>
  <si>
    <t>Engel Tanımaz Aşarız!🇹🇷 #MSB #TSK #BarışPınarıHarekatı #BirGeceAnsızınGelebiliriz #TürkMilletiOrdusununYanında #TurkishArmy #BarışPınarı</t>
  </si>
  <si>
    <t>Uşak, Ankara, Türkiye</t>
  </si>
  <si>
    <t>* AK Parti Uşak Milletvekili * 22.Dönem ve 26.Dönem * Doktor * Koordinatör * #VakitUşakVakti * #ÖnceMilletÖnceMemleket</t>
  </si>
  <si>
    <t>http://www.alimtunc.com/</t>
  </si>
  <si>
    <t>nef</t>
  </si>
  <si>
    <t>The Blessed #TurkishArmy !</t>
  </si>
  <si>
    <t>https://pbs.twimg.com/media/EGbtdDcXYAAToDN.jpg</t>
  </si>
  <si>
    <t>Turkey/Istanbul</t>
  </si>
  <si>
    <t>ne yazacağımı düşünüyorum bi sn</t>
  </si>
  <si>
    <t>Sanat TV</t>
  </si>
  <si>
    <t>"Dağ II" Yönetmen : Alper Çağlar Senaryo : Alper Çağlar Başroller : Çağlar Ertuğrul / Ufuk Bayraktar / Murat Serezli / Ahu Türkpençe Görüntü Yönetmeni : Mehmet Başbaran Film Müziği : Paul Englishby Yapım Yılı : 2016 İMDB Puanı : 9.0 #TurkishArmy</t>
  </si>
  <si>
    <t>https://www.youtube.com/watch?v=wN2kq2pM3uo</t>
  </si>
  <si>
    <t>Sanat TV Sinema / Tiyatro / Müzik / Edebiyat / Eğlence</t>
  </si>
  <si>
    <t>https://www.youtube.com/channel/UCBczKtQQZAEOqmzLmTq3NKw</t>
  </si>
  <si>
    <t>Hakandisit</t>
  </si>
  <si>
    <t>AMERİKA = SDG (pkk ) destekçisi ama Suriyeden çekiliyor İRAN = Amerikaya karşı ama Rusyanın yanında , Türkiye Suriyeye girmesin RUSYA = Amerikaya Karşı ama Suriyeninde yanında bizimde . SURİYE = Amerikaya karşı ama sdg yi kendine katılmaya davet ediyor. #TurkishArmy</t>
  </si>
  <si>
    <t>Sular çekilince kimin donsuz yüzdüğünü görürüz ...! Yılmadan kuyruğu dik tutucan.</t>
  </si>
  <si>
    <t>🥀Ben Yoruldum Hayat 🇹🇷🎣</t>
  </si>
  <si>
    <t>Adım Adım Fırat'ın Doğusuna... Suriye sınırındaki askeri birliklerimize çok sayıda askeri araç ve zırhlı personel taşıyıcılar ile komando takviyesi yapıldı. #BarışPınarı #TurkishArmy</t>
  </si>
  <si>
    <t>pic.twitter.com/NT0Wflk3Zx</t>
  </si>
  <si>
    <t>Hiç yokken bile herkesten daha çoksun 💔#Sevdamınİmtihanı @Ben_Yoruldum_53</t>
  </si>
  <si>
    <t>moose69 🤪💯🔥💦</t>
  </si>
  <si>
    <t>pic.twitter.com/P1hNJDWiml</t>
  </si>
  <si>
    <t>“Kristen? KRISTEN? Camille ;( KRISTEN!! what about moose?”</t>
  </si>
  <si>
    <t>http://moose.xn--g6h/</t>
  </si>
  <si>
    <t>Gökhan Sezer</t>
  </si>
  <si>
    <t>Niyet ettik niyet eyledik Sefer ayında Allah yolunda ve vatan savunması için adalet tesisi niyetiyle sefer etmeğe! Sefer bizden, zafer Allahtan! #TurkishArmy</t>
  </si>
  <si>
    <t>❤️ 01.08.2015❤️ La tahzen innellahemaena!</t>
  </si>
  <si>
    <t>Sadecebiri</t>
  </si>
  <si>
    <t>Mazlumun sadrına sürur, zaliminkine hançer isek ne mutlu bize, bu ne kutlu ordu #TurkishArmy</t>
  </si>
  <si>
    <t>ALLAH tek büyüktür ve mevzu kapanmıştır.</t>
  </si>
  <si>
    <t>Anasayfa</t>
  </si>
  <si>
    <t>Konum</t>
  </si>
  <si>
    <t>Kisisel bilgiler</t>
  </si>
  <si>
    <t>http://internetsitesi.ist.net.com.tr</t>
  </si>
  <si>
    <t>𝑹𝑨𝑴𝑨𝒁𝑨𝑵</t>
  </si>
  <si>
    <t>Kürtler ve Araplar #TurkishArmy bekliyorlar. Az daha sabır.</t>
  </si>
  <si>
    <t xml:space="preserve">ALLAH BILIR </t>
  </si>
  <si>
    <t>Güler yüzlü ve iyiliksever olmak bir insana para ve mevkiden daha çok itibar sağlar.</t>
  </si>
  <si>
    <t>abdurrahman aydın</t>
  </si>
  <si>
    <t>Dualarımız sizinle... #TurkishArmy</t>
  </si>
  <si>
    <t>https://pbs.twimg.com/media/EGbtSfFWsAAZoQt.jpg</t>
  </si>
  <si>
    <t>TürkTelakkisi🇹🇷</t>
  </si>
  <si>
    <t>Ey Cehiller! Şimdi kini kana tehavvül vakti. Yazma sırası bizde şimdi intikam akti! Haydi ,haydi Yüce TÜRK! Sana savaş olur sanat, Topyekün,haydi ALLAH,VATAN,NAMUS ve İTTİHAT! #TurkishArmy</t>
  </si>
  <si>
    <t>pic.twitter.com/CfImkA35BE</t>
  </si>
  <si>
    <t>Türk, Yıldırımdır, Kasırgadır, Dünyayı Aydınlatan Güneştir.</t>
  </si>
  <si>
    <t>🐺🇹🇷ϜϓſϞ🇹🇷 🐺ส้้้้้้้้้้้้้้้้้้้้้้้้้้้้้้้้</t>
  </si>
  <si>
    <t>Euzübillahimineşşeytanirracim, Bismillahirrahmanirrahim İnna fetahna leke fetham mübına. Biz, sana apaçık bir fethin yolunu açtık. 48. Fetih suresi 1. ayet #TurkishArmy #BarışPınarıHarekatı</t>
  </si>
  <si>
    <t>https://pbs.twimg.com/media/EGbtJxAWsAEA4hW.jpg</t>
  </si>
  <si>
    <t>🇹🇷 Bin cihana değişmem. Şu öksüz Türk'lüğümü 🇹🇷/Mechanical Engineer/ Çocukluk Aşkımsın Sen İlk Göz Ağrımsın/ #GALATASARAY 1️⃣9️⃣0️⃣5️⃣ #Atatürk #MHP🐺🤘5⃣3⃣</t>
  </si>
  <si>
    <t>Karahan</t>
  </si>
  <si>
    <t>#TurkishArmy 🇹🇷 Operation name : #Barışpınarı Headliner : #Mehmetçik Subject : Destruction of terrorist ypg - pkk -sgd and daes Time : One night we can come suddenly. Music : Wolves Valley Note: Film is not real</t>
  </si>
  <si>
    <t>pic.twitter.com/Xqbjvh2GhE</t>
  </si>
  <si>
    <t>“Eğer racon kesilecekse bu raconu da bizzat kendim keserim.Bu da böyle bilinmeli. ” ☝️🇹🇷🤘 yedek hesabım @tcbestepe</t>
  </si>
  <si>
    <t>Cahide Karayiğit</t>
  </si>
  <si>
    <t>Resulullah sav buyurdu ki, Kim bir kahine gider ve onun sözlerini tasdik ederse, Muhammed'e indirileni inkâr etmiş olur.  #TurkishArmy</t>
  </si>
  <si>
    <t>https://pbs.twimg.com/media/D9WxRa6X4AAN0yB.jpg</t>
  </si>
  <si>
    <t>Ayakkabılarımın altı delikti</t>
  </si>
  <si>
    <t>34 AMA 55 ↗️</t>
  </si>
  <si>
    <t>Sınırlarınızda sorun varsa bunu gidermenin tek yolu sınırlarınızı genişletmektir. Başbuğ ATİLLA HAN. #TurkishArmy</t>
  </si>
  <si>
    <t>https://pbs.twimg.com/media/EGbsrtaX0AINOoc.jpg</t>
  </si>
  <si>
    <t>Furkan Steella</t>
  </si>
  <si>
    <t>https://pbs.twimg.com/media/EGbs9SRW4AAjK-X.jpg</t>
  </si>
  <si>
    <t>Gemlik, Türkiye</t>
  </si>
  <si>
    <t>18' Bursa 04.01.2019</t>
  </si>
  <si>
    <t>http://www.instagram.com/benfurkansteel/</t>
  </si>
  <si>
    <t>Burak Ç. ﺦ</t>
  </si>
  <si>
    <t>Allah Yar ve Yardımcınız olsun. Ayağınıza taş değmesin. 🇹🇷🇹🇷 #TurkishArmy</t>
  </si>
  <si>
    <t>http://www.instagram.com/bburakcakiroglu</t>
  </si>
  <si>
    <t>Quzilqurt</t>
  </si>
  <si>
    <t>#TurkishArmy #StopKurdishCenosid</t>
  </si>
  <si>
    <t>kedİ</t>
  </si>
  <si>
    <t>https://pbs.twimg.com/media/EGbs5AHXYAEyZe2.jpg</t>
  </si>
  <si>
    <t>31 mekan 27 vatan</t>
  </si>
  <si>
    <t>Nasıl mutluysan öyle yaşa</t>
  </si>
  <si>
    <t>http://instagram.com/xomerdogan</t>
  </si>
  <si>
    <t>Böylesi bir zamanda bile böyle ortaya konuşan tipleri zerre kadar samimi bulmuyorum.! #TurkishArmy</t>
  </si>
  <si>
    <t>https://pbs.twimg.com/media/EGbs0rTW4AAQYhJ.jpg</t>
  </si>
  <si>
    <t>Siyaset Bilimi ve Kamu Yönetimi (Y.L.)</t>
  </si>
  <si>
    <t>Ahu Daraman</t>
  </si>
  <si>
    <t>Ben sana emretmişken seni secde etmekten alıkoyan şey nedir?  #TurkishArmy</t>
  </si>
  <si>
    <t>https://pbs.twimg.com/media/D46Zj-tW4AAIrOF.jpg</t>
  </si>
  <si>
    <t>Bolu, Türkiye</t>
  </si>
  <si>
    <t>Munzur Üniversitesi</t>
  </si>
  <si>
    <t>Afşin Kara</t>
  </si>
  <si>
    <t>Hazır! Daima Hazır! #TurkishArmy 🇹🇷</t>
  </si>
  <si>
    <t>https://pbs.twimg.com/media/EGbs0GKXkAA3WIx.jpg</t>
  </si>
  <si>
    <t>İyi olmak kolaydır, zor olan âdil olmak...</t>
  </si>
  <si>
    <t>sunay yılmaz</t>
  </si>
  <si>
    <t>Chp ve yandaşlarının #SavaşaHayır ve Barış çağrıları, Abd ve İsrailin kurduğu&amp;kullandığı Pkk ve daeş terör örgütlerinin bitmemesi içindir. #BarışPınarıHarekatı #TurkishArmy</t>
  </si>
  <si>
    <t>https://pbs.twimg.com/media/EGbszZoXYAMj88J.jpg</t>
  </si>
  <si>
    <t>Ak Parti Yalova Merkez İlçe Tanıtım ve Medya Başkanı</t>
  </si>
  <si>
    <t>Giray</t>
  </si>
  <si>
    <t>en azından hayattayız bu da bi şey be abi</t>
  </si>
  <si>
    <t>gazi murat</t>
  </si>
  <si>
    <t>Ha bu arada söyleyim klavye delikanlısı kim derse açık acık resimlerim var bir ölür bin defa doğarız #TurkishArmy</t>
  </si>
  <si>
    <t>pic.twitter.com/deKXTaEDiV</t>
  </si>
  <si>
    <t>JÖH</t>
  </si>
  <si>
    <t>EVLÂD-I FATİHANLAR 5 RT</t>
  </si>
  <si>
    <t>Adım Adım Fırat'ın Doğusuna... Suriye sınırındaki askeri birliklerimize çok sayıda askeri araç ve zırhlı personel taşıyıcılar ile komando takviyesi yapıldı. #TurkishArmy</t>
  </si>
  <si>
    <t>pic.twitter.com/81a8w2aOZL</t>
  </si>
  <si>
    <t>Yusuf AYAR🇹🇷</t>
  </si>
  <si>
    <t>https://pbs.twimg.com/media/EGbst05W4AAK_U_.jpg</t>
  </si>
  <si>
    <t>BURSASPOR</t>
  </si>
  <si>
    <t>Balamir AYAZ</t>
  </si>
  <si>
    <t>Fazla söze gerek yok İSTİKLÂL MARŞIMIZ herşeyi açık ve net anlatıyor. #TurkishArmy #CheGuevara #OrdumuzunYanındayız #Tuerksilahlıkuvvetleri #TuerkMilletiOrdusununYanında #tsk</t>
  </si>
  <si>
    <t>https://pbs.twimg.com/media/EGbstmpWkAA29vC.jpg</t>
  </si>
  <si>
    <t>Alihan Tekin</t>
  </si>
  <si>
    <t>Hazır. Daima hazır!#TurkishArmy</t>
  </si>
  <si>
    <t>Sadece Fenerbahçe💙💛 Deu/1907 🇷🇸🇹🇷</t>
  </si>
  <si>
    <t>murat Birhan</t>
  </si>
  <si>
    <t>#TurkishArmy Türkiye'nin düşmanı; - ne Işid - ne Pkk - ne Suriye - ne Yunanistan ne de başkasıdır. Türkiye'nin bir numaralı düşmanı dost görünümlü Amerika'dır. Düşman aşırı güçlüdür. Mücadele sadece ordu ile verilemez. Daha farklı mücadele yöntemleri düşünülmelidir.</t>
  </si>
  <si>
    <t>Twitlerimin tamamı alıntıdr bb</t>
  </si>
  <si>
    <t>Edep, her türlü davanın üzerindedir Ve insan ancak,dili kadar edeplidir.Ben #allahın' kulu #HzMuhammed (sav)'in ümmeti #cumhuriyet adamı #Atatürküçü biriyim.</t>
  </si>
  <si>
    <t>Faruk Tacir</t>
  </si>
  <si>
    <t>Büyük aşklar ya sonsuzdur, Ya da O’nsuz!.</t>
  </si>
  <si>
    <t>E M R E ☠️</t>
  </si>
  <si>
    <t>Çocukların korkmadığını tek Ordu 🙏🏻🇹🇷 #TurkishArmy</t>
  </si>
  <si>
    <t>https://pbs.twimg.com/media/EGbsoz6XUAArVD0.jpg</t>
  </si>
  <si>
    <t>Çukurova Üniversitesi</t>
  </si>
  <si>
    <t>Adıgüzel 👨🏻‍🦰</t>
  </si>
  <si>
    <t>TÜ GALATASARAY</t>
  </si>
  <si>
    <t>MaadayKara</t>
  </si>
  <si>
    <t>#TurkishArmy bi kurt görün bu gece rüyanız parçalansın</t>
  </si>
  <si>
    <t>pic.twitter.com/k3mUNpjQbj</t>
  </si>
  <si>
    <t>" Deve yavrusuna ağlayan börü Eniği öldü de üzülmez oldu "</t>
  </si>
  <si>
    <t>Emre Akkaya 🇹🇷 ⚡</t>
  </si>
  <si>
    <t>Yüce Rabbim...! Türk Ordusunu Türk Askerini Korusun 🇹🇷🇹🇷🇹🇷🇹🇷🇹🇷🇹🇷🇹🇷🇹🇷🇹🇷🇹🇷🇹🇷🇹🇷🇹🇷🇹🇷🇹🇷🇹🇷🇹🇷🇹🇷🇹🇷🇹🇷 #TurkishArmy</t>
  </si>
  <si>
    <t>pic.twitter.com/pEaneK07kL</t>
  </si>
  <si>
    <t>Los Angeles, CA ,  #BalboaTim</t>
  </si>
  <si>
    <t>Journalist | Blog Yazarı | Sosyal Medya Uzmanı | Freelance İşler | Web Yazılım | Web Tasarım | SEO | http://bilirweb.com Official Hesabım - @officialakkaya</t>
  </si>
  <si>
    <t>https://emreakkaya.com.tr/</t>
  </si>
  <si>
    <t>Alkin Gurescioglu</t>
  </si>
  <si>
    <t>🐞 KAHBE PKK VE SİNSİ İNGİLİZ DERİN DEVLETİ BAĞLANTISI 🐞  ㊙ #TurkishArmy Natali Avazyan #SağlıkYönetimineAtamaŞart #CheGuevara Tevfik Göksu müzik köşesi makineleştirmek düzenletebilme ㊙</t>
  </si>
  <si>
    <t>pic.twitter.com/91McTEC0jt</t>
  </si>
  <si>
    <t>Her gune hayatının en guzel gunu olması icin şans verMTwain</t>
  </si>
  <si>
    <t>Yahya ÇAVDAR</t>
  </si>
  <si>
    <t>#TurkishArmy RT @CAVDAROGLU61: “Ne Dicle ne de Fırat'ın kuzularını çakallara kaptırmayacağız” #MazlumaUmutZalimeYAVUZolacağız 🇹🇷🇹🇷🇹🇷🇹🇷🇹🇷🇹🇷🇹🇷🇹🇷🇹🇷🇹🇷🇹🇷🇹🇷 #BarışPınarıHarekatı</t>
  </si>
  <si>
    <t>https://twitter.com/cavdaroglu61/status/1181432105798164480</t>
  </si>
  <si>
    <t>https://pbs.twimg.com/media/EGVKO1wWsAEgq8H.jpg</t>
  </si>
  <si>
    <t>TRABZON</t>
  </si>
  <si>
    <t>Fatih ARSLAN</t>
  </si>
  <si>
    <t>#TurkishArmy Daima Hazır</t>
  </si>
  <si>
    <t>pic.twitter.com/BW0mbf4NAS</t>
  </si>
  <si>
    <t>“Şüphesiz benim namazım da, diğer ibadetlerim de, yaşamam da, ölümüm de âlemlerin Rabbi ALLAH içindir.”</t>
  </si>
  <si>
    <t>Haber İnsiyatif</t>
  </si>
  <si>
    <t>Fırat’ın doğusu için geri sayım başladı  #TurkishArmy #BarisPinariHarekati #suriye #operasyonsuriye #SuriyeMilliOrdusu #suriyeharekatı</t>
  </si>
  <si>
    <t>https://www.haberinsiyatif.com/firatin-dogusu-icin-geri-sayim-basladi/</t>
  </si>
  <si>
    <t>https://pbs.twimg.com/media/EGbsep5WsAA-5aY.jpg</t>
  </si>
  <si>
    <t>Bazıları, bazı şeylerin bazı yerlerde yayınlanmasını istemez. İşte o şeylere biz haber diyoruz.”</t>
  </si>
  <si>
    <t>https://www.haberinsiyatif.com/</t>
  </si>
  <si>
    <t>mustafa tazan</t>
  </si>
  <si>
    <t>Dünya tarihinin en şanlı ordusu mazlumların umudu Suriye’ye nizam ve intizam getirmeye geliyor #TurkishArmy</t>
  </si>
  <si>
    <t>Chi Hiro</t>
  </si>
  <si>
    <t>#TurkishArmy #ArapBirliği #EmineBulut Türkiye de ümmet ümmet diye höyküren Bi grup varya onlar burdamı Arap birliğinden açıklama var bakın ümmettiniz elinden gelse kasıkçı gibi ümüğünüzü sıkıp bırakacak yer arıyor zavallılar sizi</t>
  </si>
  <si>
    <t>Miyazaki mukaddes bir insan 🙏</t>
  </si>
  <si>
    <t>Aydın OTLUOĞLU</t>
  </si>
  <si>
    <t>siz çoksunuz BİZ "TÜRK " 🇹🇷 #TurkishArmy #TurkeyIsNotOurFriend #TürkMilletiOrdusununYanında</t>
  </si>
  <si>
    <t>https://pbs.twimg.com/media/EGVnvTOWsAEQloN.jpg</t>
  </si>
  <si>
    <t>Erzincan, Balıkesir</t>
  </si>
  <si>
    <t>Football Player BAÜN BESYO</t>
  </si>
  <si>
    <t>http://Instagram.com/aydnn9/</t>
  </si>
  <si>
    <t>Dicle Karakoyun</t>
  </si>
  <si>
    <t>Resulullah buyurdu ki yerde olanlara merhamet edin ki, gökte olan da size merhamet etsin.  #TurkishArmy</t>
  </si>
  <si>
    <t>https://pbs.twimg.com/media/D9X5ulJWkAItSB0.jpg</t>
  </si>
  <si>
    <t>AHMET YILDIZ</t>
  </si>
  <si>
    <t>https://pbs.twimg.com/media/EGbsa3LXkAEyZ1u.jpg</t>
  </si>
  <si>
    <t>Şanlıurfa Valiliği</t>
  </si>
  <si>
    <t>FIRTINALAR DURSUN YANA YOL VER TÜRK'ÜN BAYRAĞINA #TurkishArmy 🇹🇷</t>
  </si>
  <si>
    <t>https://pbs.twimg.com/media/EGbsZmeXkAAEJtC.jpg</t>
  </si>
  <si>
    <t>Güneşli, İstanbul</t>
  </si>
  <si>
    <t>maksat takdir dünyalı dostum | aibü 2/5🎈</t>
  </si>
  <si>
    <t>http://instagram.com/yirmibesahmet</t>
  </si>
  <si>
    <t>Mavi İstihbarat</t>
  </si>
  <si>
    <t>ABD'li kaynaklara göre Türk Ordusu ve ÖSO askerleri operasyona başladı. #TurkishArmy #BarışPınarıHarekatı</t>
  </si>
  <si>
    <t>https://pbs.twimg.com/media/EGbsaFCXUAAuTg3.jpg</t>
  </si>
  <si>
    <t>Yiğit BALKANLI</t>
  </si>
  <si>
    <t>Tekrar koy çayları dede. Şanlı ordumuz düğüne gidiyor 🇹🇷 #TurkishArmy</t>
  </si>
  <si>
    <t>https://pbs.twimg.com/media/EGbsZvZX0AASmCj.jpg</t>
  </si>
  <si>
    <t>Güzelyurt, Manisa</t>
  </si>
  <si>
    <t>CANN 01 🇹🇷</t>
  </si>
  <si>
    <t>Allah ordumuzu korusun Allah yar ve yardımcıları olsun #TurkishArmy</t>
  </si>
  <si>
    <t>pic.twitter.com/EusiK35xGM</t>
  </si>
  <si>
    <t>FENERBAHCE - SIFIRBİR</t>
  </si>
  <si>
    <t>İki gözüm seneler geçiyor</t>
  </si>
  <si>
    <t>https://pbs.twimg.com/media/EGbpqmwWsAEFMbk.jpg</t>
  </si>
  <si>
    <t>M.Taha Akbulut</t>
  </si>
  <si>
    <t>Şu gökyüzünden gelen F-16 sesleri sadece bana mı gurur veriyor ? İnsanın ruhunu dinlendirir cinsten 🇹🇷 #TurkishArmy</t>
  </si>
  <si>
    <t>Olaylara ve kişilere göre değil, tespit etmiş olduğum durumlara göre davranış modeli sergilerim.</t>
  </si>
  <si>
    <t>http://instagram.com/mtahakbulut</t>
  </si>
  <si>
    <t>Aygün Aydoğan</t>
  </si>
  <si>
    <t>#TurkishArmy Rabbim yâr ve yardımcıları olsun Mehmetçiğimizin. Vurun siyonist kafire mazlumların ahi yerde kalmasın gün bugündür Diyarbakır 8 #KendineGelPezeberk #EmineBulut #CheGuevara #deprem</t>
  </si>
  <si>
    <t>https://pbs.twimg.com/media/EGbsVqSXkAE38Ek.jpg</t>
  </si>
  <si>
    <t>MACAR🇹🇷</t>
  </si>
  <si>
    <t>🇹🇷Fırat Kalkanı ve Zeytindali Operasyonu öncesi yaşananlar #BarisPinariHarekati öncesi de aynı -Ab, Abd,Bm,Nato Ve en sonunda Arap birliği de Karşı olduğunu Açıkladı Şartlar oluştu Kazanan #TurkishArmy ve Yüce Türk Milleti Olucak Inşaallah #eniyicevap 🇹🇷</t>
  </si>
  <si>
    <t>Türk-Milletine Aşık-Vatansever</t>
  </si>
  <si>
    <t>Ümit03</t>
  </si>
  <si>
    <t>#Soran #olursa #Türkler #geldi #dersiniz. Hoşgeldiniz diyene sahip çıkın. Neden geldiniz diye soranın kafasına sıkın... #TurkishArmy #BarışPınarı</t>
  </si>
  <si>
    <t>https://www.instagram.com/p/B3ZT9FiBdrrwROlSHZ74q7vpYOCFdgQ8CyBjDI0/?igshid=nxwrf5tajagi</t>
  </si>
  <si>
    <t>Ölümün bitmeyen ufkunda yatarken gene sağ; Bir avuç toprak olurken gene yüksek, gene dağ</t>
  </si>
  <si>
    <t>ELMAS  AKIN</t>
  </si>
  <si>
    <t>https://pbs.twimg.com/media/EGbsQioWwAA_V8m.jpg</t>
  </si>
  <si>
    <t>“Bismillâhillezi lâ yedurru ma’asmihi şey’ün fil erdi ve lâ fissemâi ve hüves-semi’ul alim.”</t>
  </si>
  <si>
    <t>ℰ Տ ℛ ᗅ🇹🇷</t>
  </si>
  <si>
    <t>Kralına da Çattı Zalimlere meydan da okudu... Ömrün uzun olsun Reis ❤ #TurkishArmy 🇹🇷</t>
  </si>
  <si>
    <t>pic.twitter.com/b0a1rDBnvL</t>
  </si>
  <si>
    <t xml:space="preserve">Mersin, Malatya </t>
  </si>
  <si>
    <t>Ya Olduğun Gibi Görün Ya da Gözüme Görünme ;) Rt Hesabım @Rte_tim_ http://Instagram.com/deli_dalga__</t>
  </si>
  <si>
    <t>Canel Sever</t>
  </si>
  <si>
    <t>Elimizde gerçekleri duyurup öğrenebildiğimiz bir bu twitter kalmıştı eğer meseleye ayıkamazsak burayı da yok edecekler. Gündemde gördüğünüz manasız taglar bu yüzden.. #TurkishArmy</t>
  </si>
  <si>
    <t>"That old saying, how you always hurt the one you love, well, it works both ways." -Chuck Palahniuk</t>
  </si>
  <si>
    <t>General Zeki Doğan Mah.</t>
  </si>
  <si>
    <t>https://pbs.twimg.com/media/EGbsK0VW4AE_5Yz.jpg</t>
  </si>
  <si>
    <t>siyaset..ANKARA</t>
  </si>
  <si>
    <t>Yusuf Alak</t>
  </si>
  <si>
    <t>R.TAYYİP ERDOĞAN : Yeter artık suriyeye giriyoruz ABD : Haklısın gir RUSYA : Haklısın gir AVRUPA : Haklısın gir İRAN : Haklısın gir CHP - KK : Suriyeye neden giriyoruz, ne işimiz var suriyeye, pyd mi bizi vuracak? #Syria #TurkishArmy #carsamba</t>
  </si>
  <si>
    <t>#akparti #istanbul #başakşehir R 💍 01.09.2019❤💍</t>
  </si>
  <si>
    <t>Engincan Karayaşar 👑</t>
  </si>
  <si>
    <t>https://pbs.twimg.com/media/EGbsLSRXoAAeabn.jpg</t>
  </si>
  <si>
    <t>Beşiktaş ♥♥♡♡ İnstagram: engincankarayasar #Picemiyeti</t>
  </si>
  <si>
    <t>طوغباء🌼</t>
  </si>
  <si>
    <t>Herkese iyi günler, hainler hariç 🇹🇷 #TurkishArmy</t>
  </si>
  <si>
    <t>Arapça Öğretmenliği👩‍🎓 İnan değil sana kastım cahille sohbeti kestim🙋</t>
  </si>
  <si>
    <t>Serhat Kaymak</t>
  </si>
  <si>
    <t>We are ready! 🇹🇷🇹🇷🇹🇷 #TurkishArmy #BarışPınarıHarekatı</t>
  </si>
  <si>
    <t>https://pbs.twimg.com/media/EGbsI97XkAAJ4pt.jpg</t>
  </si>
  <si>
    <t>Hukuk⚖️ / Endüstri Mühendisi / Oku, Düşün, Uygula, Neticelendir! / 21.34</t>
  </si>
  <si>
    <t>Emine ERDEMSOY</t>
  </si>
  <si>
    <t>Millet olarak yüce yaradandan niyazımız odur ki; Allah devletimize milletimize zeval vermesin, ordumuzu muzaffer eylesin. #TurkishArmy</t>
  </si>
  <si>
    <t>Tarafsız olan bertaraf olur. Her daim Reis'in tarafındayız bu böyle biline.</t>
  </si>
  <si>
    <t>GökTürk</t>
  </si>
  <si>
    <t>Hiç kimsede benim askerim suriye,ye gidiyor, memleketteki eli silah tutan suriyeliler neden gitmiyor, demiyor.Allah ıslah etsin sizi..#TurkishArmy</t>
  </si>
  <si>
    <t>1881 - 1938</t>
  </si>
  <si>
    <t>Gaptan cek sıparrov!!</t>
  </si>
  <si>
    <t>#TurkishArmy geliyoruz. Hepinizin aq için. Ya istiklal ya ölüm. Ne mutlu Türküm diyene</t>
  </si>
  <si>
    <t>https://pbs.twimg.com/media/EGbsFL2WwAAqDHl.jpg</t>
  </si>
  <si>
    <t>Y.Cem Kaya</t>
  </si>
  <si>
    <t>Bizimle uğraşmayın manyak olursunuz kafayı yersiniz 😀 #TurkishArmy RT @TTAgrup: Bu delileri bir araya getirmeyecektiniz! #TurkishArmy</t>
  </si>
  <si>
    <t>Cü Art History #Afc #SS #HajraTuran</t>
  </si>
  <si>
    <t>http://Instagram.com/yc.kayaa</t>
  </si>
  <si>
    <t>نهاوي</t>
  </si>
  <si>
    <t>#StrayKids_DoubleKnotً Z0D ُ🔥#WALvFIJً Z0D ُ🔥#TurkishArmyً Z0D ُ🔥#BacheloretteAUً Z0D ُ🔥#がんばれ阪神ً Z0D ُ🔥</t>
  </si>
  <si>
    <t>https://ift.tt/2OuvgrT</t>
  </si>
  <si>
    <t>نهاوي تجرح وتداوي</t>
  </si>
  <si>
    <t>Kaçma heval sadece yorgun öleceksinnn #TurkishArmy</t>
  </si>
  <si>
    <t>https://pbs.twimg.com/media/EGbsDu_XUAA4-En.jpg</t>
  </si>
  <si>
    <t>Türk Öğün Çalış Güven🇹🇷</t>
  </si>
  <si>
    <t>Kerim Berke Özer</t>
  </si>
  <si>
    <t>Bekleyin teröristler sizin için geliyoruz. #TurkishArmy</t>
  </si>
  <si>
    <t>Mahmut Azarkan</t>
  </si>
  <si>
    <t>Hazır mısın  #TurkishArmy</t>
  </si>
  <si>
    <t>https://pbs.twimg.com/media/BmBQrZZIgAA3m5k.jpg</t>
  </si>
  <si>
    <t>Sevgim acıyor. Kimi sevsem, kim beni sevse..- Turgut Uyar</t>
  </si>
  <si>
    <t>Kerem Murat 🇹🇷</t>
  </si>
  <si>
    <t>#TurkishArmy Bakkara, one of the leading tribes of Deirizor province in eastern Syria, called on the tribes, tribes and the people in the region to rebel against YPG / PKK, a terrorist organization that burned agricultural land.</t>
  </si>
  <si>
    <t xml:space="preserve">"Tam Bağımsız Güçlü Türkiye"  </t>
  </si>
  <si>
    <t>Erdoğan giderse,bu coğrafyanın vicdani gider....! 🚫DM🚫</t>
  </si>
  <si>
    <t>Mehmet Özcan</t>
  </si>
  <si>
    <t>#TurkishArmy şu etikette yer alan mesajların çoğunu ingilizce atabilsek keşke. Ama halâ uygulama marketlere "güzel oyun ama ingişçe" yorumlarından geçilmiyor. Psikolojik harbi daha okulda kaybediyoruz. Dünyaya derdini anlatamayan buna gerek duymayan enterasan nesiller yetişiyor.</t>
  </si>
  <si>
    <t>Research Assistant / PhD Candidate in Econometrics / Data Analyst / Founder of http://ekonometrik.net / Ankara-Karaman-Turkey🇹🇷</t>
  </si>
  <si>
    <t>http://www.ekonometrik.net</t>
  </si>
  <si>
    <t>Samet Çetin</t>
  </si>
  <si>
    <t>Software developer Economics analysis and researcher</t>
  </si>
  <si>
    <t>Zeynep Akyurt</t>
  </si>
  <si>
    <t>Dönmez geri Türk'ün askeri #TurkishArmy 🇹🇷🇹🇷🇹🇷</t>
  </si>
  <si>
    <t>𝑾𝑶𝑳𝑭 ™</t>
  </si>
  <si>
    <t>Sezgin Tanrıkulu'nun son beğenisine baktım, "Savaşma Seviş" teması var. Lan duyunca inanmadım ama cidden porno beğenmiş! Hala kaldırmadı 😂😂😂 #TurkishArmy</t>
  </si>
  <si>
    <t>https://pbs.twimg.com/media/EGbr9dIWwAAm9Pg.jpg</t>
  </si>
  <si>
    <t>B͎e͎a͎r͎s͎&amp;B͎u͎l͎l͎z͎</t>
  </si>
  <si>
    <t>Firat</t>
  </si>
  <si>
    <t>#TurkishArmy Dunaynin adil adalet ve Merhamet sahibi tek ordusu diyebilirim Dunayaya barisi getirecrk tek ordu Turk ordusudur Simdi Dusmanlarimiz korksun Dostlarimiz Guven icinde beklesin</t>
  </si>
  <si>
    <t>Osman Eren</t>
  </si>
  <si>
    <t>Ayağına taş değmesin.Allah her daim Mehmetçiklerimizi korusun.Dualarımız sizinle #TurkishArmy</t>
  </si>
  <si>
    <t>Demirci Manisa</t>
  </si>
  <si>
    <t>BEŞİKTAŞK %100 MANİSA'lı Değişik ruh hali BARIŞ MANÇO TARKAN #matrax</t>
  </si>
  <si>
    <t>fikirsahipleri</t>
  </si>
  <si>
    <t>🇹🇷Camiler kışlamız, müminler asker, 🇹🇷Bu ilahi ordu dinimi bekler, 🇹🇷Allahu Ekber, Allahu Ekber ☝️🇹🇷☝️☝️🇹🇷☝️☝️🇹🇷☝️ #TurkishArmy #BarisPinari</t>
  </si>
  <si>
    <t>pic.twitter.com/UC4PWKNZbG</t>
  </si>
  <si>
    <t>BİZ SEVDANIN ÇOCUKLARIYIZ.BALKANLARDAN, TÜRKİSTAN'A,KAFKASLARDAN, AFRİKA'YA İSLAMA MEYLETMİŞ YETİM ÇOCUKLARIZ. @fikirsahiplerim @fikirsahipleriz hesabım askı.</t>
  </si>
  <si>
    <t>kalbikırık :/</t>
  </si>
  <si>
    <t>Bismillahirrahmanirrahim - İnna fetehna leke fetham mübina.. 🤲🏻 #TurkishArmy 🇹🇷</t>
  </si>
  <si>
    <t>https://pbs.twimg.com/media/EGbr3XHWsAE8bvl.jpg</t>
  </si>
  <si>
    <t>Tek Aşk ' TRABZONSPOR ♥💙</t>
  </si>
  <si>
    <t>Naamyee</t>
  </si>
  <si>
    <t>@gokhankhrman Bunların yaptığı, tomar tomar dolarları sobaya atıp ateşe vermekten farksız. O u şeklindeki bloklar da, kazdığınız hendekler de mezarınız olacak. #TurkishArmy is coming to send you all to HELL!</t>
  </si>
  <si>
    <t>-Kuran'ın ve Ayyıldızın izinde..</t>
  </si>
  <si>
    <t>ç kk oh hhu</t>
  </si>
  <si>
    <t>Thracian</t>
  </si>
  <si>
    <t>#TurkishArmy Selamun aleykum mekanin sahibi geldi. RT @_Thracian: Turkish Armed Forces Hell March 2017 Türk Silahlı Kuvvetleri Cehennem M...  @YouTube aracılığıyla</t>
  </si>
  <si>
    <t>https://twitter.com/_Thracian/status/1181891063360958465
https://youtu.be/61IVvG-LLQU</t>
  </si>
  <si>
    <t>Antik Roma ve 2. Dünya savaşı meraklısı. Okur fakat yazmaz. Plastik modelcilik meraklısı. Fenerbahçeli. Türk evladı. Savunma Sanayi meraklısı. #AliKoc #Yeniden</t>
  </si>
  <si>
    <t>🇹🇷 Siyasi_yobaz🇹🇷⚡</t>
  </si>
  <si>
    <t>pic.twitter.com/JUuemkE31n</t>
  </si>
  <si>
    <t>Dünyanın merkezinden</t>
  </si>
  <si>
    <t>SELAMÜN ALEYKÜM ARKADAŞLAR 🇹🇷 Siyasi_yobaz🇹🇷 olarak milli ve manevi hesapları takip edip düşünmeden destek veriyorum ve 💛💙 Fenerbahçeli 💛💙 hesapları</t>
  </si>
  <si>
    <t>pt__ny</t>
  </si>
  <si>
    <t>#TurkishArmy #TürkMilletiOrdusununYanında 🇹🇷🇹🇷🇹🇷🇹🇷🇹🇷 '' Being a #TURK is difficult because you fight the world! It is more difficult not to be a #TURK, because you fight with the #TURKS !" #FATİHSULTANMEHMET #FATİHİNARSLANLARI @TSKGnkur @jandarma</t>
  </si>
  <si>
    <t>Ayşenur Çakır</t>
  </si>
  <si>
    <t>İşte şanlı Türk Ordusu! Muzaffer eyle ya Rab. #TurkishArmy</t>
  </si>
  <si>
    <t>https://pbs.twimg.com/media/EGbrzluX0AAl31P.jpg</t>
  </si>
  <si>
    <t>OMÜ/ İlahiyat 📚</t>
  </si>
  <si>
    <t>Deniz Taşova</t>
  </si>
  <si>
    <t>https://pbs.twimg.com/media/EGbr0ZWXkAAlH1k.jpg</t>
  </si>
  <si>
    <t>İstanbul Doğuş Üniversitesi</t>
  </si>
  <si>
    <t>DEMİR</t>
  </si>
  <si>
    <t>ADALET DAĞITICAZ !!! #TurkishArmy</t>
  </si>
  <si>
    <t>💛❤️ İSTANBUL 🇹🇷 http://Instagram.com/rafidemir</t>
  </si>
  <si>
    <t>BAM BAM🤺. 1,92🗼.. 101🐘 .. 23🍆</t>
  </si>
  <si>
    <t>#TurkishArmy EZAN oldum dinmedim BAYRAK oldum inmedim ŞEHİT oldum,ölmedim Adım TÜRK benim. Denildimi bir yerin adına TÜRK BELDESİ Gözüm ALBAYRAK arar Kulağım EZAN sesi Vatana ihanetin nedeni olmaz BEDELİ olur diyen 🇹🇷ATATÜRK'ün ASKERLERİYİZ teröriste SÖZÜMÜZ YOK OLACAKSINIZ🤺</t>
  </si>
  <si>
    <t>🇹🇷ATATÜRK🤗 BEŞİKTAŞ♥️ Bi kahve🐈 İ. Z. M. İ. R.</t>
  </si>
  <si>
    <t>Flwr of Lfe 🌙</t>
  </si>
  <si>
    <t>. Bu ne lan. İthal İNGİLİZ KAŞARI mı? Ne kaşarı? Nasıl bir Kaşar? 🤔 #CheGuevara Temel Karamollaoğlu, evinde kilosu 120 tl lik kaşar yiyormuş. Allah söyletiyor. #TurkishArmy #EmineBulut #SonDakika #SaadetPartisi #OperationPeaceSpring #BarışPınarıHarekatı #Akp</t>
  </si>
  <si>
    <t>pic.twitter.com/e9Ce6sQjpC</t>
  </si>
  <si>
    <t>یهكقدص</t>
  </si>
  <si>
    <t>˚·•‹🇹🇷›•єяSλη ··•‹🇹🇷›•·˚</t>
  </si>
  <si>
    <t>It's not a battle against any nation, it's a fight against terror and terrorism. #TurkishArmy 🇹🇷🇹🇷🇹🇷🇹🇷💪</t>
  </si>
  <si>
    <t>Your follower is not always your fan. you can't judge the life you didn't pay.</t>
  </si>
  <si>
    <t>Göktuğ Karaman</t>
  </si>
  <si>
    <t>Sana verilmeyen bir şeyden dolayı elem duyman ve üzülmen, bunun Allah’tan olduğunu bilmemenden ileri gelir.Ataullah İskenderi #TurkishArmy</t>
  </si>
  <si>
    <t>"You know you're getting old when you can pinch an inch on your forehead." -John Mendoza</t>
  </si>
  <si>
    <t>Kutay Kutoglu</t>
  </si>
  <si>
    <t>SA 🇹🇷🇹🇷🇹🇷🇹🇷🇹🇷 #TurkishArmy</t>
  </si>
  <si>
    <t>https://pbs.twimg.com/media/EGbrvSHWwAAa5b9.jpg</t>
  </si>
  <si>
    <t>BlaBlaBla</t>
  </si>
  <si>
    <t>Ismail Aktan</t>
  </si>
  <si>
    <t>Trump`ın aşağılık tweetine bizden kimsenin hala cevap dahi verememesi o hep eleştirdikleri Bülent Ecevit pozundan çok daha utanç verici değil mi? #TurkishArmy</t>
  </si>
  <si>
    <t>MUSTAFA KEMAL ATATÜRK tek önderi.</t>
  </si>
  <si>
    <t>Mert Gülmez</t>
  </si>
  <si>
    <t>PKK’nın En Büyük Para Geliri Uyuşturucu İhracatı Yapmaktır.. Sevgili Genç Kardeşlerim, Sizlerin Para Verip,Özenerek İçtiği Beyni Uyuşturan, Maddeler Ülkemize,Askerimize ve Sivillerimize Mermi Olarak Geri Dönüyor. #TurkishArmy #CheGuevara #BarisPinari #EmineBulut #HalukLevent</t>
  </si>
  <si>
    <t>https://pbs.twimg.com/media/EGbrteIXUAALi9r.jpg</t>
  </si>
  <si>
    <t>Devlet,Millet,Bayrak 🇹🇷 Fenerbahçe Üyesi</t>
  </si>
  <si>
    <t>SayMali</t>
  </si>
  <si>
    <t>https://pbs.twimg.com/media/EGbrtJ0W4AEG92n.jpg</t>
  </si>
  <si>
    <t>New orleans</t>
  </si>
  <si>
    <t>üns@l ye$¡|¥urt</t>
  </si>
  <si>
    <t>https://pbs.twimg.com/media/EGbrrTwXUAEQxcv.jpg</t>
  </si>
  <si>
    <t>M.EMİN ÜSTÜN</t>
  </si>
  <si>
    <t>Kimileri savasmayalim seviselim der;kimileri inlerine girip inletmeyi sever😉#TurkishArmy</t>
  </si>
  <si>
    <t>DOĞRU BİRDİR.. ÖLÜMLE YAŞAMI AYIRAN ÇİZGİ SİYAHLA BEYAZI AYIRAMAZ Kİ.. GERCEKLER ELBET BİRGÜN ORTAYA CIKAR.. YALANCI KUKLALARA YER YOK.. HERKESE BOL ŞANS😉</t>
  </si>
  <si>
    <t>Rümeysa Bozkurt</t>
  </si>
  <si>
    <t>https://pbs.twimg.com/media/EGbrgXYWwAIQhuf.jpg</t>
  </si>
  <si>
    <t>Allah kuluna kafi değil mi? / Zumer-36</t>
  </si>
  <si>
    <t>Salih Çelik</t>
  </si>
  <si>
    <t>Sen onlara yardımcı ol ya Rabbi! #TurkishArmy</t>
  </si>
  <si>
    <t>https://pbs.twimg.com/media/EGbrqItWwAEgGX6.jpg</t>
  </si>
  <si>
    <t>İnanmazsan başaramazsın.</t>
  </si>
  <si>
    <t>M.Korhan Özatakuş</t>
  </si>
  <si>
    <t>🇹🇷🇹🇷🇹🇷🇹🇷🇹🇷🇹🇷🇹🇷🇹🇷🇹🇷🇹🇷🇹🇷🇹🇷🇹🇷🇹🇷🇹🇷🇹🇷🇹🇷🇹🇷🇹🇷🇹🇷 #TurkishArmy</t>
  </si>
  <si>
    <t>https://pbs.twimg.com/media/EGbrqEkWkAABDL_.jpg</t>
  </si>
  <si>
    <t>Konu: VATAN !!</t>
  </si>
  <si>
    <t>Tamer ACAR</t>
  </si>
  <si>
    <t>4 AYDA 25 KİLO NASIL VERDİM Detaylı bir şekilde youtube kanalımda anlattım Destek ve daha fazla kişiye ulaşması için paylaşıp abone olurmusunuz Lütfen  #TurkishArmy</t>
  </si>
  <si>
    <t>https://youtu.be/t-OKhWD_lbg</t>
  </si>
  <si>
    <t>https://pbs.twimg.com/media/EGbrn66XkAAspIx.jpg</t>
  </si>
  <si>
    <t>https://www.youtube.com/c/tameracar88</t>
  </si>
  <si>
    <t>ParsKuru</t>
  </si>
  <si>
    <t>#TurkishArmy Always mighty Always victorious</t>
  </si>
  <si>
    <t>https://pbs.twimg.com/media/EGbroAGW4AE9SuI.jpg</t>
  </si>
  <si>
    <t>ParsKuru takma adımdır. (Müstear yani)</t>
  </si>
  <si>
    <t>Hamza ispir</t>
  </si>
  <si>
    <t>Taşında gözü olanın Yurduna mezar kazacağız Hainin, soysuzun, döneğin Alnına "vatan" yazacağız Hainin, soysuzun alnına "Yaşasın Turan" yazacağız. #TurkishArmy</t>
  </si>
  <si>
    <t>https://pbs.twimg.com/media/EGbrmzRXoAAcZrx.jpg</t>
  </si>
  <si>
    <t>MSTFASAMİL</t>
  </si>
  <si>
    <t>https://pbs.twimg.com/media/EGbrl2fXUAExX-3.jpg</t>
  </si>
  <si>
    <t>Sadece Ali</t>
  </si>
  <si>
    <t>Hava sahası olmazsa zor olacak! Abd inşallah hava sahasını açar 🙏#TurkishArmy</t>
  </si>
  <si>
    <t>https://pbs.twimg.com/media/EGbrmVeXYAA_9ej.jpg</t>
  </si>
  <si>
    <t>İstanbul , Türkiye</t>
  </si>
  <si>
    <t>Kartları Kader Karıştırır, Biz Oynarız! 🇹🇷 TÜRKİYE'M 🇹🇷 ❤️⚫⚪BEŞİKTAŞ ⚪⚫ ❤️</t>
  </si>
  <si>
    <t>Muhammed Sefa</t>
  </si>
  <si>
    <t>Türk'e yar olmayan dünyanın eksenini kıracağız and olsun #TurkishArmy</t>
  </si>
  <si>
    <t>https://pbs.twimg.com/media/EGbrlrHXYAAe1ya.jpg</t>
  </si>
  <si>
    <t>KaraBey</t>
  </si>
  <si>
    <t>@LorenzoTheCat #TurkishArmy will not harm the innocent people like this little girl; instead, will save her future by eliminating terrorists which is more likely to ruin her life by bringing her into the fold. So save your tears..</t>
  </si>
  <si>
    <t>“Ülkücünün en çok dinlediği ‘nasihat’tır...”</t>
  </si>
  <si>
    <t>Griffin</t>
  </si>
  <si>
    <t>Allah be with #TurkishArmy 🇵🇰🇹🇷</t>
  </si>
  <si>
    <t>Coffee, Samosas, planes and striking fear into Bahkts.</t>
  </si>
  <si>
    <t>Fatih Murat Kanmaz</t>
  </si>
  <si>
    <t>AK Parti Büyükçekmece İlçe Başkan Yardımcısı / Tanıtım ve Medya Birim Başkanı / İstanbul Üniversitesi Medya ve İletişim mezunu</t>
  </si>
  <si>
    <t>DETAY 571-1071-1453-15temmuz.2016 🇹🇷</t>
  </si>
  <si>
    <t>Albayrak her mazlum gönülde dalgalansın.#BarisPinari #BarisPinariHarekati #TurkishArmy #TuerkMilletiOrdusununYanında</t>
  </si>
  <si>
    <t>https://pbs.twimg.com/media/EGbrgICWsAI1g7g.png</t>
  </si>
  <si>
    <t>Nefsini terbiye edemeyen insanların ahlak nutku attığı bir devirdesin. Sen kalbini temiz tut</t>
  </si>
  <si>
    <t>https://www.facebook.com/DuaTaNeLeRi/</t>
  </si>
  <si>
    <t>Mutsel</t>
  </si>
  <si>
    <t>' Hoşgeldin diyene sahip çıkın, Neden geldiniz diyenin kafasına sıkın. '' Allah yardımcınız olsun... #BarisPinariHarekati #TurkishArmy</t>
  </si>
  <si>
    <t>CAD/CAM , Design , Planning , 3D Modeling. --- Aydın</t>
  </si>
  <si>
    <t>Onur Türkdal </t>
  </si>
  <si>
    <t>Daima hazır! 🇹🇷🇹🇷 #TurkishArmy</t>
  </si>
  <si>
    <t>Datça</t>
  </si>
  <si>
    <t>@Galatasaray #paü 👍🏻</t>
  </si>
  <si>
    <t>http://instagram.com/onurturkdal</t>
  </si>
  <si>
    <t>Rıdvan Kaynak</t>
  </si>
  <si>
    <t>Savaş iki devlet arasında yapılır. Biz şehitlerimizin kanı ellerinde olan teröristeri katletmeye gidiyoruz. Allah yardımcınız olsun #TurkishArmy #SavasaHayır</t>
  </si>
  <si>
    <t>19🌿7</t>
  </si>
  <si>
    <t>Abdullah Gazioğlu</t>
  </si>
  <si>
    <t>Arap birliği yine konuştu, zaten tek konuştuğu ülke Türkiye, Ne demiş Türkiye 'nin Suriye'ye müdahalesini red ediyoruz. İran, Abd Rusya orada onlara gelince sus pus bize gelince dayilan . Ümmet... Hoş Atamıza yaptıklarına karşın bunlar normal. Geleceğiz sizde gelin #TurkishArmy</t>
  </si>
  <si>
    <t>Türkiye KAMUSEN Şehit Yakınları ve Gaziler Komisyonu Başkanı. Türk Silahli Kuvvetlerinden Emekli Gazi Uzmn Çvş Sağlık Bakanlığında Çalşyor</t>
  </si>
  <si>
    <t>http://habersehitgazi.com</t>
  </si>
  <si>
    <t>Türk Silahlı Kuvvetleri (TSK) tarafından Suriye sınırındaki askeri birliklere askeri araç ve zırhlı personel taşıyıcılar ile komando takviyesi yapıldı. #TurkishArmy #BarışPınarı #BarışPınarıHarekatı</t>
  </si>
  <si>
    <t>Asosyalist</t>
  </si>
  <si>
    <t>#TurkishArmy Haluk lrvent Sezgin tanrikulu hdp yi hdp sezgini.m adami s.kiyorlar koşunun</t>
  </si>
  <si>
    <t>pic.twitter.com/FC15KRHz0l</t>
  </si>
  <si>
    <t>Burak EMİRLER</t>
  </si>
  <si>
    <t>Kimseye sesini çıkarmayan,amerikaya köpek olan ve de müslümanları korumayan ama yapacağımız operasyona tepki gösterenler arasına katılan Arap Birliğinin de amq #TurkishArmy</t>
  </si>
  <si>
    <t>https://pbs.twimg.com/media/EGbrXuoW4AAbQuN.jpg</t>
  </si>
  <si>
    <t>Hakan GÜVEN</t>
  </si>
  <si>
    <t>Dalgalandığın yerde ne korku ne keder.. #TurkishArmy #BarışPınarıHarekatı</t>
  </si>
  <si>
    <t>https://pbs.twimg.com/media/EGbrV_5W4AASS7r.jpg</t>
  </si>
  <si>
    <t>• 🇹🇷</t>
  </si>
  <si>
    <t>Ahmet Torun</t>
  </si>
  <si>
    <t>#TurkishArmy bu harekatta medyayla içli dışlı olunmamalı. Her ilerlemede kaç askerle mevzilendikleri yerler haberlerde canlı yayınla izletilmemeli. Sessizce ama hızlı ilerlemeliyiz. Medya 24 saat çekim yapsın ama bu görüntüleri harekat bittikten sonra belgesel olarak yayınlasın.</t>
  </si>
  <si>
    <t>FENERBAHÇE 💛💙🏆</t>
  </si>
  <si>
    <t>Musa</t>
  </si>
  <si>
    <t>Çocukların korkmadığı tek ordu #TurkishArmy</t>
  </si>
  <si>
    <t>İstinye Üniversitesi</t>
  </si>
  <si>
    <t>Danyal Topatan</t>
  </si>
  <si>
    <t>Buda geçer...</t>
  </si>
  <si>
    <t>TosToyoViski</t>
  </si>
  <si>
    <t>#TurkishArmy umarım yürüyüşü öğretemeyenler operasyon yapmayı biliyorlardır çünkü o askerler bizim canımız oyun değildi bu asker feda edelim</t>
  </si>
  <si>
    <t>dünya</t>
  </si>
  <si>
    <t>bir garip insan</t>
  </si>
  <si>
    <t>FAKİRULLAH</t>
  </si>
  <si>
    <t>İslâm ordusu #TurkishArmy galip gelecektir.</t>
  </si>
  <si>
    <t>🌹 Allah dostu ♥️</t>
  </si>
  <si>
    <t>SuSMA</t>
  </si>
  <si>
    <t>Yav sayın medya mensupları @ntv @Ahaber @cnnturk @HaberturkTV Allah aşkınıza harekatın nereden başlayacağı, nasıl olacağını uzmanlarla konuşmak nedir? Bırakın karşı tarafa istihbarat sağlamayı kesin su gereksiz yayınları. Bırakın TSK görevini layıkıyla yapsın. #TurkishArmy</t>
  </si>
  <si>
    <t>Istanbul/Turkey</t>
  </si>
  <si>
    <t>Deli Beşiktaşlı, Kötü, kötülük gördü mü SuSMAyan SuSAMayan, kıdemli borsa, acemi teknik analiz öğrencisi, iyi bir baba, iyi bir dost, sırdaş, arkadaş.</t>
  </si>
  <si>
    <t>https://www.youtube.com/channel/UCEFub-9GfvZ7BeCI2thKtDg</t>
  </si>
  <si>
    <t>Fatih ŞAHİN</t>
  </si>
  <si>
    <t>Suriyeye girecegiz. Siz de mal mal bakacaksiniz. Kiminiz evinden kiminiz hucrenizden. #TurkishArmy</t>
  </si>
  <si>
    <t>😂😊😎😍🤔🎁🌸❤🤨😏🤐😭😤 Her şeyden birazcık...</t>
  </si>
  <si>
    <t>Bayar Türksoy</t>
  </si>
  <si>
    <t>'...Faizi terketmezseniz, bunun Allah'a ve Peygamber'ine açılmış bir savaş olduğunu bilin. '' Bakara Suresi 279.Ayet #TurkishArmy</t>
  </si>
  <si>
    <t>https://pbs.twimg.com/media/D2Kweg8WoAAJ1cS.jpg</t>
  </si>
  <si>
    <t>Gel "biz" olalım demek kolay... Benimle hiç olur musun?- Kahraman Tazeoğlu</t>
  </si>
  <si>
    <t>Ahmet Osman TIRPANCI</t>
  </si>
  <si>
    <t>"Şu kopan fırtına Türk ordusudur Yâ Rabbi Senin uğrunda ölen ordu, budur yâ Rabbi Tâ ki yükselsin ezanlarla müeyyed nâmın Galib et; çünkü bu son ordusudur İslâm’ın" #TurkishArmy</t>
  </si>
  <si>
    <t>https://pbs.twimg.com/media/EGbrHB7W4AEMuSH.jpg</t>
  </si>
  <si>
    <t>İnna Lillahi ve İnna İleyhi Raci'un</t>
  </si>
  <si>
    <t>mehmet selim</t>
  </si>
  <si>
    <t>#TurkishArmy We are not a nation who have an army , we are an army who have a nation.</t>
  </si>
  <si>
    <t>Hakkari, Turkey</t>
  </si>
  <si>
    <t>TÜRK polisi https://www.instagram.com/mehmet.selimhekim/</t>
  </si>
  <si>
    <t>Eyüpcan Uzun</t>
  </si>
  <si>
    <t>#TurkishArmy Allah yardımcınız olsun</t>
  </si>
  <si>
    <t>Ben ne yaptığımı biliyor muyum sanki? Neyse, doğru yolda gidiyorumdur belki.</t>
  </si>
  <si>
    <t>Sınıfta Kalanlar</t>
  </si>
  <si>
    <t>@Akinrobotics Haberde basamak çıkmadan bahsediyor. Akıncı-4 destekli yürüyordu. Arkada da bir üçlü priz vardı. Basamak büyük devrim olmuş. Video isteriz...  #carsamba #TurkishArmy #TuerkMilletiOrdusununYanında #Turkey</t>
  </si>
  <si>
    <t>https://www.youtube.com/watch?v=XdIfRJa9phM</t>
  </si>
  <si>
    <t xml:space="preserve">نايف </t>
  </si>
  <si>
    <t>#StrayKids_DoubleKnotً ZI0 ُ🔥#WALvFIJً ZI0 ُ🔥#TurkishArmyً ZI0 ُ🔥#BacheloretteAUً ZI0 ُ🔥#がんばれ阪神ً ZI0 ُ🔥</t>
  </si>
  <si>
    <t>https://ift.tt/2prHqY3</t>
  </si>
  <si>
    <t>Yavuz S</t>
  </si>
  <si>
    <t>Cehennem olsa gelen, göğsümüzde söndürürüz. Bu yol ki Hak yoludur, dönme bilmeyiz, yürürüz! #TurkishArmy</t>
  </si>
  <si>
    <t>https://pbs.twimg.com/media/EGbq96AXUAAuYzD.jpg</t>
  </si>
  <si>
    <t>🇹🇷FENERBAHÇE🇹🇷</t>
  </si>
  <si>
    <t>Nida Özdoğan</t>
  </si>
  <si>
    <t>Bekleyin ulan , şırıngayla geliyoruz yanınıza 👍🏾🇹🇷🇹🇷 #TurkishArmy</t>
  </si>
  <si>
    <t>https://pbs.twimg.com/media/EGbq8hmW4AEoxa4.jpg</t>
  </si>
  <si>
    <t>Onural Ünal</t>
  </si>
  <si>
    <t>" Allah Teâlâ'nın rızası, anne ve babanın rızâsındadır. Allah Teâlâ'nın gazabı, anne ve babanın gazabındandır." (Buhârî, Tirmizi, Birr, 3.)  #TurkishArmy</t>
  </si>
  <si>
    <t>https://pbs.twimg.com/media/D56H4kyWkAAcpQC.jpg</t>
  </si>
  <si>
    <t>Eğer bir intikamsa bu, evet! Seni gözlerimden siliyorum...- Kahraman Tazeoğlu</t>
  </si>
  <si>
    <t>Muammer küçük</t>
  </si>
  <si>
    <t>Freedom Middle East! FUCK OF USA!✊🇹🇷#TurkishArmy</t>
  </si>
  <si>
    <t>●Allah'ın ona yettiğini bilen ve başka bir vekil aramayan birisi ●Bir şehri tribünden seven TATANGA🔥 ●Gerektiğinde Kürşad'ın kinini getirecek TÜRK🇹🇷</t>
  </si>
  <si>
    <t>🌻</t>
  </si>
  <si>
    <t>Gittiğimiz hiçbir yere zulüm için gitmedik. Ya "Vefalı Türk geldi yine" dediler ya da "Geleceğinizi biliyorduk" #TurkishArmy #turkmilletiordusununyaninda #BarisPinariHarekati</t>
  </si>
  <si>
    <t>https://pbs.twimg.com/media/EGbq5zMXkAAN6-5.jpg</t>
  </si>
  <si>
    <t>Tekirdağ</t>
  </si>
  <si>
    <t>VUR EMRİ</t>
  </si>
  <si>
    <t>Yav Türkiye’nin,Msb’nin,Tsk’nın şu kimseyi s.klemez tavrına bayılıyorum..Vur Mehmedim vur şehitler aşkına #BarisPinariHarekati #FıratınDoğusuTuerkiyeninBekası #tsk #msb #TurkishArmy #sondakika #mhp #Akparti</t>
  </si>
  <si>
    <t>ESKİŞEHİRLİ TÜRK</t>
  </si>
  <si>
    <t>Ata Sagiroglu</t>
  </si>
  <si>
    <t>#TurkishArmy Milliyetçi, orducu olup hükümeti destekleyen arkadaşlara; ergenekon ve balyoz operasyonlarını, andımızı, haburu, T. C. yazısını ve 2017'de askeriyeye getirilen Göktürkçe yazağını hatırlatırım.</t>
  </si>
  <si>
    <t>İzmir/Manisa</t>
  </si>
  <si>
    <t>DEÜ/GSF Müzik Bilimleri Yüksek Lisans</t>
  </si>
  <si>
    <t>http://instagram.com/atasagiroglu</t>
  </si>
  <si>
    <t>#SavasaHayır tabii ki BuYuce Ordu savasa gitmiyor ki. Gotunuzden uydurmayin. Bu ordu alcaklara serefsizlere vatan hainlerine huzur bozanlari temizleyip paketleyecekler. O yuzden korkun bu ordudan. Bekleyin #TurkishArmy geliyor. Gotunuzu @realDonaldTrump bile kurtaramaz</t>
  </si>
  <si>
    <t>https://pbs.twimg.com/media/EGbq32SWoAACfYS.jpg</t>
  </si>
  <si>
    <t>Hüdâbin</t>
  </si>
  <si>
    <t>Tayyibin yapamadığını Trump yaptı. Tayyip; 82 milyona hitap edemezken, yarısını terörist ilan ederken Trumpın saçma sapan twitleri 82 milyonu birleştirdi. Sonuç Population of #TurkishArmy 82.000.000</t>
  </si>
  <si>
    <t>I believe. I choice walk alone in the way that I believe. Kûn inden nâsi, ferden minen nâs.</t>
  </si>
  <si>
    <t>Leo King ® 🇹🇷</t>
  </si>
  <si>
    <t>Ayağınıza taş değmesin. Rabbim yar ve yardımcınız olsun 🇹🇷#TurkishArmy</t>
  </si>
  <si>
    <t>Bir kişi lazım. Tekrarı olmayan... 🦁</t>
  </si>
  <si>
    <t>Marie Antoinette</t>
  </si>
  <si>
    <t>#TurkishArmy İŞTE GELİYOORRR ÖZEL HAREEEKAAATTTTT</t>
  </si>
  <si>
    <t>Donna may be fragile but is still a fighter</t>
  </si>
  <si>
    <t>@POTUS If ever a President can be called a ridiculous ignorant buffoon it surely is you, your actions have created a " fish in barrels" situation, men women and children are about to be slaughtered because of your actions #KurdsBetrayed #KurdsBetrayedByTrump #TurkishArmy</t>
  </si>
  <si>
    <t>WIMBLEDON</t>
  </si>
  <si>
    <t>CRAZY CAT LADY, Wrinkled Rebel, its my body that's broke, not my brain</t>
  </si>
  <si>
    <t>hülya tiryaki</t>
  </si>
  <si>
    <t>TC'nin Fırat'ın doğusuna giriş iznini Trump tek başına verdi söylentileri devam ediyor Hekesin gerekçesi Trump deli. Hayır deli değil,kararı tek başına veremez. ABD,besleyip büyüttügü işidi Türkiye'ye temizletiyor Yaptığı çıkışa Avrupa,İran,Suriye hayır diyor. #TurkishArmy</t>
  </si>
  <si>
    <t>Kemalist...Chp'li... Mimar....</t>
  </si>
  <si>
    <t>gunayuzun🇹🇷</t>
  </si>
  <si>
    <t>Turkish Army #TurkishArmy</t>
  </si>
  <si>
    <t>BİN CİHANA DEĞİŞMEM , ŞU ÖKSÜZ TÜRKLÜĞÜMÜ. 🇹🇷🇹🇲🇦🇿🇰🇬🇺🇿🇰🇿</t>
  </si>
  <si>
    <t>🇹🇷Alperen🇹🇷</t>
  </si>
  <si>
    <t>Yürü, yürü, yürü kaldığın yerden Bayrağı, eline aldığın yerden... #TurkishArmy</t>
  </si>
  <si>
    <t>https://pbs.twimg.com/media/EGbqtchXUAAXd_F.jpg</t>
  </si>
  <si>
    <t>Güne gülümserken papatyalar, Dualar gibi yükselir ümitlerim... ERZURUM-BEŞİKTAŞ</t>
  </si>
  <si>
    <t>saltuk buğra tanfer</t>
  </si>
  <si>
    <t>Trump’ın çizdiğim sınırlar sözünden birşey anlayan var mı? Bi sınırmı çizildi? İlkgün gaza geldik milletçe de operasyon Amerikanın belirlediği kırmızı çizgiler olabilir yinede ordumuzu Rabbim korusun #TurkishArmy</t>
  </si>
  <si>
    <t>Erzurum, Ankara,Türkiye</t>
  </si>
  <si>
    <t>Bilkent University</t>
  </si>
  <si>
    <t>Seçkin Öztürk</t>
  </si>
  <si>
    <t>Zaman ABD-İsrail silah pazarına bir miktar sevgi gösterme zamanıdır. Attığınız headshot olsun. #TurkishArmy</t>
  </si>
  <si>
    <t>Seçkin'in istiklalini, yine Seçkin'in azim ve kararı kurtaracaktır.</t>
  </si>
  <si>
    <t>http://instagram.com/seckinoztrk</t>
  </si>
  <si>
    <t>Vuralhan BOZKURT</t>
  </si>
  <si>
    <t>Ne tesadüftür ki Erdoğan ve Akp ne zaman irtifa kaybetmeye başlasa bir savaş çığırtkanlığı kopuyor! #TurkishArmy</t>
  </si>
  <si>
    <t>İstanbul | Kadıköy</t>
  </si>
  <si>
    <t>Digital Advertising Specialist | Analist Photographer | Blogger | Seo | @vuralhanbblog | @By_Acemi</t>
  </si>
  <si>
    <t>http://www.vuralhanbozkurt.com</t>
  </si>
  <si>
    <t>Ahmed Aydın</t>
  </si>
  <si>
    <t>Ilove you #TurkishArmy</t>
  </si>
  <si>
    <t>https://pbs.twimg.com/media/EGbqpWZXYAEJzyA.jpg</t>
  </si>
  <si>
    <t>TEK VATAN, TEK BAYRAK, TEK MİLLET, TEK DEVLET...</t>
  </si>
  <si>
    <t>sorgulu_YORUM</t>
  </si>
  <si>
    <t>#çarşamba #TurkishArmy . Allah’tan ümidini kesme, O’na olan imanını kaybetme. Tüm sıkıntılarının çözümü O’nun katında, Şunu her zaman hatırla.. “Ey Rabbim benim büyük bir sıkıntım var” DEME “Ey dert! Benim büyük bir Rabbim var” DE Kulağınıza küpe olsun.... .</t>
  </si>
  <si>
    <t>https://pbs.twimg.com/media/EGbqn1DXUAEM7uB.jpg</t>
  </si>
  <si>
    <t>“Mal sahibi, mülk sahibi. Hani bunun ilk sahibi? Mal da yalan, mülkte yalan. Al biraz da sen oyalan’</t>
  </si>
  <si>
    <t>herkesten bir parçadır</t>
  </si>
  <si>
    <t>It's not a battle against any nation, it's a fight against terror and terrorism. #TurkishArmy</t>
  </si>
  <si>
    <t>Buralar değerlenecek</t>
  </si>
  <si>
    <t>Yücel MISIRLI ŞAKİR</t>
  </si>
  <si>
    <t>Ölüm ve tutsaklıktan korkmayan tek ordu #TurkishArmy</t>
  </si>
  <si>
    <t>Sirkeli köyü sakini</t>
  </si>
  <si>
    <t>Üç beş meslek sahibi🚜kibar küfreder😠 kahvekolik☕elit bir Fenerbahçeli 💙💛uzun zamandır evli💍 dostlarına karşı vefalı 💣düşmanlara karşı eli sopalı✍</t>
  </si>
  <si>
    <t>Dilara Sultan</t>
  </si>
  <si>
    <t>I ❤️ #TurkishArmy</t>
  </si>
  <si>
    <t>Majesteleri XII. Henry 'nin güzeller güzeli kızı , hayvansever , vegan , biyolog adayı</t>
  </si>
  <si>
    <t>Fesli</t>
  </si>
  <si>
    <t>“Ne işin var Suriye’de” diyen birisi, açık pkk&amp;pyd taraftarıdır. #TurkishArmy</t>
  </si>
  <si>
    <t>Fesim olmadan asla</t>
  </si>
  <si>
    <t>Erdem güleç</t>
  </si>
  <si>
    <t>#TurkishArmy 🇹🇷🇹🇷🇹🇷🇹🇷🇹🇷</t>
  </si>
  <si>
    <t>Can ŞEMİR</t>
  </si>
  <si>
    <t>Tarihlere sorun ki bize ölmez Türk derler #TurkishArmy</t>
  </si>
  <si>
    <t>https://pbs.twimg.com/media/EGbqd_cWkAA5FJT.jpg</t>
  </si>
  <si>
    <t>𝙳𝚘 𝚗𝚘𝚝 𝚌𝚛𝚘𝚜𝚜 𝚝𝚑𝚎 𝚛𝚎𝚍 𝚕𝚒𝚗𝚎</t>
  </si>
  <si>
    <t>Usame 🇹🇷</t>
  </si>
  <si>
    <t>🇹🇷"Şu yeryüzü er meydanı, 🇹🇷"Gönül sevmez her meydanı 🇹🇷"Yüreksize yorgan döşek, 🇹🇷"Koç yiğite ver meydanı #TurkishArmy</t>
  </si>
  <si>
    <t>https://pbs.twimg.com/media/EGbqekWWoAEPrio.jpg</t>
  </si>
  <si>
    <t xml:space="preserve">El-Madina 
جنات الباقي
</t>
  </si>
  <si>
    <t>‏‏‏‏‏‏حب الوطن من الإيمان 🇹🇷🇹🇷🇹🇷</t>
  </si>
  <si>
    <t>Angelo Valentin</t>
  </si>
  <si>
    <t>The Turks get poor because weapons are expensive. Arm y? Handy You should not kill. #turkisharmy</t>
  </si>
  <si>
    <t>Seevetal, Deutschland</t>
  </si>
  <si>
    <t>GOD? ¥€$ #$€X¥ #world #bio #everydayricher</t>
  </si>
  <si>
    <t>http://angehlo.wixsite.com/valentinherr</t>
  </si>
  <si>
    <t>EYUP KARATAŞ</t>
  </si>
  <si>
    <t>https://pbs.twimg.com/media/EGbqbKgXYAIak6_.jpg</t>
  </si>
  <si>
    <t>Doğan</t>
  </si>
  <si>
    <t>the most merciful army in the world #TurkishArmy</t>
  </si>
  <si>
    <t>Haşim Cango</t>
  </si>
  <si>
    <t>@ersoyakif1 #TurkishArmy #SAVASAHAYIR Katil, işgalci ve işbirlikçi Pkk, Pyd, Işid ve adı her ne halt ise silahla insanları, toplumları ve devletleri tehdit eden, yabancı güçlerle işbirliği yaparak ülkelerin topraklarını işgal eden TÜM TERÖR ÖRGÜTLERİ SİLAHLARINIZI BIRAKIN VE TESLİM OLUN!</t>
  </si>
  <si>
    <t>Daha ileride bir yerde</t>
  </si>
  <si>
    <t>Kapitalizmin cana, kana, paraya, ayrıcalıklı konfora, sömürüye, iktidara doyamamasının, katlanılamayacak bir utanç noktasına ulaşamamasının canlı tanığıyım.</t>
  </si>
  <si>
    <t>UğurGöldağı</t>
  </si>
  <si>
    <t>Türklerle dost ol, ama düşman olma. ~ Gianni de Michelis #TurkishArmy</t>
  </si>
  <si>
    <t>Merkez, İstanbul</t>
  </si>
  <si>
    <t>http://Instagram.com/ugoldagi</t>
  </si>
  <si>
    <t>Müslüman 🇹🇷</t>
  </si>
  <si>
    <t>Siz Çoksunuz Ama Biz Türküz #TurkMilletiOrdusununYanında #TurkishArmy</t>
  </si>
  <si>
    <t>https://pbs.twimg.com/media/EGbqVwQWwAU-M2f.jpg</t>
  </si>
  <si>
    <t>The Next Caliphate</t>
  </si>
  <si>
    <t>﴾﷽﴿ | Islām | Pan-Islamist | Halal Enthusiast | Anti- Kufr (Democracy, LGBT, Feminism, Rafidhi, etc.) | 🏏⚽🥊🏈 ❝ Türklük Bedenimiz, Islamiyet Ruhumuzdur ❞</t>
  </si>
  <si>
    <t>Geopolitical Cyprus</t>
  </si>
  <si>
    <t>The Turkish foreign minister says #Ankara will inform the countries concerned about the #military operation in northern #Syria, including the Syrian government #Turkey #TurkishArmy #TSK #Mideast</t>
  </si>
  <si>
    <t>Cyprus</t>
  </si>
  <si>
    <t>First-class analysis of #EastMed and #MiddleEast politics, consulting &amp; a podcast, RΤ anything interesting e-mail us at: geopolcy@protonmail.com</t>
  </si>
  <si>
    <t>http://geopoliticalcyprus.org</t>
  </si>
  <si>
    <t>Ertuğrul Köse</t>
  </si>
  <si>
    <t>Helikopterde kullansan tanıdık görünce üzerine sürüyorsun 😂 #TurkishArmy</t>
  </si>
  <si>
    <t>pic.twitter.com/adoAL6XS1f</t>
  </si>
  <si>
    <t>http://instagram.com/ertugrulkose1</t>
  </si>
  <si>
    <t>Sosyal Muhalefet</t>
  </si>
  <si>
    <t>valla şaka gibi, Türkiye işsizlikten kırılırken biz ne yapıyoruz.. Sırbistana 6 fabrika açıyoruz. Hayırlı Olsun.. #EmineBulut #TurkishArmy #CheGuevara #HalukLevent #carsamba</t>
  </si>
  <si>
    <t>https://pbs.twimg.com/media/EGbqTOoWoAA84GP.png</t>
  </si>
  <si>
    <t>Sosyal Medya Uzmanı</t>
  </si>
  <si>
    <t>gsbiletdevir</t>
  </si>
  <si>
    <t>Efendi Gurur HacıTosunOğulu 🇹🇷</t>
  </si>
  <si>
    <t>Karşımıza ordusuyla çıkamayan Devletlerin desteklediği terör örgütlerine VUR ALLAH AŞKINA VUR !🇹🇷❤️ #TurkishArmy</t>
  </si>
  <si>
    <t>İyi bir amca ,iyi bir evlat iyi bir insan olmakla meşgul.. #FORZABEŞİKTAŞ 🦋🐝</t>
  </si>
  <si>
    <t>Yavuz KILIÇ 🇹🇷</t>
  </si>
  <si>
    <t>Düşmanın gözünün bu dünyada son göreceği görüntü aşağıda bilginize sunulmuştur.. İyi uçuşlar dileriz.. #TurkishArmy</t>
  </si>
  <si>
    <t>https://pbs.twimg.com/media/EGbqRGnXkAEK1NV.jpg</t>
  </si>
  <si>
    <t>YERLİ VE MİLLİ.. DEVLETİN, MİLLETİN VE REİSİN YANINDAYIM. Azdan az..Çoktan çok gider... MADE IN KASIMPAŞA[LI]</t>
  </si>
  <si>
    <t>ömerfaruk</t>
  </si>
  <si>
    <t>#TurkishArmy RT @Reuters: Turkish forces and Syrian rebel allies will push into Syria ‘shortly’, a Turkish official said, in an operation world powers fear could open a new chapter in Syria’s ruinous eight-year-old war. More here:  by @ecetoksabay</t>
  </si>
  <si>
    <t>https://twitter.com/Reuters/status/1181873205637718017
https://reut.rs/2OyP1hS</t>
  </si>
  <si>
    <t>https://pbs.twimg.com/media/EGbbas9WkAAYhYU.jpg</t>
  </si>
  <si>
    <t>إن الدين عند الله الإسلام</t>
  </si>
  <si>
    <t>Bahadır ULUSOY</t>
  </si>
  <si>
    <t>Fırtınalar dursun yana Selam TÜRKÜN Bayrağına #TurkishArmy</t>
  </si>
  <si>
    <t>https://pbs.twimg.com/media/EGbqPiqXYAEWhE4.jpg</t>
  </si>
  <si>
    <t>Dünyalar güzeli Naz'ın babası, Türkiye sevdalısı, Yörük Çocuğu, Hürriyetçi Demokrat.</t>
  </si>
  <si>
    <t>Hayatın Tadını Çıkarma</t>
  </si>
  <si>
    <t>Alp Arıman</t>
  </si>
  <si>
    <t>YOL VERİN TÜRK'ÜN ŞANLI BAYRAĞINA ! #TurkishArmy</t>
  </si>
  <si>
    <t>https://pbs.twimg.com/media/EGbqIpsXUAE_PyF.jpg</t>
  </si>
  <si>
    <t>BEYKENT UNIVERSTY İnstagram : alpariman Snap : emreariman</t>
  </si>
  <si>
    <t>Selahattin Çayan</t>
  </si>
  <si>
    <t>Sezgin bey biraz ayıp olmuyor mu? #TurkishArmy</t>
  </si>
  <si>
    <t>https://pbs.twimg.com/media/EGbqIPEWsAAepta.jpg</t>
  </si>
  <si>
    <t>Milliyetçi Türkiye!!!</t>
  </si>
  <si>
    <t>Ati</t>
  </si>
  <si>
    <t>Look to my coming, at first light, on the fifth day. At dawn, look to the North. #TurkishArmy</t>
  </si>
  <si>
    <t>https://pbs.twimg.com/media/EGbqGkKWkAAcvLU.jpg</t>
  </si>
  <si>
    <t>Yalan, Şark'ta ayıp değildir.</t>
  </si>
  <si>
    <t>tuncay</t>
  </si>
  <si>
    <t>Allah yoluna cenk edelim, şan alalım şan, Kuran’da zafer vadediyor hazret-i yezdan! #TurkishArmy</t>
  </si>
  <si>
    <t>https://pbs.twimg.com/media/EGbqHZ0WkAA2wzO.jpg</t>
  </si>
  <si>
    <t>İnsan büyür beşikte Mezarda yatmak için.Kahramanlar can verir Yurdu yaşatmak için...🇹🇷</t>
  </si>
  <si>
    <t>“Bu devlet ve vatan büyüyecektir. Çünkü uğrunda ölmeye hazır olanlar var." -Hüseyin Nihal Atsız #TurkishArmy</t>
  </si>
  <si>
    <t>İlker</t>
  </si>
  <si>
    <t>#TurkishArmy Akp ve Mhp operasyon savaş millet bayrak teması oy getiriyo diye bu ara operasyona takti... Daha 4 yıl önce Apo'yu övdün diye o gencler etkilenip dağa cıktı belki Esad Kardesim dedin diye etkilenip zulmu arttirdi belki İsid Türkiye de elinikolunu salliyarak gezdi</t>
  </si>
  <si>
    <t>Bu hesabı yeni actım .Bu sefer beni sadece uzaylılar takip etsin</t>
  </si>
  <si>
    <t>Cumali Konuralp</t>
  </si>
  <si>
    <t>Yaş aldıkça sadeleşiyor insan, bütün fazlalıklarından arınıyor.. gereksiz insanlardan, kıyafetlerden, eşyalardan ve hatta kelimelerden.. #TurkishArmy</t>
  </si>
  <si>
    <t>https://pbs.twimg.com/media/Dk-qFtaXcAAMFZW.jpg</t>
  </si>
  <si>
    <t>"Disappointment is really just a term for our refusal to look on the bright side." -Richelle E. Goodrich</t>
  </si>
  <si>
    <t>S.Serhat</t>
  </si>
  <si>
    <t>@RezanTakesOver @MhmtBzkSv @__regex__ @Alp_3r There is no country or area named "kurdistan" you can't find it in any map. Stop dreaming... We're always support our army against terrorist and baby killers. #TurkishArmy</t>
  </si>
  <si>
    <t>Yozgat-Sivas</t>
  </si>
  <si>
    <t>http://www.instagram.com/faksoyy</t>
  </si>
  <si>
    <t>Yusuf ALBAYRAK</t>
  </si>
  <si>
    <t>#TurkishArmy Geliyoruz ulan!! Bu ülkede ne Nene hatunlar eksilir nede Mehmetçiler eksilir. Vaziyet alın canınız fena yanacak!!</t>
  </si>
  <si>
    <t>https://pbs.twimg.com/media/EGbqEnOW4AAnKjM.jpg</t>
  </si>
  <si>
    <t>Müzisyen 🎶 🎺 🎸 🎹 🥁 🎤 🎙️ 🔊 Kaü devlet konservatuvarı 🎓🎶 👉favori enstrümanlar Bağlama, gitar, ud, piyano 😍 İnstagram 👉 yusufalbayrakk4</t>
  </si>
  <si>
    <t>Düşündüren Deli</t>
  </si>
  <si>
    <t>Soran olursa Türkler geldi dersiniz. "Hoşgeldiniz" diyene sahip çıkın. "Neden geldiniz?" diye sorana yakışanı yapın. Ya etek giydirin yahut kafasına sıkın... #TurkishArmy</t>
  </si>
  <si>
    <t>Adımızın deliye çıkması umurumuzda olmayacak kadar çok sevdik bu Aziz Vatanı !</t>
  </si>
  <si>
    <t>https://instagram.com/dusundurendeli</t>
  </si>
  <si>
    <t>abdullah sadan</t>
  </si>
  <si>
    <t>#TurkishArmy sadece ulusumuza değil, yerkürenin yüreğine huzur, güven ve merhameti sunan.. zalime yavuz, mazluma yunus olandır!</t>
  </si>
  <si>
    <t>MEB YÖNETİCİ İZMİR-ORDU LİSANS, Y.LİSANS SELÇUK ÜNİVERSİTESİ</t>
  </si>
  <si>
    <t>Ohshesawseesaw</t>
  </si>
  <si>
    <t>Am I the only person assuming this was @bts_twt related? Yes? I apologise. #TurkishArmy #TheGroup #BTS #PCAs</t>
  </si>
  <si>
    <t>So far away</t>
  </si>
  <si>
    <t>Never ment to fall down this BTS rabbit hole, I just took my child to Wembley, and now here we are. OT7! That rap line though... And Jimin dancing...</t>
  </si>
  <si>
    <t>Ugur</t>
  </si>
  <si>
    <t>#TurkishArmy Zafere,zafere,zafere....</t>
  </si>
  <si>
    <t>Dr</t>
  </si>
  <si>
    <t>Ayşe ÖLMEZ</t>
  </si>
  <si>
    <t>@HejaTrk Soyadınızdan utanın. Hatta gidip değiştirin. Kirletiyorsunuz. Kirletmeyin. TÜRK' ün düğünü savaş Çocuğu Zafer Vuslatı Şehadettir.. "TÜRK" beklenendir.. 🇹🇷 #TurkishArmy #TürkMilletiOrdusununYanında</t>
  </si>
  <si>
    <t>Political Science and Public Administration TürkMilliyetçisi 🇹🇷</t>
  </si>
  <si>
    <t>http://instagram.com/aysseollmez/</t>
  </si>
  <si>
    <t>İbrahim Samed</t>
  </si>
  <si>
    <t>#TurkishArmy #YeniProfilResmi</t>
  </si>
  <si>
    <t>https://pbs.twimg.com/media/EGbp_-1XoAAXwQA.jpg</t>
  </si>
  <si>
    <t>VATAN sevgisi imandandır</t>
  </si>
  <si>
    <t>𝑨𝑳𝑷𝑬𝑹 𝑩𝑨𝒀𝑹𝑨𝑲𝑻𝑨𝑹</t>
  </si>
  <si>
    <t>HAZIRLANSIN TABUTLUKLAR YİNE GİRİP ÇIKACAĞIZ! 🇹🇷 #TurkishArmy</t>
  </si>
  <si>
    <t>https://pbs.twimg.com/media/EGbp-V8W4AEPj2s.jpg</t>
  </si>
  <si>
    <t>FENERBAHÇE’YE ADANMIŞ BİR HAYAT!</t>
  </si>
  <si>
    <t>Cemil İmamoğulları</t>
  </si>
  <si>
    <t>PKK/YPG size söylüyorum, üstünüze bunlar geliyor bakın ona göre:) #TurkishArmy</t>
  </si>
  <si>
    <t>pic.twitter.com/M5TreacFF5</t>
  </si>
  <si>
    <t>Avukat/Attorney</t>
  </si>
  <si>
    <t>Andaç Sülük</t>
  </si>
  <si>
    <t>Allah'ın varlığına inanmayı Müslümanlık zanneden arkadaş sözüm sana, Allah vardır iyidir demekle Müslüman olmuyorsun. Allaha "teslim" olduğun zaman Müslümansın. Yani şu pek korktuğun şeriat var ya onu tartışmasız kabul ettiğin zaman yani... #TurkishArmy</t>
  </si>
  <si>
    <t>Şu an yağıyorum, görüyor musun? Boşalırken çıkardığım sesi soruyordun. Göğün gürlemesini bekle, duyarsın.- Hakan Günday</t>
  </si>
  <si>
    <t>dedi medya</t>
  </si>
  <si>
    <t>Şu an yaşadığımız zaman 1914’ün hemen öncesindeki dünyaya ne kadar da benziyor... Dünya sanki bardağı taşıracak o son damlayı arıyor... Hakkı bulmak için haksızlıklara sessiz kalmayan “Dedi Medya Sakinleri” acaba bu konuda ne derler?.. #TurkishArmy</t>
  </si>
  <si>
    <t>https://pbs.twimg.com/media/EGbp5ZnXYAEb5E9.jpg</t>
  </si>
  <si>
    <t>Gelin dünyaya yayılmış olan zulüm ve kargaşaya son verelim. İnsanın, insana olan hakimiyetini söküp atalım. İletişim: dedimedya.video@gmail.com</t>
  </si>
  <si>
    <t>http://www.youtube.com/c/dedimedyayoutube</t>
  </si>
  <si>
    <t>Tayfun ÇOLAKOĞLU</t>
  </si>
  <si>
    <t>#TurkishArmy Kimse bana orda savaşmak zorunda olduğumuzu söylemesin.Güvenli bölge denilen 30x496km bölgenin ilerleyen dönemlerde toki’ye nasil peşkeş çekileceğini göreceğiz.Allah askerimizi korusun demekten başka çarem yok. #duymayankalmasın</t>
  </si>
  <si>
    <t>https://pbs.twimg.com/media/EGbp5eeXUAI8OHq.jpg</t>
  </si>
  <si>
    <t>Citizen of the republic TURKEY 🇹🇷 Daddy sailor..Brother prisoner aviator.Murat and Ragıb martyr🇹🇷Freedom to Turkish soldiers. Turkish Air Force enthusiast.</t>
  </si>
  <si>
    <t>yusuf keten</t>
  </si>
  <si>
    <t>Allah belalarınızı versin şu adama şu yaşta yaşattıkları zulme bak, Allah kimseye evlat acısı çektirmesin inş #TurkishArmy RT @aybers: "Türkler, müslümanlar gelmişler. Allah'a şükür o köpeklerden kurtulduk. YPG/PKK'dan kurtulduk. Ne namus bıraktılar, ne çocuk bıraktılar. 8 çocuğum vardı hepsi gitti. Hiçbiri kalmadı." #TurkishArmy</t>
  </si>
  <si>
    <t>Veteriner Hekim</t>
  </si>
  <si>
    <t>Mete Duringa</t>
  </si>
  <si>
    <t>Amerika’ya ve PKK’ya yıllardır imtiyaz verilmeseydi bugün böyle bir operasyona gerek kalmazdı. PKK bir tehdit haline gelmezdi, Amerika bizi tehdit edemezdi. Şimdiyse yaşananları unutup askerlerimize güç kuvvet dilemekten başka çaremiz yok. #TurkishArmy</t>
  </si>
  <si>
    <t>Bilişimci / Girişimci / Yazar / Öğrenci / Galatasaray Taraftarı KTÜ</t>
  </si>
  <si>
    <t>https://www.instagram.com/meteduringa/</t>
  </si>
  <si>
    <t>Tank_Kadir</t>
  </si>
  <si>
    <t>Access bars uygulamalarına ilgi duyanları böyle alalım. #çarşamba #TurkishArmy #CheGuevara #accessbars</t>
  </si>
  <si>
    <t>https://youtu.be/ycjA89dvl4g</t>
  </si>
  <si>
    <t>Motosiklete biner, 10 TL'ye Borsa'ya girer, Hayatı uçlarda yaşamayı tercih eder,Tek lideri 🇹🇷Mustafa Kemal ATATÜRK'tür 🇹🇷</t>
  </si>
  <si>
    <t>osman yıldız</t>
  </si>
  <si>
    <t>TR'nin yapacağı operasyona destek veren Ruhani "Suriye'de temel sorun Fırat'ın doğusu değil İdlib" demiş. Dolayısıyla bu operasyonun hedefi PYD ile savaş değil, İdlib'e yapılacak bir operasyon sonrası sınıra yığılacak insanlara alan açmak. #TurkishArmy</t>
  </si>
  <si>
    <t>https://www.turkiyegazetesi.com.tr/dunya/655241.aspx</t>
  </si>
  <si>
    <t>YAZAR - Fikri ve siyasi tüm konularla ilgilenir.</t>
  </si>
  <si>
    <t>https://kokludegisim.net/</t>
  </si>
  <si>
    <t>Beyza Özkutlu</t>
  </si>
  <si>
    <t>TANRI TÜRK ASKERİNİ KORUSUN 🇹🇷#TurkishArmy</t>
  </si>
  <si>
    <t>NE MUTLU TÜRK'ÜM DİYENE 🇹🇷 🤘</t>
  </si>
  <si>
    <t>DELi BEGÜM 💞</t>
  </si>
  <si>
    <t>Tanrı .... Türk'ü korusun... #TSK #TurkishArmy #Aselsan #TUBİTAK</t>
  </si>
  <si>
    <t>pic.twitter.com/zNpXGuUWYU</t>
  </si>
  <si>
    <t>Ülkücüyüm, Türkçüyüm ,Atatürkçüyüm.. ODTÜ (METU) Haliç üniversitesi ( yüksek lisans) ( Bu hesabı kurcalama) ( Kafadan sıkıntılı varlık)</t>
  </si>
  <si>
    <t>KanTuralı</t>
  </si>
  <si>
    <t>Şu cezaevindeki ketılcı zübüğe haber salın, "mal mal" baksın biraz. Sonra dikmek fiilinin yalnızca heykelle kullanılmadığını iliklerine kadar hissetsin. Bir de sırt dayayan vardı. Onun işi daha da zor. #TurkishArmy</t>
  </si>
  <si>
    <t>Doğu'nun ve Batı'nın melîklerinin torunu. Dünyâya tâlib, başkenti Anadolu.🌎☾</t>
  </si>
  <si>
    <t>zekeriye güçer</t>
  </si>
  <si>
    <t>#TurkishArmy neden mi ? eyyy çark cı başı</t>
  </si>
  <si>
    <t>pic.twitter.com/CsaA4Aep51</t>
  </si>
  <si>
    <t>Özge Dağaşan</t>
  </si>
  <si>
    <t>🇹🇷🇹🇷🇹🇷 #TurkishArmy 🇹🇷🇹🇷🇹🇷</t>
  </si>
  <si>
    <t>💛💙Fenerbahçem Benim💛💙</t>
  </si>
  <si>
    <t>PROAK</t>
  </si>
  <si>
    <t>REİS LIFE 98 - Erdoğan: Bayraklarınızı kendiniz indirin ki... #TurkishArmy #BarışPınarı</t>
  </si>
  <si>
    <t>pic.twitter.com/Fs3thdesgz</t>
  </si>
  <si>
    <t>Eski Gine</t>
  </si>
  <si>
    <t>http://Facebook.com/PROAK2</t>
  </si>
  <si>
    <t>Türkçüler Otağı</t>
  </si>
  <si>
    <t>Tüm dünya bilsin ve işitsin. Bizler sadece huzur ve adalet için geliyoruz!. Sınır güvenliğimizi sağlamak meşru hakkımızdır. Bu süreçte bizimle olan ve bizleri destekleyen herkese selam olsun! #BarışPınarıHarekatı 🇹🇷 #TurkishArmy</t>
  </si>
  <si>
    <t>https://pbs.twimg.com/media/EGbpyYcW4AAseur.jpg</t>
  </si>
  <si>
    <t>𐱅𐰭𐰼𐰃:𐱅𐰇𐰼𐰚𐰇:𐰴𐰆𐰺𐰆𐰽𐰆𐰣:𐰋𐰀:𐰘𐰇𐰲𐰀𐰠𐱅𐰾𐰃𐰤 ! 🇹🇷 Tanrı Türk'ü Korusun ve Yüceltsin</t>
  </si>
  <si>
    <t>https://instagram.com/turkculerotagim</t>
  </si>
  <si>
    <t>ılılılı</t>
  </si>
  <si>
    <t>Biz ordusu olan millet değil, Milletçe orduyuz.!🇹🇷 #TurkishArmy</t>
  </si>
  <si>
    <t>Günkut Kuyucu</t>
  </si>
  <si>
    <t>"Fırat'ın kenarında kuzuyu kurt kapsa Allah bunun hesabını bana sorar korkarım" diye hayıflanan İslam halifesinden İngiliz demokrasisine...Artık bırakın Fırat'ın kenarını, kapının önünde bile yavrularımız güvende değil. #TurkishArmy</t>
  </si>
  <si>
    <t>Muğla, Türkiye</t>
  </si>
  <si>
    <t>Hepimiz alın yazımıza küskün, yaşamayı yük sayan insanlarız.- Dostoyevski</t>
  </si>
  <si>
    <t>Arayan</t>
  </si>
  <si>
    <t>Bizde Mehmet bitmez. #TurkishArmy</t>
  </si>
  <si>
    <t>https://pbs.twimg.com/media/EGbpvUkWwAEP4vZ.jpg</t>
  </si>
  <si>
    <t>Mert Ersoy</t>
  </si>
  <si>
    <t>BEŞİKTAŞ.TÜRKÇÜ. Şahsına ve sabrına münhasır.</t>
  </si>
  <si>
    <t>Cem Gül</t>
  </si>
  <si>
    <t>https://pbs.twimg.com/media/EGbptuJWwAMr_M1.jpg</t>
  </si>
  <si>
    <t>Zeyn'in eşi 💖 Bambam'ın babası Typhon'da bassist Türk milliyetçisi 🇹🇷 Militarist.</t>
  </si>
  <si>
    <t>dr. bu sehir girdap gülüm</t>
  </si>
  <si>
    <t>İYİYİM KANKA YA SIKINTI YOK SADECE RUHUM BEDENİME SIĞMIYORMUŞ GİBİ HİSSEDİYORUM ŞU GÜNLERDE.... #TurkishArmy</t>
  </si>
  <si>
    <t>takribi 72. veya 73. hukumetin uzman doktor cumhurbaskani</t>
  </si>
  <si>
    <t>Ata berk</t>
  </si>
  <si>
    <t>Korkun hakkınızdır baska ne yapabilirsiniz ki. Ordumuz geldi #BarısPınarlarıHarekatı #TurkishArmy #ZaferBismillah</t>
  </si>
  <si>
    <t>https://pbs.twimg.com/media/EGbpo21WkAEWL3z.jpg</t>
  </si>
  <si>
    <t>Takılmaca FENERBAHÇE💛💙</t>
  </si>
  <si>
    <t>T.C Yüksek TÜRK</t>
  </si>
  <si>
    <t>Şartlar Her Ne Olursa OLSUN...! Seferberlik Halinde 20 Milyon Türk Karşınıza Ölmek İçin Öldürmek İçin Dikilecektir..... Bu Bir Şaka Değil.. Her Düşmanı Çıktığı Deliğe Sokana Kadar Durmaz Bu Asker. #TurkishArmy</t>
  </si>
  <si>
    <t>https://pbs.twimg.com/media/EGbpmogX0AAHImE.jpg</t>
  </si>
  <si>
    <t>Milliyetçilik öyle kuvvetli sosyal bir kanun öyle müthiş bir hakikattir ki hiçbir kuvvet onu kaldıramaz yok edemez.</t>
  </si>
  <si>
    <t>Volkan Albistan⚡️</t>
  </si>
  <si>
    <t>Hedefimiz TERÖRİSTLER! #BarısPınarıOperasyonu #TurkishArmy</t>
  </si>
  <si>
    <t>https://pbs.twimg.com/media/EGbpmmKX0AIzEsM.jpg</t>
  </si>
  <si>
    <t>Official @twitter Account.</t>
  </si>
  <si>
    <t>𐱅𐰇𐰼𐰚</t>
  </si>
  <si>
    <t>« Bana ne Amerika’dan!!! » #TurkishArmy</t>
  </si>
  <si>
    <t>pic.twitter.com/brIWMt3NfW</t>
  </si>
  <si>
    <t>Posof, Ardahan</t>
  </si>
  <si>
    <t>[kayı IYI | Güç, kuvvet ve kudret sahibi] T.C</t>
  </si>
  <si>
    <t>Burak Ünverdi</t>
  </si>
  <si>
    <t>#TurkishArmy Fırat'ın doğusuna giriyor. Sen de mal mal bakarsın artık Selo</t>
  </si>
  <si>
    <t>https://pbs.twimg.com/media/EGbpjMXWkAAib0Z.jpg</t>
  </si>
  <si>
    <t>F u r k a n Y ü k s e l</t>
  </si>
  <si>
    <t>"Ne petrol ne zenginlik ne de toprağında gözümüz var, Mazlumun yüzü gülsün diye geldik." #TurkishArmy</t>
  </si>
  <si>
    <t>https://pbs.twimg.com/media/EGbphsTXkAA2_Dk.jpg</t>
  </si>
  <si>
    <t>Medipol Üniversitesi | Yeni Medya | Gazetecilik</t>
  </si>
  <si>
    <t>https://www.instagram.com/p/BJGq8tfDmCBUXQhGbUC-U0GKx5jLqjsZrCVypk0/</t>
  </si>
  <si>
    <t>K A D İ R</t>
  </si>
  <si>
    <t>FENERBAHÇE</t>
  </si>
  <si>
    <t>Herkese renk saçıp kendimize siyahız..</t>
  </si>
  <si>
    <t>http://instagram.com/kdrsvnd</t>
  </si>
  <si>
    <t>Celalettin MERİÇLİ</t>
  </si>
  <si>
    <t>Türk - Kürt kardeştir. Alparslan Türkeş 🇹🇷 #TurkishArmy</t>
  </si>
  <si>
    <t>pic.twitter.com/4RVxd38L6f</t>
  </si>
  <si>
    <t>Iskeçe,Fenerbahçe</t>
  </si>
  <si>
    <t>Türkiye Sivil Havacılık Sendikası Genel Başkan Yardımcısı (Hava-İş)</t>
  </si>
  <si>
    <t>http://havais.org.tr</t>
  </si>
  <si>
    <t>AFRIN OPERATION</t>
  </si>
  <si>
    <t>Sezgin Tanrıkulu'nun son beğenisine bakın hahahahahahhahaha #TurkishArmy Arap Birliği #carsamba</t>
  </si>
  <si>
    <t>https://pbs.twimg.com/media/EGbpfMtX0AAr0VT.png</t>
  </si>
  <si>
    <t>cmk80</t>
  </si>
  <si>
    <t>Tek düşündüğü vatan olan koca yürekli dava arkadaşlarıma Allah muzafferler nasip eylesin. “La tahzen, innalahe meane” #TurkishArmy #</t>
  </si>
  <si>
    <t>https://pbs.twimg.com/media/EGbpeoWWwAEDZOZ.jpg</t>
  </si>
  <si>
    <t>Uğur EREN🇹🇷</t>
  </si>
  <si>
    <t>En iyiside dünyanın bizi savaşta tanıması... 🇹🇷🇹🇷🇹🇷🇹🇷🇹🇷#TurkishArmy</t>
  </si>
  <si>
    <t>https://pbs.twimg.com/media/EGbpaTFXkAAHRoZ.jpg</t>
  </si>
  <si>
    <t>Kuşadası, Türkiye</t>
  </si>
  <si>
    <t>Kahramanlar Can Verir Yurdu Yaşatmak için...🇹🇷</t>
  </si>
  <si>
    <t>http://ugureren.business.site</t>
  </si>
  <si>
    <t>Hüseyin Şafak</t>
  </si>
  <si>
    <t>Mazluma umut, zalime korku veren tek ordudur. 🇹🇷🇹🇷🇹🇷🇹🇷#TurkishArmy</t>
  </si>
  <si>
    <t>Hayatın Anlamı GALATASARAY 🌟🌟🌟🌟</t>
  </si>
  <si>
    <t>Zeki Abus</t>
  </si>
  <si>
    <t>Çocukların korkmadığı tek ordu... 🇹🇷#TurkishArmy</t>
  </si>
  <si>
    <t>https://pbs.twimg.com/media/EGbpa8_XYAAK_bo.jpg</t>
  </si>
  <si>
    <t>Bay Albino 🎗</t>
  </si>
  <si>
    <t>https://www.instagram.com/_baybeyaz/?hl=tr</t>
  </si>
  <si>
    <t>Ruhufeza</t>
  </si>
  <si>
    <t>"Hangi gerekçe ile oralara gidiyoruz" diyen gerizekalılar bu videoyu iyi izleyin ! "Türkler, müslümanlar gelmişler. Allah'a şükür YPG/PKK köpeklerinden kurtulduk. Ne namus bıraktılar, ne çocuk bıraktılar. 8 çocuğum vardı hepsi gitti. Hiçbiri kalmadı." #TurkishArmy</t>
  </si>
  <si>
    <t>pic.twitter.com/6qs9cVM0It</t>
  </si>
  <si>
    <t>#RTE</t>
  </si>
  <si>
    <t>Salim Sağ</t>
  </si>
  <si>
    <t>Ateist derneklerinin yerinde olsam akp, Yeni Şafak, Yeni Akit ve bütün pelikancılara İslam'dan soğutma ve dinsizleştirme çalışmalarındaki başarılarından dolayı plaket verirdim. Turan Dursun bu kadar ateist yetiştiremedi. #TurkishArmy</t>
  </si>
  <si>
    <t>Yalova, Türkiye</t>
  </si>
  <si>
    <t>Bilim ve inanç iki ayrı unsurdur. Birleşirse devrim yapabilirsiniz. -Cahit Arf</t>
  </si>
  <si>
    <t>Onur Çalık</t>
  </si>
  <si>
    <t>"Elimizde İslam kılıcı vardır." 🇹🇷 #TurkishArmy</t>
  </si>
  <si>
    <t>Maliye</t>
  </si>
  <si>
    <t>Av.M. Sait Günel 🇹🇷 م</t>
  </si>
  <si>
    <t>#TurkishArmy Ya istiklal, ya ölüm!</t>
  </si>
  <si>
    <t>Arkadaş, yurduma alçakları uğratma sakın!</t>
  </si>
  <si>
    <t>-ABD, Suriye'ye girer... +Dünya: 😶 -Rusya, Suriye'ye girer... +Dünya: 😶 -Türkiye: Suriye'ye gire... +Dünya: YAPTIRIM UYGULAYALIM!😤 TR SAVAŞ ÇIKARIYOR!😡 SURİYE İÇ İŞLERİNE MÜDAHELE!😠 BAĞIMSIZLIĞA HAKARET! Ya bi siktirin gidin amk sizene. #TurkishArmy #BarışPınarıHarekatı 🇹🇷</t>
  </si>
  <si>
    <t>ERU Master student, environmentalist. 🇹🇷</t>
  </si>
  <si>
    <t>night king</t>
  </si>
  <si>
    <t>Cihangir ARTUN</t>
  </si>
  <si>
    <t>#TurkishArmy Problem Olursa Biz Geliriz.. (MİLLET) Siz Bir Gece Ansızın Gittiniz.. Biz Sessizce Gelir.. Gereğini Yapar Gideriz. ..</t>
  </si>
  <si>
    <t>Dön Evine Bırak Esrarı Kitabının Yazarı. Kilit Dizi Senarist. Dön Evine Kilit Sinema Film Senaristi. Uyuşturucu İle Savaş Uzmanı Gecesinde Ankara Dizi Yapımcı</t>
  </si>
  <si>
    <t>İsmail Seçik🇹🇷</t>
  </si>
  <si>
    <t>Küçükken köyümüzden jandarma geçerken yolun kenarına koşup hazır ola geçip asker selamı veren çocuklarız biz. Kılıcınız keskin olsun. @TSKGnkur #TurkishArmy</t>
  </si>
  <si>
    <t>Tarsus, Türkiye</t>
  </si>
  <si>
    <t>Marmara Üniversitesi</t>
  </si>
  <si>
    <t>https://www.instagram.com/ismail.secik/</t>
  </si>
  <si>
    <t>arif yılmaz</t>
  </si>
  <si>
    <t>Geliyor Bedir’in aslanları. Gazamız mübarek olsun. #TurkishArmy</t>
  </si>
  <si>
    <t>https://pbs.twimg.com/media/EGbpS99WwAAUrbp.jpg</t>
  </si>
  <si>
    <t>cahit ışık</t>
  </si>
  <si>
    <t>İyi savaşmadan güvenilir barış ortamında yaşayamazsın #BarisPinariHarekati #TurkishArmy</t>
  </si>
  <si>
    <t>Ereğli, Zonguldak, Kocaeli</t>
  </si>
  <si>
    <t>bu toprakların yerlisi bu dünyanın misafiri hayat nasıl da geçiyor, zaman hiç geçmezken BEŞİKTAŞ, KOCAELİSPOR</t>
  </si>
  <si>
    <t>Gerzeli Muriqi</t>
  </si>
  <si>
    <t>Ulusum ulusların en büyüğüdür, Türk oğlu Türküm ben. #TurkishArmy</t>
  </si>
  <si>
    <t>Kosova - Gerze</t>
  </si>
  <si>
    <t>🇹🇷 c C c V E D A T M U R I Q I c C c 🇽🇰</t>
  </si>
  <si>
    <t>Baybora Kaylan</t>
  </si>
  <si>
    <t>Devlet milletin Allah'ı değildir. Devlet milletin hizmetkarıdır. Allah'ın koyduğu kanunları değiştirmek Allah'ın yarattığı dünyada ilahlık taslamaktır. #TurkishArmy</t>
  </si>
  <si>
    <t>Özgürlüğe inanan bir dine inanıyorum. Halkım için mücadele etmeyi men eden bir dini kabullenecek olsaydım, o dinin canı cehenneme derdim.- Malcolm</t>
  </si>
  <si>
    <t>ERDİ 🇹🇷</t>
  </si>
  <si>
    <t>Bu Akşam Başlar operasyon Geliyor METE HANIN ORDUSU... #TurkishArmy</t>
  </si>
  <si>
    <t>Sapanca Sakarya</t>
  </si>
  <si>
    <t>Ne Mutlu TÜRKÜM Diyene.... #GALATASARAY</t>
  </si>
  <si>
    <t>fatih KAŞIKCI</t>
  </si>
  <si>
    <t>Barış pınarı hareketi ile yurtiçi ve yurtdışı çıkan çatlak seslere temizinden okkalı bir cevap verilmiş olacak #TurkishArmy</t>
  </si>
  <si>
    <t>has fikriyat DADAŞ ** 15 temmuz da kurşunların altındaydık ELHAMDÜLİLLAH GALATASARAYlı</t>
  </si>
  <si>
    <t>Alper Kuyucu</t>
  </si>
  <si>
    <t>Gelibolu-Karabük-İstanbul</t>
  </si>
  <si>
    <t>Karabuk University/Computer Engineering ~ GALATASARAY🇹🇷 Kendini geliştiren biri. Yazılımda en önemli olgu değişimdir.(via Engin Demiroğ)</t>
  </si>
  <si>
    <t>tuğçe</t>
  </si>
  <si>
    <t>https://pbs.twimg.com/media/EGbpN6NXoAMnkmo.jpg</t>
  </si>
  <si>
    <t>birşeylerin merakını gidermek için buralarda olan biri</t>
  </si>
  <si>
    <t>Resul Cihan Y.</t>
  </si>
  <si>
    <t>#TurkishArmy Bozkurt ordusu..</t>
  </si>
  <si>
    <t>📏Mimar 🇹🇷 'Bin cihana değişmem şu öksüz Türklüğümü.' 🏘️Şehrini sev; insanlarını sevmek sana kalmış..</t>
  </si>
  <si>
    <t>Kral</t>
  </si>
  <si>
    <t>#TurkishArmy Âmin...🇹🇷🇹🇷🇹🇷🇹🇷❤</t>
  </si>
  <si>
    <t>https://pbs.twimg.com/media/EGbpJKGXUAEPBB5.jpg</t>
  </si>
  <si>
    <t>Spor</t>
  </si>
  <si>
    <t>Nur *</t>
  </si>
  <si>
    <t>Ünal Başkan iş başında 🔵🔴 #TurkishArmy RT @Trabzonspor: Her şart ve koşulda sizinleyiz! 🇹🇷 #BarışPınarıHarekatı #TürkMilletiOrdusununYanında</t>
  </si>
  <si>
    <t>Durmuyor deli yüreğim..</t>
  </si>
  <si>
    <t>Sesli Makale</t>
  </si>
  <si>
    <t>Salih Tuna : ‘Savaşa Hayır’ tabi ki de ‘Sembolik’ neden susuyor?  @YazarSalihTuna #TurkishArmy</t>
  </si>
  <si>
    <t>http://bit.ly/2p92x0U</t>
  </si>
  <si>
    <t>https://pbs.twimg.com/media/EGbpElOWoAQUNgt.jpg</t>
  </si>
  <si>
    <t>Günlük yazılardan kayda değer olanları sesli makale formatında sizlerle paylaşıyoruz</t>
  </si>
  <si>
    <t>http://www.seslimakale.com.tr</t>
  </si>
  <si>
    <t>Hafız Aytaç ÖZTÜRK</t>
  </si>
  <si>
    <t>#TurkishArmy İki ordu vardır: Biri gazâ ordusu, diğeri de duâ ordusu ve bu savaşlar, bu iki ordunun ittifakı ile kazanılır. İmam Rabbani Hz.</t>
  </si>
  <si>
    <t>وَاللّٰهُ غَالِبٌ عَلٰٓى اَمْرِه۪ Avâmın işidir bu hesap kitap Aşıklar kâr zarar gütmez🍁 Hafız/Diyanet İşleri Başkanlığı'nda /İmam Hatip👳</t>
  </si>
  <si>
    <t>ibc survey</t>
  </si>
  <si>
    <t>#BarisPinariHarekati #FıratınDoğusuTuerkiyeninBekası #TurkishArmy #Turkmilletiordusununyaninda #fıtratdegisirsanma #TersBayrak</t>
  </si>
  <si>
    <t>https://pbs.twimg.com/media/EGbo_cdXYAYkl4U.jpg</t>
  </si>
  <si>
    <t>Yatırım uzmanı değilim.Bu sayfada bulunan bilgiler ASLA yatırım tavsiyesi değildir. Kişisel notlarımdır.</t>
  </si>
  <si>
    <t>gelecek74000</t>
  </si>
  <si>
    <t>#TurkishArmy Allah kuvvet vere</t>
  </si>
  <si>
    <t>Erkan Özlem</t>
  </si>
  <si>
    <t>Marginale</t>
  </si>
  <si>
    <t>Metin Özkan sözleriyle duygularımıza tercüman olmuş.. #TurkishArmy</t>
  </si>
  <si>
    <t>pic.twitter.com/LdyVfKVXf8</t>
  </si>
  <si>
    <t>İnsan, Müslüman, Türk / Yedek Hesap: @THEMARGlNALE / http://youtube.com/themarginale / http://facebook.com/themarginale</t>
  </si>
  <si>
    <t>http://instagram.com/themarginale</t>
  </si>
  <si>
    <t>Mur@t BJK🦅🦅🦅</t>
  </si>
  <si>
    <t>A. Kocaman</t>
  </si>
  <si>
    <t>İyi ki varız. Allah'ım muzaffer eyle ordumuzu. #TurkishArmy</t>
  </si>
  <si>
    <t>Fikrim ne ise zikrim de o.</t>
  </si>
  <si>
    <t>Hazerhan Bulut</t>
  </si>
  <si>
    <t>https://pbs.twimg.com/media/EGbo6i9XkAIq4Ls.jpg</t>
  </si>
  <si>
    <t>Kadıköy - İSTANBUL</t>
  </si>
  <si>
    <t>zaman hancı, bulut yolcu..</t>
  </si>
  <si>
    <t>http://Instagram.com/hazerhnn/</t>
  </si>
  <si>
    <t>Saba Güngörmez</t>
  </si>
  <si>
    <t>yavru kediye işkence eden arsız herif "nişanlımdan ayrılmıştım, psikolojim bozuktu" demiş. #TurkishArmy</t>
  </si>
  <si>
    <t>Hayatın en güzel bencilliğidir aşk. -Ahmet Ümit</t>
  </si>
  <si>
    <t>NARE</t>
  </si>
  <si>
    <t>Rabbim yaginiza tas degdirmesin.Dualarla 🇹🇷🇹🇷🇹🇷 #TurkishArmy</t>
  </si>
  <si>
    <t>https://pbs.twimg.com/media/EGbo3aTXUAAoh8j.jpg</t>
  </si>
  <si>
    <t>Turkiye Cumhuriyeti</t>
  </si>
  <si>
    <t>Muhtac oldugun kudret,damarlarindaki asil kanda mevcuttur 🇹🇷 Mustafa Kemal Ataturk Biz iyi ki varsin Eren diyenlerdeniz 🇹🇷</t>
  </si>
  <si>
    <t>İbrahim İlhan</t>
  </si>
  <si>
    <t>🇹🇷🇹🇷🇹🇷🇹🇷 #TurkishArmy</t>
  </si>
  <si>
    <t>https://pbs.twimg.com/media/EGbo4MDXYAA2d56.jpg</t>
  </si>
  <si>
    <t>Emre Müeyyitoğlu</t>
  </si>
  <si>
    <t>https://pbs.twimg.com/media/EGbo36fWoAAaGZF.jpg</t>
  </si>
  <si>
    <t>http://Instagram.com/emremuey</t>
  </si>
  <si>
    <t>Gizli Süvari</t>
  </si>
  <si>
    <t>#TurkishArmy Reis özetledi mevzuyu 🇹🇷🇹🇷🇹🇷</t>
  </si>
  <si>
    <t>pic.twitter.com/AskUTra3LK</t>
  </si>
  <si>
    <t>‏‏‏‏‏‏‏🇹🇷 {حَسْبُنَا اللّهُ وَنِعْمَ الْوَكِيل}</t>
  </si>
  <si>
    <t>Ali Çabuk</t>
  </si>
  <si>
    <t>#TurkishArmy Ey Şanlı Türk Askeri selam olsun sana.. Ufuklara diyeceğin şanlı bayrağın gölgesinde yeşerek çok can var..</t>
  </si>
  <si>
    <t>Furkan Burak Aydın</t>
  </si>
  <si>
    <t>#TurkishArmy sizinle gurur duyuyorum aslanlar. Siz Allah'ın aslanlarısınız. Gidin ve yılanın başını kopartın Allah'ın izniyle.</t>
  </si>
  <si>
    <t>Hacettepe Üniversitesi</t>
  </si>
  <si>
    <t>↘↘Sat🇹🇷Sas↙↙</t>
  </si>
  <si>
    <t>11 Aylık Bedirhan Bebeğin İntikamı Alınacak.... Kahpelerden #TurkishArmy 🇹🇷</t>
  </si>
  <si>
    <t>https://pbs.twimg.com/media/EGbov7ZX0AEyL4Y.jpg</t>
  </si>
  <si>
    <t>🇹🇷 Kahramanlar Can Verir Yurdu Yaşatmak İçin 🇹🇷 #EgedeFırat ☪️.ϜϓſϞ☪️ #Ereniyikivarsın #FethiSekin #ÖmerHalisdemir #ÖnceVatanSonraYineVatan M.Kemal ATATÜRK</t>
  </si>
  <si>
    <t>ZÜLÂL</t>
  </si>
  <si>
    <t>Hiçkimse bizi tehdit edemez. Kimse Türke kefen biçemez. #TurkishArmy</t>
  </si>
  <si>
    <t>TÜRKİYEM</t>
  </si>
  <si>
    <t>Rabbi zidni ilma ♥ilahi ente maksudi ve rızake matlubi♥Osmanlı Torunu♥Bedeli ne olursa olsun, müslümanca yaşamanın hâysiyetine tâlibiz.</t>
  </si>
  <si>
    <t>Latif Yüksek</t>
  </si>
  <si>
    <t>Bir hastayı ilk gördüğünde teşhis koymak kolay olur, ama onu daha iyi tanıdıkça zorlaşır. Hangi tecrübeli terapiste sorsan -başkalarının yanında değil tabii- aynı şeyi söyleyecektir sana! Bir başka deyişle, kesinlik, bilgi ile ters orantılıdır." #TurkishArmy</t>
  </si>
  <si>
    <t>Çankırı, Türkiye</t>
  </si>
  <si>
    <t>Bazen yoğurdu siz yaparsınız, kaymağını başkası yer… Kaymağımıza göz koyanlara lanet okuyan kız çocuğu…</t>
  </si>
  <si>
    <t>Şahinnahit⚡</t>
  </si>
  <si>
    <t>ALLAH'IM SEN VATANIMIZI DEVLETIMIZI ASKERLERIMIZI KORU SON ISLAM KALESI #TurkishArmy</t>
  </si>
  <si>
    <t>https://pbs.twimg.com/media/EGbou1rWwAE3Y0B.jpg</t>
  </si>
  <si>
    <t>#ÖnceVatan</t>
  </si>
  <si>
    <t>mesut durmuş</t>
  </si>
  <si>
    <t>Her yenigün yeni bir başlangıç,yeni bir enerji demek; gününüz aydınlık geceniz yıldızlı olsun "varsa yazgida tekrar orada olmak aranızda olacağım" #TurkishArmy Sb.</t>
  </si>
  <si>
    <t>Sakarya, İstanbul</t>
  </si>
  <si>
    <t>yazmak hapşırmak gibidir geldi mi tutamazsın! İstanbul/EGM 👮</t>
  </si>
  <si>
    <t>NuR'ing</t>
  </si>
  <si>
    <t>AhmetCan ϜϓſϞ</t>
  </si>
  <si>
    <t>Gel de gelelim sikelim arizona kertenkelelerini #TurkishArmy</t>
  </si>
  <si>
    <t>https://pbs.twimg.com/media/EGboqjGXUAE-gpL.jpg</t>
  </si>
  <si>
    <t>#MKA 🇹🇷 @Rizelilergrubu</t>
  </si>
  <si>
    <t>https://www.instagram.com/ahmetcandmrkp</t>
  </si>
  <si>
    <t>Knn tpl</t>
  </si>
  <si>
    <t>Ünlü oyuncu stand up gösterisine başladı #KendineGelPezeberk #çarşamba #yamanlarlisesi #StrayKids_DoubleKnot #CheGuevara #EmineBulut #TurkishArmy</t>
  </si>
  <si>
    <t>http://dizifilmdergisi.com/haber-unlu-oyuncu-stand-up-gosterisine-basladi-13583.html</t>
  </si>
  <si>
    <t>http://Instagram.com/dizifilmdergis… http://Instagram.com/topal28/</t>
  </si>
  <si>
    <t>http://www.dizifilmdergisi.com</t>
  </si>
  <si>
    <t>Ümit Özçelik</t>
  </si>
  <si>
    <t>Allah kahraman ordumuzun yardımcısı olsun, dualarımız onlarla... 🙏 🇹🇷 #turkmilletiordusununyaninda #turkisharmy #BarisPinariHarekati #operationspringsofpeace</t>
  </si>
  <si>
    <t>SAVAŞ 2 DEVLET ARASI OLUR DÜĞÜNÜMÜZ VAR BİZİM #TurkishArmy</t>
  </si>
  <si>
    <t>https://pbs.twimg.com/media/EGbolXgX0AAMBEe.jpg</t>
  </si>
  <si>
    <t>TURKISH SOLDİER 🇹🇷🇹🇷 AOG 🇹🇷</t>
  </si>
  <si>
    <t>Shivasregal</t>
  </si>
  <si>
    <t>Suriye’nin toprak bütünlüğünü istiyoruz ! Ama Esad’la küsüz. Akpnin dış politika zekasına hayran olmamak elde deeel #TurkishArmy</t>
  </si>
  <si>
    <t>Siz sanki çok şiysiniz.</t>
  </si>
  <si>
    <t>Hilal Y</t>
  </si>
  <si>
    <t>Şanlı Türk askeri bastığı yeri titremeye devam edecek... #TurkishArmy</t>
  </si>
  <si>
    <t>Me refugio en un dios. 🌹</t>
  </si>
  <si>
    <t>Koray KARAOĞLU</t>
  </si>
  <si>
    <t>réyawe vekırîbe 🇹🇷 #TurkishArmy</t>
  </si>
  <si>
    <t>pic.twitter.com/DcZ05bXxJw</t>
  </si>
  <si>
    <t>Durmak Devrilmektir</t>
  </si>
  <si>
    <t>EMRAH YAVRUÖZTÜRK</t>
  </si>
  <si>
    <t>Ordumuz olsun daim muzaffer.. #TurkishArmy</t>
  </si>
  <si>
    <t>https://pbs.twimg.com/media/EGbodzbXkAAmaba.jpg</t>
  </si>
  <si>
    <t>Antalya  Van Türkiye</t>
  </si>
  <si>
    <t>YENİDEN REFAH PARTİSİ KEPEZ İLÇE BAŞKANI VİZYON GENÇLİK DERNEĞİ ANTALYA İL BAŞKANI. BİRLİK VAKFI. ANTALYA YEŞİLAY CEMİYETİ. AKDENİZ ÜNİVERSİTESİ.</t>
  </si>
  <si>
    <t>http://instagram.com/yavruozturkemrah</t>
  </si>
  <si>
    <t>Ünal Çelik</t>
  </si>
  <si>
    <t>Türk ordusunu püskürtmek için bekliyoruz demiş yavşağın teki. Bizde bekliyoruz etekle fistanla kaçacak delik arayacağınız günü sabırsızlıkla ... 🇹🇷🇹🇷🇹🇷 #TurkishArmy</t>
  </si>
  <si>
    <t>Çanakkale 18 Mart Üniversitesi</t>
  </si>
  <si>
    <t>➡ Bir meçhul öğretmen ... Samsun / Ağrı</t>
  </si>
  <si>
    <t>İbrahim Yücel🇹🇷</t>
  </si>
  <si>
    <t>#TurkishArmy #TuerkMilletiOrdusununYanında #BarisPinariHarekati 🇹🇷🇹🇷🇹🇷</t>
  </si>
  <si>
    <t>https://pbs.twimg.com/media/EGboawuXYAAD4H9.jpg</t>
  </si>
  <si>
    <t>Evlâdı OSMANLI. Derdimiz siyaset değil, Hakikat. İstikamet Kızıl Elma Hedef 2023</t>
  </si>
  <si>
    <t>Kenan Kabadağı</t>
  </si>
  <si>
    <t>Amerikan lobimiz yetersiz kalıyor derdimizi bı türlu anlatamıyoruz dünya bizi suçlu görüyor birileri çıkıp dünyaya burası bizim sınırımız olduğunu güvenliği sağlamakla yükümlü olduğumuzu anlatmalı bu siktigimin gazetecileri konsoloslukları ne işe yarıyor #TurkishArmy</t>
  </si>
  <si>
    <t>La + gardaş + yüklem</t>
  </si>
  <si>
    <t>cuneyt erdoğdu</t>
  </si>
  <si>
    <t>ilk Türk birliklerinin kuzeydoğu Suriye'ye geçti. Türk kuvvetlerinin ileri grubu, Çarşamba günü erken saatlerde Suriye'nin Tal Abyad ve Ras el-Ayn kentlerine yakın, sınır boyunca iki noktada Suriye'ye girerek konuşlandı #TurkishArmy</t>
  </si>
  <si>
    <t>pic.twitter.com/BQOea6jWFW</t>
  </si>
  <si>
    <t>senaryo sektöründe çalışıyorum kitap hikaye yazıyorum working in the script industry book story I am writing</t>
  </si>
  <si>
    <t>aigle</t>
  </si>
  <si>
    <t>Müslüman Türk beklenendir! #TurkishArmy</t>
  </si>
  <si>
    <t>https://pbs.twimg.com/media/EGboZ-xXYAIY-lv.jpg</t>
  </si>
  <si>
    <t>🇹🇷🇹🇷 #TurkishArmy</t>
  </si>
  <si>
    <t>Öznur Çilesiz</t>
  </si>
  <si>
    <t>#TurkishArmy #TurkMilletiOrdusununYanında #Turksilahlıkuvvetleri Sen Ordumuzu Muzaffer Eyle Yarabbi</t>
  </si>
  <si>
    <t>pic.twitter.com/E1QeywzEZd</t>
  </si>
  <si>
    <t>Gizem YILDIZ</t>
  </si>
  <si>
    <t>Türk milleti ordunun yanında değil, bizatihi kendisi ordudur. Ve istenildiği zaman Çanakkale’ye nasıl gitmiş ise Suriye’ye de girmeye hazırdır. Allah, hayırlı zaferler ve o zaferlerin ardından apaçık fetihler ihsan eylesin! #TürkMilletiOrdusununYanında #TurkishArmy</t>
  </si>
  <si>
    <t>Bodrum,Manisa,Balıkesir</t>
  </si>
  <si>
    <t>Biz Türklüğün yârıyız, Türklük de bize y/âr!</t>
  </si>
  <si>
    <t>https://www.instagram.com/tc.gizemyildiz/</t>
  </si>
  <si>
    <t>Naz Toyran</t>
  </si>
  <si>
    <t>Öyle aile yasaları yaptılar ki, gençler evlenmeye korkuyor. Birlikte yaşam daha ekonomik, daha garantili!? Kafan bozulunca “tak sepeti koluna, herkes kendi yoluna”. Zaten her iki “birey” de çalışıyor. Kim kimi niye çeksin ki? Çocuk yerine köpek besle. #TurkishArmy</t>
  </si>
  <si>
    <t>Topraktan geldik toprağa gideceğiz mühim olan çamurlaşmamak.</t>
  </si>
  <si>
    <t>. #TurkishArmy</t>
  </si>
  <si>
    <t>https://pbs.twimg.com/media/EGboPKqXYAASIfe.jpg</t>
  </si>
  <si>
    <t>une mélodie sans bruit</t>
  </si>
  <si>
    <t>eulertr</t>
  </si>
  <si>
    <t>Sincr bigbang #TurkishArmy</t>
  </si>
  <si>
    <t>Free Kashmir</t>
  </si>
  <si>
    <t>The Turkish operation in Syria should be the testimony of America’s backstabbing policy. As usual they abandoned their long terms ally #PKK and Kurds in general, it’s a trap for Turkey too to be slapped with sanctions for War Crimes and human rights violations etc #TurkishArmy</t>
  </si>
  <si>
    <t>#FreeKashmir 🍁 #Lawyer #WLondon</t>
  </si>
  <si>
    <t>https://www.instagram.com/uzairch47/</t>
  </si>
  <si>
    <t>Batuhan Ata ÇAĞLAR</t>
  </si>
  <si>
    <t>https://pbs.twimg.com/media/EGboNcmWsAAYVD7.jpg</t>
  </si>
  <si>
    <t>Warriror</t>
  </si>
  <si>
    <t>http://instagram.com/batuhanatacaglar/</t>
  </si>
  <si>
    <t>Ercüment Canbaz</t>
  </si>
  <si>
    <t>Yıldırımlar yaratan bir ırkın ahfadıyız, Tufanları gösteren, tarihlerin yâdıyız. #TurkishArmy</t>
  </si>
  <si>
    <t>Bütün dünya benim olsa gamım gitmez nedendir bu? Ezelden gam turâbıyla yoğrulmuş bir bedendir bu.</t>
  </si>
  <si>
    <t>https://pbs.twimg.com/media/EGboMvXXoAE0058.jpg</t>
  </si>
  <si>
    <t>Kavak ağacını beğenen ve seven çok az kişi gördüm, çünkü dosdoğrudur.</t>
  </si>
  <si>
    <t>Türk Kürt 1 elmanın 2 yarısı</t>
  </si>
  <si>
    <t>15 Temmuz'da Recep Tayyip Erdoğan'ı neden yıkmak istediklerini anlıyor musunuz? Eğer başarılı olsalardı, CHP ile HDP iktidar olacak ve önce güneyimizde PKK terör devleti kurulacaktı sonra......... Hatırlayın Kılıçdaroğlu ne demişti ; "YPG vatanını savunuyor" #TurkishArmy</t>
  </si>
  <si>
    <t>Türk/Kürt kardeş! PKK/YPG kalleş ve FETÖcülere ilave olarak destekçilerine düşman!</t>
  </si>
  <si>
    <t>Buket ışıkalan</t>
  </si>
  <si>
    <t>Er-Rezzâk  #TurkishArmy</t>
  </si>
  <si>
    <t>https://pbs.twimg.com/media/DtHY4gyWkAANeqR.jpg</t>
  </si>
  <si>
    <t>"Love is composed of a single soul inhabiting two bodies."</t>
  </si>
  <si>
    <t>ATATÜRK’ün ASKERİ</t>
  </si>
  <si>
    <t>Çakma savaş galibiyeti değil MAREŞAL GAZİ MUSTAFA KEMAL ATATÜRK ve SİLAH ARKADAŞLARININ ZAFERLERİNİN ÖNEMİNİ BİLMİYEN YOBAZLARIN YÜZÜNE BİLE TÜKÜRMEM #TurkishArmy</t>
  </si>
  <si>
    <t>https://pbs.twimg.com/media/EGboJrIWwAAyhJu.jpg</t>
  </si>
  <si>
    <t>ATAM İZİNDEYİZ</t>
  </si>
  <si>
    <t>1881 de dünya seninle VARoldu..1938 de ÖLÜM bile seninle ÖLÜMSÜZLEŞTİ... NE MUTLU TÜRKÜM DİYENE🇹🇷</t>
  </si>
  <si>
    <t>Nigar Ögeday🇹🇷🇰🇿🇦🇿🇰🇬🇹🇲🇺🇿</t>
  </si>
  <si>
    <t>Bu filmi Afrinde de gördük. Bu gün zorla oraya getirib, resmini cekdikleriniz yarın #TurkishArmy görünce ,,cok şükür geldiniz. Sizi bekleyirdik,, deyib sarılacaklar. RT @yasiremres: Sınırın Suriye tarafında terörist başı apo'nun dev posteri önünde Türkiye'nin operasyonuna karşı açıklama yapılıyor. #Syria</t>
  </si>
  <si>
    <t>https://twitter.com/yasiremres/status/1181514785596293120</t>
  </si>
  <si>
    <t>https://pbs.twimg.com/media/EGWVbInX0AAf_k4.jpg</t>
  </si>
  <si>
    <t>“Ne Mutlu Türküm Diyene” Irkçılık değil, bir milletin Bağımsızlık Haykırışıdır O Zaman Hep Birlikte Haykırıyoruz! Ne Mutlu TÜRKÜM Diyen</t>
  </si>
  <si>
    <t>LİN LİN</t>
  </si>
  <si>
    <t>#TurkishArmy RT @genclikbirligi: İstanbul Üniversitesi Atatürkçü Düşünce Kulübü tarihi kapının önünden tarihi mesaj verdi! "TÜRK ORDUSUNUN YANINDAYIZ. MEHMETÇİĞE BİN SELAM!" #TurkishArmy</t>
  </si>
  <si>
    <t>https://twitter.com/genclikbirligi/status/1181883579250483201</t>
  </si>
  <si>
    <t>pic.twitter.com/kE63CdEOSf</t>
  </si>
  <si>
    <t>Nev Elli</t>
  </si>
  <si>
    <t>#TurkishArmy #TuerkMilletiOrdusununYanında #Tuerksilahlıkuvvetleri #Turkey #turkmilletiordusununyaninda</t>
  </si>
  <si>
    <t>https://pbs.twimg.com/media/EGboFnYXkAIbFFg.jpg</t>
  </si>
  <si>
    <t>🇹🇷 Kızıl Elma 🇹🇷</t>
  </si>
  <si>
    <t>Davanın sahibi Hak'tır. Bize düşen ise bu davada gayrettir. Çektiğimiz her türlü çile ganimettir. Zalimin zulmüne karşı mazlumlara nefes olmaya... Sefer bizim, zafer Allah'ındır... #TurkishArmy</t>
  </si>
  <si>
    <t>pic.twitter.com/UFgTpMyHsx</t>
  </si>
  <si>
    <t>GEREKİRSE AMERİKANIN ORTA YERİNE DEVLET KURARIZ !!!</t>
  </si>
  <si>
    <t>Süleyman Kısır</t>
  </si>
  <si>
    <t>computer engineer</t>
  </si>
  <si>
    <t>EnesK12</t>
  </si>
  <si>
    <t>#TurkishArmy Hadi oglum evinize Harekatı dörtgözle bekliyoruz</t>
  </si>
  <si>
    <t>Salih Can</t>
  </si>
  <si>
    <t>pic.twitter.com/I7uYSFH8d7</t>
  </si>
  <si>
    <t>Mustafa Cihat🇹🇷</t>
  </si>
  <si>
    <t>TÜRK MİLLETİNİN ORDUSU YOKTUR, TÜRK ORDUSUNUN MİLLETİ VARDIR. 🇹🇷 #TurkishArmy</t>
  </si>
  <si>
    <t>Karagümrük</t>
  </si>
  <si>
    <t>İaü/Sbf</t>
  </si>
  <si>
    <t>http://instagram.com/mustafacihattd</t>
  </si>
  <si>
    <t>leman uney</t>
  </si>
  <si>
    <t>🌏 PKK PİSLİK KAHPE KALLEŞTİR. KÜRTLER İSE NURDUR. PKK ASLA KÜRTLERİN TEMSİLCİSİ DEĞİLDİR.‼️ 🌏  📊 #EmineBulut #TurkishArmy Arap Birliği Tevfik Göksu Stefano Pioli ödence davası gezlemek kaydırtma hinleşme 📊</t>
  </si>
  <si>
    <t>pic.twitter.com/anJprxJxeq</t>
  </si>
  <si>
    <t>Picligin luzumu yok Sevmiyorsan seviyormuş gibi yapmayacaksın</t>
  </si>
  <si>
    <t>Ayarsız_PaNDa¿</t>
  </si>
  <si>
    <t>Ülkeye gaz verme tamam!yaptırım dolar uçurma işi tamam.krizi Amerika çıkarttı diyeceğiz tamam..! Yıllarca izlediniz,dostuz dediniz beka sorununu 3 günde halletmek varken siz ne çalarız dediniz..benim askerimin günahı ne..kara lekesiniz ülkeme ve orduma..son döneminiz.#TurkishArmy</t>
  </si>
  <si>
    <t>TÜRKİYE,yeni şeyler öğrenme arzusu olmayan ve geleneklerini tüketen bir ülke haline dönüşmektedir..!!</t>
  </si>
  <si>
    <t>🇹🇷 Murat SIKI 🇹🇷</t>
  </si>
  <si>
    <t>🇹🇷 FIRTINALAR DURSUN YANA YOL VER TÜRK'ÜN BAYRAĞINA 🇹🇷 #TurkishArmy</t>
  </si>
  <si>
    <t>https://pbs.twimg.com/media/EGbn-KjWkAENRTx.jpg</t>
  </si>
  <si>
    <t>Merkez, Uşak</t>
  </si>
  <si>
    <t># UŞAK ÜNİ SBF 🎓 # ATAMA BEKLEYEN ÖĞRETMEN # FUTBOL ANTRENÖRÜ</t>
  </si>
  <si>
    <t>Veliaht Sehzade</t>
  </si>
  <si>
    <t>#TurkeylsNotOurFriend #TurkeyKurds #TurkishArmy #OperationPeaceSpring RT @slmhktn: Bana neden Türk ordusunu soruyorsunuz? Bize zulmeden PKK'dır... Rudaw'ın delikanlı bir kürt anne ile imtihanı!</t>
  </si>
  <si>
    <t>https://twitter.com/slmhktn/status/1181876891000754177</t>
  </si>
  <si>
    <t>La ğalibe İllallah... Öleceksek ADAM gibi ölelim...</t>
  </si>
  <si>
    <t>Deniz Türüç</t>
  </si>
  <si>
    <t>https://pbs.twimg.com/media/EGbn9xpWwAADznI.jpg</t>
  </si>
  <si>
    <t>Carol</t>
  </si>
  <si>
    <t>"I'm looking forward to the day when the kingdom descends. The Church of Almighty God 21st Chorus album“Kingdom Anthem—The Kingdom Descends on the World” will be released soon." 🎬 #TurkishArmy #Gospel #choir @_KaraElizabeth @itslanejohnson</t>
  </si>
  <si>
    <t>https://www.holyspiritspeaks.org/special-topic/kingdom-has-descended-on-the-world/index.html#home</t>
  </si>
  <si>
    <t>pic.twitter.com/GBJN5xkRtA</t>
  </si>
  <si>
    <t>I am a Christian #Pray #Jesus #God</t>
  </si>
  <si>
    <t>BÜLENT 4C4R 🇹🇷</t>
  </si>
  <si>
    <t>Turkey's preps, deployments for Syria operation continues, Akar says  @nytimes @FoxNews @NBCNews @CNN @guardian @WSJ @washingtonpost #BarisPinari #TurkishArmy</t>
  </si>
  <si>
    <t>https://www.dailysabah.com/war-on-terror/2019/10/09/turkeys-preps-deployments-for-syria-operation-continues-akar-says</t>
  </si>
  <si>
    <t>Giriş Yaptı...</t>
  </si>
  <si>
    <t>abdurrahman yağcı</t>
  </si>
  <si>
    <t>#TurkishArmy Rabbim muzafferiyet nasip eylesin ordumuza.</t>
  </si>
  <si>
    <t>kocaeli</t>
  </si>
  <si>
    <t>Sarı</t>
  </si>
  <si>
    <t>Haziriz, daima Haziriz! #TurkishArmy</t>
  </si>
  <si>
    <t>https://pbs.twimg.com/media/EGbn6qCWoAIxu44.jpg</t>
  </si>
  <si>
    <t>Egirdir,İsparta</t>
  </si>
  <si>
    <t>Fenerbahçe 💛💙</t>
  </si>
  <si>
    <t>TUBA CAYLI</t>
  </si>
  <si>
    <t>#operationspringsofpeace #TurkishArmy 🇹🇷🇹🇷🇹🇷🇹🇷🇹🇷🇹🇷🇹🇷🇹🇷🇹🇷🇹🇷 Just for remembering you Turkish enemies!;"Turkish rebublic will stand forever!" Said Ataturk and he entrusted to Turkish army! So.. No any power can distrup this..</t>
  </si>
  <si>
    <t>NO COMMENT!</t>
  </si>
  <si>
    <t>http://www.okyanusum.com</t>
  </si>
  <si>
    <t>Derûnî</t>
  </si>
  <si>
    <t>Ardı ardına dizilecek elbet saflar, Şafak sökünce çekilecek sancaklar. Biz çağda açar, güneşte sökeriz. Ölümden yılmayan çılgın Türkleriz. #TurkishArmy</t>
  </si>
  <si>
    <t>https://pbs.twimg.com/media/EGbn6fkWsAA6QsI.jpg</t>
  </si>
  <si>
    <t>Yazar, Oyuncu, Şair.</t>
  </si>
  <si>
    <t>Burak Ergün</t>
  </si>
  <si>
    <t>😂😂😂😂😂 #TurkishArmy</t>
  </si>
  <si>
    <t>https://pbs.twimg.com/media/EGbn4qfXUAAoF5S.jpg</t>
  </si>
  <si>
    <t>Aysenur toprak</t>
  </si>
  <si>
    <t>#TurkishArmy Türkten Ürkmeyen Razıdır Kaybolup yok olmaya Asker Türk askeri hazır olun Saygı duymaya Kalleşlik yaparsanız Türk askeri bu E tabi siler sizi dünyadan Razı olun kabullenin Türk’e İtaat edin göçmen bu dünyadan🇹🇷🐺⚔️</t>
  </si>
  <si>
    <t>https://pbs.twimg.com/media/EGbn2RhXYAI5cWf.jpg</t>
  </si>
  <si>
    <t>TÜRK( 𐱅𐰇𐰼𐰚)🇹🇷🤘🏻 “Biz Türklüğün yarıyız ,Türkçülük de bize yâr.”</t>
  </si>
  <si>
    <t>Gray Medel</t>
  </si>
  <si>
    <t>Diyarbakır 8'inci Ana Jet Üssüne Uçak Takviyeleri başladı #TurkishArmy</t>
  </si>
  <si>
    <t>pic.twitter.com/bGpznlDP3P</t>
  </si>
  <si>
    <t>Hayalperest 𐱅𐰇𐰼𐰚🇹🇷</t>
  </si>
  <si>
    <t>Tengri biz menen ! God is with us ! Gazanız mübarek olsun kahramanlar 🇹🇷🇹🇷🇹🇷🇹🇷 #TurkishArmy</t>
  </si>
  <si>
    <t>Kapadokya / Cappadocia</t>
  </si>
  <si>
    <t>Mustafa Kemal Atatürk🇹🇷 Yay ♐</t>
  </si>
  <si>
    <t>°𝐀𝐭𝐥ı 𝐅ı𝐥𝐨𝐳𝐨𝐟</t>
  </si>
  <si>
    <t>Korkmadık, SAVAŞTIK. - Bilge Tonyukuk 🇹🇷 #TurkishArmy</t>
  </si>
  <si>
    <t>•Hiç bir baltaya sap olamayanlar derneği BAŞKAN'ı 👑 •21 Lvl 🍷</t>
  </si>
  <si>
    <t>http://instagram.com/halilibrahimcambel</t>
  </si>
  <si>
    <t>enterayzing</t>
  </si>
  <si>
    <t>Dalgalan sen de şafaklar gibi ey şanlı hilal! Olsun artık dökülen kanlarımın hepsi helal. Ebediyen sana yok, ırkıma yok izmihlal: Hakkıdır, hür yaşamış, bayrağımın hürriyet; Hakkıdır, hakk’a tapan, milletimin istiklal! #BarisPinariHarekati #BarisPinari #turkisharmy</t>
  </si>
  <si>
    <t>Mustafa Kemal Atatürk &amp; Beşiktaş Kendi halinde gezgin biri...</t>
  </si>
  <si>
    <t>M. Said ÇETİN م. سعید چتین</t>
  </si>
  <si>
    <t>Millet ordunun yanında değil bizatihi kendisi ordudur. Ve istenildiği zaman Çanakkale’ye nasıl gitmiş ise Suriye’ye girmeye hazırdır. Allah hayırlı zaferler ve o zaferlerin ardından apaçık fetihler ihsan eylesin ! Âmîn Âmîn Âmîn #TürkMilletiOrdusununYanında #TurkishArmy</t>
  </si>
  <si>
    <t>https://pbs.twimg.com/media/EGbnxywXUAAFYC-.jpg</t>
  </si>
  <si>
    <t>Pakistan-İslamabad</t>
  </si>
  <si>
    <t>#Ahidli</t>
  </si>
  <si>
    <t>Lethera</t>
  </si>
  <si>
    <t>We are always behind you. we are proud of you. we hope you return safely. everyone knows, they are good and mercy soldier. #TurkishArmy</t>
  </si>
  <si>
    <t>Siz sanki çok şeysiniz aliminyum.🤷🏻‍♀️</t>
  </si>
  <si>
    <t>Z E Y N E P</t>
  </si>
  <si>
    <t>Dosta Güven,Düşmana Korku. Er Meydanında Gör Sen Türk'ü!! #TurkishArmy</t>
  </si>
  <si>
    <t>Festekim kemâ umirte...</t>
  </si>
  <si>
    <t>Ziya Gökalp KIZIL</t>
  </si>
  <si>
    <t>Allah'ım sen şanlı ordumuzu muzaffer kıl, kahraman Mehmetçiğimizin yar ve yardımcısı ol. #TurkishArmy</t>
  </si>
  <si>
    <t>https://pbs.twimg.com/media/EGbnlunWwAE2EK7.jpg</t>
  </si>
  <si>
    <t>Osmanlı Torunu</t>
  </si>
  <si>
    <t>BÜYÜK USTA #RTE</t>
  </si>
  <si>
    <t>"Mazlumun Yanında; Zalimin Karşısında!!!" #TurkishArmy RT @atillagonullu: Geçmişten geleceğe #TurkishArmy 🇹🇷</t>
  </si>
  <si>
    <t>https://twitter.com/atillagonullu/status/1181877196769693696</t>
  </si>
  <si>
    <t>pic.twitter.com/AmwH1YwOVi</t>
  </si>
  <si>
    <t>Safımız Belli Hamd Olsun...</t>
  </si>
  <si>
    <t>#FikrindeHür #Ak #EvladıOsmanlı</t>
  </si>
  <si>
    <t>Asude Aşık</t>
  </si>
  <si>
    <t>Laiklik CHP’nin ilkelerinden biridir ve tek parti döneminde MİLLETE SORULMADAN anayasaya monte edilmiştir. #TurkishArmy</t>
  </si>
  <si>
    <t>Mehmet Karaaslan</t>
  </si>
  <si>
    <t>https://pbs.twimg.com/media/EGbnfbLW4AArdCl.jpg</t>
  </si>
  <si>
    <t>Hukuk ⚖ Kuvay-i Milliye Daimi Türkiye</t>
  </si>
  <si>
    <t>Furkan ÇAKAL</t>
  </si>
  <si>
    <t>Kapımıza dayanıyorsa zulüm Başka yol yok ya İstiklal ya ölüm ! #turkmilletiordusununyaninda #TurkishArmy</t>
  </si>
  <si>
    <t>https://pbs.twimg.com/media/EGbnhmrWoAEkBjv.jpg</t>
  </si>
  <si>
    <t>Galatasaray ❤️ Aşığı... Futbol ⚽ ve Bahis Tutkunu...</t>
  </si>
  <si>
    <t>Ali Fatih 𐱅𐰼𐰇𐰰</t>
  </si>
  <si>
    <t>Çocukların ve mazlumların korkmadığı tek ordu... Ve biz ordusu olan bir millet değil, milleti olan bir orduyuz #TurkishArmy</t>
  </si>
  <si>
    <t>https://pbs.twimg.com/media/EGbndsSXoAAJS16.jpg</t>
  </si>
  <si>
    <t>Gittiginden Bu Yana Her Anne Başımın Tacı.....к๏ςคєlเ̇ ι̇zмι̇т 🇹🇷 🇦🇿 🇹🇲 🇰🇬 🇰🇿 𐱅𐰇𐰼𐰰</t>
  </si>
  <si>
    <t>Aydoğan Arslan</t>
  </si>
  <si>
    <t>Yüzyıllardır Allah'ın adaletini, İslam'ın huzurunu yaymak için cihad eden yiğitlerimiz sizin gibi karılarınızın koynunda ölmeyi bekleseydi, bu iman kırılmış bu tarih yok olmuştu. "Türk askerine karısının koynunda ölmek yakışmaz" #TurkishArmy #BarışPınarı #çarşamba</t>
  </si>
  <si>
    <t>https://pbs.twimg.com/media/EGbnbFpX0AAi6hr.jpg</t>
  </si>
  <si>
    <t>Rabbinin yoluna, hikmetle, güzel öğütle davet et, onlarla en güzel şekilde tartış. Güzel sonuç, takva iledir. https://seninkalemin.wordpress.com/</t>
  </si>
  <si>
    <t>https://www.youtube.com/channel/UCvOm50Z-02VeEEN4_Mn_nBg?view_as=subscriber</t>
  </si>
  <si>
    <t>#turkmilletiordusununyaninda #TurkishArmy #BarisPinariHarekati Call of duty not turkish soldier🇹🇷 sizlerin film setlerinde kameralar karşısında bilgisayar yardımı ile yaptığınızı bizim askerimiz uygulamalı yapıyor</t>
  </si>
  <si>
    <t>https://youtu.be/kaaLmsOfBEQ</t>
  </si>
  <si>
    <t>BakMax</t>
  </si>
  <si>
    <t>#TurkishArmy habertürkte operasyon yalnızca 5 km derinlikte diyor umarım böyle bir şey yoktur.</t>
  </si>
  <si>
    <t>Daha fazlası için takip et</t>
  </si>
  <si>
    <t>Enes Işık</t>
  </si>
  <si>
    <t>Şu kopan fırtına TÜRK ordusudur yâ Rabbi. Senin uğrunda ölen ordu budur yâ Rabbi. Tâ ki yükselsin ezanlarla müeyyed nâmın, Galib et, çünkü bu son ordusudur İslâm’ın. #TurkishArmy #BarışPınarıHarekatı #turkmilletiordusununyaninda</t>
  </si>
  <si>
    <t>https://pbs.twimg.com/media/EGbnaFbXoAAr6n5.jpg</t>
  </si>
  <si>
    <t>AÜ/İİBF</t>
  </si>
  <si>
    <t>Aslı Yokuşçıkaner</t>
  </si>
  <si>
    <t>KENDİ VATANINDAKİ ABD İNCİRLİK ÜSSÜNÜ KAPATMADAN, ABD'YE KARŞI SURİYEYE GİRMEK NASIL BİR ŞEYDİR, ABD JETLERİ İNCİRLİK ÜSSÜNDEN KALKARAK KENDİLERİNİ VURSUN DİYE Mİ ? Diyarbakır 8 #KendineGelPezeberk #EmineBulut #TurkishArmy</t>
  </si>
  <si>
    <t>Manisa/Akhisar</t>
  </si>
  <si>
    <t>Cenap Çolak</t>
  </si>
  <si>
    <t>İnsanlar, “İnandık” demekle İmtihan edilmeden bırakılacaklarını mı zannederler.[Ankebut-2  #TurkishArmy</t>
  </si>
  <si>
    <t>https://pbs.twimg.com/media/D455tetXoAAAmO4.jpg</t>
  </si>
  <si>
    <t>Meşe gölgesinde filizlenen yosunlar, çok kere kendilerini meşe fidanı sanırlar. -Cenap Şahabettin</t>
  </si>
  <si>
    <t>İsmail DURUSOY</t>
  </si>
  <si>
    <t>MEHMETÇİKTİR O . #TurkishArmy</t>
  </si>
  <si>
    <t>Kimya teknikeri , Başakşehir</t>
  </si>
  <si>
    <t>Yüzbaşı Sançar</t>
  </si>
  <si>
    <t>Bizim devletimiz hep 18 yaşındadır. Askerimiz her zaman dünyanın en güçlüsüdür. Ulusum, ulusların en büyüğüdür ! #TurkishArmy</t>
  </si>
  <si>
    <t>Siyasî, içtimaî mezhebim Türkçülüktür. Unutma senin adın TÜRK !</t>
  </si>
  <si>
    <t>Sultanbey</t>
  </si>
  <si>
    <t>MUSTAFA KEMAL ATATÜRK 🙏🖤 #TurkishArmy</t>
  </si>
  <si>
    <t>İhsan</t>
  </si>
  <si>
    <t>BOZKURTLAR ORDUSU #TurkishArmy</t>
  </si>
  <si>
    <t>https://pbs.twimg.com/media/EGbnXPHW4AEoeaF.jpg</t>
  </si>
  <si>
    <t>Ömür Berat Çalık</t>
  </si>
  <si>
    <t>Ayağınıza taş değmesin. Allah yar ve yardımcınız olsun. Türk, adaleti tesis etmeye geliyor. 🇹🇷 #TurkishArmy</t>
  </si>
  <si>
    <t>Gazi Üniversitesi-Uluslararası Ticaret HBVÜ-Uluslararası Ticaret Yüksek Lisans</t>
  </si>
  <si>
    <t>https://instagram.com/omur.calk/</t>
  </si>
  <si>
    <t>khontkar</t>
  </si>
  <si>
    <t>Ersin TURAN</t>
  </si>
  <si>
    <t>Şuraya bi adam resmi koyalım. @suleymansoylu #adam #süleymansoylu #TurkishArmy</t>
  </si>
  <si>
    <t>https://pbs.twimg.com/media/EGbnVzyWsAA2xmw.jpg</t>
  </si>
  <si>
    <t>Muhabir/Gazeteci-Journalist/Correspondent Medya ve İletişim Önceden: İhlas Haber Ajansı (İHA), AA - Haber, Yorum, Mizah, Kültür, Sanat, Spor. Ve tekrar İHA.....</t>
  </si>
  <si>
    <t>http://Instagram.com/ersinturan67</t>
  </si>
  <si>
    <t>Mert Bolat</t>
  </si>
  <si>
    <t>http://www.mediasgod.com</t>
  </si>
  <si>
    <t>cesteni</t>
  </si>
  <si>
    <t>Rabbim yar ve yardımcınız olsun.. Ayağınıza taş değmesin. #TurkishArmy</t>
  </si>
  <si>
    <t>serhat</t>
  </si>
  <si>
    <t>Söyleyin onlara” MUHAMMED”İN ordusu geri geldi #TurkishArmy</t>
  </si>
  <si>
    <t>https://pbs.twimg.com/media/EGbnUslW4AA9N5r.jpg</t>
  </si>
  <si>
    <t>Evlâ leke fe evlâ. Kırdığın yerden kırılacaksın . 🇹🇷🕋🕋🕋🕌🕌🕌🇹🇷</t>
  </si>
  <si>
    <t>Nizamettin Yarar</t>
  </si>
  <si>
    <t>Ümitsiz olma! Şükürsüz olma! Sabırsız olma. Mevlayı bilen ümidi bilmeli. O’nu bilen şükretmeli.. #TurkishArmy</t>
  </si>
  <si>
    <t>Ben gerçeğin peşindeyim, kimin söylediği önemli değil. Ben adaletin peşindeyim, kim için veya kime karşı olduğu önemli değil.- Malcolm</t>
  </si>
  <si>
    <t>Abdüsselam</t>
  </si>
  <si>
    <t xml:space="preserve">burası </t>
  </si>
  <si>
    <t>trabzonspor / evli</t>
  </si>
  <si>
    <t>http://Instagram.com/abdslm_kurt</t>
  </si>
  <si>
    <t>Gₐₘzₑ {♡ₛₒₗ Yₐₙıₘ}</t>
  </si>
  <si>
    <t>Kalbimiz ve dualarımız sizlerle.. 🇹🇷 #TurkishArmy</t>
  </si>
  <si>
    <t>https://pbs.twimg.com/media/EGbnSmDWwAAuIAt.jpg</t>
  </si>
  <si>
    <t>[Uslûbun kimliğidir] Evli 💍 #Kova ♒ ❌DM🚫‼ GS 💛❤</t>
  </si>
  <si>
    <t>°• F i Ł i Ź °• 🐬</t>
  </si>
  <si>
    <t>🇹🇷🇹🇷🇹🇷 Yâ Allah BİSMİLLAH Allah-u Ekber 🤲🇹🇷 Galip et , çünkü bu son ordusudur İslâm'ın ❗ #TurkishArmy 🇹🇷</t>
  </si>
  <si>
    <t>pic.twitter.com/XUqUIB0iXz</t>
  </si>
  <si>
    <t xml:space="preserve">🇹🇷  İstanbul                </t>
  </si>
  <si>
    <t>@fllzrt 🎈 Hayâtın güzelliği mi ? Kimle yürüdüğüne bağlı 🎈🐬</t>
  </si>
  <si>
    <t>Safa #Hedef23 🇹🇷</t>
  </si>
  <si>
    <t>#TurkishArmy Sivillerin korkmadığını TEK ORDU 🇹🇷</t>
  </si>
  <si>
    <t>Evet içimdeki çocuk hala ölmedi #HepÇocuk 🇹🇷</t>
  </si>
  <si>
    <t>Muhammed Hüseyin ÇERÇİ</t>
  </si>
  <si>
    <t>https://pbs.twimg.com/media/EGbnRkEXYAAuLXz.jpg</t>
  </si>
  <si>
    <t>Tek AŞK''GALATASARAY''🇹🇷💛❤️💛🇹🇷''TÜRKİYE'' Ne mutlu TÜRKÜM Diyene Ne Mutlu GALATASARAYLIYIM Diyene...💛❤️🇹🇷 ''GALATASARAY AŞIĞI TÜRKİYE SEVDALISI''</t>
  </si>
  <si>
    <t>✴〰TAYYİBİN ASKERİ  〰✴</t>
  </si>
  <si>
    <t>Mustafa İslamoğlu EŞEK DERVİŞ OLMAZ ODUN ÇEKMEKLE TEKKEYE ADAM HACI OLMAZ GİDİP GELMEKLE MEKKE'YE . #TurkishArmy</t>
  </si>
  <si>
    <t>https://pbs.twimg.com/media/EGbnQROWoAAV2UD.jpg</t>
  </si>
  <si>
    <t>malatya</t>
  </si>
  <si>
    <t>Müslüman'ım demek başka Müslüman'ca yaşamak başkadır! Herkes rahat olsun İnsanına göre insanım ATANIiyi belle senOSMANLI torunusun @RT_Erdogan bynKORKUSUZ</t>
  </si>
  <si>
    <t>Mustafa S</t>
  </si>
  <si>
    <t>Bitene kadar, harekat aleyhindeki söylemlere destek veren herkes düşmana askerlik ediyor demektir. Bilerek veya gafletle #TurkishArmy</t>
  </si>
  <si>
    <t>İstanbul-Ankara-Afyon-Şırnak</t>
  </si>
  <si>
    <t>Gazi Üni SBKY - Kitap notları, düşünceler.</t>
  </si>
  <si>
    <t>https://medium.com/@mstfsarky</t>
  </si>
  <si>
    <t>Ebru⚡</t>
  </si>
  <si>
    <t>Seni en çokta artık iplenmemen üzecek. Gençlerimizin geziden daha önemli işleri var. Vatanı için, Senin aşk duyduğun hewalleri sevmeye giden ordusuna destek olmakla meşguller. #TurkishArmy 🇹🇷💥 RT @ccanannnnnn: Gençler yarın 09.oo’da #GeziYargılanamaz demek için Silivri’de buluşuyoruz değil mi? #GeziDavasıİçinSilivrideyiz</t>
  </si>
  <si>
    <t>https://twitter.com/ccanannnnnn/status/1181223632233738242
https://twitter.com/gezisavunmasi/status/1178693794084077569</t>
  </si>
  <si>
    <t>Şeytan sadece fısıldar... I'm back... My job Esthetician&amp;Beauty expert</t>
  </si>
  <si>
    <t>⭐⭐1905⭐⭐</t>
  </si>
  <si>
    <t>Sefer #TurkishArmy zafer ALLAH'ındır.🇹🇷</t>
  </si>
  <si>
    <t>⭐⭐GALATASARAY⭐⭐ 🇹🇷Anti,fb-chp-fetoş🇹🇷 🇹🇷SENİN ALTINDA DOĞDUM SENİN ALTINDA ÖLECEĞİM🇹🇷 🇹🇷SANA SELAM VERMEDEN UÇAN KUŞUN YUVASINI BOZACAĞIM🇹🇷</t>
  </si>
  <si>
    <t>erkan alp</t>
  </si>
  <si>
    <t>Bu bir savaş değildir. Emperyalistlerin maşası olanları temizlemedir. Hiçbir ülke kendi geleceğini tehdit edecek unsurlara göz yummaz. Bu coğrafyadaki huzuru bozan ne olursa olsun bertaraf edilmelidir. Allah ordumuzun ve askerlerimizin yar ve yardımcısı olsun #TurkishArmy</t>
  </si>
  <si>
    <t>Emine DALKIRAN</t>
  </si>
  <si>
    <t>#ABD Dünyanın 1 numaralı silah tüccarı, hangi ülkeye esenlik getirecek? Onlar ancak almayı bilir. #TurkishArmy</t>
  </si>
  <si>
    <t>Antalya🇹🇷</t>
  </si>
  <si>
    <t>Ne Mutlu Türküm Diyene/ Dalından Kopan Yaprağın Akıbetini Rüzgâr Tayin Eder. Aziz Sancar'ın fikrine katılır. 🇹🇷 💛❤</t>
  </si>
  <si>
    <t>Alp Narcıkara</t>
  </si>
  <si>
    <t>Yok etmeye çalıştığınız kardeşlik kültürümüzle birlikte sizi yok etmeye geliyoruz. #TurkishArmy</t>
  </si>
  <si>
    <t>empty but fulling</t>
  </si>
  <si>
    <t>http://instagram.com/narcikaralp</t>
  </si>
  <si>
    <t>Turkuaz</t>
  </si>
  <si>
    <t>#TurkishArmy 🇹🇷🇹🇷🇹🇷🇹🇷</t>
  </si>
  <si>
    <t>Demir Grafik Tasarım</t>
  </si>
  <si>
    <t>💥💥💥💥Uygun fiyata grafik tasarım işleri için takip edebilir ve mesaj ile ulaşabilirsiniz💥💥💥💥 --------------------------------------------------------- #deprem #carsamba #EmineBulut #TurkishArmy #CheGuevara #Uzmanıyım #KendineGelPezeberk #HalukLevent #StandWithTheKurds</t>
  </si>
  <si>
    <t>Biz Neler Yapıyoruz ; Logo Tasarımı, Afiş - Broşür Tasarımı, Photoshop Sanatı, Yıpranmış Fotoğraf Tamiri 📢 Fiyat ve Sipariş İçin Mesaj Atınız.</t>
  </si>
  <si>
    <t>Sedat Aycan</t>
  </si>
  <si>
    <t>#TurkishArmy #TürkMilletiOrdusununYanında RT @tcsavunma: Engel Tanımaz Aşarız!🇹🇷 #MSB #TSK</t>
  </si>
  <si>
    <t>https://twitter.com/i/status/1181562362844897280</t>
  </si>
  <si>
    <t>KASABALI</t>
  </si>
  <si>
    <t>**GEÇME NAMERT KÖPRÜSÜNDEN KO GÖTÜRSÜN SU SENİ ** YATMA ÇAKAL İNİNDE KO ASLANLAR YESİN SENİ**</t>
  </si>
  <si>
    <t>Gönül Sülük</t>
  </si>
  <si>
    <t>Bahisçilere tag açtıranlarla bahisçilerden bıktık diyenler aynı kişiler! operasyon çok ince.. Millette "twitterın artık tadı kalmadı" algısı oluşturarak twitterı kapattırmak istiyorlar. Asıl maksat haklı mücadele verenlerin sesinin kesilmesi #TurkishArmy</t>
  </si>
  <si>
    <t>Doğruyu söylemek değil, ɑnlɑtmɑk güçtür! -Cenap Şahabettin</t>
  </si>
  <si>
    <t>ر🌸</t>
  </si>
  <si>
    <t>https://pbs.twimg.com/media/EGbnAQ8WsAAW2VY.jpg</t>
  </si>
  <si>
    <t>Hadi kalk Kudüs'e gidelim sevgili, Gönlümüzün ağırlığı dinsin şehre yaklaştıkça... #filistin #kudüs</t>
  </si>
  <si>
    <t>gülseren yassıtaş</t>
  </si>
  <si>
    <t>#TurkishArmy #StandWithTheKurds #Syria #eniyicevap #NobelPrize Teröre destek vererek Türkleri kızdırdınız @realDonaldTrump bizimle alay ettiniz bizi oyalamaya çalıştınız.Yanlış yaptınız #European #StandWithTheKurds #European</t>
  </si>
  <si>
    <t>kedi annesi..Uluslararası İlişkiler mezunu..Düşmanıma bile adalet..retweetlerim bilgilendirmek amaçlıdır yasal sorumluluk tweet sahibine aittir</t>
  </si>
  <si>
    <t>By_H@KT@N</t>
  </si>
  <si>
    <t>Bismillahirrahmanirrahim Rabbi Yessir ve la tüasir Sehlil Aleyna bi fadlike ye müyessir Rabbi zidne ilmen ve fehmen nafian Ve temmim bil hayri #TurkishArmy</t>
  </si>
  <si>
    <t xml:space="preserve">BEŞİKTAŞ JK -AKREP </t>
  </si>
  <si>
    <t>İşine gelmeyen kapıya dönebilir ..!</t>
  </si>
  <si>
    <t>Yavuz.karakaş</t>
  </si>
  <si>
    <t>Comıng soon #TurkishArmy</t>
  </si>
  <si>
    <t>Tarih = Halil inalcık = Osmanlı</t>
  </si>
  <si>
    <t>mustafa akçınar</t>
  </si>
  <si>
    <t>YÜCE RABBİM ayağınıza taş değdirmesin. müslümanların kardeş olduğunu unutmadan ALLAH yolunda her daim gaza edebilmeyi nasip eylesin.yaşanacak tek bir hayat var! bu uğurda ölmek varsa ne mutlu bize. #TurkishArmy</t>
  </si>
  <si>
    <t>turkiye yalova</t>
  </si>
  <si>
    <t>Ysrsrl⚡</t>
  </si>
  <si>
    <t>Yol ver Türk'ün bayrağına #TurkishArmy</t>
  </si>
  <si>
    <t>https://pbs.twimg.com/media/EGbm7mKWkAAzfqq.jpg</t>
  </si>
  <si>
    <t>https://pbs.twimg.com/media/EGbm30wXoAA6t8j.jpg</t>
  </si>
  <si>
    <t>🇹🇷 Özgürlük dost olanın gülüşüdür Harita Teknikeri</t>
  </si>
  <si>
    <t>Emir 🇹🇷</t>
  </si>
  <si>
    <t>https://pbs.twimg.com/media/EGbm2rTW4AA07ub.jpg</t>
  </si>
  <si>
    <t>Belin Karataş</t>
  </si>
  <si>
    <t>Oku kitabını bugün sana hesap sorucu olarak kendi nefsin yeter İsra 14.ayet  #TurkishArmy</t>
  </si>
  <si>
    <t>https://pbs.twimg.com/media/D8chv3JWwAULBGx.jpg</t>
  </si>
  <si>
    <t>Kilis, Türkiye</t>
  </si>
  <si>
    <t>Kadın her şeyden evvel kendisini gizlemeği bilmelidir</t>
  </si>
  <si>
    <t>Murad Allahverdiyev</t>
  </si>
  <si>
    <t>Daha karizması yok #TurkishArmy</t>
  </si>
  <si>
    <t>https://pbs.twimg.com/media/EGbm0IuX0AAOnvE.jpg</t>
  </si>
  <si>
    <t>kovancilarajans</t>
  </si>
  <si>
    <t>Kovancılar bir gencini daha kaybetti Pazar günü Şenova köyü durağında trafik kazası sonucu ağır yaralanan Ahmet İnce Bugün itibarıyla hayat mücadelesini kaybetti. Taziye Şenova köyündedir Allah rahmet eylesin #TurkishArmy</t>
  </si>
  <si>
    <t>https://pbs.twimg.com/media/EGbm0DpWwAM2yIH.jpg</t>
  </si>
  <si>
    <t>Kovancılar, Elazığ</t>
  </si>
  <si>
    <t>Kovancılar ilçesinin Yerel Medyası</t>
  </si>
  <si>
    <t>KADİRİZM ...</t>
  </si>
  <si>
    <t>Ya Türk' e yâr olacaksınız! Ya da Türk' e yâren olacaksınız! #TurkishArmy</t>
  </si>
  <si>
    <t>https://pbs.twimg.com/media/EGbm0GVWwAATYJX.jpg</t>
  </si>
  <si>
    <t>Tanrı Dağı kadar Türk, Hîra Dağı kadar Müslüman. Kızdımı dünyaya yakarca bakan, Sevdimi içinde fırtınalar kopan, Bir garip #AnadoluÇocuğu ....</t>
  </si>
  <si>
    <t>Kbra2017</t>
  </si>
  <si>
    <t>https://pbs.twimg.com/media/EGbmzrHXoAEXx9N.jpg</t>
  </si>
  <si>
    <t>tarık yasar</t>
  </si>
  <si>
    <t>#TurkishArmy selahattin demirtaş haber salına TÜRKİYE fıratın ne doğusu ne batısı suriyenin kuzeyini tamamen eline alıyor. ÖKÜZ TREN misali içerden KE - MAL MAL BAKSIN</t>
  </si>
  <si>
    <t>Germay, France</t>
  </si>
  <si>
    <t>MÜŞTAK BABA</t>
  </si>
  <si>
    <t>@TC_SS1907♠️🖋</t>
  </si>
  <si>
    <t>Atatürk’ün izinde Şanlı Mehmetçiğimize selam olsun Operasyonlarında umarım birinin bile burnu kanamaz.🙏 Türk olmak zordur dünyayla savaşırsın Ama Türk olmamak daha zordur çünkü Türk’le savaşırsın #TurkishArmy</t>
  </si>
  <si>
    <t>34,5</t>
  </si>
  <si>
    <t>@surelss1907 askıda bu hesapla devam #MustafaKemalAtatürk #türk🐺 #fenerbahçe💛💙 #party evet parti hayır 1283❤️ SI VIS PACEM PARA BELLUM🛸🥃🍻🚗✈️⚓️🎸🎼🎰👯‍♀️</t>
  </si>
  <si>
    <t>Güvenç 🇹🇷</t>
  </si>
  <si>
    <t>Allah'a emanet olun #TurkishArmy</t>
  </si>
  <si>
    <t>https://pbs.twimg.com/media/EGbmypCWoAMzjYO.jpg</t>
  </si>
  <si>
    <t>MUSTAFA KEMAL ATATÜRK | Birgün Değil Hergün BeŞiKtAş | Sadece #Beşiktaş🇹🇷 🦅🦅</t>
  </si>
  <si>
    <t>🇹🇷TUĞRUL AKSOY🇹🇷</t>
  </si>
  <si>
    <t>#TurkishArmy Günlerini tutsak olarak geçirmektense özgürlük için savaşırken ölmek daha iyidir. Bob Marley Savaşan kaybedebilir, savaşmayan ise çoktan kaybetmiştir. Bertolt Brecht</t>
  </si>
  <si>
    <t>🦅🇹🇷ϜϓſϞ🦅🇹🇷вєşiктαş ¹9º³🦅🇹🇷ODTÜ🦅🇹🇷ULUDAĞ🦅🇹🇷LAİK🦅🇹🇷MİLLİYETÇİ🦅🇹🇷DEMOKRAT🦅🇹🇷FENA HALDE EVLİ🦅🇹🇷KIZ BABASI🦅🇹🇷</t>
  </si>
  <si>
    <t>https://www.youtube.com/playlist?list=PLYWQ5A94953bbWezi-0tAMoyZGc1O68Ux&amp;di</t>
  </si>
  <si>
    <t>Mert Aydin</t>
  </si>
  <si>
    <t>Ziraat bankası ambleminin buğday tanesi olduğunu öğrendigimden beri uyuamıyorum #TurkishArmy</t>
  </si>
  <si>
    <t>Şükran Yenigün</t>
  </si>
  <si>
    <t>"Kendisi Nerede?"  #TurkishArmy</t>
  </si>
  <si>
    <t>https://pbs.twimg.com/media/D5bbaA8XsAEe1D4.jpg</t>
  </si>
  <si>
    <t>Yılların ilerlemesine yabancı kalmak, düşmeye doğru eğilmektir. -Teyfik Fikret</t>
  </si>
  <si>
    <t>by tek</t>
  </si>
  <si>
    <t>sozde egitim verdiginiz ibnelere adamlik dersi vermeye geliyoruz #TurkishArmy</t>
  </si>
  <si>
    <t>....</t>
  </si>
  <si>
    <t>White man</t>
  </si>
  <si>
    <t>Allah c.c. yardımcınız olsun kılıcınız keskin olsun Muhammed'in ordusu #TurkishArmy</t>
  </si>
  <si>
    <t>volkan gürtürk⚡️</t>
  </si>
  <si>
    <t>Kürt’ü Türk’ü ne Çerkez’i Hep Ademin oğlu kızı Beraberce şehit gazi Yanlış var mı ve neresi Küffara Karşı Zalime Karşı Siyonizme karşı Dim dik Mehmedim Vur Allah Ve Rasulünün Aşkına Vur. #TurkishArmy</t>
  </si>
  <si>
    <t>https://pbs.twimg.com/media/EGbmozpXkAArywo.jpg</t>
  </si>
  <si>
    <t>Kütahya Dumlupınar Üniversitesi . Marmara Üniversitesi Uluslararası İlişkiler</t>
  </si>
  <si>
    <t>http://www.facebook.com/volkan.gurturk.1</t>
  </si>
  <si>
    <t>Blackeagle</t>
  </si>
  <si>
    <t>Hedef Kızılelma #TurkishArmy...Rabbim sizlerle</t>
  </si>
  <si>
    <t>Asalet</t>
  </si>
  <si>
    <t>Uğurcan Kaşıkçı #DEVLETÇİ 👊🏻♥️🇹🇷</t>
  </si>
  <si>
    <t>"Biz Türküz oğul, bozkırın yağız savaşçılarıyız, kaybetmeden bulmak, haketmeden almak, savaşmadan ölmek yoktur bize" 🇹🇷 "We are Turks and sons, we are the warriors of the steppe, we find them without losing them, we deserve to get them, we don't die without war" 🇹🇷 #TurkishArmy</t>
  </si>
  <si>
    <t>Boynunu kıldan ince eğleyesin #DEVLET karşısında.!! Çünkü devlet senin anandır, babandır..🇹🇷♥️</t>
  </si>
  <si>
    <t>https://www.youtube.com/watch?v=EFfCbChS9bc</t>
  </si>
  <si>
    <t>Berat Mehmet</t>
  </si>
  <si>
    <t>Ordumuz yüz yıllardır savaşır, ölür dirilir yine savaşır, ama bazı içimizdeki kansızlar da böyle pankart yaptırıp asar! Bizim tinlerimiz sizlerle, ayağınıza taş değmesin #TurkishArmy</t>
  </si>
  <si>
    <t>https://pbs.twimg.com/media/EGbmnA1XUAE20Vg.jpg</t>
  </si>
  <si>
    <t>Bir garip Ankaragüçlü #Ankaragücü #AnadoluEfes 1) Öfkeliyken cevap verme. 2) Üzgünken karar verme. 3) Mutluyken söz verme</t>
  </si>
  <si>
    <t>Adem Sağlık</t>
  </si>
  <si>
    <t>Kapımıza dayanıyorsa zulüm, Başka yol yok ya istiklal ya ölüm #TurkishArmy</t>
  </si>
  <si>
    <t>https://pbs.twimg.com/media/EGbmlkDW4AEKgqr.jpg</t>
  </si>
  <si>
    <t>Hazine ve Maliye Bakanlığı</t>
  </si>
  <si>
    <t>Uğurcan Cengiz</t>
  </si>
  <si>
    <t>Allah'ın indirdiği ile HÜKMETMEZSE Allah onları biribirine düşürür! Hz. Muhammed - (S.a.v) #TurkishArmy</t>
  </si>
  <si>
    <t>https://pbs.twimg.com/media/D2KwefFXcAAxl8v.jpg</t>
  </si>
  <si>
    <t>Cezalandırma gücün olduğu zaman affet ki, affın değeri olsun.</t>
  </si>
  <si>
    <t>Fatih Tanış ⚡🇹🇷⚡</t>
  </si>
  <si>
    <t>#SavaşaHayır Diyenler Gibi ABD'nin Kuklası Arap Birliği de Açıklama Yaptı Türkiye'nin Suriye Kuzeyine Düzenleyeceği Harekatı Reddediyoruz Yani ABD Rusya Diğr Ülkeler Suriye'ye Girebilir Türkiye Asla En Şerefli En Saygın Ordu #TurkishArmy #TürkMilletiOrdudununYanında #BarışPınarı</t>
  </si>
  <si>
    <t>https://pbs.twimg.com/media/EGbmht2XUAAph3x.jpg</t>
  </si>
  <si>
    <t>Eğer Kanım İle Yükselecekse Hz.Muhammed (SAV)'in Dini Durmayın Kılıçlar Doğrayın Beni 🇹🇷🇹🇷🇹🇷 Instagram/ @f.tanis58 @fthtns58 @fthtns79 Evlâd-ı Fatih'an</t>
  </si>
  <si>
    <t>Türk</t>
  </si>
  <si>
    <t>#TurkishArmy Forces Ne mutlu Türk'üm diyene</t>
  </si>
  <si>
    <t>pic.twitter.com/h5A6G6WnF4</t>
  </si>
  <si>
    <t>Partisiz</t>
  </si>
  <si>
    <t>🇹🇷~KaLeNDeR~🇹🇷</t>
  </si>
  <si>
    <t>FIRTINALAR DURSUN YANA YOL VER TÜRKÜN BAYRAĞINA #TurkishArmy</t>
  </si>
  <si>
    <t>Siverek, Türkiye</t>
  </si>
  <si>
    <t>Retweetler onaylıyorum anlamına gelmez. Argo sözler olabilir. Takibi ona göre yapalım :)</t>
  </si>
  <si>
    <t>ALEX</t>
  </si>
  <si>
    <t>ALLAH TEKTİR ORDUSU TÜRKTÜR #TurkishArmy</t>
  </si>
  <si>
    <t>fenerli</t>
  </si>
  <si>
    <t>cesur</t>
  </si>
  <si>
    <t>Tüm TAĞUT'lara HASBUNALLAH Tüm ZALİM'lere HASBUNALLAH #EBUHANZALAHOCASUCSUZDUR #EBUHANZALAHOCAYAÖZGÜRLÜK #TurkishArmy</t>
  </si>
  <si>
    <t>https://pbs.twimg.com/media/EGbmbzjW4AEEew7.jpg</t>
  </si>
  <si>
    <t>Mazlumun zalimden öcünü alacağı gün, şüphesiz zalimin zulmettiği günden daha çetin olacaktır.</t>
  </si>
  <si>
    <t>Mustafanın dişleri</t>
  </si>
  <si>
    <t>Bir an btsciler açtı sandım tag i #TurkishArmy</t>
  </si>
  <si>
    <t>Bu devasa iddiasızlığın bana verdiği özgürlüğün hastasıyım</t>
  </si>
  <si>
    <t>Didem Sever</t>
  </si>
  <si>
    <t>Bu mevcut düzende kendilerini Muhafazakar olarak tanımlayanlar ne demek istemiş oluyor? Neyi muhafaza ediyorlar? Laik Demokrat sistemi mi? Müslümanların bu ortamda muhalif olması gerekmiyormu? #TurkishArmy</t>
  </si>
  <si>
    <t>Bingöl, Türkiye</t>
  </si>
  <si>
    <t>Çok üzüldüğümde artık sadece “ben alışkınım” diyebiliyorum.</t>
  </si>
  <si>
    <t>AtillaKAPLAN</t>
  </si>
  <si>
    <t>Dış politika hakkında kelam etmek istiyorsanız, önce dilinizin kontrolünü sağlayacaksınız. Siyaset bilimci havalarıyla lafa başlamadan önce kelimelerinizi aklın süzgecinden geçireceksiniz. Söz konusu hudutlarımız ise Kuzey Suriye değil Suriye’nin kuzeyi diyeceksiniz! #TurkishArmy</t>
  </si>
  <si>
    <t>“Korkmadımız, süngüşdümüz”</t>
  </si>
  <si>
    <t>http://instagram.com/atillakaplann</t>
  </si>
  <si>
    <t>Levent-ayaz🇹🇷</t>
  </si>
  <si>
    <t>Surda bir gedik açtık mukaddes mi mukaddes NFK Allah cc müslüman Türk ordusunu korusun amin #TurkishArmy</t>
  </si>
  <si>
    <t>Esenyurt, İstanbul</t>
  </si>
  <si>
    <t>müslüman Türk (rte) İphone servic (takip edeni takip ederim)Dadaş❗️( Bir sabah gelecek kardan aydınlık )(kızılelma )(imparatorluk çocuklarıyız )(Ahıska türkü)</t>
  </si>
  <si>
    <t>Mustafa Okuyucu🇹🇷</t>
  </si>
  <si>
    <t>Üstümüzden eksilmesin al bayrağın gölgesi.Rabbim ayağınıza taş değdirmesin.Mazluma umut,zalime korku verensiniz.Bu milletin her daim dualarındasınız yiğitler. 🇹🇷🇹🇷 #TurkishArmy</t>
  </si>
  <si>
    <t>https://pbs.twimg.com/media/EGbmY2_XUAAOPd_.jpg</t>
  </si>
  <si>
    <t>Hatay Gençlik ve Spor İl Müdürlüğünde Şube Müdürü Başarmak için;oku,düşün,uygula,neticelendir.</t>
  </si>
  <si>
    <t>yazbee🐝🇹🇷</t>
  </si>
  <si>
    <t>Biz! bizim olanı almaya gidiyoruz... Yeryüzü bizim Suriye bizim..!! Vakit Allah’ın adaletini tüm cihana yayma vaktidir.. #TurkishArmy</t>
  </si>
  <si>
    <t>http://yazbee.com</t>
  </si>
  <si>
    <t>Comolli</t>
  </si>
  <si>
    <t>Gelinlikleriniz hazır #TurkishArmy</t>
  </si>
  <si>
    <t>https://pbs.twimg.com/media/EGbmXllWwAAan9n.jpg</t>
  </si>
  <si>
    <t>Ayşegül Özcan</t>
  </si>
  <si>
    <t>Arkadaş! Yurduma alçakları uğratma sakın; Siper et gövdeni, dursun bu hayasızca akın. Doğacaktır sana va'dettiği günler Hakk'ın... Kim bilir, belki yarın, belki yarından da yakın. #turkmilletiordusununyaninda #TurkishArmy</t>
  </si>
  <si>
    <t>Cause i'm only a crack in this castle of glass. Insta----aysegullozcn</t>
  </si>
  <si>
    <t>Bayram Mançılar</t>
  </si>
  <si>
    <t>Allah yar ve yardımcınız olsun.#TurkishArmy</t>
  </si>
  <si>
    <t>Duysun duysun ibneler FENERBAHÇE YIKILMAZ!</t>
  </si>
  <si>
    <t>turkoglu turk</t>
  </si>
  <si>
    <t>geliyor #TurkishArmy</t>
  </si>
  <si>
    <t>https://pbs.twimg.com/media/EGbmTstXkAEyuWL.jpg</t>
  </si>
  <si>
    <t>VatanSever 🇹🇷</t>
  </si>
  <si>
    <t>pkk terör örgütü Kürtlerin temsilcisi değildir,Kürt benim kardeşimdir. Muhsin Yazıcıoğlu 🇹🇷 #TurkishArmy</t>
  </si>
  <si>
    <t>pic.twitter.com/Pyb07KfxgK</t>
  </si>
  <si>
    <t>Ömer UÇKAN 🇹🇷</t>
  </si>
  <si>
    <t>#TurkishArmy RT @fatihtezcan: RT Herkes bilsin ve bilmeyenlere duyursun: İşte ben bu çarpık kafa yapısını ve gizli ajandalarını tespit ettiğim için Mustafa İslamoğlu’nu 9 sene önce takipten çıktım. Bu ülkede Kripto-FETÖ’cülük olduğu gibi Kripto-İrancılık ve Kripto-Etnikçilik de var. Allah hidayet etsin.</t>
  </si>
  <si>
    <t>https://twitter.com/fatihtezcan/status/1181882899240497152
https://twitter.com/mustafaislamogl/status/1181666154689044480</t>
  </si>
  <si>
    <t>karadeniz,mah,İstanbul Türkiye</t>
  </si>
  <si>
    <t>Göklerden gelen bir karar vardır !</t>
  </si>
  <si>
    <t>Ergin Fındık</t>
  </si>
  <si>
    <t>müminlerden İntikam almalarının sebebi aziz ve Hamit olan Allah’a iman etmelerinden başka bir şey için değildi Buruc suresi 8 ve 9. Ayet #TurkishArmy</t>
  </si>
  <si>
    <t>https://pbs.twimg.com/media/D5vwG4IWAAAkvW_.jpg</t>
  </si>
  <si>
    <t>"Life is inherently risky. There is only one big risk you should avoid at all costs, and that is the risk of doing nothing." -Denis Waitley</t>
  </si>
  <si>
    <t>İbrahim Serdar</t>
  </si>
  <si>
    <t>https://youtu.be/QIxH3HeRDEY</t>
  </si>
  <si>
    <t>NE MUTLU MÜSLÜMANIM DİYENE...!</t>
  </si>
  <si>
    <t>Ahmet ÖZGER</t>
  </si>
  <si>
    <t>Kaçın kaçmazsanız köpekten beter gebereceksiniz..yada kaçmayın da görelim kaç kuruşluk canınız var #TurkishArmy hemde göstere göstere geliyor Eline yularınızı verdiğiniz sahipleriniz kurtaramayacak sizi</t>
  </si>
  <si>
    <t>ÇANLAR SUSTU ve FAKAT BİNLERCE YILIN YABANCISI BİR SESS DEĞDİ MİNARELERE. tanrı uludur,tanrı uludur.</t>
  </si>
  <si>
    <t>HAKAN KALYONCU</t>
  </si>
  <si>
    <t>Allah yardımcımız olsun #TurkishArmy</t>
  </si>
  <si>
    <t>TEKİRDAĞ/ÇORLU</t>
  </si>
  <si>
    <t>https://www.facebook.com/hkalyoncu91</t>
  </si>
  <si>
    <t>nazike k.</t>
  </si>
  <si>
    <t>Mete Yiğithan</t>
  </si>
  <si>
    <t>Savaşa karşılarmış,bizde yedik! #TurkishArmy</t>
  </si>
  <si>
    <t>https://pbs.twimg.com/media/EGbmP6AXkAA84Ho.jpg</t>
  </si>
  <si>
    <t>💙BB ERZURUMSPOR 💙</t>
  </si>
  <si>
    <t>İnsanların huzura ermesi icin teroristlerden temizlenmesi icin kim var biz variz Çünkü biz Türküz ,osmanli torunuyuz #TurkishArmy</t>
  </si>
  <si>
    <t>#ERZURUMSEVDAMIZ #FUTBOLYORUMCUSU</t>
  </si>
  <si>
    <t>UTLU</t>
  </si>
  <si>
    <t>Sabredin geliyoruz. #TurkishArmy</t>
  </si>
  <si>
    <t>https://pbs.twimg.com/media/EGbmOYJXUAA9VKD.jpg</t>
  </si>
  <si>
    <t>Ak Parti Pamukkale Gençlik Kolları</t>
  </si>
  <si>
    <t>Ahmet⚡️</t>
  </si>
  <si>
    <t>Çocukların korkmadığı tek ordu 🇹🇷🇹🇷🇹🇷 #TurkishArmy #BarışPınarı</t>
  </si>
  <si>
    <t>https://pbs.twimg.com/media/EGbmNafXYAcykcp.jpg</t>
  </si>
  <si>
    <t>Aydın KOÇAK</t>
  </si>
  <si>
    <t>@jiir_depp @HDPgenelmerkezi Bir zamanlar Selattin diyordu ki "PKK fıratı geçecek sizde mal mal izleyeceksiniz". Şimdide biz diyoruz " Türk ordusu fıratı geçecek sizde MAL MAL İZLEYECEKSİNİZ #TurkishArmy</t>
  </si>
  <si>
    <t>AB (Rh) + ♋️</t>
  </si>
  <si>
    <t>http://instagram.com/aydinkocak</t>
  </si>
  <si>
    <t>Dilaver</t>
  </si>
  <si>
    <t>#TurkishArmy Lâ Galibe İllâllah Ben ezelden beridir hür yaşadım, hür yaşarım. Hangi çılgın bana zincir vuracakmış? Şaşarım! Kükremiş sel gibiyim: Bendimi çiğner, aşarım; Yırtarım dağları, enginlere sığmam taşarım.</t>
  </si>
  <si>
    <t>https://pbs.twimg.com/media/EGbmLICX0AEP_--.jpg</t>
  </si>
  <si>
    <t>Melih</t>
  </si>
  <si>
    <t>"Ne Mutlu Türküm Diyene!" -Mustafa Kemal Atatürk , İKÜ🇹🇷</t>
  </si>
  <si>
    <t>Serdar Kaplan</t>
  </si>
  <si>
    <t>Savunma Bakanımız Hulusi Akar’ın hesabı Twitter tarafından askıya alınmış. Bizde diyoruz ki “Korkmayın Türkler merhametlidir.” #TurkishArmy</t>
  </si>
  <si>
    <t>https://pbs.twimg.com/media/EGbmJjQXYAEyYo7.jpg</t>
  </si>
  <si>
    <t>SAA Arzu - Alperen &amp; Malatyaspor Tribün Lideri</t>
  </si>
  <si>
    <t>http://malatyasportif.com/</t>
  </si>
  <si>
    <t>Ali ✨</t>
  </si>
  <si>
    <t>Donald Trump mısın nesin, #KendineGelPezeberk #çarşamba #TurkishArmy #CheGuevara</t>
  </si>
  <si>
    <t>✨</t>
  </si>
  <si>
    <t>🇹🇷''En Büyük Savaş, Cahilliğe Karşı Yapılan Savaştır'' M.K.Atatürk /🧐Felsefe, Bilim, Edebiyat, Sanat, Doğa, Siyaset. Kendi çapında okur, kendi çapında yazar.</t>
  </si>
  <si>
    <t>Mustafa Erken</t>
  </si>
  <si>
    <t>Geliyor Gelmekte Olan #TurkishArmy 💪 Hevalsavar Sinemalarda.. 🎬😂 😂</t>
  </si>
  <si>
    <t>pic.twitter.com/c16kXEDk7x</t>
  </si>
  <si>
    <t>AK Parti Esenler Gençlik Kolları | Tanıtım ve Medya Komisyonu.</t>
  </si>
  <si>
    <t>Üner Gökçeimam</t>
  </si>
  <si>
    <t>Peygamber (sav) şöyle buyurdu:“Kıyamet gününde mü’min kulun terazisinde güzel ahlâktan daha ağır bir şey bulunmaz. Allah Teâlâ çirkin hareketler yapan, çirkin sözler söyleyen kimseden nefret eder” #TurkishArmy</t>
  </si>
  <si>
    <t>Doğdu, sevinçten ağladılar. Öldü, acıdan ağladılar. O, bu arada yaşadı, hiç düşünmediler. -Özdemir Asaf</t>
  </si>
  <si>
    <t>Melisa</t>
  </si>
  <si>
    <t>Takip etmeyin aq dönmüyorum geri fake hesabım</t>
  </si>
  <si>
    <t>mehmetozdemir</t>
  </si>
  <si>
    <t>https://pbs.twimg.com/media/EGbmF9bXUAAsmg2.jpg</t>
  </si>
  <si>
    <t>sezai</t>
  </si>
  <si>
    <t>Aşımızın son kaşığına,Kanımızın son damlasına kadar #TurkishArmy arkasındayız.</t>
  </si>
  <si>
    <t>Tuzla, İstanbul</t>
  </si>
  <si>
    <t>bu kısıma bişey yazmak zorundamıyız.</t>
  </si>
  <si>
    <t>Ali_yaşın.1905</t>
  </si>
  <si>
    <t>https://pbs.twimg.com/media/EGbmFBaXUAEeJOO.jpg</t>
  </si>
  <si>
    <t>Rahmân ve Rahîm olan Allah´ın adıyla... Onlar tuzak kurdular. Allah da tuzak kurdu. Allah tuzak kuranların en hayırlısıdır. [Âl-i İmrân Sûresi, 54]</t>
  </si>
  <si>
    <t>Tespitolog</t>
  </si>
  <si>
    <t>Allah yardımcınız olsun aslanlar. #TurkishArmy</t>
  </si>
  <si>
    <t>Göktürk İstanbul</t>
  </si>
  <si>
    <t>tespitolog@hotmail.com</t>
  </si>
  <si>
    <t>http://instagram.com/tespitolog_</t>
  </si>
  <si>
    <t>Kadriye Ünlüer Özer</t>
  </si>
  <si>
    <t>Allah Türk ordusunun Yar ve Yardımcısı olsun. Allah sizleri korusun yiğitlerim. #TurkishArmy</t>
  </si>
  <si>
    <t>Born in Eminlik, Raised in Rotterdam married, 3 children👦👧👨1 grandchild👶love to read📖crazy of silver rings, love to eat international food</t>
  </si>
  <si>
    <t>EYYÜP GÜVEN</t>
  </si>
  <si>
    <t>https://pbs.twimg.com/media/EGbmBbuX0AEicNR.jpg</t>
  </si>
  <si>
    <t xml:space="preserve">Bodrum, Muğla (🏘Ceylanpınar) </t>
  </si>
  <si>
    <t>❤MUSTAFA KEMAL ATATÜRK💓 𝑀𝓊𝓈𝓉𝒶𝒻𝒶 𝒦𝑒𝓂𝒶𝓁 𝒜𝓉𝒶𝓉𝓊̈𝓇𝓀</t>
  </si>
  <si>
    <t>http://instagram.com/eyyupguven</t>
  </si>
  <si>
    <t>kaya  awadore</t>
  </si>
  <si>
    <t>#TurkishArmy fratın doğusunu brakın asıl akdenizin doğusuna bakın yüz yıllık çocuklarımızın nafakalarını aralarnda bölüştryorlar cahiller.</t>
  </si>
  <si>
    <t>İstanbul da yşıyor</t>
  </si>
  <si>
    <t>Fatih Canruh</t>
  </si>
  <si>
    <t>Devlet her zaman 18 yaşındadır, herkesten uzun boylu ve kalıplıdır. #TurkishArmy</t>
  </si>
  <si>
    <t>Sefir Zarkociyan</t>
  </si>
  <si>
    <t>Eskişehir 1. Ana Jet Üs Komutanlığı’nda hareketlilik var. #TurkishArmy #BarisPinariHarekati</t>
  </si>
  <si>
    <t>Sultan Abdulhamid Han’ın sefiri.</t>
  </si>
  <si>
    <t>Hülyyyyyy</t>
  </si>
  <si>
    <t>#TurkishArmy🐺🐺🦅🦅</t>
  </si>
  <si>
    <t>#Fenerbahçe💛💙🌿</t>
  </si>
  <si>
    <t>KıvırcıkBoss</t>
  </si>
  <si>
    <t>#TurkishArmy ALLAH ZEVAL VERMESİN SIKTIĞINIZ HEADSHOT OLSUN ISKA GEÇEN HER MERMİ ÜLKEMİ BÖLMEK İSTEYENLERİN ANASININ AMINA ARMAĞAN OLSUN...</t>
  </si>
  <si>
    <t>When they were all my clones, how could they be angry with me. http://twitch.tv/YasinSBoss http://discord.gg/HPvzduX</t>
  </si>
  <si>
    <t>http://instagram.com/iamyasintek</t>
  </si>
  <si>
    <t>AyaSofya 🕊</t>
  </si>
  <si>
    <t>An itibariyle : Diyarbakır 8. Ana Jet Üs Komutanlığı'na savaş uçağı takviyesi başladı. Her an uçuş alarmı verelebilir. Peki ama Biz şimdi CHPyi mi vuruyoruz.. ki keMAL in içi YANIYOR.. #TurkishArmy</t>
  </si>
  <si>
    <t>https://pbs.twimg.com/media/EGbl-gFXYAAmKCB.jpg</t>
  </si>
  <si>
    <t>Madem Ölüm Tek Bir Defa Gelecek... O da Neden ALLAH İçin Olmasın.... @ASofys Fenerbahçeli</t>
  </si>
  <si>
    <t>Korcan Eşme</t>
  </si>
  <si>
    <t>pic.twitter.com/78xnL0Puyo</t>
  </si>
  <si>
    <t>Bartın, Türkiye</t>
  </si>
  <si>
    <t>İzmir Demokrasi Üniversitesi</t>
  </si>
  <si>
    <t>fd.ÖzTürk</t>
  </si>
  <si>
    <t>Fırtınalar dursun yana Yol ver Türk’ün bayrağına 🇹🇷 #TurkishArmy</t>
  </si>
  <si>
    <t>https://pbs.twimg.com/media/EGbl7u9WoAI7-XR.jpg</t>
  </si>
  <si>
    <t>🇹🇷𐱅𐰇𐰼𐰚🇹🇷</t>
  </si>
  <si>
    <t>Esma Kaya</t>
  </si>
  <si>
    <t>Bu küçük masumlar için direneceğiz. Bu kararlılıkla direneceğiz. Allah yardımcınız olsun. #TurkishArmy</t>
  </si>
  <si>
    <t>pic.twitter.com/evwlt1FUDY</t>
  </si>
  <si>
    <t>@galatasaraysk | İnşaat mühendisi adayı | Savaş ölünce değil düşmana benzeyince kaybedilir. - Aliya İzzetbegoviç -</t>
  </si>
  <si>
    <t>Emre ERYILMAZ</t>
  </si>
  <si>
    <t>Aysun Güngör</t>
  </si>
  <si>
    <t>Hadi yiğitlerim sonuna kadar arkanızdayız #TurkishArmy</t>
  </si>
  <si>
    <t>Merfar</t>
  </si>
  <si>
    <t>#TurkishArmy ordusu olan bir miiet deyi, Milleti olan bir ordudur #TurkishArmy</t>
  </si>
  <si>
    <t>#TurkishArmy NE MUTLU TÜRK'ÜM DİYENE gazamız mubarek ola.. Yakında biryerlerde birşeyler kök salıyor biliyorum gelecek dönence...</t>
  </si>
  <si>
    <t>Malatya Merkez, Malatya</t>
  </si>
  <si>
    <t>İnsan işte</t>
  </si>
  <si>
    <t>Mantar Hesap</t>
  </si>
  <si>
    <t>We will fuck Them. Forever #TurkishArmy</t>
  </si>
  <si>
    <t>P.h.D / Lecturer/ Guitarist/</t>
  </si>
  <si>
    <t>T.C SELAHATTİN #HerŞeyÇokGüzelOldu</t>
  </si>
  <si>
    <t>Suriye konusunda Fetö'yü kollamayan,YPG-PKK ve IŞİD ile savaşan Esad ile görüşmek mi,Fetö'yü kollayan ve YPG-PKK'ye silah yardımı yapan #Trump ile mi görüşmek mi ülkemiz yararınadır? #çarşamba #Uzmanıyım #TurkishArmy</t>
  </si>
  <si>
    <t>Eğitimci-Tam Bağımsız TÜRKİYE</t>
  </si>
  <si>
    <t>Ayça</t>
  </si>
  <si>
    <t>pic.twitter.com/C4DgvRs1x5</t>
  </si>
  <si>
    <t>bEyİn / bEdAvA / 19💕3 /</t>
  </si>
  <si>
    <t>İngiliz artığı israil güdümlü #abd ve trump bunları söyleye dursun, Biz Kürtlerle savasmiyoruz. Biz Eski Rusya şimdi İsrail ve Amerika güdümündeki Ermeni artığı pkk pyd iTlerini agababalariyla birlikte Had bildirmeye gidiyoruz. Bölge halkina UMUT HUZUR ÖZGÜRLÜĞÜ için #TurkishArmy</t>
  </si>
  <si>
    <t>pic.twitter.com/meSDHWmGIV</t>
  </si>
  <si>
    <t>#AtaTürk💕 #TC /EgEli/ #BeşiktAşk💕 #EyT Muhasebeci💻 Üzgünüm😞Takip🐾 Etmiyorsanız Baybay👣 Gözlemle, Dinle, Sus, Az Yargila, Çok Sor.!</t>
  </si>
  <si>
    <t>Medya Adamı SD</t>
  </si>
  <si>
    <t>https://pbs.twimg.com/media/EGblxitXkAAwZ2S.jpg</t>
  </si>
  <si>
    <t>Araştırmacı Gazeteci</t>
  </si>
  <si>
    <t>Doğan BiÇER</t>
  </si>
  <si>
    <t>https://pbs.twimg.com/media/EGbl1BUXYAEUu0D.jpg</t>
  </si>
  <si>
    <t>İYİ PARTİ Tuzla Kurucu İlçe Başkan V. |İYİ PARTİ Pendik Belediye Meclis Üyesi A.| Doğan Biçer Emlak Ofisleri Broker|TÜRK KIZILAYI Tuzla Yön Kur.Üyesi #BJK #URFA</t>
  </si>
  <si>
    <t>Burak #Zeljko</t>
  </si>
  <si>
    <t>MacLaren's Pub</t>
  </si>
  <si>
    <t>04.10.2019 FENERBAHÇE HEM EUROLEAGUE'DE HEM STSL'DE ŞAMPIYON OLACAK -SIR BGRBZ</t>
  </si>
  <si>
    <t>istanbullu</t>
  </si>
  <si>
    <t>Ey şanlı ordu, ey şanlı asker, ordumuz olsun daima muzaffer. #TurkishArmy</t>
  </si>
  <si>
    <t>Türkiye cumhuriyeti sevdalısı. Hayvan ve bitki sever. Şehit ve yangın haberleri yüzünden kahrolan biri.</t>
  </si>
  <si>
    <t>Nfkeser</t>
  </si>
  <si>
    <t>Yurdunu Allah'a bırak çık yola; "Cenge!" Deyip çek ki vatan kurtula. Böyle müyesser mi gaza her kula? Haydi levend asker,uğurlar ola. (Mehmet Akif Ersoy)🇹🇷 #TurkishArmy</t>
  </si>
  <si>
    <t>Rabbim korusun, muzaffer eylesin #TurkishArmy</t>
  </si>
  <si>
    <t>Pluto</t>
  </si>
  <si>
    <t>gizem GUNDOGDU</t>
  </si>
  <si>
    <t>🐺 #TurkishArmy</t>
  </si>
  <si>
    <t>dayanamadı valla artık anarko-sendikalist,,</t>
  </si>
  <si>
    <t>🇹🇷🇹🇷🇹🇷 Bıyıklızadepasha 🇹🇷🇹🇷🇹🇷</t>
  </si>
  <si>
    <t>Bizim Neslimiz Paşazade Dedemize dayanır. Takibe takip....</t>
  </si>
  <si>
    <t>Tugba</t>
  </si>
  <si>
    <t>"Korku nedir bilmeyiz...Ben Türk komandosuyum, düşmanı çelik pençemle ezerim; her yerde ben varım, havada, karada, denizde, çölde, çatakta ve batakta; Her zaman ve her yerde, hazır; daima hazır;" Allah komandoyu korusun." #TurkishMilitary #TurkishArmy #turkmilletiordusununyaninda</t>
  </si>
  <si>
    <t>be the change you wish to see ✨</t>
  </si>
  <si>
    <t>Mr.Soul</t>
  </si>
  <si>
    <t>#TurkishArmy The necessary lesson will be given to terrorists by Turkish Army . USA did it at Libya , USA did it at Aphganistan , and now we will do it .</t>
  </si>
  <si>
    <t>N37.00'.00'';E035.19'.00''</t>
  </si>
  <si>
    <t>a slave who loves freedom... a soul who is working to get rid of the sins...</t>
  </si>
  <si>
    <t>Gulhira</t>
  </si>
  <si>
    <t>Farkettinizmi Arkadaslar Imamoglundan Ses Cikmadi!Seni Baskan Yapan Hdp'li Terosristleremi Teslim Ettin Kendini Dersiniz? #TurkishArmy</t>
  </si>
  <si>
    <t>Oglak Burcu🙄🙄🙄 İTÜ</t>
  </si>
  <si>
    <t>MELİH ÖZCAN</t>
  </si>
  <si>
    <t>https://pbs.twimg.com/media/EGblscaWkAIT4AE.jpg</t>
  </si>
  <si>
    <t xml:space="preserve">trabzon / istanbul </t>
  </si>
  <si>
    <t>mimar yada mühendis değil . doktor hiç değil...</t>
  </si>
  <si>
    <t>Betül 💫</t>
  </si>
  <si>
    <t>#TurkishArmy Ah Atam ah.. Senin maskeni takıp seni anlamayan, bu vatana hainlik eden o kadar insan var ki. Sen rahat uyu, bu millet bu devleti emperyalist güçlere asla yedirmeyecek!</t>
  </si>
  <si>
    <t>https://pbs.twimg.com/media/EGblsPbXoAEyJdm.jpg</t>
  </si>
  <si>
    <t>https://pbs.twimg.com/media/EGblpyGW4AAJzCc.jpg</t>
  </si>
  <si>
    <t>Turhan Ersoy</t>
  </si>
  <si>
    <t>&lt; Allahım bizi düşmanlarımızın her türlü zararından, şerrinden, alayından, hasedinden, düşmanlığından, hilesinden, tuzağından koru.  #TurkishArmy</t>
  </si>
  <si>
    <t>https://pbs.twimg.com/media/Dflk-4xW0AEtj8H.jpg</t>
  </si>
  <si>
    <t>"Love isn't love until you give it away." -John H. MacDonald Jr.</t>
  </si>
  <si>
    <t>Emrah</t>
  </si>
  <si>
    <t>Bazıları hükümeti sevmedikleri için mi düşmanlr devlete,yoksa devleti sevmedikleri içinmi düşmanlar hükümete. Ebed Müddet Devlet #SavasaHayır #SavasaEvet #maçakızı8 #sağlık #barispinari #turkisharmy #kendinegelpezeberk #burasıbenimiçin #fikirsizdenuygulamasizden @uzunabdurrahman</t>
  </si>
  <si>
    <t>gonul1fidan</t>
  </si>
  <si>
    <t>#TurkishArmy Allah hepinizi, içinde benim eşimi de korusun. Ailelerinize kavuştursun❤️</t>
  </si>
  <si>
    <t>ibrahim Aktürk</t>
  </si>
  <si>
    <t>Hani O malum Sanatçı müsveddeleri vardı ya! Nerede onlar hiç sesleri çıkmıyor. Kediyi köpeği ağacı sevdikleri kadar Mehmetciği ve Türkiye'yi sevmiyorlar galiba. #TurkishArmy #BarışPınarı</t>
  </si>
  <si>
    <t>https://pbs.twimg.com/media/EGblhYhW4AEHkza.jpg</t>
  </si>
  <si>
    <t>😉</t>
  </si>
  <si>
    <t>Hasibe Korkut</t>
  </si>
  <si>
    <t>Twitter'da ki Herkes Alim Evliya İslam Tarihçisi Siyaset uzmani Analizci Psikolog Bilim adamı Sporcu yokmu sıradan bir vatandaş..? #TurkishArmy</t>
  </si>
  <si>
    <t>Yaşayan hiçbir şey kendi başına sadece kendisi için yaşamaz William Blake</t>
  </si>
  <si>
    <t>Hilal Yüksel</t>
  </si>
  <si>
    <t>https://pbs.twimg.com/media/EGble-MXoAE54WM.jpg</t>
  </si>
  <si>
    <t>Grü/Türkçe Öğretmeni 🇹🇷</t>
  </si>
  <si>
    <t>Abdurrahman Akbak</t>
  </si>
  <si>
    <t>#TurkishArmy 💪</t>
  </si>
  <si>
    <t>https://pbs.twimg.com/media/EGblaunXoAAZDVC.jpg</t>
  </si>
  <si>
    <t>Ilgaz, Çankırı</t>
  </si>
  <si>
    <t>Sıkıntı yoksa, Sıkıntı var..</t>
  </si>
  <si>
    <t>http://www.akbaktesisleri.com</t>
  </si>
  <si>
    <t>adil</t>
  </si>
  <si>
    <t>Tek bir tane siyasetcinin oğlu gitmeyecek bu savasa olan yine garibanlara olacak.. #TurkishArmy</t>
  </si>
  <si>
    <t>Aslanlar sahada 🇹🇷🇹🇷 Çakallar delik arayın #TurkishArmy</t>
  </si>
  <si>
    <t>https://pbs.twimg.com/media/EGblW9HW4AAyfPr.jpg</t>
  </si>
  <si>
    <t>Le ilahe illallah</t>
  </si>
  <si>
    <t>Ramazan FLC</t>
  </si>
  <si>
    <t>Yeni bir bölge kurarız ve herkes orada yerini alır ! #BarışPınarı #TurkishArmy</t>
  </si>
  <si>
    <t>Ne yapalım yani bu dünyanın gerçekleri varsa, bizim de hayallerimiz var. @Besiktas #EMU #DAÜ</t>
  </si>
  <si>
    <t>Cehennem olsa gelen,göğsümüzde söndürürüz,bu yol ki hak yoludur dönmek bilmez yürürüz #TurkishArmy</t>
  </si>
  <si>
    <t>kadriye___</t>
  </si>
  <si>
    <t>#TurkishMilitary #TurkishArmy 💪 RT @zekibahce: Her ota, ite, PKK destekçisi şerefsizlere, Fetö yandaşı alçaklara destek Twit atan bazı andavallar, 20 saat oldu Mehmetçik operasyonda iki cümle yazamadılar. Lafa geldi mi ben de vatanımı, askerimi seviyorum öyle mi ? geç lan martaval okuma. #TurkMilletiOrdusununYaninda</t>
  </si>
  <si>
    <t>https://twitter.com/zekibahce/status/1181577857111343104</t>
  </si>
  <si>
    <t>https://pbs.twimg.com/media/EGXOythW4AQqYSd.jpg</t>
  </si>
  <si>
    <t>VATANSEVER</t>
  </si>
  <si>
    <t>https://pbs.twimg.com/media/EGblTPZXkAA-UHQ.jpg</t>
  </si>
  <si>
    <t>Tolunay Cankurt</t>
  </si>
  <si>
    <t>Aslanlar. #TurkishArmy</t>
  </si>
  <si>
    <t>İlk öğretmenimiz Mus’ab Bin Umeyr r.a ne güzel söylemiş “Rızâ yolunda biraz cefâ gördük diye, Rahmân’a naz mı edeceğiz.” #TurkishArmy</t>
  </si>
  <si>
    <t>Murat Can ALTUNBAŞ</t>
  </si>
  <si>
    <t>Raporunu aldığım,yıllardır kullandığım ilacı a.s.m. den yazdırıp alamıyorum.NEDEN??? @drfahrettinkoca @saglikbakanligi #TurkishArmy</t>
  </si>
  <si>
    <t>http://instagram.com/themuratcan</t>
  </si>
  <si>
    <t>Memduh Başkan</t>
  </si>
  <si>
    <t>#TurkishArmy FİSTANLILAR HAZIRMISINIZ?</t>
  </si>
  <si>
    <t>https://pbs.twimg.com/media/EGblOuoWkAEjnLI.jpg</t>
  </si>
  <si>
    <t>ceren yedibela</t>
  </si>
  <si>
    <t>Rabbim korusun gözetsin sizleri... #TurkishArmy</t>
  </si>
  <si>
    <t>https://pbs.twimg.com/media/EGblMk-XoAElJpH.jpg</t>
  </si>
  <si>
    <t>kendime notlar.</t>
  </si>
  <si>
    <t>MURAT KABASAKAL</t>
  </si>
  <si>
    <t>Senin altında doğdum, Senin altında öleceğim.🇹🇷 #TürkMilletiOrdusununYanında #BarışPınarı #TurkishArmy #Turksilahlıkuvvetleri #YanlızKurt #Bozkurtlar #MHP</t>
  </si>
  <si>
    <t>https://pbs.twimg.com/media/EGblKORWwAEhqPg.jpg</t>
  </si>
  <si>
    <t>Türk Milliyetçisi</t>
  </si>
  <si>
    <t>btrksmt</t>
  </si>
  <si>
    <t>Çünkü Tarih bizi çağırıyor ... #TurkishArmy #BarışPınarıHarekatı</t>
  </si>
  <si>
    <t>https://pbs.twimg.com/media/EGblJCQXoAE1h1c.jpg</t>
  </si>
  <si>
    <t>gazi üniversitesi uluslararası ilişkiler mezunu</t>
  </si>
  <si>
    <t>Neslihan Yıldırım⚡</t>
  </si>
  <si>
    <t>Türkiye Türkiye'den daha büyüktür: Bir ufuktur,umuttur, mazlumların umudu.Mehmetçik, bu umudun tarih yapan sembolü.Allah ,Mehmetçiği korusun, önünü açsın,yardımını esirgemesin. #TurkishArmy</t>
  </si>
  <si>
    <t>https://pbs.twimg.com/media/EGblJJVX0AE-z4m.jpg</t>
  </si>
  <si>
    <t>R.T.E 🇹🇷 @Neslihan662⚡</t>
  </si>
  <si>
    <t>HilmiASLANER</t>
  </si>
  <si>
    <t>https://pbs.twimg.com/media/EGblH-TWsAA9SY-.jpg</t>
  </si>
  <si>
    <t>İnsan-Müslüman-Türk-Sevdamm Vatan</t>
  </si>
  <si>
    <t>Naz Keskin</t>
  </si>
  <si>
    <t>El-Müsavvir  #TurkishArmy</t>
  </si>
  <si>
    <t>https://pbs.twimg.com/media/Dsyyf9OXcAAl5qW.jpg</t>
  </si>
  <si>
    <t>"Two barrels of tears will not heal a bruise."</t>
  </si>
  <si>
    <t>Uğursuzum</t>
  </si>
  <si>
    <t>Üstümüzden eksilmesin al bayrağın gölgesi. 🇹🇷🇹🇷 #TurkishArmy</t>
  </si>
  <si>
    <t>https://pbs.twimg.com/media/EGblEPxWsAE9kMv.jpg</t>
  </si>
  <si>
    <t>Member Of The #picemiyeti</t>
  </si>
  <si>
    <t>https://www.instagram.com/u.krkyl/</t>
  </si>
  <si>
    <t>Fatih Yavuz</t>
  </si>
  <si>
    <t>Allah ordumuzu muzaffer eylesin. #TurkishArmy</t>
  </si>
  <si>
    <t>Cappadocia, Ürgüp - Balıkesir</t>
  </si>
  <si>
    <t>Aklım bir karış havada.</t>
  </si>
  <si>
    <t>dayko  🇹🇷</t>
  </si>
  <si>
    <t>Galiba savaşmayı seviyoruz millettece 🇹🇷#TurkishArmy</t>
  </si>
  <si>
    <t>Sabri Kaan Kiyicioglu</t>
  </si>
  <si>
    <t>Gazanız mübarek olsun kardeşlerim.. Allah yar ve yardımcınız olsun.. Dualarımız sizinle #TurkishArmy</t>
  </si>
  <si>
    <t>Gökyüzü bazen ciğerime doluyor..</t>
  </si>
  <si>
    <t>yıllar geçti ama biz yine aynıyız 😉#TurkishArmy</t>
  </si>
  <si>
    <t>pic.twitter.com/wVeKTzgYRe</t>
  </si>
  <si>
    <t>ALLAHA Emanet oll dedi ve Gittiii.. Güldùmm.. Zaten Ondan ßaşka kimim varki Dedim.. {</t>
  </si>
  <si>
    <t>Menderes Köylüoğlu</t>
  </si>
  <si>
    <t>Hayatım uyku düzenim ile beraber gidiyor hep uyumak istiyorum #TurkishArmy</t>
  </si>
  <si>
    <t>Elâzığ, Türkiye</t>
  </si>
  <si>
    <t>En umutsuz pilot ileriye bakar. Umuda bakmaz. -Özdemir Asaf</t>
  </si>
  <si>
    <t>cihan</t>
  </si>
  <si>
    <t>Düşmana korku dosta güven #TurkishArmy #turkmilletiordusununyaninda  RT @TTAgrup: Bu delileri bir araya getirmeyecektiniz! #TurkishArmy</t>
  </si>
  <si>
    <t>https://pbs.twimg.com/media/EGbk8tOWsAEAe6p.jpg
pic.twitter.com/eXVwXYgULs</t>
  </si>
  <si>
    <t>🇹🇷 35 / 🇨🇭📍 / Unutma Türk. “Korkma” diye başlıyor senin İstiklal Marşın !</t>
  </si>
  <si>
    <t>Semetli</t>
  </si>
  <si>
    <t>1948 yılında İngilizler tarafından kurulan katil İsrail devletine, Burnumuzun dininde hesap yaptırtmaz 2.000 yıllık Türk Devleti. #TurkishArmy</t>
  </si>
  <si>
    <t>https://pbs.twimg.com/media/EGbk7i3XYAEeWHY.jpg</t>
  </si>
  <si>
    <t>BİLGİNİN EFENDİSİ OLABİLMEK İÇİN, ÇALIŞMANIN UŞAĞI OLMAK ŞARTTIR.</t>
  </si>
  <si>
    <t>Kozal0655</t>
  </si>
  <si>
    <t>🇹🇷🇹🇷💜#TurkishArmy</t>
  </si>
  <si>
    <t>dantes</t>
  </si>
  <si>
    <t>Allah mazlumların duasını duyar zalimlerin üstüne TÜRKLERİ gönderir. Sefer bizim zafer ALLAHındır 🇹🇷🇹🇷🇹🇷🇹🇷🇹🇷🇹🇷🇹🇷🇹🇷🇹🇷🇹🇷 #TurkishArmy</t>
  </si>
  <si>
    <t>🌹SERHAT 🌹</t>
  </si>
  <si>
    <t>#TurkishArmy Hırsızlık yaparken suçüstü yakalanmış biri iktidarda kalmak için savaş çıkartıp halkı uyutuyor.</t>
  </si>
  <si>
    <t>ANLAYAMIYORUM BU DM.YASAK YAZANLARI KARDEŞİM DM.DEN YAZARSA ENGELERSİN. BENCE SİZ YASAK YAZIYORUM AMA SİZ GELİN DEMEK İSTİYORUSNUZ 🤣🤣</t>
  </si>
  <si>
    <t>Şahin Bingöl</t>
  </si>
  <si>
    <t>Kainatın en şanlı ordusunun Allah yar ve yardımcısı olsun. #TurkishArmy</t>
  </si>
  <si>
    <t>pic.twitter.com/mwdvcfEZoc</t>
  </si>
  <si>
    <t>Selçuk Üniversitesi/Reklamcılık'19</t>
  </si>
  <si>
    <t>https://www.instagram.com/sahin.bingol/</t>
  </si>
  <si>
    <t>TGB</t>
  </si>
  <si>
    <t>İstanbul Üniversitesi Atatürkçü Düşünce Kulübü tarihi kapının önünden tarihi mesaj verdi! "TÜRK ORDUSUNUN YANINDAYIZ. MEHMETÇİĞE BİN SELAM!" #TurkishArmy</t>
  </si>
  <si>
    <t>Türkiye Gençlik Birliği (TGB) - Genel Merkez: Konur-2 Sokak No:71/6 Kızılay/Ankara</t>
  </si>
  <si>
    <t>TURGUT</t>
  </si>
  <si>
    <t>https://pbs.twimg.com/media/EGbk05FW4AEu2cv.jpg</t>
  </si>
  <si>
    <t>İZMİR / BUCA</t>
  </si>
  <si>
    <t>Yaşar Üniversitesi</t>
  </si>
  <si>
    <t>http://facebook.com/turgut.arik</t>
  </si>
  <si>
    <t>Ramazan BAŞOĞLU</t>
  </si>
  <si>
    <t>Türke yeterki savaş deyin, düğüne gider gibi gideriz. #TuerkMilletiOrdusununYanında #TurkishArmy</t>
  </si>
  <si>
    <t>Ceyda Candarlı ☕</t>
  </si>
  <si>
    <t>Bir yanım endişeli bir yanım gururlu. Tek sıkıntım bunları başımıza musallat edenlerle! Ülkeyi buralara getirenlerle. Yanlış karar verenlerle.. Yeri geldimi yalandan Eyyy diyenlerle! #TurkishArmy</t>
  </si>
  <si>
    <t>İstanbul , Eskişehir</t>
  </si>
  <si>
    <t>Galatasaray'lı ❤💛, Life is short enjoy your coffee ☕ #Yaşar #HerŞeyÇokGüzelOlacak 🐳</t>
  </si>
  <si>
    <t>Melek Ebdî</t>
  </si>
  <si>
    <t>Meanwhile, the #TurkishArmy.</t>
  </si>
  <si>
    <t>https://pbs.twimg.com/media/EGbkyf5XkAAjOx4.jpg</t>
  </si>
  <si>
    <t>focused on the Kurdish cause</t>
  </si>
  <si>
    <t>Çağla Kurtulmuş</t>
  </si>
  <si>
    <t>Trump, ABD askerlerine Türkiye Cumhurbaşkanı Recep Tayyip Erdoğan ile yaptığı telefon görüşmesinin ardından Türkiye ile Suriye arasındaki sınır bölgesinden çekilmelerini emretti. @RTErdogan #TurkishArmy #EmineBulutİcinAdalet RT @realDonaldTrump: We may be in the process of leaving Syria, but in no way have we Abandoned the Kurds, who are special people and wonderful fighters. Likewise our relationship with Turkey, a NATO and Trading partner, has been very good. Turkey already has a large Kurdish population and fully....</t>
  </si>
  <si>
    <t>https://twitter.com/realdonaldtrump/status/1181553630354259968</t>
  </si>
  <si>
    <t>türkıye için her şey yapabılırız</t>
  </si>
  <si>
    <t>Hüseyin BUĞRA</t>
  </si>
  <si>
    <t>pic.twitter.com/kMFkyZ4K3h</t>
  </si>
  <si>
    <t xml:space="preserve">“Dâru’l-Ulemâ” </t>
  </si>
  <si>
    <t>❝Üstte mavi gök çökmedikçe, altta yağız yer delinmedikçe senin ilini, töreni kim bozabilir❞</t>
  </si>
  <si>
    <t>Zımırzalıoğlu</t>
  </si>
  <si>
    <t>Maybe Turkish Army doesn't have great war technologies; super planes, helicopters, etc. But, Turkish People cannot live without freedom! So, either Independency, or death! Either you will be on Turkey's side, or against of! There is no other option. #TurkishArmy</t>
  </si>
  <si>
    <t>TÜRK,TÜRKÇÜ ATATÜRKÇÜ,ATATÜRK'ÜN ASKERİ İSLAMCI DEĞİL,TÜRKÇÜ MİLLİYETÇİ TÜRK NE?BU ÜLKEDE YAŞAYAN VE YAŞAYACAK KİŞİ HİÇBİR PARTİYİ TUTMAYAN HA BİR DE,KBB HEKİMİ</t>
  </si>
  <si>
    <t>m e r t a y 🇹🇷</t>
  </si>
  <si>
    <t>“Hilalin altında bir olun. Çok kalabalık olacağız, göreceksiniz!” #TurkishArmy</t>
  </si>
  <si>
    <t>https://pbs.twimg.com/media/EGbkv1kWoAAHpgY.jpg</t>
  </si>
  <si>
    <t>Graphic Desinger</t>
  </si>
  <si>
    <t>http://www.instagram.com/_mertkilinc</t>
  </si>
  <si>
    <t>Mustafa Colkesen</t>
  </si>
  <si>
    <t>SDF'nin Deyr-ez Zor ve Rakka'ya çok sayıda mühimmat ve militan gönderdiği iddia ediliyor  #Suriye #Türkiye #TurkishArmyRT @RojavaNetwork: The SDF continues to send massive reinforcements from Deir ez-zor, Raqqa, Tabqa, Hasake and Manbij, reports of the arrival of heavy weapons on the Turkish borders. #Twitterkurds #Rojava #SDF #Turkey #TSK #Syria</t>
  </si>
  <si>
    <t>https://twitter.com/RojavaNetwork/status/1181874488679505921?s=20</t>
  </si>
  <si>
    <t>pic.twitter.com/2iwoWqeb7j</t>
  </si>
  <si>
    <t>"..Therefore all progress depends on the unreasonable man.."</t>
  </si>
  <si>
    <t>Ahmet Karaçalı 🇹🇷</t>
  </si>
  <si>
    <t>Şerefsizler... Kürtler dini bütün, İslamiyeti en iyi şekilde yaşamaya çalışan insanlardır. Sizin gibi ne olduğu belli olmayan it sürüleri mi kürtlerin temsilcisi? #KurdsSideWithTurkey #TurkishArmy #BarışPınarı RT @sedatsurr: güneşin ve ateşin çocukları mutlaka kazanacak... #RojavaKazanacak</t>
  </si>
  <si>
    <t>https://twitter.com/sedatsurr/status/1181169648064192512</t>
  </si>
  <si>
    <t>https://pbs.twimg.com/media/EGRbh9jXoAABxJk.jpg</t>
  </si>
  <si>
    <t>Ankara/Çankırı</t>
  </si>
  <si>
    <t>Ak Parti GM Gençlik Kolları MKYK Üyesi Enerji/Sosyal Politika/İnsan Kaynakları</t>
  </si>
  <si>
    <t>BAŞKOMUTAN</t>
  </si>
  <si>
    <t>🇹🇷Türkler Beklenendir🇹🇷 #TurkishArmy</t>
  </si>
  <si>
    <t>pic.twitter.com/Qpqyqfdc2A</t>
  </si>
  <si>
    <t>🇹🇷Türkler;Geri çekilme gibi huyları yok,Topyekün Savaşan bir Millet,Akıllarında Toprakları ve Dinleri varsa kaygılanıp sonlarını asla düşünmezler 🇹🇷Adanalı.</t>
  </si>
  <si>
    <t>https://twitter.com/akbilge1071</t>
  </si>
  <si>
    <t>agressiveiron</t>
  </si>
  <si>
    <t>Biri şu @cher salağına gerçekleri anlatsın. Kürt propagandası yapıyor #TurkishArmy</t>
  </si>
  <si>
    <t>Miami Beach, FL</t>
  </si>
  <si>
    <t>siz zahmet etmeyin takip etmeyeni unflovloveloyorum</t>
  </si>
  <si>
    <t>arifcen</t>
  </si>
  <si>
    <t>Kan kanı çağırır, can canı. Savaşta illa ki o yada bu taraftan gençler ölür, anneler ağlar çocuklar yetim kalır. Ne bizim acımız başkasının, ne başkasının acısı bizim sevincimiz olsun. #TurkishArmy #turkmilletiordusununyaninda #KendineGelPezeberk</t>
  </si>
  <si>
    <t>Etiyopya</t>
  </si>
  <si>
    <t>Herşey çok güzel olacak #Ceo</t>
  </si>
  <si>
    <t>http://www.diyabetix.com</t>
  </si>
  <si>
    <t>Samet Şentürk</t>
  </si>
  <si>
    <t>#TurkishArmy ezin onları!</t>
  </si>
  <si>
    <t>Şevval</t>
  </si>
  <si>
    <t>Vur, sen de mukaddes hürriyet için, Dünyanın diktiği bayrak için vur! #TurkishArmy</t>
  </si>
  <si>
    <t>https://pbs.twimg.com/media/EGbksRyXkAArmgs.jpg</t>
  </si>
  <si>
    <t>gknksf</t>
  </si>
  <si>
    <t>Dünya’nın en güçlü ordu biziz! #TurkishArmy</t>
  </si>
  <si>
    <t>Rize, Beştepeli</t>
  </si>
  <si>
    <t>Sedat Güngör 🇹🇷</t>
  </si>
  <si>
    <t>FIRTINALAR DURSUN YANA YOL VER TÜRK'ÜN BAYRAĞINA #TurkishArmy #TürkMilletiOrdusununYanında</t>
  </si>
  <si>
    <t>https://pbs.twimg.com/media/EGbkq2pWkAIh-BW.jpg</t>
  </si>
  <si>
    <t>MHP Taşdelen Bölge Başkanı - Sevgimiz ve dostluğumuz değerini bilenlerindir... Şehit Ülkücü Ali Bülent ORKAN</t>
  </si>
  <si>
    <t>Huseyin Canbaz</t>
  </si>
  <si>
    <t>Ahmet Sayin</t>
  </si>
  <si>
    <t>#TurkishArmy want fuck you Trump wait we are com now we want fuck you.</t>
  </si>
  <si>
    <t>Antalya, Türkei</t>
  </si>
  <si>
    <t>DM YOK..........MAİL YOK</t>
  </si>
  <si>
    <t>Noyan</t>
  </si>
  <si>
    <t>#TurkishArmy türk askerinin yanindayiz</t>
  </si>
  <si>
    <t>by RAK🇹🇷</t>
  </si>
  <si>
    <t>Servet abi dalalım mı? 🇹🇷🇹🇷🇹🇷🇹🇷🇹🇷 Not:Konu videodaki tüm tarafları ilgilendiriyor... +18 ağır şiddet içerir🤣🤣🤣 #TurkishArmy</t>
  </si>
  <si>
    <t>pic.twitter.com/aeMT2KHKxY</t>
  </si>
  <si>
    <t>SERDAR OLUR    @_EN İYİ KÖTÜ_@</t>
  </si>
  <si>
    <t>Sanma şâhım herkesi sen sâdıkâne yâr olur Herkesi sen dostmu sandın belki ol ağyâr olur Sâdıkâne belki ol bu âlemde dildâr olur Yâr olur ağyar olur dildâr olur</t>
  </si>
  <si>
    <t>AHMET YÖRÜK 🇹🇷</t>
  </si>
  <si>
    <t>Türkiye Suriye ye neden giriyor diyenler iyi izlesin... #TurkishArmy</t>
  </si>
  <si>
    <t>pic.twitter.com/0fQQiW0p9X</t>
  </si>
  <si>
    <t xml:space="preserve">TÜRKİYE </t>
  </si>
  <si>
    <t>YÖRÜK PETROL BETON A.Ş YÖNETİM KURULU BAŞKANI.</t>
  </si>
  <si>
    <t>Ahmet Saylık</t>
  </si>
  <si>
    <t>Ölümü içinde öldürmüş bir orduyu, Allah’tan gayrısı korkutamaz!.. #TurkishArmy</t>
  </si>
  <si>
    <t>Yatırım İşletmesi Uzmanı ahmetsaylik@hotmail.com 🇹🇷</t>
  </si>
  <si>
    <t>http://facebook.com/ahmetsaylik</t>
  </si>
  <si>
    <t>Uğur ÇaKaR</t>
  </si>
  <si>
    <t>🐞💗🦋🙏</t>
  </si>
  <si>
    <t>http://facebook.com/ugrckr</t>
  </si>
  <si>
    <t>Güven Yılmaz</t>
  </si>
  <si>
    <t>https://pbs.twimg.com/media/EGbkh1tXoAAHcJJ.jpg</t>
  </si>
  <si>
    <t>ÜLKÜMÜZDÜR SALINAN SANCAK ALLAH'IN ÖNÜNDE EĞİLİRİZ ANCAK</t>
  </si>
  <si>
    <t>Bahar</t>
  </si>
  <si>
    <t>Simsiyah bulutların ardından muazzam bir yağmur, ardından da günlük güneşlik günler gelir. Bu sıkıntılı dönemlerden sonra da çok aydınlık, çok güzel, çok hayat dolu günler gelecek inşaAllah. Adnan Oktar #TurkishArmy DelilOlsa BunlarMıKonuşulur #çarşamba</t>
  </si>
  <si>
    <t>https://pbs.twimg.com/media/EGbkdcnW4AAa97s.png</t>
  </si>
  <si>
    <t>Bu Kuran bütün insanlar için sadece bir öğüttür. SAD Suresi,87. ❤👑ADNANOKTAR❤🌷</t>
  </si>
  <si>
    <t>Hikmet Can Arpacı🇹🇷</t>
  </si>
  <si>
    <t>#turkmilletiordusununyaninda #BarisPinariHarekati 🇹🇷 🇹🇷 #TurkishArmy 🇹🇷🇹🇷🇹🇷💪💪💪💪</t>
  </si>
  <si>
    <t>pic.twitter.com/d90KXzvbTd</t>
  </si>
  <si>
    <t>💛💙1907💛💙</t>
  </si>
  <si>
    <t>Mehmet Aksoy</t>
  </si>
  <si>
    <t>Radikal değil, olması gereken.</t>
  </si>
  <si>
    <t>Mustafa Kahraman</t>
  </si>
  <si>
    <t>https://pbs.twimg.com/media/EGbkd9RXUAA-sqX.jpg</t>
  </si>
  <si>
    <t>tek derdi Trabzon CcC</t>
  </si>
  <si>
    <t>Tuncay Kayapınar</t>
  </si>
  <si>
    <t>YASİN</t>
  </si>
  <si>
    <t>#TurkishArmy 💯💯</t>
  </si>
  <si>
    <t>https://pbs.twimg.com/media/EGbkLHxWoAAhnTZ.jpg</t>
  </si>
  <si>
    <t>Onur yaşamaktan üstündür. 🇹🇷</t>
  </si>
  <si>
    <t>GUNEF🇹🇷🇹🇷🇹🇷🇹🇷🇹🇷🇹🇷🇹🇷🇹🇷🇹🇷🇹🇷🇹🇷</t>
  </si>
  <si>
    <t>Kurtuluş mücadelemize de karşı duranlar olmuştu #TurkishArmy Allah'a emanetsiniz SAĞ OLUN VAR OLUN DAĞ OLUN</t>
  </si>
  <si>
    <t>https://pbs.twimg.com/media/EGbkbR8W4AACNLp.jpg</t>
  </si>
  <si>
    <t>PROFİLİME BAKAN SEN,ŞEHİTLERİMİZE BIR FATİHA OKU ALLAH BİZE YAR OLSUN,TÜRKÜN ÖZÜ VAR OLSUN GÖKYÜZÜ BİZE ÇADIR,GÜNEŞ BİZE TUĞ OLSUN</t>
  </si>
  <si>
    <t>coşkun şahan</t>
  </si>
  <si>
    <t>https://pbs.twimg.com/media/EGbkYb3WkAA2auJ.jpg</t>
  </si>
  <si>
    <t>ERÜ Havacılık Kayseri/Edirne</t>
  </si>
  <si>
    <t>ilahimorluk</t>
  </si>
  <si>
    <t>We are coming mf #TurkishArmy</t>
  </si>
  <si>
    <t>https://pbs.twimg.com/media/EGbkX7LWoAAtLjl.jpg</t>
  </si>
  <si>
    <t>Hakedene istediğim gibi giydirebilirim artık.</t>
  </si>
  <si>
    <t>Levent Özdemirkan</t>
  </si>
  <si>
    <t>Abd nin daeşle savaşıyor diye pkk ya gönderdiği tır sayısı bile bölgedeki daeşli sayısından fazla,amaç israilin arz-ı mevud sınırları için terör devleti kurmak,ama içimizdeki gezizekalılar hala suriyeyi Erdoğan bu hale getirdi diyor.İçimizdeki beyinsizler yüzünden... #TurkishArmy</t>
  </si>
  <si>
    <t>Analist Gözlemci Kâlp işçisi. Bizimle derdi olanın derdi bitmez RT takipçilerimin fikrini merak ettiğimdendir,beğeniler ise daha sonra bakmak için. GALATASARAY</t>
  </si>
  <si>
    <t>http://iyilikhediyesi.com</t>
  </si>
  <si>
    <t>Semra Çiçek</t>
  </si>
  <si>
    <t>Maun Suresi  #TurkishArmy</t>
  </si>
  <si>
    <t>https://pbs.twimg.com/media/DpxjgcLX4AEVD8v.jpg</t>
  </si>
  <si>
    <t>Mersin Üniversitesi</t>
  </si>
  <si>
    <t>İBRAHİM ÖZMUTLU</t>
  </si>
  <si>
    <t>Geliyoruzzzz. #TurkishArmy #türkmilletiordusununyanında</t>
  </si>
  <si>
    <t>pic.twitter.com/AAIR4VSMre</t>
  </si>
  <si>
    <t>OSMANLI EMLAK&amp;OTOMATİV 2. EL OTO ALIM-SATIM/AFYON http://Www.afyonosmanliemlak.com.</t>
  </si>
  <si>
    <t>Zümra ⚡</t>
  </si>
  <si>
    <t>Merhamet dolu,güzel yürekli mehmetçiklerimiz #TurkishArmy</t>
  </si>
  <si>
    <t>pic.twitter.com/pBOyyePsKT</t>
  </si>
  <si>
    <t>Ülkeme,devletime,milletime yapılan ihanetleri görüyor ve susuyorsan sende suçlusun! Evli ❤</t>
  </si>
  <si>
    <t>Demirkan</t>
  </si>
  <si>
    <t>#SavasaHayır diyenler siz bir kenarda bekleye durun size sonra gelecek elbette. Yerimizi her daim #TurkishArmy</t>
  </si>
  <si>
    <t>Bir vasfım yok. Şükür'e tâbi hayatım.</t>
  </si>
  <si>
    <t>Murat Bölük</t>
  </si>
  <si>
    <t>▶️While #innocent people are dead, where are you in Syria? ▶️While innocent childs are killed, where are you in #Syria? ▶️While innocent womans are raped where are you in Syria? #TurkishArmy #carsamba</t>
  </si>
  <si>
    <t>https://pbs.twimg.com/media/EGbkRoWX0AAGKrh.jpg</t>
  </si>
  <si>
    <t>#SosyalMedya tasarımı ile meşgul..</t>
  </si>
  <si>
    <t>Fanii⚡</t>
  </si>
  <si>
    <t>https://pbs.twimg.com/media/EGbkNzaWoAAdnI5.jpg</t>
  </si>
  <si>
    <t>fanii işte</t>
  </si>
  <si>
    <t>🇹🇷 ¹⁹⁰⁷</t>
  </si>
  <si>
    <t>Bekleyin, biraz daha bekleyin. Çok yakında göklere baktığınızda göreceğiniz tek şey Türk savaş uçakları ve gelen bombalar olacak #TurkishArmy</t>
  </si>
  <si>
    <t>https://pbs.twimg.com/media/EGbkP4FXUAEGfmH.jpg</t>
  </si>
  <si>
    <t>Necat Türemenoğulları</t>
  </si>
  <si>
    <t>Kanun koyma yetkisinin Allah ta olduğu bir sistem istiyoruz Demokrasi allahın haram kıldıklarını serbest kılan bir sistemdir. Allahın kanunlarının geçersiz olduğu bir sistem istemiyoruz #TurkishArmy</t>
  </si>
  <si>
    <t>Liderlik sanatı kitlelerin dikkatini tek bir düşmana odaklamaya ve hiçbir şeyin bu dikkati dağıtmamasını sağlamaya bağlıdır. -Adolf Hitler</t>
  </si>
  <si>
    <t>HüseyincCc</t>
  </si>
  <si>
    <t>#TurkishArmy Bir hilal uğruna ya Rab . .</t>
  </si>
  <si>
    <t>https://pbs.twimg.com/media/EGbkNVmXoAEvtDz.jpg</t>
  </si>
  <si>
    <t xml:space="preserve">İSTANBUL </t>
  </si>
  <si>
    <t>Önce VATAN.cCc 🇹🇷🇹🇷. Gerisi yalan ......</t>
  </si>
  <si>
    <t>Kadir Berkli</t>
  </si>
  <si>
    <t>"Kürt anneleri" ezin onları diye dua ediyor! Allah Türk ordusunu korusun... #TurkishArmy</t>
  </si>
  <si>
    <t>pic.twitter.com/33BVUAiXYE</t>
  </si>
  <si>
    <t>İstanbul - Smmm</t>
  </si>
  <si>
    <t>thirtyfour</t>
  </si>
  <si>
    <t>VAROL #TurkishArmy</t>
  </si>
  <si>
    <t>Silifke, Mersin</t>
  </si>
  <si>
    <t>Yaşasın zalimler için cehennem.</t>
  </si>
  <si>
    <t>Ahtapot</t>
  </si>
  <si>
    <t>Ankara'da 35 vatandaşımızı katleden Seher Çağla Demir ve 29 Vatandaşımızı katleden Abdülkadir Sömer isimli iki PYD/YPG/PKK'LI Teröristin fotoğrafları PYD kontrolünde bulunan Derik'te bir binaya asıldı! İntikam VAKTİ! #turkisharmy #barışpınarı</t>
  </si>
  <si>
    <t>https://pbs.twimg.com/media/EGbjUfQXoAASAUg.png</t>
  </si>
  <si>
    <t>#BarışPınarı</t>
  </si>
  <si>
    <t>🇹🇷TRdeprem</t>
  </si>
  <si>
    <t>#TurkishArmy 💪🇹🇷🇹🇷🇹🇷</t>
  </si>
  <si>
    <t>Türkiye ve dünyadan sismik hareketler... hesabımız deprem konusunda bilinç sağlamak üzerinedir. Kahinlik değildir.Bilimle kalın</t>
  </si>
  <si>
    <t>https://trdeprem.wixsite.com/depremss</t>
  </si>
  <si>
    <t>Gül Çetin Yılmaz</t>
  </si>
  <si>
    <t>Bunları söylerken şaka yapmıyorduk!! Allah Ordumuzu Muzaffer Eylesin🤲🤘🤘🤘🇹🇷🇹🇷🇹🇷 #TurkishArmy</t>
  </si>
  <si>
    <t>pic.twitter.com/iNS88eGp29</t>
  </si>
  <si>
    <t>Bilal Uysal⚡</t>
  </si>
  <si>
    <t>#TurkishArmy Ey mavi göklerin beyaz ve kızıl süsü,Kız kardeşimin gelinliği,şehidimin son örtüsü,Işık ışık,dalga dalga bayrağım!Senin destanını okudum,senin destanını yazacağım.Sana benim gözümle bakmayanın Mezarını kazacağım Seni selâmlamadan uçan kuşun Yuvasını bozacağım. . .</t>
  </si>
  <si>
    <t>Mersin-Niğde</t>
  </si>
  <si>
    <t>Tff ye mhk ya ve asla Türk hakemlerine GÜVENME !</t>
  </si>
  <si>
    <t>frigola</t>
  </si>
  <si>
    <t>#deprem #TurkishArmy RT @Kitapcumlelerii: Toplumun çöküş belirtileri 1-Dayanışmanın yok olması 2-Üretimin zayıflaması 3-Tüketim çılgınlığı 4-Vergiler 5-Liyakatisizlik olması 6-Adaletsizlik 7-Umutların kırılması 8-Göçün hızlanması 9-İblisane gurur ve kibir 10-Gösteriş, riyakarlık ve yalakalık İbn-i Haldun</t>
  </si>
  <si>
    <t>https://twitter.com/kitapcumlelerii/status/1181256458610118659</t>
  </si>
  <si>
    <t>Naci ılgın</t>
  </si>
  <si>
    <t>Osman Öcalanla Örgüte Sesleniş her hafta TRT ŞEŞ'te..Sakın kaçırmayın..Evet, Onu da bunlar yaptı.. bakalım daha neler yapacaklar #TurkishArmy</t>
  </si>
  <si>
    <t>Öyle zamanlar vardır ki , insan hayat ırmağının akış yönünü değiştiremez. -Paulo Coelho</t>
  </si>
  <si>
    <t>İsmail</t>
  </si>
  <si>
    <t>#TurkishArmy Bu gelen Peygamber övgüsü almış, Viyana kapılarına dayanmış, 3 kıtada hüküm sürmüş, hakk dava güdüp, hakk uğruna Cihat etmiş bir ordu Allah yar ve yardımcıları olsun🇹🇷🇹🇷🇹🇷🇹🇷</t>
  </si>
  <si>
    <t>https://pbs.twimg.com/media/EGbkFa-WkAEAJyA.jpg</t>
  </si>
  <si>
    <t>Pazarcık, Kahramanmaraş</t>
  </si>
  <si>
    <t>Kırıkkale Üniversitesi. Tarih Öğretmeni</t>
  </si>
  <si>
    <t>deniztrade</t>
  </si>
  <si>
    <t>#TurkishArmy #TurkishMilitary 👍 RT @furkanduyguu: #savasahayir diyenler hazır olsunlar, Türkler Geliyor! ————————————— #TurkishArmy #turkmilletiordusununyaninda #BarısPınarlarıHarekatı #VakitGazaVakti</t>
  </si>
  <si>
    <t>https://twitter.com/furkanduyguu/status/1181505147496796160</t>
  </si>
  <si>
    <t>pic.twitter.com/eg1UTTcZMp</t>
  </si>
  <si>
    <t>Borsada Ekmeğinin Peşinde</t>
  </si>
  <si>
    <t>osman⚡️</t>
  </si>
  <si>
    <t>https://pbs.twimg.com/media/EGbkE-qW4AAEwnn.jpg</t>
  </si>
  <si>
    <t>bayrağım varlığım - Ezanım özgürlüğüm</t>
  </si>
  <si>
    <t>#AKGÖNÜLDOSTLARI</t>
  </si>
  <si>
    <t>https://pbs.twimg.com/media/EGbkEy6WkAMFHbJ.jpg</t>
  </si>
  <si>
    <t>Deutschland,Kayseri,Yozgatköln</t>
  </si>
  <si>
    <t>#REİSCİ</t>
  </si>
  <si>
    <t>İsmet Çetin</t>
  </si>
  <si>
    <t>FENERBAHÇE sevdalısı 💙💛💙💛 Türk Hava Kuvvetleri 🇹🇷🇹🇷🇹🇷🇹🇷🇹🇷</t>
  </si>
  <si>
    <t>http://www.xn--fenerbahe-x3a.com.tr</t>
  </si>
  <si>
    <t>Tolgahan</t>
  </si>
  <si>
    <t>M E K A N I N S A H İ B İ G E R İ G E L D İ ! ! ! 'Bebeleri Pistten Alalım' #TurkishArmy</t>
  </si>
  <si>
    <t>https://pbs.twimg.com/media/EGbj_-NXkAATaGr.jpg</t>
  </si>
  <si>
    <t>AliSamiYenSporKompleksi</t>
  </si>
  <si>
    <t>Takip eden takip edilir.Unfollow yapan engellenir.Burası ego kasma yeri değildir.</t>
  </si>
  <si>
    <t>Cemil  Sayın (28 )</t>
  </si>
  <si>
    <t>Et tırnaktan ayrılmaz söz konusu vatan ise çakalların uluması aslanlar ayağa kalkana kadardır.. #TurkishArmy</t>
  </si>
  <si>
    <t>https://pbs.twimg.com/media/EGbj_8gXoAAWa6q.jpg</t>
  </si>
  <si>
    <t>🇹🇷vatan,bayrak, bizimdir. ELHAMDÜLİLLAH</t>
  </si>
  <si>
    <t>Kafa46🇹🇷</t>
  </si>
  <si>
    <t>Haydi Bismillah... #TurkishArmy</t>
  </si>
  <si>
    <t>https://pbs.twimg.com/media/EGbj8sDWoAAxUph.jpg</t>
  </si>
  <si>
    <t>imanın iktidar olmadığı kalp te, şeytan ihtilal yapar.</t>
  </si>
  <si>
    <t>Murat Açıkgöz</t>
  </si>
  <si>
    <t>MÜCADELEMİZ MİLLİYETÇİ TÜRKİYEYE TURANA KADARDIR...#TurkishArmy</t>
  </si>
  <si>
    <t xml:space="preserve">Nevsehir </t>
  </si>
  <si>
    <t>Sezin Ballı</t>
  </si>
  <si>
    <t>İçinizi Rahat Tutun. Mutsuz Edip Mutlu Olabilen Yok Şu Hayatta... #TurkishArmy</t>
  </si>
  <si>
    <t>Zaten az çok bunu kendisi de itiraf ediyordu: ”Bana benzemeyin diyordu. Ben iki yol arasında kalmış bir insanım.” -Ahmet Hamdi Tanpınar</t>
  </si>
  <si>
    <t>içimdeki şarkılar</t>
  </si>
  <si>
    <t>#TurkishArmy sülalenizi belleyecek</t>
  </si>
  <si>
    <t>Ayıya dayı demem yıkılsın köprü!</t>
  </si>
  <si>
    <t>ihsan Acıdemir</t>
  </si>
  <si>
    <t>#TurkishArmy Orduların pek çok zaman vermiştiler dünyaya şan Taaruz saatini sabırsızlıkla bekliyoruz</t>
  </si>
  <si>
    <t>https://pbs.twimg.com/media/EGbj3MgWwAQhcXI.jpg</t>
  </si>
  <si>
    <t>Galatasaray ultrAslan DELİ GİBİ SEVMEK RUHUMUZDA VAR</t>
  </si>
  <si>
    <t>BlueM@rble</t>
  </si>
  <si>
    <t>Evlatların burnu kanamasın diye evlatları savaşa göndermek #TurkishArmy</t>
  </si>
  <si>
    <t>Jack Mondey</t>
  </si>
  <si>
    <t>#TurkishArmy AY-YILDIZ’’IN gölgesiyle süslenir seferleri. İstiklâldir, istikbâldir, şanlıdır zaferleri. Ölümleri öldürüyor Türklüğün neferleri. Gökte Kartal, yerde Aslan dağda Bozkurt ordusu.. Var olsun yiğit Mehmetler, yaşasın Türk Ordusu.!</t>
  </si>
  <si>
    <t>https://pbs.twimg.com/media/EGbj16YXkAEUN4P.jpg</t>
  </si>
  <si>
    <t>✌🏻</t>
  </si>
  <si>
    <t>HÜSEYİN</t>
  </si>
  <si>
    <t>"İki ordu vardır: Biri gazâ ordusu, diğeri de duâ ordusu ve bu savaşlar, bu iki ordunun ittifakı ile kazanılır." #TurkishArmy</t>
  </si>
  <si>
    <t>https://pbs.twimg.com/media/EGbj1dCXYAAzXvB.jpg</t>
  </si>
  <si>
    <t>Çerçeve (LEŞKER)⚡Xuda heye ğem tuneye</t>
  </si>
  <si>
    <t>#TurkishMilitary #TurkishArmy #Kurds #USArmy Because we Turks fight for all the children in the world. RT @eskibirmuhtar: Çocukların korkmadığı tek ordu... #TurkishArmy</t>
  </si>
  <si>
    <t>Kafamıza taş yağsa gık demeye hakkımız yok, aramızda bunca şerwfsiz yaşarken. Gozumde allı pullu gelin oldun. Gel artık İDAM.</t>
  </si>
  <si>
    <t>Eray Bulut</t>
  </si>
  <si>
    <t>Cuğarayı yaktık geliyoruz. #TurkishArmy</t>
  </si>
  <si>
    <t>https://pbs.twimg.com/media/EGbjzF9W4AEL9XA.jpg</t>
  </si>
  <si>
    <t>TEK ÖNDER HZ. MUHAMMED (S.A.V) 571-63∞ 1453, Buda geçer Ya Hû, Eyvallah, Fenerbahçe'li 💛💙, Sivas'lı, Koç Erkeği, Çanakkale 1915, 15 Temmuz,</t>
  </si>
  <si>
    <t>http://instagram.com/guccukaga_1907</t>
  </si>
  <si>
    <t>Berk</t>
  </si>
  <si>
    <t>https://pbs.twimg.com/media/EGbjtqwX0AU8fuH.jpg</t>
  </si>
  <si>
    <t>🇹🇷Ramazan DOĞAN🇹🇷</t>
  </si>
  <si>
    <t>#TurkishArmy RT @06melihgokcek: RABBİM HİÇ KİMSEYİ BU HALDE ACİZ DÜŞÜRMESİN... ONUN İÇİN UMUDUZ...</t>
  </si>
  <si>
    <t>https://twitter.com/06melihgokcek/status/1181740541266010112</t>
  </si>
  <si>
    <t>pic.twitter.com/e7Ams2EZZx</t>
  </si>
  <si>
    <t>BÜYÜK TÜRKİYE (ANADOLU KITASI)</t>
  </si>
  <si>
    <t>MAZLUMA YUNUS, ZALİME YAVUZ. tıpkı Atalarımız gibi... herkese anladığı dilden.</t>
  </si>
  <si>
    <t>Vaha Göktaş</t>
  </si>
  <si>
    <t>O’nun âyetleri kendilerine okunduğu zaman...  #TurkishArmy</t>
  </si>
  <si>
    <t>https://pbs.twimg.com/media/CthZDcBWEAAb3mP.jpg</t>
  </si>
  <si>
    <t>Uğraş, didin, düşün, ara, bul, koş, atıl, bağır. Durmak zamanı geçti, çalışmak zamanıdır. -Teyfik Fikret</t>
  </si>
  <si>
    <t>Türkan Necefoğlu</t>
  </si>
  <si>
    <t>Diplomacy, the American way. (1986) Artist: B. Yakin #StandWithTheKurds #TurkishArmy #carsamba #Syria #BarisPinari #deprem #earthquake #bitcoin #EURegionsWeek #</t>
  </si>
  <si>
    <t>https://pbs.twimg.com/media/EGbjoLuXkAAw18i.jpg</t>
  </si>
  <si>
    <t>YALQUZAQ - Həyat bir dəfə verilmişdir, ölüm bir dəfə ¯\_(ツ)_/¯</t>
  </si>
  <si>
    <t>#TurkishArmy #TürkAskeri AY-YILDIZ’’IN gölgesiyle süslenir seferleri. İstiklâldir, istikbâldir, şanlıdır zaferleri. Ölümleri öldürüyor Türklüğün neferleri. Gökte Kartal, yerde Aslan dağda Bozkurt ordusu.. Var olsun yiğit Mehmetler, yaşasın Türk Ordusu.!</t>
  </si>
  <si>
    <t>https://pbs.twimg.com/media/EGbjlayWwAE9Doh.jpg</t>
  </si>
  <si>
    <t xml:space="preserve"> (No To Racism) </t>
  </si>
  <si>
    <t>#YıldızTeknikÜniversitesi #ComputerEngineering Kanım TÜRK, Adım TÜRK, Soyadım OĞUZ benim. Ne haine diz çöker, ne de boyun eğerim....</t>
  </si>
  <si>
    <t>Matz</t>
  </si>
  <si>
    <t>Herşey konuşarak hal olsaydı ormanın kralı aslan değil papağan olurdu 🇹🇷🇹🇷🇹🇷🇹🇷#TurkishArmy</t>
  </si>
  <si>
    <t>Kupa kızına vurul, maça kızını koz al.</t>
  </si>
  <si>
    <t>Yaşar Ariç</t>
  </si>
  <si>
    <t>https://pbs.twimg.com/media/EGbjm6UX0AEXefd.jpg</t>
  </si>
  <si>
    <t>🇹🇷 𐱅𐰇𐰼𐰰 🇹🇷</t>
  </si>
  <si>
    <t>http://www.instagram.com/yasararc33/</t>
  </si>
  <si>
    <t>Zahir baran</t>
  </si>
  <si>
    <t>#TurkishArmy Ey mavi göklerin beyaz ve kızıl süsü, Kız kardeşimin gelinliği, şehidimin son örtüsü, Işık ışık, dalga dalga bayrağım! Senin destanını okudum, senin destanını yazacağım. Sana benim gözümle bakmayanın Mezarını kazacağım Seni selâmlamadan uçan kuşun Yuvasını bozacağım</t>
  </si>
  <si>
    <t>https://pbs.twimg.com/media/EGbjmtYWoAEq29S.jpg</t>
  </si>
  <si>
    <t>Atama Bekleyen Öğretmen 🇹🇷🇹🇷🇹🇷 Tarih Dersleri Zorunlu Olmalıdır!!! Önce Adalet sonra insan🕷️🌺🐜🌹</t>
  </si>
  <si>
    <t>💎 woxleader 💎</t>
  </si>
  <si>
    <t>https://pbs.twimg.com/media/EGbjmWjXYAEPC_r.jpg</t>
  </si>
  <si>
    <t>🇹🇷 How Happy is the one who says I am a TURK. ➖ ⬛ steam64id : 76561198347022616</t>
  </si>
  <si>
    <t>https://trade.opskins.com/t/3410084/XaCIY1CD</t>
  </si>
  <si>
    <t>Emre Yücel</t>
  </si>
  <si>
    <t>The Turks are coming! 🇹🇷 #TurkishArmy</t>
  </si>
  <si>
    <t>https://pbs.twimg.com/media/EGbjmFYWoAEnb81.jpg</t>
  </si>
  <si>
    <t>nameless</t>
  </si>
  <si>
    <t>https://pbs.twimg.com/media/EGbjkyjWkAAOyQK.jpg</t>
  </si>
  <si>
    <t>ÖMER KORKMAZ</t>
  </si>
  <si>
    <t>Rabbim gazamızı mübarek eylesin,Yiğitlerimizin ayağına taş değmesin inşallah,Allah yar ve yardımcımız olsun. #TurkishArmy</t>
  </si>
  <si>
    <t>https://pbs.twimg.com/media/EGbjj_NWoAEfMrZ.jpg</t>
  </si>
  <si>
    <t>NE MUTLU TÜRK’ÜM DİYENE!! 🇹🇷</t>
  </si>
  <si>
    <t>🇹🇷🇹🇷🇹🇷🇹🇷🇹🇷 #TurkishArmy</t>
  </si>
  <si>
    <t>BETÜL</t>
  </si>
  <si>
    <t>#TurkishArmy ayağınıza taş takılmasın inşallah... 👏</t>
  </si>
  <si>
    <t>https://pbs.twimg.com/media/EGbjg4AXoAIH2NJ.jpg</t>
  </si>
  <si>
    <t>AÇSHB 💕👭👬 DÜNYA ÇOCUKLARLA GÜZEL 🥰 istanbul &amp; izmir</t>
  </si>
  <si>
    <t>Fatih Akpinar</t>
  </si>
  <si>
    <t>‘Savaş’; devletler arasında olur. Eşkıya, çapulcu, başıbozuk, hain, terörist ile mücadele, savaş değildir. Bağımsız ve egemen bir devlet, her kademede her noktada etkin ve aktif olarak önlemini alır. #TurkishArmy #BarisPinari #SavasaHayır #SAVAS</t>
  </si>
  <si>
    <t>Halil Ersöz</t>
  </si>
  <si>
    <t>ABD + CHP + YPG + PKK vs. #TurkishArmy</t>
  </si>
  <si>
    <t>Anti Laik. Anti Mason. Anti Batı Hayranı.</t>
  </si>
  <si>
    <t>Bilge</t>
  </si>
  <si>
    <t>Yaşasın ırkımın Turan ülküsü.. #TurkishArmy</t>
  </si>
  <si>
    <t>https://pbs.twimg.com/media/EGbjdcRXYAAjLGF.jpg</t>
  </si>
  <si>
    <t>Şuralarda bir yerde</t>
  </si>
  <si>
    <t>Gün dogdu hep uyandık siperlere dayandık ..</t>
  </si>
  <si>
    <t>Haydar</t>
  </si>
  <si>
    <t>Yol ver bu Şanlı Türk bayrağına #TurkishArmy</t>
  </si>
  <si>
    <t>Hümâ Kuşu</t>
  </si>
  <si>
    <t>Allah'ın izniyle ordumuzun gücü ve kuvvetiyle üstesinden geleceğiz çünkü muhtaç oldukları kuvvet damarlarındaki asil kanda mevcut 🇹🇷 #TurkishArmy</t>
  </si>
  <si>
    <t>🇹🇷🇹🇷 Çerkes Kızı💛 Kitap Kurdu💙CÜ &amp;MEÜ 💛 FENERBAHÇE 💙 Mavi💛 Çocuklarla Birlikte Bulutlara Dokunuyorum💙 Doğayı ve Hayvanları Sev ve Koru🇹🇷🇹🇷</t>
  </si>
  <si>
    <t>Ulaş Keçeci</t>
  </si>
  <si>
    <t>Eğer yeryüzündekilerin çoğunluğuna uyarsan seni Allah yolunda saptırırlar Enam Suresi 116  #TurkishArmy</t>
  </si>
  <si>
    <t>https://pbs.twimg.com/media/D46Zb_eW0AAqI7R.jpg</t>
  </si>
  <si>
    <t>Akıllılar, zayıf yanlarını bildiklerinden, yanılmayacaklarını ileri sürmezler. Thomas Jefferson</t>
  </si>
  <si>
    <t>Delta</t>
  </si>
  <si>
    <t>Yatalım kalkalım askerimize dua edelim. Güçlerinden şüphemiz yok, hayin pusulardan koru Ya rabbim #TurkishArmy</t>
  </si>
  <si>
    <t>https://pbs.twimg.com/media/EGbjZ4FXkAEBc9e.jpg</t>
  </si>
  <si>
    <t>freelancer.. dm yok instagram takip yok. işine gelmeyen takipten çıkabilir..</t>
  </si>
  <si>
    <t>Allah'ın izniyle! 🇹🇷🇹🇷🇹🇷 #TurkishArmy</t>
  </si>
  <si>
    <t>Mustafa Kemal Atatürk 🇹🇷</t>
  </si>
  <si>
    <t>⭐⭐FENERKOLLİK⭐🌠🏆</t>
  </si>
  <si>
    <t>Milliyetçi Vatan Sever bir vatandaşım. #RuhumuzBir (4644) Gururla.</t>
  </si>
  <si>
    <t>Alperen Şahan</t>
  </si>
  <si>
    <t>https://pbs.twimg.com/media/EGbjXqiXUAArzWf.jpg</t>
  </si>
  <si>
    <t>Fatih Günder</t>
  </si>
  <si>
    <t>Emir Yardım</t>
  </si>
  <si>
    <t>Allah yardımcınız olsun vatanımın evlatları #TurkishArmy</t>
  </si>
  <si>
    <t>Talha AYDIN</t>
  </si>
  <si>
    <t>Taşında gözü olanın Yurduna mezar kazacağız 🇹🇷 Hainin, soysuzun, döneğin Alnına "vatan" yazacağız 🇹🇷 Hazırlansın tabutluklar Yine girip çıkacağız 🇹🇷 #TurkishArmy 🇹🇷</t>
  </si>
  <si>
    <t>https://pbs.twimg.com/media/EGbjXIlXYAEkMmd.jpg</t>
  </si>
  <si>
    <t>Belgium</t>
  </si>
  <si>
    <t>Hayata daima gülümse</t>
  </si>
  <si>
    <t>https://instagram.com/reistalha75?igshid=egdh0dxqbxow</t>
  </si>
  <si>
    <t>Ferhan Demir</t>
  </si>
  <si>
    <t>Suriye Milli Ordusu askerleri sınırda! Askerler Türk askeri ile birlikte operasyonda görev alacak Hazırlıklar tam gaz devam ediyor Ya Bu gece Ya da yarın gireriz artık Rabbim yardımcınız olsun  #TurkishArmy</t>
  </si>
  <si>
    <t>https://pbs.twimg.com/media/EGbUbDJWkAALzso.jpg</t>
  </si>
  <si>
    <t>#TurkishArmy always protects innocent people, regardless of religion, race, sect. #TurkishArmy will come for peace. Before Ypg/Pkk, Arabic and Turkmen people were living east of the Euphrates River. They either killed or forced to migrate!! Don't translate on twitter.</t>
  </si>
  <si>
    <t>https://pbs.twimg.com/media/EGbjT1-XoAAtg-d.jpg</t>
  </si>
  <si>
    <t>Aybar Tayyar</t>
  </si>
  <si>
    <t>Nefsim kudret elinde olan Allah’a yemin ederim ki iyiliği Emir ve kötülükten men edersiniz yahut Allah Teala sizi toplumsal kargaşa azap verir sonra kurtulmak için Allah’a yalvarır sanız daha Duanız kabul edilmez  #TurkishArmy</t>
  </si>
  <si>
    <t>https://pbs.twimg.com/media/D46Ym8AX4AEUCgo.jpg</t>
  </si>
  <si>
    <t>Bakmayın etrafımda çok insan dolandığına</t>
  </si>
  <si>
    <t>M. Ali باقي</t>
  </si>
  <si>
    <t>Cübbeli Ahmet Hoca Efendi: "Afrin mafrin kalmaz. Suriye'yi de alır bu millet. Taa Şam'a kadar." #TurkishArmy 🇹🇷</t>
  </si>
  <si>
    <t>Rasûlullah ﷺ izinde.. | İİF @Medine_Mekke_TR</t>
  </si>
  <si>
    <t>https://instagram.com/medine_mekke.tr</t>
  </si>
  <si>
    <t>Sys.v50</t>
  </si>
  <si>
    <t>#TurkishArmy RT @Turan1530: Sınır Hattında Boşaltılan Bir Köyde Kürt anamız emretti; ONLARI EZİN! #TurkishArmy 🇹🇷</t>
  </si>
  <si>
    <t>I'm alone for a reason Sometimes you need to get lost to find way If you want to be strong, learn to fight alone.</t>
  </si>
  <si>
    <t>Davut Tamer</t>
  </si>
  <si>
    <t>Allah yar ve yardımcımız olsun. (amin) 🤲 #TurkishArmy</t>
  </si>
  <si>
    <t>https://pbs.twimg.com/media/EGbjSGrW4AEiAvu.jpg</t>
  </si>
  <si>
    <t>Herkez kendini çok iyi bilir.. İstanbul↔Ankara↔Malatya🍊</t>
  </si>
  <si>
    <t>http://19.org/tr/la/</t>
  </si>
  <si>
    <t>Oğuzhan Kara</t>
  </si>
  <si>
    <t>Dinle Türk'ün ayak sesini! Allah yardımcınız olsun. #TurkishArmy</t>
  </si>
  <si>
    <t>Kiminin kederi, kiminin kaderi, kim bilir / Kayra Dergi / Uludağ Üniversitesi / Video Editörü</t>
  </si>
  <si>
    <t>https://instagram.com/karaaoguzhan</t>
  </si>
  <si>
    <t>Bilge Kağan 🇹🇷</t>
  </si>
  <si>
    <t>https://youtu.be/krLndxL5las</t>
  </si>
  <si>
    <t>Türkmen Beyi ϜϓſϞ</t>
  </si>
  <si>
    <t>Ali Kuz</t>
  </si>
  <si>
    <t>Ne güzel de anlatmış... @OguzhanUgur keşke bazı siyasilerde bunun farkında olabilse (!). #TurkishArmy</t>
  </si>
  <si>
    <t>https://pbs.twimg.com/media/EGbjP3DWsAEuh89.jpg</t>
  </si>
  <si>
    <t xml:space="preserve">İzmir </t>
  </si>
  <si>
    <t>Bir ulus, sımsıkı birbirine bağlı olmayı bildikçe yeryüzünde onu dağıtabilecek bir güç düşünülemez. M.KEMAL ATATÜRK</t>
  </si>
  <si>
    <t>http://www.instagram.com/alikuz35</t>
  </si>
  <si>
    <t>M. K. Ç</t>
  </si>
  <si>
    <t>Var olsun... #TurkishArmy</t>
  </si>
  <si>
    <t>https://pbs.twimg.com/media/EGbjM61XUAA6wAq.jpg</t>
  </si>
  <si>
    <t>Okur-Yazar</t>
  </si>
  <si>
    <t>Tolga Arslan</t>
  </si>
  <si>
    <t>@ersoyakif1 Mücadele bile değil,müdehale desek daha doğru..Savaş devletler arasinda olur..Ortada tek devlet var #TurkishArmy #SavasaHayır</t>
  </si>
  <si>
    <t>Sadece GALATASARAY🦁🦁</t>
  </si>
  <si>
    <t>Tekfur DiCaprio</t>
  </si>
  <si>
    <t>@1parcatuhaftik #ISIS #SDG #SDF #TurkishArmy RT @themarginale: Yine şaşırtmadı.. “Barış içinde yaşamak varken neden oralara gidiyoruz? Hangi gerekçe ile gidiyoruz? Yazık günah değil mi bu memlekete?” Kemal Kılıçdaroğlu, bu ülke için bir beka sorunudur.</t>
  </si>
  <si>
    <t>https://twitter.com/themarginale/status/1181533907453394944</t>
  </si>
  <si>
    <t>pic.twitter.com/3Gx2C5j4D6</t>
  </si>
  <si>
    <t>Araştırmayı seven ve dürüst bir insan</t>
  </si>
  <si>
    <t>🇹🇷SADE VATANDAS ❤💛</t>
  </si>
  <si>
    <t>#TurkishArmy ey şanlı ordu ey şanlı asker rabbim sizi korusun gazanız mübarek olsun</t>
  </si>
  <si>
    <t>SADE bir VATANDAŞ ama çok GALATASARAY lı</t>
  </si>
  <si>
    <t>Mücahit Tombul</t>
  </si>
  <si>
    <t>Fıtrat değişir sanma! Bu kan yine o kandır... #TurkishArmy</t>
  </si>
  <si>
    <t>pic.twitter.com/Bt64iOkLZB</t>
  </si>
  <si>
    <t>🎓Mimar Sinan Üniversitesi</t>
  </si>
  <si>
    <t>Hüseyin Melikzade</t>
  </si>
  <si>
    <t>Türkiye istanbul</t>
  </si>
  <si>
    <t>http://www.instagram.com/huseyin.melikzade</t>
  </si>
  <si>
    <t>Gürkan ÇELİK</t>
  </si>
  <si>
    <t>ϜϓſϞ Tina Üçok ϜϓſϞ</t>
  </si>
  <si>
    <t>#TurkishArmy #BarisPinariHarekati Operasyon başladı diyenlere kapak mahiyetinde paylaşımdır. Abd askerimizi çektik demişti, ve asker çektiğini söylediği bölgede aralıksız devriye atmaya…</t>
  </si>
  <si>
    <t>https://www.instagram.com/p/B3ZPXiihmgmhgX3AiSGo6iP2Dncs_6J8znapJs0/?igshid=sy6xyal38wwp</t>
  </si>
  <si>
    <t>Londra</t>
  </si>
  <si>
    <t>ϜϓſϞ Türk tarihi ve Asya kültürü uzmanı, Şerefli bir Subayın kızı. Ergenekon, balyoz gibi kumpaslarla yıkılmayan bir ailenin kızı. Bir Üçok, Bir Salur, Bir Türk</t>
  </si>
  <si>
    <t>Hatice Yavuz</t>
  </si>
  <si>
    <t>Beklenen an geldi #TurkishArmy</t>
  </si>
  <si>
    <t>https://pbs.twimg.com/media/EGbjE-8XkAAFrnF.jpg</t>
  </si>
  <si>
    <t>KaraCoin</t>
  </si>
  <si>
    <t>#TurkishArmy #TürkAskeri RT @TheLaikYobaz: Bugüne kadar izlediğim en güzel video bu olabilir. Türk Askerinin gittiği her yerde umut vardır... #KurdsSideWithTurkey #BarışPınarı</t>
  </si>
  <si>
    <t>https://twitter.com/TheLaikYobaz/status/1181637727068069888</t>
  </si>
  <si>
    <t>pic.twitter.com/8c4Xsey6zo</t>
  </si>
  <si>
    <t>Bussines Management - Globalization and IR - Grants Project Consultant - Intelligence</t>
  </si>
  <si>
    <t>https://file.army/karacoin</t>
  </si>
  <si>
    <t>Cemal Dayı</t>
  </si>
  <si>
    <t>Sıktı bu savaşa hayır muhabbeti! Askerde bizim orduda bizim, sınırlarımıza bir terör devleti kurulmak isteniyor. Uzatmanın manası yok. Askerimiz girip orayı temizleyecek! Bizede bu kararı veren devletimizin yanında olmak düşer!! #TurkishArmy</t>
  </si>
  <si>
    <t>Sakladım söylemedim, Derdimi gizli uyuttum Rt edenleri ve takip edenleri takip ediyorum.</t>
  </si>
  <si>
    <t>Mr.Süleyman</t>
  </si>
  <si>
    <t>🇹🇷🇹🇷🇹🇷🇹🇷🇹🇷🇹🇷🇹🇷🇹🇷🇹🇷🇹🇷🇹🇷🇹🇷🇹🇷Bu gelen Ordu Türk’ün ordusu , Allah yar ve yardımcınız olsun 🇹🇷🇹🇷🇹🇷🇹🇷🇹🇷🇹🇷🇹🇷🇹🇷🇹🇷🇹🇷🇹🇷🇹🇷🇹🇷 #TurkishArmy</t>
  </si>
  <si>
    <t>https://pbs.twimg.com/media/EGbjEgRXUAEuHkv.jpg</t>
  </si>
  <si>
    <t>https://www.instagram.com/invites/contact/?i=yly2reczp85l&amp;utm_content=hmci30</t>
  </si>
  <si>
    <t>Fuat Ozen</t>
  </si>
  <si>
    <t>@mustafaislamogl Savaş değil, terörle mücadele! Koalisyon, Deaş’la mücadele ederken bu lobi çalışabiliyor muydu? #SAVASAHAYIR ‘ı yanlış yerde kullanıyorsunuz. Onun bunun taşeronluğunu yapıp, en çok kendi soydaslarina eziyet çektiren terör örgütüne karşı durduğumuz yer belli olsun. #TurkishArmy</t>
  </si>
  <si>
    <t>İletişim Danışmanı</t>
  </si>
  <si>
    <t>Rabia ÇELİK</t>
  </si>
  <si>
    <t>Sağlık Teknikeri 💉👩🏻‍⚕️</t>
  </si>
  <si>
    <t>Dilara COŞKUN</t>
  </si>
  <si>
    <t>@ihsaneliacik @edipyuksel Siz ve saçma fikirleriniz bir bitmediniz! #SavasaEvet #TurkishArmy</t>
  </si>
  <si>
    <t>pic.twitter.com/9CZ8QQ7fk2</t>
  </si>
  <si>
    <t>Bülent Ecevit Üniversitesi/İLAHİYAT</t>
  </si>
  <si>
    <t>Kübra 🌙</t>
  </si>
  <si>
    <t>İngiliz Kraliyetinin Şube Başkanı KK, PKK yı yalıyor, esadı yalıyor, mezhepçilik yapıyor, fetö ye selam çakıyor, Bir tek memleketine sahip çıkmıyor! İlk kurulduğundaki gibi! #CHPKK #TurkishArmy</t>
  </si>
  <si>
    <t>Devlet-i Ebed-Müddet</t>
  </si>
  <si>
    <t>' Yalnızlığımı Biliyorum Ama Mücadelemi Sürdüreceğim'' 🇹🇷 #RTE 🇹🇷 #İHL 🇹🇷</t>
  </si>
  <si>
    <t>Omurabc</t>
  </si>
  <si>
    <t>Bundan sonra okullarda; Ben ezelden beridir hür yaşadım, hür yaşarım.Hangi çılgın bana zincir vuracakmış şaşarım!Kükremiş sel gibiyim, bendimi çiğner, aşarım.Yırtarım dağları, enginlere sığmam, taşarım.🇹🇷🇹🇷🇹🇷 #TurkishArmy</t>
  </si>
  <si>
    <t>Olması gerektiği kadar fedakar biriyim aslında; daha fazlasını umma açıkçası. Endişelerim, ideallerim, halletmeye çalıştığım meselelerim var. Başkalaşmaya çalış</t>
  </si>
  <si>
    <t>7BelaHüsnü</t>
  </si>
  <si>
    <t>ALIN SĪZE ÛMMET,, #arapbirliği #TurkishArmy #carsamba #Syria RT @ttahaber: Arap Birliği: Türkiye'nin Suriye kuzeyine düzenleyeceği harekatı reddediyoruz.</t>
  </si>
  <si>
    <t>https://twitter.com/ttahaber/status/1181861562941870080</t>
  </si>
  <si>
    <t>https://pbs.twimg.com/media/EGbQ0vTXYAAVesi.jpg</t>
  </si>
  <si>
    <t>Samsunun Ladik kazası</t>
  </si>
  <si>
    <t>🇹🇷Takip edeni takip ederiz,Eğlence Mizah Bizim İşimiz..Kemal Abimizin hastasiyiz..🇹🇷 tabiki; ----ATATÜRK ----</t>
  </si>
  <si>
    <t>Erdem Dirik</t>
  </si>
  <si>
    <t>Rabbim ayağınıza taş değdirmesin aslanlar #TurkishArmy</t>
  </si>
  <si>
    <t>Maybe one Day 🤷‍♂️</t>
  </si>
  <si>
    <t>Müge Aykol</t>
  </si>
  <si>
    <t>Eğer çok konuşmak faydalı olsaydı, Allah iki ağız bir kulak verirdi. Onun için, çok dinleyip az konuşmak gerek. #TurkishArmy</t>
  </si>
  <si>
    <t>”Seni seviyorum çünkü bütün evren sana ulaşmam için işbirliği yaptı.” -Paulo Coelho</t>
  </si>
  <si>
    <t>Barış B.</t>
  </si>
  <si>
    <t>#TurkishArmy ABD insanlığın doğal düşmanıdır.</t>
  </si>
  <si>
    <t>Reweetlerim Onayladigim İcin Degil, İlginc Bulduğumdur. Sadece Yorumlarim Beni Baglar</t>
  </si>
  <si>
    <t>İYİ BİR İNSAN</t>
  </si>
  <si>
    <t>https://pbs.twimg.com/media/EGbi9jiWoAAFWlW.jpg</t>
  </si>
  <si>
    <t>2006 yılı TİME dergisi yılın insanı ödülü 🏆</t>
  </si>
  <si>
    <t>Furkan Avcı</t>
  </si>
  <si>
    <t>https://pbs.twimg.com/media/EGbi9ISW4AA0MhR.jpg</t>
  </si>
  <si>
    <t>Nişantaşı University İnterior Architecture👨🏻‍🏫 Interior Architect Candidate 👨🏻‍💻📝📖⚒ o2.o2. 🙏🏻</t>
  </si>
  <si>
    <t>👉~TriBüN ÇoCukLaRı~👈</t>
  </si>
  <si>
    <t>https://pbs.twimg.com/media/EGbi9ypWoAIFfWu.jpg</t>
  </si>
  <si>
    <t>♥️💛Galatasaray senin uğruna, varsın gülmesin kaderim. sana armağan bu son nefesim, sensiz dünyayi ben neyleyim!..♥️💛 #ultrAslan #Hedef23</t>
  </si>
  <si>
    <t>http://galatasaray.org</t>
  </si>
  <si>
    <t>Ömer Faruk Güngör</t>
  </si>
  <si>
    <t>https://pbs.twimg.com/media/EGbi79pXUAEETHg.jpg</t>
  </si>
  <si>
    <t>Sp:omergngr5 İG:omerfrkgngr Beşiktaşk AslanBeyefendisi</t>
  </si>
  <si>
    <t>Kaç Saat Oldu?</t>
  </si>
  <si>
    <t>https://pbs.twimg.com/media/EGbi6rgWoAAkKYE.jpg</t>
  </si>
  <si>
    <t>Unutulmaması gereken gerçekleri tekrar tekrar hatırlatmak için buradayız. - Taklitlerimizden sakının..</t>
  </si>
  <si>
    <t>ZicTireD</t>
  </si>
  <si>
    <t>Ulan biz Türk,Kürt,Laz,Çerkez hep birlikte güzeliz beee... #TurkishArmy #Çarşamba RT @Turan1530: Sınır Hattında Boşaltılan Bir Köyde Kürt anamız emretti; ONLARI EZİN! #TurkishArmy 🇹🇷</t>
  </si>
  <si>
    <t>Sadece_R.T.E</t>
  </si>
  <si>
    <t>İsmail Çoban</t>
  </si>
  <si>
    <t>Büyük Hun İmparatoru ATİLLA; "Sınırlarınızda sorun varsa; Çözüm, sınırları genişletmektir." #turkmilletiordusununyaninda #BarısPınarlarıHarekatı #TurkishArmy</t>
  </si>
  <si>
    <t>https://pbs.twimg.com/media/EGbi4GrXoAIT2aC.jpg</t>
  </si>
  <si>
    <t>Hilal Durmuş</t>
  </si>
  <si>
    <t>Hazır daima hazır! #TurkishArmy</t>
  </si>
  <si>
    <t>Psikolojik Danışmanlık ve Rehberlik |Sakarya Üniversitesi</t>
  </si>
  <si>
    <t>hakan</t>
  </si>
  <si>
    <t>🇹🇷#TurkishArmy</t>
  </si>
  <si>
    <t>Aykut Doruk</t>
  </si>
  <si>
    <t>İşte Batı👉"Papa Francis, İrlanda'da yaptığı açıklamada kilisenin üstünü örttüğü cinsel suçları 'iğrenç' olarak tanımladı ve utancın sürdüğünü söyledi. Papa Benedikt de sekiz yıl önce taciz kurbanlarından özür dilemiş #TurkishArmy</t>
  </si>
  <si>
    <t>"Justice is conscience, not a personal conscience but the conscience of the whole of humanity." -Alexander Solzhenitsyn</t>
  </si>
  <si>
    <t>Mehmet Mansur AYTAÇ</t>
  </si>
  <si>
    <t>Savaş bizim düğünümüzdür. 🇹🇷🇹🇷🇹🇷🇹🇷🇹🇷🇹🇷🇹🇷🇹🇷🇹🇷🇹🇷🇹🇷🇹🇷🇹🇷🇹🇷🇹🇷🇹🇷 #TurkishArmy</t>
  </si>
  <si>
    <t>pic.twitter.com/qguJOvW7OO</t>
  </si>
  <si>
    <t>Dünyalı</t>
  </si>
  <si>
    <t>#Türkiye 🇹🇷 #Fenerbahçe 💛💙</t>
  </si>
  <si>
    <t>Burak Savaş</t>
  </si>
  <si>
    <t>#TurkishArmy çırpınırdı Karadeniz bakıp TÜRKÜN bayrağına</t>
  </si>
  <si>
    <t>https://pbs.twimg.com/media/EGbiylLXoAAAkex.jpg</t>
  </si>
  <si>
    <t>Osmanlı torunuu cCc</t>
  </si>
  <si>
    <t>Mümin İlaslan</t>
  </si>
  <si>
    <t>https://pbs.twimg.com/media/EGbizM-XUAAJgyc.jpg</t>
  </si>
  <si>
    <t>GRÜ 📚</t>
  </si>
  <si>
    <t>Oktay Özdemir</t>
  </si>
  <si>
    <t>Allah Türk'ü korusun ve yüceltsin. #TurkishArmy</t>
  </si>
  <si>
    <t>Hayat seninle en güzel şekilde şekillenirken ona birşeyler katmak tüm dileklerin en güzeli... Bir Öğretmen</t>
  </si>
  <si>
    <t>Tuncay Demırtas</t>
  </si>
  <si>
    <t>#TurkishArmy #TurkishArmy #TurkishArmy #TurkishArmy</t>
  </si>
  <si>
    <t>Yaşar Keklik</t>
  </si>
  <si>
    <t>İki ordu vardır: Biri gazâ ordusu, diğeri de duâ ordusu ve bu savaşlar, bu iki ordunun ittifakı ile kazanılır. İmam Rabbani Hz. #TurkishArmy RT @alikeskin_tr: Bismillahirrahmanirrahim İnna fetahna leke fetham mübına #TurkishArmy</t>
  </si>
  <si>
    <t>Evlad-ı OSMANLI🇹🇷🇹🇷🇹🇷🇹🇷🇹🇷</t>
  </si>
  <si>
    <t>Alaaddin Büyükçapar</t>
  </si>
  <si>
    <t>#TurkishArmy Allah yardımcınız olsun. Her zaman yanınızdayız İnşallah Zafer Bizimdir</t>
  </si>
  <si>
    <t>Kahramanmaraş / Türkiye</t>
  </si>
  <si>
    <t># Can</t>
  </si>
  <si>
    <t>Bütün dünya baronları Türkiye ye düşman, bizim yanımızda ise önce Allah, sonra Mazlumun duası var.! İşte bu güzel bir şey. #TurkishArmy #CheGuevara</t>
  </si>
  <si>
    <t xml:space="preserve"> |🇹🇷  İzmir</t>
  </si>
  <si>
    <t>Kış masalı.🌜❄️☃️</t>
  </si>
  <si>
    <t>Firuze Olmaz</t>
  </si>
  <si>
    <t>Siyonizm piyasaya bir "hoca" süreceği zaman önce onu parlatır. Mesela ateistlerle yada kimsenin sevmediği kişilerle tartıştırır, halkın sempatisini kazanan kişi artık "hoca"dır. Örnek mi? Yaşar Nuri. #TurkishArmy</t>
  </si>
  <si>
    <t>"Everybody is ignorant, only on different subjects." -Will Rogers</t>
  </si>
  <si>
    <t>🇹🇷 Wenise:) Babies Kids Fashions 🇹🇷</t>
  </si>
  <si>
    <t>Twittere 5 dakikalığına girdim Trump a küfür edip çıkıcam Şerefsiz Trump #TurkishArmy</t>
  </si>
  <si>
    <t>Karaköprü, Şanlıurfa, Türkiye</t>
  </si>
  <si>
    <t>Çocuk istismarına hayır... Yedek: @wenise_babies Yedek: @wenise_fashions http://instagram.com/p/BzN_BS-JKhG/…</t>
  </si>
  <si>
    <t>https://wenisebabieskidsfashions.weebly.com/</t>
  </si>
  <si>
    <t>İnsaniyet Mektebi</t>
  </si>
  <si>
    <t>Tanzanya da öyle bir kardeşlik köprüsü kurduk ki, şu içinde bulunduğumuz zorlu süreçte duaları ile bizleri desteklemeyi kendilerine borç bildiler Elhamdülillah. Köy köy İslamı anlatan, kuran öğrenilsin diye ağır işkencelere maruz kalan, ezherde okuyup... #TurkishArmy</t>
  </si>
  <si>
    <t>pic.twitter.com/5WWzUuV1Sj</t>
  </si>
  <si>
    <t>YouTube/İNSANİYETMEKTEBİ Instagram/@insaniyetmektebi</t>
  </si>
  <si>
    <t>İsmail Yeğin</t>
  </si>
  <si>
    <t>Ulan tasmalı köpek ! İçinizden geçtiğimizde, şeref neymiş kaç okkaymış göstereceğiz size ! #TurkishArmy RT @sedatsurr: “Erdoğan, o kadar propaganda yapıyor. Gelmezse şerefsizdir” #RojavaKazanacak</t>
  </si>
  <si>
    <t>https://twitter.com/sedatsurr/status/1181158205164007425</t>
  </si>
  <si>
    <t>pic.twitter.com/RYkHc4Ur8G</t>
  </si>
  <si>
    <t>Selda Soyer 🇹🇷</t>
  </si>
  <si>
    <t>Türklerin Suriye'de ne işi var diyenler iyi izle! - Türkler, müslümanlar gelmişler. - Allah'a şükür YPG/PKK kopeklerinden kurtulduk. - Ne namus bıraktılar, ne çocuk bıraktılar. - 8 çocuğum vardı hepsi gitti. Hiçbiri kalmadı. Askerin tesellisine bakın 🇹🇷 #TurkishArmy</t>
  </si>
  <si>
    <t>Bismillahi mecraha ve mürsaha,inne Rabbî le gafururrahîm...</t>
  </si>
  <si>
    <t>http://Instagram.com/seldasoyer_</t>
  </si>
  <si>
    <t>Mustafa Memiş</t>
  </si>
  <si>
    <t>Başlıyoruz. #TurkishArmy</t>
  </si>
  <si>
    <t>https://pbs.twimg.com/media/EGbipU4XoAUoX44.jpg</t>
  </si>
  <si>
    <t>Ülküm. Türklüğü ve Türkü sevmekle başlar. Uğrunda ölmekle biter.</t>
  </si>
  <si>
    <t>Fatih ALTUNYILDIZ</t>
  </si>
  <si>
    <t>Adam adam 👏 #TurkishArmy</t>
  </si>
  <si>
    <t>ALANYA</t>
  </si>
  <si>
    <t>[[ BEŞİKTAŞK ♡ ]]</t>
  </si>
  <si>
    <t>ahmet bal</t>
  </si>
  <si>
    <t>Zalime yavuz mazluma Yunus olmaya geliyoruz bekleyin bizi #pkk #ypg #pyd #TurkishArmy</t>
  </si>
  <si>
    <t>daralhan</t>
  </si>
  <si>
    <t>Mehmetçik sen ordan biz burdan #TurkishArmy #5816SayılıKanunKaldırılsın #turkmilletiordusununyaninda</t>
  </si>
  <si>
    <t>https://pbs.twimg.com/media/EGbifaWW4AEOeWK.jpg</t>
  </si>
  <si>
    <t>kpax</t>
  </si>
  <si>
    <t>besmele... hamdele... salat ile...</t>
  </si>
  <si>
    <t>Abdullah sabuncuoğlu</t>
  </si>
  <si>
    <t>Kilis'in Güneşli köyündeki çocuklar tarafından hazırlanan bu anlamlı video yu beğenip paylaşalım #TurkishArmy</t>
  </si>
  <si>
    <t>pic.twitter.com/3X0Hbw9ClL</t>
  </si>
  <si>
    <t>Kilis</t>
  </si>
  <si>
    <t>#MustafaKemalATATÜRK</t>
  </si>
  <si>
    <t>murat ⚡</t>
  </si>
  <si>
    <t>Esenler, İstanbul</t>
  </si>
  <si>
    <t>Şanlıurfa Rahmet Derneği</t>
  </si>
  <si>
    <t>#TurkishArmy RT @RahmetSanl: Malumunuz kış geliyor ihtiyaç sahibi ailelere az da olsa küçük bir katkı yapmak istiyoruz. Ekonomik koli A101 online magazadan da alabileceginiz ürünlerin toplam fiyatı 66.40 krş ailelerin bilgileri mevcut ve teyitlidir.</t>
  </si>
  <si>
    <t>https://twitter.com/RahmetSanl/status/1181878119755583488</t>
  </si>
  <si>
    <t>https://pbs.twimg.com/media/EGbf29YXYAAeFfZ.jpg</t>
  </si>
  <si>
    <t>Ben gelmedim da'vi için benim işim sevi için Dostun evi gönüllerdir, gönüller yapmağa geldim (Yunus Emre)</t>
  </si>
  <si>
    <t>Avrυpalı Türĸler 🇹🇷</t>
  </si>
  <si>
    <t>Anadolu hindiye kadar gördüğü en çetin, en şiddetli cenki görecek. Gayri esaret zincirini kırıp hürriyet kıyamına katma vaktidir. Çok kan dökülecek, çok canlar gidecek, lakin Allah’ın izniyle dökülen kanlar üzerinde Türk’ün hürriyet ateşi yeniden yükselecek. #TurkishArmy</t>
  </si>
  <si>
    <t>pic.twitter.com/PUpj4OoCoZ</t>
  </si>
  <si>
    <t>Avrupa</t>
  </si>
  <si>
    <t>Yurt dışında yaşayan Türklerin sesi.</t>
  </si>
  <si>
    <t>Yusuf Sönmez</t>
  </si>
  <si>
    <t>RABBİM TÜRK ASKERİNİ VE ÖSO BİRLİKLERİNİ KORUSUN🇹🇷 #TurkishArmy 🇹🇷</t>
  </si>
  <si>
    <t>Emin Canpolat</t>
  </si>
  <si>
    <t>#TurkishArmy #BarışPınarı Vur Mehmed’im. Sen ALLAHIN yeryüzündeki askerisin. Vur ki yeşersin yeryüzü. Vur ki aydınlansın gökyüzü. Vur ki adalet tecelli etsin. Vur ki Ümmetin baharı gelsin.</t>
  </si>
  <si>
    <t>https://pbs.twimg.com/media/EGbigEYX0AERKei.jpg</t>
  </si>
  <si>
    <t>OSMANLI OCAKLARI 1453 GENEL BAŞKANI / AK PARTİ ERZURUM YAKUTİYE ( K. KARABEKİR )KURUCU BAŞKANI / VATANA VE BAYRAĞA VAKFEDİLMİŞ BİR ÖMÜR</t>
  </si>
  <si>
    <t>http://osmanliocaklari1453.com</t>
  </si>
  <si>
    <t>🇹🇷ZAFER🇹🇷🌙</t>
  </si>
  <si>
    <t>Hazırmısınız Ey Şanlı Türk Milleti #TurkishArmy</t>
  </si>
  <si>
    <t>https://pbs.twimg.com/media/EGbieRIWoAAxEax.jpg</t>
  </si>
  <si>
    <t>ERDOGANIN HEMEN YANI</t>
  </si>
  <si>
    <t>Savaş yalnız sınırlarda olmaz Savaş bir milletin topyekûn ateşe girmesidir Eğer bu bütünlük sağlanmamışsa zafer tesadüf yenilgi kaderdir #Abdülhamit @MilayZafer</t>
  </si>
  <si>
    <t>MUHİBBÂN</t>
  </si>
  <si>
    <t>Peygamber Efendimizin (asm) Hayber'de Hz. Ali (ra) için ettiği dualar üzerinize olsun yiğitler. 🤲🏻🇹🇷 #TurkishArmy #BarisPinariHarekati</t>
  </si>
  <si>
    <t>https://pbs.twimg.com/media/EGbic3XXYAAcub2.jpg</t>
  </si>
  <si>
    <t>“Ya Bâkî Entel Bâkî”</t>
  </si>
  <si>
    <t>Enver Özhan</t>
  </si>
  <si>
    <t>(Şeytan dedi ki: Sonra elbette onlara önlerinden, arkalarından, sağlarından, sollarından sokulacağım ve sen, onların çoklarını şükredenlerden bulmayacaksın! El-A'raf,17 #TurkishArmy</t>
  </si>
  <si>
    <t>https://pbs.twimg.com/media/D2Kv8tZWkAEPgwO.jpg</t>
  </si>
  <si>
    <t>Delirmenin insanı yaşattığı söylenir</t>
  </si>
  <si>
    <t>onlynour</t>
  </si>
  <si>
    <t>"Şu kopan fırtına Türk ordusudur yâ Rabbi. Senin uğrunda ölen ordu, budur yâ Rabbi. Ta ki yükselsin ezanlar müeyyide nâmın, Galib et, çünkü bu son ordusudur İslâm'ın." 🇹🇷🇹🇷🇹🇷 #TurkishArmy #BarısPınarlarıHarekatı #StandWithTheKurds RT @TSKGnkur: Ben Türk Komandosuyum!!! 🇹🇷 #TürkSilahlıKuvvetleri</t>
  </si>
  <si>
    <t>🇹🇷DrMirAlayميرآلای ☪️</t>
  </si>
  <si>
    <t>Mansur Yavaş’ı en önde gönderelim, adam konuşmuyor bildiğin S-400 atıyor... #TurkishArmy</t>
  </si>
  <si>
    <t xml:space="preserve">Fizan </t>
  </si>
  <si>
    <t>Vatan sevdalısı Türk♊️ evsiz, işsiz, fakir, Siyasi, Aşk, Acı, Şiir, Yemek, Tatlı’ şikemperver ❌dilsizşeytanlar, yalancılar❌noFFnoEtiket🚭 no DM no dırdır</t>
  </si>
  <si>
    <t>Safa Taşkıran</t>
  </si>
  <si>
    <t>#TurkishArmy türk beklenendir🇹🇷🇹🇷🇹🇷</t>
  </si>
  <si>
    <t>https://pbs.twimg.com/media/EGbiZ4rWsAA_uRd.jpg</t>
  </si>
  <si>
    <t>Yahya KARATAŞ</t>
  </si>
  <si>
    <t>İstanbul’a uyuşturucuyu ekseriyetle PKK taşıyor. Sözde sanatçıların -ki bir çoğu müptezel #SavasaHayırً çığırtkanlığına bir de bu yönden bakın. #TurkishArmy #carsamba</t>
  </si>
  <si>
    <t>ANKARA KARABÜK</t>
  </si>
  <si>
    <t>International Relations-Ph.D.Candidate/Yıldırım Beyazıt University English/Deutsch/русский - Speech Writer Yiğit Alp’in Babası</t>
  </si>
  <si>
    <t>http://yahyakaratas.blogspot.com</t>
  </si>
  <si>
    <t>Samet Cerrah</t>
  </si>
  <si>
    <t>Vur şanlı silahınla gönül mülkü düzelsin; Sen öldürüyorken de vururken de güzelsin #TurkishArmy</t>
  </si>
  <si>
    <t>https://pbs.twimg.com/media/EGbiYhhWwAAzR8z.jpg</t>
  </si>
  <si>
    <t>Türk'üz, Türkçüyüz, ATATÜRKçüyüz. 🇹🇷</t>
  </si>
  <si>
    <t>http://instagram.com/cerrahderler</t>
  </si>
  <si>
    <t>FATİH</t>
  </si>
  <si>
    <t>Tarlaya fare dadanmış temizlik zamanı.#TurkishArmy</t>
  </si>
  <si>
    <t>https://pbs.twimg.com/media/EGbiYNNWwAAChr_.jpg</t>
  </si>
  <si>
    <t>🇹🇷🇹🇷NE MUTLU TÜRK'ÜM DİYENE🇹🇷🇹🇷</t>
  </si>
  <si>
    <t>Berly Chain</t>
  </si>
  <si>
    <t>Derinligini ve genişligini ABD nin belirledigi bir alanda askeri harekat yapacaksın, bunu da vatandaşlarına "herkese ragmen" diye yutturmaya çalışacaksın! Iç siyasetlere dönük mesajların verilebilmesine imkan tanıyan bu harekat gereklimiydi❓ Ümmet nereden soysuz! #TurkishArmy</t>
  </si>
  <si>
    <t>Zürich, Schweiz</t>
  </si>
  <si>
    <t>Berly Chain; Politic, Trading, Forex, Cryptocurrency, HoloChain &amp; BlockChain Technology, History, Nature, Notes on life (Türkçe &amp; English &amp; Deutsch )</t>
  </si>
  <si>
    <t>aykuttbr06</t>
  </si>
  <si>
    <t xml:space="preserve">Sedef Çimen </t>
  </si>
  <si>
    <t>Tanrı Türk'e yâr olsun. #TurkishArmy</t>
  </si>
  <si>
    <t>CT Tarkan Béritan</t>
  </si>
  <si>
    <t>#TurkishArmy Turkish Army'ye değil İslam ordusuna ihtiyacımız var</t>
  </si>
  <si>
    <t>Ali Doğru</t>
  </si>
  <si>
    <t>#TurkishArmy RT @EdaKupakizi: Bu da apayri bir güzellikte👇 gerçeklere gözlerini kapatanlara #TurkishArmy #Trump #TurkMilletiOrdusununYanında</t>
  </si>
  <si>
    <t>https://twitter.com/EdaKupakizi/status/1181494720733880327</t>
  </si>
  <si>
    <t>pic.twitter.com/OZcLcmwE1I</t>
  </si>
  <si>
    <t>Ön yargılarınızı sikeyim. Şimdi siz bu cümleyi okudunuz ya kafanızda bazı düşünceler oluştu, hah işte tam olarak onları...</t>
  </si>
  <si>
    <t>ibrahim zorlu</t>
  </si>
  <si>
    <t>NeSLiihan</t>
  </si>
  <si>
    <t>Dalımızı kıranın ağacını kökünden keseriz #TurkishArmy</t>
  </si>
  <si>
    <t>Konumsuz</t>
  </si>
  <si>
    <t>Yay kadını Galatasaray❤💛 🇹🇷🇹🇷🇹🇷🇹🇷🇹🇷 Maçkalı ama Ünye aşığı.</t>
  </si>
  <si>
    <t>Mahmut KÖK</t>
  </si>
  <si>
    <t>ayağınıza taş değmesin, tüm ülkenin duaları ve iyi niyetleri sizinle.. #TurkishArmy</t>
  </si>
  <si>
    <t>Yasemin Bozok  @ TSK</t>
  </si>
  <si>
    <t>"Yurtta Sulh, Cihanda Sulh"un bence anlami "Türk'ün rahat etmedigi yerde, kimse istirahat edemez"dir.. #TurkishArmy RT @TurgayYESILKAYA: Elbette ki; "Yurtta Sulh, Cihanda Sulh" isteyen bir milletiz. Ancak bu söz; Yurdumuzda barışı bozanların, kafalarını koparmak görevini de vermiştir. Sınırlarımızın içinde ya da dışında olmaları farketmez.. #TurkishArmy</t>
  </si>
  <si>
    <t>https://twitter.com/TurgayYESILKAYA/status/1181879981745561600</t>
  </si>
  <si>
    <t>Nederland</t>
  </si>
  <si>
    <t>🐺🐺🐺 Türküm, bu ad her ünvandan üstündür!</t>
  </si>
  <si>
    <t>Siyah_sancak</t>
  </si>
  <si>
    <t>İçi sizlamayanin..... siz çoksunuz BİZ "TÜRK " 🇹🇷 #TurkishArmy #TurkeyIsNotOurFriend #TürkMilletiOrdusununYanında  RT @kamerkoksoy: Allah yar Ve yardımcınız olsun. #turkmilletiordusununyaninda #TurkishArmy</t>
  </si>
  <si>
    <t>https://twitter.com/kamerkoksoy/status/1181415923426775040
https://twitter.com/hiyibildiren/status/1181303306846646272</t>
  </si>
  <si>
    <t>ön yargilarinizin ta...</t>
  </si>
  <si>
    <t>Mushtak_Web_Developer</t>
  </si>
  <si>
    <t>My #psd_to_html work done for client on . How is it? For #psd to #HTML #responsive contact me:  mushtakahmed@gmail.com #StrayKids_DoubleKnot #StrayKidsComeback ノーベル化学賞 #BacheloretteAU #TurkishArmy ARASHI #WorkFromHome</t>
  </si>
  <si>
    <t>http://fiver.com
http://bit.ly/2s91hJB</t>
  </si>
  <si>
    <t>https://pbs.twimg.com/media/EGbiQo8XUAAgxNd.jpg</t>
  </si>
  <si>
    <t>Bangladesh</t>
  </si>
  <si>
    <t>Hello. Thank you for visiting my profile! I am a #web #designer and #developer. I will be glad to assist you to #design your websites and improve responsiveness</t>
  </si>
  <si>
    <t>http://bit.ly/2UO4Xhb</t>
  </si>
  <si>
    <t>Erhan AKGÜÇ</t>
  </si>
  <si>
    <t>"Kafirle çatışmayı göze alan Müslümana TÜRK denir."İsmet Özel Allah'ın kılıcı vazifesi gören Türk'ün Muzaffer Ordusu mazlumların umudu olarak tekrardan geçtiği yerlere huzuru getirmeye gidiyor. Ve şuda bilinsinki bu vatanı sahipsiz bırakırsak gök girsin kızıl çıksın! #TurkishArmy</t>
  </si>
  <si>
    <t>https://pbs.twimg.com/media/EGbiP3XXUAAgUcP.jpg</t>
  </si>
  <si>
    <t>Fethiye</t>
  </si>
  <si>
    <t>https://instagram.com/hadimul_islam1?igshid=808wswoxehbb</t>
  </si>
  <si>
    <t>Bir Osmanli Evladi ⚡🇹🇷</t>
  </si>
  <si>
    <t>#TurkishArmy #BarisPinari Soran olursa Muhammet Mustafa s.a.v askerleri dersiniz Atasının izinden gidiyorlar</t>
  </si>
  <si>
    <t>https://pbs.twimg.com/media/EGbiPX4WwAAoOnA.jpg</t>
  </si>
  <si>
    <t xml:space="preserve">İstanbul, Türkiye Trabzon </t>
  </si>
  <si>
    <t>Kardeşkal Türkiye grup üyesi Vatan ve Erdoğan sevdalısı Evli 2 çoçuk babası Trabzonspor 💓💙 @Deli_Poyraz_Rt</t>
  </si>
  <si>
    <t>Eyt_Hakan</t>
  </si>
  <si>
    <t>#TurkishArmy geliyor.sıçanlar kaçacak yer arıyor.</t>
  </si>
  <si>
    <t>İsmail DOĞAN</t>
  </si>
  <si>
    <t>https://pbs.twimg.com/media/EGbiO_vXYAARA3R.jpg</t>
  </si>
  <si>
    <t>Turan</t>
  </si>
  <si>
    <t>Ak Parti Gençlik Kolları Bşkn Yard./Tanıtım Medya Bşkanı/Ak Parti İdari İşler Ve Sekrt./ Karaköprü Skm Bşkn Yard./@SeriyyeVakfi Yönetim Kurulu Üyesi</t>
  </si>
  <si>
    <t>http://www.xn--serriyevakf-9zb.com.tr</t>
  </si>
  <si>
    <t>Dart Vâde</t>
  </si>
  <si>
    <t>#TurkishArmy Vur Pençe-i Âlî'deki şemşîr aşkına Gülbang-ı âsmânı tutan pîr aşkına</t>
  </si>
  <si>
    <t>earth</t>
  </si>
  <si>
    <t>Dart Vâde original account. Hazreti Şit buyurdu ki, Dart Vâde benim müridimdir. Onun sözünün üstüne söz bilmeyin. ~from shit's book</t>
  </si>
  <si>
    <t>https://twitter.com/otomatikportakal/status/969113572973469698?s=19</t>
  </si>
  <si>
    <t>Rıdvan KELEŞ</t>
  </si>
  <si>
    <t>https://pbs.twimg.com/media/EGbiN4nX0AE7v_H.jpg</t>
  </si>
  <si>
    <t>Tengri biz menen! 🇹🇷 🕊 #TFF</t>
  </si>
  <si>
    <t>Semih Kuran</t>
  </si>
  <si>
    <t>İnna fetehna leke fethan Mübina...🇹🇷🇹🇷🇹🇷 #turkmilletiordusununyaninda #BarisPinariHarekati #TurkishArmy</t>
  </si>
  <si>
    <t>https://pbs.twimg.com/media/EGbiMdZWkAMj3S0.jpg</t>
  </si>
  <si>
    <t>TC ve GS</t>
  </si>
  <si>
    <t>#TurkishArmy Amerika yetkilisi diyor ki ; "YPG'ye silah ve her türlü desteği veriyoruz, bunu her ay şaffaf olarak Türkiye ile paylaşıyoruz"... Bu oynanan oyunun adı EKONOMİ ÇÖKTÜ!!! VE PARAYI SİLAHA HARCADIK DİYECEKLER 1 MERMİ KAÇ PARA HABERİN VARMI DİYECEKLER.</t>
  </si>
  <si>
    <t>https://pbs.twimg.com/media/EGbiMD2WwAAmdDu.jpg</t>
  </si>
  <si>
    <t>Mustafa Kemal ATATÜRK 💛❤️</t>
  </si>
  <si>
    <t>Erkan Baran</t>
  </si>
  <si>
    <t>#TurkishArmy selâm olsun peygamber ordusuna</t>
  </si>
  <si>
    <t>Sınırlı seviyeli düzeyli</t>
  </si>
  <si>
    <t>Göktürk M. Solakoğlu</t>
  </si>
  <si>
    <t>https://pbs.twimg.com/media/EGbiLnLWkAEOdDy.jpg</t>
  </si>
  <si>
    <t>Erciyes Besyo Aşktır</t>
  </si>
  <si>
    <t>Hakan Ocak</t>
  </si>
  <si>
    <t>”HAYATIN ANLAMI GALATASARAY”</t>
  </si>
  <si>
    <t>http://Instagram.com/hakanock/</t>
  </si>
  <si>
    <t>Merve Yeter</t>
  </si>
  <si>
    <t>Bayrağının rengini bile kandan alan bir milleti Topla tüfekle korkutamazsınız.. Bu asil kan yeri gelir tankın önüne yatar yeri gelir düşmanı ininden çıkartır.. Yeri gelir ekmeğini esir aldıgı düşmanına yedirir kendi aç kalır..Bu yüzden Ne Mutlu Türk'üm diyene🇹🇷🤘🏻#TurkishArmy</t>
  </si>
  <si>
    <t>https://pbs.twimg.com/media/EGbiH6JWwAAhG-3.jpg</t>
  </si>
  <si>
    <t>Yaşadıkça Türkçüyüz 🤘🏻🇹🇷</t>
  </si>
  <si>
    <t>İmran Gerilmez</t>
  </si>
  <si>
    <t>Tanpınar’ın sanat eserlerinde bile fikir, arka planda insan hayatını gizliden gizliye idare eden esrarlı kainat gibi derinleşir. -Ahmet Hamdi Tanpınar</t>
  </si>
  <si>
    <t>🇹🇷 Nusret Y. 🇹🇷</t>
  </si>
  <si>
    <t>Nizam-ı âlem tesis olunana kadar cenk! #TurkishArmy</t>
  </si>
  <si>
    <t>Türkiye / Alamanya</t>
  </si>
  <si>
    <t>DİKKAT! Bazı twitlerim ağır ironi içerir..! Anlamayan uzak dursun..! Bazen yobaz ve gerici, bazen çağdaş ve ilerici..! Hubbu Fillah Buğdu Fillah... #Galatasaray</t>
  </si>
  <si>
    <t>ramazan uyanmaz</t>
  </si>
  <si>
    <t>Çok sustuk.Konuşma vakti. #TurkishArmy</t>
  </si>
  <si>
    <t>ibrahim  özyavuz</t>
  </si>
  <si>
    <t>pic.twitter.com/KUYXzlijqt</t>
  </si>
  <si>
    <t>🇹🇷🇹🇷🇹🇷BAYRAKLARI BAYYRAK YAPAN ÜSTÜNDEKİ KANDIR EĞER UĞRUNDA ÖLEN VARSA VATANDIR🇹🇷🇹🇷💪💪</t>
  </si>
  <si>
    <t>Selcuk Erturkkol</t>
  </si>
  <si>
    <t>Yâ Allah Bismillah #TurkishArmy</t>
  </si>
  <si>
    <t>https://pbs.twimg.com/media/EGbiGwAWsAAWJjG.jpg</t>
  </si>
  <si>
    <t>👉LÂ GALİBE İLLALLAH 👈 FENERBAHÇE'Lİ🇹🇷</t>
  </si>
  <si>
    <t>Okyanus Cömert</t>
  </si>
  <si>
    <t>🤲❤💪 #TurkishArmy</t>
  </si>
  <si>
    <t>Hayat sahnesi Dram da olsa Bu kez söz güleceğim Dans et Benimle dans et Tut şu elimden kurtar dertlerimden Dans et Benimle dans et Kimse etmezken Sen…</t>
  </si>
  <si>
    <t>safa</t>
  </si>
  <si>
    <t>https://pbs.twimg.com/media/EGbiE6gWsAAzAvU.jpg</t>
  </si>
  <si>
    <t>Minas Morgul</t>
  </si>
  <si>
    <t>kültür-sanat aşığı ısengartasaray holiganı hayvan sever bir uruk-hai düşünün</t>
  </si>
  <si>
    <t>https://www.instagram.com/safaarsln/?hl=tr</t>
  </si>
  <si>
    <t>nlnrudra1</t>
  </si>
  <si>
    <t>@HurOsmanliTT @imanvevatan @AbiSayn @Derdim__dvm @ANTALYA_41 @SudeMirayCan @Aksevdam_Mavi @Sehriban55__ @ElvanErdoan15 @Turks_alp YARAB Sefer bizim,zafer yalnızca SENİNDİR (c.c) Bizler doğru yol üzere sefer etmemizi nasip et ve yardım eyle...(Allahumme Amin ) #TurkishArmy #neredekalmıştık #BarisPinari</t>
  </si>
  <si>
    <t>https://pbs.twimg.com/media/EGbiEWgXkAAiM9M.jpg</t>
  </si>
  <si>
    <t>Biz Ölümüne Ölümüne 🇹🇷 GRUPLARA EKLEMEYİN Lütfen</t>
  </si>
  <si>
    <t>AzBuz.Org</t>
  </si>
  <si>
    <t>ABD, Müslümanlara Yapılan Zulüm’den Dolayı Çinli Yetkililerin Vizelerine Kısıtlama Getirdi !  -- #KendineGelPezeberk #TurkishArmy #deprem #EmineBulut #CheGuevara #ABD #Çin Haluk Levent #tubayayardımedin Divan Restaurant Diyarbakır 8 Mustafa İslamoğlu</t>
  </si>
  <si>
    <t>https://azbuz.org/haberler/abd-muslumanlara-yapilan-zulumden-dolayi-cinli-yetkililerin-vizelerine-kisitlama-getirdi/</t>
  </si>
  <si>
    <t>http://AzBuz.org 2019 Resmi Twitter Hesabıdır.</t>
  </si>
  <si>
    <t>https://azbuz.org/</t>
  </si>
  <si>
    <t>muriqi</t>
  </si>
  <si>
    <t>Çok sevdiğim anamın babamın oğlu biricik erkek kardeşim şuan afrinde aslanların morali yerinde Allahım Türk ordusuna güç kuvvet versin Allahım ordumuzu milletimizi küffara karşıgalip et #TurkishArmy</t>
  </si>
  <si>
    <t>https://pbs.twimg.com/media/EGbiEWBWwAEDCiW.jpg</t>
  </si>
  <si>
    <t>Çünkü ben futbolu değil fenerbahçeyi seviyorum</t>
  </si>
  <si>
    <t>Öztürk Efendi</t>
  </si>
  <si>
    <t>Aramızdaki fark. #TurkishArmy</t>
  </si>
  <si>
    <t>https://pbs.twimg.com/media/EGbiEeUWoAAyBX-.jpg</t>
  </si>
  <si>
    <t>Hanımköy</t>
  </si>
  <si>
    <t>Aile ve Bebek Bakanı - Aliyar efendinin Babası - Emanetçi</t>
  </si>
  <si>
    <t>İlker Kılınçer</t>
  </si>
  <si>
    <t>Harekat başlamadan harekatın adı bile içimizdeki hainleri ortaya dökmeye yetti. Bir de başlasa ... #BarışPınarı #TurkishArmy</t>
  </si>
  <si>
    <t>Haine cesaret veren merhamet, zulme yakındır.</t>
  </si>
  <si>
    <t>MŞ✨</t>
  </si>
  <si>
    <t>Taşında gözü olanın yurdunda mezar olacağız! 🇹🇷 #TurkishArmy</t>
  </si>
  <si>
    <t>53🌿</t>
  </si>
  <si>
    <t>M.Erol BARUT🏆🇹🇷</t>
  </si>
  <si>
    <t>#TurkishArmy 🇹🇷 Duâ larımızdasınız🙏 ALLAH yar ve Yardımcınız olsun</t>
  </si>
  <si>
    <t>BURSA/BİLECİK/TÜRKİYE</t>
  </si>
  <si>
    <t>BİR KUL... BEN Dünyaya toz pembe değil ,SARI &amp; LACİVERT Bakıyorum ♍ BAŞAK 🎣</t>
  </si>
  <si>
    <t>Macit</t>
  </si>
  <si>
    <t>Kaçma sadece yorgun öleceksin. #TurkishArmy</t>
  </si>
  <si>
    <t>https://pbs.twimg.com/media/EGbiBT0WsAE7uFC.jpg</t>
  </si>
  <si>
    <t>http://instagram.com/maacitsonmezz/…</t>
  </si>
  <si>
    <t>Avatar İsmail</t>
  </si>
  <si>
    <t>Öyle zamanlar vardır ki kimin ne olduğunu ortaya çıkarır. Operasyona karşı çıkanlar: (Şimdilik) ABD,İngiltere, Fransa,Almanya,İtalya,Çekya,Mekya,Hollanda,Yunanistan,AB,İran,GKRY, CHP, HDP #TurkishArmy</t>
  </si>
  <si>
    <t>яαگiτ</t>
  </si>
  <si>
    <t>46~07 ANTALYA 112 AÇM</t>
  </si>
  <si>
    <t>Cihan TURAN  م  📚☕🛋</t>
  </si>
  <si>
    <t>Eşitlik ilkesi gereği kadınlarında askere alınması gerek. Zira bir kısmı da çok hevesli uzman çavuş olmak için. Arkadaşın yanında nasıl öldüğünü, kopan bacakları, elleri, kabuslarla uyku bölünmelerini yaşamak onlarında hakkı. Madem savaşmak istiyorlar, savaşsınlr #TurkishArmy</t>
  </si>
  <si>
    <t>BURSA HÜDAVENDİGAR</t>
  </si>
  <si>
    <t>3K( kitap, kahve, koltuk) #okumakaşktır Bekar ve mutlu 😂</t>
  </si>
  <si>
    <t>Özge Öztürkoğlu 🇹🇷</t>
  </si>
  <si>
    <t>https://pbs.twimg.com/media/EGbh9TYW4AAZ5F_.jpg</t>
  </si>
  <si>
    <t>’Hak’tan taraf’</t>
  </si>
  <si>
    <t>http://www.ozturklerinsaatsan.com</t>
  </si>
  <si>
    <t>Dur İzle</t>
  </si>
  <si>
    <t>Bu delileri bir araya getirmeyecektiniz! #TurkishArmy</t>
  </si>
  <si>
    <t>pic.twitter.com/o2KwAn8nSf</t>
  </si>
  <si>
    <t>http://durizle.tv</t>
  </si>
  <si>
    <t>AYDIN ZOR</t>
  </si>
  <si>
    <t>Türkün gücünü goreceksiniz. #TurkishArmy</t>
  </si>
  <si>
    <t>Çok soze gerek yok umutlu🙃</t>
  </si>
  <si>
    <t>Ulug Erdal Bey</t>
  </si>
  <si>
    <t>#TurkishArmy RT @bisimit: 1- The Turkish Armed Forces have never gone to oppressed geographies like the Imperialist bloodsuckers for political ambitions. Cyprus is witness to this. South Korea, Bosnia are witnesses. Afghanistan is a witness. Every time we went, went for justice. #OperationPeaceSpring</t>
  </si>
  <si>
    <t>Nowhere</t>
  </si>
  <si>
    <t>Düşman; nefs, dost; Allah, dünya; ekin, ahret; biçim.</t>
  </si>
  <si>
    <t>Baqir Abbasi (ISI)</t>
  </si>
  <si>
    <t>@alikeskin_tr #TurkishArmy #Turkish نصرمن اللہ</t>
  </si>
  <si>
    <t>‏‏‏‏‏‏A True ‎‎‎‎‎‎#Pakistani . I Love my ‎‎‎‎‎‎#Pak_Army . Great love with‎‎‎‎‎‎#ISI. My Leader ‎‎‎‎‎‎#IMRAN_KHAN</t>
  </si>
  <si>
    <t>Oturan_boğa</t>
  </si>
  <si>
    <t>#TurkishArmy şu anda suriyeye gidecek ordumuzun içinde nice kahramanlarimiz şu anda hayatta.belki gidipte sehit olacaklar. Ve biz onları o zaman taniyacagız.</t>
  </si>
  <si>
    <t>https://pbs.twimg.com/media/EGbh0jsWoAMTl6R.jpg</t>
  </si>
  <si>
    <t>mare nostrum</t>
  </si>
  <si>
    <t>Biz sadece bugün değil, her daim Türk Silahli Kuvvetleri ile birdik! Türk Milleti #TurkishArmy var oldukça ilelebet var olacak!</t>
  </si>
  <si>
    <t>https://pbs.twimg.com/media/EGbh1bTWwAIb4Bl.jpg</t>
  </si>
  <si>
    <t>Vatan - Emek - Namus @AydinlikGazete @ulusalkanal 27 yaşında, ulusal bilince ve gurura sahip, asker</t>
  </si>
  <si>
    <t>M.Sancak</t>
  </si>
  <si>
    <t>Hey #CHP @herkesicinCHP sizin KATIR işi bırakmış. İçiniz Yanıyordur ! #ATATÜRK POSTERLERİ ALTINDA BU TERÖR YANDAŞI TİPİ KONUŞTURMAYA UTANMIYORDUNUZ ! #CHPTabanıTürkOrdusununYanında #TürkMilletiOrdusununYanında #TurkishArmy</t>
  </si>
  <si>
    <t>https://pbs.twimg.com/media/EGbh0-rWwAAr2Qh.jpg</t>
  </si>
  <si>
    <t>Vahdet Sancak</t>
  </si>
  <si>
    <t>Haklı ve gerekli bir operasyona hazırlanıyoruz. Ama bunu dünyaya lanse edemiyoruz. Dış basında iyi çocuk pydyi oyun bozan Türkiye öldürmeye gidiyor olarak görülüyor. Algı herşeydir. Propaganda yapamıyoruz. Adam çıkmış Türklerle Kürtler yüz yıldır savaşıyor diyor.? #TurkishArmy</t>
  </si>
  <si>
    <t>GOÜ 》ELL Gözlerim uzağa dalıp gitmişse beni orada bırakın, ve lütfen susun.</t>
  </si>
  <si>
    <t>Bir Pir'i Fani</t>
  </si>
  <si>
    <t>Büyük Hun İmparatoru ATİLLA; "Sınırlarınızda sorun varsa; Çözüm, sınırları genişletmektir" #TurkishArmy</t>
  </si>
  <si>
    <t>Zalime, zulme, zanna, zillete, illete karşı; Her daim Hakk'ın, haklının, halkın yanında Bir Hak Yolu Ak-Pak dava neferi, Hak Hukuk adalet savaşçısı</t>
  </si>
  <si>
    <t>FaTih ArSlan ☪</t>
  </si>
  <si>
    <t>#SavasaHayır Savaş ? 😀 Savaş devletler arası olur. Biz savaşmıyoruz. Vatansız şerefsiz avına çıktık hepsi bu #TurkishArmy</t>
  </si>
  <si>
    <t>https://pbs.twimg.com/media/EGbhzxpWsAA1Lr6.jpg</t>
  </si>
  <si>
    <t>☪ Kırılır bir gün o bütün dişliler Döner şanlı şanlı çarkımız bizim.☝️Ordu</t>
  </si>
  <si>
    <t>KASİDE</t>
  </si>
  <si>
    <t>#TurkishArmy Bir gece ansızın.... Turkey</t>
  </si>
  <si>
    <t>pic.twitter.com/t1OYw0aUjh</t>
  </si>
  <si>
    <t>Düşünce şüpheyle başlar Düşünce tezatlarıyla bütündür. Zıt fikirlere kulaklarımızı tıkamak kendimizi hatayamahkûm etmek değil midir</t>
  </si>
  <si>
    <t>OguzhanCatak</t>
  </si>
  <si>
    <t>Taşında gözü olanın yurdunda mezar olacağız.. 🇹🇷🇹🇷🇹🇷 #TurkishArmy</t>
  </si>
  <si>
    <t>https://pbs.twimg.com/media/EGbhxSyWsAER9Ns.jpg</t>
  </si>
  <si>
    <t>FENERBAHÇE / Ankara</t>
  </si>
  <si>
    <t>MimMim Haber</t>
  </si>
  <si>
    <t>#SONDAKİKA TSK sınırı geçerek Fırat'ın doğusuna girmeye başladı. (Bloomberg) #TurkishArmy #BarışPınarı Bloomberg tüm hesaplarıyla haberi son dakika geçerken hiçbir kaynak haberi resmi olarak doğrulamıyor.</t>
  </si>
  <si>
    <t>https://www.instagram.com/p/B3ZOvb9n2Nd/?igshid=1pep9igdrb1lo</t>
  </si>
  <si>
    <t>Günümüz medya karanlığına ışık için gelmiş objektif haber platformu</t>
  </si>
  <si>
    <t>Barbaros</t>
  </si>
  <si>
    <t>pic.twitter.com/Cg3NiaMqMO</t>
  </si>
  <si>
    <t>Rumeysa</t>
  </si>
  <si>
    <t>İki ordu vardır Biri gazâ ordusu diğeri de duâ ordusu Bu savaşlar bu iki ordunun ittifakı ile kazanılır İmam Rabbani #TurkishArmy</t>
  </si>
  <si>
    <t>https://pbs.twimg.com/media/EGbhu-_WsAYVFrC.jpg</t>
  </si>
  <si>
    <t>Eğer Allah'ın size zafer bahşetmesini istiyorsanız, O'na kullukla meşgul olunuz Abdulkadir Geylani (k.s)</t>
  </si>
  <si>
    <t>T.C Canan Baykuş (🦉)</t>
  </si>
  <si>
    <t>"Kaybettiğin tek savaş, Uğrunda savaşmaktan vazgeçtiğindir." Ernesto Che Guevara... #CheGuevara #TurkishArmy</t>
  </si>
  <si>
    <t>https://pbs.twimg.com/media/EGbhuzGXYAAHATb.jpg</t>
  </si>
  <si>
    <t>KADIN CİNAYETLERİNİ DURDURACAĞIZ PLATFORMU ÜYESİ @KadinCinayeti (RT ve 💜 Onayladığım Anlamına Gelir.Yazıp Çizdiklerim Beni Bağlar.) 🇹🇷🇹🇷♥</t>
  </si>
  <si>
    <t>Ömer BOZDUMAN</t>
  </si>
  <si>
    <t>BAĞIRMA.! Herhangi bir tartışmada sesinizi yükseltirseniz, Amerikalıların kilitlendiğini biliyor musunuz.? #TurkishArmy</t>
  </si>
  <si>
    <t>South Shields, England</t>
  </si>
  <si>
    <t>Always look on the bright side of life!!.. @omer_bozduman</t>
  </si>
  <si>
    <t>KDZ</t>
  </si>
  <si>
    <t>sencer durmuşcan</t>
  </si>
  <si>
    <t>beşiktaşk</t>
  </si>
  <si>
    <t>Türk'üm Doğruyum Çalışkanım İşsizim... işsiz antropolog!</t>
  </si>
  <si>
    <t>http://instagram.com/sencerdcan</t>
  </si>
  <si>
    <t>İsmail DERELİOĞLU</t>
  </si>
  <si>
    <t>Biz varız, her zaman olduğu gibi. #TurkishArmy</t>
  </si>
  <si>
    <t>https://pbs.twimg.com/media/EGbhr7AWkAADr_K.jpg</t>
  </si>
  <si>
    <t>•Çanakkale 18 Mart Üniversitesi 📚</t>
  </si>
  <si>
    <t>https://www.instagram.com/ismail.derelioglu/</t>
  </si>
  <si>
    <t>omerrsy</t>
  </si>
  <si>
    <t>Bozkurtlar ordusu Suriye'de kışlasın. #TurkishArmy</t>
  </si>
  <si>
    <t>İstanbul 112 ATT -Marmara Universitesi SBF</t>
  </si>
  <si>
    <t>fatih karagöz</t>
  </si>
  <si>
    <t>Allah ordumuza yardım etsin. kazasız belasız bir şekilde hakkından gelsin soysuzların #TurkishArmy</t>
  </si>
  <si>
    <t>Can</t>
  </si>
  <si>
    <t>Biz OSMANLI izindeniz atalarımız dedelerimiz ceddimiz gibi herkesle savaşmaya hazırız #TurkishArmy</t>
  </si>
  <si>
    <t>Cengiz Ankay</t>
  </si>
  <si>
    <t>we are coming 🇹🇷 #TurkishArmy</t>
  </si>
  <si>
    <t>https://pbs.twimg.com/media/EGbhjn4W4AEPn8q.jpg</t>
  </si>
  <si>
    <t>Beşiktaş 🦅 AÜ</t>
  </si>
  <si>
    <t>http://instagram.com/c.ankay23</t>
  </si>
  <si>
    <t>Hanifi03</t>
  </si>
  <si>
    <t>Tanrı TÜRK'ü korusun. #TurkishArmy</t>
  </si>
  <si>
    <t>Ahmet Emre Hatipoğlu</t>
  </si>
  <si>
    <t>Fıtrat değişir sanma bu kan yine o kandır! 🇹🇷 #TurkishArmy</t>
  </si>
  <si>
    <t>AVUKAT⚖️🇹🇷</t>
  </si>
  <si>
    <t>Gökhan Eroğlu</t>
  </si>
  <si>
    <t>Yaklaşıyor yaklaşmakta olan, vaziyet alın 👊 #TurkishArmy</t>
  </si>
  <si>
    <t>Kozyatağı, İstanbul</t>
  </si>
  <si>
    <t>Nargilesine aşıktı dersiniz^🌊 💛❤️🦁</t>
  </si>
  <si>
    <t>https://www.instagram.com/gokhaneroglu__/</t>
  </si>
  <si>
    <t>İbrahim S COŞKUN</t>
  </si>
  <si>
    <t>FETÖCÜ Nazlı Ilıcak: - 1 Kasım’da Osmanlı saltanatı yıkılmıştı Türkiye Cumhuriyeti saltanatı da yıkılacak. Fetöcülere karşı kininizi diri tutun. #Tuerksilahlıkuvvetleri #TurkishArmy #BarisPinari #15Temmuz #TürkiyeCumhuriyeti #Atatürk #Bozkurtlar #Akkurtlar</t>
  </si>
  <si>
    <t>pic.twitter.com/lposQhPE5K</t>
  </si>
  <si>
    <t>Finansal Robot Yazılımları</t>
  </si>
  <si>
    <t>Patron</t>
  </si>
  <si>
    <t>https://pbs.twimg.com/media/EGXSbARWkAET3qy.jpg</t>
  </si>
  <si>
    <t>beşerî hoyrat</t>
  </si>
  <si>
    <t>https://pbs.twimg.com/media/EGbhg-GWoAE1i6h.jpg</t>
  </si>
  <si>
    <t>"benden sonra bir daha / suya girme tedbirsiz"</t>
  </si>
  <si>
    <t>Ferhando Jose</t>
  </si>
  <si>
    <t>“Aman YPG nin ,PKK nın kılına zarar gelmesin , Türk Ordusu ve @RTErdogan yenilsin” diyemeyen de “Savaşa Hayır” diyor.. #TurkishArmy</t>
  </si>
  <si>
    <t>mersin</t>
  </si>
  <si>
    <t>Mersin Büyükşehir Belediye Başkanı | Mayor of Mersin Metropolitan Municipality</t>
  </si>
  <si>
    <t>Yusuf Özdemir</t>
  </si>
  <si>
    <t>We live under this flag and feel as a citizen of this state, neither Kurdish nor Alevi nor with another single individual Our Trouble is to Bury the Pkk-Ypg Herd, Who Abused the Kurds and Abused the American and Imperialists #TurkishArmy</t>
  </si>
  <si>
    <t>•Gazeteci Yazar Adayı - •Sinpaş GYO - Beyaz İnşaat A.Ş (Satış Pazarlama)2012-2016 http://instagram.com/yusufozdemirce http://facebook.com/YusufOzdemir29</t>
  </si>
  <si>
    <t>Furkan - bi benzeri yok</t>
  </si>
  <si>
    <t>Bu Son Ordusudur İslamın! #TurkishArmy</t>
  </si>
  <si>
    <t>https://pbs.twimg.com/media/EGbhf-TWkAEYiOv.jpg</t>
  </si>
  <si>
    <t>http://instagram.com/furkanyilmaz93🇹🇷💡</t>
  </si>
  <si>
    <t>Hümeyra</t>
  </si>
  <si>
    <t>Allahın yer yüzünde ki şanlı ordusu, Zafer inananlarındır ve zafer yakındır. #TurkishArmy</t>
  </si>
  <si>
    <t>#KOÜ. (mission completed)</t>
  </si>
  <si>
    <t>Kök Tengri</t>
  </si>
  <si>
    <t>#TurkishArmy #TurkishMilitary RT @ulutanrim: Ulu ordu TANRININ İRADESİ içerde ve dışarda tüm KUMPAZCILARI, HAYİNLERİ ezip geçer en haksız adaletsiz savaşlarda onurlu, kutlu zaferler kazanır. Düşmanlarını hayran bırakır. Bir ölür BİN OLURUZ #BarısPınarıHarekatı</t>
  </si>
  <si>
    <t>https://twitter.com/ulutanrim/status/1180770162435379202</t>
  </si>
  <si>
    <t>https://pbs.twimg.com/media/EGLwNEIWoAA-MaL.jpg</t>
  </si>
  <si>
    <t>Gök Baba, Toprak Ana ve Atalara Saygı.</t>
  </si>
  <si>
    <t>https://tr.m.0wikipedia.org/wiki/Tengri</t>
  </si>
  <si>
    <t>Anıl Akçin</t>
  </si>
  <si>
    <t>10.000 kmden gelip gizli servisiniz ile paravan örgüt kuracaksınız , ardından suriye bataklığını oluşturup bizim burda işimiz yok diyeceksiniz . Siz çekilin bizim orda 30.000 şehidimizin kanı var , işimiz var #TurkishArmy</t>
  </si>
  <si>
    <t>Republic of North Ossetia-Alan</t>
  </si>
  <si>
    <t>Çete Lideri</t>
  </si>
  <si>
    <t>Tuğba VURAL</t>
  </si>
  <si>
    <t>Kdz.Ereğli</t>
  </si>
  <si>
    <t>Kahramanlar can verir yurdu yaşatmak için 🇹🇷 BEÜ-19'🎓💉💊 İÜ-2/4 👶📖</t>
  </si>
  <si>
    <t>hiçkimsin</t>
  </si>
  <si>
    <t>Taşında gözü olanın, yurduna mezar kazacağız!!! #TurkishArmy</t>
  </si>
  <si>
    <t>https://pbs.twimg.com/media/EGbhWklWkAAVWRy.jpg</t>
  </si>
  <si>
    <t>Esra Karaca ⚡️</t>
  </si>
  <si>
    <t>Çocukların korkmadığı tek ordu... #TurkishArmy Allah yardımcınız olsun...🤲</t>
  </si>
  <si>
    <t>https://pbs.twimg.com/media/EGbhWSgXoAAdamX.jpg</t>
  </si>
  <si>
    <t>SERBEST MUHASEBECİ MALİ MÜŞAVİR . 📐👩‍🏫🖨 Benim Yuvam Gönüllüsü 2017 @benimyuvamorg sabret ALLAH’ın vaadi yakındır. 🤲</t>
  </si>
  <si>
    <t>http://www.benimyuvam.org/</t>
  </si>
  <si>
    <t>Hatpal</t>
  </si>
  <si>
    <t>Eğlence ve Mizah</t>
  </si>
  <si>
    <t>arif55</t>
  </si>
  <si>
    <t>#TurkishArmy hazır ol cenk meydanına sulh ve selah için.</t>
  </si>
  <si>
    <t>https://pbs.twimg.com/media/EGbhVhhXUAUSRME.jpg</t>
  </si>
  <si>
    <t>firat_alban</t>
  </si>
  <si>
    <t>pic.twitter.com/K6bITyP4Kq</t>
  </si>
  <si>
    <t>bulundugun ortamdaki en zeki insan sensen yanlis ortamdasin</t>
  </si>
  <si>
    <t>üç nokta</t>
  </si>
  <si>
    <t>Tanrı Türk'ü korusun! #TurkishArmy</t>
  </si>
  <si>
    <t>gaye cadı</t>
  </si>
  <si>
    <t>@MenekeYldrm11 Kafa karışık ne yapsın ?karşısında Türk ordusu var kolay mı?:D))) #TurkishArmy</t>
  </si>
  <si>
    <t>Madem ki Sen Pkk bayrağı dalgalandırırsın Ben de Lakota bayrağı dalgalandırım en azından namuslu bayrak</t>
  </si>
  <si>
    <t>muraat.cetin</t>
  </si>
  <si>
    <t>FIRTINALAR DURSUN YANA YOL VERİN TÜRK'ÜN BAYRAĞINA #TurkishArmy</t>
  </si>
  <si>
    <t>https://pbs.twimg.com/media/EGbhNqtXkAA-bp1.jpg</t>
  </si>
  <si>
    <t>İyi birisiyim ama hergün değil</t>
  </si>
  <si>
    <t>Muhammet Kaplan</t>
  </si>
  <si>
    <t>Haber için Tıkla--&gt;  #KendineGelPezeberk #deprem #TurkishArmy #tubayayardımedin #EmineBulut #CheGuevara #barışpınarı</t>
  </si>
  <si>
    <t>https://www.muhammetkaplan.com/youtuber/</t>
  </si>
  <si>
    <t>Teknoloji, Haber, Ekonomi ve dahası...</t>
  </si>
  <si>
    <t>https://www.muhammetkaplan.com</t>
  </si>
  <si>
    <t>Bakınburasıçokomelli</t>
  </si>
  <si>
    <t>Türk ordusu kendi sınırını korumaya alacak sınır hattı boyunca 5-10 km kadar alanı kendisi yönetecek he ypg yi vuracaz asacaz pkk yı şöyle yapacaz gibi şeyleri beklemeyin büyük bir aksiyon yok sınır uzun çok asker ve tecizat lazım hepsi bu #TurkishArmy</t>
  </si>
  <si>
    <t>Republic of Mozambique</t>
  </si>
  <si>
    <t>Es ist Big bin</t>
  </si>
  <si>
    <t>https://youtu.be/fu1ZpxU4RD8</t>
  </si>
  <si>
    <t>Stuttgart, Germany</t>
  </si>
  <si>
    <t>Konsultiert unsere Videos</t>
  </si>
  <si>
    <t>https://www.youtube.com/c/EsistBigbin</t>
  </si>
  <si>
    <t>Bro</t>
  </si>
  <si>
    <t>@TTAgrup 🇹🇷🇹🇷🇹🇷 #TurkishArmy</t>
  </si>
  <si>
    <t>Queensland, Australia</t>
  </si>
  <si>
    <t>Papi chulo 🖕</t>
  </si>
  <si>
    <t>#ARTuvan in #mersin 📷</t>
  </si>
  <si>
    <t>.@realDonaldTrump None of the Turks and Kurds are enemies and they have never fought against each other. Throughout history, Turks and Kurds have fought as one against imperialists like you. #TurkishArmy RT @YelizzKoray: Utanç verici sözlere iktidardan cevap verecek kimsenin çıkmaması ayrıca utanç verici!</t>
  </si>
  <si>
    <t>https://twitter.com/YelizzKoray/status/1181668839903371265</t>
  </si>
  <si>
    <t>pic.twitter.com/Ojj1EImHlY</t>
  </si>
  <si>
    <t>Öyle bir ağlasam, Öyle bir ağlasam ki çocuklar, Size hiç gözyaşı kalmasa! #lösev #takibetakip</t>
  </si>
  <si>
    <t>https://www.youtube.com/channel/UCxDGmXM5xWEh5qqbHQmontA</t>
  </si>
  <si>
    <t>delyvaldés</t>
  </si>
  <si>
    <t>Huge, strong, and magnificent #TurkishArmy RT @LindseyGrahamSC: If Turkey moves into northern Syria, sanctions from hell – by Congress – will follow. Wide, deep, and devastating sanctions.</t>
  </si>
  <si>
    <t>https://twitter.com/LindseyGrahamSC/status/1181610139092226049</t>
  </si>
  <si>
    <t>Antarktika</t>
  </si>
  <si>
    <t>Teknik ilkokul mezunu.</t>
  </si>
  <si>
    <t>Abondanziya</t>
  </si>
  <si>
    <t>Yarab ordumuzu muzaffer eyle #TurkishArmy</t>
  </si>
  <si>
    <t>ya tahammül ya küfür</t>
  </si>
  <si>
    <t>Çağlar</t>
  </si>
  <si>
    <t>CB ısınma turları. 👏👏👏 #carsamba #TurkishArmy RT @ankaragelisiyor: Başkan @mansuryavas06 Türkiye’ye yönelik usulsüz açıklamalar yapan ABD Başkanı Donald Trump hakkında açıklama yaptı. “Türkiye’yi hadsiz bir şekilde tehdit etmeye kimsenin hakkı yoktur.” @ankarabbld</t>
  </si>
  <si>
    <t>https://twitter.com/ankaragelisiyor/status/1181670341908807686</t>
  </si>
  <si>
    <t>pic.twitter.com/DaW3V75pDy</t>
  </si>
  <si>
    <t>"Kopernik, Dünya'yı evrenin merkezinden çıkardı ,Darwin bizi yaradılışın zirvesinden indirdi ve Freud zihnimizin bilinçaltının esiri olduğunu gösterdi."</t>
  </si>
  <si>
    <t>can</t>
  </si>
  <si>
    <t>Unuttuğunuz her şeyi yeniden yaşamak zorunda kalırsınız… #TurkishArmy</t>
  </si>
  <si>
    <t>https://pbs.twimg.com/media/EGbhH5yWoAAC7am.jpg</t>
  </si>
  <si>
    <t>•</t>
  </si>
  <si>
    <t>#TurkishArmy we have already done it! #OperationPeaceSpring #oper</t>
  </si>
  <si>
    <t>Abdulkadir Doğru</t>
  </si>
  <si>
    <t>Allah ordumuza milletimize güç kuvvet versin #TurkishArmy</t>
  </si>
  <si>
    <t>Aşırı sağlam Türk yetkilisi, benim adımı vererek oraya, buraya girildi haberleri gerçeği yansıtmamaktadır dedi. Aşırı sağlam Türk yetkilisi bende gelecek haberleri bekleyin dedi. 🤣🤣🤣🤣 #TurkishArmy</t>
  </si>
  <si>
    <t>mhmtnsyksl</t>
  </si>
  <si>
    <t>Instagram: mhmtnsyksl Spotify : mhmtnsyksl99</t>
  </si>
  <si>
    <t>KaanDuyan</t>
  </si>
  <si>
    <t>#TurkishArmy Ne Mutlu Türküm Diyene!</t>
  </si>
  <si>
    <t>https://pbs.twimg.com/media/EGbhFThWoAAWndZ.jpg</t>
  </si>
  <si>
    <t>Parçalı Bulutluyuz Ama Halâ Umutluyuz .</t>
  </si>
  <si>
    <t>Can SIVRI</t>
  </si>
  <si>
    <t>Savas olmasi icin karsinda bir devlet olmasi lazim oysa biz yillardir terorle mucadele ediyoruz buda onun bir parcasi #TurkishArmy</t>
  </si>
  <si>
    <t>https://pbs.twimg.com/media/EGbhEvEWoAEt4vG.jpg</t>
  </si>
  <si>
    <t>instagram:Cansivri facebook/can.sivri.338</t>
  </si>
  <si>
    <t>yalçın dönmez</t>
  </si>
  <si>
    <t>#TurkishArmy RT @genclikbirligi: “Dünyanın hiçbir ordusunda yüreği seninkinden daha temiz, daha sağlam bir askere rastlanmamıştır." Mustafa Kemal Atatürk #TurkishArmy</t>
  </si>
  <si>
    <t>https://twitter.com/genclikbirligi/status/1181865812992413696</t>
  </si>
  <si>
    <t>pic.twitter.com/fT1gfdcqmV</t>
  </si>
  <si>
    <t>Bilal Cimen</t>
  </si>
  <si>
    <t>Dualarimiz sizinle #TurkishArmy</t>
  </si>
  <si>
    <t>oguzhan</t>
  </si>
  <si>
    <t>gözlerin çok güzel kokuyor</t>
  </si>
  <si>
    <t>Yusuf ABRAVCI</t>
  </si>
  <si>
    <t>Son dakika… Yabancı ajanslar: Türk ordusu Suriye’ye girdi @business haber ajansı, Türk yetkililere dayandırdığı haberde TSK'nın Suriye'ye giriş yaptığını öne sürdü. Haberde Türk ordusunun Suriye'nin kuzeydoğusuna giriş yapıldığı belirtildi. #TurkishArmy</t>
  </si>
  <si>
    <t>https://pbs.twimg.com/media/EGbg9waX0AELeyJ.jpg</t>
  </si>
  <si>
    <t>Teknisyen Bey diyeceksiniz. 👷 ☠🕗➡🕓</t>
  </si>
  <si>
    <t>serseri</t>
  </si>
  <si>
    <t>pic.twitter.com/jsHZsBypeP</t>
  </si>
  <si>
    <t>Gergin Görünüyorsun...!</t>
  </si>
  <si>
    <t>zeynep⚡</t>
  </si>
  <si>
    <t>DAR GELSİN DÜNYA ALEM TÜRK'E KEFEN BİÇENE, ASLINI İNKAR EDİP TÜRKLÜĞÜNDEN GEÇENE!!!... #TurkishArmy</t>
  </si>
  <si>
    <t>https://pbs.twimg.com/media/EGbg9ZBWwAIqcjb.jpg</t>
  </si>
  <si>
    <t>Musakan2</t>
  </si>
  <si>
    <t>https://pbs.twimg.com/media/EGbg1_YXUAA9N_Z.jpg</t>
  </si>
  <si>
    <t>Samireyiz</t>
  </si>
  <si>
    <t>https://pbs.twimg.com/media/EGbg52MW4AA0Dbr.jpg</t>
  </si>
  <si>
    <t>Kumluca, Türkiye</t>
  </si>
  <si>
    <t>"Kürtleri sevmeyen bir Türk varsa Türk değildir, Türkler'i sevmeyen bir Kürt varsa Kürt değildir!" #TurkishArmy 🇹🇷</t>
  </si>
  <si>
    <t>pic.twitter.com/pYv6s0vhCw</t>
  </si>
  <si>
    <t>Edessa</t>
  </si>
  <si>
    <t>Film photography📸|@GalatasaraySK ❤💛 Mezopotamya'nın kızı..</t>
  </si>
  <si>
    <t>Sonerto</t>
  </si>
  <si>
    <t>Kapımıza dayanıyorsa zulüm Başka yol yok ya İstiklal ya ölüm ! #TurkishArmy</t>
  </si>
  <si>
    <t>BURSA</t>
  </si>
  <si>
    <t>#Bursaspor Genel Kurul Üyesi</t>
  </si>
  <si>
    <t>Burhanisa</t>
  </si>
  <si>
    <t>Ayağınıza taş değmesin hızır yanınızda olsun 🇹🇷🇹🇷#TurkishArmy</t>
  </si>
  <si>
    <t>Nişantaşı</t>
  </si>
  <si>
    <t>My name is Altintop.. Burhan Altintop</t>
  </si>
  <si>
    <t>Cemile Taşdemir</t>
  </si>
  <si>
    <t>Kuzey Irak'lı Kürt kadın, Türk askerini soran Rudaw muhabirini bakın köşeye nasıl sıkıştırıyor İşte gerçek Türk askerini anlatıyor #TurkishArmy</t>
  </si>
  <si>
    <t>Denizli, İstanbul,Türkiye</t>
  </si>
  <si>
    <t>Ak Parti Denizli İl Başkan Yardımcısı|Dış İlişkiler Başkanı|</t>
  </si>
  <si>
    <t>http://instagram.com/tasdemir.cemile</t>
  </si>
  <si>
    <t>Ahmet Tozlu</t>
  </si>
  <si>
    <t>#TurkishArmy will clean every terrorist in the NE Syria.</t>
  </si>
  <si>
    <t xml:space="preserve">Hacettepe Üniversitesi </t>
  </si>
  <si>
    <t>Önce Vatan diyen ... Birileri var! #Oba</t>
  </si>
  <si>
    <t>Hüseyin</t>
  </si>
  <si>
    <t>Bu ülkenin gündemi belli aralıklarla başa sarıyor.Politikacıların gafletini, öngörüzlüğünü yine bu ülkenin gariban gençleri canlarıyla ödeyecek.Savaşı her yönüyle işleyen 3 bölümlük bir mini dizi meraklısına👇 #TurkishArmy RT @technical_moon: Unsere Mütter Unsere Vater "Mein kleines Herz" (Katharina Schüttler)</t>
  </si>
  <si>
    <t>https://twitter.com/technical_moon/status/963372878195576833</t>
  </si>
  <si>
    <t>pic.twitter.com/Itgun1PrkM</t>
  </si>
  <si>
    <t>kayıp</t>
  </si>
  <si>
    <t>Genç alemsiz bir delikanlıyım.. http://youtu.be/VYCOg-yglNM ~ Galatasaray ~</t>
  </si>
  <si>
    <t>🇹🇷T.C. Zülal Kutluer</t>
  </si>
  <si>
    <t>@kisacaanne @zsoytan1881 @ATelgeren @Sekurehepguler @melunnum @kaanncolakoglu @egelitr1919 #MustafaKemalAtatürk "Biz Türkler, Ordusu Olan Bir Millet Değil, Milleti Olan Bir Orduyuz." #TürkMilletiOrdusununYanındadır Selam olsun Mehmetciklererimize 🇹🇷 #TurkishArmy</t>
  </si>
  <si>
    <t>https://pbs.twimg.com/media/EGbg1ffXkAAs-6l.jpg</t>
  </si>
  <si>
    <t>Benim naçiz vücudum elbet bir gün toprak olacaktır, ancak Türkiye Cumhuriyeti ilelebet payidar kalacaktır. Mustafa Kemal Atatürk 🇹🇷</t>
  </si>
  <si>
    <t>E.C.K</t>
  </si>
  <si>
    <t>Kapımıza dayanıyorsa zulüm Başka yol yok, YA İSTİKLAL, YA ÖLÜM! #TurkishArmy #PINARBARIŞIHAREKATI</t>
  </si>
  <si>
    <t>https://pbs.twimg.com/media/EGbg1foXoAARG6C.jpg</t>
  </si>
  <si>
    <t>Dağılgan, Aksaray</t>
  </si>
  <si>
    <t>FENERBAHÇE ‘SK - GFB 68</t>
  </si>
  <si>
    <t>http://instagram.com/ethemcankoksall</t>
  </si>
  <si>
    <t>Ahmet DEMİRTAŞ</t>
  </si>
  <si>
    <t>#TurkishArmy RT @aybers: "Türkler, müslümanlar gelmişler. Allah'a şükür o köpeklerden kurtulduk. YPG/PKK'dan kurtulduk. Ne namus bıraktılar, ne çocuk bıraktılar. 8 çocuğum vardı hepsi gitti. Hiçbiri kalmadı." #TurkishArmy</t>
  </si>
  <si>
    <t>"Neyi bilmediğimi biliyorum"</t>
  </si>
  <si>
    <t>Oğuzhan Mehmet ÖTER</t>
  </si>
  <si>
    <t>Ya Allah Bismillah🇹🇷 Rabbim Ordumuzu sen Muhafaza Eyle #TurkishArmy</t>
  </si>
  <si>
    <t>Bursa, Turkey</t>
  </si>
  <si>
    <t>TBMM 27. Dönem AK Parti Bursa Milletvekili Aday Adayı 🇹🇷💡</t>
  </si>
  <si>
    <t>ÜNSAL</t>
  </si>
  <si>
    <t>Hz.EBUBEKİR Gibi #SADIK Hz.ÖMER Gibi #ADALETLİ Hz.OSMAN Gibi #İFFETLİ http://Hz.ALİ Gibi #YİĞİT Ol.</t>
  </si>
  <si>
    <t>Fuat Yiğit AKKÜÇ</t>
  </si>
  <si>
    <t>Atandan kalmış olan kılıcı iyi bile, Onu bütün gücünle vuracaksın çağında. Savaş... Bunun tadını ey Türk sen bulamazsın, Ne sevgili yanında, ne baba ocağında... Savaşmaktan kaçınır, kim varsa alnı kara, Kan dökmeyi bilenler hükmeder topraklara... #TurkishArmy</t>
  </si>
  <si>
    <t>https://pbs.twimg.com/media/EGbgxkkXUAAyJwU.jpg</t>
  </si>
  <si>
    <t>Ne mutlu Türk'üm diyene!</t>
  </si>
  <si>
    <t>https://instagram.com/fya40?utm_source=ig_profile_share&amp;igshid=1e7qzl4x4bry8</t>
  </si>
  <si>
    <t>https://www.instagram.com/muhammettapis/</t>
  </si>
  <si>
    <t>Hüseyin Berk</t>
  </si>
  <si>
    <t>Muhtaç olduğun kudret damarlarındaki asil kanda mevcuttur #TurkishArmy... Bizim partimiz bayraktır, vatandır.</t>
  </si>
  <si>
    <t>Not today</t>
  </si>
  <si>
    <t>ByMuzo1903</t>
  </si>
  <si>
    <t>Arap Birliği: Türkiye'nin Suriye kuzeyine düzenleyeceği harekatı reddediyoruz. İran Cumhurbaşkanı Ruhani: Türkiye güney sınırındaki endişeleri konusunda haklı. Kim dost kim düşman belli değil. At izi it izine karışmış. Allah yar ve yardımcımız olsun. #TurkishArmy</t>
  </si>
  <si>
    <t>Beşiktaş Ulan</t>
  </si>
  <si>
    <t>Sedat Erdem</t>
  </si>
  <si>
    <t>#TurkishArmy DAİMA HAZIR.</t>
  </si>
  <si>
    <t>Küçükçekmece, İstanbul</t>
  </si>
  <si>
    <t>https://instagram.com/sedaterdm/</t>
  </si>
  <si>
    <t>Eylül 🇹🇷</t>
  </si>
  <si>
    <t>"Türkler, müslümanlar gelmişler. Allah'a şükür o köpeklerden kurtulduk. YPG/PKK'dan kurtulduk. Ne namus bıraktılar, ne çocuk bıraktılar #TurkishArmy</t>
  </si>
  <si>
    <t>Turkish 🇹🇷</t>
  </si>
  <si>
    <t>Nurten  AYAR</t>
  </si>
  <si>
    <t>"İki ordu vardır; biri gazâ ordusu diğeri duâ ordusu.Savaşlar bu iki ordunun ittifakı ile kazanılır." İmam-ı Rabbani #TurkishArmy</t>
  </si>
  <si>
    <t>Hüseyin Talha Sürücü  (KARAKEÇİLİ)</t>
  </si>
  <si>
    <t>Şu kopan fırtına Türk Orsusudur Ya Rabbi Senin uğrunda ölen ordu budur Ya Rabbi Ta ki yücelsin ezanlarla mueyyed namın Galib et, çünkü bu son ordusudur İSLAMIN #TurkishArmy #TurkMilletiOrdusununYanında #FıratınDoğusu #Devletiminyanındayım</t>
  </si>
  <si>
    <t>https://pbs.twimg.com/media/EGbgs3pXkAAc5Tw.jpg</t>
  </si>
  <si>
    <t>Ahmet Fatih ve Meryem Büşra'nın babası, anne ve babasının oğlu, kardeşlerinin ağabeyi, mensubu olduğu Ümmetin ve vatandaşı olduğu vatanın sevdalısı.</t>
  </si>
  <si>
    <t>Turanaga</t>
  </si>
  <si>
    <t>Mehmetçiğimizi görünce aklıma ilk gelen... EY HAMZA! Gördüğün hiç bir şeyden korkmazsın bu doğru ama heybetini gizli tut yürüyüşün ÖLÜMÜ KORKUTUYOR Gözaltına #TurkishArmy #EmineBulut</t>
  </si>
  <si>
    <t>https://pbs.twimg.com/media/EGbgrYqW4AAXwZr.jpg</t>
  </si>
  <si>
    <t>milliyetci muhafazakar</t>
  </si>
  <si>
    <t>umut</t>
  </si>
  <si>
    <t>Çocukların korkmadığı tek ordu. #TurkishArmy</t>
  </si>
  <si>
    <t>https://pbs.twimg.com/media/EGbgqZmXkAENLiR.jpg</t>
  </si>
  <si>
    <t>mustafa yalçın 🇹🇷</t>
  </si>
  <si>
    <t>Kimi temizlik diyor, kimi savaş diyor. Adı ne olursa olsun benim askerim sefere çıktıysa, rengim, dinim, dilim, ideolojim, siyasi düşüncem ve particiliğimi bi kenara bırakır devletimin yanında olurum. #TurkishArmy Hükümetler geçicidir DEVLET bakidir.</t>
  </si>
  <si>
    <t>⭐⭐⭐⭐ Bazı twitlerimi anlamak yüksek IQ ister.</t>
  </si>
  <si>
    <t>DaisyLoshh</t>
  </si>
  <si>
    <t>#StrayKids_DoubleKnot #WALvFIJ 【ノーベル化学賞】 #BacheloretteAU #TurkishArmy #嵐 #サブスク解禁 #SCOvRUS #Eliud159 #BeyondMyPastKE #SRKonLettermanShow #YeKaisaVikasHai</t>
  </si>
  <si>
    <t>pic.twitter.com/3agiJOwobt</t>
  </si>
  <si>
    <t>We live to be happy n sad !!!!!</t>
  </si>
  <si>
    <t>Tarık Acar</t>
  </si>
  <si>
    <t>NEREDE KALMIŞTIK. #TurkishArmy</t>
  </si>
  <si>
    <t>https://pbs.twimg.com/media/EGbgpewXYAIopQ-.jpg</t>
  </si>
  <si>
    <t>polat polat</t>
  </si>
  <si>
    <t>seVimli_panda</t>
  </si>
  <si>
    <t>Hz.Muhammedin ovgusune nail olan Cocuk ve anaların korkmadığı Ölümle karşılaşmadığı Zulümden yana değil merhametten yana olan TEK ORDU #TurkishArmy BEBELERI pistten Alalım mekanın tek sahibi #Turkordusu geliyor..</t>
  </si>
  <si>
    <t>🐼🐻🐾🌈J Tipik terazi 👉Jüpiter Birleşik Devletleri BAŞKANI Dünya kamuoyu tarafından kaygiyla izlenilen adam⬅ 👉👉Canimi sikmayin butun ülkeyi karıştırırım.</t>
  </si>
  <si>
    <t>Şükrücan Aydoğdu</t>
  </si>
  <si>
    <t>Hazırlansın tabutluklar , yine girip çıkacağız. Korkmayın , Titreyin ! #TurkishArmy</t>
  </si>
  <si>
    <t>https://pbs.twimg.com/media/EGbgmZoXoAMMySw.jpg</t>
  </si>
  <si>
    <t>Vatan Ne Türkiyedir Türklere Ne Türkistan, Vatan Büyük Ve Müebbet Bir Ülkedir Türklere Turan !</t>
  </si>
  <si>
    <t>https://www.instagram.com/sukrucanaydogdu/</t>
  </si>
  <si>
    <t>Mazluma merhametli Zalime gaddar olan bir ordu #TurkishArmy</t>
  </si>
  <si>
    <t>https://pbs.twimg.com/media/EGbgl2JXkAIaQAS.jpg</t>
  </si>
  <si>
    <t>https://pbs.twimg.com/media/EGbgi4AWsAYYtlW.jpg</t>
  </si>
  <si>
    <t>İçime Kazınmışsın</t>
  </si>
  <si>
    <t>Fikirlerini Sorgula</t>
  </si>
  <si>
    <t>kıyametten sonra, sorulan ilk soru‼️ Diri diri toprağa gömülen kıza, sorulduğunda; "HANGİ GÜNAH SEBEBİYLE ÖLDÜRÜLDÜ? Tekvir 8 ve 9. ayet #CheGuevara #EmineBulut #tubayayardımedin #KendineGelPezeberk #TurkishArmy</t>
  </si>
  <si>
    <t>https://pbs.twimg.com/media/EGbgjWoWoAAh9h-.jpg</t>
  </si>
  <si>
    <t>İrade, Zorluklara göğüs gerdikçe kuvetlenir. Zorluktan kaçarak hep zayıf kalırsın! 😉</t>
  </si>
  <si>
    <t>☪ mehmet p TR</t>
  </si>
  <si>
    <t>Bu vatan bu topraklar bu millet bu devlet için kan dökmek gerekiyorsa kendi şah damarımıda keserim #TurkishArmy</t>
  </si>
  <si>
    <t>istanbul / turkey</t>
  </si>
  <si>
    <t>-T.C- -İSLAM - ATASI OSMAN GAZİNİN davasından giden biri işte - OSMANLI -</t>
  </si>
  <si>
    <t>Tuğsavul</t>
  </si>
  <si>
    <t>https://pbs.twimg.com/media/EGbghf3WoAA6jLp.jpg</t>
  </si>
  <si>
    <t>EY ÖLÜMSÜZ TÜRK MİLLETİ! ÖZÜNE DÖN! SU GİBİ AKITTIĞIN KANINA, DAĞLAR GİBİ YIĞDIĞIN KEMİKLERİNE LAYIK OL!</t>
  </si>
  <si>
    <t>aziz kara</t>
  </si>
  <si>
    <t>@Turan1530 Dosta güven ! düşmana gözdağı ! kulağınıza küpe olsun #SavasaHayır diyenler #TurkishArmy #KurdsSideWithTurkey #BarisPinariHarekati #OperationPeaceSpring #BarışPınarı #TürkMilletiOrdusununYanında</t>
  </si>
  <si>
    <t>“Mevzubahis vatansa, gerisi teferruattır” “ Bir ölür ! Bin diriliriz ! ” #BirÖlürBinDiriliriz @kara_aziz_ kapattırıldı !</t>
  </si>
  <si>
    <t>#TurkishArmy TÜRK KÜRT KARDEŞTİR FİTNECİLER KAHPEDİR</t>
  </si>
  <si>
    <t>pic.twitter.com/e0w8f44tmT</t>
  </si>
  <si>
    <t>Hiçbir Zaman Eğri Olmadık 🇹🇷🇯🇴</t>
  </si>
  <si>
    <t>Zeki_Uçgun</t>
  </si>
  <si>
    <t>Isparta, Türkiye</t>
  </si>
  <si>
    <t>Özelligimin bulunmaması</t>
  </si>
  <si>
    <t>aleyna</t>
  </si>
  <si>
    <t>Tarihini şerefiyle yazan ecdadın torunları, şerefiyle tarih yazmaya geldi! Gazanız mübarek🇹🇷 #TurkishArmy</t>
  </si>
  <si>
    <t>https://pbs.twimg.com/media/EGbgdwSXkAAo4hu.jpg</t>
  </si>
  <si>
    <t>sayitmeral</t>
  </si>
  <si>
    <t>VATANINA GÖZ DİKENİ EZ OĞLUM DOSTUN KİM DÜŞMANIN KİM SEZ OĞLUM TARİHİNİ ŞEREFİNLE YAZ OĞLUM #TurkishArmy</t>
  </si>
  <si>
    <t>https://pbs.twimg.com/media/EGbgeLaXkAALKbB.jpg</t>
  </si>
  <si>
    <t>Serkan 🌐⚖️</t>
  </si>
  <si>
    <t>pic.twitter.com/rzuYmSlkZx</t>
  </si>
  <si>
    <t>“Sorumluluklarımızdan kaçınabiliriz, ama kaçınmanın sonuçlarından kaçamayız"</t>
  </si>
  <si>
    <t>Tugay Ozay ASAN™</t>
  </si>
  <si>
    <t>Bismillahirrahmanirrahim #TurkishArmy</t>
  </si>
  <si>
    <t>Edirne/Turkey</t>
  </si>
  <si>
    <t>Tugay Ozay Asan™ // Tasarımcı // Yazılım Kulübü Lideri™ © 2015-2016 // Trakya Kalkınma Ajansı Demoday 2016-2017</t>
  </si>
  <si>
    <t>http://facebook.com/TugayOzayAsan</t>
  </si>
  <si>
    <t>mehmet özkul</t>
  </si>
  <si>
    <t>#TurkishArmy Allah yardımcınız olsun yiğitler 🇹🇷</t>
  </si>
  <si>
    <t>https://pbs.twimg.com/media/EGbgYj7XkAA2IgB.jpg</t>
  </si>
  <si>
    <t>HİÇ olmaya talibim...</t>
  </si>
  <si>
    <t>cinarefe0904</t>
  </si>
  <si>
    <t>Ayak bastigi yere adaleti dogruyu hosgoruyu tevazuyu sefkati beraberinde goturen askerin adıdır #TurkishArmy</t>
  </si>
  <si>
    <t>Cinarefe0904</t>
  </si>
  <si>
    <t>Bismillahirrahmanirrahim İnna fetahna leke fetham mübına #TurkishArmy</t>
  </si>
  <si>
    <t>#TurkishArmy Birincisi föto abd ve pkk nın. ikincisi ise ingilizlerin.üçüncüyü. ve dördüncüyü.çözemedim ama çözecem. VESSELAM</t>
  </si>
  <si>
    <t>https://pbs.twimg.com/media/EGbgZLgWwAIq_FU.jpg</t>
  </si>
  <si>
    <t>yeniden devam ⚡</t>
  </si>
  <si>
    <t>Cerablus'ta Türk Askerlerini gören sivillerin sevinciydi Biz dursak , bize yazılan kader durmayacak!  #TurkishArmy</t>
  </si>
  <si>
    <t>https://pbs.twimg.com/media/CqoXvwEWIAAlrak.jpg</t>
  </si>
  <si>
    <t>Atamız- Fatih Önderimiz-RASULULLAH Anayasamız KURAN Yolumuz İSLAM #Yedirmeyiz</t>
  </si>
  <si>
    <t>doctor</t>
  </si>
  <si>
    <t>Ulan bi açıklayıcı paylaşım yok hep şiir hep destan #TurkishArmy</t>
  </si>
  <si>
    <t>neyi bilmediğim hakkında hiçbir fikrim yok.</t>
  </si>
  <si>
    <t>BuRaK DaŞtAN</t>
  </si>
  <si>
    <t>https://pbs.twimg.com/media/EGbgYQCXkAAMZZp.jpg</t>
  </si>
  <si>
    <t>Amasya\Merkez</t>
  </si>
  <si>
    <t>Fatih Güneş</t>
  </si>
  <si>
    <t>Türkler tarihinin hiç bir döneminde zalime boyun eğmemiştir! Bin yıl önce olduğu gibi şimdide mazlumların yanında olmaya devam edecektir! Bizi savaşla ekonomiyle cartla curtla korkutamazsiniz!senin havan Avrupa ülkelerine geçer bize değil ! #TurkishArmy</t>
  </si>
  <si>
    <t>Ne demiş Sultanım Mevlana; ‘Tut ki miras kaldı Ali’den sana Zülfikar. Sende Ali’nin yüreği yoksa Zülfikar neye yarar?</t>
  </si>
  <si>
    <t>https://pbs.twimg.com/media/EGbgXnwW4AAIqJN.jpg</t>
  </si>
  <si>
    <t>Marmara University</t>
  </si>
  <si>
    <t>Mevre Tamburcu</t>
  </si>
  <si>
    <t>Bu gerçek mi yaaaa hahahaha 🤣🤣 #KendineGelPezeberk #TurkishArmy #EmineBulut #deprem #CheGuevara Mustafa İslamoğlu Suriye Milli Ordusu</t>
  </si>
  <si>
    <t>https://pbs.twimg.com/media/EGbgWlRWkAELsIF.jpg</t>
  </si>
  <si>
    <t>Umutla yolculuk etmek, gidilecek yere varmaktan çok daha zevklidir. Galatasaray 💛❤️ Terazi ♎️ Yedek hesap: mrvecetn 'DEÜ - MCBÜ / Adalet 2016 ✏️ //</t>
  </si>
  <si>
    <t>Uzunçavdar Taekwondo Team 🇹🇷</t>
  </si>
  <si>
    <t>Türk’ün Gücünü Göstermeyi, Rengini Aziz şehitlerimizin kanından alan Şanlı Bayrağımızı Dalgalandırmayı, istiklal Marşımızı Dünya’ya dinletmeyi nasip eden Allah’a sonsuz Hamd olsun.. #TurkishArmy #elhamdülillah</t>
  </si>
  <si>
    <t>https://pbs.twimg.com/media/EGbfbAbWwAAvcEq.jpg</t>
  </si>
  <si>
    <t>MALTEPE UZUNÇAVDAR TAEKWONDO SPOR KULÜBÜ 🥋</t>
  </si>
  <si>
    <t>Türk ya da Kürt,Alevi ya da Sünni,Laz ya da Çerkez,Fener ya da CimbomBiz puzzle'ız,biz Anadolu'yuz,biz bölünemeyizBizde akıl var,benim gibi düşünen çokBizi bölmek isteyen var,bizi bölebilecek olan yokBizi gömmek isteyen varsa bu imkânsız @ceza_ed #TurkishArmy #EmineBulut</t>
  </si>
  <si>
    <t>Haksızlık karşısında susan dilsiz şeytandır. Hz. Ali</t>
  </si>
  <si>
    <t>Ömer Cengiz</t>
  </si>
  <si>
    <t>Ruhumun senden, ilahi, şudur ancak emeli: Değmesin mabedimin göğsüne namahrem eli. Bu ezanlar-ki şahadetleri dinin temeli, Ebedi yurdumun üstünde benim inlemeli.#TurkishArmy</t>
  </si>
  <si>
    <t>Ben söylediklerimden sorumluyum, anladıklarınızdan değil.' S. Zweig</t>
  </si>
  <si>
    <t>Savaş Türk'e düğün tamam da bu ülkeye ekonomik ambargo uygulansa ne yiyip ne içeriz? Siz o milliyetçiliği bu ülkenin fabrikaları kapanmadan önce yapacaktınız #TurkishArmy</t>
  </si>
  <si>
    <t>BİR ELİMDE ONDÖRTLÜ BİR ELİMDE GÜLLER VAR</t>
  </si>
  <si>
    <t>ferhatgsth🦉</t>
  </si>
  <si>
    <t>Turkish Army degil “TURAN ORDUSU” #TurkishArmy</t>
  </si>
  <si>
    <t>Hamburg, Germany</t>
  </si>
  <si>
    <t>hayata dair cevapları bulmuştum ki, tanrı soruları değiştirdi</t>
  </si>
  <si>
    <t>Batuhan Sayar</t>
  </si>
  <si>
    <t>Saint Petersburg, Russia</t>
  </si>
  <si>
    <t>batuhan han hazretleri 🤴 Санкт -Петербург</t>
  </si>
  <si>
    <t>tolga</t>
  </si>
  <si>
    <t>Biz ordusu olan bir milet degil , milleti olan bir orduyuz #TurkishArmy #TurkMilletiOrdusununYanında #BarisPinariHarekati</t>
  </si>
  <si>
    <t>https://pbs.twimg.com/media/EGbgOfIX0AIGO4S.jpg</t>
  </si>
  <si>
    <t>Hakan44</t>
  </si>
  <si>
    <t>Sev yaratılanı YARADANDAN ötürü....</t>
  </si>
  <si>
    <t>sibel kaya</t>
  </si>
  <si>
    <t>#TurkishArmy🇹🇷</t>
  </si>
  <si>
    <t>Kübraaaa</t>
  </si>
  <si>
    <t>Ayağınıza taş değmesin ❣️ #TurkishArmy</t>
  </si>
  <si>
    <t>durmuş çetinkaya ⚡</t>
  </si>
  <si>
    <t>#TurkishArmy başkomutan Erdoğan önderliğinde ordumuz zafere gidiyor rabbim yardımcıları olsun</t>
  </si>
  <si>
    <t>pic.twitter.com/1vXW0ulyvp</t>
  </si>
  <si>
    <t>Şahin Barut</t>
  </si>
  <si>
    <t>SEMT-İ MUKADDES</t>
  </si>
  <si>
    <t>Hiçbir zaman hayatın istediğin kadar güzel olmayacak, sen sadece gördüğün rüyaları fazla ciddiye alacaksın.</t>
  </si>
  <si>
    <t>Mert İşliyen</t>
  </si>
  <si>
    <t>https://pbs.twimg.com/media/EGbgHSjXkAEQPfR.jpg</t>
  </si>
  <si>
    <t>SBÜ | Egzersiz &amp; Spor Bilimleri ✳ instagram | @mertisliyen</t>
  </si>
  <si>
    <t>Kadir BERBER 🇹🇷</t>
  </si>
  <si>
    <t>GÖKTE KARTAL YERDE ASLAN DAĞDA BOZKURT ORDUSU VAR OLSUN YİĞİT MEHMETLER YAŞASIN TÜRK ORDUSU ! 🇹🇷🇹🇷🇹🇷 #TurkishArmy</t>
  </si>
  <si>
    <t>https://pbs.twimg.com/media/EGbgGVyW4AAdvW0.jpg</t>
  </si>
  <si>
    <t>Rize / İzmir / Ankara TÜRKİYE</t>
  </si>
  <si>
    <t>🅱ᴮᴱᴿᴮᴱᴿᴼᴳᴸᵁ ᴳᴿᵁᴾ ™ ®🇹🇷 Loading. . #SiberGüvenlikYazılımcısı #GüvenlikPlatformlarıGeliştiricisi #Analist #İletişimUzmanı #Öğretici #Turancı #DEVLETEBEDMÜDDET</t>
  </si>
  <si>
    <t>http://www.kadirberber.com.tr</t>
  </si>
  <si>
    <t>Kemalist</t>
  </si>
  <si>
    <t>Abi savaş mavaş diyorsunuz da amerika rusya iran girerseniz saldırırız dediğini görmezden gelmiyin #TurkishArmy</t>
  </si>
  <si>
    <t>Byz 🦀 |Joon|</t>
  </si>
  <si>
    <t>Burada bizden bahsedilmiyormuş aq geri çıkarabiliriz #TurkishArmy</t>
  </si>
  <si>
    <t>pic.twitter.com/8k7P5saprX</t>
  </si>
  <si>
    <t xml:space="preserve">turkey </t>
  </si>
  <si>
    <t>if ı die today tell,@NiallOfficial ı loved him. One Direction / ZAYN / BTS / ATEEZ 🔥</t>
  </si>
  <si>
    <t>http://inzayn.com</t>
  </si>
  <si>
    <t>RLGR</t>
  </si>
  <si>
    <t>#turkmilletiordusununyaninda #TurkishArmy #SavasaHayır #BarisPinariHarekati RT @saidercan: Kimse durduk yere savaş istemiyor savaş yok zaten,dünya silah tüccarlarını arkasına almış bir çete benim ülkem için tehdit oluşturuyor bizde meşru müdafa yapıyoruz.Okyanusun ötesinden ülkemi savunuyorum diye savaşa gelenleri anlayanlar sınırımıza operasyonu anlamıyor #TurkishArmy</t>
  </si>
  <si>
    <t>Fire Fighter &amp; Fire Hunter</t>
  </si>
  <si>
    <t>Mehmet Taşpınar</t>
  </si>
  <si>
    <t>Mehmetçik, Osmanlı'dan sonra Orta Doğu'da yere düşen insanlık onurunu ayağa kaldırmaya gidiyor. Bu yol uzun. Bu yolda dünyayı aşan, Ebediyete taşan bir Nur vardır. #TurkishArmy</t>
  </si>
  <si>
    <t>Nihal Furuncu Erbaş 🇹🇷</t>
  </si>
  <si>
    <t>“Aşk bizde hep 5 harf", "Allah" gibi, "Kur-an" gibi, "Vatan" gibi ❣️🇹🇷 #TurkishArmy</t>
  </si>
  <si>
    <t>https://pbs.twimg.com/media/EGbgEpMXkAEMSYi.jpg</t>
  </si>
  <si>
    <t>DM kapalı ⚡️Etiket ❌</t>
  </si>
  <si>
    <t>Özgür (Furkan)</t>
  </si>
  <si>
    <t>#TurkishArmy Allah müslüman olan cihad anlayışla yola çıkan Askerleri korusun Haçlı maşası ypg sdf=Pkk ortadan kaldırsın inşaAllah ırk gözetmeksizin Allah müslümanların yanında olsun Türk Arap Kürt farketmez Allah zalimler topluluğunu ve putçu zihniyeti de yok etsin.</t>
  </si>
  <si>
    <t>"Müminler, müminleri bırakıp da kafirleri dost edinmesinler! Onları dost edinenler, Allah’ın dostluğunu bırakmış olurlar." (Al-i İmran/28)</t>
  </si>
  <si>
    <t>Krtar Hk</t>
  </si>
  <si>
    <t>Heyecanla bekliyoruz artik sığamiyuruz dar geldi bu torkalar genişlememiz lazım #TurkishArmy</t>
  </si>
  <si>
    <t>Erd4l ULU 🌔🇹🇷</t>
  </si>
  <si>
    <t>#TurkishArmy Bu sefer inanıyorum operasyon 48 saat dahi sürmeyecek hevaller daha erken kaçacaklar #carsamba</t>
  </si>
  <si>
    <t>OF- İstanbul, Türkiye</t>
  </si>
  <si>
    <t>PVC ,PE , PP ( Import-Export) ...... (OF'li) , ....geldik gidiyoruz ....</t>
  </si>
  <si>
    <t>http://www.ulupolimer.com.tr</t>
  </si>
  <si>
    <t>BARIŞ PINARI HAREKATI</t>
  </si>
  <si>
    <t>Diyarbakır 8’inci Ana Jet Üs Komutanlığına savaş uçağı takviyesi yapılmaya başlandı. Savaş uçakları Diyarbakır’daki filolara katılırken, üs komutanlığında izinler kaldırıldığı ve her an harekete geçme alarmı verildiği bildirildi. #neredekalmıştık #başlarınıezeceğiz #TurkishArmy</t>
  </si>
  <si>
    <t>https://pbs.twimg.com/media/EGbgAyhXkAATl5L.jpg</t>
  </si>
  <si>
    <t>Doğu Fırat, Suriye</t>
  </si>
  <si>
    <t>KOD ADI : BARIŞ PINARI HAREKATI 🇹🇷 #Kasırga1453 #TurkishArmy</t>
  </si>
  <si>
    <t>metin ak 🇹🇷 💛❤️</t>
  </si>
  <si>
    <t>Hey Şanlı ordu hey şanlı asker #TurkishArmy</t>
  </si>
  <si>
    <t>Den Haag, Nederland</t>
  </si>
  <si>
    <t>💛❤️</t>
  </si>
  <si>
    <t>ℝ𝕒𝕞𝕒𝕫𝕒𝕟</t>
  </si>
  <si>
    <t>#TurkishArmy Azerin "Tuna Nehri"</t>
  </si>
  <si>
    <t>https://youtu.be/x8p4bVApqIU</t>
  </si>
  <si>
    <t>MLXXI-Ötüken-Dersaadet-MCDLIII</t>
  </si>
  <si>
    <t>We are going to conquers the hearts, not the land… Fatih Sultan Mehmet</t>
  </si>
  <si>
    <t>zagor1&amp;ciko2</t>
  </si>
  <si>
    <t>Firatin dogusuna, Arab baharindan sonra, Türk kışı geldi. #TurkishArmy</t>
  </si>
  <si>
    <t>Mamoste Golika®</t>
  </si>
  <si>
    <t>@fahrettinaltun Turkish Army #TurkishArmy</t>
  </si>
  <si>
    <t>https://pbs.twimg.com/media/EGbf8aKWoAA-5mE.jpg</t>
  </si>
  <si>
    <t>Bakur</t>
  </si>
  <si>
    <t>Biji têkoşîna gelê bî rûmet!</t>
  </si>
  <si>
    <t>erkut</t>
  </si>
  <si>
    <t>#TurkishArmy 🇹🇷 #WolvesComing 🐺</t>
  </si>
  <si>
    <t>pic.twitter.com/p1eYRHc9Nk</t>
  </si>
  <si>
    <t>Türk.</t>
  </si>
  <si>
    <t>http://www.atam.gov.tr</t>
  </si>
  <si>
    <t>MeLda 🇹🇷🇹🇷🇹🇷</t>
  </si>
  <si>
    <t>@MSTanrikulu #TurkishArmy Evleri taşlansa nerde devlet, Asker, polis, diye en önce bağıracak kesim, Vatanı taşlanınca dur birşey yapma diyor. Birilerimi gücenir ?</t>
  </si>
  <si>
    <t>Vatan hainleri takip etmesin.</t>
  </si>
  <si>
    <t>Murat Özberkmen</t>
  </si>
  <si>
    <t>Hür yaşadık hür yaşarız!!! #TurkishArmy</t>
  </si>
  <si>
    <t>Hünkar'ın geldi yetme rap'çi.</t>
  </si>
  <si>
    <t>Dr.Emre</t>
  </si>
  <si>
    <t>#TurkishArmy  @YouTube</t>
  </si>
  <si>
    <t>https://youtu.be/rhTW0j_g-XQ</t>
  </si>
  <si>
    <t>http://www.e.com</t>
  </si>
  <si>
    <t>Hamza KULAKSIZ</t>
  </si>
  <si>
    <t>Sayın Başkanımız @RTErdogan ın #fırat ın doğusuna harekat ve güvenlik bölge hamlesi, ülkemizin içindeki muhalif kesimi kudurtuyor. Önemli olan analiz etmek gerekiyor: Birkaç yıla kalmaz buralar bizim olacak ve Sayın RTE tekrar başkan seçilecektir. #TurkishArmy #BarisPinari</t>
  </si>
  <si>
    <t>🎓🥋🔬🔭⚕ψ 🥖⚖️✵❄️🔥🦅🌍🌋💡 27. Dönem İstanbul Ak Parti Milletvekili Adayı</t>
  </si>
  <si>
    <t>✩°SudeNazMiray°✩</t>
  </si>
  <si>
    <t>@HurOsmanliTT @imanvevatan @AbiSayn @Derdim__dvm @ANTALYA_41 @Aksevdam_Mavi @Sehriban55__ @ElvanErdoan15 @Turks_alp @nlnrudra1 "Allah'u ekber kebira, velhamdü lillahi kesira, sübhanallahi bükreten ve esila" ELHAMDÜLİLLAH☝️🇹🇷🇹🇷🇹🇷 ALLAH büyüklerin en büyüğüdür. ALLAH'a olan hamdımız çoktur. Sabah akşam her an tesbihimiz ALLAH'a dır. #TurkishArmy #neredekalmıştık #BarisPinari</t>
  </si>
  <si>
    <t>https://pbs.twimg.com/media/EGbfmVyWoAA_Pet.jpg</t>
  </si>
  <si>
    <t>TÜRKİYE İSTANBUL SÖZLEŞMESİ'nden ÇIKMALIDIR #AilemizHerŞeyimiz'dir #ÇanakkaleCephesi 'nde Nefer</t>
  </si>
  <si>
    <t>hakan yuca</t>
  </si>
  <si>
    <t>https://pbs.twimg.com/media/EGbf23gWkAA0h8F.jpg</t>
  </si>
  <si>
    <t>Biz, Allah’tan başka kimsesi olmayanlarız..</t>
  </si>
  <si>
    <t>Malcom×yz</t>
  </si>
  <si>
    <t>Askerlerimiz düğüne gidiyor. #TurkishArmy Rabbim yar ve yardımcıları olsn</t>
  </si>
  <si>
    <t>Biz koşu bittikten sonra da koşan atlarız...</t>
  </si>
  <si>
    <t>GÖKTÜRK 🇹🇷 | #𝑶𝒑𝑷𝒆𝒂𝒄𝒆𝑺𝒑𝒓𝒊𝒏𝒈</t>
  </si>
  <si>
    <t>Sınır bölgesine komando tugaylarından beş bin kişilik birlik gönderildi. Olası harekatın iki aşamalı olması ve Resulayn ile Tel Abyad'ın kontrol altına alınması hedefleniyor. Akçakale ve Ceylanpınar'ın harekatın iki ana merkezi olması bekleniyor. -NTV #TurkishArmy</t>
  </si>
  <si>
    <t>Savunma Sanayii | Yerli ve Milli Projeler</t>
  </si>
  <si>
    <t>emacid ⚡</t>
  </si>
  <si>
    <t>Dîyame emir kîriye un emanete Xoda bîn. Serê wan teroran pêrçıxının.. Sınır Hattında Boşaltılan Bir Köyde Kürt anamız emretti; ONLARI EZİN! #TurkishArmy 🇹🇷 #MilletOrdusununYanında #BarışPınarıHarekatı #VakitGazaVakti</t>
  </si>
  <si>
    <t>pic.twitter.com/9F1v6xaaca</t>
  </si>
  <si>
    <t>http://instagram.com/emacid1 Gamına gamlanıp olma mahzun, Demine demlenip olma mağrur, Ne dem baki ne gam baki, ya Hû! (Yavuz Sultan Selim Han)</t>
  </si>
  <si>
    <t>Fıtrat değişir sanma, bu kan yine o kandır. #TurkishArmy</t>
  </si>
  <si>
    <t>https://pbs.twimg.com/media/EGbfyYCX0AEZL3O.jpg</t>
  </si>
  <si>
    <t>🇹🇷Ankara🇹🇷</t>
  </si>
  <si>
    <t>“Üslubun Kimliğindir”(Gruplara eklemeyin lütfen)</t>
  </si>
  <si>
    <t>Dozer gibi oyna 🇹🇸⚽️</t>
  </si>
  <si>
    <t>Kimse senin dalgalarla nasıl boğuştuğuna bakmaz, gemiyi limana getirip getirmediğine bakar.... Dozer gibi oyna Kazım gibi sev</t>
  </si>
  <si>
    <t>#TurkishArmy Allah yardımcınız olsun yiğitler. Vatan ne Türkiye’dir Türk’lere, ne Türkistan Vatan büyük ve müebbet bir ülkedir Türklere turan... 🇹🇷</t>
  </si>
  <si>
    <t>Büyük Başarı Akademi Koleji 🇹🇷</t>
  </si>
  <si>
    <t>DursunAli Erzincanlı</t>
  </si>
  <si>
    <t>Koordinatör: Mustafa Hakan Ş.</t>
  </si>
  <si>
    <t>http://dursunalierzincanli.com.tr</t>
  </si>
  <si>
    <t>Political Science 📚</t>
  </si>
  <si>
    <t>Dünyada Çocukların korkmadığı tek ordu... #TurkishArmy</t>
  </si>
  <si>
    <t>https://pbs.twimg.com/media/EGbfvslWoAAKmUC.jpg</t>
  </si>
  <si>
    <t>M U S T A F A  E R</t>
  </si>
  <si>
    <t>https://pbs.twimg.com/media/EGbfv9iWoAAfvfT.jpg</t>
  </si>
  <si>
    <t>SİYAH BEYAZIN AŞIĞI. . .</t>
  </si>
  <si>
    <t>CAN 🇹🇷</t>
  </si>
  <si>
    <t>https://pbs.twimg.com/media/EGbfucaX0AACrX6.jpg</t>
  </si>
  <si>
    <t>-Karadeniz-</t>
  </si>
  <si>
    <t>Aytekin Akay</t>
  </si>
  <si>
    <t>#TurkishArmy Allah yar ve yardımcınız olsun. Dualarımız sizlerle.#Mehmetçik</t>
  </si>
  <si>
    <t>Spor ve siyasal iletişime meraklı bir gazeteci. Reklamcılık ve yayıncılıkla uğraşır. Maviyi bordoyla sever. Kalıplara girmeyi sevmez.</t>
  </si>
  <si>
    <t>Vur şanlı silahınla gönül mülkü düzelsin Sen vururken de öldürürken de güzelsin. #TurkishArmy</t>
  </si>
  <si>
    <t>ÜT: 51.5487319,-0.118152</t>
  </si>
  <si>
    <t>İBRAHİM ETHEM KARAHAN 🇹🇷</t>
  </si>
  <si>
    <t>15 Temmuz'da, Fırat Kalkanı ve Zeytin Dalı Harekatlarında Ordusunun yanında olan bu millet Barış Pınarı Harekatında da Ordusunun yanındadır. Unutulmasın ki Gördüğünüz ordu sadece bir yansımadır. Asıl ordu 82 Milyondur Türk Ayağa kalkarsa siz yerin dibine girersiniz #TurkishArmy</t>
  </si>
  <si>
    <t>💍 🇹🇷 Öğretmen İ D E A L İ S T</t>
  </si>
  <si>
    <t>Ramazan ÇALIŞKAN</t>
  </si>
  <si>
    <t>EAÜ Balıkesir</t>
  </si>
  <si>
    <t>http://instagram.com/rmzncaliskann</t>
  </si>
  <si>
    <t>Ali Topal</t>
  </si>
  <si>
    <t>👊🏻 #TurkishArmy</t>
  </si>
  <si>
    <t>küfür ederim beğenmiyorsan siktir git ⭐️ ⭐️ ⭐️ ⭐️ GALATASARAY 🇹🇷 🤘🏻 🐺 #PremierLig 💪🏻Liverpool</t>
  </si>
  <si>
    <t>✌semra s.✌</t>
  </si>
  <si>
    <t>İnşaallah bunları alıp hapiste beslemezler, hepsini gebertsinler 1 tane kalmasın #TurkishArmy RT @ensonhaber: Trump'ın Avrupa istemiyor, Türkiye'ye vereceğim dediği 12 bin DEAŞ'lı terörist!.. İngiliz gazeteci Suriye'ye gitti hapishaneleri tek tek görüntüledi</t>
  </si>
  <si>
    <t>https://twitter.com/ensonhaber/status/1181864086822428673</t>
  </si>
  <si>
    <t>pic.twitter.com/6qvVMd0JDF</t>
  </si>
  <si>
    <t>Amed 21 ❣</t>
  </si>
  <si>
    <t>#HürOsmanlı</t>
  </si>
  <si>
    <t>"Allah'u ekber kebira, velhamdü lillahi kesira, sübhanallahi bükreten ve esila" ALLAH büyüklerin en büyüğüdür. ALLAH'a olan hamdımız çoktur. Sabah akşam her an tesbihimiz ALLAH'a dır. #TurkishArmy #neredekalmıştık #BarisPinari</t>
  </si>
  <si>
    <t>Tek başımayım, Yalnız değilim...</t>
  </si>
  <si>
    <t>https://guvensozluk.com/yazar/free-ottoman_1114</t>
  </si>
  <si>
    <t>Korkun lan Türklerden #TurkishArmy</t>
  </si>
  <si>
    <t>Uğur Sel</t>
  </si>
  <si>
    <t>Araçta sigara içme yasağı bittimi #TurkishArmy</t>
  </si>
  <si>
    <t>https://pbs.twimg.com/media/EGbflbGWoAATV45.jpg</t>
  </si>
  <si>
    <t>Gece Ölür Biz Kalırız</t>
  </si>
  <si>
    <t>Yıldırım</t>
  </si>
  <si>
    <t>ULU ÖNDER #BAŞKOMUTAN RECEP TAYYİP ERDOĞAN tarafından yöneltilen bu askerlerin yerinde olmak isterdim 🙁🙁ALLAH güç kuvvet versin inşallah şimdi dua etme zamanı mehmedimize #TurkishArmy</t>
  </si>
  <si>
    <t>https://pbs.twimg.com/media/EGbfj9HWoAIxMPu.jpg</t>
  </si>
  <si>
    <t>orhan Başkan</t>
  </si>
  <si>
    <t>Tarihi biz yazarız digerleri edebiyatini yapsin . #TurkishArmy</t>
  </si>
  <si>
    <t>pic.twitter.com/oPnoklBQoB</t>
  </si>
  <si>
    <t>Bizim çıkarsız duruşumuz Menfaatçilerin işini bozaar.</t>
  </si>
  <si>
    <t>Cüneyt Ökmen 🇹🇷</t>
  </si>
  <si>
    <t>#TurkishArmy RT @slmhktn: Bana neden Türk ordusunu soruyorsunuz? Bize zulmeden PKK'dır... Rudaw'ın delikanlı bir kürt anne ile imtihanı!</t>
  </si>
  <si>
    <t>Araştırmacı ama yazar değil. Kemalistler çıksın yoksa kusucam.</t>
  </si>
  <si>
    <t>kemal can</t>
  </si>
  <si>
    <t>Kurcuvalı</t>
  </si>
  <si>
    <t>Gücünü damarlarındaki asil kandan alan yüce millet #TurkishArmy</t>
  </si>
  <si>
    <t>https://pbs.twimg.com/media/EGbfhEGXoAAqsQu.jpg</t>
  </si>
  <si>
    <t>Demirhan 19🌿7</t>
  </si>
  <si>
    <t>"Türkler, müslümanlar gelmişler. Allah'a şükür o köpeklerden kurtulduk. YPG/PKK'dan kurtulduk. Ne namus bıraktılar, ne çocuk bıraktılar. 8 çocuğum vardı hepsi gitti. Hiçbiri kalmadı." #TurkishArmy 🇹🇷</t>
  </si>
  <si>
    <t>👉 FB (Rh+) 💉 🌿 💛💙</t>
  </si>
  <si>
    <t>Esra Esme</t>
  </si>
  <si>
    <t>🇹🇷🇹🇷🇹🇷🇹🇷🇹🇷🇹🇷🇹🇷🇹🇷🇹🇷🇹🇷🇹🇷🇹🇷🇹🇷 #TurkishArmy</t>
  </si>
  <si>
    <t>Onlardan sana kulak verenler de vardır. Fakat sağırlara, hele akılları da ermiyorsa, sen mi işittireceksin?</t>
  </si>
  <si>
    <t>Yeşim TATAR</t>
  </si>
  <si>
    <t>🇹🇷 #TurkishArmy kanatlandırır 🇹🇷</t>
  </si>
  <si>
    <t>https://pbs.twimg.com/media/EGbfYwzWwAAW62R.jpg</t>
  </si>
  <si>
    <t>~Türk Dili ve Edebiyatı ~ ~Yzlm Glş Ve Prgml~ ~Anne Koç Galatasaray ~ ~Şahsım da kusur aramayın kendinizden başka birşey bulamazsınız . . . ~</t>
  </si>
  <si>
    <t>http://instagram.com/yesimtatarank</t>
  </si>
  <si>
    <t>berranurkaratas</t>
  </si>
  <si>
    <t>لَا تَحْزَنْ اِنَّ اللّٰهَ مَعَنَا Allah, peygamber korkusu bilmez alçaklar! Unutmayın ki, intikam gecikir ama asla yaşlanmaz! -IV.Murad #TurkishArmy 🇹🇷🐺</t>
  </si>
  <si>
    <t xml:space="preserve">İstanbul, Türkiye 🇹🇷 🐺 </t>
  </si>
  <si>
    <t>DÜ-Mechanical and Manufacturing Engineering 👩🏻‍🎓</t>
  </si>
  <si>
    <t>uzman0359</t>
  </si>
  <si>
    <t>İnna Fetahna Leke Fethan Mubina #TurkishArmy</t>
  </si>
  <si>
    <t>La galiba İllallah</t>
  </si>
  <si>
    <t>Nuri</t>
  </si>
  <si>
    <t>Daima hazır #TurkishArmy</t>
  </si>
  <si>
    <t>https://pbs.twimg.com/media/EGbfYUIXYAAVa3r.jpg</t>
  </si>
  <si>
    <t>Cennetin Alevli Yanı</t>
  </si>
  <si>
    <t>🇹🇷 JSGA 🇹🇷 Ne diyordu şair ; Sen raad olsana</t>
  </si>
  <si>
    <t>Oğuzhan Duran</t>
  </si>
  <si>
    <t>Kürşad'ın hep diri kalan kinini kusma vaktidir. rte dünya'ya kan kusturacak deyip, olayı manipülasyon'a uğratmayın. Gazi Mustafa Kemâl'den emanet kalan devlet için, Oğuz Kağan'ın torunları hudutta! Bir kere olsun, Türk'ün hakkını Türk'e verin! #TurkishArmy</t>
  </si>
  <si>
    <t>https://pbs.twimg.com/media/EGbfXzGWsAA-GAp.jpg</t>
  </si>
  <si>
    <t>Hukuk⚖️ 4/2 🇹🇷 Ankara üstünde, bir Ankara 06</t>
  </si>
  <si>
    <t>Suphi Murat TENŞİ</t>
  </si>
  <si>
    <t>Tarihimiz coğrafyamıza dar geliyor kardeşim. Neyini anlamıyorsunuz? #TurkishArmy</t>
  </si>
  <si>
    <t>https://pbs.twimg.com/media/EGbfYBvXkAIl_Tx.jpg</t>
  </si>
  <si>
    <t>Marka Danışmanı | Kreatif Direktör | Pio Reklam Ajansı Ajans Başkanı #DijitalGuru | #Mevzu | #DİD | #Haberatnet Ben yamak doğdum, çırak öleceğim...</t>
  </si>
  <si>
    <t>http://www.pio.com.tr</t>
  </si>
  <si>
    <t>every Türk is born as a soldier. #TurkishArmy</t>
  </si>
  <si>
    <t>https://pbs.twimg.com/media/EGbfWlcX0AA0qOG.jpg</t>
  </si>
  <si>
    <t>allright fam</t>
  </si>
  <si>
    <t>alara</t>
  </si>
  <si>
    <t>https://pbs.twimg.com/media/EGbfVrmWkAAxQr8.jpg</t>
  </si>
  <si>
    <t xml:space="preserve">Aşk Ağlatır </t>
  </si>
  <si>
    <t>Ali Osman Turgut</t>
  </si>
  <si>
    <t>Başımızda tacı devlet, kanımızda fethi kudret, ardımız ecel, önümüz şehadet. Sefer bizden, zafer Allah'tan. #TurkishArmy</t>
  </si>
  <si>
    <t>https://pbs.twimg.com/media/EGbfVLPW4AArzAy.jpg</t>
  </si>
  <si>
    <t>AK Parti Akören Gençlik Kolları Başkan Vekili ''Müslüman'dan Şerefli Sıfatımız, Kulluk'tan Büyük Vazifemiz Yoktur.''</t>
  </si>
  <si>
    <t>BORSALINOREAL</t>
  </si>
  <si>
    <t>"Tell the your emperor; Where my power has reached, Emperor's dreams can not reach!" Mehmed the Conqueror #TurkishArmy #Trump #OperationPeaceSpring @LindseyGrahamSC</t>
  </si>
  <si>
    <t>https://pbs.twimg.com/media/EGbfT9NXoAA_B6n.jpg</t>
  </si>
  <si>
    <t>Ergenekon, TURAN</t>
  </si>
  <si>
    <t>#Moneymakesmoney #theWolf #theRaven RTs and FAVs are not endorsements. All or nothing! You can't bleed a stone.</t>
  </si>
  <si>
    <t>Ercan Uysal</t>
  </si>
  <si>
    <t>İslam’ın, Türk’ün, Mazlumun Ordusu II🇹🇷 #TurkishArmy</t>
  </si>
  <si>
    <t>Yazar, çizer, okur, düşünür, hatip, şair, oyuncu, öğretmen, eğitimci, yönetici, ressam, zanaatkar, fotoğrafçı, balıkçı, seyyah, şoför, marangoz, çiftçi, işçi...</t>
  </si>
  <si>
    <t>Servet Sümbül 🇹🇷🦅</t>
  </si>
  <si>
    <t>KEŞKE BURADA DA BÖYLE YASAKLAR OLSA 🤗 #TurkishArmy #EmineBulut #CheGuevara DelilOlsa BunlarMıKonuşulur #carsamba</t>
  </si>
  <si>
    <t>https://pbs.twimg.com/media/EGbfUCUW4AEzseA.jpg</t>
  </si>
  <si>
    <t>Bıraktığın Yerdeyim</t>
  </si>
  <si>
    <t>Yüreğinin Götürdüğü Yere Gidenlerin Kaç Tanesi Sağ Salim Geri Dönebiliyor ki?! HİÇ!⌛😌 TUTKUNUM SANA #Beşiktaş ❤ @Besiktas 🦅 #Takip #FF #RT</t>
  </si>
  <si>
    <t>Yol ver Türk'ün bayrağına! #TurkishArmy</t>
  </si>
  <si>
    <t>Mahmut Muslihan</t>
  </si>
  <si>
    <t>Sahadan; mehmetçik: izliyoruz! #TurkishArmy</t>
  </si>
  <si>
    <t>https://pbs.twimg.com/media/EGbfTg0XoAA6Hd1.jpg</t>
  </si>
  <si>
    <t>Marmara Üniversitesi/ Gazetecilik İstanbul Üniversitesi/ Sosyoloji * Gazeteci</t>
  </si>
  <si>
    <t>Sana dar gelmeyecek makber’i kimler kazsın? “Gömelim gel seni tarihe”desem, sığmazsın. #TurkishArmy</t>
  </si>
  <si>
    <t>Herr mannelig</t>
  </si>
  <si>
    <t>Nayab Shams</t>
  </si>
  <si>
    <t>Prayers with #TurkishArmy 🇹🇷. May peace prevail in Syria 🇸🇾 RT @elanur1717: Aslanlar 🇹🇷 #TurkishArmy 🇹🇷</t>
  </si>
  <si>
    <t>https://twitter.com/elanur1717/status/1181855434237284352</t>
  </si>
  <si>
    <t>pic.twitter.com/bCofTyalFg</t>
  </si>
  <si>
    <t>Hakan Bıyık</t>
  </si>
  <si>
    <t>Türk olmak zordur, çünkü dünya ile savaşırsın. Türk olmamak daha zordur, çünkü Türk ile savaşırsın. Ne mutlu Türküm diyene #TurkishArmy</t>
  </si>
  <si>
    <t>https://pbs.twimg.com/media/EGbfSMVW4AAFEGK.jpg</t>
  </si>
  <si>
    <t>#hiç</t>
  </si>
  <si>
    <t>Ciniroglu</t>
  </si>
  <si>
    <t>@eskibirmuhtar #TurkishArmy dostumuz.ALLAH CC Gerisi yalan sakın itibar etmeyin</t>
  </si>
  <si>
    <t>https://pbs.twimg.com/media/EGbfOxPWoAEVjFZ.jpg</t>
  </si>
  <si>
    <t>Zagor2&amp;ciko2</t>
  </si>
  <si>
    <t>Turkish winter came to the east of the Fırat. #TurkishArmy</t>
  </si>
  <si>
    <t>Kadir Doğan</t>
  </si>
  <si>
    <t>The only army that children are not afraid of.. #TurkishArmy</t>
  </si>
  <si>
    <t>https://pbs.twimg.com/media/EGbfOXKXoAEiwO_.jpg</t>
  </si>
  <si>
    <t xml:space="preserve">Sarajevo </t>
  </si>
  <si>
    <t>https://m.facebook.com/profile.php?ref=bookmarks</t>
  </si>
  <si>
    <t>http://Instagram.com/kadirdgnnn</t>
  </si>
  <si>
    <t>erdem ayvaoğlu</t>
  </si>
  <si>
    <t>Türk olmaz zordur , herkesle savaşırsın ... Türk olmamak daha zordur, Türklerle savaşırsın !!! #TurkishArmy</t>
  </si>
  <si>
    <t>Delilim yok kalbimden başka !!!</t>
  </si>
  <si>
    <t>Harun başında k yok</t>
  </si>
  <si>
    <t>Fıtrat değişir sanma ! Bu kan yine o kandır.#TurkishArmy</t>
  </si>
  <si>
    <t>https://pbs.twimg.com/media/EGbfDskWwAAKqoR.jpg</t>
  </si>
  <si>
    <t>Erk4n Erk4n</t>
  </si>
  <si>
    <t>#TurkishArmy İlk günler ama lı acaba lı konuşup her kesimden halkın, destek verdiğini görünce, "tabi tabi girelim, bu devlet meselesi muhalifiz ama kansız değiliz, bu olay başka" ya evrilen 720 derece kıvıran siyasilerden gazetecilerden nefret ediyorum..</t>
  </si>
  <si>
    <t>Her ölüm yeni bir başlangıçtır.</t>
  </si>
  <si>
    <t>mehmet ulucan</t>
  </si>
  <si>
    <t>#TurkishArmy Hazır girmişken Suriye’yi komple haritadan silin. Bizim olanı geri alın. Osmanlı İmparatorluğunun yok olmadığını tüm Dünya ya görsün</t>
  </si>
  <si>
    <t>Merve SEPTİOĞLU KORKUTATA</t>
  </si>
  <si>
    <t>Küresel güçleri arkasına almış soysuz bir çete benim ülkem için tehdit oluşturuyorsa tabiki başlarının ezilmesi gerek.. Rabbim müslüman türk askerini korusun🤲 #TurkishArmy #OrdumuzunYanındayız #BarisPinariHarekati</t>
  </si>
  <si>
    <t>https://pbs.twimg.com/media/EGbfLzrX0AMUfF4.jpg</t>
  </si>
  <si>
    <t>Ankara-Elazığ</t>
  </si>
  <si>
    <t>Bir İlahiyat Profesörü Adayı / Fırat University Faculty of Theology</t>
  </si>
  <si>
    <t>http://Instagram.com/merve_septioglu</t>
  </si>
  <si>
    <t>🕷</t>
  </si>
  <si>
    <t>Bıyığını siktimin piçleri. Türk’ün gücünü göreceksiniz. #TurkishArmy</t>
  </si>
  <si>
    <t>pic.twitter.com/0mzcR5abq3</t>
  </si>
  <si>
    <t>ATİLLA BORATAV</t>
  </si>
  <si>
    <t>#TurkishArmy #Türkmilletiordusununyanında #CheGuevara #turks #kurd #türksilahlıkuvvetleri #KendineGelPezeberk #kobani #syria #trump</t>
  </si>
  <si>
    <t>pic.twitter.com/Sj4EDkikU2</t>
  </si>
  <si>
    <t>☪Cesaretiyle Yaşamayan, Esaretiyle Ölür☪ ►http://facebook.com/sametkgf ►http://instagram.com/kamsl1</t>
  </si>
  <si>
    <t>Özlem</t>
  </si>
  <si>
    <t>Tanıdık görünce üstüne sürmece 😂 #TurkishArmy RT @TTAgrup: Bu delileri bir araya getirmeyecektiniz! #TurkishArmy</t>
  </si>
  <si>
    <t>Ey mavi göklerin beyaz ve kızıl süsü, Kız kardeşimin gelinliği, şehidimin son örtüsü🇹🇷</t>
  </si>
  <si>
    <t>Evren SEÇİLMİŞ</t>
  </si>
  <si>
    <t>Hazırmıyız Gençler... ''Aslanlar meydana çıkınca çakalların payına kaçmak düşer..'' #turkmilletiordusununyaninda #TurkishMilitary #TurkishArmy #BarisPinari</t>
  </si>
  <si>
    <t>pic.twitter.com/cJvedeL8RG</t>
  </si>
  <si>
    <t>Sabır: Kara bir dikeni yutmak, diken içini parçalayıp geçerken de hiç ses çıkarmamaktadır.</t>
  </si>
  <si>
    <t>serdar gezen</t>
  </si>
  <si>
    <t>#TurkishArmy Zulümlerle abad olamayacağını türk askeri teröristlere ve isbirlikcilerine gösterecek Alma mazlumun ahını çıkar aheste aheste Şüphesiz Allah zulüm yapana bir ceza hazırlamıştır Bu ceza türk askeri tarafından kesilecektir</t>
  </si>
  <si>
    <t>Kürşat Durgun</t>
  </si>
  <si>
    <t>https://pbs.twimg.com/media/EGbfFFzWsAAkr9p.jpg</t>
  </si>
  <si>
    <t>- KLÜ Political Science/Galatasaray</t>
  </si>
  <si>
    <t>http://Instagram.com/kursattdurgun</t>
  </si>
  <si>
    <t>Mehmet Altay</t>
  </si>
  <si>
    <t>https://pbs.twimg.com/media/EGbfENRWkAEhxLg.jpg</t>
  </si>
  <si>
    <t>Gökhan 1907</t>
  </si>
  <si>
    <t>Allah Mehmetçiğimizi korusun #TurkishArmy</t>
  </si>
  <si>
    <t>Türkçü milliyetçi Ülkücü Atatürk'çü Fenerbahçe ❤️ Ankaragücü 🇹🇷 ❤️🇦🇿 ❤️🇰🇿 ❤️🇰🇬 ❤️🇹🇲 ❤️🇺🇿 ❤️ 🇹🇯 ❤️🇱🇾 𐱅𐰇𐰼𐰰</t>
  </si>
  <si>
    <t>ÖZGÜR TUNCELİ</t>
  </si>
  <si>
    <t>https://pbs.twimg.com/media/EGbfDBAXoAI9UTw.jpg</t>
  </si>
  <si>
    <t>ÖZGÜR SIHHİ TESİSAT 05537813509</t>
  </si>
  <si>
    <t>Atilla GÖNÜLLÜ  🇹🇷</t>
  </si>
  <si>
    <t>Geçmişten geleceğe #TurkishArmy 🇹🇷</t>
  </si>
  <si>
    <t>Memleket Sevdalısı 🇹🇷</t>
  </si>
  <si>
    <t>Nurullah Yaşar</t>
  </si>
  <si>
    <t>Üstümüzden eksikmesin Al Bayrağın gölgesi 🙏#TurkishArmy</t>
  </si>
  <si>
    <t>https://pbs.twimg.com/media/EGbfA1aWsAAtVAI.jpg</t>
  </si>
  <si>
    <t>ÜLKÜCÜ CcC GALATASARAY KİN YUTTUK KAN KUSTURACAĞIZ.</t>
  </si>
  <si>
    <t>isme ne Gerek var!!</t>
  </si>
  <si>
    <t>Türk olmak zordur, çünkü dünya ile savaşırsın. Türk olmamak daha zordur, çünkü Türk ile savaşırsın. #turkmilletiordusununyaninda #TuerkMilletiOrdusununYanında #TurkishArmy</t>
  </si>
  <si>
    <t>Ümit Bayındır</t>
  </si>
  <si>
    <t>Biz ordusu olan bir millet değil, milleti olan bir orduyuz. MUSTAFA KEMAL ATATÜRK #TurkishArmy</t>
  </si>
  <si>
    <t>Enes Ünal</t>
  </si>
  <si>
    <t>#TurkishArmy We will never give up.</t>
  </si>
  <si>
    <t>https://pbs.twimg.com/media/EGbe-_YXYAE_0qm.jpg</t>
  </si>
  <si>
    <t>YUSUF BEYDOĞAN</t>
  </si>
  <si>
    <t>özkan the marmara kazım</t>
  </si>
  <si>
    <t>#TurkishArmy is fucking your mommy. Orospuçocukları.</t>
  </si>
  <si>
    <t>Sentinel218</t>
  </si>
  <si>
    <t>Türk askeri terörle mücadele ediyor bu saatten sonra amali fakat li kerhen desdek verdiğini söyleyen herkes vatan hainidir #TurkishArmy</t>
  </si>
  <si>
    <t>Son laik bükücü</t>
  </si>
  <si>
    <t>Türklüğü her baş, her omuz, her yürek kaldıramaz! #TurkishArmy</t>
  </si>
  <si>
    <t>https://pbs.twimg.com/media/EGbe8tEWoAEsS6W.jpg</t>
  </si>
  <si>
    <t>🇹🇷𐱅𐰼𐰇𐰰🇹🇷</t>
  </si>
  <si>
    <t>Sıla Gençoğlu</t>
  </si>
  <si>
    <t>https://pbs.twimg.com/media/EGbe8ItXkAEbGer.jpg</t>
  </si>
  <si>
    <t>Sıla gençoğlu Parody Account</t>
  </si>
  <si>
    <t>http://instagram.com/gencoglutv</t>
  </si>
  <si>
    <t>Samet</t>
  </si>
  <si>
    <t>#SavasaHayır diyenler siz bi kenara çekilip kadınlarınızın etekleri dibinde oturun. Gerçi pkklılardan etek kaldıysa! #TurkishArmy</t>
  </si>
  <si>
    <t>Bir Elazığ'lı</t>
  </si>
  <si>
    <t>yazamaz,çizemez/ kızının en büyük aşkı ...</t>
  </si>
  <si>
    <t>burası Beşiktaş günlüğüm</t>
  </si>
  <si>
    <t>Kubilay Mete Kocatürkmen</t>
  </si>
  <si>
    <t>https://pbs.twimg.com/media/EGbe5TIWsAAdqlI.png</t>
  </si>
  <si>
    <t>kocatürkmen</t>
  </si>
  <si>
    <t>ugurilhan</t>
  </si>
  <si>
    <t>#TurkishArmy RT @1parcatuhaftik: Vur şanlı silahınla gönül mülkü düzelsin; Sen öldürüyorken de vururken de güzelsin! #TurkishArmy</t>
  </si>
  <si>
    <t>https://twitter.com/1parcatuhaftik/status/1181833363520413696</t>
  </si>
  <si>
    <t>https://pbs.twimg.com/media/EGa3LWnXUAUeXp2.jpg</t>
  </si>
  <si>
    <t>Fenerbahçe 💙💛 Boşnak 🇧🇦🇹🇷. Esenler</t>
  </si>
  <si>
    <t>🇹🇷 MYWAY 🇹🇷</t>
  </si>
  <si>
    <t>"Her savaştan geriye üç ordu kalır: Ölüler ordusu, yas tutanlar ordusu, hırsızlar ordusu." #BertholtBrecht #SavasaHayır #SavasFelakettir #TurkishArmy #TürkMilletiOrdusununYanında🇹🇷✌️</t>
  </si>
  <si>
    <t>https://pbs.twimg.com/media/EGbe4aIXYAAbf9Y.jpg</t>
  </si>
  <si>
    <t>DM Yok 🚫</t>
  </si>
  <si>
    <t>‘’Bu kadar güzel bir gökyüzü altında, bu kadar kötü insan nasıl yaşayabiliyordu… ‘’ #Dostoyevski #MustafaKemalAtatürk #HerŞeyÇokGüzelOlacak✌️</t>
  </si>
  <si>
    <t>odunicee 🇹🇷</t>
  </si>
  <si>
    <t>Taşında gözü olanın, yurduna mezar kazacağız! #TurkishArmy</t>
  </si>
  <si>
    <t>https://pbs.twimg.com/media/EGbe3VvW4AAlQV9.jpg</t>
  </si>
  <si>
    <t>sultangazi , Adıyaman</t>
  </si>
  <si>
    <t>Türkiye Cumhuriyeti’nin hem de Amerika’nın prezınt prezıdıntı / Endoplazmik piskopat bir kulum.🙅 https://www.instagram.com/halimecnar/</t>
  </si>
  <si>
    <t>RÜMEYSA</t>
  </si>
  <si>
    <t>Allah yar ve yardımcınız olsun! 🇹🇷🇹🇷🇹🇷 #TurkishArmy</t>
  </si>
  <si>
    <t>Denemezsen Hayallerine Ulaşamazsın. ✨</t>
  </si>
  <si>
    <t>sevdiklerimizin değerini hayatteyken bilelim</t>
  </si>
  <si>
    <t>#TurkishArmy Senin huzurunda secde eden şanlı ordumuzu, düşman orduları karşısında galip eyle! Melek ordularınla onları teyid eyleyip karada, denizde, havada, her zaman ve her yerde Sen onları daima muzaffer eyle.. AMİN!..</t>
  </si>
  <si>
    <t>https://pbs.twimg.com/media/EGbe0ODWsAAsAVE.jpg</t>
  </si>
  <si>
    <t>Fatih C.</t>
  </si>
  <si>
    <t>https://pbs.twimg.com/media/EGbe2ASWsAANaee.jpg</t>
  </si>
  <si>
    <t>Fatih Can</t>
  </si>
  <si>
    <t>Msunar</t>
  </si>
  <si>
    <t>#TurkishArmy 👊👊</t>
  </si>
  <si>
    <t>https://pbs.twimg.com/media/EGbeyVDXYAAFqtJ.jpg</t>
  </si>
  <si>
    <t>GALATASARAY/ KTMÜ BESYO İnstagram:Msunar7</t>
  </si>
  <si>
    <t>Timucin🇹🇷 🇲🇰</t>
  </si>
  <si>
    <t>İmamoğlu ve Tunç Soyer şu an itibari ile halen Askerimize destek paylaşımı yapmadı.. Ne oldu ortağınız HDP'ten mi çekinirsiniz ? Biz yanlışa her zaman yanlış deriz.. #TurkishArmy</t>
  </si>
  <si>
    <t>MU</t>
  </si>
  <si>
    <t>Balkanlar - M.KEMAL ATATÜRK - AGARTA</t>
  </si>
  <si>
    <t>https://pbs.twimg.com/media/EGbex9EX0AA17a1.jpg</t>
  </si>
  <si>
    <t>Kül Tigin  🇹🇷</t>
  </si>
  <si>
    <t>Gökte Kartal yerde Aslan dağda Bozkurt ordusu var olsun yiğit Mehmetler yaşasın Türk ordusu #TurkishArmy</t>
  </si>
  <si>
    <t>Al bayrağın olduğu heryerde</t>
  </si>
  <si>
    <t>Kızıl karanlık artık yırtılmaya başladı.Gökyüzü Ayyıldızla örtülmeye başladı.Bir yanımdan yük düştü bir yanım hala yükte.Sıra Doğu Türkistan sıra şimdi Kerkükte</t>
  </si>
  <si>
    <t>KILIÇARSLAN</t>
  </si>
  <si>
    <t>#TurkishArmy #Türkiye Cumhuriyeti tarihinin en büyük askeri harekatı başlamak üzere... Allah muvaffak etsin #carsamba</t>
  </si>
  <si>
    <t>İNSANEVLADI olmak için bil ki Erenlere pek dokunmaya gelmez...</t>
  </si>
  <si>
    <t>Mehmet Zahid</t>
  </si>
  <si>
    <t>Sözde Arapları temsil eden Arap Birliği ve sözde Kürtleri temsil eden IKBY veya hdp binlerce km öteden Suriye’ye giren Rusya’ya yada Amerika’ya tek bir söz ettiklerini işittik mi? Tabiki hayır! #TurkishArmy</t>
  </si>
  <si>
    <t>TÜRKİYE / KONYA / KARATAY</t>
  </si>
  <si>
    <t>@NEUniversitesi YL 📚 @NOHUniversitesi 🎓 #ÇevreMühendisi</t>
  </si>
  <si>
    <t>Murat Kızıltepe</t>
  </si>
  <si>
    <t>Türk ordusunun gücü damarların da ki kanda saklıdır #TurkishArmy</t>
  </si>
  <si>
    <t>@gencnevsehir Gazi Üniversitesi Mezunu 🎓 Ankara~Nevşehirli 🇹🇷 @mttborgtr</t>
  </si>
  <si>
    <t>hüseyin aylaz</t>
  </si>
  <si>
    <t>#TurkishArmy Bu abd hükümetinden hersey beklenir bizim askerimize orda , sınir koridorunda pusu kurmasınlar aman dikkat Turk silahli kuvvetlerim... teroristleri paravan olarak kullanan abdden herseyi beklerim ..</t>
  </si>
  <si>
    <t>BÇ</t>
  </si>
  <si>
    <t>Yol ver Türk’ün bayrağına! #TurkishArmy</t>
  </si>
  <si>
    <t>https://pbs.twimg.com/media/EGbetaIXUAAAD6h.jpg</t>
  </si>
  <si>
    <t>burası benim küllüğüm</t>
  </si>
  <si>
    <t>Stk</t>
  </si>
  <si>
    <t>#TurkishArmy her daim!</t>
  </si>
  <si>
    <t>Efe Torunu</t>
  </si>
  <si>
    <t>“Türk olmak zordur, çünkü dünya ile savaşırsın. Türk olmamak daha zordur, çünkü Türk ile savaşırsın.” 🇹🇷 #TurkishArmy</t>
  </si>
  <si>
    <t>https://pbs.twimg.com/media/EGbetJgW4AAekJj.jpg</t>
  </si>
  <si>
    <t>Kimine göre faşist. Kimine göre vatanını, milletini seven ve bu uğurda herşeyi göze alan Anadolu çocuğu..🇹🇷</t>
  </si>
  <si>
    <t>Bülent Hakbilent 🇹🇷</t>
  </si>
  <si>
    <t>Türk ordusu yenilgisizdir sebebi ölüm mehmetçik için ölümsüzlüktür #TurkishArmy</t>
  </si>
  <si>
    <t>genç FB 06 Ülkücü Müslüman Atatürkçü Fenerbahçe ve Ankaragücü 𐱅𐰇𐰼𐰰 🇹🇷 🐺</t>
  </si>
  <si>
    <t>Hakan Hacisalihoglu</t>
  </si>
  <si>
    <t>#TurkishArmy "Adlarıyla Güneşi Yükseltenler"</t>
  </si>
  <si>
    <t>Deutschland(NRW)</t>
  </si>
  <si>
    <t>Hakk-ı gerçek sevenler;Cümle alem-i kardeş bilir.</t>
  </si>
  <si>
    <t>Just Rize</t>
  </si>
  <si>
    <t>Vurduğun gol olsun #TurkishArmy</t>
  </si>
  <si>
    <t>Anlatsam tesiri yok, sussam gönül razı değil</t>
  </si>
  <si>
    <t>#TurkishArmy Hakkıdır, hür yaşamış bayrağımın hürriyet; Hakkıdır, Hakk’a tapan milletimin istiklal! #BarisPinariHarekati Gazamız mübarek olsun.</t>
  </si>
  <si>
    <t>Engineer | Collector | GTI Driver</t>
  </si>
  <si>
    <t>Faris Kaya</t>
  </si>
  <si>
    <t>https://pbs.twimg.com/media/EGbeplRXUAAmdve.jpg</t>
  </si>
  <si>
    <t>https://www.teknoloskop.net/</t>
  </si>
  <si>
    <t>Charles</t>
  </si>
  <si>
    <t>sniper fire from the Indian side killed a woman outside her home in the border village of Abbaspur on Sunday evening. #StrayKids_DoubleKnot #carsamba #StrayKidsComeback #Blizzardboycott #YouMakeStrayKidsStay #صباح_الخير #TurkishArmy #CheGuevara #çarşamba</t>
  </si>
  <si>
    <t>https://www.dw.com/en/kashmir-pakistani-authorities-block-protesters-at-india-pakistan-border/a-50722811</t>
  </si>
  <si>
    <t>#HowdyModi #Pakistan #Modi #Kashmir #Imran #Nazi #October1st #BJPMilitantWingRSS #Kashmir #iran #israel #jews #HowdyModi</t>
  </si>
  <si>
    <t>🌙 Atabey...</t>
  </si>
  <si>
    <t>Burası Game of thronse değil Kurtlar vadisi Suriye #TurkishArmy</t>
  </si>
  <si>
    <t>pic.twitter.com/efREOzHbP6</t>
  </si>
  <si>
    <t xml:space="preserve">misak-ı milli </t>
  </si>
  <si>
    <t>Bizim dâvâmız, kuru bir kavga ve cihângîrlik dâvâsı değil,nizam-ı alem “i’lâ-yı kelîmetullâh”dır, yâni Allâh’ın kelimesini yüceltmekdir!</t>
  </si>
  <si>
    <t>şebnem şerife kadıoğlu</t>
  </si>
  <si>
    <t>İstikamet KIZILELMA #TurkishArmy</t>
  </si>
  <si>
    <t>Kür Şad ve 40 Yiğit Türk</t>
  </si>
  <si>
    <t>https://pbs.twimg.com/media/EGbengeXoAAx0ch.jpg</t>
  </si>
  <si>
    <t>Ben, yabancı kaynaklı hiçbir fikri benimsemeğe tenezzül etmeyecek kadar millî şuur ve gurura malik bir Türk'üm. Siyasi, içtimai mezhebim Türkçülük'dür.</t>
  </si>
  <si>
    <t>Gültekin ÇEVİK</t>
  </si>
  <si>
    <t>Türk ordusu her zaman mazlumların imdadina yetişmiştir. Ne güzel söylemiş Gazi Mustafa Kemal 🇹🇷 #TurkishArmy</t>
  </si>
  <si>
    <t>https://pbs.twimg.com/media/EGbek3lX0AAxcc_.jpg</t>
  </si>
  <si>
    <t>Anıl Ayhan</t>
  </si>
  <si>
    <t>Eğer Türk devleti ve ordusuna sahip çıkmazsanız, bi gün sizin de namusunuzu, çoluğunuzu çocuğunuzu gelip terör örgütleri kirlettiğinde sizi kurtaracak bir ordu kalmamış olacak. #TurkishArmy RT @aybers: "Türkler, müslümanlar gelmişler. Allah'a şükür o köpeklerden kurtulduk. YPG/PKK'dan kurtulduk. Ne namus bıraktılar, ne çocuk bıraktılar. 8 çocuğum vardı hepsi gitti. Hiçbiri kalmadı." #TurkishArmy</t>
  </si>
  <si>
    <t>Çeşme, İzmir</t>
  </si>
  <si>
    <t>Ayhan Gayrimenkul &amp; İnşaat - Arnavut</t>
  </si>
  <si>
    <t>https://Instagram.com/anilayhan35</t>
  </si>
  <si>
    <t>Watch The Mandalorian Season 1 Full Episode</t>
  </si>
  <si>
    <t>#StrayKids_DoubleKnot #StrayKidsComeback #SCOvRUS #TurkishArmy #BacheloretteAU ARASHI スバラジ 東京23区 御手洗潔 ミスタードーナツ 復活当選 嵐YouTube #Upd8 #çarşamba #وش_تسوي_الان #モンストマルチじゃんけん #CheGuevara #EmineBulut #WednesdayThoughts #KGRobertIsBack</t>
  </si>
  <si>
    <t>Arizona</t>
  </si>
  <si>
    <t>Watch The Mandalorian Season 1 Full Episode. After the stories of Jango and Boba Fett, another warrior emerges in the Star Wars universe. #Themandalorian</t>
  </si>
  <si>
    <t>http://bit.ly/33hVMZH</t>
  </si>
  <si>
    <t>Barış Şişman</t>
  </si>
  <si>
    <t>https://pbs.twimg.com/media/EGbekJwW4AI8ksU.jpg</t>
  </si>
  <si>
    <t>Çilli Bom</t>
  </si>
  <si>
    <t>#TurkishArmy making preparation for invansion #Stopwar</t>
  </si>
  <si>
    <t>Normsuz ve yasasız...</t>
  </si>
  <si>
    <t>Yol TV</t>
  </si>
  <si>
    <t>http://www.facebook.com/YolTelevizyon/posts/2585050291515969</t>
  </si>
  <si>
    <t>https://pbs.twimg.com/media/EGbeiuQXoAARxRE.jpg</t>
  </si>
  <si>
    <t>Özgür Dinamik Medya</t>
  </si>
  <si>
    <t>http://www.youtube.com/user/yolmedya</t>
  </si>
  <si>
    <t>Tuba</t>
  </si>
  <si>
    <t>Hayatta öyle seçimler yap ki ; Kazandığın şeyler, kaybettiklerine değsin... #TurkishArmy</t>
  </si>
  <si>
    <t>Bilge kaan🇹🇷</t>
  </si>
  <si>
    <t>Neden mi sınır ötesi operasyon ? Fırat’ın Doğusunda ne işimiz mi var? Türk Ordusunu maceraya mı sürüklüyoruz? Tehdit sadece ülkenize direk saldırılınca mı olur? Devlet şuuru ile hareket etmek şuurlu yöneticilerle mümkündür, #TurkishArmy</t>
  </si>
  <si>
    <t>https://pbs.twimg.com/media/EGbefhMXUAA3q9G.jpg</t>
  </si>
  <si>
    <t>Ali Keskin</t>
  </si>
  <si>
    <t>Siber Güvenlik Uzmanı - Dijital Stratejist- Sosyal Aktivist - Köşe Yazarı - Evli - İletişim: keskinalitr@gmail.com</t>
  </si>
  <si>
    <t>http://bilimveali.com</t>
  </si>
  <si>
    <t>E L A K E S K İ N 🌙</t>
  </si>
  <si>
    <t>Çıldırtmayın demiştik! #TurkishArmy</t>
  </si>
  <si>
    <t>KLÜ ASÜ</t>
  </si>
  <si>
    <t>http://instagram.com/bayandegil.kadin</t>
  </si>
  <si>
    <t>Dr. Adnan GÜNNAR</t>
  </si>
  <si>
    <t>pic.twitter.com/HOk7dp1iTD</t>
  </si>
  <si>
    <t>AK Parti Trabzon Milletvekili - Güvenlik ve İstihbarat Komisyonu Üyesi</t>
  </si>
  <si>
    <t>ilyas Gür</t>
  </si>
  <si>
    <t>Çocukların korkmadığı tek ordu... #TurkishArmy @sedat_peker</t>
  </si>
  <si>
    <t>https://pbs.twimg.com/media/EGbeda6WkAAYFHZ.jpg</t>
  </si>
  <si>
    <t>Yasmin 🇹🇷</t>
  </si>
  <si>
    <t>hdppkk, ypg, dhkpc, mlkp, tkep, hbdh, thkp, dkp, tkp terör örgütleri ne zamandır yaşamı savunur oldu?Giyin iç çamaşırlarınızı ve fistanlarınızı saklanacak delik arayın kendinize, askerlerimiz amel defterinizi kapatana kadar, zagros sıçanları sizi!Yalvarmayı kesin.#TurkishArmy  RT @HDPgenelmerkezi: HDK, HDP, DTK, DBP: Türkiye’deki bütün yaşam savunucularına, Demokratik Kitle Örgütlerine, Sendikalara, Emekçilere, Kadın Örgütlerine, Sivil Topluma çağrımızdır; “Bu savaşı durduralım, ölüm iradesine karşı yaşamı savunalım.”</t>
  </si>
  <si>
    <t>https://twitter.com/hdpgenelmerkezi/status/1181865576500731904</t>
  </si>
  <si>
    <t>https://pbs.twimg.com/media/EGbedHkWoAAhgwt.jpg</t>
  </si>
  <si>
    <t>Nerede bir terörist, terörist sevicisi, vatan haini, yobaz, hırsız ve omurgasız varsa işte orası tam da benim, sınandığım yerdir! / Mustafa Kemal Atatürk</t>
  </si>
  <si>
    <t>http://instagram.com/yasmin_musmutlu</t>
  </si>
  <si>
    <t>safa ali sarı</t>
  </si>
  <si>
    <t>https://pbs.twimg.com/media/EGbeciDXYAA5PNC.jpg</t>
  </si>
  <si>
    <t>Edirne Merkez, Edirne</t>
  </si>
  <si>
    <t>A.E.F</t>
  </si>
  <si>
    <t>Geliyoruz !! #TurkishArmy</t>
  </si>
  <si>
    <t>Mustafa Kemal Atatürk -Barista</t>
  </si>
  <si>
    <t>http://www.ahmetertem.com</t>
  </si>
  <si>
    <t>Kardelenamaçiçekdeğil</t>
  </si>
  <si>
    <t>VUR ŞANLI SİLAHINLA GÖNÜL MÜLKÜ DÜZELSİN! 🇹🇷 #TurkishArmy</t>
  </si>
  <si>
    <t>Ünlü sürünür</t>
  </si>
  <si>
    <t>Burak Köksal</t>
  </si>
  <si>
    <t>Sn @RTErdogan doğru cevap verince eleniyorsunuz.Ama yine de siz bilirsiniz. #TurkishArmy</t>
  </si>
  <si>
    <t>https://pbs.twimg.com/media/EGbebVnX0AA6pPx.jpg</t>
  </si>
  <si>
    <t>Trabzon-Avşa</t>
  </si>
  <si>
    <t>Alo</t>
  </si>
  <si>
    <t>ROTEKSS</t>
  </si>
  <si>
    <t>💥💥💥 #TurkishArmy</t>
  </si>
  <si>
    <t>Çağrı M Han BOZAT</t>
  </si>
  <si>
    <t>Vur şanlı silahınla gönül mülkü düzelsin sen öldürüyorkende vururkende güzelsin #TurkishArmy</t>
  </si>
  <si>
    <t>https://pbs.twimg.com/media/EGbeawlWoAEPfDe.jpg</t>
  </si>
  <si>
    <t>HER ŞEY HER ŞEY SENİN İÇİN #BEŞİKTAŞ</t>
  </si>
  <si>
    <t>İclal 🇹🇷</t>
  </si>
  <si>
    <t>istanbul TÜRKİYE</t>
  </si>
  <si>
    <t>Ya devlet başa, ya kuzgun leşe...</t>
  </si>
  <si>
    <t>Mertcan Kabadayı</t>
  </si>
  <si>
    <t>#TurkishArmy Taşında gözü olanın, yurduna mezar kazacağız! 🇹🇷</t>
  </si>
  <si>
    <t>pic.twitter.com/roUTnitv0C</t>
  </si>
  <si>
    <t>İnternational Patent Holder 🇹🇷🌍</t>
  </si>
  <si>
    <t>KÖKBÖRÜ</t>
  </si>
  <si>
    <t>https://pbs.twimg.com/media/EGbeV8EWkAAvozC.jpg</t>
  </si>
  <si>
    <t>DM 🚫 Her konuda aynı düşünüyor olsaydık ikimizden birine gerek yoktu.</t>
  </si>
  <si>
    <t>Kod Adı: DABANCA</t>
  </si>
  <si>
    <t>https://pbs.twimg.com/media/EGbeSRxWoAADPzA.jpg</t>
  </si>
  <si>
    <t>GİRESUN</t>
  </si>
  <si>
    <t>pancar çorbasını sek içenlerden</t>
  </si>
  <si>
    <t>PisLuk'</t>
  </si>
  <si>
    <t>We are !!! #TurkishArmy</t>
  </si>
  <si>
    <t>Kastamonu, Türkiye</t>
  </si>
  <si>
    <t>T. Tolga Çetin</t>
  </si>
  <si>
    <t>We are army of God.. #TurkishArmy</t>
  </si>
  <si>
    <t>~ TASALANMA YİĞİDİM ZAMAN BİZDEN YANADIR, KÜLÜMÜZDEN YÜKSELEN DUMAN BİZDEN YANADIR ~</t>
  </si>
  <si>
    <t>http://www.tccb.gov.tr/</t>
  </si>
  <si>
    <t>Palermo544</t>
  </si>
  <si>
    <t>#TurkishArmy Binlerce Ulubatlı ; Emperyalist ABD nin Asırlık Hayâlini Kâbusa Çevirmek için Cepheye Yürürken, #CheGuevara da kim olum!!! Harbi Eziksiniz</t>
  </si>
  <si>
    <t>Milli birlik zamanı</t>
  </si>
  <si>
    <t>#TurkishArmy . RT @ertan080808: Çünkü Gündem kayyum değil 😡</t>
  </si>
  <si>
    <t>https://twitter.com/ertan080808/status/1181875176214028290</t>
  </si>
  <si>
    <t>https://pbs.twimg.com/media/EGbdNG9XkAE9V5-.jpg</t>
  </si>
  <si>
    <t>Şüphesiz ALLAH tuzak kuranların en hayırlısıdır. Forex, finansal piyasalar, siyaset , spor ..... TRABZONSPOR Bu Dünyada Misafir Olduğunu UNUTMA !</t>
  </si>
  <si>
    <t>Abdurrahim Elri</t>
  </si>
  <si>
    <t>Saraylarda süremem Dağlarda sürdüğümü. Bin cihana değişmem Şu öksüz Türk'lüğümü #TurkishArmy</t>
  </si>
  <si>
    <t>Kırıkkale - Ankara</t>
  </si>
  <si>
    <t>ELRI LTD</t>
  </si>
  <si>
    <t>http://www.Instagram.com/abdurrahimelri</t>
  </si>
  <si>
    <t>Veletleri pistten almaya geliyorlar. #TurkishArmy</t>
  </si>
  <si>
    <t>İAU-Civil Engineer</t>
  </si>
  <si>
    <t>🇹🇷İSTİHBARATÇI EMEKLİ ALBAY BİROL YÖRÜK</t>
  </si>
  <si>
    <t>Ekrem İmamoğlu bu operasyon sürecinde de Diyarbakır HDP'ye uğrayıp bir Atatürk fotoğrafı daha hediye edebilir isterse, HDP'nin kapısının önünde oturan annelerin de önünden geçerek. #CheGuevara #TurkishArmy</t>
  </si>
  <si>
    <t>Atatürk, Kuantum, Mevlevilik, Taoizm, ARAŞTIRMACI, KÖŞE YAZARI JOURNALISTE Français/Türkçe</t>
  </si>
  <si>
    <t>https://www.detailhaber.com/e-albay-birol-yoruk-96y.htm</t>
  </si>
  <si>
    <t>@kadirbilgin69</t>
  </si>
  <si>
    <t>#TurkishArmy #BarisPinariHarekati #carsamba ABD'ye ait askeri araçlardan oluşan bir devriye konvoyu Ayn El Arab Kobani'ye doğru ilerliyor o.ç'ları</t>
  </si>
  <si>
    <t>pic.twitter.com/XO5sOXzKXp</t>
  </si>
  <si>
    <t>RECEP TAYYİP ERDOGAN İÇİN BU ALEMDEYİZ!</t>
  </si>
  <si>
    <t>Korkmaz</t>
  </si>
  <si>
    <t>Allah Yar ve Yardımcınız Olsun #TurkishArmy</t>
  </si>
  <si>
    <t>https://pbs.twimg.com/media/EGbeP9MWoAAo-Md.jpg</t>
  </si>
  <si>
    <t>Kul Plan Yaparken Kader Gülermiş</t>
  </si>
  <si>
    <t>Sezgin TATLI</t>
  </si>
  <si>
    <t>https://pbs.twimg.com/media/EGbePlQXYAA2HZG.jpg</t>
  </si>
  <si>
    <t>Hakk geldi, bâtıl zâil oldu.</t>
  </si>
  <si>
    <t>Aliço</t>
  </si>
  <si>
    <t>Dökülsün düşmanın kanı, yaşasın Türkçü Türkiye! #TurkishArmy</t>
  </si>
  <si>
    <t>https://pbs.twimg.com/media/EGbeOXpWoAASsGi.jpg</t>
  </si>
  <si>
    <t>Dikmen, Ankara</t>
  </si>
  <si>
    <t>Kalbim durmuşsa inan çarpar seninle @Fenerbahce</t>
  </si>
  <si>
    <t>Seçkin Knc</t>
  </si>
  <si>
    <t>Eda Öymen</t>
  </si>
  <si>
    <t>Princess</t>
  </si>
  <si>
    <t>Son Osmanlı⚡️ 🇹🇷🇹🇷🇹🇷</t>
  </si>
  <si>
    <t>Tüm emperyalist ağababalarınızdan 15 Temmuz’un hesabını sormaya geliyoruz❗️ 🇹🇷❤️🇹🇷❤️🇹🇷❤️🇹🇷❤️🇹🇷❤️🇹🇷❤️🇹🇷 #BarisPinariHarekati #TurkishArmy</t>
  </si>
  <si>
    <t>https://pbs.twimg.com/media/EGbeMKhWoAAgQK-.jpg</t>
  </si>
  <si>
    <t>Allahümme er refikül âlâ...🔹Lâ gâlibe İLLALLAH ! 🔹"Lâ tahzen! İnnallâhe meanâ." "Üzülme! Allah bizimledir." 🔹Bir biz vardık cihânda bir de küffar !!!</t>
  </si>
  <si>
    <t>O1insan</t>
  </si>
  <si>
    <t>Siz ya askerlik yapmadınız, yada fazla pubg oynadınız. #TurkishArmy</t>
  </si>
  <si>
    <t>Serdar kuzucu</t>
  </si>
  <si>
    <t>bak bak vatanını milletini seven akp kardesler bunuda siz yaptınız yine kandırıldınız dimi kılıf vardır gerçi sizde bunları bur dan geçirenin Allah belasını versin #TurkishArmy RT @Trofr2: #BarışPınarı Tarih: 29 Ekim 2014 Cumhuriyet bayramı. PYD/YPG Kobani'ye geçiyor. O gün bu geçişe neden izin verildi?. Geçiş için neden özellikle 29 Ekim seçildi?. Bu gruplara o gün neden izin verildi, şimdi neden operasyon yapılıyor ?.. Aklımda deli sorular ....</t>
  </si>
  <si>
    <t>https://twitter.com/trofr2/status/1181704755971870720</t>
  </si>
  <si>
    <t>pic.twitter.com/W3sLyJHqkP</t>
  </si>
  <si>
    <t>Ey Türk Gençliği! Birinci vazifen, Türk istiklâlini, Türk Cumhuriyetini, ilelebet, muhafaza ve müdafaa etmektir.</t>
  </si>
  <si>
    <t>Arife</t>
  </si>
  <si>
    <t>Operasyon yapılacaksa medyadan gizli olmalıydı. Bu korkak terör örgütleri inlerine kaçmışlardır. İnş hayırlı sonuçlarla döneriz. #TurkishArmy</t>
  </si>
  <si>
    <t>B.Ö</t>
  </si>
  <si>
    <t>https://pbs.twimg.com/media/EGbeKHOXoAADA0n.jpg</t>
  </si>
  <si>
    <t>@Fenerbahce ⭐⭐⭐</t>
  </si>
  <si>
    <t>ÇETO</t>
  </si>
  <si>
    <t>”Çanakkale’de başarılı olamadık. Nasıl başarılı olurduk ki? Zira Türkler yuvasına girilmiş aslanların hiddetiyle, cüret ve cesaret kahramanlığı ile savaşıyorlardı. Böyle bir millet görmedim.” (Sir Julien Corbet) Fıtrat değişti sanılmasın. Bu kan yine aynı kandır. #TurkishArmy</t>
  </si>
  <si>
    <t>https://pbs.twimg.com/media/EGbeIHBXYAEjPfK.jpg</t>
  </si>
  <si>
    <t>Eyy mavi göklerin beyaz ve kızıl süsü ☪. M.K❤</t>
  </si>
  <si>
    <t>https://www.instagram.com/onurr.cetinn/</t>
  </si>
  <si>
    <t>samet aktas</t>
  </si>
  <si>
    <t>Ordumuza Allah yardımcı olsun. Dualarımız sizinle #TurkishArmy</t>
  </si>
  <si>
    <t>https://pbs.twimg.com/media/EGbeH2EWoAE5pOr.jpg</t>
  </si>
  <si>
    <t>Ordu - istanbul</t>
  </si>
  <si>
    <t>aktaslar lezzet grubu #ogid yönetim kurulu başkanı</t>
  </si>
  <si>
    <t>http://www.aktasgrup.net</t>
  </si>
  <si>
    <t>Mahmut Esad 🇹🇷 🇵🇰</t>
  </si>
  <si>
    <t>Zulüm gören halklar Türk’ten yardım beklemekte, Türk’ü umut kapısı olarak görmektedir. Bu yüzden mazlumlar için "Türk beklenendir, özlenendir!" sözünün gereğini hakkıyla bugün ve dahi bundan sonrada dünya durdukça yerine getirmeye devam edecektir. #TurkishArmy</t>
  </si>
  <si>
    <t>https://pbs.twimg.com/media/EGbeH22X0AE4xwj.jpg</t>
  </si>
  <si>
    <t>Pazartesi, Çarşamba 21:30 FM 91.8 MHz http://hedefradyo.com VAKT-İ MUAHBBET "Yanında olduğum zaman, değerimi bilemezsen, değerimi bildiğin gün beni yanında bulamazsın"</t>
  </si>
  <si>
    <t>http://vaktimuhabbet.com</t>
  </si>
  <si>
    <t>abdullah deniz</t>
  </si>
  <si>
    <t>Trump Türkiye'ye cuval giydirir de bizim Aslanlarimiza kefenden baska bir sey giydiremez #TurkishArmy</t>
  </si>
  <si>
    <t>atmaya useniyom o yüzden rt</t>
  </si>
  <si>
    <t>Turkish Patriot</t>
  </si>
  <si>
    <t>There are thousands of Turkish soldiers and commanders in #TurkishArmy PKK/PYD doesn’t represent Kurds. Syria Trump</t>
  </si>
  <si>
    <t>Kızıltepe</t>
  </si>
  <si>
    <t>Kalleş PKK'ya geçit yok #News #Turkey #middleeast Yazdiklarim sadece sahsimi baglar</t>
  </si>
  <si>
    <t>هولوو بن نوح آل زعيتر</t>
  </si>
  <si>
    <t>Is that true Mr. President #Trump?? #SCOvRUS #TurkishArmy #StrayKidsComeback #straykids_doubleknot</t>
  </si>
  <si>
    <t>pic.twitter.com/HJQbWWFHcd</t>
  </si>
  <si>
    <t>المنطقه المتنازع عليها</t>
  </si>
  <si>
    <t>‏ مدير تجليس السكك في مصلحة سكك الحديد في ‎‎‎#لبنان 😂 / رئيس تحرير الطيور من اقفاصها 🥺</t>
  </si>
  <si>
    <t>Habib</t>
  </si>
  <si>
    <t>Vatan ne Türkiye'dir Türkler'e Ne Türkistan Vatan büyük ve müebbet bir ülkedir Türkler'e TURAN... #BarisPinariHarekati #TurkishArmy #SavasaEvet</t>
  </si>
  <si>
    <t>https://pbs.twimg.com/media/EGbeF-4XYAA_TKk.jpg</t>
  </si>
  <si>
    <t>mls34</t>
  </si>
  <si>
    <t>@seldasoyer_ Eyy bay Kemal Eyy cehapeliler Eyy zillet ittifakı Eyy nankörler Kız mıdır kadın mıdır bilemem..vb Bunları, zaman zaman daha ağırlarını duyduğumuz reisiniz onca hakarete rağmen Eyyy Trump DİYEMEDİ SİZ BUNDAN BİŞEY ANLADINIZ MI? #TurkishArmy #BarışPınarı Fahrettin Altun #çarşamba</t>
  </si>
  <si>
    <t>"Eğitimdir ki, bir milleti ya özgür, bağımsız, şanlı, yüksek bir topluluk halinde yaşatır; ya da esaret ve sefalete terk eder." Gazi Mustafa Kemal ATATÜRK</t>
  </si>
  <si>
    <t>Cengiz Arman ✈</t>
  </si>
  <si>
    <t>Donald Trump: "Hem ayranım dökülmesin, hem götüm sikilmesin." #turkisharmy #Turkey #BarisPinari</t>
  </si>
  <si>
    <t>Bandırma, Türkiye</t>
  </si>
  <si>
    <t>Bella Ciao 💃</t>
  </si>
  <si>
    <t>http://instagram.com/cengiz_arman_</t>
  </si>
  <si>
    <t>Sn.</t>
  </si>
  <si>
    <t>Türkiye'nin sınırlarını korumasına "savaş" diyerek algı yapmak ihanettir. Savaş; sınırları belirlenmiş iki ülke ve milletleri arasında olur. Türk ordusunun yapacağı ise işgal edilmiş bir ülkede oluşan terör örgütü gruplarına karşı bir operasyondur. #TurkishArmy</t>
  </si>
  <si>
    <t>Ελλάς</t>
  </si>
  <si>
    <t>amerika teröristlere silahları veriyor , biz çekiliyoruz erdoğan sen yolla askerlerini savaşın diyor. bugün pkk,ypg,sdg. Yarın başka gruplar ülkemize gelen 6 milyon suriyeli sadece amerikanın kışkırtmasını bekliyor.en büyük sorun bu! #TurkishArmy #BarisPinariHarekati</t>
  </si>
  <si>
    <t>Esbjerg</t>
  </si>
  <si>
    <t>Чепеларе</t>
  </si>
  <si>
    <t>Şenol UstaoğluEYT</t>
  </si>
  <si>
    <t>Vatan sevmenin sağı, solu olmaz Yüreği olur. O da varsa .... Bırakın Erdoğan, Kılıçdaroğlu Çekişmelerini #TurkishArmy</t>
  </si>
  <si>
    <t>https://pbs.twimg.com/media/EGbeBf2WsAAi1nK.jpg</t>
  </si>
  <si>
    <t>BURASI BEŞİKTAŞ ALAYINA GİDER ! ! 🏁🏁🏁 Instagram: usta77senol</t>
  </si>
  <si>
    <t>Burak Yılmaz</t>
  </si>
  <si>
    <t>Li yuan yabgu</t>
  </si>
  <si>
    <t>Çocukların korkmadığı, yetimlerin yolunu gözlediği, yaşlıların Türk askeri geldiyse kurdulduk diye anlattıkları, mazlumların umutla beklediği şer odaklarının korktuğu işte o Türk askeridir #TurkishArmy</t>
  </si>
  <si>
    <t>Hasan Arslan</t>
  </si>
  <si>
    <t>Müslüman Türkler hoş geldiniz; Tüm mazlumların bekledikleri dir. Özledikleridir.#TurkishArmy</t>
  </si>
  <si>
    <t>Zeynep kocaman</t>
  </si>
  <si>
    <t>https://pbs.twimg.com/media/EGbd9jfXoAE6X3s.jpg</t>
  </si>
  <si>
    <t>İstanbul Aydın Üniversitesi</t>
  </si>
  <si>
    <t>🇹🇷 /Fani</t>
  </si>
  <si>
    <t>http://instagram.com/kcmn_zeynep</t>
  </si>
  <si>
    <t>Kansu Kemal Eken</t>
  </si>
  <si>
    <t>2- Again, on the eve of an operation, timingly or untimingly, but caring for justice, dreaming of smiling children, women, spouses; the Turkish Armed Forces and Syrian National Army will this time walk for the Syrian brothers and sisters. #OperationPeaceSpring #TurkishArmy</t>
  </si>
  <si>
    <t>ultrAslan</t>
  </si>
  <si>
    <t>Brk</t>
  </si>
  <si>
    <t>#TurkishArmy Allah yar ve yardımcınız olsun 🙏🏻💪🏻 🇹🇷 🇹🇷</t>
  </si>
  <si>
    <t>https://pbs.twimg.com/media/EGbd8-rWsAEdKzT.jpg</t>
  </si>
  <si>
    <t>Berkay Bey</t>
  </si>
  <si>
    <t>pic.twitter.com/a4QtJI59Cp</t>
  </si>
  <si>
    <t>İlmi okuldan hayatı Beşiktaştan!</t>
  </si>
  <si>
    <t>Ömer Çağrı URHAN</t>
  </si>
  <si>
    <t>Vatanımızın bölünmez bütünlüğüne göz diken, yanı başımızda devlet kurmayı düşleyen tasmalı köpekler için geliyorlar Allah muzaffer eylesin şanlı ordumuzu #TurkishArmy 🇹🇷🇹🇷</t>
  </si>
  <si>
    <t>Ufuk Üniversitesi Paramedik</t>
  </si>
  <si>
    <t>uçan_kaçan_mavi_tüğ</t>
  </si>
  <si>
    <t>Özgürce yaramayacaksam burda ne işim var !!!</t>
  </si>
  <si>
    <t>Recep ASLAN</t>
  </si>
  <si>
    <t>Yine girip çıkıcaz.. #TurkishArmy</t>
  </si>
  <si>
    <t>Srdrgkhn32</t>
  </si>
  <si>
    <t>https://pbs.twimg.com/media/EGbd2iZXYAAGsYB.jpg</t>
  </si>
  <si>
    <t>masum değiliz sadece gülüşlerimiz güzel...</t>
  </si>
  <si>
    <t>Ateist Maymun</t>
  </si>
  <si>
    <t>Ülke içinde oyu düştü Suriye’ye asker gönderdi, yine oyu düştü darbe tezgahladı, yine düşüyor güya ABD ye kafa tutuyor tarafı olmadığımız bir yere asker gönderiyor. Madem bu kadar samimi kararlısın kapatsana ABD üstlerini bizde destek verelim sana. #TurkishArmy</t>
  </si>
  <si>
    <t>Information Technology Specialist</t>
  </si>
  <si>
    <t>Lütfi Aydemir</t>
  </si>
  <si>
    <t>Zafer dirlik ve birlikle gelir yolunuz açık olsun. #TurkishArmy</t>
  </si>
  <si>
    <t>YTÜ-Mechanical Engineering</t>
  </si>
  <si>
    <t>süleyman BUDAK</t>
  </si>
  <si>
    <t>Hasankeyf, Batman</t>
  </si>
  <si>
    <t>SeyyidKaya</t>
  </si>
  <si>
    <t>#TurkishArmy O kadar ağırdan alıyoruz ki heralde pkk lı teröristler yerin altında bir kat daha çıkmıştır. Biz girene kadar denklem değişir de vazgeçmek zorunda kalırsak yazık olacak, ki değişiyor.</t>
  </si>
  <si>
    <t>Suç unsuru teşkil ettiğini düşündüğünüz twitleri şöförüm atmıştır. Bilgi verirseniz kulağını çekerim 🙂✋</t>
  </si>
  <si>
    <t>Hatice Kubra Türk🆕</t>
  </si>
  <si>
    <t>Benimkini Zanzibar'lilar takip ediyor ama benim tiweter hesabım var ! 😂 #CheGuevara #turkmilletiordusununyaninda #TurkishArmy RT @TwiterSonDakika: Murat Bardakçı: Amerikalılar Twitter'daki hesabımı takip ediyorlar ama benim Twitter hesabım yok</t>
  </si>
  <si>
    <t>https://twitter.com/TwiterSonDakika/status/1181874068833869824
https://www.sondakikaturk.com.tr/gundem/murat-bardakci-amerikalilar-twitter-daki-hesabimi-takip-ediyorlar-h148839.html</t>
  </si>
  <si>
    <t>🍇</t>
  </si>
  <si>
    <t>🇹🇷 ♌💛💙</t>
  </si>
  <si>
    <t>️Berat Duran</t>
  </si>
  <si>
    <t>TÜRK Beklenendir. 🇹🇷 #TurkishArmy</t>
  </si>
  <si>
    <t>MUSTAFA KEMAL ATATÜRK Beşiktaş JK</t>
  </si>
  <si>
    <t>http://biogrenci.tumblr.com/</t>
  </si>
  <si>
    <t>kadir🇹🇷☝️</t>
  </si>
  <si>
    <t>Sefer bizim ,zafer Allahın. Ordumuzun seferini muzafferiyetle sonlandir Allahım.Âmin #TurkishArmy</t>
  </si>
  <si>
    <t>ertan080808</t>
  </si>
  <si>
    <t>Soran olursa Türkler geldi dersiniz. "Hoşgeldiniz" diyene sahip çıkın. "Neden geldiniz?" diye sorana yakışanı yapın. Ya etek giydirin yahut kafasına sıkın... #TurkishArmy #BarışPınarı</t>
  </si>
  <si>
    <t>https://pbs.twimg.com/media/EGbdxZEWoAAcS-_.jpg</t>
  </si>
  <si>
    <t>👉 @ertan0808</t>
  </si>
  <si>
    <t>MEHMET CIBLAK</t>
  </si>
  <si>
    <t>YALAN YANLIŞ UYDURMAYIN, CEPHELERİ DOLDURMAYIN . ÖKSÜZ ÇIPLAK BIRAKIP,TA , ÇEHRELERİ SOLDURMAYIN #TurkishArmy...</t>
  </si>
  <si>
    <t>kandırılmaktan sana sıgınırım RAB. kandırılanların sonu burdada harap.. vallahi haber ilham yada vahi gelmesse ben bildigimi okurum yaa rab...</t>
  </si>
  <si>
    <t>🇹🇷🇹🇷🇹🇷🇹🇷🇹🇷🇹🇷🇹🇷🇹🇷 #TurkishArmy</t>
  </si>
  <si>
    <t>Tevhid Mühendisi</t>
  </si>
  <si>
    <t>Bu kadar adaletsizliğin olduğu bir Dünya'da, insanlar kendi elleri ile kazandıklarının karşılığını yaşıyor... #TurkishArmy #çarsamba</t>
  </si>
  <si>
    <t>Her kavmin Tağut'u; Allahın kitabını sırtlarının arkasına atanlar ve Allahın dışında ibadet edilen varlıklar olmuştur. Editör | Medya http://tevhiddersleri.org</t>
  </si>
  <si>
    <t>https://www.youtube.com/channel/UCKffDvvPfm--GZbVq0MyLEA</t>
  </si>
  <si>
    <t>Eda Nur Atiş 🎈</t>
  </si>
  <si>
    <t>Üstümüzden eksilmesin, Al bayrağın gölgesi..! #TurkishArmy</t>
  </si>
  <si>
    <t>https://pbs.twimg.com/media/EGbdrqwWkAEiB2g.jpg</t>
  </si>
  <si>
    <t>Mustafa Kemal ATATÜRK 💙 #ultrAslan 🦁</t>
  </si>
  <si>
    <t>SS501 &amp; BTS AŞKTIR..</t>
  </si>
  <si>
    <t>Yalnız Türk askerine ALLAH yardımcsı olsun ama saçma bi şekilde beynim başka bişe anladı sen anladın rabbim 🇹🇷😅#TurkishArmy</t>
  </si>
  <si>
    <t>ARMY ve TRIPLE S olmanın gurunu yaşayan ve yüksek lisans yapma yolunda ilerleyen bir fangirl~~</t>
  </si>
  <si>
    <t>yakari</t>
  </si>
  <si>
    <t>#TurkishArmy for peace 🇹🇷🇹🇷🇹🇷  Allah'a ulaşmayı dileyen kurtulur</t>
  </si>
  <si>
    <t>https://pbs.twimg.com/media/EGbdr6IXYAAfkyW.jpg</t>
  </si>
  <si>
    <t>Meluş84</t>
  </si>
  <si>
    <t>#TurkishArmy Gazamız Mübarek Olsun.</t>
  </si>
  <si>
    <t>https://pbs.twimg.com/media/EGbdrGyWsAEnLeq.jpg</t>
  </si>
  <si>
    <t>nilgün karakulak</t>
  </si>
  <si>
    <t>@kushkiku07 We dont have any problem with Kurds we have a problem with the TERRORISTS that USA is supporting.#TurkishArmy</t>
  </si>
  <si>
    <t>https://pbs.twimg.com/media/EGa0WUqXYAABGZl.jpg</t>
  </si>
  <si>
    <t>http://www.moreoptionsinc.com</t>
  </si>
  <si>
    <t>AYŞEGÜL TAŞ</t>
  </si>
  <si>
    <t>https://pbs.twimg.com/media/EGbdluuXYAM59bT.jpg</t>
  </si>
  <si>
    <t>Ey kalpleri çevirip çeviren (Allah’ım!) Benim kalbimi dinin üzere sabit kıl. (Tirmizî, Deavât, 89)</t>
  </si>
  <si>
    <t>Musa SAKA</t>
  </si>
  <si>
    <t>Ayağınıza taş değmesin. #TurkishArmy RT @eskibirmuhtar: Çocukların korkmadığı tek ordu... #TurkishArmy</t>
  </si>
  <si>
    <t>🇹🇷 Mühendis</t>
  </si>
  <si>
    <t>http://linkedin.com/in/musasaka</t>
  </si>
  <si>
    <t>Yahşim ℬʝк.</t>
  </si>
  <si>
    <t>Hala tırlarla silah yollanıor @realDonaldTrump amaç müslümanı müslümamla öldürtmek dimi şerefsiz USA #TurkishArmy Size ragmen biticek bu terör 🇹🇷 s e y r e d i n.. S e y r e d i n...... 3 dolarlık heriflersiniz ...</t>
  </si>
  <si>
    <t>I )̲̅ζø̸√̸£ ч̸ø̸µ βεﻱíĸדּλﻱ</t>
  </si>
  <si>
    <t>✌️Burdan Lafı bii KoyuyOrum.. Taaa biLmem Nerdekine Kapak oLuyOr ✌️</t>
  </si>
  <si>
    <t>Volkan GÜREL</t>
  </si>
  <si>
    <t>#Turkisharmy is arrived End of #PYD_PKK #terrorist group</t>
  </si>
  <si>
    <t>pic.twitter.com/5jquDAqlDX</t>
  </si>
  <si>
    <t>#Tr #Turkey #Strategy #valuechain #SMMM #Finance #Invesment</t>
  </si>
  <si>
    <t>caglay4n.</t>
  </si>
  <si>
    <t>#TurkishArmy RT @TurkPolisiTC: 1998 yılında Türkiye, Suriye hükümetini açık bir şekilde tehdit etmişti. 9 Ekim'e kadar bebek katili Abdullah Öcalan ülkeden çıkarılmazsa askeri işgal başlatılacağı bildirilmişti. Yani 9 Ekim'de Apo'nun yakalanma süreci fiilen başlamış oldu. 9 Ekim 😉 #TurkishArmy</t>
  </si>
  <si>
    <t>https://twitter.com/turkpolisitc/status/1181873274290089984</t>
  </si>
  <si>
    <t>.burası kendi kendine konuşma şeysi.</t>
  </si>
  <si>
    <t>İdris AKSAKAL</t>
  </si>
  <si>
    <t>Türk ordusunu güçlü kılan, iyi yetişmiş, binlerce yıllık değerlerinin ve birikimini farkında, inançlı ve yürekli komutanlara sahip olmasıdır. #TurkishArmy</t>
  </si>
  <si>
    <t>https://pbs.twimg.com/media/EGbdfgbXoAAcZ0p.jpg</t>
  </si>
  <si>
    <t>Diyarbakır, Türkiye</t>
  </si>
  <si>
    <t>2015-2017 Ak Parti Diyarbakır İl Başkan Danışmanı</t>
  </si>
  <si>
    <t>https://www.facebook.com/idris.aksakal</t>
  </si>
  <si>
    <t>krkmzzy</t>
  </si>
  <si>
    <t>Arap Birliği Türkiyenin Suriyeye girmesine karşıymış. Gavurlar orada cirit atıyor mesele bize gelince karşı oluyorlar. Asıl sorun bizim Türk olmamız. Ümmetçi geçinenler akıllanır mı acaba?! #TurkishArmy</t>
  </si>
  <si>
    <t>covannidossantos</t>
  </si>
  <si>
    <t>#TurkishArmy bi yere gidecekse öncelikle imanından,vefasından ve de cesaretinden şüphemiz olmayan kefenliler,kefeni cebindeler gitsin ki bizim #TurkishArmy zeval gelmesin,burnu kanmasın...Hadi bakalım kefenci taburu😎</t>
  </si>
  <si>
    <t>pic.twitter.com/bK7GAKx7Yf</t>
  </si>
  <si>
    <t>Kalan sağlar bizimdir, acıdan mayhoşuz... Müptelaydı Gemiler Denizlerimize...Gemisini yüzdüren kaptanlar sardı dört tarafımızı....</t>
  </si>
  <si>
    <t>𝕯𝖎𝖗𝖎𝖑𝖎ş 𝕺𝖘𝖒𝖆𝖓</t>
  </si>
  <si>
    <t>Allah ülkemdeki beyazTürk, Asala,kızıl,sebatay,mason, Fetöcü, PKK'lı, haşhaşi kim varsa belasını versin en kısa zamanda. Mehmet gunsur,gulse Birsel , aydın doğan Fetö elebaşı akrabaymis Vallahi şaşırmadım #TurkishArmy , #çarşamba RT @TREmreErcis: Aydın Doğan'dan Eczacıbaşı ailesine, Gülse Birsel'den Tuncel Kurtiz'e FETÖ lideri Gülen'in aralarında Sabetay ailelerin de olduğu akrabalık ilişkilerinin 1. BÖLÜMÜ Saklı Seçilmişler- Fetullah Gülen ve Akrabaları - 1 İlk video yayınımın linki:</t>
  </si>
  <si>
    <t>https://twitter.com/TREmreErcis/status/1181846852678881280
https://www.youtube.com/watch?v=SY8CxVp8FmQ</t>
  </si>
  <si>
    <t>Kurtuluş 🇹🇷Ϝ ϓ ſ Ϟ</t>
  </si>
  <si>
    <t>TÜRK GELİYOR 🇹🇷🇹🇷#TurkishArmy</t>
  </si>
  <si>
    <t>https://pbs.twimg.com/media/EGbddvEWsAIUSJ3.jpg</t>
  </si>
  <si>
    <t>-ne mutlu TÜRK'üm diyene! -biz kirmizi başlik li kiz masalin da bile KURT tan yanayiz 🐺 fenerbahçe💛💙</t>
  </si>
  <si>
    <t>meftun</t>
  </si>
  <si>
    <t>Nerede kardeşlerin, cömert Nil, yeşil Tuna; Giden şanlı akıncı, ne gün döner yurduna? NFK #TurkishArmy</t>
  </si>
  <si>
    <t>https://pbs.twimg.com/media/EGbddGgX0AABTbA.jpg</t>
  </si>
  <si>
    <t>İstanbul Üniversitesi 👨‍🎓</t>
  </si>
  <si>
    <t>Gana akra</t>
  </si>
  <si>
    <t>Sınır Hattında Boşaltılan Bir Köyde Kürt anamız emretti; ONLARI EZİN! #TurkishArmy 🇹🇷  #OperationPeaceSpring</t>
  </si>
  <si>
    <t>pic.twitter.com/KTlQqdb0Dx</t>
  </si>
  <si>
    <t>mag</t>
  </si>
  <si>
    <t>@LindseyGrahamSC Challange accepted @LindseyGrahamSC #TurkishArmy 🇹🇷</t>
  </si>
  <si>
    <t>BilgeÜmit</t>
  </si>
  <si>
    <t>Evet beyler bu iktidara muhalifiz bu politikayı desteklemiyoruz ama çıkılan bu yolda iyisi ile kötüsü ile tekiz mehmetçiğimizin ayağına taş deymesin.#TurkishArmy</t>
  </si>
  <si>
    <t>ilhan</t>
  </si>
  <si>
    <t>https://pbs.twimg.com/media/EGbdZWqXYAEI5uF.jpg</t>
  </si>
  <si>
    <t>Alanya</t>
  </si>
  <si>
    <t>yanınızdan öylece geçen biri.</t>
  </si>
  <si>
    <t>Mehmet Topal</t>
  </si>
  <si>
    <t>Bu twiti atarken şaka yapmıyorduk. #TurkishArmy #BarışPınarları  RT @mtopal97: İsteyene istediği kadar sevgi, istemeyene istemediği kadar mermi. Alıntıdır.</t>
  </si>
  <si>
    <t>https://twitter.com/mtopal97/status/1062647422894129152</t>
  </si>
  <si>
    <t>https://pbs.twimg.com/media/EGbdYuJX0AATesc.jpg</t>
  </si>
  <si>
    <t>İÜİF Reddettik sisteminizi.</t>
  </si>
  <si>
    <t>TV Uçar</t>
  </si>
  <si>
    <t>Balığın Az Bilinen 10 Faydası  @YouTube #çarşamba Divan Restaurant #KendineGelPezeberk Gözaltına #TurkishArmy #EmineBulut Lugano #CheGuevara Fatih Tekke #2sayfa #tubayayardımedin Mustafa İslamoğlu AKP'li Ünal DelilOlsa BunlarMıKonuşulur #neredekalmıştık</t>
  </si>
  <si>
    <t>https://youtu.be/LtEypHYVXxE</t>
  </si>
  <si>
    <t>Destek Olmak İçin Youtube Kanalıma Abone Olurmusunuz Lütfen. https://www.youtube.com/channel/UCqO4P667ipQrnZpy4BJs9ig/featured?view_as=subscriber</t>
  </si>
  <si>
    <t>Btu</t>
  </si>
  <si>
    <t>frlnfurkan</t>
  </si>
  <si>
    <t>DEVLET büyük harflerle yazılır ve hayati önemdedir. #TurkishArmy #BarışPınarı</t>
  </si>
  <si>
    <t>https://pbs.twimg.com/media/EGbdV29XkAABY7N.jpg</t>
  </si>
  <si>
    <t>Nevşehir Merkez, Nevşehir</t>
  </si>
  <si>
    <t>“Lâ tahzen, innallahe meanâ”</t>
  </si>
  <si>
    <t>hamza aslan</t>
  </si>
  <si>
    <t>Geliyor gökbörüler aklınızı almaya, Geliyor Türk Ordusunun aslanları Adalet dağıtmaya. #TurkishArmy</t>
  </si>
  <si>
    <t>https://pbs.twimg.com/media/EGbdUCXXYAAObha.jpg</t>
  </si>
  <si>
    <t>Mustafa ÖZTOP</t>
  </si>
  <si>
    <t>Reuters’a konuşan Türk yetkili ‘#TSK henüz operasyona başlamadı’ haberlerini okuyunca; Kaşıkçı cinayetinde #Türkiye’nin medya diplomasisini başarıyla yürüttüğü süreç aklıma geldi. Sabırla, titizlilikle hassas bir diplomasi örneği daha sergileniyor. #TurkishArmy</t>
  </si>
  <si>
    <t>https://pbs.twimg.com/media/EGbdSk4W4AEUxaf.jpg</t>
  </si>
  <si>
    <t>Marmara Üniversitesi | Ortadoğu Siyasi Tarihi ve Uluslararası İlişkileri-Doktora | TRT Haber-İSTANBUL | Bucak | Burdur</t>
  </si>
  <si>
    <t>Ayşe Naz.</t>
  </si>
  <si>
    <t>Kapımıza dayanıyorsa zulüm, Başka yol yok,Ya Istiklal Ya Ölüm #BarısPınarı #BarısPınarlarıHarekatı #TurkishArmy</t>
  </si>
  <si>
    <t>pic.twitter.com/m6S6VXzOS5</t>
  </si>
  <si>
    <t>Umursamaz Queen👸</t>
  </si>
  <si>
    <t>This is #turkisharmy</t>
  </si>
  <si>
    <t>ER___HAN  𐰀𐰼𐰴𐰀𐰣</t>
  </si>
  <si>
    <t>#TurkishArmy Suriye’yi bombardıman manyağı yapan Rusya , Türkiye’nin harekatı için diyalog çağrısında bulundu.. Tabi tabi.,</t>
  </si>
  <si>
    <t>#Türk ve #Türkçülük Aleyhinde Olanları Ezeceğiz! 𐰰𐰼𐰇𐱅 🇹🇷 Mareşal Başbuğ GAZİ Mustafa Kemal ATATÜRK 🤘🏽🇹🇷🐺</t>
  </si>
  <si>
    <t>Elif 💫</t>
  </si>
  <si>
    <t>#TurkishArmy Allah TÜRK'ü korusun 🇹🇷🇹🇷</t>
  </si>
  <si>
    <t>Adnan Eraslan</t>
  </si>
  <si>
    <t>Allah’ım bu ordu senin ordun,sen bu orduyu koru #TurkishArmy</t>
  </si>
  <si>
    <t>https://pbs.twimg.com/media/EGbdNI_WwAA2weH.jpg</t>
  </si>
  <si>
    <t>Söz konusu vatansa; gerisi teferruattır. ’Vatankolik Yozgatlı’</t>
  </si>
  <si>
    <t>Abdulselam Gulec</t>
  </si>
  <si>
    <t>Ortadoğu’da;Milyonlarca insanın ölmesine,şehirlerin harap olmasına, çocukların öksüz/yetim kalmasına sebep olan bu kadar savaşa rağmen hala bu savaşların, Emperyalistlerin bir hilesi olduğunu anlayamadık... #TurkishArmy #CheGuevara #Rojava #Syria #Syrien</t>
  </si>
  <si>
    <t>https://youtu.be/6DmaWWeGnjU</t>
  </si>
  <si>
    <t>idil -Bursa</t>
  </si>
  <si>
    <t>YENiDEN REFAH PARTİSİ KURUCULAR KURULU ÜYESİ. Ehlil Beyt mensubu.Dünyada 100 Devleti ziyaret ettim.6 kız,1 Erkek Çocuk Babasıyım.Tweetler Benim Şahsi Görüşüm</t>
  </si>
  <si>
    <t>http://www.abdulselamgulec.com</t>
  </si>
  <si>
    <t>Mustafa TÜRKMEN</t>
  </si>
  <si>
    <t>Selam hewal, ben TÜRK! 🇹🇷 #TurkishArmy</t>
  </si>
  <si>
    <t>https://pbs.twimg.com/media/EGbdLVQXkAATHgb.jpg</t>
  </si>
  <si>
    <t>http://instagram.com/mustafaturkmen__</t>
  </si>
  <si>
    <t>murat ayalp</t>
  </si>
  <si>
    <t>привет #TurkishArmy</t>
  </si>
  <si>
    <t>takip e takip</t>
  </si>
  <si>
    <t>Gökan</t>
  </si>
  <si>
    <t>Allah’ım senin adaletini nizamı aleme tıpkı ecdadımız gibi tesis etmeyi bizlere nasip eyle. Mazluma umut zalime korku olmayı bu şerefli millete nasip eyle 🤲🏻 #TurkishArmy RT @aybers: "Türkler, müslümanlar gelmişler. Allah'a şükür o köpeklerden kurtulduk. YPG/PKK'dan kurtulduk. Ne namus bıraktılar, ne çocuk bıraktılar. 8 çocuğum vardı hepsi gitti. Hiçbiri kalmadı." #TurkishArmy</t>
  </si>
  <si>
    <t>Eskiden cahildim, her şeyi biliyordum. ⛵️ @YelkenIstanbul</t>
  </si>
  <si>
    <t>http://instagram.com/gokanaydnn</t>
  </si>
  <si>
    <t>Yunus Çayır</t>
  </si>
  <si>
    <t>Önce girip sonra mı geliyorduk?. Önce gelip sonra mı giriyorduk ? Neyse bakıyoruz tangalar hazır... o zaman ex ex ex. #TurkishArmy</t>
  </si>
  <si>
    <t>https://pbs.twimg.com/media/EGbdKorXoAAGyY_.jpg</t>
  </si>
  <si>
    <t>Melikgazi, Kayseri</t>
  </si>
  <si>
    <t>İnterior desing &amp; Architec 🇹🇷 ١٩٦٦ كيسرسبر</t>
  </si>
  <si>
    <t>Korkut Ata</t>
  </si>
  <si>
    <t>Atıldı dağlardan zafer topları. Yürüdü ileri asker... BİSMİLLAH O, han sarayında çiçekli bir kız Bekliyor bizlerden zafer... BİSMİLLAH #TurkishArmy</t>
  </si>
  <si>
    <t>https://pbs.twimg.com/media/EGbdIDzXUAA5KZv.jpg</t>
  </si>
  <si>
    <t>Dede Korkut Diyarı</t>
  </si>
  <si>
    <t>TEK LİDER ATATÜRK 🇹🇷</t>
  </si>
  <si>
    <t>#TurkishArmy #BarisPinariHarekati #BarisPinari BAM BAM BAM Çılgın Türkler geliyor 🤘🤘🤘 #Türk'ün gücünü göreceksiniz</t>
  </si>
  <si>
    <t>pic.twitter.com/bxUJ1U7P0x</t>
  </si>
  <si>
    <t>ANITKABİR❤</t>
  </si>
  <si>
    <t>ÖLÜMÜNE #MKA👉#VATANIN Sahibi İtirazı Olan Yallah Arabistana ➡akpkk➡bohçagiller takip NAŞ❌ DM odalarına eklemeyiniz #NEMUTLUTÜRKÜMDİYENE🤘</t>
  </si>
  <si>
    <t>sıkan türk</t>
  </si>
  <si>
    <t>Türk komandolarının bir sözü var, hatırlatayım ‘Kaçma, yorgun öleceksin!’ #TurkishArmy</t>
  </si>
  <si>
    <t>Her şey Türk'e göre Türk tarafından Türk için #akdenizüniversitesi</t>
  </si>
  <si>
    <t>🍎Ronin(浪人)🇹🇷</t>
  </si>
  <si>
    <t>Duydun mı Kürt kadını ne istedi? Onları ezin! / Do you hear what Kurdish woman asks for? wipe them(SDF / Ypg) out! #Kurds #TwitterKurds #TurkishArmy 🇹🇷😊 RT @YolumuzVatan: Kürt anamız emretti; ONLARI EZİN! #TurkishArmy 🇹🇷</t>
  </si>
  <si>
    <t>https://twitter.com/YolumuzVatan/status/1181852198638166016</t>
  </si>
  <si>
    <t>pic.twitter.com/sEnoaDTuUb</t>
  </si>
  <si>
    <t>Türkiye, İzmir</t>
  </si>
  <si>
    <t>Grafik tasarım ve görsel sanatlar hem okumuşu, hem de alaylısı. Öyp Araştırma görevlisi. Jr Akademisyen. Her RT'e katıldığımı sanmayın. #OBA #Türkiye #Ukrayna</t>
  </si>
  <si>
    <t>Ayşegül Develi</t>
  </si>
  <si>
    <t>+Bakanım siz iç işlerisiniz sınır dışına müdahale yetkiniz yok -Kenardan da mı bakmıyahh #TurkishArmy</t>
  </si>
  <si>
    <t>https://pbs.twimg.com/media/EGbdFvvWwAEiOrS.jpg</t>
  </si>
  <si>
    <t>Boş...</t>
  </si>
  <si>
    <t>https://www.facebook.com/aysegul.develi.1</t>
  </si>
  <si>
    <t>Ercüment ATEŞ</t>
  </si>
  <si>
    <t>Ölümü içinde öldürmüş bir orduyu Allah’tan gayrısı korkutamaz.. #TurkishArmy</t>
  </si>
  <si>
    <t>https://pbs.twimg.com/media/EGbdEFtWkAAKLND.jpg</t>
  </si>
  <si>
    <t>FENERBAHÇE SPOR KULÜBÜ KONGRE ÜYESİ.(2002)</t>
  </si>
  <si>
    <t>S E D O L İ ✨</t>
  </si>
  <si>
    <t>Düşünsenize Türk olarak Dünya'ya geliyorsunuz. Ne büyük bir gurur. Elhamdülillah 🙏🇹🇷 #TurkishArmy</t>
  </si>
  <si>
    <t>Angara Hanımefendisi 💎 MSKU/FSBF 💉💊</t>
  </si>
  <si>
    <t>http://instagram.com/sedasgkpnr</t>
  </si>
  <si>
    <t>🇹🇷Barış Pınarı Harekatı🇹🇷@ayyldzm1453Rt</t>
  </si>
  <si>
    <t>https://pbs.twimg.com/media/EGbdCQtXUAEgXKg.jpg</t>
  </si>
  <si>
    <t>Ezan susmaz bayrak inmez vatan bölünmez 🇹🇷 🇹🇷 🇹🇷 🇹🇷 🇹🇷 🇹🇷 🇹🇷 🇹🇷 🇹🇷🇹🇷 GS💛❤️</t>
  </si>
  <si>
    <t>Motivasyon İkizleri</t>
  </si>
  <si>
    <t>Gerekiyorsa Türk Silahlı Kuvvetlerimizide 'MOTİVE' ederiz #TurkishArmy 🇹🇷</t>
  </si>
  <si>
    <t>pic.twitter.com/azSDRxOzRM</t>
  </si>
  <si>
    <t>Mustafa &amp; Kemal Altıntaş İletişim : 05396588686 https://instagram.com/motivasyonikizleri?igshid=1bfkmxym4i8bk</t>
  </si>
  <si>
    <t>https://www.youtube.com/channel/UCrozceKCH_-qJQ6ahZ_qpgg</t>
  </si>
  <si>
    <t>🇹🇷 YASİN VATANSEVER 🇹🇷</t>
  </si>
  <si>
    <t>#TurkishArmy Türk askerî herkesin umududur... 🇹🇷</t>
  </si>
  <si>
    <t>https://pbs.twimg.com/media/EGbdByeX0AA3SY2.jpg</t>
  </si>
  <si>
    <t>Kusur bulmak için bakma birine bakarsan bulursun, kusuru örtmeyi marifet edin kendine işte o zaman kusursuz olursun...</t>
  </si>
  <si>
    <t>akıncı</t>
  </si>
  <si>
    <t>https://pbs.twimg.com/media/EGbdATRXkAAhwoU.jpg</t>
  </si>
  <si>
    <t>Ne günlere kaldık ey Gazi Hünkâr; Katır mühürdar oldu, eşek defterdar. Ziya Paşa</t>
  </si>
  <si>
    <t>Nursen YILMAZ🌻</t>
  </si>
  <si>
    <t>Kalbimiz ve dualarımız sizinle 🙏🇹🇷❤️ #TurkishArmy #BarisPinariHarekati</t>
  </si>
  <si>
    <t>https://pbs.twimg.com/media/EGbc5WbWkAAOoMm.jpg</t>
  </si>
  <si>
    <t>Ankara Üniversitesi \ EBF 📚🎈</t>
  </si>
  <si>
    <t>sevgi bedel ister</t>
  </si>
  <si>
    <t>@aydnbahar_ İki ordu vardır: Biri gazâ ordusu, diğeri de duâ ordusu ve bu savaşlar, bu iki ordunun ittifakı ile kazanılır. İmam Rabbani Hz. #TurkishArmy @aydnbahar_</t>
  </si>
  <si>
    <t>kalbime kalbinle dokun.. ❤</t>
  </si>
  <si>
    <t>beratöztekin</t>
  </si>
  <si>
    <t>@milkeryucel Trump, PYD ve YPG'ye silah verdik ödeme yaptık diyince aklıma "biz sırtımızı PYD'ye YPG'ye yaslıyoruz" diyen HDP'li Figen Yüksekdağ geldi. Sırtlarını nereye ve kime yasladıklarını daha net bir şekilde görmüş olduk. #TurkishArmy</t>
  </si>
  <si>
    <t>NŞA'da Diplomat</t>
  </si>
  <si>
    <t>Türk oğlu Türk</t>
  </si>
  <si>
    <t>@realDonaldTrump, Contrary to the USA army, the #TurkishArmy is the most merciful, gentle and kind against innocents, but tough, merciless and fearless against terrorists and their supporters. #Kurds are not our enemy, you used and then betrayed them. Kurds are our people...</t>
  </si>
  <si>
    <t>Anlamadım hiç yalnızlığı...</t>
  </si>
  <si>
    <t>Fetullah Aydın</t>
  </si>
  <si>
    <t>Hazırlansın tabutlar yine girip çıkacağız.. #BarisPinariHarekati #TurkishArmy</t>
  </si>
  <si>
    <t>https://pbs.twimg.com/media/EGbc0KAXoAAvHVs.jpg</t>
  </si>
  <si>
    <t>Gebze / Giresun, Türkiye</t>
  </si>
  <si>
    <t>@Fenerbahce💛💙 B.Ü- Makine Mühendisliği🎓📚</t>
  </si>
  <si>
    <t>http://instagram.com/fetullahaydinn</t>
  </si>
  <si>
    <t>Buğra</t>
  </si>
  <si>
    <t>#TurkishArmy bu bir savaş değildir şanlı Türk ordusu 3 5 böceğin kafasını ezip sağ salim şanlı Türk yurduna geri dönecek</t>
  </si>
  <si>
    <t>Servet k.</t>
  </si>
  <si>
    <t>#TurkishArmy tarih tekerrür ediyor</t>
  </si>
  <si>
    <t>https://pbs.twimg.com/media/EGbcx4UXUAAiZ3F.jpg</t>
  </si>
  <si>
    <t>Şahin Dinç 🇹🇷</t>
  </si>
  <si>
    <t>Mektebinde şehadet olan bir milletin kaderinde esaret yoktur. #BarisPinariHarekati #BarisPinari #TurkishArmy</t>
  </si>
  <si>
    <t>🇹🇷 Osmanlı Torunu 🇹🇷</t>
  </si>
  <si>
    <t>ATA</t>
  </si>
  <si>
    <t>Ee zamanında çok dedik Türkün ayranı kabarmasın damarına basmayın diye #TurkishArmy</t>
  </si>
  <si>
    <t>https://pbs.twimg.com/media/EGbcyfQXoAAlDoh.jpg</t>
  </si>
  <si>
    <t>Bilmediğini bilmek en iyisidir. Bilmeyip de bildiğini sanmak tehlikeli bir hastalıktır.</t>
  </si>
  <si>
    <t>Emre USTA</t>
  </si>
  <si>
    <t>Çocukların korkmadığı tek ordu... #TurkishArmy Allah yardımcınız olsun..</t>
  </si>
  <si>
    <t>https://pbs.twimg.com/media/EGbN37eXYAAmQzk.jpg</t>
  </si>
  <si>
    <t>BALIKESİR ÜNİVERSİTESİ İLAHİYAT FAKÜLTESİ 4/4</t>
  </si>
  <si>
    <t>bilge kişi</t>
  </si>
  <si>
    <t>Ben savaşa karşıyım. Çok meraklısı olanlardan toplansın paralar. #SavasaHayır #TurkishArmy #çarşamba RT @YolTV: Sabah yazarı Barlas: Kamuya yapılan zamlar, savaşı fonlamak için Mehmet Barlas ”Ekonominin bunalım yaşamasının sorumlusu Trump değil” dedi. Barlas, kamu hizmetlerine yapılan zamların Türkiye’nin Suriye operasyonunu fonlamak için yapıldığını yazdı.</t>
  </si>
  <si>
    <t>https://twitter.com/yoltv/status/1181867439996461056
http://www.facebook.com/YolTelevizyon/posts/2584986428189022</t>
  </si>
  <si>
    <t>https://pbs.twimg.com/media/EGbWKzKWwAEGt7p.jpg</t>
  </si>
  <si>
    <t>HERKES INSAN OLSUN...</t>
  </si>
  <si>
    <t>http://www.bilgeci.blog.com</t>
  </si>
  <si>
    <t>Turan Ay</t>
  </si>
  <si>
    <t>CHP’nin heykel çalıştayında kurmaya karar verdiği orduda bu #TurkishArmy</t>
  </si>
  <si>
    <t>https://pbs.twimg.com/media/EGbcw7OWsAArYhL.jpg</t>
  </si>
  <si>
    <t>Korhan Yıldız</t>
  </si>
  <si>
    <t>Vur şanlı silahınla gönül mülkü düzelsin Sen vururken de öldürürken de güzelsin....... #TurkishArmy</t>
  </si>
  <si>
    <t>TürkKatun #TSK</t>
  </si>
  <si>
    <t>https://pbs.twimg.com/media/EGbctPPXUAE0j3I.jpg</t>
  </si>
  <si>
    <t>Siyaset guncel</t>
  </si>
  <si>
    <t>Kübra Şahin</t>
  </si>
  <si>
    <t>pic.twitter.com/o3lcN6ZP2Y</t>
  </si>
  <si>
    <t>🇹🇷𝕮𝖎𝖍𝖆𝖓🇹🇷ϜϓſϞ🇹🇷</t>
  </si>
  <si>
    <t>Türk olmak zordur, çünkü dünya ile savaşırsın.Türk olmamak daha zordur, çünkü Türk ile savaşırsın. #TurkishArmy</t>
  </si>
  <si>
    <t>ESOGÜ~🇹🇷~MALİYE~🇹🇷~ Eskişehir 💙💛 💪Saraylara süremem dağlara sürdüğümü bin cihana değişmem şu öksüz Türklüğümü💪</t>
  </si>
  <si>
    <t>Yakup</t>
  </si>
  <si>
    <t>#TurkishArmy Saygı olsun bu çelik atlıların Gök tuğuna tuğu kaldırmış Orduların Başbuğuna.</t>
  </si>
  <si>
    <t>pic.twitter.com/CPnuzfNn4X</t>
  </si>
  <si>
    <t>#NeMutluTürkümDiyene #TürkçüTürkiyeBirliği #partisiz #TÜRK #Milliyetçisi</t>
  </si>
  <si>
    <t>Oruc COŞKUNER</t>
  </si>
  <si>
    <t>Hazırlansın tabutluklar Yine girip çıkacağız.  #TurkishArmy #Tuerksilahlıkuvvetleri</t>
  </si>
  <si>
    <t>https://pbs.twimg.com/media/EGbcnHYWwAAlNqP.jpg</t>
  </si>
  <si>
    <t>Aksaray</t>
  </si>
  <si>
    <t>🐺🇹🇷 AKSARAY/İstanbul</t>
  </si>
  <si>
    <t>http://Instagram.com/oruccoskuner</t>
  </si>
  <si>
    <t>KURT</t>
  </si>
  <si>
    <t>Kurt kışı çıkarır ama yediği ayazı unutmaz.#TurkishArmy</t>
  </si>
  <si>
    <t>köpeklerin kardeşliği KURT gidene kadardır.</t>
  </si>
  <si>
    <t>frhtozkrt</t>
  </si>
  <si>
    <t>Haydi yigitler Türkün gücünü gösterin tüm dünyaya. Allahım yar ve yardımcınız olsun. Dualarımız sizlerle...#TurkishArmy</t>
  </si>
  <si>
    <t>Halil571</t>
  </si>
  <si>
    <t>pic.twitter.com/a2iogb5lAA</t>
  </si>
  <si>
    <t>Her insan huzur verir Kimileri gelince, kimileri gidince Selametle..// .#EvladıOsmanlı</t>
  </si>
  <si>
    <t>SerhatTakmaklı</t>
  </si>
  <si>
    <t>https://pbs.twimg.com/media/EGbciVmWwAEWCDs.jpg</t>
  </si>
  <si>
    <t>Buldan, Türkiye</t>
  </si>
  <si>
    <t>AK PARTİ BULDAN GENÇLİK KOLLARI TEŞKİLAT BAŞKANI. (EFEOĞLU TEKSTİL LTD.ŞTİ)</t>
  </si>
  <si>
    <t>🇹🇷Dünyada Senden daha Kahramanı yoktur 🇹🇷 #TurkishArmy</t>
  </si>
  <si>
    <t>pic.twitter.com/eL8CcGgd7J</t>
  </si>
  <si>
    <t xml:space="preserve">Kamu Yönetimi </t>
  </si>
  <si>
    <t>🇹🇷Bizleri ,Yeryüzünde ve gök yüzünde,korkutacak ve galip gelecek tek güç sadece Allah'tır. O da bizimle beraberdir. Başkomutan @RTErdogan ve Ben Adanalı🇹🇷</t>
  </si>
  <si>
    <t>https://twitter.com/baskomutan1071</t>
  </si>
  <si>
    <t>serkan fatih ay</t>
  </si>
  <si>
    <t>Sen bizi bayraksız vatansız bırakma Allah'ım #TurkishArmy</t>
  </si>
  <si>
    <t>https://pbs.twimg.com/media/EGbch5RXkAEgcXW.jpg</t>
  </si>
  <si>
    <t>Eğitimci Kitapsever Beşiktaş 'lı Fatih Efe'nin Babası</t>
  </si>
  <si>
    <t>🇹🇷 ZєYNєP&amp;KılıÇ🌸</t>
  </si>
  <si>
    <t>#TurkishArmy Suriye'ye Haşere İlaçlamaya Gidiyor.😉🇹🇷</t>
  </si>
  <si>
    <t>➡ O Rh (-) NeGaTivE ╰☆╮</t>
  </si>
  <si>
    <t>"Dünya'yı Gezseydim. Yeterdi Aslında!"🥳 ☆★ ^◕‿◕^☆★</t>
  </si>
  <si>
    <t>https://instagram.com/</t>
  </si>
  <si>
    <t>Bahadır</t>
  </si>
  <si>
    <t>Vur şanlı silahınla gönül mülkü düzelsin🇹🇷 #TürkMilletiOrdusununYanındadır #TurkishArmy</t>
  </si>
  <si>
    <t>https://pbs.twimg.com/media/EGbcg4LXkAAciJo.jpg</t>
  </si>
  <si>
    <t>Sabaha uyanmak için nedenim var ❤️ Trabzonspor gibi dim dik 💙❤ TanrıTürk'üKoruyacakBozkurt'um 🇹🇷🇹🇷🇹🇷</t>
  </si>
  <si>
    <t>sunullah celik</t>
  </si>
  <si>
    <t>Olmek öldürmek en basiti zor olan halkların kardeşliği ni sağlayabilmek barış kardeşlik özgür yaşam kan dökmeyi ortadan kaldırmak #TurkishArmy gider sonrada bok yoluna olur yani ne şehit ne gazı bok yoluna niyazi bastakiler böyle istedi diye ne yazık ne vahim ???</t>
  </si>
  <si>
    <t>van çaldıran doğumluyum kurdum ve gururluyum.herkesin eşit ve adilce yaşayabildiği bir dünya umudum</t>
  </si>
  <si>
    <t>Burak Kozan</t>
  </si>
  <si>
    <t>https://pbs.twimg.com/media/EGbcefoW4AAc1eP.jpg</t>
  </si>
  <si>
    <t>KALPLER BERABER💛💙</t>
  </si>
  <si>
    <t>fatih Sultan Mehmet</t>
  </si>
  <si>
    <t>https://pbs.twimg.com/media/EGbcd63WkAYgPlE.jpg</t>
  </si>
  <si>
    <t>فهد 777</t>
  </si>
  <si>
    <t>#StrayKids_DoubleKnotً H0X ُ🔥#TurkishArmyً H0X ُ🔥#BacheloretteAUً H0X ُ🔥#WALvFIJً H0X ُ🔥#SCOvRUSً H0X ُ🔥</t>
  </si>
  <si>
    <t>https://ift.tt/2mX7B89</t>
  </si>
  <si>
    <t>orhan</t>
  </si>
  <si>
    <t>insanoğlu öylebir mahluk ki istemediği herşeyin bahanesini... istediği herşeyin çaresini bulur... tıpkı bu operasyon karşı çıkan bahaneler gibi #TurkishArmy</t>
  </si>
  <si>
    <t>https://pbs.twimg.com/media/EGbcblSXoAITviS.jpg</t>
  </si>
  <si>
    <t>Bayburt Merkez, Bayburt</t>
  </si>
  <si>
    <t>Bayburt Geleneksel Türk Okçuluğu İl Temsilcisi Spor Eğitim uzmanı</t>
  </si>
  <si>
    <t>https://m.facebook.com/orhanakpinarcom?ref=bookmarks</t>
  </si>
  <si>
    <t>ErsoyMuttalip</t>
  </si>
  <si>
    <t>Şu kopan fırtına Türk ordusudur yâ Rabbi. Senin uğrunda ölen ordu, budur yâ Rabbi. Tâ ki yükselsin ezanlarla müeyyed nâmın, Galip et, çünkü bu son ordusudur İslâm'ın! #TurkishArmy</t>
  </si>
  <si>
    <t>Sen Yola çık,Yol Sana Görünür. #payitahtabdülhamid</t>
  </si>
  <si>
    <t>Özel Kuvvetler</t>
  </si>
  <si>
    <t>Düşman yine öz yurduna el attı, Mezarından Ata'n kılıç uzattı, Yürü diyor, hakkı zulüm kanattı, Attilâ'nın oğlusun sen unutma! #TurkishArmy</t>
  </si>
  <si>
    <t>https://pbs.twimg.com/media/EGbcYprXYAAnrht.jpg</t>
  </si>
  <si>
    <t>-Özel Operasyon Kuvvetleri Paylaşım Platformu instagram/ozelkuvvetler © 2015</t>
  </si>
  <si>
    <t>http://forum.ozelkuvvetler.net</t>
  </si>
  <si>
    <t>BizAnadoluyuz</t>
  </si>
  <si>
    <t>@officialunsal @unsalmusavir_ İslamın Son Ordusu #TurkishArmy @unsalmusavir_</t>
  </si>
  <si>
    <t>#BİSMİLLAHİRRAHMANİRRAHİM HER #HAYRIN BAŞIDIR</t>
  </si>
  <si>
    <t>Mustafa Akkaya</t>
  </si>
  <si>
    <t>Bedellilerden #suriye operasyonlarına büyük destek. #TurkishArmy</t>
  </si>
  <si>
    <t>Front-end Developer at @ajansmostar | Speaker at @technousnet #podcast</t>
  </si>
  <si>
    <t>https://mostar.tech</t>
  </si>
  <si>
    <t>Metin Kaya ⚡</t>
  </si>
  <si>
    <t>#TurkishArmy RT @elifkislakci: Allah yardımcınız olsun 🇹🇷🇹🇷🇹🇷 #TurkishArmy</t>
  </si>
  <si>
    <t>https://twitter.com/elifkislakci/status/1181873376719179776</t>
  </si>
  <si>
    <t>https://pbs.twimg.com/media/EGbbkFLX0AEdncB.jpg</t>
  </si>
  <si>
    <t>🇹🇷Ak Parti Gençlik Kolları 🇹🇷 🇹🇷Seçim işleri Komisyon Üyesi🇹🇷</t>
  </si>
  <si>
    <t>BeNDeZ</t>
  </si>
  <si>
    <t>Ne diyordu şair? Sen vururken de öldürürken de güzelsin 🇹🇷🇹🇷🇹🇷🇹🇷 #TurkishArmy</t>
  </si>
  <si>
    <t>Mali ve İdari Yönetim</t>
  </si>
  <si>
    <t>Adnan Keskin</t>
  </si>
  <si>
    <t>@YaranIlknur @moral_siz3 "Türk milletinin yüce ideallerinin gerçekleşmesi için kahraman asker evlatları hep önde gidecektir." - Gazi Mustafa Kemal ATATÜRK 🇹🇷 #TurkishArmy</t>
  </si>
  <si>
    <t>https://pbs.twimg.com/media/EGa18Z1WsAAYSci.jpg</t>
  </si>
  <si>
    <t>Başkomutan</t>
  </si>
  <si>
    <t>EFE TÜRK 🇹🇷 Koordinatör</t>
  </si>
  <si>
    <t>X koordinatör 🇹🇷 🗝</t>
  </si>
  <si>
    <t>🇹🇷TÜRK AŞİRETİYİZ Ülkümüz Türkiye Cumhuriyetinin Bekasıdır Kurşun Ya Namluda Durmalı Yada Derinden Vurmalı 🌞🌙 KUVAYI MİLLİYE 🇹🇷Sırlar Dünyası 🗝</t>
  </si>
  <si>
    <t>Muriqi</t>
  </si>
  <si>
    <t>#TurkishArmy TÜRK OLMAK ZORDUR DÜNYA İLE SAVAŞRSIN TÜRK OLMAMAK DAHA ZORDUR TÜRKLER İLE SAVAŞIRSIN</t>
  </si>
  <si>
    <t>https://pbs.twimg.com/media/EGbcVrQW4AARe3j.png</t>
  </si>
  <si>
    <t>Burak Baş</t>
  </si>
  <si>
    <t>Rabbim ayağınıza taş değdirmesin . Türk ordusu her daim muvaffak olacaktır 🇹🇷 #TurkishArmy</t>
  </si>
  <si>
    <t>https://pbs.twimg.com/media/EGbcVhvXoAAsO7v.jpg</t>
  </si>
  <si>
    <t>From the Rose City</t>
  </si>
  <si>
    <t>Cenk</t>
  </si>
  <si>
    <t>#TurkishArmy siker adamı</t>
  </si>
  <si>
    <t>#GALATASARAY</t>
  </si>
  <si>
    <t>Yasin Yılmaz</t>
  </si>
  <si>
    <t>#TurkishArmy Hazırlansın torbalar Türk Askeri geliyor 🇹🇷</t>
  </si>
  <si>
    <t>https://pbs.twimg.com/media/EGbcUy7XUAEmKPD.jpg</t>
  </si>
  <si>
    <t>Yusuf İslam</t>
  </si>
  <si>
    <t>#TurkishArmy hangi haber kanalını izliyor sunuz</t>
  </si>
  <si>
    <t>Odyometri👂👂👂👂👂👂👂</t>
  </si>
  <si>
    <t>10un100unden</t>
  </si>
  <si>
    <t>#TurkishArmy 🙏🇹🇷</t>
  </si>
  <si>
    <t>https://pbs.twimg.com/media/EGbcRdhWwAAJKxO.jpg</t>
  </si>
  <si>
    <t>T-800 EnliLᵇʲᵏ🦅🇹🇷 🚀</t>
  </si>
  <si>
    <t>https://pbs.twimg.com/media/EGbcR3PWwAYWrA8.jpg</t>
  </si>
  <si>
    <t>Yurtsever... Beşiktaşlı... Muhalif... Xennials... Ipsa Scientia Potestas Est</t>
  </si>
  <si>
    <t>https://bjk.com.tr/tr</t>
  </si>
  <si>
    <t>Yaşar Başeğmez🇹🇷SEL4M🇹🇷</t>
  </si>
  <si>
    <t>Yok böyle güzel ordu.Zalimin karşısında,mazlumun yardımında #TurkishArmy</t>
  </si>
  <si>
    <t>Şehitler Tepesi kıyamete kadar boş KALMAYACAK.!!! Namahreme riayet, Namahremi olanada olmayana da gerek.</t>
  </si>
  <si>
    <t>ÖMER G.</t>
  </si>
  <si>
    <t>Dağlar demirdendi dediler Türk'ün yüreği çeliktendi öğrettik. #TurkishArmy</t>
  </si>
  <si>
    <t>https://pbs.twimg.com/media/EGbcQFTWwAEYy-5.jpg</t>
  </si>
  <si>
    <t>Sosyolog</t>
  </si>
  <si>
    <t>Ahmet utku Asma</t>
  </si>
  <si>
    <t>https://pbs.twimg.com/media/EGbcPXWXoAA-Ei5.jpg</t>
  </si>
  <si>
    <t>GALATASARAY...</t>
  </si>
  <si>
    <t>nur_i_ziya</t>
  </si>
  <si>
    <t>@sedatsurr #KurdsSideWithTurkey #TurkishArmy #OperationPeaceSpring</t>
  </si>
  <si>
    <t>https://pbs.twimg.com/media/EGbcLB_XUAAbmdv.jpg</t>
  </si>
  <si>
    <t>M GÜNDÜZ</t>
  </si>
  <si>
    <t>Emperyalistlere inat, helal olsun Türk ordusu #TurkishArmy</t>
  </si>
  <si>
    <t>Unkown Homeland Lover</t>
  </si>
  <si>
    <t>#TurkishArmy are coming!!! Just wait and see...</t>
  </si>
  <si>
    <t>Adalet diye ağlayanların en çok adaletsizlik yaptığı ülkenin bir parçası...</t>
  </si>
  <si>
    <t>Erdal DAĞ</t>
  </si>
  <si>
    <t>#TurkishArmy #EmineBulut #carsamba Kimi haysiyetsizce küfreder şerefli Türk askerine,kimi de Ana şefkatiyle bağrına basar.Tanrı Türk askerinin ve ordusunun yar ve yardımcısı olsun. @meral_aksener @iyiparti</t>
  </si>
  <si>
    <t>https://pbs.twimg.com/media/EGbcLWsWsAE-NU-.jpg</t>
  </si>
  <si>
    <t>ATATÜRKÇÜ,İYİ PARTİ KAYSERİ MELİKGAZİ İLÇE BAŞKANI</t>
  </si>
  <si>
    <t>Kara Bürküt</t>
  </si>
  <si>
    <t>The Best Army; #TurkishArmy</t>
  </si>
  <si>
    <t>TANRI TÜRK TÖRE TURAN || @AtakanUs0353'ün yedek hesabı...</t>
  </si>
  <si>
    <t>gülperi pınarcık</t>
  </si>
  <si>
    <t>https://pbs.twimg.com/media/EGbcKA4XkAAk4EP.jpg</t>
  </si>
  <si>
    <t>çocuk sağlığı ve hastalıkları uzmanı</t>
  </si>
  <si>
    <t>Şahin Aksu</t>
  </si>
  <si>
    <t>Özgürlük isteyen kafasını çıkarsın! #TurkishArmy</t>
  </si>
  <si>
    <t>https://pbs.twimg.com/media/EGbcJozXYAAfpvS.jpg</t>
  </si>
  <si>
    <t>Kaslı bi Piç değil Kars'lı bi hiç</t>
  </si>
  <si>
    <t>Abidin Ergül</t>
  </si>
  <si>
    <t>#TurkishArmy coming</t>
  </si>
  <si>
    <t>yas 35 yolun yarisi</t>
  </si>
  <si>
    <t>Pomak beyiniz</t>
  </si>
  <si>
    <t>Keşke geri gitme imkanım olsa @TurksilahlT #TurkishArmy</t>
  </si>
  <si>
    <t>https://pbs.twimg.com/media/EGbcHGXWwAAZh-k.jpg</t>
  </si>
  <si>
    <t xml:space="preserve">Dünya </t>
  </si>
  <si>
    <t>Agresif</t>
  </si>
  <si>
    <t>Miko</t>
  </si>
  <si>
    <t>Çok düşünmeye gerek yok! Galatasaray - Erzurumspor</t>
  </si>
  <si>
    <t>Burak Kuyucak</t>
  </si>
  <si>
    <t>CcC Allah’da bizim arkamızda CcC pöh-jöh videoları izlendi bile #TurkishArmy</t>
  </si>
  <si>
    <t>varsa ötesi onuda yaşarız</t>
  </si>
  <si>
    <t>Zeynep Kaya</t>
  </si>
  <si>
    <t>Kapımıza dayanıyorsa zulüm Başka yol yok ya İstiklal ya ölüm ! #turkmilletiordusununyaninda #TurkishArmy #BarisPinariHarekati</t>
  </si>
  <si>
    <t>https://pbs.twimg.com/media/EGbcD9-X0AMf6ec.jpg</t>
  </si>
  <si>
    <t>http://instagram.com/zennobik</t>
  </si>
  <si>
    <t>T.C. Adnan🇹🇷Ϝ ϓ ſ Ϟ</t>
  </si>
  <si>
    <t>Hatırlatma; -ABD PKK ya silah yardımı yaptı -AKP buna destek verdi.. Bu siyaseti destekleyenler şimdilerce 'Vatansever ülkücü ' oldu #turkmilletiordusununyaninda #TurkishArmy #Çarşamba</t>
  </si>
  <si>
    <t>https://pbs.twimg.com/media/EGbcCjBXYAEl-i2.jpg</t>
  </si>
  <si>
    <t>TÜRKİYE'M-Kim bu cennet vatanın uğruna                     olmaz ki feda?</t>
  </si>
  <si>
    <t>Düşünen,sorgulayan,araştıran milliyetçi. #TürkiyeİYİolacak @iyiparti</t>
  </si>
  <si>
    <t>Ötüken Beyefendisi</t>
  </si>
  <si>
    <t>Dünyada tek Türk varsa bize de Türkçülük var, Biz Türklüğün yarıyız, Türkçülük de bize yar! CANER KARA</t>
  </si>
  <si>
    <t>Ali Akyasan🇹🇷</t>
  </si>
  <si>
    <t>Dualarımızla Askerimizin Yanındayız Rabbim ayaklarına taş değdirmesin.! #TurkishArmy</t>
  </si>
  <si>
    <t>pic.twitter.com/gJ1HDqAafQ</t>
  </si>
  <si>
    <t>Yazılanı Yaşamaya Geldik,Panik Yok.! ☪ öğretmen-İstanbul-Tekirdağ-Batman</t>
  </si>
  <si>
    <t>AnkaraLorduKaanBey</t>
  </si>
  <si>
    <t>Dünya'da bir çok ordu korku ve yıkım getirirken Türk ordusu her zaman ki gibi barış ve huzur için geliyor. İşiniz rast gelsin Aslan parçaları. #TurkishArmy</t>
  </si>
  <si>
    <t>Hayallerim</t>
  </si>
  <si>
    <t>#MustafaKemalAtatürk F E N E R B A H Ç E | 'Geleceğin Bilgisayar Mühendisi' | Yaşasın Türkçülük</t>
  </si>
  <si>
    <t>Pınar Çalık</t>
  </si>
  <si>
    <t>Enbüyük Turk askeri #TurkishArmy</t>
  </si>
  <si>
    <t>Yakışıklı</t>
  </si>
  <si>
    <t>Kızına işkence yapan adamı serbest bırakacak hakimin yüzüne tükürmek isterim #TurkishArmy</t>
  </si>
  <si>
    <t>İSTANBUL BÜYÜKŞEHİR BELEDİYESİ ONURSAL BAŞKANI,</t>
  </si>
  <si>
    <t>Ahmet Karagülleoğlu</t>
  </si>
  <si>
    <t>Allah Türk Komandosunu Korusun. Ordumuzun muhteşem disiplini sayesinde, dünyanın en iyi kara ordusu bizde #TurkishMilitary #TurkishArmy #turkmilletiordusununyaninda RT @TSKGnkur: Ben Türk Komandosuyum!!! 🇹🇷 #TürkSilahlıKuvvetleri</t>
  </si>
  <si>
    <t>bazen deli eser bazen hafif sonuçta serindir bir o kadarda mavi.</t>
  </si>
  <si>
    <t>TEARS FEARS</t>
  </si>
  <si>
    <t>#TurkishArmy Vakit dua vakti. Rabbim yardımcınız olsun. Rabbim bizleri bu bayrağın gölgesinde korusun.</t>
  </si>
  <si>
    <t>https://pbs.twimg.com/media/EGbbxhNX0AAuloi.jpg</t>
  </si>
  <si>
    <t>Saçmalamamak için kendimi zor tuttuduğum ama yine de başaramadığım bi profil. Bî-tâb-ı Tahassüs. ASÜ 👉BEŞİKTAŞK DM ❌</t>
  </si>
  <si>
    <t>@Güven 🇹🇷🇹🇷🇹🇷</t>
  </si>
  <si>
    <t>Türkler geliyor şu güzelliğe bakar mısınız Maşallah Allah güç kudret versin sizlere ❤️#TurkishArmy</t>
  </si>
  <si>
    <t>https://pbs.twimg.com/media/EGbb7EbXYAAzmnS.jpg</t>
  </si>
  <si>
    <t>Hayat Uzmanı Takibe takip kesinlikle yapılır</t>
  </si>
  <si>
    <t>🐾Gökranduil🐾</t>
  </si>
  <si>
    <t>#TurkishArmy 🇹🇷🇹🇷 Hoş geldin diyeni bağrımıza basarız, can gibi! Neden geldin diyenin de kellesini alırız! Mevzu açık ve net!</t>
  </si>
  <si>
    <t>Dünyadabiyerdeyim :)</t>
  </si>
  <si>
    <t>\Youth Gone Wild/ |Yerim yurdum yoktur benim :) sadece gökyüzünü göreyim :) [Mutluluk yolu olmayan ormanlardadır] ｔｅｋａşｋＧＡＬＡＴＡＳＡＲＡＹ</t>
  </si>
  <si>
    <t>Okan Polat</t>
  </si>
  <si>
    <t>#TurkishArmy #BarisPinari #BarisPinariHarekati Bozkurtlar ulusun Tanrı Türkü korusun! Allah yar ve yardımcınız olsun. 🙏🇹🇷</t>
  </si>
  <si>
    <t>https://pbs.twimg.com/media/EGbb28NWoAAkhtu.jpg</t>
  </si>
  <si>
    <t>Tugce Giray</t>
  </si>
  <si>
    <t>Bir savaşımız eksikti! Şimdi tam oldu! Ya depremle, ya bombayla, ya açlıktan öleceğiz! #TurkishArmy</t>
  </si>
  <si>
    <t>Turkiye</t>
  </si>
  <si>
    <t>BASKAN ERDOGAN💛❤️💛❤️💛❤️</t>
  </si>
  <si>
    <t>The best army of the World #TurkishArmy</t>
  </si>
  <si>
    <t>Babanız FALCAOOOO ( El Tigre)</t>
  </si>
  <si>
    <t>ａｙｄıｎｌıｋ　ｍｅｍｅｓ</t>
  </si>
  <si>
    <t>ＶＡＴＡＮ ＳＡＶＡＳＩ ２０２３ #TurkishArmy</t>
  </si>
  <si>
    <t>pic.twitter.com/OsDWGhphkL</t>
  </si>
  <si>
    <t>ＴＵＲＫΣＹ</t>
  </si>
  <si>
    <t>𝕧𝕒𝕥𝕒𝕟, 𝕖𝕞𝕖𝕜, 𝕟𝕒𝕞𝕦𝕤</t>
  </si>
  <si>
    <t>Fahrettin Ecik</t>
  </si>
  <si>
    <t>Halbuki, Türk’ün haysiyeti, gururu ve kabiliyeti çok yüksek ve büyüktür. Böyle bir millet esir yaşamaktansa yok olsun daha iyidir!…O halde, ya istiklâl ya ölüm!#TurkishArmy #BarışPınarı #TürkMilletiOrdusununYanında</t>
  </si>
  <si>
    <t>Aksaray, Ankara</t>
  </si>
  <si>
    <t>Grafik Tasarımcı / @Gazi_Universite Rektörlüğü Personel Daire Başkanlığı / Personelci / Tekniker</t>
  </si>
  <si>
    <t>kuteymir</t>
  </si>
  <si>
    <t>Köprüde boğazını kesemediğiniz askerleri başka bir şekilde öldürmenin yolu... Ne demişti daha yıllar önce Hakan Fidan gerekirse suriyeden 5 füze atarım Turkiyeye yine girerim Süriyeye... #TurkishArmy</t>
  </si>
  <si>
    <t>Yüzer milyon başların feda oldukları bir kudsî hakikate, başımız dahi feda olsun.</t>
  </si>
  <si>
    <t>Hasann🇹🇷❤</t>
  </si>
  <si>
    <t>https://pbs.twimg.com/media/EGbb19aXUAEQXGK.jpg</t>
  </si>
  <si>
    <t>Merkez, Tokat</t>
  </si>
  <si>
    <t>togü</t>
  </si>
  <si>
    <t>https://instagram.com/2bbutik</t>
  </si>
  <si>
    <t>Rojbin Önder</t>
  </si>
  <si>
    <t>Ayağınız taşa değmesin #TurkishArmy RT @clsknagustsbcgi: Biz ordusu olan bir millet değil, milleti olan bir orduyuz. #TurkishArmy</t>
  </si>
  <si>
    <t>https://twitter.com/clsknagustsbcgi/status/1181828668399788032</t>
  </si>
  <si>
    <t>https://pbs.twimg.com/media/EGay52qXkAA2G4a.jpg</t>
  </si>
  <si>
    <t>Gökberk Kaya</t>
  </si>
  <si>
    <t>#TurkishArmy YILMAYACAĞIZ</t>
  </si>
  <si>
    <t>http://www.instagram.com/gokberkaya/</t>
  </si>
  <si>
    <t>gerçekler</t>
  </si>
  <si>
    <t>DEDİĞİM GİBİ YANILMADIM 9 EKİM TOPLAMDA 13 EDİYOR 9+1+0+2+0+1+9=13 SİYONİSTLER İŞ BAŞINDA #TurkishArmy</t>
  </si>
  <si>
    <t>cryptoemre</t>
  </si>
  <si>
    <t>#TurkishArmy yazık sana be mehmetçik. sen canını ortaya koy, gazeteci geçinenlerde özerk başlıkları atsınlar. nasıl bir ülkeyiz lan biz! @nevzatcicek</t>
  </si>
  <si>
    <t>crypto analist</t>
  </si>
  <si>
    <t>Ерен искендер...</t>
  </si>
  <si>
    <t>American idiot,We are coming to Syria #TurkishArmy</t>
  </si>
  <si>
    <t>Hopa, Artvin</t>
  </si>
  <si>
    <t>Bir kitapta okumuştum: “Her şey yoluna girmeden önce en kötüsü olmak zorundadır.“</t>
  </si>
  <si>
    <t>M.Z.K.</t>
  </si>
  <si>
    <t>#TurkishArmy RABBİM ayağınıza taş değdirmesin yiğitler</t>
  </si>
  <si>
    <t>Allah'a kul, Eşine koca, Oğluna baba...</t>
  </si>
  <si>
    <t>Umut Sta</t>
  </si>
  <si>
    <t>50 yaşını geçmiş kır saçlı bi adam capcanlı askerlik anılarını anlatıyor yan masada! Congratulations #TurkishArmy Yani benim 3 yıl öncesinden bile berrak bi anım kalmamışken..</t>
  </si>
  <si>
    <t>ha alim ha zalim</t>
  </si>
  <si>
    <t>Yunus Taşkıran</t>
  </si>
  <si>
    <t>#TurkishArmy #BarisPinari Soran olursa Türkler geldi dersiniz. "Hoşgeldiniz" diyene sahip çıkın. "Neden geldiniz?" diye sorana yakışanı yapın. Ya etek giydirin yahut kafasına sıkın... #TurkishArmy #BarışPınarı</t>
  </si>
  <si>
    <t>https://pbs.twimg.com/media/EGbbtmWXYAAFmC8.jpg</t>
  </si>
  <si>
    <t xml:space="preserve">Rize Merkez, </t>
  </si>
  <si>
    <t>@CRizesporAS💚🇹🇷💙</t>
  </si>
  <si>
    <t>EMRE CAN KOCABAŞ</t>
  </si>
  <si>
    <t>#çarşamba #TurkishArmy RT @suleymansoylu: Terör sınırımızda hakim olacak, "bizim orada ne işimiz var?" Bizim orada istiklâlimiz var, bizim orada istikbâlimiz var, bizim orada kardeşliğimiz, huzurumuz var. Bizim orada, yıllardır Türkiye'ye çektirmeye çalıştıkları meselenin tamamen bitirilmesi konusunda bir irademiz var.</t>
  </si>
  <si>
    <t>https://twitter.com/suleymansoylu/status/1181865225353596929</t>
  </si>
  <si>
    <t>https://pbs.twimg.com/media/EGbUJa3WwAAauC0.jpg</t>
  </si>
  <si>
    <t>Preschool Teacher 🎓</t>
  </si>
  <si>
    <t>Akın Zeyrek</t>
  </si>
  <si>
    <t>Dağlar demirden dediler... Türk'ün yüreği çeliktendi öğrettik. #TurkishArmy #TürkMilletiOrdusununYanında</t>
  </si>
  <si>
    <t>https://pbs.twimg.com/media/EGbbsiVWkAANIC5.jpg</t>
  </si>
  <si>
    <t>http://Instagram.com/akinnzeyrek Huu☝️</t>
  </si>
  <si>
    <t>Ayse Cevizci</t>
  </si>
  <si>
    <t>Allah yardımcınız olsun insallah bu sefer son olur..#TurkishArmy</t>
  </si>
  <si>
    <t>𝓜𝓾𝓽𝓸</t>
  </si>
  <si>
    <t>https://pbs.twimg.com/media/EGbbqneWoAEO6Os.jpg</t>
  </si>
  <si>
    <t>N'oluyo kardeşim , bu ne tantana?</t>
  </si>
  <si>
    <t>Șerife 🇹🇷🇹🇷</t>
  </si>
  <si>
    <t>Bu bayrak mazluma umut olmuş bayraktır. Sen mağlup etme Allah'ım #Osmanlıca #BarıșPınarı #BarıșPınarıHarekatı #TürksilahlıKuvvetleri #KurdsSideWithTurkey #TürkMilletiOrdusununYanında #OperationPeaceSpring #TurkishArmy RT @blt0155: #Osmanlıca Severler yoruma bakalım 🤔⁉️🇹🇷🇹🇷🇹🇷</t>
  </si>
  <si>
    <t>https://twitter.com/blt0155/status/1181863536202530817</t>
  </si>
  <si>
    <t>https://pbs.twimg.com/media/EGbSnL1WsAAz2kH.jpg</t>
  </si>
  <si>
    <t>Ramazan Akbaş</t>
  </si>
  <si>
    <t>Tek beklenen ordu TÜRK ordusu Ölüm, zulüm, göz yaşı ve yıkım getirmeyen ordu TÜRK ordusu Barış, huzur ve yaraları saran ordu TÜK ordusu #TurkishArmy</t>
  </si>
  <si>
    <t>https://pbs.twimg.com/media/EGbbqI_WoAAVfsw.jpg</t>
  </si>
  <si>
    <t>HERŞEY VATAN İÇİN #EVLADI #OSMANLI #LATAHZEN #İNNALLAHE #MEANA HİÇBİR ŞEY ESKİSİ GİBİ OLMAYACAK.Kendi tweetlerim burda 👉 @Ramazan13090928 👈 #AkEkip</t>
  </si>
  <si>
    <t>Furkan GIM</t>
  </si>
  <si>
    <t>https://pbs.twimg.com/media/EGbbo3KXYAAI7fh.jpg</t>
  </si>
  <si>
    <t>uludağ üniversitesi</t>
  </si>
  <si>
    <t>Vur, sen de mukaddes hürriyet için, Dünyanın diktiği bayrak için vur! #TurkishArmy RT @duygusalsehpa: Çocukların korkmadığı tek ordu... #TurkishArmy Allah yardımcınız olsun..</t>
  </si>
  <si>
    <t>https://twitter.com/duygusalsehpa/status/1181858341754155008</t>
  </si>
  <si>
    <t>Att okuyup iş bulamayıp, Paramedik olup hala iş bulamayan genç.</t>
  </si>
  <si>
    <t>http://instagram.com/_hkazz</t>
  </si>
  <si>
    <t>Abdocan</t>
  </si>
  <si>
    <t>#TurkishArmy bugün geçerken Gaziosmanpaşa Küçükköy Paşa Mahallesi Paşa camisinin merdiven altında yaşayan bu amcayı gördüm Hiç kimsesi yok arkadaşlar Gündem oluşturalım kış kapıda amcamız merdiven altında yaşamasın</t>
  </si>
  <si>
    <t>pic.twitter.com/opxMmUrZJr</t>
  </si>
  <si>
    <t>Kadir 💚</t>
  </si>
  <si>
    <t>Hazırlansın tabutluklar, yine girip çıkacağız. #TurkishArmy</t>
  </si>
  <si>
    <t>https://pbs.twimg.com/media/EGbbln2XkAA7xqQ.jpg</t>
  </si>
  <si>
    <t>Türkçü</t>
  </si>
  <si>
    <t>Sare 사레</t>
  </si>
  <si>
    <t>The Turks arent a nation with army. An army with nation. #MKAtatürk #TurkishArmy</t>
  </si>
  <si>
    <t>International Relations יחסים בינלאומיים 국제 관계 Sakarya University</t>
  </si>
  <si>
    <t>𐱅𐰇𐰼𐰰</t>
  </si>
  <si>
    <t>Harekatın ismini değiştirmek için çok geç değil, "barış pınarı" diye harekat ismi olmaz daha ürkütücü gözdağı veren bir isim bulunmalıydı... İngilizce çeviri bile komik pentagon harekat ismini "barış çeşmesi" olarak görecek... #TurkishArmy</t>
  </si>
  <si>
    <t xml:space="preserve">Sincan Uygur </t>
  </si>
  <si>
    <t>Çomar Uza! TÜRK. ÇEPNİ. Boks. Aklı fikri hür! Tanrımıza hamdolsun milletimiz varolsun. Ümmetçilik Arap emperyalizmidir! Laik!</t>
  </si>
  <si>
    <t>elif k.</t>
  </si>
  <si>
    <t>Allah yardımcınız olsun 🇹🇷🇹🇷🇹🇷 #TurkishArmy</t>
  </si>
  <si>
    <t>06.01 ❣</t>
  </si>
  <si>
    <t>http://instagram.com/uskudarimm</t>
  </si>
  <si>
    <t>Nazmi Tarim</t>
  </si>
  <si>
    <t>The Turkish pilot turns down the Sikorsky S-70 Model helicopter on the Air. #TurkishArmy</t>
  </si>
  <si>
    <t>https://pbs.twimg.com/media/DZcSafLX4AAkFrf.jpg</t>
  </si>
  <si>
    <t>Mediterranean</t>
  </si>
  <si>
    <t>Space Explorations | Science | History | Wisdom | Global Issues | My Essays on http://medium.com/@tarimnazmi 📝</t>
  </si>
  <si>
    <t>http://www.linkedin.com/in/tarimnazmi</t>
  </si>
  <si>
    <t>sugalord</t>
  </si>
  <si>
    <t>Benim sandığım şeyi sandınız değil mi :d #TurkishArmy</t>
  </si>
  <si>
    <t>Magic Shop</t>
  </si>
  <si>
    <t>Mein Kopf ist so gefickt</t>
  </si>
  <si>
    <t>Fatih Dilaveroğlu</t>
  </si>
  <si>
    <t>Reis Suriye'ye gelen telefonları cevaplıyor 👇 #TurkishArmy</t>
  </si>
  <si>
    <t>https://pbs.twimg.com/media/EGbbglDWkAAxmj0.jpg</t>
  </si>
  <si>
    <t>Bir gün akşam olur bizde gideriz kalır dudaklarda şarkımız bizim</t>
  </si>
  <si>
    <t>Mehmet bey</t>
  </si>
  <si>
    <t>Hazırlanın geliyoruz. #TurkishArmy</t>
  </si>
  <si>
    <t>bir adam girdi şehre, koşarak..</t>
  </si>
  <si>
    <t>https://instagram.com/mehmetiregur?utm_source=ig_profile_share&amp;igshid=877vtpn01yqw</t>
  </si>
  <si>
    <t>Dtsblmt</t>
  </si>
  <si>
    <t>Allah ın Aslanları . 🇹🇷🇹🇷🇹🇷🇹🇷🇹🇷🧿🧿🧿 #TurkishArmy</t>
  </si>
  <si>
    <t>ey insan ...Allah var.....görelim Mevla neyler..neylerse güzel eyler</t>
  </si>
  <si>
    <t>TÜRK Polisi ● 𐱅𐰇𐰼𐰰</t>
  </si>
  <si>
    <t>1998 yılında Türkiye, Suriye hükümetini açık bir şekilde tehdit etmişti. 9 Ekim'e kadar bebek katili Abdullah Öcalan ülkeden çıkarılmazsa askeri işgal başlatılacağı bildirilmişti. Yani 9 Ekim'de Apo'nun yakalanma süreci fiilen başlamış oldu. 9 Ekim 😉 #TurkishArmy</t>
  </si>
  <si>
    <t>Türk Milliyetçisi bir Polis ♦ Ne Mutlu Türk'üm Diyene 🐺</t>
  </si>
  <si>
    <t>https://www.facebook.com/Turk.polisi.155/</t>
  </si>
  <si>
    <t>Mustafa Odabaş</t>
  </si>
  <si>
    <t>#TurkishArmy Allah yar ve yardımcıları olsun.</t>
  </si>
  <si>
    <t>https://pbs.twimg.com/media/EGbbc73W4AEaNAJ.jpg</t>
  </si>
  <si>
    <t>Arhavi, Artvin</t>
  </si>
  <si>
    <t>eski hatıralarımız yeni umutlarımız olmalı bu Hayatta Artvin/Arhavi Ktü @GalatasaraySk mustafa.000@hotmail.com</t>
  </si>
  <si>
    <t>http://www.mustafaodabas.com</t>
  </si>
  <si>
    <t>https://pbs.twimg.com/media/EGbbcy9WkAIsmb7.jpg</t>
  </si>
  <si>
    <t>Tanrı Türk’ü Korusun ve Yüceltsin</t>
  </si>
  <si>
    <t>II. ARM</t>
  </si>
  <si>
    <t>FIRTINALAR DURSUN YANA YOL VER TÜRK'ÜN BAYRAĞINA #TurkishArmy #AyağınızaTaşDeymesin #VurduğunuzGolOlsun</t>
  </si>
  <si>
    <t>https://pbs.twimg.com/media/EGbbbpFWoAAcaoU.jpg</t>
  </si>
  <si>
    <t>Yıl 1905'te doğdu aşkımız. .</t>
  </si>
  <si>
    <t>Turuncudan iz taşıyan tok bir Sarı ve vişneye çalan koyuca tatlı bir Kırmızı aşığı.. ⭐⭐⭐⭐ 🦁🐯🏆</t>
  </si>
  <si>
    <t>http://instagram.com/alirzamertcan/</t>
  </si>
  <si>
    <t>ESAT BERK</t>
  </si>
  <si>
    <t>Hududun aslanları.Rabbim askerimizi korusun ve yüceltsin. #TurkishArmy</t>
  </si>
  <si>
    <t>https://pbs.twimg.com/media/EGbbbRMX0AAI7ab.jpg</t>
  </si>
  <si>
    <t>Since 98 Pau</t>
  </si>
  <si>
    <t>http://instagram.com/esatdagiistan</t>
  </si>
  <si>
    <t>frozenalways</t>
  </si>
  <si>
    <t>#TurkishArmy Bir arkadaşa bakıp çıkacaz......</t>
  </si>
  <si>
    <t>mehtap yerinde 🇹🇷</t>
  </si>
  <si>
    <t>Her daim ordumuzun yanındayız 🇹🇷 #TurkishArmy</t>
  </si>
  <si>
    <t>dürdane</t>
  </si>
  <si>
    <t>Allah gücümüze güç katsın❤#TurkishArmy</t>
  </si>
  <si>
    <t>N.R.A.</t>
  </si>
  <si>
    <t>"Erisin damla damla kar, Gelmek üzere ilk bahar, Hazırlansın tabutluklar, Yine girip cıkacağız." #TurkishArmy</t>
  </si>
  <si>
    <t>https://pbs.twimg.com/media/EGbbXZnX0AAs9eH.jpg</t>
  </si>
  <si>
    <t>Venüs</t>
  </si>
  <si>
    <t>aaa, öylemiymiş hiç haberim yok 🇹🇷🐺</t>
  </si>
  <si>
    <t>Abdullah ser</t>
  </si>
  <si>
    <t>https://pbs.twimg.com/media/EGbbTXIX0AEgWLQ.jpg</t>
  </si>
  <si>
    <t>“NEFES ALMAK İSTİYORUM “</t>
  </si>
  <si>
    <t>Allahım sen yardım et. #TurkishArmy</t>
  </si>
  <si>
    <t>pic.twitter.com/BmSu8maxET</t>
  </si>
  <si>
    <t>Devlet'ine ihanet eden ,herkese ihanet Eder. كفى بالله بالنسبة لنا</t>
  </si>
  <si>
    <t>Hüseyin Acar</t>
  </si>
  <si>
    <t>Allah yâr ve yardimcimiz olsun #TurksilahliKuvvetleri #turkmilletiordusununyaninda #TurkishArmy</t>
  </si>
  <si>
    <t>https://pbs.twimg.com/media/EGbbSRFX0AAblqY.jpg</t>
  </si>
  <si>
    <t>Ankara'dan Elazığ'a 👮😎✈🙏💭💂🦅🦅🦅</t>
  </si>
  <si>
    <t>HUN İMPARATORLUĞU</t>
  </si>
  <si>
    <t>Hazırlansın tabutluklar, yine girip çıkacağız! #TurkishArmy</t>
  </si>
  <si>
    <t>https://pbs.twimg.com/media/EGbbShtXkAEJevD.jpg</t>
  </si>
  <si>
    <t>Bizler ; Çin'e Çin seddi seddini yaptırıp, avrupaya Tengri' nin kılıcı korkusunu salmış liderlerin imparatorluğuyuz, Türk'üz biz ! ϜϓſϞ</t>
  </si>
  <si>
    <t>http://Instagram.com/hunnlar</t>
  </si>
  <si>
    <t>Balkan TÜRKÜ</t>
  </si>
  <si>
    <t>Sefere çıkılmışsa tartışma yersizdir. #TurkishArmy</t>
  </si>
  <si>
    <t>https://pbs.twimg.com/media/EGbbRcEW4AEGWX6.jpg</t>
  </si>
  <si>
    <t>/ Berkay / incompatible Rodoplu</t>
  </si>
  <si>
    <t>🇹🇷 /*brkn🐎</t>
  </si>
  <si>
    <t>Ey Asâkir-i Muhammediyye! İstikâmet Suriyeeeeee ! Allah Yar ve Yardımcımız olsun ! #TurkishArmy</t>
  </si>
  <si>
    <t>https://pbs.twimg.com/media/EGbbQTxWwAEsWm1.jpg</t>
  </si>
  <si>
    <t>Kanlarımız sebildir; akıtarak hepsini Belirsiz mezarlarda anılmadan yaşarız...𐱅𐰇𐰼𐰚</t>
  </si>
  <si>
    <t>Ne Kadar Güzel</t>
  </si>
  <si>
    <t>Sima Keçeci</t>
  </si>
  <si>
    <t>Beyaz Saray, Türkiye'nin şu anda Kürt gözaltı merkezlerinde tutuklu bulunan "İslam Devleti" nden (ISIS) binlerce gözaltının sorumluluğunu üstleneceğini de belirtti. @RTErdogan #Turkey #TurkishArmy RT @realDonaldTrump: ....understands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</si>
  <si>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https://twitter.com/realdonaldtrump/status/1181553636444426240</t>
  </si>
  <si>
    <t xml:space="preserve">türkiye </t>
  </si>
  <si>
    <t>Kırmızı❤</t>
  </si>
  <si>
    <t>Ahmet Avcı</t>
  </si>
  <si>
    <t>Av mevsimi başlamıştır... #TurkishArmy #BarisPinariHarekati</t>
  </si>
  <si>
    <t>https://pbs.twimg.com/media/EGbbOM6XUAAFDN6.jpg</t>
  </si>
  <si>
    <t>Beyler Hoşgeldiniz Adım Ahmet Mekanın Sahibiyim a Böyle Buyrun Oturun..</t>
  </si>
  <si>
    <t>Lerzan Kayaoğlu</t>
  </si>
  <si>
    <t>Eğer bir insan veya kurum itibarsızlaştırılmak isteniyorsa mutlaka onun benzeri bir proje piyasaya salınır ve mesele olabildiğince sulandırılır.Bunu en çok derinler yapar, bkz.Oktarcılar. Twitterda İslâmî grupların haklı mücadelesine kimse inanmıyor artık #TurkishArmy</t>
  </si>
  <si>
    <t>Batman, Türkiye</t>
  </si>
  <si>
    <t>Sokak lambası gibi olma ey yar! kime yandığın belli olsun. (N.F.K.)</t>
  </si>
  <si>
    <t>ŞefTÜRK</t>
  </si>
  <si>
    <t>Allah Askerimizin yar ve yardımcısı olsun.. 🇹🇷 Fıratın doğusuna Suriye'ye girdik..💣 #Turkey #TurkıshArmy #BarışPınarıHarekatı #Syria</t>
  </si>
  <si>
    <t>Adapazarı, Sakarya</t>
  </si>
  <si>
    <t>WorldCousineChef🔪 Sakaryaspor⚽️</t>
  </si>
  <si>
    <t>http://instagram.com/ceyhunkrkc</t>
  </si>
  <si>
    <t>Ömer Oruç 🇹🇷</t>
  </si>
  <si>
    <t>🤘🏻🇹🇷🇹🇷🇹🇷 #TurkishArmy</t>
  </si>
  <si>
    <t>https://pbs.twimg.com/media/EGbbNJjWoAQgaJ3.jpg</t>
  </si>
  <si>
    <t>Bayburt - İstanbul</t>
  </si>
  <si>
    <t>Herşey geçer, ya onur ya utanç kalır geriye..</t>
  </si>
  <si>
    <t>İlknur</t>
  </si>
  <si>
    <t>Ne mutlu TÜRK'ÜM diyene #TurkishArmy</t>
  </si>
  <si>
    <t>evra</t>
  </si>
  <si>
    <t>Kürt gençleri IŞİD'e göğsünü siper etti durdurdu. Biraksaymışlar keşke IŞİD, başta TC olam üzre sırayla gelen bütün ülkeleri sikseymiş keşke! Zaten Kürtlerin kaybedecek birşeyi yoktu #TurkishArmy</t>
  </si>
  <si>
    <t>Zübeyir Çakmakcı</t>
  </si>
  <si>
    <t>Çay dolu.Şarjör dolu.dünya boşşşş...haydin zafere.. #TurkishArmy</t>
  </si>
  <si>
    <t>https://pbs.twimg.com/media/EGbbJ7mWoAEm80P.jpg</t>
  </si>
  <si>
    <t>Ezurumlu Dadaş,Gevurboğanlı,Müslüman,Türkoğlu Türk</t>
  </si>
  <si>
    <t>Seray</t>
  </si>
  <si>
    <t>https://pbs.twimg.com/media/EGbbI0nWoAAe0K7.jpg</t>
  </si>
  <si>
    <t>Bir dakika deli konuşuyor konuş deli</t>
  </si>
  <si>
    <t>Seyfettin BIÇAK</t>
  </si>
  <si>
    <t>Rabbim, ordumuzu muzaffer kıl. Rabbim, ordumuza kazasız, belasız zafer nasip eyle. Lâ Galibe İllâllah #TurkishArmy</t>
  </si>
  <si>
    <t>Mendil satan çocuğun,burnunu koluyla silmesi kadar acımasız bu hayat!!! İzmitli ,Galatasaylı 🇹🇷🇹🇷</t>
  </si>
  <si>
    <t>emre</t>
  </si>
  <si>
    <t>Allah yar ve yardımcınız olsun. #TurkishArmy</t>
  </si>
  <si>
    <t>Gazi Üniversitesi 1⃣9⃣1⃣0⃣</t>
  </si>
  <si>
    <t>Haciabi</t>
  </si>
  <si>
    <t>#TurkishArmy Eğer illa savaşa gidilecekse dantelli kefenliler ile bedelli mücahitleri en ön safta görmek isteriz. Hatta Şehzade ve damat bir ellerinde okları diğer ellerinde yayı, Allah Allah nidaları ile muzaffer ordumuzun öncüsü olmalı. Biz de onlara şahadet nasip olması için</t>
  </si>
  <si>
    <t>Magduriyetler bitene kadar.</t>
  </si>
  <si>
    <t>Ömer Çakır</t>
  </si>
  <si>
    <t>Allah ayağınıza taş değdirtmesin, hayırla gidin, hayırlarla dönün... #TurkishArmy</t>
  </si>
  <si>
    <t>https://pbs.twimg.com/media/EGbbE54XoAABR5h.jpg</t>
  </si>
  <si>
    <t>İstanbul, Sakarya,Türkiye</t>
  </si>
  <si>
    <t>SAÜİF 🇹🇷</t>
  </si>
  <si>
    <t>SEMİHA</t>
  </si>
  <si>
    <t>Türk Ordusu mazlumun yanında, zalimin ensesindedir BOZKURTLAR GELİYOR !! 🇹🇷 🇹🇷 🇹🇷 #TurkishArmy #BarışPınarıHarekatı</t>
  </si>
  <si>
    <t>https://pbs.twimg.com/media/EGbbE0DXkAAM9s1.jpg</t>
  </si>
  <si>
    <t>Ey Türk Gençliği! Birinci vazifen, Türk İstiklâlini, Türk Cumhuriyeti'ni, ilelebet muhafaza ve müdafaa etmektir. @TSKGnk #Atatürk #ϜϓſϞ #TürkçüTürkiyeBirliği</t>
  </si>
  <si>
    <t>Mall-e ‏ﺦ 🐬</t>
  </si>
  <si>
    <t>Çıktığınız yere kadar gireceğiz az kaldı Türk ordusu geliyor #TurkishArmy</t>
  </si>
  <si>
    <t>https://pbs.twimg.com/media/EGbbEblWoAEx8x7.jpg</t>
  </si>
  <si>
    <t>Mali</t>
  </si>
  <si>
    <t>Food Engineer</t>
  </si>
  <si>
    <t>http://instagram.com/yasinasci1</t>
  </si>
  <si>
    <t>Azmi Asoğlu</t>
  </si>
  <si>
    <t>Dine giriş kelimesi olan, La ilahe illallah bakın neymiş...  #TurkishArmy</t>
  </si>
  <si>
    <t>https://pbs.twimg.com/media/D8pO4uVWsAADKot.jpg</t>
  </si>
  <si>
    <t>Erzincan, Türkiye</t>
  </si>
  <si>
    <t>Yahudilerin büyük adamları, ancak insanlığa ve uygarlığa karşı açtıkları yıkım mücadelesinde büyüklük sıfatını kazanmışlardır. -Adolf Hitler</t>
  </si>
  <si>
    <t>ümit sağlam</t>
  </si>
  <si>
    <t>Dosta güven düşmana korku salan #TurkishArmy</t>
  </si>
  <si>
    <t>kırşehir</t>
  </si>
  <si>
    <t>ben yarım aklımla ben...</t>
  </si>
  <si>
    <t>𝑳𝒂 𝑴𝒂𝒓𝒊𝒑𝒐𝒔𝒂🍷</t>
  </si>
  <si>
    <t>#TurkishArmy gündeme girmiş, neler oluyor?</t>
  </si>
  <si>
    <t>https://pbs.twimg.com/media/EGbbDA4WsAA99I4.jpg</t>
  </si>
  <si>
    <t>𝑽𝒊𝒗𝒆 𝒆𝒍 𝒎𝒐𝒎𝒆𝒏𝒕𝒐!♣️♥️♠️♦️ 𝑵𝒆𝒈𝒓𝒐 𝑹𝒂𝒋𝒐🖤❤ 𝑻𝒊𝒏𝒕𝒐🍷</t>
  </si>
  <si>
    <t>Turan Cephesi</t>
  </si>
  <si>
    <t>Arap Birliği, “Türkiye’nin Suriye’ye müdahelesini doğru bulmuyoruz” demiş!!! #TurkishArmy RT @enisbozkurt1919: “Din arabın, hukuk sizin, harp Türklüğündür.” #BarısPınarıHarekatı</t>
  </si>
  <si>
    <t>https://twitter.com/enisbozkurt1919/status/1180773856748986369</t>
  </si>
  <si>
    <t>https://pbs.twimg.com/media/EGLzj5NXoAU7YGm.jpg</t>
  </si>
  <si>
    <t>Turan Cephesi Resmi Twitter Hesabı</t>
  </si>
  <si>
    <t>http://www.facebook.com/TuranCephesi</t>
  </si>
  <si>
    <t>Enes Kırboğa</t>
  </si>
  <si>
    <t>https://pbs.twimg.com/media/EGba-2FXoAESFmM.jpg</t>
  </si>
  <si>
    <t>muhammet girgin</t>
  </si>
  <si>
    <t>Bilim kurgu değil #TurkishArmy</t>
  </si>
  <si>
    <t>Cem Muşmul ❤💙🇹🇷</t>
  </si>
  <si>
    <t>#TurkishArmy Daha iyisi yok!</t>
  </si>
  <si>
    <t>Yalova</t>
  </si>
  <si>
    <t>Trabzonlu, Trabzonsporlu, Devlet'in Memuru, Harita Mühendisi, 2 kız babası. 1071-1299-1461-1881-1923-1967-1981 2010-11 sezonu Şampiyonu @Trabzonspor #AdaletliOl</t>
  </si>
  <si>
    <t>Mustafa Tozak</t>
  </si>
  <si>
    <t>Yıl 1978: Dönemin Başbakanı Bülent Ecevit ABD ve Batı’nın uyguladığı ambargoya rağmen diz çökmüyor, direniyor! Akıcı ve muazzam ingilizcesiyle tepkisini anlatıyor. Mesajlar gayet net, Tehdit dili değil devlet dili kullanılıyor; #TurkishArmy</t>
  </si>
  <si>
    <t>pic.twitter.com/Ou2WEo6rQ8</t>
  </si>
  <si>
    <t>ereğli</t>
  </si>
  <si>
    <t>Naylon Brondo</t>
  </si>
  <si>
    <t>Kemal Kılıçdaroğlu'nun gerçek yüzü.. Gizli bir toplantıda fıkra anlatıp ATATÜRK ile dalga geçiyor.. #CheGuevara Divan Restaurant #TurkishArmy #EmineBulut Haluk Levent</t>
  </si>
  <si>
    <t>pic.twitter.com/SlrJ3rUUd6</t>
  </si>
  <si>
    <t>siyasi prody hesap</t>
  </si>
  <si>
    <t>Emir</t>
  </si>
  <si>
    <t>Kaç rüyadır uçamıyorum.</t>
  </si>
  <si>
    <t>Kutsal Sivas</t>
  </si>
  <si>
    <t>📹 MİLLİ ŞUUR ÇOK ÖNEMLİ, GENÇLERİMİZ ACİLEN BİLİNÇLENDİRİLMELİ. 📹  🐦 DelilOlsa BunlarMıKonuşulur #CheGuevara #TurkishArmy Fiziki Dünya Bankası bağdaşılma amma velakin porsuk ağacı örnekleyebilmek 🐦</t>
  </si>
  <si>
    <t>pic.twitter.com/Og9KG6mLqD</t>
  </si>
  <si>
    <t>Kusura bakben böyleyim</t>
  </si>
  <si>
    <t>izzet COŞKUN</t>
  </si>
  <si>
    <t>Bugün devletimize, askerimize destek zamanıdır...🇹🇷 #TurkishArmy</t>
  </si>
  <si>
    <t>Eray Bereket</t>
  </si>
  <si>
    <t>#TurkishArmyRT @KadirMisiroglu: “Ben fesi; Kemalist olmadığıma dâir bir tabela makâmında taşıyorum. Ben Kemalist değilim. Olmaya da mecbur değilim.” Kadir Mısıroğlu</t>
  </si>
  <si>
    <t>https://twitter.com/KadirMisiroglu/status/1065279021175459841</t>
  </si>
  <si>
    <t>https://pbs.twimg.com/media/DsihnnhXQAA4Rl3.jpg</t>
  </si>
  <si>
    <t>Bir kadına, zamanında, iş işten geçmeden iyi davranmayı bilmek lazım. -Orhan Pamuk</t>
  </si>
  <si>
    <t>Hazar</t>
  </si>
  <si>
    <t>Ey şanlı ordu Ey şanlı asker Ordumuz olsun Daim muzaffer.. #TurkishArmy</t>
  </si>
  <si>
    <t>pic.twitter.com/CpxvOBoed4</t>
  </si>
  <si>
    <t>Hetman Omeri</t>
  </si>
  <si>
    <t>Bu kadar savaş isteyen bir halk yarın Reis biz açız, hıyar patlıcan fiyatı ateş pahası dersen reisin korumaları o hıyar ve patlıcan g*tünüze sokar. #TurkishArmy</t>
  </si>
  <si>
    <t>Kuzey kutbu'ndan</t>
  </si>
  <si>
    <t>Kirlenmemiş klavyemin gamzesinde biriktirdiğim özlemlerimle kapısını çaldığım TWİT'Çİ dostlara sıcak bir MERHABA!</t>
  </si>
  <si>
    <t>Burak Karatekin</t>
  </si>
  <si>
    <t>#TurkishArmy 🙌🙌💪💪💪💪💪</t>
  </si>
  <si>
    <t>Berktuğ</t>
  </si>
  <si>
    <t>Havada,karada,denizde,çölde çatakta ve batakta her zaman ve heryerde #TurkishArmy 🇹🇷 RT @tcsavunma: Engel Tanımaz Aşarız!🇹🇷 #MSB #TSK</t>
  </si>
  <si>
    <t>4ys3ll🦋</t>
  </si>
  <si>
    <t>Vur şanlı silahınla gönül mülkü düzelsin, sen öldürüyorken de vururken de güzelsin.. #TurkishArmy</t>
  </si>
  <si>
    <t>🇹🇷🇬🇧</t>
  </si>
  <si>
    <t>Naif Ağra</t>
  </si>
  <si>
    <t>Kafalarını ezin o ermeni döllerinin sonuna kadar arkanızda gerekirse cephede yanınızdayız ALLAHIMA emanet olun #TurkishArmy</t>
  </si>
  <si>
    <t>Duygularım</t>
  </si>
  <si>
    <t>Fatih Akkaya</t>
  </si>
  <si>
    <t>#TurkishArmy #turkmilletiordusununyaninda</t>
  </si>
  <si>
    <t>https://pbs.twimg.com/media/EGba3-AWwAIal74.jpg</t>
  </si>
  <si>
    <t>Sarayköy, Türkiye</t>
  </si>
  <si>
    <t>Mülki İdare Amiri, Tuzlukçu, Gölköy, İdil, Kurucaşile, Midyat, Yomra, Sarayköy, Nottingham, Strasbourg, Mekteb'i Mülkiye, Uni of Nott'm, Council of Europe</t>
  </si>
  <si>
    <t>http://www.saraykoy.gov.tr</t>
  </si>
  <si>
    <t>Sıla</t>
  </si>
  <si>
    <t>Cansel Demirer</t>
  </si>
  <si>
    <t>Ateist olmamayı müslüman olmak zannedenler var. #TurkishArmy</t>
  </si>
  <si>
    <t>"IF YOU'RE ALWAYS BATTLING AGAINST GETTING OLDER, YOU'RE ALWAYS GOING TO BE UNHAPPY, BECAUSE IT'S GOING TO HAPPEN ANYHOW."</t>
  </si>
  <si>
    <t>ATTENTION TO ypg/sdg!!! #TurkishArmy is coming for you!!!</t>
  </si>
  <si>
    <t>observation is everything to me...</t>
  </si>
  <si>
    <t>Rıdvan Başaran</t>
  </si>
  <si>
    <t>Hadi Allah yardımcınız olsun.Attığınız her mermi sahibini bulsun.🇹🇷🇹🇷🇹🇷#TurkishArmy</t>
  </si>
  <si>
    <t>https://pbs.twimg.com/media/EGbaztbXkAE_4jU.jpg</t>
  </si>
  <si>
    <t>Gazi Üniversitesi🤙</t>
  </si>
  <si>
    <t>YAKUPCAN ÇEBİ</t>
  </si>
  <si>
    <t>Korkmakta Çok Haklısınız. #TurkishArmy</t>
  </si>
  <si>
    <t>pic.twitter.com/UvDrYcm3jI</t>
  </si>
  <si>
    <t>TRABZONSPOR. OMÜ</t>
  </si>
  <si>
    <t>islambol #aciz kul</t>
  </si>
  <si>
    <t>#evladıOsmanlı #RTE AK lı selim Risale i Nur İman Hizmetidir http://instagram.com/feritfert</t>
  </si>
  <si>
    <t>Ahmet Uçak</t>
  </si>
  <si>
    <t>https://pbs.twimg.com/media/EGbaweyXkAAx_pP.jpg</t>
  </si>
  <si>
    <t>@sbbbasket | @iyiparti Sakarya İl Gençlik Kolları Başkanı</t>
  </si>
  <si>
    <t>http://iyiparti.org.tr</t>
  </si>
  <si>
    <t>Erdal AYIK</t>
  </si>
  <si>
    <t>#TurkishArmy #OperationPeaceSpring #KurdsSideWithTurkey</t>
  </si>
  <si>
    <t>https://pbs.twimg.com/media/EGbawkyWwAAde96.jpg</t>
  </si>
  <si>
    <t>Elif, Hatice Sena ve Mehmet Miraç'ın Babası</t>
  </si>
  <si>
    <t>Özcan Ama BAŞDAĞ 2 ‏ﺦ</t>
  </si>
  <si>
    <t>Barış istemeyenlerin oyununu bozacağız... #çarşamba #SavasaHayır #TurkishArmy</t>
  </si>
  <si>
    <t>https://pbs.twimg.com/media/EGbatLuWwAElNQP.jpg</t>
  </si>
  <si>
    <t>Anakara Çankaya Türkiye</t>
  </si>
  <si>
    <t>Hilal bıyıklı yiğitler ayağınıza taş değmesin Allah yardımcınız olsun. #TurkishArmy</t>
  </si>
  <si>
    <t>Muratkfy</t>
  </si>
  <si>
    <t>Muzaffer eyle ALLAHIM🇹🇷 #TurkishArmy</t>
  </si>
  <si>
    <t>Milliyetçilik, milleti olmayanlar için faşizmdir.!#OBA🤘🏻</t>
  </si>
  <si>
    <t>Furkan Özbek</t>
  </si>
  <si>
    <t>Kahramanlar can verir Yurdu yaşatmak için... #TurkishArmy</t>
  </si>
  <si>
    <t>https://pbs.twimg.com/media/EGban7-XYAEYT-z.jpg</t>
  </si>
  <si>
    <t>Hukuk İst.</t>
  </si>
  <si>
    <t>Beyza 🇹🇷</t>
  </si>
  <si>
    <t>@SonAlperen007 #TurkishArmy 🇹🇷☝️🇹🇷</t>
  </si>
  <si>
    <t>İstanbul aşığı💘Denize vurgun,Atlara meftun,Şiirkolik 🇹🇷🇹🇷🇹🇷My soul wants freedom☝️ 👉🇹🇷R.T.E🇹🇷👈</t>
  </si>
  <si>
    <t>GÖKTÜRK</t>
  </si>
  <si>
    <t>https://pbs.twimg.com/media/EGbal5PXUAEY9TS.jpg</t>
  </si>
  <si>
    <t>Ankara/Kocaeli SAÜ</t>
  </si>
  <si>
    <t>OĞUZHAN🇹🇷</t>
  </si>
  <si>
    <t>Şu kopan fırtına Türk ordusudur yâ Rabbi. Senin uğrunda ölen ordu, budur yâ Rabbi. Tâ ki yükselsin ezanlarla müeyyed nâmın, Galip et, çünkü bu son ordusudur İslâm'ın! #TurkishArmy #BarısPınarı</t>
  </si>
  <si>
    <t>https://pbs.twimg.com/media/EGbakv4WwAATvtj.jpg</t>
  </si>
  <si>
    <t>Gelecekte PÖH. 𐱅𐰇𐰼𐰜</t>
  </si>
  <si>
    <t>http://instagram.com/oguzhanaksu1</t>
  </si>
  <si>
    <t>gökdeniz</t>
  </si>
  <si>
    <t>Kaçma terörist, yorgun öleceksin... #TurkishArmy</t>
  </si>
  <si>
    <t>pic.twitter.com/6PjUO7XPH3</t>
  </si>
  <si>
    <t>Abi hadi ya</t>
  </si>
  <si>
    <t>FurkanÇelik</t>
  </si>
  <si>
    <t>https://pbs.twimg.com/media/EGbajpWX0AAZvt5.jpg</t>
  </si>
  <si>
    <t>🇹🇷 BAUN</t>
  </si>
  <si>
    <t>AST.Deniz Ak. ⚡️⚡️</t>
  </si>
  <si>
    <t>@SanatliTweetler @vali1071 @erayyyNihal @RTErdogan @dbdevletbahceli @_yusufosmanli @tozanbey @AsiHurrem24 @realimage06 @58_Yigidom_58 @SudeMirayCan @ErolDoruk15 @n_ecdad @_Erturk_ERDOGAN @ertan080808 #TurkishArmy ŞANLI TÜRK ORDUSU SINIRI GEÇTİ. DEĞMESİN DİYE MABEDİME NAMAHREM ELİ .YA ALLAH @RTErdogan @dbdevletbahceli @_yusufosmanli @tozanbey @AsiHurrem24 @realimage06 @vali1071 @58_Yigidom_58 @SudeMirayCan @ErolDoruk15 @n_ecdad @_Erturk_ERDOGAN @ertan080808</t>
  </si>
  <si>
    <t>https://pbs.twimg.com/media/EGbajmrXkAADvPo.jpg</t>
  </si>
  <si>
    <t>uzayda</t>
  </si>
  <si>
    <t>UZAY BELEDİYE BAŞKANI aklıma eseni yapmaya ara vermeden devam eden.. 🚫DM🚫YOK ❗️GRUPLARA EKLEMEYİN ❗</t>
  </si>
  <si>
    <t>Kadir_diye_biri</t>
  </si>
  <si>
    <t>Başkomutan in yazdığı tarihi okumuyorsan İngiliz in yazdığı yalan tarihi okusun Haydi ya Allah... #TurkishArmy</t>
  </si>
  <si>
    <t>https://pbs.twimg.com/media/EGbai8HX0AAF4Nj.jpg</t>
  </si>
  <si>
    <t>🇹🇷🇹🇷Ana hesabimada beklerim🇹🇷🇹🇷 @yol_rt 🤗🤗 Lütfen Gruplara eklemeyin 🤗🤗 Takibe - Takip bu gün olmasa bile mutlaka dönerim çök 👆yukardaki düğmeye</t>
  </si>
  <si>
    <t>Yusuf Şimşek</t>
  </si>
  <si>
    <t>Heybetinizi gizli tutun, Yürüyüşünüz ölümü korkutuyor.. #TurkishArmy</t>
  </si>
  <si>
    <t>https://pbs.twimg.com/media/EGbajcRW4AArY6Q.jpg</t>
  </si>
  <si>
    <t>Bir zamanlar diyorlardı ki "Pkk fıratın batısına geçecek sizde mal mal izleyeceksiniz". Şimdi biz fıratın batısını bitirip doğusuna giriyoruz.Sizde mal mal izliyorsunuz. #TurkishArmy</t>
  </si>
  <si>
    <t>Similis simili gaudet !</t>
  </si>
  <si>
    <t>ismail Arslan</t>
  </si>
  <si>
    <t>Çocuklara umut, topraklara huzur.. #TurkishArmy</t>
  </si>
  <si>
    <t>https://pbs.twimg.com/media/EGbag5MWoAIisU_.jpg</t>
  </si>
  <si>
    <t>Mardin Artuklu</t>
  </si>
  <si>
    <t>Hasret Kaldık Yüreği Güzel İnsanlara # Karadeniz Teknik Üniversitesi-FİNANCE- # #iibftakip 🇹🇷🇹🇷</t>
  </si>
  <si>
    <t>Burak Tekcan</t>
  </si>
  <si>
    <t>Biz Türkler ordusu olan bir millet değil,milleti olan bir orduyuz. #TurkishArmy</t>
  </si>
  <si>
    <t>DPÜ-Siyaset Bilimi ve Uluslarası Ilişkiler</t>
  </si>
  <si>
    <t>https://www.instagram.com/buraktekcan9/</t>
  </si>
  <si>
    <t>ozan karan</t>
  </si>
  <si>
    <t>Allah yar ve yardımcınız olsun inşallah. Binlerce şehidimizin katili o it sürülerinin leşlerini serip kurda kuşa yem etmeniz en büyük dileğim ve temennimdir. #TurkishArmy</t>
  </si>
  <si>
    <t>insan evladı...</t>
  </si>
  <si>
    <t>Nazlıcan</t>
  </si>
  <si>
    <t>TÜRK'ÜN GÜCÜNÜ GÖRECEKSİNİZ... #TurkishArmy</t>
  </si>
  <si>
    <t>https://pbs.twimg.com/media/EGbaepiWkAAI4OQ.jpg</t>
  </si>
  <si>
    <t>Dr. Sibel Küçük</t>
  </si>
  <si>
    <t>ABD menşeili tüm basın kuruluşları Türkiye aleyhtarı bombalamaya başlamış.Kimi teröristlere methiyeler düzüyor kimi bizi işgalci ilan ediyor kimi sivil öldürdüğümüzü söylüyor kimi hilafet peşinde olduğumuzu falan filan.Dünyaya karşı tek ve büyük Türkiye’yiz. #TurkishArmy #Turkey</t>
  </si>
  <si>
    <t>http://www.sibelkucuk.net</t>
  </si>
  <si>
    <t>Hüsnü</t>
  </si>
  <si>
    <t>HDP'li belediyelere kayyum atanınca apar topar Diyarbakır'a giden Ekrem İmamoğlu, Barış Pınarı Harekatı'na ilişkin neden tek çift laf etmedi? Yoksa ortağı HDP'den mi korkuyor? YAZIKLAR OLSUN SANA AVARE! #TurkishArmy</t>
  </si>
  <si>
    <t>http://Instagram.com/okulhusnu</t>
  </si>
  <si>
    <t>Çakır🇹🇷</t>
  </si>
  <si>
    <t>Erisin damla damla kar, gelmek üzere ilkbahar. Hazırlansın tabutluklar, yine girip çıkacağız. #TurkishArmy</t>
  </si>
  <si>
    <t>https://pbs.twimg.com/media/EGbaa9XWsAA5I2W.jpg</t>
  </si>
  <si>
    <t>K.C@n 🦀</t>
  </si>
  <si>
    <t>Biz Tunceli de askerlik yaparken Herkese nasip olmaz der sevinirdik Lakin şimdi suriye sınırlarında #TurkishArmy olduğu yerde Asker olmak da bize nasip olmadı. Kazan mubarek olsun Şanlı Asker</t>
  </si>
  <si>
    <t>👉Edebi ile geleni, lütfumuz ile gönderirizz🙋 B E Ş İ K T A Ş 💫</t>
  </si>
  <si>
    <t>lovely Hobari 🐿️ ||ρŭŭ</t>
  </si>
  <si>
    <t>Allah hepinizin yardımcısı olsun inşallah 🙏🏻 yüreğimiz ağzımızda hayırlı haberlerinizi bekliyoruz. Burnunuz kanamadan dönün yuvalarınıza inşallah. #TurkishArmy</t>
  </si>
  <si>
    <t>ArmyXMonbebe 25.06.2015</t>
  </si>
  <si>
    <t>Look up, we're watching the same sky 🌙☁️ -Fan Account- @itsmybluesky7</t>
  </si>
  <si>
    <t>fatih</t>
  </si>
  <si>
    <t>Düşündürüyorum</t>
  </si>
  <si>
    <t>#TurkishArmy ABD nin yaptıklarının sınırı vardır ama İsrailin yoktur. Bakalım bizi abdyle savaşa sokabilecekler mi?</t>
  </si>
  <si>
    <t>http://www.aljazeera.com.tr/haber/israil-abd-gemisini-kasten-vurdu</t>
  </si>
  <si>
    <t>Magmada yerleşik hayata geçti</t>
  </si>
  <si>
    <t>Aptallara alerjim var! Ağlanacak halimizle dalga geçer. Dikkatt! Bilinçaltınıza sokarım.</t>
  </si>
  <si>
    <t>mustafa emre koc</t>
  </si>
  <si>
    <t>Savaş değil terörle mücadele #TurkishArmy</t>
  </si>
  <si>
    <t>Öğretmen</t>
  </si>
  <si>
    <t>yunus çetin</t>
  </si>
  <si>
    <t>Mazlumun umudu kalleşlerin celladı #TurkishArmy geliyor!!! Ey kurban olduğumun kulları ALLAH yardımcınız olsun #TurkishArmy</t>
  </si>
  <si>
    <t>Siz isterseniz hilafeti bile geri getirebilirsiniz (Şehit başbakan Adnan MENDERES)</t>
  </si>
  <si>
    <t>Uğur Akdemir 🦁</t>
  </si>
  <si>
    <t>#TurkishArmy Çocukların Korkmadığı Tek Ordu</t>
  </si>
  <si>
    <t>https://pbs.twimg.com/media/EGbaYAWX0AAFnL1.jpg</t>
  </si>
  <si>
    <t>Kimya Öğretmeni</t>
  </si>
  <si>
    <t>Nazlı</t>
  </si>
  <si>
    <t>Allah ordumuzu muzaffer kılsın💫 #TurkishArmy</t>
  </si>
  <si>
    <t>Niğde KBÜ</t>
  </si>
  <si>
    <t>Süleyman Erdağ</t>
  </si>
  <si>
    <t>Kilis 7 Aralık Üniversitesi</t>
  </si>
  <si>
    <t>Hatice Vanlı</t>
  </si>
  <si>
    <t>Azze ve Celle Olan; Aziz ALLAH'ım Kahraman Şanlı Ordumuzu Korusun ve Yüceltsin..Amin 🇹🇷🇹🇷🇹🇷 #ASKERİMİN #BAŞKOMUTANIMIN #DEVLETİMİNYANINDAYIM #TurkishArmy</t>
  </si>
  <si>
    <t>https://pbs.twimg.com/media/EGbaVmIWkAEdtla.jpg</t>
  </si>
  <si>
    <t>Zeynep semiz</t>
  </si>
  <si>
    <t>#TurkishArmy Türkler size dokunmadıkça siz de onlara sakın dokunmayın, Türkler Dünya'ya iki kere hükmedecektir. Hz Muhammed (s.a.v)</t>
  </si>
  <si>
    <t>Allah var Gam yok #Ak #bursa #gümüşhane #oğlak kudüs ve kabe yorgun ama umutlu 🇹🇷💕</t>
  </si>
  <si>
    <t>https://www.instagram.com/zeynepsemiizz/</t>
  </si>
  <si>
    <t>Harun Mesci</t>
  </si>
  <si>
    <t>Adalet namluda! #TurkishArmy #BarisPinari</t>
  </si>
  <si>
    <t>https://pbs.twimg.com/media/EGbaUBgWsAcZZnk.jpg</t>
  </si>
  <si>
    <t>🇹🇷Feridun Baysal 🇹🇷  💛❤️</t>
  </si>
  <si>
    <t>#TurkishArmy #BarisPinariHarekati Bu ordu rahmet ve merhamet kuşanır. Zalime ne kadar hiddetli ise mazluma o kadar şevkatlidir.Allah'tan korkar, zulümden sakınır.Şahedet bekler ve Rıza-i İlahi murad eder. Var olasın bu milletin kahraman evladı. Var olasın Mehmetçik</t>
  </si>
  <si>
    <t>https://pbs.twimg.com/media/EGbaS7fWwAUt2Xq.jpg</t>
  </si>
  <si>
    <t>Bir avuç toprak ile biraz da suyum ben, Neyimle övüneyim işte buyum ben...</t>
  </si>
  <si>
    <t>DURAKULA</t>
  </si>
  <si>
    <t>@vali1071 @erayyyNihal @RTErdogan @dbdevletbahceli @_yusufosmanli @tozanbey @AsiHurrem24 @realimage06 @58_Yigidom_58 @SudeMirayCan @ErolDoruk15 @n_ecdad @_Erturk_ERDOGAN @ertan080808 #TurkishArmy ŞANLI TÜRK ORDUSU SINIRI GEÇTİ. DEĞMESİN DİYE MABEDİME NAMAHREM ELİ .YA ALLAH @RTErdogan @dbdevletbahceli @_yusufosmanli @tozanbey @AsiHurrem24 @realimage06 @vali1071 @58_Yigidom_58 @SudeMirayCan @ErolDoruk15 @n_ecdad @_Erturk_ERDOGAN @ertan080808</t>
  </si>
  <si>
    <t>Kuala Lumpur, Wilayah Persekut</t>
  </si>
  <si>
    <t>Sanat</t>
  </si>
  <si>
    <t>https://twitter.com/SanatliTweetler</t>
  </si>
  <si>
    <t>Hasan Mert Ünlü</t>
  </si>
  <si>
    <t>FIRTINA SADECE TRABZONSPOR!</t>
  </si>
  <si>
    <t>E.H.EDL</t>
  </si>
  <si>
    <t>Biz Cag açıp Kapatan Biz Dünyaya Hükmeden Biz imparatorlukları Tarihe gömen Bizki Batı Romayı Yıkan. Doğu Roma'yı Yıkan Biz Siz Fırat'ın Doğusunda'ki fareler ADALET NAMLUDA #TurkishArmy</t>
  </si>
  <si>
    <t>https://pbs.twimg.com/media/EGbaR5qWsAUZ0sL.jpg</t>
  </si>
  <si>
    <t>Mehmet LAYIKEL</t>
  </si>
  <si>
    <t>Çocukların Korkmadığı Tek Ordu.. #TurkishArmy #TürkOrdusu #BarışPınarıHarekatı Rabbim Yardımcınız Olsun.</t>
  </si>
  <si>
    <t>https://pbs.twimg.com/media/EGbaOUgWkAAjoOl.jpg</t>
  </si>
  <si>
    <t>Master of Business Administration 🎓 | S.M. Mali Müşavir / Accountant 👔 | Türkiye / Turkey📍 | mehmet@layikel.com 📫 |</t>
  </si>
  <si>
    <t>http://www.mehmet.layikel.com</t>
  </si>
  <si>
    <t>Fadime</t>
  </si>
  <si>
    <t>Hilal bıyıklı Bozkurtlar #TurkishArmy</t>
  </si>
  <si>
    <t xml:space="preserve">Gaziantep, Türkiye / kayseri </t>
  </si>
  <si>
    <t>hemşire 👩‍⚕️</t>
  </si>
  <si>
    <t>!!!</t>
  </si>
  <si>
    <t>Türk’ün sancağını öne koydular Şanlı zaferlerle düşmanı boğdular Kader böyle imiş ey garip ana Kanım feda olsun güzel vatana #TurkishArmy</t>
  </si>
  <si>
    <t>https://pbs.twimg.com/media/EGbaL4BWkAAulNZ.jpg</t>
  </si>
  <si>
    <t>Ahmet Üründü 🇹🇷</t>
  </si>
  <si>
    <t>Hangi Askeri Teknoloji Bu Yiğidimizi Durdurabilir... #TurkishArmy</t>
  </si>
  <si>
    <t>https://pbs.twimg.com/media/EGbaLF9X0AETdbd.jpg</t>
  </si>
  <si>
    <t>Yeniden Refah Partisi Mardin İl Gençlik Kolları Başkanı</t>
  </si>
  <si>
    <t>http://www.gencrefah.com/</t>
  </si>
  <si>
    <t>Eyüp ÖZBAKIR</t>
  </si>
  <si>
    <t>Benim kahramanlarımı hollywood yaratmadı ATATÜRK le büyüdük Cengizler Kaanlar Meteler Fatihler Oğuz lar Korkut lar 🇹🇷 7 Yaşında Varlığım Türk varlıgına armağan olsun demistim 20 yaşındayım 3 ay sonra askere gidicem ve hala VARLIĞIM TÜRK VARLIĞINA ARMAGAN OLSUN. #TurkishArmy</t>
  </si>
  <si>
    <t>https://pbs.twimg.com/media/EGbaKprWwAA8rg3.jpg</t>
  </si>
  <si>
    <t>Kırklareli Merkez, Kırklareli</t>
  </si>
  <si>
    <t>BEŞİKTAŞ JK</t>
  </si>
  <si>
    <t>Abdülaziz Akova</t>
  </si>
  <si>
    <t>SADECE KENDİMİZİ DÜŞÜNEN BİR TOPLUM OLDUK Size ne olduki neden birbirinize yardım etmiyorsunuz?[Saffat-25  #TurkishArmy</t>
  </si>
  <si>
    <t>https://pbs.twimg.com/media/D6CD3nkW0AAoFq2.jpg</t>
  </si>
  <si>
    <t>İnsan kör ise güneşin suçu nedir?</t>
  </si>
  <si>
    <t>Ergün KARAKULOĞLU 🇹🇷</t>
  </si>
  <si>
    <t>#TürkAskeri #TurkishArmy Türk Milleti için korkulacak şey bağımsızlık ve onurunu yitirmektir. Başka korkusu yoktur. Düşmanın #ABD , #Rusya veya taşeronları olması önemsizdir. Ya yok oluruz ya gelip geliriz Allah'ın izniyle.</t>
  </si>
  <si>
    <t>https://pbs.twimg.com/media/EGbaJdNWkAEI9PJ.jpg</t>
  </si>
  <si>
    <t>İnsandan her şeyi bekler, hiç bir şeyine şaşmam. E.K.</t>
  </si>
  <si>
    <t>http://www.karakuloglu.com.tr</t>
  </si>
  <si>
    <t>✖ R A P U N Z E L ™✖</t>
  </si>
  <si>
    <t>Stuttgart, Deutschland</t>
  </si>
  <si>
    <t>Dedim ya ; kime, ne diye kızalım? Herkes karakteri kadar. #GraphicDesigner &amp; #Photographer</t>
  </si>
  <si>
    <t>http://instagram.com/dilosumkya</t>
  </si>
  <si>
    <t>göktan tambulut</t>
  </si>
  <si>
    <t>https://pbs.twimg.com/media/EGbaGsKWsAAS5s9.jpg</t>
  </si>
  <si>
    <t>uşak üni iş sağlığı ve güvenliği</t>
  </si>
  <si>
    <t>murakabe</t>
  </si>
  <si>
    <t>Niyet halis olunca akıbet hayır olur. Bunu kıbrıs da Beştepe dağlarına tankı götürdüğümüzde gördük ayrıca Savaş uçaklarımız Afrin de iğne deliğinden halat geçirir gibi cephaneliği havaya uçurdular. Allah #TurkishArmy muzaffer kılsın</t>
  </si>
  <si>
    <t>pic.twitter.com/Tb5kZt3z4p</t>
  </si>
  <si>
    <t>Emaneti sahibine taşıyan aciz bir kul</t>
  </si>
  <si>
    <t>Necmi Dursun</t>
  </si>
  <si>
    <t>https://pbs.twimg.com/media/EGbaGIfW4AAJF5B.jpg</t>
  </si>
  <si>
    <t>🌹Dedesinin Ay Yüzlüsü,🌹Baba’sının🌹Her Daîm Uzaktaki Oğlu 💐</t>
  </si>
  <si>
    <t>Erol</t>
  </si>
  <si>
    <t>Allah zafer nasip eylesin #TurkishArmy</t>
  </si>
  <si>
    <t>La Casa De Gazel</t>
  </si>
  <si>
    <t>#TurkishArmy Vur şanlı silahınla gönül mülkü düzelsin;Sen öldürüyorken de vururken de güzelsin!</t>
  </si>
  <si>
    <t>NuriKoval</t>
  </si>
  <si>
    <t>#TurkishArmy Ayağınıza taş değmesin. Yolunuz açık olsun.</t>
  </si>
  <si>
    <t>turkey istanbul</t>
  </si>
  <si>
    <t>Koü- Elt 2018, a married teacher. 📚, 🎬 and of course 💛💙</t>
  </si>
  <si>
    <t>Meret92</t>
  </si>
  <si>
    <t>.,.,. #TurkishArmy</t>
  </si>
  <si>
    <t>Empat 👁</t>
  </si>
  <si>
    <t>We are coming 🐺 #TurkishArmy</t>
  </si>
  <si>
    <t>https://pbs.twimg.com/media/EGbaDfCWkAAzQXy.jpg</t>
  </si>
  <si>
    <t>5.Boyut</t>
  </si>
  <si>
    <t>Tılsımlı Tiyatro Herkes Giremez ! 🐱 O gözlerde ne sırlar saklı, bilsen...</t>
  </si>
  <si>
    <t>🇹🇷🇹🇷YİĞİDO1453🇹🇷🇹🇷</t>
  </si>
  <si>
    <t>Deli Deli 🇹🇷👏👇👏👇👏😂 #TurkishArmy #StandWithTheKurds #çarşamba #Turkey #CheGuevara #Syria</t>
  </si>
  <si>
    <t>pic.twitter.com/lxdnHuAJ9w</t>
  </si>
  <si>
    <t>🦅BJK🦅🦅BJK🦅🦅BJK🦅🦅BJK🦅Herkes Takip Etmesin Hele kemalistler Hiç!! ANTİkemalist</t>
  </si>
  <si>
    <t>@demircanmurat77 🇹🇷🇹🇷🇹🇷🇹🇷🇹🇷🇹🇷</t>
  </si>
  <si>
    <t>https://pbs.twimg.com/media/EGbaDEyXUAAekgT.jpg</t>
  </si>
  <si>
    <t>Vatan,Bayrak,Ezan,Kuran hedefimiz Turan.....Rte sevdalısı 🇹🇷🇹🇷🇹🇷🇹🇷🇹🇷ALLAHTAN BAŞKA GALİP YOKTUR☝️</t>
  </si>
  <si>
    <t>Haber Olay</t>
  </si>
  <si>
    <t>Mesud Barzani'den Donald Trump'a cevap  #EmineBulut #TurkishArmy #CheGuevara #yamanlarlisesi #tubayayardımedin @Celalciftcitr @BarzaniTr @realDonaldTrump</t>
  </si>
  <si>
    <t>http://www.haberolay.net/basin/1946/mesud-barzaniden-donald-trumpa-cevap</t>
  </si>
  <si>
    <t>Şanlıurfa Akçakale · Birecik · Bozova · Ceylanpınar · Halfeti · Harran · Hilvan · Siverek · Suruç · Viranşehir · Karaköprü · Haliliye .</t>
  </si>
  <si>
    <t>http://www.haberolay.net</t>
  </si>
  <si>
    <t>🇹🇷 Serkan Akyol 🇹🇷</t>
  </si>
  <si>
    <t>Sevinin hevaller! Artık amerikan, alman, rus artığı silahlarla değil tamamen yerli üretim silahlarımızla gebereceksiniz. Kaçmayın, kaçarsanızda bişey değişmez sadece yorgun geberirsiniz #TurkishArmy</t>
  </si>
  <si>
    <t>https://pbs.twimg.com/media/EGbaAffXYAAyLj0.jpg</t>
  </si>
  <si>
    <t>Türk'lerle Bozkırda Cenk Etmek , Kapalı Kapılar Ardında Masa Başlarında Plan Yapmaya Benzemez 🇹🇷 🇹🇷 Akparti Büyükçekmece İlçe Teşkilatı /Gençlik Kolları</t>
  </si>
  <si>
    <t>cimen destici</t>
  </si>
  <si>
    <t>📷 TERÖRÜN HAYAT DAMARI İLMİ MÜCADELE İLE KESİLİR ❗️ 📷  #TurkishArmy 9 Ekim Mustafa İslamoğlu #TurkishArmy Haluk Levent yüreği dar grimtırak akbalıkçıl</t>
  </si>
  <si>
    <t>pic.twitter.com/3xhHAExJLh</t>
  </si>
  <si>
    <t>Guluşunu ayrı kendisini ayrı seviyorum</t>
  </si>
  <si>
    <t>Pençe Žeytindali</t>
  </si>
  <si>
    <t>Hadi artik girelim sikelim şu ypgyi PKK'yı KCK yi HDP yi #TurkishArmy</t>
  </si>
  <si>
    <t>Bedirhan bebek unutursak kanımız kurusun</t>
  </si>
  <si>
    <t>Mithat Öztoprak</t>
  </si>
  <si>
    <t>Allah'ım kullarını yeniden dirilttiğin gün beni azabından koru! Tirmizi.  #TurkishArmy</t>
  </si>
  <si>
    <t>https://pbs.twimg.com/media/D6_m5OmXYAARtEc.jpg</t>
  </si>
  <si>
    <t>"There were things I wanted to tell him. But I knew they would hurt him. So I buried them, and let them hurt me." -Jonathan Safran Foer</t>
  </si>
  <si>
    <t>🇹🇷🇹🇷MhmmdÇlk🇹🇷🇹🇷🐺</t>
  </si>
  <si>
    <t>#TurkishArmy fıtrat değişir sanma bu kan yine o kandır Allah yardımcınız olsun</t>
  </si>
  <si>
    <t>https://pbs.twimg.com/media/EGbZ-88WkAAa12s.jpg</t>
  </si>
  <si>
    <t>cekmekoy</t>
  </si>
  <si>
    <t>دولت عالیه عثمانیه</t>
  </si>
  <si>
    <t>Hak isteyenin hakkını verin, baş kaldıranın başını kesin! Sultan Abdulhamit Han Hz. #TurkishArmy</t>
  </si>
  <si>
    <t>buhâra</t>
  </si>
  <si>
    <t>Kendimiz dışında nereye koştuysak gurbette kaldık...</t>
  </si>
  <si>
    <t>Sabri İŞBİLEN</t>
  </si>
  <si>
    <t>Barış Pınarı Harekatı, 1984'ten bu yana başımızı ağrıtan terör sorununun tamamen ortadan kalkması demek. Bu yüzden deliriyorlar. #TurkishArmy</t>
  </si>
  <si>
    <t>Official twitter account of Sabri İşbilen/ Journalist/ Writer http://facebook.com/sabrisbilen</t>
  </si>
  <si>
    <t>http://dirilispostasi.com/ac-72-sabriisbilen.html</t>
  </si>
  <si>
    <t>adeseder</t>
  </si>
  <si>
    <t>#TurkishArmy her şeyi yapabileceklerine inanıyorum</t>
  </si>
  <si>
    <t>Burdur Merkez, Burdur,</t>
  </si>
  <si>
    <t>Boş yapmayı severim</t>
  </si>
  <si>
    <t>mehmet Ertinğü</t>
  </si>
  <si>
    <t>amerika ıraka afganistana suriyeye girdi israil filistine mısıra lübnan girdi yayın yasağı ve o gün öğrenildi biz daha bir arpa boy almadık bütün tvlerde 7/24 yayın madem yayın yasağı yapcan şimdi yap davul zurna çalarak bütün dünyaya reklam ederek bir yere girilmez #TurkishArmy</t>
  </si>
  <si>
    <t>es-salatu hayrun mine'n-nevm namaz uykudan hayırlıdır notunu ve kodunu bir ömür boyunca anlamak ümidiyle</t>
  </si>
  <si>
    <t>Selim</t>
  </si>
  <si>
    <t>Selam durun TÜRKÜN ŞANLI BAYRAĞINA #TurkishArmy</t>
  </si>
  <si>
    <t>https://pbs.twimg.com/media/EGbZ6q6W4AEJ-bN.jpg</t>
  </si>
  <si>
    <t>Emre.</t>
  </si>
  <si>
    <t>Sefere çıkılmışsa tartışma yersizdir.#TurkishArmy</t>
  </si>
  <si>
    <t>https://pbs.twimg.com/media/EGbZ6IGXUAAa2yG.jpg</t>
  </si>
  <si>
    <t>Ankara(Gücü)</t>
  </si>
  <si>
    <t>kaybedenler klübü/Biz ölelim Ankaragücü'müz çok yaşasın!!!</t>
  </si>
  <si>
    <t>EL Turco MKA1881</t>
  </si>
  <si>
    <t>TÜRK milleti tarih boyunca bütün haklı davalarında yalnız savaşmıştır. Dinci yobazların uydurduğu cihat ve ümmet kavramları koskoca bir yalandır #TurkishArmy</t>
  </si>
  <si>
    <t>Sucuklu Yımırta CEO'su ve yatırımcısı ama gezen tavık... Büyük kedileri seviyorum...</t>
  </si>
  <si>
    <t>ismail hakkı öner 🇹🇷🇹🇷🇹🇷</t>
  </si>
  <si>
    <t>1974 de Kıbrıs çıkarması yapilmasaydi bugün Akdeniz de olmayacaktik. Gelişmeleri bugünün gündemi ile değil geleceğimiz için yaptığımızın farkına varalım! Kıbrıs'ta ne işimiz varsa Suriye sınırında aynı dusuncedeyiz. #TuerkMilletiOrdusununYanında #BarisPinariHarekati #TurkishArmy</t>
  </si>
  <si>
    <t>KoCaeLi</t>
  </si>
  <si>
    <t>ßµяǻ§ı ßǻ§яǻ Ðέģĩℓ ĩž๓ĩŧ ҝỡяҒέžĩ</t>
  </si>
  <si>
    <t>RabiaSyn</t>
  </si>
  <si>
    <t>Mustafa Kemal Atatürk &amp; HZ. MUHAMMED &amp; Timuçin Ayaz 22/09/2016 / Oğluna Aşık Anne ♥️</t>
  </si>
  <si>
    <t>SALİH ER</t>
  </si>
  <si>
    <t>Rabbim ayağınıza taş, Gözünüze yaş değdirmesin... #Geliyoruzkahpeler #TÜRKİYEM #TurkishArmy</t>
  </si>
  <si>
    <t>https://pbs.twimg.com/media/EGbZ4i8XUAABws4.jpg</t>
  </si>
  <si>
    <t>eskişehir</t>
  </si>
  <si>
    <t>Er Sürücü Kursu - Yöre Turizm İşletmecisi</t>
  </si>
  <si>
    <t>http://www.yoretur.com.tr</t>
  </si>
  <si>
    <t>Batur</t>
  </si>
  <si>
    <t>Little cut a training of #TurkishArmy</t>
  </si>
  <si>
    <t>pic.twitter.com/1NeB9viJ2F</t>
  </si>
  <si>
    <t>Uzakdoğu Fanı</t>
  </si>
  <si>
    <t>#TurkishArmy Noluyor yaa niye Dünya Gündeminde 4deyiz?</t>
  </si>
  <si>
    <t>Bir Fan ama en çok Kpop Kdrama Fanı biraz da Çin, Tayland, Tayvan fanı...</t>
  </si>
  <si>
    <t>Şerif</t>
  </si>
  <si>
    <t>Torunlarım dört yana,kol kol gitsin Malazgird'den İstanbul'a yol gitsin Gelip sana çarpan gücü yavaştan Anlamazsa HARİTADAN SİL GİTSİN Arif Nihat Asya (Alparslan) #TurkishArmy</t>
  </si>
  <si>
    <t>https://pbs.twimg.com/media/EGbZ3juXUAA_8q5.jpg</t>
  </si>
  <si>
    <t>Dar-ul Acaib</t>
  </si>
  <si>
    <t>tünelin ucu aydınlık...</t>
  </si>
  <si>
    <t>Baran Taşkıran</t>
  </si>
  <si>
    <t>Bu sefer gerçekten işte geliyor özel harekat #TurkishArmy</t>
  </si>
  <si>
    <t>zararına satış</t>
  </si>
  <si>
    <t>ByrmSklr</t>
  </si>
  <si>
    <t>Selam olsun çelik atlıların göktuğuna 🇹🇷🇹🇷 #TurkishArmy</t>
  </si>
  <si>
    <t>https://pbs.twimg.com/media/EGbZ2LxXYAAK1zE.jpg</t>
  </si>
  <si>
    <t>B.Ü /Makine Mühendisi</t>
  </si>
  <si>
    <t>Muhammed sönmez</t>
  </si>
  <si>
    <t>KURT Saldırmaya Karar Vermişse Ne Sürüyü Hesaba Katar Nede Çobanı LA GALİBE İLLALLAH 🇹🇷🇹🇷☝️#TurkishArmy</t>
  </si>
  <si>
    <t>https://pbs.twimg.com/media/EGbZ1wgWkAAAsPd.jpg</t>
  </si>
  <si>
    <t>Keşke sahiden topuğunu bir kere öpebilmiş bir kum tanesi olsaydım!...💚</t>
  </si>
  <si>
    <t>🆄🅼🆄🆃🇺🇦</t>
  </si>
  <si>
    <t>Son sözü Mehmetçik söyler. 🇹🇷💪,🇹🇷 #TurkishArmy #Barışpınarı #Çarşamba</t>
  </si>
  <si>
    <t>pic.twitter.com/DKBUJkbWRU</t>
  </si>
  <si>
    <t>𝔽𝔼ℕ𝔼ℝ𝔹𝔸ℍÇ𝔼🌿 💛💙🇺🇦</t>
  </si>
  <si>
    <t>RTErdoğanizm</t>
  </si>
  <si>
    <t>#TurkishArmy Allah yardımcınız olsun.</t>
  </si>
  <si>
    <t>⭐⭐hamit yıldırım ⭐⭐</t>
  </si>
  <si>
    <t>Tankı nereye park edelim ? #TurkishArmy</t>
  </si>
  <si>
    <t>https://pbs.twimg.com/media/EGbZ2DBXYAE4VqR.jpg</t>
  </si>
  <si>
    <t>samsun</t>
  </si>
  <si>
    <t>Atatürk Üniversitesi</t>
  </si>
  <si>
    <t>whatisthisabicim?</t>
  </si>
  <si>
    <t>Ordumuzun arkasındayız. Vurun kurşunu haine, teröriste. #TurkishArmy</t>
  </si>
  <si>
    <t>https://pbs.twimg.com/media/EGbZ0gkWwAEOu1a.jpg</t>
  </si>
  <si>
    <t>Sabriözpolat</t>
  </si>
  <si>
    <t>#TurkishArmy Uzman Çavuşlar firatın doğusunada TÜRK bayragını dikecek</t>
  </si>
  <si>
    <t>pic.twitter.com/KpIPHLX2k6</t>
  </si>
  <si>
    <t>sergeant</t>
  </si>
  <si>
    <t>MURAT DORUK  🇹🇷</t>
  </si>
  <si>
    <t>Ben batıyı hiç sevmem. Onların babalarını da sevmem. Dedelerini zaten hiç sevmedim. #TurkishArmy</t>
  </si>
  <si>
    <t>TÜRKİYE...</t>
  </si>
  <si>
    <t>KÖŞE YAZARI/SİYASET NOKTA GAZETESİ 🇹🇷</t>
  </si>
  <si>
    <t>http://www.noktabursa.com.tr</t>
  </si>
  <si>
    <t>Hafize Çoban</t>
  </si>
  <si>
    <t>Kuşkusuz en büyük ön yargı, etrafımızdaki herkezi “insan” sanmamızdır.. -Bukowski</t>
  </si>
  <si>
    <t>Guşşaabaa</t>
  </si>
  <si>
    <t>@FManevi #TurkishArmy ' i kendisi mal mal izlesin o vakit.</t>
  </si>
  <si>
    <t>Fatih, İstanbul |34-21-12|</t>
  </si>
  <si>
    <t>Muallime 🇹🇷</t>
  </si>
  <si>
    <t>Alper Kürşad GİRAY</t>
  </si>
  <si>
    <t>Azdan Az Çoktan Çok Gider.. Sen Muzaffer Eyle Bu Orduyu Ya RAB #TurkishArmy</t>
  </si>
  <si>
    <t>https://pbs.twimg.com/media/EGbZtliX0AAZ8xF.jpg</t>
  </si>
  <si>
    <t>Her Nefis Ölümü Tadacaktır..! Bu Toprakların Çocuklarının Veremeyeceği Hesap Yoktur..!</t>
  </si>
  <si>
    <t>Özgür Başat</t>
  </si>
  <si>
    <t>irfanoztanc</t>
  </si>
  <si>
    <t>"Şu kopan fırtına Türk ordusudur yâ Rabbi. Senin uğrunda ölen ordu budur yâ Rabbi. Ta ki yükselsin ezanlarla müeyyed nâmın. Gâlib et, çünkü bu son ordusudur İslâm’ın." #TurkishArmy</t>
  </si>
  <si>
    <t>https://pbs.twimg.com/media/EGbZsaKWwAAvToC.jpg</t>
  </si>
  <si>
    <t>Yalçın Fidan</t>
  </si>
  <si>
    <t>#TurkishArmy Rabbim ordumuzu muzaffer kılsın mehmetçiklerimizin tırnağına taş değmesin</t>
  </si>
  <si>
    <t>veysel köle</t>
  </si>
  <si>
    <t>Atatürkçüyüz diyip ortada gezenler nerde 🧐 #TurkishArmy</t>
  </si>
  <si>
    <t>sıradan vatandaş</t>
  </si>
  <si>
    <t>Beşiktaş JK ℹ</t>
  </si>
  <si>
    <t>Çok sevdigimiz Orta Doğu ve Arap ülkelerinden Türkiye'ye operasyon için destek veren oldu mu ?#TurkishArmy</t>
  </si>
  <si>
    <t>➡️ Birgün Değil Hergün BEŞİKTAŞ 🦅🦅</t>
  </si>
  <si>
    <t>https://www.bjkajans.com</t>
  </si>
  <si>
    <t>İzzet Çekiç</t>
  </si>
  <si>
    <t>Allah azze ve celle bir hüküm koymuşsa sorgulanamaz!  #TurkishArmy</t>
  </si>
  <si>
    <t>https://pbs.twimg.com/media/D8pN1DdXsAAd9sT.jpg</t>
  </si>
  <si>
    <t>"Love is a fabric which never fades, no matter how often it is washed in the water of adversity and grief." -Robert Fulghum</t>
  </si>
  <si>
    <t>Sebnemrah</t>
  </si>
  <si>
    <t>Allah hicbirinizin ayagina tas deydirmesin sag salim dönün insallah😕 Askerimin gitmesi degil bu suruyelilerin burda yiyip icip üremesi kanima dokunuyor! Toplayin eli silah tutani katin öso'ye bakın halk tepki veriyor mu @RTErdogan #turkmilletiordusununyaninda #TurkishArmy RT @hiyibildiren: Operasyona gitmeden önce yeni doğmuş bebeğini koklayarak vedalaşan yiğitlerimiz var bizim Savaş Türk’ün Düğünüdür... #TürkMilletiOrdusununYanında</t>
  </si>
  <si>
    <t>ne mutlu Türk'üm diyene! 🇹🇷🇹🇷🇹🇷🇹🇷🇹🇷🦅🦅🦅Beşiktaş 🦅🦅🦅🦅</t>
  </si>
  <si>
    <t>Rabbim Suriye'de harekâta başlayan muazzam ve mukaddes ordumuzu muzaffer eylesin, Amin. 🇹🇷🤲🤲🇹🇷 #TurkishArmy</t>
  </si>
  <si>
    <t>Öğretmen, Müzisyen. Smule &amp; Instagram: duetwithtolga</t>
  </si>
  <si>
    <t>emin</t>
  </si>
  <si>
    <t>bu ben değilim</t>
  </si>
  <si>
    <t>M.Y.</t>
  </si>
  <si>
    <t>Türkiye'de muhalefet, teröristler öldürülecek diye üzülüyor karşı propaganda yapıyor. Düşününce ne vahim bir durum. kaç büyükşehir belediyesi kasası bunların eline geçti. nerelere ne paralar gidiyordur. Sebep olanları, chp ye her giden oyu Allaha havale ediyoruz. #TurkishArmy</t>
  </si>
  <si>
    <t>İst❤️nbul, Mimari Proje Sorumlusu</t>
  </si>
  <si>
    <t>KLYC</t>
  </si>
  <si>
    <t>https://pbs.twimg.com/media/EGbL33LXYAAVrbM.jpg</t>
  </si>
  <si>
    <t>Mahoni</t>
  </si>
  <si>
    <t>#TurkishArmy selam olsun yiğitlere... kınalı ellere..... hepinizi yüce Allah'ım korusun ..amin...</t>
  </si>
  <si>
    <t>sadece hisseler hakkında bilgi paylaşımı ve KİŞİSEL yorum amaçlıdır..Siyaset kesinlikle YOK....yatırım tavsiyesi kesinlikle YOK...saygılarımla..</t>
  </si>
  <si>
    <t>к૯ℓαм-ı αşк ™ 🇹🇷</t>
  </si>
  <si>
    <t>/. Ayşe tatile çıksın artık. #TurkishArmy 🇹🇷 Ne Mutlu TÜRK'üm Diyene AŞK 'la</t>
  </si>
  <si>
    <t>AŞK 'la</t>
  </si>
  <si>
    <t>Berkay Saydam</t>
  </si>
  <si>
    <t>“Dünyanın hiçbir ordusunda yüreği seninkinden daha temiz, daha sağlam bir askere rastlanmamıştır."🇹🇷 Mustafa Kemal Atatürk #TurkishArmy</t>
  </si>
  <si>
    <t>https://pbs.twimg.com/media/EGbZnMdX0AEhnkv.jpg</t>
  </si>
  <si>
    <t>Niğde 🇹🇷</t>
  </si>
  <si>
    <t>https://www.instagram.com/berkaysydm00</t>
  </si>
  <si>
    <t>FATİH KUL 🇹🇷</t>
  </si>
  <si>
    <t>Teröre hayır diyememiş olanların "savaşa hayır" demesi savaş karşıtlığı değil, PKK destekçiliğidir. Üzerine tartışmak bile gereksiz. #TurkishArmy</t>
  </si>
  <si>
    <t>Vatanist Muhâfazakar Demokrat</t>
  </si>
  <si>
    <t>ραƨƨıσп™</t>
  </si>
  <si>
    <t>Devlet girdik demiyor burdaki savaş sevdalıları girdik diyor.! Ulan bu ülkeden bi cacık olmaz😡 #TurkishArmy</t>
  </si>
  <si>
    <t>“İktidara sahip olanlar gaflet ve dalâlet ve hattâ hıyanet içinde bulunabilirler."</t>
  </si>
  <si>
    <t>Halil Ercan</t>
  </si>
  <si>
    <t>https://pbs.twimg.com/media/EGbZmw5W4AAAcYg.jpg</t>
  </si>
  <si>
    <t>Bilim Eğlence ve Mizah Ekonomi ve Finans Enteresan Futbol Gündem Haber Köşe Yazarları Mizah Müzik Sinema Spor Spor Süper Lig Tiyatro</t>
  </si>
  <si>
    <t>gztp</t>
  </si>
  <si>
    <t>🇹🇷🇹🇷🇹🇷#TurkishArmy</t>
  </si>
  <si>
    <t>Abdülaziz Mavi</t>
  </si>
  <si>
    <t>Allahım, bizleri iffetli, temiz ve erdemli kıl.  #TurkishArmy</t>
  </si>
  <si>
    <t>https://pbs.twimg.com/media/DlYaAimXgAAaEMF.jpg</t>
  </si>
  <si>
    <t>"Often regret is very false and displaced, and imagines the past to be totally other than it was." -John O'Donohue</t>
  </si>
  <si>
    <t>TAHSİN DEMİR</t>
  </si>
  <si>
    <t>BAL'18 SAU-DİŞ HEKİMLİĞİ Fenerbahce... LAFÜGÜZAF</t>
  </si>
  <si>
    <t>Sinem ☀️🍀</t>
  </si>
  <si>
    <t>Allah'ım hepinizin yardımcısı olsun inşallah... 🙏🏻 #TurkishArmy</t>
  </si>
  <si>
    <t xml:space="preserve">Hogwarts </t>
  </si>
  <si>
    <t>7 güzel adam...</t>
  </si>
  <si>
    <t>Oğuz Han</t>
  </si>
  <si>
    <t>Mektebinde şehadet olan bir milletin kaderinde esaret olmadığına tarih şahittir. Allah ordumuzun yardımcısı olsun. Dualarımız ve kalbimiz Mehmetçik ile! #TurkishArmy</t>
  </si>
  <si>
    <t>Pusatla kazanılan,kalem ile ebedî olur. KLÜ-ÇTLE 4/3</t>
  </si>
  <si>
    <t>http://ctle.klu.edu.tr/</t>
  </si>
  <si>
    <t>palmen</t>
  </si>
  <si>
    <t>“Küçük gri hücreler bazen karanlıkta iyi çalışır.”</t>
  </si>
  <si>
    <t>ᶠFͤeͩdͣaͥi░░░░░░👊</t>
  </si>
  <si>
    <t>#TurkishArmy TSK HAFIZA TAZELER.NEREDE KALMIŞTIK.VEEER COŞKUYU.</t>
  </si>
  <si>
    <t>pic.twitter.com/gOtDeNd1JG</t>
  </si>
  <si>
    <t>VATAN FEDAİSİ</t>
  </si>
  <si>
    <t>Sefa Dinç</t>
  </si>
  <si>
    <t>Türk ordusu denince ilk önce vatanı İçin son nefesine kadar savaşacak yüreği, savunmasız düşmanına ve masumlara yardım edecek büyük bir merhameti vardır. #TurkishArmy</t>
  </si>
  <si>
    <t>pic.twitter.com/ZfZUPZ60ic</t>
  </si>
  <si>
    <t>İstanbul Üniversitesi - Gazetecilik I Anadolu Üniversitesi - Halkla İlişkiler ve Tanıtım I BEŞİKTAŞ İçin 144 Türkiye - 86 Dünya Gündemi I</t>
  </si>
  <si>
    <t>http://www.hayattabesiktas.com</t>
  </si>
  <si>
    <t>Tiryakimen</t>
  </si>
  <si>
    <t>Hazırlansın tabutluklar, yine girip çıkacağız! #TurkishArmy 🇹🇷</t>
  </si>
  <si>
    <t>https://pbs.twimg.com/media/EGbZiVbXoAAtm38.jpg</t>
  </si>
  <si>
    <t>G_ A _L _A _T_ A _S _A _R _A_ Y_ 🏆 ♥️ 💛 ⚕️Altın mücevher tasarımcısı</t>
  </si>
  <si>
    <t>http://Instagram.com/tiryakimen</t>
  </si>
  <si>
    <t>Mahmutcan</t>
  </si>
  <si>
    <t>https://pbs.twimg.com/media/EGbZiArXUAEKtFW.jpg</t>
  </si>
  <si>
    <t>Bafra, Türkiye</t>
  </si>
  <si>
    <t>Eğlenceli birşeyler</t>
  </si>
  <si>
    <t>OeuZ</t>
  </si>
  <si>
    <t>Rezalet rezalet! O gün buna izin verenler yüzünden TSK can veriyor kan veriyor. Bu ülkenin askeri en azından ufak bir tebessümü, desteği hak ediyor. Devlet 96 yılda bir çok kez uçurumun kenarına geldi. Ama birileri de devleti çekti kurtardı. #TurkishArmy RT @Trofr2: #BarışPınarı Tarih: 29 Ekim 2014 Cumhuriyet bayramı. PYD/YPG Kobani'ye geçiyor. O gün bu geçişe neden izin verildi?. Geçiş için neden özellikle 29 Ekim seçildi?. Bu gruplara o gün neden izin verildi, şimdi neden operasyon yapılıyor ?.. Aklımda deli sorular ....</t>
  </si>
  <si>
    <t>https://twitter.com/Trofr2/status/1181704755971870720?s=19</t>
  </si>
  <si>
    <t>Ben Her Şeyden Önce Bir Türk Milliyetçisiyim. G.M.K. ATATÜRK</t>
  </si>
  <si>
    <t>http://anitsayac.com</t>
  </si>
  <si>
    <t>EmirhaN</t>
  </si>
  <si>
    <t>Burnunuz kanamadan geri dönün ALLAH yardımcınız olsun #TurkishArmy #pınarbarısharekatı</t>
  </si>
  <si>
    <t>Hooh brüş yas gılii yass yass</t>
  </si>
  <si>
    <t>http://Instagram.com/emirdevri</t>
  </si>
  <si>
    <t>Banafakededi</t>
  </si>
  <si>
    <t>#TurkishArmy Allah ordumuzu muzaffer eylesin!</t>
  </si>
  <si>
    <t>Justin bana bir “hi” bile demedi, daha ne diyeyim!</t>
  </si>
  <si>
    <t>Julide FZR</t>
  </si>
  <si>
    <t>#TurkishArmy Bütün CHP ve HDP lileri ROJAVA'ya canlı kalkan olmaya davet ediyoruz 😂😅🤣</t>
  </si>
  <si>
    <t>el solo</t>
  </si>
  <si>
    <t>#KurdsSideWithTurkey #BarisPinariHarekati #TurkishArmy</t>
  </si>
  <si>
    <t>https://pbs.twimg.com/media/EGbZgZmXkAIbq9O.jpg</t>
  </si>
  <si>
    <t>For My Country</t>
  </si>
  <si>
    <t>Fatih KARADAĞ</t>
  </si>
  <si>
    <t>Peygamber kabrinde sadık muhafız Bayraktan alırdı mücahitler hız, Unutana yine hatırlatırız; Zemin kan kırmızı, ayyıldızı ak, O mübarek bayrak, işte bu BAYRAK. #TurkishArmy</t>
  </si>
  <si>
    <t>Tügva Etimesgut çalışan gençlik koordinatörü @tugvaankara @RTErdogan</t>
  </si>
  <si>
    <t>Yahya ÇİÇEK</t>
  </si>
  <si>
    <t>https://pbs.twimg.com/media/EGbZea7WsAAX4og.jpg</t>
  </si>
  <si>
    <t>Canımızdan Çok Seviyoruz @GalatasaraySK</t>
  </si>
  <si>
    <t>Halit Aydın</t>
  </si>
  <si>
    <t>E.V.P.</t>
  </si>
  <si>
    <t>S1)Kime karşı savaşacağız?? a) Abd nin hucrelerde artik tutamadığı IŞİD, El Nusra, Hizbullah vb üyeleri b)Abd nin yıllardır silah,lojistik ve para yardımı yaptığı Kürt cephesi PYD PKK c)Kardeşim Esat tan hain Esed ait Milli Suriye Ordusu S2)Nasil ve ne kazanacağız? #TurkishArmy</t>
  </si>
  <si>
    <t>Kendi dünyasında</t>
  </si>
  <si>
    <t>umuda bin kurşun sıksa da ölüm, unutma umuda kurşun işlemez gülüm R.I.P. Huzur icinde uyu..#neslicantay</t>
  </si>
  <si>
    <t>Doğukan Dursun</t>
  </si>
  <si>
    <t>https://pbs.twimg.com/media/EGbZdWQXUAANz2e.jpg</t>
  </si>
  <si>
    <t>veysel eser⚡</t>
  </si>
  <si>
    <t>Türkün şefkatini, merhametini, gücünü göreceksiniz. #TurkishArmy</t>
  </si>
  <si>
    <t>https://pbs.twimg.com/media/EGbZdGTXYAAgVW8.jpg</t>
  </si>
  <si>
    <t>Doğuştan ✋ABAZA ✋(KAFKAS) Vatan millet hainlerine düşman. LÂ TAHZEN İNNELLAHE MEANÂ</t>
  </si>
  <si>
    <t>cengizhan</t>
  </si>
  <si>
    <t>chpliler yine ayetlerle dalga geçmişler. #TurkishArmy</t>
  </si>
  <si>
    <t>https://pbs.twimg.com/media/EGbZY14XUAYIsMZ.jpg</t>
  </si>
  <si>
    <t>جنكيز خان</t>
  </si>
  <si>
    <t>"Onlar ki verir lâf ile dünyâya nizâmât Bin türlü teseyyüb bulunur hanelerinde" Ziya Paşa</t>
  </si>
  <si>
    <t>Erkan VANGÖLÜ</t>
  </si>
  <si>
    <t>Allah Yardımcımız olsun #TurkishArmy</t>
  </si>
  <si>
    <t>https://pbs.twimg.com/media/EGbZYOWWsAAW6cS.jpg</t>
  </si>
  <si>
    <t>TÜGVA Mersin İl Teşkilat Koordinatörü</t>
  </si>
  <si>
    <t>Sevil Beyaz</t>
  </si>
  <si>
    <t>Yüce Türk ordusu 🇹🇷 #TurkishArmy</t>
  </si>
  <si>
    <t>🇹🇷🇹🇷🇹🇷🇹🇷🇹🇷🇹🇷🇹🇷🇹🇷🇹🇷🇹🇷🇹🇷🇹🇷🇹🇷🇹🇷🇹🇷</t>
  </si>
  <si>
    <t>Güralp inselöz</t>
  </si>
  <si>
    <t>Feto'nun siyasi ayağı Nerede?  #TurkishArmy</t>
  </si>
  <si>
    <t>https://pbs.twimg.com/media/D5g2ylZXsAo0Xm1.jpg</t>
  </si>
  <si>
    <t>Dağın öte yüzü güneşe bakıyormuş çocuklar. De hadi davranın, Güneşle sohbetimiz var. Geç kalmayalım... -Yasar Kemal</t>
  </si>
  <si>
    <t>Ali Şahin</t>
  </si>
  <si>
    <t>#EmineBulut Haluk Levent #TurkishArmy #CheGuevara 📌Sn. Adnan Oktar'in arkadaşı Ali Emre Bukağılı'nın savunması: ...Müzik her kanalda var. Sabah programları oluyor, hocalar katılıyor, sunucu kadınlar dekolteli kıyafetleriyle hocam diyor.</t>
  </si>
  <si>
    <t>https://pbs.twimg.com/media/EGbZWRpXkAAtw3i.jpg</t>
  </si>
  <si>
    <t>Enes Uçar</t>
  </si>
  <si>
    <t>Allah Türk ü korusun ve yüceltsin Allah yar ve yardımcınız olsun #TurkishArmy #BarisPinariHarekati</t>
  </si>
  <si>
    <t>https://pbs.twimg.com/media/EGbZWQUWkAA7Rj1.jpg</t>
  </si>
  <si>
    <t>Çanakkale - İstanbul</t>
  </si>
  <si>
    <t>18 MART Üniversity</t>
  </si>
  <si>
    <t>cem çetin</t>
  </si>
  <si>
    <t>https://pbs.twimg.com/media/EGbZVP0XkAEZfS4.jpg</t>
  </si>
  <si>
    <t>#VeterinerHekim #TOB</t>
  </si>
  <si>
    <t>C☆-Omar761K-C☆</t>
  </si>
  <si>
    <t>"Din gibi temiz bir duygu, siyaset gibi kirli oyunlara alet edilemez. Din ait olduğu yerde, temiz vicdan sahnesinde yaşanmalıdır" ( Mustafa Kemal Atatürk ) #çarşamba #TurkishArmy #eniyicevap #iyilik</t>
  </si>
  <si>
    <t>pic.twitter.com/41rQyAbKag</t>
  </si>
  <si>
    <t xml:space="preserve"> Şimdilik Bu Dünya!</t>
  </si>
  <si>
    <t>Demogojiden uzak! TT ise derdin, anca gidersin! 👍</t>
  </si>
  <si>
    <t>Selim Güner</t>
  </si>
  <si>
    <t>Allah yar ve yardımcınız olsun sevdiklerinize kavuşmamız dileği ile dualarımız sizinle.. #TurkishArmy</t>
  </si>
  <si>
    <t>Aslen Rizeli, Trabzonsporlu deli dolu bir Laz ... 🇹🇷 BEN HAYATIN KENDİSİ İLE ŞAVAŞTAYIM ŞAHISLARA TAKILMAM.</t>
  </si>
  <si>
    <t>http://www.mustesnakozahan.com</t>
  </si>
  <si>
    <t>Metehan EKEN</t>
  </si>
  <si>
    <t>2001 de Ekonomisi batmış bir ülke iken 20 yılda ABD’ye kafa tutar hale geldik. Bir 20 yıl daha böyle gidersek İnşallah AB-ABD-İsrail alayına kafa atarız 😂😂 #TurkishArmy</t>
  </si>
  <si>
    <t>Armutlu, Yalova</t>
  </si>
  <si>
    <t>Fatih Kayaoğlu</t>
  </si>
  <si>
    <t>"Savaşmaktan kaçınır kim varsa alnı kara, Kan dökmeyi bilenler hükmeder topraklara..." #TurkishArmy Haydı Mehmetçik sira sende...</t>
  </si>
  <si>
    <t>Fhk</t>
  </si>
  <si>
    <t>Hafize Balaban</t>
  </si>
  <si>
    <t>Türk ordusunu ve ana kuzularını koru Allah’ım. #TurkishArmy</t>
  </si>
  <si>
    <t>kalpakcii |</t>
  </si>
  <si>
    <t>hicbir sey olmasa bile kesinlikle bir seyler oldu ama bende farkedemedim.</t>
  </si>
  <si>
    <t>Cumhur Küçükpolat</t>
  </si>
  <si>
    <t>Taşında gözü olanın yurduna mezar kazacağız. Hainin soysuzun döneğin alnına Vatan yazacağız. Biz ordusu olan bir millet değil, Milleti olan bir orduyuz. Dualarımız Mehmetçiklerimizle. 🇹🇷 #TurkishArmy</t>
  </si>
  <si>
    <t>https://pbs.twimg.com/media/EGbZMieWsAEYNqK.jpg</t>
  </si>
  <si>
    <t>Güçlüden yana değil, haklıdan yana // Umudumuz Allah’tan kulun işi rast gelsin //🇹🇷🏁</t>
  </si>
  <si>
    <t>enesbuluslu</t>
  </si>
  <si>
    <t>Türkiye İslam aleminin iç kalesidir. Kıyamet günlerin de önce Yaradana sonra buraya sığınılır. İBRAHİM TENEKECİ #TurkishArmy</t>
  </si>
  <si>
    <t>Arif Cem 🔧</t>
  </si>
  <si>
    <t>https://pbs.twimg.com/media/EGbZPmDXYAAUZyk.jpg</t>
  </si>
  <si>
    <t>ankara|antalya</t>
  </si>
  <si>
    <t>Machine Engineer 🇹🇷 Siyasi ve içtimai mezhebim Türkçülük'tür. ϜϓſϞ</t>
  </si>
  <si>
    <t>Osman ☪</t>
  </si>
  <si>
    <t>https://pbs.twimg.com/media/EGbZPQXXUAAg-PC.jpg</t>
  </si>
  <si>
    <t>Cehaletin mutluluk olduğu ülkede, akıllı olmak deliliktir. Elbet bir gün.. #Beşiktaş 🏁⚫⚪</t>
  </si>
  <si>
    <t>Turgut Tacir</t>
  </si>
  <si>
    <t>Sen. Pardon “siz” demeliydim. Siz kaç yüzlüydünüz? Ben yanlışlıkla hangisini sevdim? -Özdemir Asaf</t>
  </si>
  <si>
    <t>erlaltnbss14</t>
  </si>
  <si>
    <t>Dualarımız sizinle..#TurkishArmy</t>
  </si>
  <si>
    <t>(March,10) #. Güneş bile SARI doğup KIRMIZI batıyorken siz hala ? :p Gezgin çocuk..</t>
  </si>
  <si>
    <t>Emre BAYGIN</t>
  </si>
  <si>
    <t>https://pbs.twimg.com/media/EGbZM5TWwAADu1l.jpg</t>
  </si>
  <si>
    <t>Bir zamanlar Selattin diyordu ki "PKK fıratı geçecek sizde mal mal izleyeceksiniz". Şimdide biz diyoruz " Türk ordusu fıratı geçecek sizde MAL MAL İZLEYECEKSİNİZ #TurkishArmy</t>
  </si>
  <si>
    <t>Furkan Öner</t>
  </si>
  <si>
    <t>Türk'üz Cumhuriyet'in göğsümüz tunç siperi, Türk'e durmak yaraşmaz, Türk önde Türk ileri. #TurkishArmy #BarisPinariHarekati #BarisPinari</t>
  </si>
  <si>
    <t>Elektrik Elektronik Mühendisi #teknoloji #ekonomi #kültür #sanat #endüstri #spor #medya #siyaset #tarih</t>
  </si>
  <si>
    <t>aşkına aşık</t>
  </si>
  <si>
    <t>https://pbs.twimg.com/media/EGbZK-_WwAEo5MK.jpg</t>
  </si>
  <si>
    <t>#semerkand yar ile simdi 4042 yetim 5 tl 4032 yetim 10 tl yetim gülerse dünya güler</t>
  </si>
  <si>
    <t>GoalCaoooo</t>
  </si>
  <si>
    <t>Hayali Kürdistan olanlara kabristanı bile layık görmeyin vur MEHMEDİM #TurkishArmy</t>
  </si>
  <si>
    <t>Bu Profilden yalnZ Galatasaray paylaşımı yapılır ⭐️🦁⭐️🦁⭐️🦁⭐️###🇹🇷Devlet düşmanı fetö ve PKK sempatizanı vatansızlar uzak dursun</t>
  </si>
  <si>
    <t>İ S M A İ L</t>
  </si>
  <si>
    <t>Anlaşılan İnternet Paketin bitti, Barış Pınarı Hareketi için tek söz bile etmedin, Numaranı yaz da Paket yaptiralim.. @ekrem_imamoglu #TurkishArmy</t>
  </si>
  <si>
    <t>TÜRK-İSLAM MİLLİYETÇİSİ 🇹🇷 🇹🇷 🇹🇷 | RT YAPTIĞIM PAYLAŞIMLAR BENİ BAĞLAMAZ | 》♡...MÜSLÜM BABA...♡《 #RTEÜ</t>
  </si>
  <si>
    <t>http://Instagram.com/ismailalay53</t>
  </si>
  <si>
    <t>Berkan KarLankuş 🇹🇷🇹🇷</t>
  </si>
  <si>
    <t>https://pbs.twimg.com/media/EGbZKAjWoAAvlDN.jpg</t>
  </si>
  <si>
    <t>Hazır Sözler</t>
  </si>
  <si>
    <t>ÖĞRETMENLER ARA TATİLDE EK DERS ÜCRETİ ALACAK MI ??  #öğretmen #ekders #okul #eğitim #öğretim #çarşamba #TurkishArmy Haluk Levent #yamanlarlisesi Merkez Bankası'ndan #Uzmanıyım</t>
  </si>
  <si>
    <t>http://www.minvalnews.com/2019/10/08/ara-tatillerde-ek-ders-ucreti-alinacak-mi/</t>
  </si>
  <si>
    <t>Henüz Dünya Üzerinde...</t>
  </si>
  <si>
    <t>Tohum olmak lazım..Kendince ve kendine sözler paylaşan, garip biri.. Fikirler özgürken daha güzel.. EĞİTİM ÖNEMLİ!</t>
  </si>
  <si>
    <t>http://MinvalNews.com</t>
  </si>
  <si>
    <t>🍃 𝕭𝖎𝖗 𝕾𝖚𝖑𝖙𝖆𝖓'𝖆 𝕾𝖊𝖛𝖉𝖆𝖑ı 🍃🇹🇷🇹🇷</t>
  </si>
  <si>
    <t>Profile bayrakları as as as! 😊 #TurkishArmy</t>
  </si>
  <si>
    <t>https://pbs.twimg.com/media/EGbZJImWsAA8VIm.jpg</t>
  </si>
  <si>
    <t>𝑩𝒊 𝑯𝒊𝒎𝒎𝒆𝒕𝒊𝒉𝒊 @besirdernegi yedek hesap👉@hadimul_mumin</t>
  </si>
  <si>
    <t>http://www.iyilikhediyesi.com</t>
  </si>
  <si>
    <t>Hakan Şanlı</t>
  </si>
  <si>
    <t>#TurkishArmy türk askerine piç diyen cemal enginyurt dun vekilliği düşürülmeli muhabbet hapis verilip piç fetocu subayların kaldığı cezaevine gonderilmeli</t>
  </si>
  <si>
    <t>https://pbs.twimg.com/media/EGbZJEUWwAEEKI4.jpg</t>
  </si>
  <si>
    <t>Kalite</t>
  </si>
  <si>
    <t>Gün birlik günüdür geçmişte olan anlaşmazlıklar aile içinde kalmalı ve tüm Türkiye 7 sinden 70 ine mehmetimize desteğini ve duasını esirgememelidir Allah yardımcıları olsun @tcsavunma @TSKGnkur #TurkishArmy</t>
  </si>
  <si>
    <t>Kim Diye Sorarsanız Has Anadolu evladıyım TÜRKÜM🇹🇷</t>
  </si>
  <si>
    <t>PEYGAMBER ORDUSU GELİYOR İSLAM ORDUSU GELIYOR ALLAHU EKBER #TurkishArmy</t>
  </si>
  <si>
    <t>ysnshhd</t>
  </si>
  <si>
    <t>greenn_s</t>
  </si>
  <si>
    <t>Jale Avyzn Zbr</t>
  </si>
  <si>
    <t>Geride evini, ailesini bırakan askerimiz inşallah sağ salim dönecekler. Göreve giden Ağabeyimi ve tüm Mehmetçiğimizi geride bizler bekliyoruz. Rabbim yardımcınız olsun. #TurkishArmy #BarisPinari #BarisPinariHarekati #TuerkMilletiOrdusununYanında #Tuerksilahlıkuvvetleri</t>
  </si>
  <si>
    <t>Muhabir👩‍💻🕵️‍♀️ Trakya Üniversitesi İnsan ve Toplum Araştırmaları ABD👩‍🎓</t>
  </si>
  <si>
    <t>Beyoğlu</t>
  </si>
  <si>
    <t>Mert Kalkan</t>
  </si>
  <si>
    <t>Ey şanlı ordu, ey şanlı asker! #TurkishArmy</t>
  </si>
  <si>
    <t>Kısaca Ted Mosby</t>
  </si>
  <si>
    <t>#TurkishArmy öyle bir temizlik olmalı ki ABD yunanistan.bulgaristan.romanya.gurcistan. da var olan askerlerini ve kuvvetlerini korkudan geri çeksin Allahım masumların koruyucusu olan bu orduyu şanına yakışır şekilde muzaffer kıl. A min.</t>
  </si>
  <si>
    <t>hayatta en hakiki mürşid ilimdir.</t>
  </si>
  <si>
    <t>ali yavuz erdogan</t>
  </si>
  <si>
    <t>Herzaman her koşulda #TurkishArmy</t>
  </si>
  <si>
    <t>Çeşme, Türkiye</t>
  </si>
  <si>
    <t>Tanrı dağı kadar Türk , hira dağı kadar müslüman.</t>
  </si>
  <si>
    <t>Gülfem Altunöz</t>
  </si>
  <si>
    <t>bebeğimize Aşı yaptırmayacağım dediğimde hemşireler üzerime yürüdü! Aylardır hergün arayıp taciz ediyorlar. Polisle hapisle tehdit ediyorlar. yahu madem aşılar koruyor sen yaptır korun. benim aşısızdan neden korkuyorsun? Kesinlikle güvenmiyorum aşılarınıza! #TurkishArmy</t>
  </si>
  <si>
    <t>Ben sana kendine gel diyorum. Bana gel demiyorum.</t>
  </si>
  <si>
    <t>AyhanGokcay</t>
  </si>
  <si>
    <t>ALLAH YAR VE YARDIMCINIZ OLSUN SELAMETLE #TurkishArmy</t>
  </si>
  <si>
    <t>sevimsiz sempatik</t>
  </si>
  <si>
    <t>#TurkishArmy emsaldir. Dünyada tektir. Ayağınıza taş değmesin... 🇹🇷🇹🇷🇹🇷</t>
  </si>
  <si>
    <t>http://www.facebook.com/pisko06</t>
  </si>
  <si>
    <t>Ebru Yavuz</t>
  </si>
  <si>
    <t>pic.twitter.com/pTICDhtJa1</t>
  </si>
  <si>
    <t>Ege University | Biochemist</t>
  </si>
  <si>
    <t>https://instagram.com/ebruyavuuuz</t>
  </si>
  <si>
    <t>traderlevent</t>
  </si>
  <si>
    <t>ALLAH YAR VE YARDIMCISI OLSUN ASKERİMİZİN #TurkishArmy</t>
  </si>
  <si>
    <t>Çiftçi olmak isteyen bir IT yöneticisi😁 ufak çaplı trader</t>
  </si>
  <si>
    <t>OttomanTokad</t>
  </si>
  <si>
    <t>Galib et ya rab Bu son ordusu islamın, #TurkishArmy #carsamba #Syria</t>
  </si>
  <si>
    <t>https://pbs.twimg.com/media/EGbY-n3WwAAr6ZE.jpg</t>
  </si>
  <si>
    <t>“Ben ki, sultanlar sultanı, hakanlar hakanı, hükümdarlara taç giydiren, Allah’ın yeryüzündeki gölgesi ve atalarımın fethettiği 3 kıtanın hakimi SÜLEYMAN</t>
  </si>
  <si>
    <t>Furkan ÖZTÜRK</t>
  </si>
  <si>
    <t>#TurkishArmy #turkmilletiordusununyaninda #BarisPinariHarekati</t>
  </si>
  <si>
    <t>Ten\/¡r</t>
  </si>
  <si>
    <t>#TurkishArmy Hamd olsun. Öyle bir milletiz ki, Öyle bir orduya sahibiz ki. Düşmana korku, dosta güven veriyoruz.</t>
  </si>
  <si>
    <t>https://pbs.twimg.com/media/EGbY976W4AAAnQi.jpg</t>
  </si>
  <si>
    <t>Nur⚡</t>
  </si>
  <si>
    <t>#TurkishArmy "We were merry as children at the raids which had a thousand riders, That day,we conquered an army like a huge which had a thousand riders." "Bin atlı akınlarda çocuklar gibi şendik, Bin atlı, o gün, dev bir orduyu yendik."</t>
  </si>
  <si>
    <t>pic.twitter.com/H9GMyM9VC3</t>
  </si>
  <si>
    <t>Fahrenheit451</t>
  </si>
  <si>
    <t>Murat Nenni</t>
  </si>
  <si>
    <t>Mekanın gerçek sahibi geldi. #TurkishArmy</t>
  </si>
  <si>
    <t>Mühendis / istanbul / BeşiktAŞK</t>
  </si>
  <si>
    <t>Kendinizi küçük görmeyiniz. Sizler büyük kuvvetsiniz. Vazifenizi hiçbir zaman unutmayınız. Kuvvet birliktir. Birlik, beraberlik içinde olmaktır. Alparslan TÜRKEŞ #TurkishArmy</t>
  </si>
  <si>
    <t>https://pbs.twimg.com/media/EGbY2v-WkAAVMCj.jpg</t>
  </si>
  <si>
    <t>GB</t>
  </si>
  <si>
    <t>Emine Kılınç</t>
  </si>
  <si>
    <t>"Savaşmaktan kaçınır kim varsa alnı kara, Kan dökmeyi bilenler hükmeder topraklara..." #TurkishArmy</t>
  </si>
  <si>
    <t>http://instagram.com/_emineklnc</t>
  </si>
  <si>
    <t>Tulpar Yaraş</t>
  </si>
  <si>
    <t>Etekleri hazırlayın #TurkishArmy</t>
  </si>
  <si>
    <t>DDK Neferi tanıyan bilen bilir.</t>
  </si>
  <si>
    <t>İshak şahinli</t>
  </si>
  <si>
    <t>ALLAH YARDIMCINIZ OLSUN KOÇLAR ASLANLAR YİĞİTLER #TurkishArmy</t>
  </si>
  <si>
    <t>•BesiktasJK •Wroclover🏦🏨🏣🏢🏦🏢🏩🏫 •The World is Yours, Discover it 🌏</t>
  </si>
  <si>
    <t>40 yıldır elinde emperyalist silahı ile 20 lik Türk/ Kürt ana kuzusu askerleri,öğretmenleri şehit edip şehirlere bomba koyarak binlerce insanı parçalayan ve hala savasa devam eden pkkya silah sıkma barış isteriz diyenler ya aptaldır ya hain. Yanındayız Ordumuz #TurkishArmy</t>
  </si>
  <si>
    <t>merhamet</t>
  </si>
  <si>
    <t>Türkiye Günlüğü 🇹🇷</t>
  </si>
  <si>
    <t>Allah’ın izni ile kısa sürede başarıyla sonuçlanacağına inandığımız kritik bir süreçten geçiyoruz. Bu süreçte dualarımızla şanlı ordumuzun yanınızdayız. #TürkMilletiOrdusununYanında #TurkishArmy</t>
  </si>
  <si>
    <t>https://pbs.twimg.com/media/EGbYzttWwAEiaHQ.jpg</t>
  </si>
  <si>
    <t>Türkiye’nin Gündemi</t>
  </si>
  <si>
    <t>İsmail Gürbüz</t>
  </si>
  <si>
    <t>Gel gör ki senin beğenmediğin Osmanlı padişahı yumruğunu masaya vurduğu zaman dünyaya diz çöktürürdü 🇹🇷</t>
  </si>
  <si>
    <t>Canberk Ulutaş</t>
  </si>
  <si>
    <t>#İslamköleliktir diyen ateist, evet ben beni ve kainatı yaratana kulluk yaparım. Sen git sömürü sistemine kölelik yapmaya devam et. #TurkishArmy</t>
  </si>
  <si>
    <t>Bahadır Çelik</t>
  </si>
  <si>
    <t>Galatasaray/METU EEE/AYZÖFL 19</t>
  </si>
  <si>
    <t>Sikeriz #TurkishArmy</t>
  </si>
  <si>
    <t>أبو احمد O BİR İNSAN</t>
  </si>
  <si>
    <t>#çarşamba #TurkishArmy #EmineBulut</t>
  </si>
  <si>
    <t>https://pbs.twimg.com/media/EGbYsxmXUAE0O9M.jpg</t>
  </si>
  <si>
    <t>@NSirnak RABBİMİZ! BİZE KATINDAN RAHMET GÖNDER VE BİZE İÇİNDE BULUNDUĞUMUZ DURUMDAN BİR ÇIKIŞ YOLU GÖSTER! KEHF,18/10</t>
  </si>
  <si>
    <t>Grup Anka</t>
  </si>
  <si>
    <t>Dünyaya adalet getirecek, Huzur ve güveni tesis edecek, Mazluma umut olup, zalime korku salacak, Yeryüzünde sevgi ve hoşgörüyü yeniden inşaa edecek, Cihanı kudretiyle titretecek, 🇹🇷🇹🇷🇹🇷 TEK MİLLET TÜRK MİLLETİDİR.. TEK DEVLET TÜRKİYE CUMHURİYETİDİR.. #TurkishArmy</t>
  </si>
  <si>
    <t>https://pbs.twimg.com/media/EGbYtvwXUAAROw8.jpg</t>
  </si>
  <si>
    <t>Grup Anka Resmi Twitter hesabı Rezervasyon: 0543 441 41 18</t>
  </si>
  <si>
    <t>http://www.ankailahigrubu.com</t>
  </si>
  <si>
    <t>Fano bum</t>
  </si>
  <si>
    <t>#TurkishArmy kan alir harbi 🙃</t>
  </si>
  <si>
    <t>kulalerol</t>
  </si>
  <si>
    <t>Kravatlı Terörist ⒝İ⒯⒨⒠⒟⒠⒩ Silahlı Terörist ⒝İ⒯⒨⒠⒵ ! #TurkishArmy</t>
  </si>
  <si>
    <t>sonsuzluk kervanı, peşinde ben.</t>
  </si>
  <si>
    <t>http://Instagram.com/kulalerol</t>
  </si>
  <si>
    <t>Harpocrates</t>
  </si>
  <si>
    <t>#Daimahazır #TurkishArmy</t>
  </si>
  <si>
    <t>https://pbs.twimg.com/media/EGbYqufWoAE3IRZ.jpg</t>
  </si>
  <si>
    <t>Yollar gitmek isteyen yolunu kaybetmiş bir seyyah..</t>
  </si>
  <si>
    <t>Uğur Savaşan</t>
  </si>
  <si>
    <t>Dünyanın yarısı karşımızda duruyor. Dünyanın bir numaralı ülkesi kendisinin bile terör örgütü kabul ettiği düşmanımıza destek mesajları veriyor. Araplar bile kendi dininden olmayan kansız piçleri savunuyor. Kime karşı dik durduğumuzu kimlere baş kaldırdığımızı bilin. #TurkishArmy</t>
  </si>
  <si>
    <t>Mustafa T.🇹🇷</t>
  </si>
  <si>
    <t>https://pbs.twimg.com/media/EGbYpqXXkAAc1ki.jpg</t>
  </si>
  <si>
    <t>https://instagram.com/mustafatpkroglu?igshid=mrj1n7zp98g9</t>
  </si>
  <si>
    <t>Alaskalı Suikastçi 🇹🇷</t>
  </si>
  <si>
    <t>Rainy Day</t>
  </si>
  <si>
    <t>#TurkishArmy we r right We will win What a lucky world will see brave army!</t>
  </si>
  <si>
    <t>FETHULLAH NETANYAHU</t>
  </si>
  <si>
    <t>Sokağa çağırdığı pkk'lılara Yasin Börü ve 50 kişiyi vahşice öldürten demirtaş'ın idamını istemek kural ihlali! Bu pkk sevicilere ne zaman müdahale edeceksiniz? @RTErdogan @suleymansoylu @fahrettinaltun @fuatoktay @adalet_bakanlik #BarisPinariHarekati #BarisPinari #TurkishArmy</t>
  </si>
  <si>
    <t>https://pbs.twimg.com/media/EGbYnnEXYAAQUu9.jpg</t>
  </si>
  <si>
    <t>Tel Aviv</t>
  </si>
  <si>
    <t>/ Parody Account /</t>
  </si>
  <si>
    <t>Ali Şen</t>
  </si>
  <si>
    <t>https://pbs.twimg.com/media/EGbYo99WsAEJ6nE.jpg</t>
  </si>
  <si>
    <t>ak parti sevgisi herkese nasip olmaz.</t>
  </si>
  <si>
    <t>Murad Asil Babazade</t>
  </si>
  <si>
    <t>pic.twitter.com/MKdLAfdCru</t>
  </si>
  <si>
    <t xml:space="preserve"> Aysel ❤</t>
  </si>
  <si>
    <t>Soldier_TMT</t>
  </si>
  <si>
    <t>Sarıkaya, Yozgat</t>
  </si>
  <si>
    <t>Buraya kadar gelmişin takip etmeden gitme💯 Hayranın değilim GT yap💯 24 saat içinde GT💯 UNF=UNF💯</t>
  </si>
  <si>
    <t>ummugulsum</t>
  </si>
  <si>
    <t>Gerçeklere gözlerini kapatanlara. Her şeyi o kadar net biliyorlar ki! #TurkishArmy #turkmilletiordusununyaninda #BarısPınarlarıHarekatı #VakitGazaVakti #Trump</t>
  </si>
  <si>
    <t>pic.twitter.com/1Der4Tigwo</t>
  </si>
  <si>
    <t>Mezardakilerin pişman oldukları şeyler için dünyadakiler birbirini kırıp geçirmektedir.🥀🌧️🍂</t>
  </si>
  <si>
    <t>Murat🇹🇷</t>
  </si>
  <si>
    <t>God trust #TurkishArmy</t>
  </si>
  <si>
    <t>🇹🇷 ϜϓſϞ 🇹🇷 Bu hesap sadece kişisel görüşlerimden ibarettir. Her hangi bir kurumu temsil etmez</t>
  </si>
  <si>
    <t>Kutay Bekler</t>
  </si>
  <si>
    <t>Amasya Üniversitesi</t>
  </si>
  <si>
    <t>Ahmet Göksu</t>
  </si>
  <si>
    <t>Biz ordusu olan millet değil,Milleti olan biraz orduyuz #TurkishArmy</t>
  </si>
  <si>
    <t>https://pbs.twimg.com/media/EGbYlqpX0AEMKhO.jpg</t>
  </si>
  <si>
    <t>FENERBAHÇE 💛💙 KBÜ</t>
  </si>
  <si>
    <t>Girift_enes</t>
  </si>
  <si>
    <t>Biri şunlara söylesin biz Fatih SULTAN MEHMED'in torunlarıyız #TurkishArmy</t>
  </si>
  <si>
    <t>https://pbs.twimg.com/media/EGbYloyXkAAOiGL.jpg</t>
  </si>
  <si>
    <t>✌🏿g̾ n̾ g̾ ̾✌🏿✌🏿 2̾ 1̾ 2̾✌🏿 ✌🏿 ̾ g̾ e̾ t̾ t̾ o̾ ̾✌🏿 ✌🏿 w̾ e̾ s̾ t̾ ̾ c̾ o̾ a̾ s̾ t̾ ✌🏿</t>
  </si>
  <si>
    <t>Hakan Sönmez</t>
  </si>
  <si>
    <t>#TurkishArmy DelilOlsa BunlarMıKonuşulur #EmineBulut #CheGuevara #çarşamba #carsamba Natali Avazyan Haluk Levent Divan Restaurant Fikret Orman'dan</t>
  </si>
  <si>
    <t>https://www.siyasetcafe.com/wall-street-journalde-flas-yazi-operasyon-kurtlere-degil-ypgye-karsi-56607h.htm</t>
  </si>
  <si>
    <t>Mustafa Gündoğdu</t>
  </si>
  <si>
    <t>Sanayi, İstanbul</t>
  </si>
  <si>
    <t>http://Facebook.com</t>
  </si>
  <si>
    <t>GRACE</t>
  </si>
  <si>
    <t>Sizin ordularınıza benzemez. #TurkishArmy</t>
  </si>
  <si>
    <t>Yamtar</t>
  </si>
  <si>
    <t>Saygı olsun bu çelik atlıların gök tuğuna Tuğu kaldırmış olan orduların "Başbuğ"una" Hüseyin Nihâl #Atsız #TurkishArmy</t>
  </si>
  <si>
    <t>https://pbs.twimg.com/media/EGbYkZuX0AAgUFz.jpg</t>
  </si>
  <si>
    <t>Siyasi, içtimai mezhebim Türkçülüktür.</t>
  </si>
  <si>
    <t>Ahad🇵🇰🇹🇷</t>
  </si>
  <si>
    <t>https://pbs.twimg.com/media/EGbYggUXkAEe87b.jpg</t>
  </si>
  <si>
    <t>Sehra ast, ke Darya ast, Tahe Bal-o-Parmast</t>
  </si>
  <si>
    <t>https://m.facebook.com/itz.khan.54966834</t>
  </si>
  <si>
    <t>Filiz yünlü</t>
  </si>
  <si>
    <t>#TurkishArmy La Galiba İllallah" Allah Yar ve Yardımcınız Olsun 🇹🇷</t>
  </si>
  <si>
    <t>https://pbs.twimg.com/media/EGbYjwbWkAASfT3.jpg</t>
  </si>
  <si>
    <t>Bir davam var onun için burdayım🇹🇷</t>
  </si>
  <si>
    <t>RsLShN</t>
  </si>
  <si>
    <t>Yavuz Ağıralioğlu</t>
  </si>
  <si>
    <t>Irak'ın kuzeyinin "Kuzey Irak" olmasını engelleyemedik. Suriye'nin kuzeyinin "Kuzey Suriye" olmaması için Türk Devleti'nin atacağı her adımı desteklemek ve yekvücut olmak, herkes için millî bir sorumluluktur. @iyiparti Allah ordumuzu muzaffer eylesin. #TurkishArmy #BarışPınarı</t>
  </si>
  <si>
    <t>https://pbs.twimg.com/media/EGbYihkX0AAbYZ0.jpg</t>
  </si>
  <si>
    <t>İYİ Parti İstanbul Milletvekili - Parti Sözcüsü</t>
  </si>
  <si>
    <t>AlpEr</t>
  </si>
  <si>
    <t>#TurkishArmy war is the feast of the Turks</t>
  </si>
  <si>
    <t>https://pbs.twimg.com/media/EGbYiZ9WsAAiAfu.jpg</t>
  </si>
  <si>
    <t>Ne Mutlu Türküm Diyene !</t>
  </si>
  <si>
    <t>A.Furkan Özkaya</t>
  </si>
  <si>
    <t>There are no soldiers other than Turks who are ready to give their lives for the sake of their religion and homeland. General Hamilton #TurkishArmy</t>
  </si>
  <si>
    <t>https://pbs.twimg.com/media/EGbYiizXkAAoeMr.jpg</t>
  </si>
  <si>
    <t>Ak Parti Malatya İl Gençlik Kolları 2013-2019 Eskişehir Gençlik Kolları 2019 Odunpazarı Meclis Üyesi Adayı</t>
  </si>
  <si>
    <t>Hakan Şengönül</t>
  </si>
  <si>
    <t>pic.twitter.com/aITfl0984g</t>
  </si>
  <si>
    <t>🇹🇷 ϜϓſϞ 🇹🇷🐺 B E Ş İ K T A Ş 🦅 🦅 Yalova Üniversitesi</t>
  </si>
  <si>
    <t>https://www.instagram.com/hakansengonul52/</t>
  </si>
  <si>
    <t>KATRE</t>
  </si>
  <si>
    <t>Seviyoruz aga #TurkishArmy</t>
  </si>
  <si>
    <t>https://pbs.twimg.com/media/EGbYgM-X0AA6H3L.jpg</t>
  </si>
  <si>
    <t>Âyînesi iştir kişinin lâfa bakılmaz Şahsın görünür rütbe-i aklı eserinde</t>
  </si>
  <si>
    <t>https://pbs.twimg.com/media/EGbYdPEWsAAk1KG.jpg</t>
  </si>
  <si>
    <t>Владивосток, Россия</t>
  </si>
  <si>
    <t>mayday mayday</t>
  </si>
  <si>
    <t>ragnar lothbrok</t>
  </si>
  <si>
    <t>Our belief is enough. We will do it clearly.. Be strong #TurkishArmy 💪</t>
  </si>
  <si>
    <t>Öğretmen adayı 2/4</t>
  </si>
  <si>
    <t>Şafak Tüfenk</t>
  </si>
  <si>
    <t>Kırılgan biri olmayayım derken kamyon şöförü gibi oldum #TurkishArmy</t>
  </si>
  <si>
    <t>"Life is not about waiting for the storms to pass. It's about learning how to dance in the rain." -Vivian Greene</t>
  </si>
  <si>
    <t>Regaip Mutlu</t>
  </si>
  <si>
    <t>Şaha kalkan #TurkishArmy figen yüksekdağın sırtını dayadığı ypg pyd duvarları hemen çöktü bunu gören Mustafa İslamoğlu götünü dayıcağı bir yer arıyor anlaşılan çünkü sırtınınaynı yere yaslıyorlardı</t>
  </si>
  <si>
    <t>Yeşimdeniz⚡</t>
  </si>
  <si>
    <t>https://pbs.twimg.com/media/EGbYbI7XoAEO-gm.jpg</t>
  </si>
  <si>
    <t>üslubun kimliğindir.</t>
  </si>
  <si>
    <t>˜”*°•Gµ€§T•°*”˜</t>
  </si>
  <si>
    <t>#TurkishArmy siyasetçilerin we zenginlerin çocukları cepheye gitsin ilk olarak.Fakir we fukaranın oğlunu oraya göndermek kolay tabi.Siz hiç gördünüz bir siyasetçinin yada yalıda oturanın oğlu askerde şehit oldu.(kimse şehit olmasın o ayrı) #İstanbul #AKP #MHP #İyiParti #HDP</t>
  </si>
  <si>
    <t>Yolunu şaşırmış bir yıldız düşer belki üstümüze ! ✌️✌️ Türkiye İşçi Partisi gönüllüsü! http://youtube.com/watch?v=3z1lSZ… @Asudeniz17</t>
  </si>
  <si>
    <t>ruken</t>
  </si>
  <si>
    <t>pic.twitter.com/J84wkOXzg2</t>
  </si>
  <si>
    <t>no worries at least this planet has namjoon</t>
  </si>
  <si>
    <t>Sınırdaki beton bloklar an itibariyle İş makinaları tarafından kaldırılıyor. #TurkishArmy</t>
  </si>
  <si>
    <t>Bay E #ANDIMIZ#MaviVATAN</t>
  </si>
  <si>
    <t>https://pbs.twimg.com/media/EGbYZPRXUAEV4PU.jpg</t>
  </si>
  <si>
    <t>“Vatan sevgisi; ruhları kurtaran en kuvvetli rüzgârdır..” Atatürk</t>
  </si>
  <si>
    <t>Velit</t>
  </si>
  <si>
    <t>https://pbs.twimg.com/media/EGbYYYuXYAAllo4.jpg</t>
  </si>
  <si>
    <t>Hrü İnşaat Mühendisliği</t>
  </si>
  <si>
    <t>fatma</t>
  </si>
  <si>
    <t>hem zehirsin hem panzehir</t>
  </si>
  <si>
    <t>⚡🇹🇷R_T_E🇹🇷⚡</t>
  </si>
  <si>
    <t>Savaşa hayır diyenler ortadogu toprakları bölünurken masum muslumanlar yerlerinden edilirken canlarina kıyanlara sesiniz çıktımı .? Girin ezin kopartın kafalarıni her daim askerimizin yanındayız...#TurkishArmy</t>
  </si>
  <si>
    <t>🇹🇷La ilahe illallah Muhammedun Resullah🇹🇷</t>
  </si>
  <si>
    <t>Meryem Çelik</t>
  </si>
  <si>
    <t>İyi bilin ki! Yaratmakta Hükmetmekte yalnız O'na aittir. A'raf 54  #TurkishArmy</t>
  </si>
  <si>
    <t>https://pbs.twimg.com/media/D2YF0NLWoAArbB1.jpg</t>
  </si>
  <si>
    <t>Yalnızlık gecelerin, umut bekleyenlerin, hayal çaresizlerin, yağmur sokakların, tebessüm dudakların, Sen ise yalnız benimsin bir tanem…</t>
  </si>
  <si>
    <t>Mehmet Öz Can</t>
  </si>
  <si>
    <t>Evlerin balkonuna bayrak asma zamanı geldi. #TurkishArmy</t>
  </si>
  <si>
    <t>Malatya Sivas</t>
  </si>
  <si>
    <t>Para Var Huzur Yok...</t>
  </si>
  <si>
    <t>https://www.instagram.com/m.ozcnnn/?hl=tr</t>
  </si>
  <si>
    <t>Via</t>
  </si>
  <si>
    <t>#TurkishArmy #deprem #YAMANLARLisesi #iyilik #Syria #PioliOut #carsamba #JIMIN #NobelPrize #HipHopAwards #GOT7 #방탄때문에_한글배웠다 #انقذوا_المهندس_على_ابو_القاسم</t>
  </si>
  <si>
    <t>Erdem Seçkin</t>
  </si>
  <si>
    <t>Ben ırkçıdeğilim ırkımın aşığıyım ,Türk toprağın altındadeğil ise korkun #TurkishArmy</t>
  </si>
  <si>
    <t>https://pbs.twimg.com/media/EGbYW4QXUAAtv97.jpg</t>
  </si>
  <si>
    <t>Celal</t>
  </si>
  <si>
    <t>https://pbs.twimg.com/media/EGbYVq5WwAAL1tJ.png</t>
  </si>
  <si>
    <t>#ComeToBeşiktaş -Süleyman Demirel University Department of History -2nd World war, Turkey's foreign policy -World War II, European history</t>
  </si>
  <si>
    <t>https://suleyman-demirel.academia.edu/celalCanbirdi</t>
  </si>
  <si>
    <t>Hazırlansın Tabutlar Yine Girip Çıkacağız #TurkishArmy</t>
  </si>
  <si>
    <t>https://pbs.twimg.com/media/EGbYUCgXUAAWsuo.jpg</t>
  </si>
  <si>
    <t>Türk Olmak Zordur Çünkü Dünya İle Savaşirsin Türk Olmamak Daha da Zordur Çünkü Türklerle Savaşırsın</t>
  </si>
  <si>
    <t>baskentbekcisi</t>
  </si>
  <si>
    <t>Vur şanlı silahınla gönül mülkü düzelsin; Sen öldürüyorken de vururken de güzelsin! H.NİHAL ATSIZ #TurkishArmy</t>
  </si>
  <si>
    <t>https://pbs.twimg.com/media/EGbYUKoWsAAcNYO.jpg</t>
  </si>
  <si>
    <t>Aslı</t>
  </si>
  <si>
    <t>Dualarımız Sizlerle #TurkishArmy</t>
  </si>
  <si>
    <t>https://pbs.twimg.com/media/EGbYUHvWkAE-JhD.jpg</t>
  </si>
  <si>
    <t>just smile and be happy🌸</t>
  </si>
  <si>
    <t>Selver</t>
  </si>
  <si>
    <t>Allahim ordumuzu muzaffer eylesin #TurkishArmy</t>
  </si>
  <si>
    <t>Kırıkhan, Türkiye</t>
  </si>
  <si>
    <t>Özkan</t>
  </si>
  <si>
    <t>Yıllardır kadın çocuk demeden hain pusularla insanımızı öldüren Bin yıldır birlikte yaşadığı kardeşini amerika-israil rüyasına satanlara karşı operasyon baslamıştır... Haydi Bismillah... #TurkishArmy</t>
  </si>
  <si>
    <t>🇹🇷Şahinbey Belediyesi Meclis Üyesi 🇹🇷/ 💡Adalet ve Kalkınma Partisi Gaziantep İl Gençlik Kolları Stk ve Halkla İliskiler Başkanı ..🛋SADIKoğluHOME🛋</t>
  </si>
  <si>
    <t>Oğuz-han Rousseau</t>
  </si>
  <si>
    <t>#TurkishArmy daima muvaffak olmaya !</t>
  </si>
  <si>
    <t>fly you fools</t>
  </si>
  <si>
    <t>funny game</t>
  </si>
  <si>
    <t>https://arabtechno7.blogspot.com/2019/10/borderlands-3.html</t>
  </si>
  <si>
    <t>https://www.funnygame.info/</t>
  </si>
  <si>
    <t>RUH HASTASI ( özel kelam müdürü)</t>
  </si>
  <si>
    <t>Açılın türk ordusu geliyor #TurkishArmy</t>
  </si>
  <si>
    <t>SuzanneVanDyke</t>
  </si>
  <si>
    <t>insanlar resmen çığırtkan olmuş vallahi pes. #TurkishArmy</t>
  </si>
  <si>
    <t>Uzaydayız, herkesin kafası karışık</t>
  </si>
  <si>
    <t>Kadir</t>
  </si>
  <si>
    <t>https://www.instagram.com/abdullahopa/</t>
  </si>
  <si>
    <t>adacım uyma sen onlara</t>
  </si>
  <si>
    <t>Benim iman dolu göğsüm gibi serhaddim var dizelerinin canlı örnekleri.. #TurkishArmy Rabbim yar ve yardımcınız olsun🇹🇷 RT @serdalcanbolat: Biz dünyanın en iyi askerlerimiz Allah bizi ümmetin başına asker yarattı...🇹🇷 #TurkishArmy</t>
  </si>
  <si>
    <t>https://twitter.com/serdalcanbolat/status/1181864540209852416</t>
  </si>
  <si>
    <t>pic.twitter.com/yN7bcK7UbL</t>
  </si>
  <si>
    <t>✨🌟✨ Ben ada Mekanın sahibiyim ✨🌟✨ #janti 🇹🇷 bizde hep sağ..</t>
  </si>
  <si>
    <t>http://Yazbee.com/ada</t>
  </si>
  <si>
    <t>sercan korkmaz</t>
  </si>
  <si>
    <t>Her TÜRK asker doğar 🇹🇷🇹🇷🇹🇷#TurkishArmy</t>
  </si>
  <si>
    <t>adana</t>
  </si>
  <si>
    <t>Bozkurtlar Ulusun Allah TÜRK'ü Korusun 🇹🇷🇦🇿🐺🤘🏻 🦅 Polis Özel Harekat 🦅</t>
  </si>
  <si>
    <t>Hüseyin Güven</t>
  </si>
  <si>
    <t>https://pbs.twimg.com/media/EGbYNK3XUAAi4R3.jpg</t>
  </si>
  <si>
    <t>Kendi halinde bir RiZELİ</t>
  </si>
  <si>
    <t>murat taşçı🇹🇷</t>
  </si>
  <si>
    <t>Türkiye 🇹🇷 ‘ında Milletimizin kalbini(ruhunu),bedenini(aklını) ezelden ebede kadar temsil eden(❤️Ay,Yıldız❤️ ve ❤️Al,Beyaz❤️) vardır. @acunilicali Abi @azerinofficial Hanım Efendiyi @osesturkiye misafir sanatçı olarak davet eder misin @TV8 #TurkishArmy</t>
  </si>
  <si>
    <t>https://pbs.twimg.com/media/Dniznd9XgAERRei.jpg</t>
  </si>
  <si>
    <t>🇹🇷Türkiye🇹🇷</t>
  </si>
  <si>
    <t>Tarih ve zaman önemli olup, önemini rakamlar gösterir. Akıllı bir insan için;her yeni gün yeni bir hayatın başlangıcıdır.</t>
  </si>
  <si>
    <t>imsweetqueenn</t>
  </si>
  <si>
    <t>Her şey çok güzel olacak dediniz size güvendik ve inanıyoruz fakat söz konusu askerlerimiz olunca bir destek mesajını bile atmaya çekiniyorsunuz. eger birilerinden korkarak İstanbulu temsil edecekseniz çok yazık. size yakıştıramıyorum başkanım. @ekrem_imamoglu #TurkishArmy</t>
  </si>
  <si>
    <t>Mustafa Kemal Atatürk🔥 UltrAslan🔥 🦁</t>
  </si>
  <si>
    <t>AsİgEn</t>
  </si>
  <si>
    <t>Türkün merhametini ve gücünü göreceksiniz #TurkishArmy</t>
  </si>
  <si>
    <t>Aнмєт ƁiƖαƖ Aуɗıη 🇹🇷</t>
  </si>
  <si>
    <t>#TurkishArmy Mazluma yetime kol kanat geren, Zalime hak ettiği dersini veren, Adaleti mülkün temeli bilen, Türkler hesabını kesmeye geldi... Ahmet BİLAL AYDIN</t>
  </si>
  <si>
    <t>https://pbs.twimg.com/media/EGbYLnOXYAAAUkZ.jpg</t>
  </si>
  <si>
    <t>Sana Yöneldim/Mavi Çiçekli Entari/ (Nergis'in Çilesi)/ Seçilmişler yazarı kültürel hesap @_sairce</t>
  </si>
  <si>
    <t>Ozan şentürk</t>
  </si>
  <si>
    <t>Soran olursa Türkler geldi dersiniz. Hoşgeldiniz diyene sahip çıkın. Neden geldiniz diye soranın kafasına sıkın... #TurkishArmy #BarışPınarı #CheGuevara #Diyarbakir 8</t>
  </si>
  <si>
    <t>https://pbs.twimg.com/media/EGbYLAbX0AAk0bJ.jpg</t>
  </si>
  <si>
    <t>Allah'ım! Senden ne gelecekse gelsin. Sen ki Rahmetinle de kahrınla da güzelsin..N.FAZIL KISAKÜREK K7AÜ ŞANLIURFA 👥SMMM(SERBES MUHASEBECI MALI MUSAVIR)ADAYI😎</t>
  </si>
  <si>
    <t>halil ibrahim yıldız</t>
  </si>
  <si>
    <t>Zalimin titrediği mazlumun beklediği şanlı #TurkishArmy 🇹🇷🇹🇷</t>
  </si>
  <si>
    <t>TTA Grup</t>
  </si>
  <si>
    <t>https://pbs.twimg.com/media/EGbYJ6eXYAAxXy1.jpg</t>
  </si>
  <si>
    <t>Türkçülerin Sesi</t>
  </si>
  <si>
    <t>Türk'üz, Türkçüyüz, Atatürkçüyüz</t>
  </si>
  <si>
    <t>http://instagram.com/ttagrup</t>
  </si>
  <si>
    <t>tsdemir</t>
  </si>
  <si>
    <t>Geliyoruz, dünyanın umut ordusu vefalı askeri, zalimin sadece kılıcımızdaki kanı kalacak, aleme tekrar nizam verecek milleti...Ne mutlu Müslümanım diyene #TurkishArmy</t>
  </si>
  <si>
    <t>Dürüstlüğün ve yerinde söylenen kelâmın insanı âla'ya çıkardığını unutmamak Ümidiyle...</t>
  </si>
  <si>
    <t>Orhan Kayıogulları 🇹🇷</t>
  </si>
  <si>
    <t>ERKAN AYDIN</t>
  </si>
  <si>
    <t>#TurkishArmy askere gitmemek için bin türlü dalavere çeviren tipler toplantısımı yapıyorsunuz burada sırtınızda 40 kg'lık yük ve elinizde g3 ile sizleri cephelerde görmek isteriz beyler klavye başında askerlik vardıda bizmi bilmiyoruz</t>
  </si>
  <si>
    <t>TÜRKİYE CUMHURİYETİ VATANDAŞI M. K. ATATÜRK</t>
  </si>
  <si>
    <t>Samed ERKOVAN</t>
  </si>
  <si>
    <t>Ne Mutlu TÜRKüm Diyene! #TurkishArmy #TurkMilletiOrdusununYanında</t>
  </si>
  <si>
    <t>https://pbs.twimg.com/media/EGbYGqBWkAEVQtj.jpg</t>
  </si>
  <si>
    <t>Ben Sero</t>
  </si>
  <si>
    <t>https://pbs.twimg.com/media/EGbYIeDXUAAKuny.jpg</t>
  </si>
  <si>
    <t>Ahh bebeğim, ben hâlâ deliyim...</t>
  </si>
  <si>
    <t>T.C. ⒺⓈⓄ</t>
  </si>
  <si>
    <t>@vdemirbey @TC_Atalente @ATA_fusun @ersinmystical @MKArealist @ay_moon_ay @Cavbella_84 @ysm_akl @Cbozoklar351 @kadturay Sağ salim gidip dönsünler umarım🙏 #TurkishArmy</t>
  </si>
  <si>
    <t>#Atatürk #CHP #Beşiktaş #Alevi #aşkile ❤ Bir insanı layık olmadığı yere koymak zulümdür. Hz. Ali...</t>
  </si>
  <si>
    <t>Sirillo01-Kazım Karabekir🦅🇹🇷</t>
  </si>
  <si>
    <t>2001 yılında, ekonomisi sıfırlanmış bir devleti emanet alan Akp iktidarlarından, abd'ye kafa tutmasını istiyoruz evet. Cidden biz çılgın Türkleriz azizim. Daha da güçlü olacağız inşallah. Yeter ki birlik olabilelim.#TuerkMilletiOrdusununYanında #carsamba #TurkishArmy 🇹🇷🇹🇷🇹🇷</t>
  </si>
  <si>
    <t>Dünyada ki tek mantıklı şey,ÖLÜM. Bu yüzden aklınızı ÖLÜM'ÜNtek sahibi ALLAH'a kiraya verin sadece. Gerisi teferruat.Adanalıyım, dağdaki çobanın akrabasıyım🇹🇷</t>
  </si>
  <si>
    <t>Yasin Solmaz</t>
  </si>
  <si>
    <t>Zalime gazabın mazluma şefkatin uzanır. #TurkishArmy</t>
  </si>
  <si>
    <t>https://pbs.twimg.com/media/EGbYG6ZWwAEsgBA.jpg</t>
  </si>
  <si>
    <t>GreenPointToy</t>
  </si>
  <si>
    <t>#TurkishArmy Trust in God Yolunuz bahtınız açık olsun. Gökler sizi korusun.</t>
  </si>
  <si>
    <t>Hayalgücü var ise tutsaklık sade bir imtihandır.</t>
  </si>
  <si>
    <t>DAMLA KitDam 담라  👑</t>
  </si>
  <si>
    <t>Yazar ✍🏻 ANGEL 🕊 Kore 🇰🇷 Tayland 🇹🇭 #KristPerawat 💛 #Tawan_V 💙 #PerthTanapon 🖤 #Saint_sup ❤️ #ZeePruk 💙#บาสเด็กอ้วนที่แท้จริง 💕#Jungkook 💜</t>
  </si>
  <si>
    <t>https://www.instagram.com/damlaasecgin/</t>
  </si>
  <si>
    <t>Mehmet Deniz Tapınç</t>
  </si>
  <si>
    <t>Vur şanlı silahınla gönül mülkü düzelsin; Sen öldürüyorken de vururken de güzelsin. 🇹🇷🇹🇷 #TurkishArmy #TuerkMilletiOrdusununYanında #BarisPinariHarekati</t>
  </si>
  <si>
    <t>pic.twitter.com/W23Szju4kU</t>
  </si>
  <si>
    <t>RECEP TAYYİP ERDOĞAN 😎 UltrAslan 💛❤️</t>
  </si>
  <si>
    <t>Çağatay Kılbacak</t>
  </si>
  <si>
    <t>Hak etmediği makam ve mevkiiye torpille yerleşmek, yerleştikten sonra dayısına, yeğenine bacanağına torpille ihale vermek. Boyun eğmeyeni tehtitle yada başka birşeyle köşeye sıkıştırıp saf dışı bırakmak.Ya islamı yaşayın yada maskenizi çıkarın #TurkishArmy</t>
  </si>
  <si>
    <t>Kendi mezar taşını yazan bir yerkürede, terbiyeli cesetler gibi davranacak kadar ağırbaşlı olalım.</t>
  </si>
  <si>
    <t>TİMUR CEVHER</t>
  </si>
  <si>
    <t>Türkiye bahtımızdır. Daima yolu açık olsun. Mazlumların dostu "Kahraman Mehmetçik" Allah sizi korusun. #TurkishArmy</t>
  </si>
  <si>
    <t>https://pbs.twimg.com/media/EGbYAmVW4AAowVz.jpg</t>
  </si>
  <si>
    <t>Eğitimci/İşletmeci.Meryem Yağmur'un babası. "Biz doğru oldukça,eğri belasını bulacaktır." http://www.timurcevher.hotmail.com</t>
  </si>
  <si>
    <t>bayrak</t>
  </si>
  <si>
    <t>#BarisPinariHarekati başladı. Aradığınız İmamoğlu'na ulaşılamıyor. Her konuda konuşan adam burada dut yemiş bülbül oldu. #TurkishArmy</t>
  </si>
  <si>
    <t>beynur ece</t>
  </si>
  <si>
    <t>Kökünü kazıyın şerefsizlerin #TurkishArmy</t>
  </si>
  <si>
    <t>sağlıkçılaratamabekliyor</t>
  </si>
  <si>
    <t>Türk askerinin postalları altında ezileceksiniz. #TurkishArmy</t>
  </si>
  <si>
    <t>Erencan Ates</t>
  </si>
  <si>
    <t>#TurkishArmy Her zaman askerimizin yanındayız. İçimi kahreden tek bir şey var oda burada yaşayan çoğu mehmetçikten büyük olan suriyeliler. Vatanınızı bıraktınız bari adamlığınızı yanınıza alsaydınız.</t>
  </si>
  <si>
    <t>https://pbs.twimg.com/media/EGbX6iRW4AM5Akl.jpg</t>
  </si>
  <si>
    <t>Balık burcu</t>
  </si>
  <si>
    <t>Ibrar Butt</t>
  </si>
  <si>
    <t>#TurkishArmy RT @duygusalsehpa: Çocukların korkmadığı tek ordu... #TurkishArmy Allah yardımcınız olsun..</t>
  </si>
  <si>
    <t>Pakistan Zindabad ❤</t>
  </si>
  <si>
    <t>Şamil akkuzu</t>
  </si>
  <si>
    <t>Ya Rab. Sen imanlı Türk ordusunu içerdeki hainlere, dışardaki kafirlere karşı Muzaffer eyle.#TurkishArmy</t>
  </si>
  <si>
    <t>AURANGZAIB ALAMGIR</t>
  </si>
  <si>
    <t>#Turkey Says Its Military Will Cross Syrian Border ‘Shortly’, #TurkishArmy likely to attack #Kurdish militia near #Syria's border in nex 20 hours, #Kurd call up civilians for defence against Turkey 🇹🇷 #Turkish #Syrian</t>
  </si>
  <si>
    <t>https://pbs.twimg.com/media/EGbX6MzX0AI-AYz.jpg</t>
  </si>
  <si>
    <t>Kashmore</t>
  </si>
  <si>
    <t>A neutral un biased analyst. Give credit where credit is due</t>
  </si>
  <si>
    <t>MKA</t>
  </si>
  <si>
    <t>Ayaginiza taş değmesin kınalı kuzularımız #TurkishArmy</t>
  </si>
  <si>
    <t>https://pbs.twimg.com/media/EGbX6gYWkAERN2a.jpg</t>
  </si>
  <si>
    <t>ÖLÜMSUZ OLAN BIR LIDERE SAHIBIM.MUSTAFA KEMAL ATATÜRK TURKIYE CUMHURİYETI VATANDAŞI</t>
  </si>
  <si>
    <t>Halil KUŞKIRA</t>
  </si>
  <si>
    <t>Kahraman Türk Ordumuzun Suriye yapacağı operasyon sonucunda oluşturacağı güvenli bölgeye gönderilecek şanslı mülteciler umarım İstanbul dan seçilir.. 🙂 @srkninci #TurkishArmy</t>
  </si>
  <si>
    <t>http://instagram.com/halilkuskira</t>
  </si>
  <si>
    <t>MFY1453</t>
  </si>
  <si>
    <t>#TurkishArmy #çarşamba #Uzmanıyım #turkmilletiordusununyaninda Allah türk komandosunu korusun ....</t>
  </si>
  <si>
    <t>pic.twitter.com/a7fYpfQ23Z</t>
  </si>
  <si>
    <t>Mayınlarda sessizdir... #MFY #BJK 💪🏾</t>
  </si>
  <si>
    <t>#TurkishArmy Turkish military scares America.</t>
  </si>
  <si>
    <t>Darıca, Türkiye</t>
  </si>
  <si>
    <t>Türkiye Cumhuriyeti 🇹🇷 Biraz eğlenelim,.</t>
  </si>
  <si>
    <t>Ceyhun #BarışPınarı</t>
  </si>
  <si>
    <t>Haddinden fazla özgür bir ülkeyiz. #TurkishArmy</t>
  </si>
  <si>
    <t>Akçakale, Şanlıurfa</t>
  </si>
  <si>
    <t>Harekat boyunca gelişmeler. Son dakikalar</t>
  </si>
  <si>
    <t>Mehmet Çatan</t>
  </si>
  <si>
    <t>Türkiye, Kuzey Suriye'deki Kürtlere yönelik bir operasyona hazır olduğunu açıkladı. Trump'ın uyarılarına rağmen, Türkiye ekonomisi bu savaş nedeniyle çöküyor😡 @RTErdogan #TurkishArmy #Persembe RT @realDonaldTrump: ....understands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</si>
  <si>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Bir insanın size mesaj yazma hızı size verdigi degeri gösterir</t>
  </si>
  <si>
    <t>James Howlett</t>
  </si>
  <si>
    <t>https://pbs.twimg.com/media/EGbX2FdWkAEaZV4.jpg</t>
  </si>
  <si>
    <t>Rıdvan Akçay</t>
  </si>
  <si>
    <t>Biraz Finans, Biraz Adalet.</t>
  </si>
  <si>
    <t>Nesli</t>
  </si>
  <si>
    <t>#TurkishArmy Bütün Türkler bir gün ansızın delirecektir.O zaman tanrı Türk'ü değil sizi korusun!</t>
  </si>
  <si>
    <t>https://pbs.twimg.com/media/EGbX3oZW4AASubx.jpg</t>
  </si>
  <si>
    <t>Psikolojik Danışman</t>
  </si>
  <si>
    <t>Sertaç Arslan</t>
  </si>
  <si>
    <t>Güvenin, umudun, sevginin resmini çiz deseler bu resim yeter..Ayağınıza taş değmesin #TurkishArmy</t>
  </si>
  <si>
    <t>https://pbs.twimg.com/media/EGbX3UwWoAAnBBW.jpg</t>
  </si>
  <si>
    <t>Köksal Köntek</t>
  </si>
  <si>
    <t>Sıkıysa biri bizi durdursun:)) #TurkishArmy</t>
  </si>
  <si>
    <t>Kaanesmer</t>
  </si>
  <si>
    <t>Oyuncu ve kitap kurdu</t>
  </si>
  <si>
    <t>altunay deniz seklice</t>
  </si>
  <si>
    <t>#TurkishArmy #turkey #carsamba #Syria #turk #turkish #istanbul #BarisPinari</t>
  </si>
  <si>
    <t>https://pbs.twimg.com/media/EGbXzWnWoAAOZSF.jpg</t>
  </si>
  <si>
    <t>retweet edilenler kendi görüşlerim değil, haber ve bilgi verme amaçlıdır.beğeni ve retweetler arşiv amaçlıdır.</t>
  </si>
  <si>
    <t>FthYlmz</t>
  </si>
  <si>
    <t>#TurkishArmy ❤️🇹🇷 @TSKGnkur @tcsavunma</t>
  </si>
  <si>
    <t>🌼 Seher</t>
  </si>
  <si>
    <t>Biz ordusu olan bir millet değil, milleti olan bir orduyuz. 🇹🇷 #TurkishArmy</t>
  </si>
  <si>
    <t>https://pbs.twimg.com/media/EGbXxDUWwAAmBEe.jpg</t>
  </si>
  <si>
    <t>#SDÜ 🕊Burası benim özgürlük alanım.</t>
  </si>
  <si>
    <t>Güray</t>
  </si>
  <si>
    <t>https://pbs.twimg.com/media/EGbXxqfW4AAmg_j.jpg</t>
  </si>
  <si>
    <t>hayallerini sattı</t>
  </si>
  <si>
    <t>FHRDYR</t>
  </si>
  <si>
    <t>Birkaç ay önce askerliği kısaltıyoruz diye 130 000 askeri terhis ettiler. Bugünün geleceği apaçık ortada dururken. #TurkishArmy</t>
  </si>
  <si>
    <t>Ali Erden</t>
  </si>
  <si>
    <t>@uzunabdurrahman #TurkishArmy</t>
  </si>
  <si>
    <t>#Aşk delilik biz delinin delisiyiz. #RTE Kul köle ol ki azad olasın, Öl ki hayat bulasın.</t>
  </si>
  <si>
    <t>http://instagram.com/alierdnnn</t>
  </si>
  <si>
    <t>Seyyid Battal Gazi</t>
  </si>
  <si>
    <t>#TurkishArmy is the best. The Turks fight for only God. We are the sword of Islam. GOD IS GREAT!</t>
  </si>
  <si>
    <t>Bağırmayacaktın Anton, artık ağzının yerini biliyorum!</t>
  </si>
  <si>
    <t>Yozgatlı JOKER</t>
  </si>
  <si>
    <t>♠️Kötü bir işin en gizli şahidi vicdandır♠️ 😈Bir kez kaçar uçurtman, sonra gökyüzüne küser insan 👿</t>
  </si>
  <si>
    <t>Salim Aztopal</t>
  </si>
  <si>
    <t>MUSTAFA KEMAL ATATÜRK BEŞİKTAŞ JK</t>
  </si>
  <si>
    <t>CeM ATA</t>
  </si>
  <si>
    <t>pic.twitter.com/5bGbx67PPr</t>
  </si>
  <si>
    <t>Eski İzmir</t>
  </si>
  <si>
    <t>Daima Atatürkçü Mücadele | Öğreniyor⏳| Tek Canını Sıkan: ΔxΔp ≥ h/4π | @Ataturkuz_</t>
  </si>
  <si>
    <t>Hüsamettin Kahya</t>
  </si>
  <si>
    <t>Her devletin askeri vardır Milleti asker olan tek devlet vardır. #TurkishArmy</t>
  </si>
  <si>
    <t>https://pbs.twimg.com/media/EGbXr5VXYAA-G6c.jpg</t>
  </si>
  <si>
    <t>Ghent, Belgium</t>
  </si>
  <si>
    <t>#gurbetci Harcanıp gidiyor ömür dediğin.</t>
  </si>
  <si>
    <t>http://www.kahyahusamettin.com</t>
  </si>
  <si>
    <t>Gökçe</t>
  </si>
  <si>
    <t>Aynı hümanistliği ABD Irak a girerken Suriye ye girerken bütün ortadoğuyu kan gölüne çevirirken de gösterseniz inandırıcı olacak.Mesele iktidar muhalefet meselesi değil.Çocukları öğretmenleri katledenler, abd kuklası devleti kursun mu kurmasın mı meselesi.. #TurkishArmy</t>
  </si>
  <si>
    <t>Sevda</t>
  </si>
  <si>
    <t>Prof. Dr. Celal Şengör</t>
  </si>
  <si>
    <t>Amerika gelirse kan, vahşet, yıkım ve ölüm getiriyor! Kahraman Türk askeri de ABD'nin yıktığı toplumu yeniden böyle inşa ediyor 🇹🇷 #TurkishArmy #çarşamba</t>
  </si>
  <si>
    <t>pic.twitter.com/cRSKzPp4B4</t>
  </si>
  <si>
    <t>İTÜ Avrasya Yer Bilimleri Enstitüsü Jeoloji Profesörü | Not Official Account.</t>
  </si>
  <si>
    <t>http://itu.edu.tr</t>
  </si>
  <si>
    <t>ozcn_sngl</t>
  </si>
  <si>
    <t>Türk ordusu ve Türk halkı bir bütündür. Türk halkı her zaman ordusunun yanında olmuştur ve olacaktır. Önemli olan siyasi iradenin doğru kararlar almasıdır. #TurkishArmy</t>
  </si>
  <si>
    <t>fkrmlla</t>
  </si>
  <si>
    <t>#TurkishArmy vallahi birsey olmamıs olabilir ama kesin birşeyler oldu</t>
  </si>
  <si>
    <t>neydikneolduk</t>
  </si>
  <si>
    <t>Ay yıldız hep yanyana Altında kan kırmızısıyla Tehdit ney la amerika Çok güldük yeter valllaha #TurkishArmy</t>
  </si>
  <si>
    <t>Bilmem</t>
  </si>
  <si>
    <t>Taha</t>
  </si>
  <si>
    <t>Operasyon başlasın #TurkishArmy</t>
  </si>
  <si>
    <t>https://pbs.twimg.com/media/EGbXnkiXYAEGiiR.jpg</t>
  </si>
  <si>
    <t>Kürşad Noyan</t>
  </si>
  <si>
    <t>Büyük Türk Milletinin Kahraman Ordusu, Kılıncınız Keskin Gazanız Mübarek Olsun. #TurkishArmy</t>
  </si>
  <si>
    <t>https://pbs.twimg.com/media/EGbXnVhXkAAFISv.jpg</t>
  </si>
  <si>
    <t>🇹🇷🇦🇿🇹🇲🇺🇿🇰🇿🇰🇬</t>
  </si>
  <si>
    <t>https://tarihereelbak.blogspot.com.tr/</t>
  </si>
  <si>
    <t>Hastasıyız Dedeeeeee.. Ayağınıza Diken Batmasın Ey Şanlı Asker.. #TurkishArmy</t>
  </si>
  <si>
    <t>Burkay Edis</t>
  </si>
  <si>
    <t>Boşuna aramayın dünyada böyle bir ülke daha yok!  #TurkishArmy</t>
  </si>
  <si>
    <t>https://pbs.twimg.com/media/D9-NtWAXYAENlFC.jpg</t>
  </si>
  <si>
    <t>Barış Pınarı Harekatı</t>
  </si>
  <si>
    <t>ABD askerleri olası bir saldırıyı önlemek için Kobani'de PKK ile birlikte devriye atıyor. Operasyonun henüz başlamama sebebi olarak ABD askerlerinin henüz tam olarak çekilmemesi gösteriliyor. #TurkishArmy #BarışPınarı RT @NPA_SY: #BREAKING: A U.S. patrol of six armored vehicles headed to the city of Kobani, to prevent any possible military attack, there.</t>
  </si>
  <si>
    <t>https://twitter.com/NPA_SY/status/1181867750400114689</t>
  </si>
  <si>
    <t>pic.twitter.com/pvYxDWjCDe</t>
  </si>
  <si>
    <t>🌟ŞEYMA1🌟.AK HESAP</t>
  </si>
  <si>
    <t>@DrEmrahdok @istisna38 @trombositkan @Ayse3245 @DrTubaIk1 @MasitaHATUN @NeslihanCmn @ReisbeyHuseyin @Turks_alp @goncalar07 #TurkishArmy</t>
  </si>
  <si>
    <t>🌟MÂLİ MÜŞAVİR🌟</t>
  </si>
  <si>
    <t>tüpçü</t>
  </si>
  <si>
    <t>ona göre arayın burayı #TurkishArmy</t>
  </si>
  <si>
    <t>BEU/57</t>
  </si>
  <si>
    <t>Serap Suvacı</t>
  </si>
  <si>
    <t>Vur şanlı silahınla gönül mülkü düzelsin sen öldürüyorken de vururken de güzelsin..🇹🇷❤ #TurkishArmy</t>
  </si>
  <si>
    <t>ϜϓſϞ ☪ ☁Bulutlara inanın sevgili bayım,şarkılara inanın🎶 çocuklara👧ve çiçeklere🌸🌼 müfredatlarda geçmeyen kitaplara📚 inanın #EkipPayitaht</t>
  </si>
  <si>
    <t>The News 🇹🇷</t>
  </si>
  <si>
    <t>Kuran-ı Kerim’e bomba düzeneği kurup yere koyan ile Kuran-ı Kerim’i yerde komam diyerek şehit olanlar arasındaki bir davadır bu... Hilal ile Haçın savaşıdır. Bugün taşeronu gelir yarın ağababaları... Fark eder mi? İmanlı bir millete farketmez... #TurkishArmy</t>
  </si>
  <si>
    <t>pic.twitter.com/rktE6MFQty</t>
  </si>
  <si>
    <t>The News Türkçe Yayın Hesabı 🎙</t>
  </si>
  <si>
    <t>Emre Ünlü ⚡️</t>
  </si>
  <si>
    <t>Sefer Bizim, Zafer Allah’ındır, Rabbim Bayrağımızı, Ezanımızı, Ordumuzu ve Vatanımızı Muhafaza Eylesin. #TurkishArmy</t>
  </si>
  <si>
    <t>https://pbs.twimg.com/media/EGbXfemXoAACe6h.jpg</t>
  </si>
  <si>
    <t>Ak Parti Sincan İlçe Gençlik Kolları Başkan Yrdmcısı 💡💡💡 Tanıtım Medya Birim Başkanı🇹🇷🇹🇷🇹🇷 Anadolu Üniversitesi / BYYA</t>
  </si>
  <si>
    <t>savaş Türk'ün Bayramıdır ! #TurkishArmy</t>
  </si>
  <si>
    <t>http://instagram.com/yunusaktas10</t>
  </si>
  <si>
    <t>Cengaver</t>
  </si>
  <si>
    <t>#TurkishArmy ALLAH TÜRK KOMANDOSUNU KORUSUN...</t>
  </si>
  <si>
    <t>pic.twitter.com/hJdEKUvDnD</t>
  </si>
  <si>
    <t>tarafsız değil,gerçeklerin yanında' ⭕twitter ⭕facebook ⭕instagram ⭕youtube</t>
  </si>
  <si>
    <t>Emir Koç</t>
  </si>
  <si>
    <t>Yakamoz</t>
  </si>
  <si>
    <t>Sana secde eden ordularına, yenilgi yüzü gösterme Allahım. #TurkishArmy @LALEZARR12 @SonsuzGull @SudeMirayCan @erayyyNihal @tozanbey @efuulimm34 @Kader4665 @58_Yigidom_58 @devletyanlisi @ftm_shn @HuriyeK14405717 @Vatan_SancAK @sevgimrc54 @isaturan0652 @AHMETTEKDEMR @UnalHusniye</t>
  </si>
  <si>
    <t>https://pbs.twimg.com/media/EGbXceJX0AA09k9.jpg</t>
  </si>
  <si>
    <t>Sadece @RTErdogan Çünki o bir dünya lideri. Bendeki seni fark etsen, belki de kendine aşık olurdun.</t>
  </si>
  <si>
    <t>krmcndn</t>
  </si>
  <si>
    <t>KAFİRLER BİZİ İZLİYOR. Suriye Barış Pınarı harekatına karşı milletimizin gösterdiği birlik beraberliği sosyal medya paylaşımlarımızla görüyorlar. Bu nedenle hazır asker olduğumuzu dosta düşmana gösterme zamanıdır. #TurkishArmy</t>
  </si>
  <si>
    <t>Sizi kanun namına tevkif ederek, ellerinizi havaya kaldırıp teslimiyet içerisinde beni takip etmenizi istemiyorum..!</t>
  </si>
  <si>
    <t>http://kerimcandan.blogspot.com</t>
  </si>
  <si>
    <t>🇹🇷Frank Serpico🇹🇷</t>
  </si>
  <si>
    <t>Yanındayız 🇹🇷🇹🇷🇹🇷🇹🇷🇹🇷🇹🇷 #TurkishArmy</t>
  </si>
  <si>
    <t>Vatanına ve çocuklarına aşık bir vatandaş</t>
  </si>
  <si>
    <t>Bay Muhalif</t>
  </si>
  <si>
    <t>ABD Ayn el Arab'a (Kobani) olası saldırıyı önlemek için 6 zırhlı devriye aracı gönderdi. #TurkishArmy Pentagon kendi planlarını devreye sokuyor... RT @NPA_SY: #BREAKING: A U.S. patrol of six armored vehicles headed to the city of Kobani, to prevent any possible military attack, there.</t>
  </si>
  <si>
    <t>Siyasetle ilgilenmeyen aydınları bekleyen sonuç, cahiller tarafından yönetilmeye razı olmaktır.</t>
  </si>
  <si>
    <t>OnurŞentürk1963</t>
  </si>
  <si>
    <t>Kan dökmeyi seven bir millet değiliz ancak; söz konusu vatansa Dünya'nın şah damarını keseriz! rabbim askerimizi korusun tırnağına taş değdirmesin inşallah 🤘🤘🤘 #TurkishArmy</t>
  </si>
  <si>
    <t>Beyza Emirlioğlu</t>
  </si>
  <si>
    <t>Dua edelim inşaAllah...  #TurkishArmy</t>
  </si>
  <si>
    <t>https://pbs.twimg.com/media/D6bylS8X4AA4Lgg.jpg</t>
  </si>
  <si>
    <t>Yanaklarım varken canımı sıkman çok saçma.</t>
  </si>
  <si>
    <t>Muhittin ÇOLAKOĞLU</t>
  </si>
  <si>
    <t>Bartın Merkez, Bartın</t>
  </si>
  <si>
    <t>Trabzonlu/Trabzonsporlu, Evli-Mutlu-Çocuk bekliyor.</t>
  </si>
  <si>
    <t>💛💙Madame Frozen💛💙</t>
  </si>
  <si>
    <t>#TurkishArmy kalbimiz sizinle ❤️ Klavye başından savaşa destek verenleri de şuraya bırakıyorum</t>
  </si>
  <si>
    <t>https://pbs.twimg.com/media/EGbXXxNX0AIIjgz.jpg</t>
  </si>
  <si>
    <t>őZτü®κ</t>
  </si>
  <si>
    <t>Şu selonun koğuşunda tv varmı Trt Haber'i açıp MAL MAL izlesin.... #TurkishArmy</t>
  </si>
  <si>
    <t>pic.twitter.com/P4SstWnnUR</t>
  </si>
  <si>
    <t>Türkiyem</t>
  </si>
  <si>
    <t>Yakından tanımıyorsan uzaktan yargılama kardeşim... Ya olacağız ! Ya öleceğiz !</t>
  </si>
  <si>
    <t>Halit B.</t>
  </si>
  <si>
    <t>oldu olacak ordu canlı yayın yapsın. eveet giriyoruz şu kadar kişiyiz şuradan geliyoruz şunlarla geliyoruz. bu ne lan operasyon gelişmesinden sahada ki askerin haberi olmadan bizim haberimiz oluyor #TurkishArmy #tubayayardımedin #EmineBulut #CheGuevara #BarisPinariHarekati</t>
  </si>
  <si>
    <t>Müyendiz</t>
  </si>
  <si>
    <t>Osman Akbulut</t>
  </si>
  <si>
    <t>https://pbs.twimg.com/media/EGbXXLpWkAEGi0B.jpg</t>
  </si>
  <si>
    <t>Tamer Esmen</t>
  </si>
  <si>
    <t>Ypg, ypj, sdg, pyd yoktur. Sadece pkk vardır. Pkk da, terör örgütü Asala'dan doğmuştur. #TurkishArmy</t>
  </si>
  <si>
    <t>S🌿</t>
  </si>
  <si>
    <t>Korkmakta çok haklısınız.. #TurkishArmy</t>
  </si>
  <si>
    <t>https://pbs.twimg.com/media/EGbXUxsW4AAXxwY.jpg</t>
  </si>
  <si>
    <t>Umutlar ölürse, hayaller de ölür ! Umutsuzluk yok tamam mı ?</t>
  </si>
  <si>
    <t>http://instagram.com/serverthrlr</t>
  </si>
  <si>
    <t>Kurtuluş Kılınç</t>
  </si>
  <si>
    <t>Bence Lezzet Festivali Rakı Festivali döver. Son yazımdan son bölümler.. Yetimler ve Büyükşehir Belediyesi'ne ait otobüslerin servis olarak kullanıldığı ile ilgili düşüncelerim için de şuraya buyurun;  #TurkishArmy #carsamba #EmineBulut #LezzetFestivali</t>
  </si>
  <si>
    <t>http://www.cukurovabarisgazetesi.net/mobil/koseyazisi.php?id=3992</t>
  </si>
  <si>
    <t>https://pbs.twimg.com/media/EGbXVT2XYAACtLh.jpg</t>
  </si>
  <si>
    <t>Adana Seyhan</t>
  </si>
  <si>
    <t>Fikir işçisi... *Gazeteci*</t>
  </si>
  <si>
    <t>http://www.kurtuluskilinc.com</t>
  </si>
  <si>
    <t>Gençosman Ünlütürk 𐱅𐰇𐰼𐰚</t>
  </si>
  <si>
    <t>Fırtınalar dursun yana, yol ver Türk'ün bayrağına. 🇹🇷🇦🇿🇹🇲🇺🇿🇰🇿🇰🇬 #TurkishArmy</t>
  </si>
  <si>
    <t>https://pbs.twimg.com/media/EGbXUc-XkAARY69.jpg</t>
  </si>
  <si>
    <t>Uğurludağ, Çorum</t>
  </si>
  <si>
    <t>Türk'üz, Türkçüyüz, Atatürkçüyüz #TTAgrup | Kick Boks &amp; Muay Thai fighter 🥊💪 | TRABZONSPOR❤️💙</t>
  </si>
  <si>
    <t>https://www.instagram.com/genco_unltrk/</t>
  </si>
  <si>
    <t>Kartal</t>
  </si>
  <si>
    <t>#turkisharmy yakınında</t>
  </si>
  <si>
    <t>Erden Sipahi</t>
  </si>
  <si>
    <t>Ağlayanı güldürmek sevaptır.  #TurkishArmy</t>
  </si>
  <si>
    <t>https://pbs.twimg.com/media/C1mV8CZWEAEaCFa.jpg</t>
  </si>
  <si>
    <t>"Today is a new beginning, a chance to turn your failures into achievements</t>
  </si>
  <si>
    <t>Ayşe Kangal🇹🇷</t>
  </si>
  <si>
    <t>#TurkishArmy TÜRK ORDUSU Ordunun kralı 🇹🇷🇹🇷🇹🇷🇹🇷🇹🇷</t>
  </si>
  <si>
    <t>Kamu Yönetimi/Dokuzeylül Üniversitesi Huk.Fak.Adalet/ İmam Hatipli🇹🇷🇹🇷🇹🇷</t>
  </si>
  <si>
    <t>I love hugo chavez</t>
  </si>
  <si>
    <t>Türk olmayan insanlara "varlığım Türk varlığına armağan olsun" dedirtmek sizce faşizm midir? "9 Ekim" "Haluk Levent" #Uzmanıyım "Natali Avazyan" #EmineBulut #CheGuevara #TurkishArmy #carsamba #tubayayardımedin #GönüllerBirOlsun</t>
  </si>
  <si>
    <t>SerAp 🇹🇷</t>
  </si>
  <si>
    <t>Görünmez ordular yoldaşınız olsun 🇹🇷 #TurkishArmy LA Galibe İllâllah 🇹🇷</t>
  </si>
  <si>
    <t>https://pbs.twimg.com/media/EGbXPgCWoAAGVyi.jpg</t>
  </si>
  <si>
    <t>Lütfen galoş giyiniz</t>
  </si>
  <si>
    <t>Muhtaç olduğun kudret damarlarındaki asil kanda mevcuttur! #TurkishArmy</t>
  </si>
  <si>
    <t>Varlığım Türk varlığına armağan olsun!</t>
  </si>
  <si>
    <t>asr-ı hâzır :::</t>
  </si>
  <si>
    <t>https://pbs.twimg.com/media/EGbXQvqWwAA4Wm0.jpg</t>
  </si>
  <si>
    <t>🇹🇷💛❤️GALATASARAY💛❤🇹🇷</t>
  </si>
  <si>
    <t>TUNCAY DOĞMENÇ</t>
  </si>
  <si>
    <t>https://pbs.twimg.com/media/EGbXPgOXkAAWzfV.jpg</t>
  </si>
  <si>
    <t>kapaktaki kalem uçlu kafa benim</t>
  </si>
  <si>
    <t>https://www.instagram.com/tekisilikmecnun/</t>
  </si>
  <si>
    <t>م.</t>
  </si>
  <si>
    <t>Gördüklerinde tebessümle gözleri kısılan çocuklar biliyorlar ki emin ellerdeler.. #TurkishArmy</t>
  </si>
  <si>
    <t>https://pbs.twimg.com/media/EGbXPjNX0AA4Pm_.jpg</t>
  </si>
  <si>
    <t>Alper AKBULAK</t>
  </si>
  <si>
    <t>Son Dakika PKK'nın güvendiği dağlara kar yağdı uzmanlar uyarıyor Suriye'de fistan fiyatları her an fırlayabilir #TurkishArmy</t>
  </si>
  <si>
    <t>https://pbs.twimg.com/media/EGbXO99WoAEU2ro.png</t>
  </si>
  <si>
    <t>Yağmur'un Babası, Bilgisayar Mühendisi #Beşiktaş #ŞampiyonBeşiktaş 🦅🇹🇷🇦🇿 Former Manager at FM2008 😀 Karapapak</t>
  </si>
  <si>
    <t>https://github.com/alperakbulak/</t>
  </si>
  <si>
    <t>Zeynep ASLAN</t>
  </si>
  <si>
    <t>Birlik beraberlik nasip et Allahım.Bir olan bir milleti yıkmaya kimsenin gücü  içimizde kavga ederiz ama düşmana karşı birleşiriz,Allahın izni ile #TurkishArmy</t>
  </si>
  <si>
    <t>http://yetmez.Biz</t>
  </si>
  <si>
    <t>Haksızlığa susamam!</t>
  </si>
  <si>
    <t>Müslüman, diğer Müslümanların; elinden ve dilinden sâlim olduğu kimsedir.Müslümanlık, güzel ahlâktan ibarettir.(HadisiŞerif)</t>
  </si>
  <si>
    <t>Serap Bağcı🇹🇷</t>
  </si>
  <si>
    <t>1️⃣2️⃣Kudreti sonsuz Rabbimiz Ümmetin Ümidi olan Kadirşinaz,Âlicenap bu Kahraman Necip Milleti her türlü dahili ve harici düşmanların şerrinden muhafaza eylesin... Cenab-ı Allah Yar ve Yardımcımız olsun, Gazamız şimdiden mübarek olsun... #pınarbarısharekatı #TurkishArmy</t>
  </si>
  <si>
    <t>📌AK PARTİ KADIN KOLLARI📌DM ❌📌"SİYASETİN TEK LİMANI AHLAKTIR.!!"</t>
  </si>
  <si>
    <t>Hamza Biçer</t>
  </si>
  <si>
    <t>https://pbs.twimg.com/media/EGbXLJtWkAEiIx4.jpg</t>
  </si>
  <si>
    <t>Selçuk Üniversitesi🎓</t>
  </si>
  <si>
    <t>Ecevit Turaç</t>
  </si>
  <si>
    <t>Bir ermiş olmak istisnadır, dürüst bir insan olmak kuraldır. Yanılın, gücünüzü kaybedin, günah işleyin, ama dürüst olun. -Victor Hugo</t>
  </si>
  <si>
    <t>#TurkishArmy Always ready 💥</t>
  </si>
  <si>
    <t>Strategy</t>
  </si>
  <si>
    <t>yeşim</t>
  </si>
  <si>
    <t>#TurkishArmy ya Allah Bismillah Allah u Ekber</t>
  </si>
  <si>
    <t>Eren Yıldız</t>
  </si>
  <si>
    <t>Herkes görüş ayrılıkların girmiş olabilir yok girilmesin yok girilsin ama tek bir doğru var Türk askeri oradaysa herkes Allah yar ve yardımcınız olsun demeli gerisi fasa fiso Allah yardımcıları olsun zeval vermesin Askerimize #TurkishArmy</t>
  </si>
  <si>
    <t>Galatasaray SK ⭐⭐⭐⭐ Doğu Blok 415</t>
  </si>
  <si>
    <t>https://www.instagram.com/erenyildiz.z/</t>
  </si>
  <si>
    <t>harun kulek</t>
  </si>
  <si>
    <t>zis</t>
  </si>
  <si>
    <t>pic.twitter.com/4DGEFkqg7B</t>
  </si>
  <si>
    <t>@mvpjw 💗</t>
  </si>
  <si>
    <t>Emre Aziz Özkutlu</t>
  </si>
  <si>
    <t>https://pbs.twimg.com/media/EGbXF8BWsAAD8VA.jpg</t>
  </si>
  <si>
    <t>Metehan Ama Kağan Değil</t>
  </si>
  <si>
    <t>#TurkishArmy “İnnâ fetahnâ leke fethan mubînâ.” Allahım kötü haber duymadan bu harekatı bize muzaffer eyle ordumuza güç kuvvet eyle</t>
  </si>
  <si>
    <t>M.Kemal Atatürk</t>
  </si>
  <si>
    <t>ACY</t>
  </si>
  <si>
    <t>Geliyor Türk'ün şanlı ordusu ! #TurkishArmy</t>
  </si>
  <si>
    <t>Fikri hür, Vicdanı hür, İrfanı hür. Bilgi Teknolojileri (IT) Uzmanı. @ParanDijital Kurucu Ortağı.</t>
  </si>
  <si>
    <t>Yılmaz</t>
  </si>
  <si>
    <t>#TurkishArmy Kurtlar domuz avına çıkıyor... Yavrusu olan domuz düşünsün...</t>
  </si>
  <si>
    <t>💛💙 Ticey 💛💙</t>
  </si>
  <si>
    <t>https://pbs.twimg.com/media/EGbXDNsXUAAy93B.jpg</t>
  </si>
  <si>
    <t>Hatun dedigin Fenerbahce'li olur 💛💙 Yess Şehim 🍛🔪</t>
  </si>
  <si>
    <t>HA®BUN 𐱅𐰇𐰼𐰜</t>
  </si>
  <si>
    <t>Savaş sanatını dünya #TurkishArmy'den öğrendi. Şimdi dağ sıçanı itlafı zamanı...! Gün Türk'e ve Türk yurtlarına aysın. #BarisPinari</t>
  </si>
  <si>
    <t>https://pbs.twimg.com/media/EGbXCRmXYAEJILT.jpg</t>
  </si>
  <si>
    <t>#TürkSoycusu #BalkanTürkleri #TürkçüTürkiyeBirliği 🇹🇷 29.Hesap</t>
  </si>
  <si>
    <t>sarılsaydık</t>
  </si>
  <si>
    <t>pic.twitter.com/lIXV1B28Za</t>
  </si>
  <si>
    <t>oysa bi sarılsak hepsi geçecek.</t>
  </si>
  <si>
    <t>http://instagram.com/mesudegurbilek</t>
  </si>
  <si>
    <t>Ceddin Babam</t>
  </si>
  <si>
    <t>Bizim Savaşa Gittiğimizi Zanneden Salaklar 😎Savaş Sürüngenler Ve Farelerle Yapılmaz Tünenele Girenler İle Fistana Sığınanlarla Savaş Mı Yapacaz Sandınız Düğüne Gidiyoruz 😎 #TurkishArmy</t>
  </si>
  <si>
    <t>Vatan hastalığı diye bir hastalığımız var. Allah şifa vermesin....</t>
  </si>
  <si>
    <t>🇹🇷 ϜϓſϞ</t>
  </si>
  <si>
    <t>Şimdi kim MAL MAL izliyor görüyoruz 🇹🇷🤘😎 #TurkishArmy</t>
  </si>
  <si>
    <t>pic.twitter.com/ZoNVaXjtOL</t>
  </si>
  <si>
    <t>Aslolan GALATASARAY</t>
  </si>
  <si>
    <t>Necmettin Demir</t>
  </si>
  <si>
    <t>Sen barısı götüren Mehmetçiklerimizi koru Rabbim Biz onları yanlızca sana emanet ettik kınalayıp ellerini..... #TurkishArmy</t>
  </si>
  <si>
    <t>https://pbs.twimg.com/media/EGbXApBWoAAgxSb.jpg</t>
  </si>
  <si>
    <t>Allahın Oldugu Kalp'te Gam Olmaz Olamazda... Aslan Burcu 💛Fenerbahçe💙 ANKARA/TÜRKİYE</t>
  </si>
  <si>
    <t>Murat ÇİFTCİ</t>
  </si>
  <si>
    <t>Ebabiller geliyor... #TurkishArmy</t>
  </si>
  <si>
    <t>Nusret BAŞÇİFCİ</t>
  </si>
  <si>
    <t>#TurkishArmy Sömürgeciler bir düzen kurar. Taaa ki biz gelene kadar. America is biggest terrost,imperialist state in the all world. My friend are kurds. My enemy are pkks and extensions</t>
  </si>
  <si>
    <t>Sad Kids</t>
  </si>
  <si>
    <t>https://pbs.twimg.com/media/EGbW7GQWwAA_3Il.jpg</t>
  </si>
  <si>
    <t>Nadim Gözcü</t>
  </si>
  <si>
    <t>Etrafımız o kadar çirkefle dolu ki, temiz kalmak için bir tek çare kendi dünyamıza çekilmek ve muhitle, hiç olmazsa manen, alakamızı kesmektir.- Sabahattin Ali</t>
  </si>
  <si>
    <t>sumuklu yucurta</t>
  </si>
  <si>
    <t>Şimdi suriyede olup savaşmak isterdim ama maalesef ki bir jandarma hem de santralci jandarma oldum. Neyse bu da vatana bir hizmet tabi ama orada daha bir şevkle savaşırdım #TurkishArmy</t>
  </si>
  <si>
    <t>İzmir(köy)</t>
  </si>
  <si>
    <t>💵=96</t>
  </si>
  <si>
    <t>Halil İbrahim Güney</t>
  </si>
  <si>
    <t>ALLAHUEKBER Türkler Geliyor... #TurkishArmy</t>
  </si>
  <si>
    <t>https://pbs.twimg.com/media/EGbW5pdWkAAQn3b.jpg</t>
  </si>
  <si>
    <t>Eskişehir Teknik Üniversitesi</t>
  </si>
  <si>
    <t>A.Doğukan Doğan</t>
  </si>
  <si>
    <t>Al bayragın gölgesinde... #TurkishArmy</t>
  </si>
  <si>
    <t>https://pbs.twimg.com/media/EGbW44NWwAEu0Zf.jpg</t>
  </si>
  <si>
    <t>Ecz. Ali Çolak</t>
  </si>
  <si>
    <t>Kimsenin canına karışacak değiliz, bizim canımıza karışan da bırak kendi düşünsün... #TurkishArmy</t>
  </si>
  <si>
    <t>Çayyolu, Ankara</t>
  </si>
  <si>
    <t>Ankara Üniversitesi Eczacılık Fakültesi 19''🎓 #190719 #iyikivarsıneren</t>
  </si>
  <si>
    <t>http://instagram.com/ecz.alicolak/</t>
  </si>
  <si>
    <t>Mehmet Çetin</t>
  </si>
  <si>
    <t>pic.twitter.com/9KwC6LnDr9</t>
  </si>
  <si>
    <t>derya</t>
  </si>
  <si>
    <t>“Dünyanın hiçbir ordusunda,seninkinden daha temiz,daha sağlam bir askere rastgelinmemiştir” M.Kemal Atatürk🇹🇷🇹🇷 #TurkishArmy 🇹🇷🇹🇷</t>
  </si>
  <si>
    <t>https://pbs.twimg.com/media/EGbW4kPWsAEHidl.jpg</t>
  </si>
  <si>
    <t>Şevval Nurdan Turan</t>
  </si>
  <si>
    <t>Rabbim yardımcımız olsun ayağınıza taş değmesin Allah’ın askerleri #TurkishArmy</t>
  </si>
  <si>
    <t>Bir edebiyat antolojisi ve genç şair ve laura yazarı</t>
  </si>
  <si>
    <t>Abdulmaguid</t>
  </si>
  <si>
    <t>Türkiye'yi ve halkını koru Allah'ım اللهم احفظ تركيا و أهلها من كل شر، و من صهاينة العرب و شياطينهم و ارفع اللهم رايات اخوة لنا في العقيدة و حقق غاياتهم و انصر جيشهم 🙏 #TurkishArmy #BarısPınarıHarekatı</t>
  </si>
  <si>
    <t>https://pbs.twimg.com/media/EGbW3wdXYAE_Rt8.jpg</t>
  </si>
  <si>
    <t>Dallas, TX</t>
  </si>
  <si>
    <t>‏جزى الله من قال ( أنت ذا هممت بامر فتدبر عاقبته فان يك خيراً ورشداً فاتبعه، وان يك غياً فاجتنبه)</t>
  </si>
  <si>
    <t>Gökyüzü Kadar Sonsuz</t>
  </si>
  <si>
    <t>-Economy -Technology -Science Otokoç Ford Otomotiv Referenced 🏃‍♀️ Türk🇹🇷 Turan🤲🤲 Atatürk aydınlıktır, medeniyettir, bilimdir.</t>
  </si>
  <si>
    <t>Mir'at Haber</t>
  </si>
  <si>
    <t>Yunus EKŞİ yazdı: Zamlar ve Yeni Ekonomik Program  #carsamba #TurkishArmy #EmineBulut #çarşamba Haluk Levent Dünya Bankası Bakan Akar'dan AKP'li Ünal 9 Ekim Merkez Bankası'ndan</t>
  </si>
  <si>
    <t>http://www.mirathaber.com/zamlar-ve-yeni-ekonomik-program/</t>
  </si>
  <si>
    <t>https://pbs.twimg.com/media/EGbW3blWkAIbwrQ.jpg</t>
  </si>
  <si>
    <t>Semih YUMURTACI⚡</t>
  </si>
  <si>
    <t>"Bizim orada ne işimiz var?" Bizim orada istiklâlimiz var, bizim orada istikbâlimiz var, bizim orada kardeşliğimiz, huzurumuz var. Bizim orada, yıllardır Türkiye'ye çektirmeye çalıştıkları meselenin tamamen bitirilmesi konusunda bir irademiz var. #TurkishArmy</t>
  </si>
  <si>
    <t>https://pbs.twimg.com/media/EGbW1ThX0AAT_Qt.jpg</t>
  </si>
  <si>
    <t>Trabzonspor ❤️💙</t>
  </si>
  <si>
    <t>‏‏‏لا تحزن ان الله معنا Hüzünlenme ALLAH Bizimledir Kastamonu.-Tosya</t>
  </si>
  <si>
    <t>Necla Nar</t>
  </si>
  <si>
    <t>Rabbani müslümanlarla Batının taşeronları arasında derin bir uçurum vardır. #TurkishArmy</t>
  </si>
  <si>
    <t>Düşümü gerçekleştirmekten korkuyorum, çünkü o zaman yaşamak için bir sebebim olmayacak. -Paulo Coelho</t>
  </si>
  <si>
    <t>Murat Yumusakkaya</t>
  </si>
  <si>
    <t>Vallahi , Yoktur dünyada emsalin Eritir dağları kor yüreğin. Ana , Korkmuyor bu yiğitler ölümden Sorana Türkler geldi diyor Hoşgeldin diyene sahip çıkıyor Neden geldiniz diyenin kafasına sıkıyorlar Ana ... #TurkishArmy #BarışPınarı</t>
  </si>
  <si>
    <t>https://pbs.twimg.com/media/EGbW0bQX0AECtD8.jpg</t>
  </si>
  <si>
    <t>Suçlamak, anlamaktan daha kolaydır... Çünkü anlarsan , değişmen gerekir .</t>
  </si>
  <si>
    <t>Yıkık</t>
  </si>
  <si>
    <t>Şunu cümle alem bilsin, Savaş Türk'ün düğünüdür. Yiğitlik ona şan olsun, Savaş Türk'ün düğünüdür. Fırtına gibi koparız, Biz yalnız Hakka taparız. Düğün gibi cenk yaparız, Savaş Türk'ün düğünüdür. #TurkishArmy</t>
  </si>
  <si>
    <t>Murat KASALI</t>
  </si>
  <si>
    <t>Ordu sefere çıkmışsa tartışmalar biter. Arkasından dua edilir, Muzaffer olması dilenir. Aksini söyleyen ve dahi düşünen haindir. #TurkishArmy</t>
  </si>
  <si>
    <t>https://pbs.twimg.com/media/EGbW0EeXUAAiRSI.jpg</t>
  </si>
  <si>
    <t>𝐆𝐚𝐦𝐳𝐞.</t>
  </si>
  <si>
    <t>Quel plaisir 🇹🇷💪🏻 #TurkishArmy</t>
  </si>
  <si>
    <t>pic.twitter.com/EStB9d6ljr</t>
  </si>
  <si>
    <t>Turquie</t>
  </si>
  <si>
    <t>𝑌𝑜𝑙𝑢𝑚𝑢𝑧 𝘩𝑎𝑘, 𝑑𝑎𝑣𝑎𝑚ı𝑧 𝐴𝑘.</t>
  </si>
  <si>
    <t>Hilal Türk</t>
  </si>
  <si>
    <t>Yıllar önce kendi sınırlarımızı savunmak için varımızla yoğumuzla savaştık ve bunun dersini tüm dünyaya verdik. Şimdi de kendi sınırlarımızı korumak bizim hakkımız ve ben eminim ki #TSK unutanlar için bir ders tekrarı yapacaktır. #TurkishArmy</t>
  </si>
  <si>
    <t>𐰚𐰃𐰞𐰀𐰞 𐱅𐰇𐰼𐰚 She-wolf</t>
  </si>
  <si>
    <t>anam babam</t>
  </si>
  <si>
    <t>BJK SADECE BJK</t>
  </si>
  <si>
    <t>ido 🍂</t>
  </si>
  <si>
    <t>https://pbs.twimg.com/media/EGbWx54XkAAQGE3.jpg</t>
  </si>
  <si>
    <t xml:space="preserve">Soma - İzmir, Türkiye </t>
  </si>
  <si>
    <t>sessizliğimi zayıflıkla karıştırmayın</t>
  </si>
  <si>
    <t>https://www.instagram.com/id0bey/?hl=tr</t>
  </si>
  <si>
    <t>caferakkaya</t>
  </si>
  <si>
    <t>#TurkishArmy Atatürk 14 Ocak 1923 başlayan Batı Anadolu gezisi sırasındaki yaptığı konuşma ile geçmişi ve geleceği anlatır gibiydi: ''Efendiler; bütün dünyayı istila ederken sahip olduğumuz nüfusu hatırlayınız. Bir de bugün nüfusumuzun sekiz milyon kadar az bir rakama, bir</t>
  </si>
  <si>
    <t>Amerikan köpeklerini yokedelim #TurkishArmy</t>
  </si>
  <si>
    <t>Çünkü insan daima sevdiğiyle sınanır. 🇹🇷</t>
  </si>
  <si>
    <t>Topal Sivri Sinek</t>
  </si>
  <si>
    <t>Haklı olan daima kazanır Haksız olan inançsızdır kaybeder #TurkishArmy</t>
  </si>
  <si>
    <t>Yüzüne söyleyemeyeceğim sözü yazmam.</t>
  </si>
  <si>
    <t>Yusuf ERKUL 🇹🇷</t>
  </si>
  <si>
    <t>Mescidi Aksa sadece Filistin'in değil tüm Ümmedi Muhammed'in ortak meselesidir.</t>
  </si>
  <si>
    <t>Çağrı BEY</t>
  </si>
  <si>
    <t>#çarşamba #TurkishArmy #turkmilletiordusununyaninda @dbdevletbahceli @MHP_Bilgi</t>
  </si>
  <si>
    <t>pic.twitter.com/0ltfu8iKvF</t>
  </si>
  <si>
    <t>PendikLİ</t>
  </si>
  <si>
    <t>Sınırlarımızın için de ve dışında,sınır hatlarında tüm vatandaşlarımıza gelecek olan tehlikelere karşı önlem alan @TSKGnkur @EmniyetGM asker,polislerimize ve devleti idare edenlere tşk ederim kazasız belasız ülkemiz terör belasından ve destekçilerden korunur inş #TurkishArmy</t>
  </si>
  <si>
    <t>İnsan sevdiğiyle yaşlanmalı ❤️</t>
  </si>
  <si>
    <t>Haluk RAUFOGLU</t>
  </si>
  <si>
    <t>#TurkishArmy Rabbi yessir vela tuassir , Rabbi temmim bil hayr.. Rabbim "#TurkishArmy'na" kolaylaştır, zorlaştırma. Rabbim "#TurkishArmy'nu" hayırla sonuçlandır...</t>
  </si>
  <si>
    <t>Salim Balta</t>
  </si>
  <si>
    <t>AK Parti insanları dinden soğutuyormuş. aslında paradan soğutması lazım çünkü adamların hedefi din değil para. #TurkishArmy</t>
  </si>
  <si>
    <t>“Gençliği anlamaz hale gelmişseniz, dünyadaki işiniz bitmiş demektir” Hz. Ali</t>
  </si>
  <si>
    <t>MaRzİpAn 🇹🇷</t>
  </si>
  <si>
    <t>Çok sevmişsek ne olmuş..?</t>
  </si>
  <si>
    <t>Kerim Turan</t>
  </si>
  <si>
    <t>https://pbs.twimg.com/media/EGbWn-KXYAEZngg.jpg</t>
  </si>
  <si>
    <t>İnegöl, Bursa</t>
  </si>
  <si>
    <t>Karaşahin_İst</t>
  </si>
  <si>
    <t>@SOJTFOIR @acikistihbarat Hey Us specops!! Why erased your tweet?? #TurkishArmy</t>
  </si>
  <si>
    <t>https://pbs.twimg.com/media/EGbWne9XoAAgOW4.jpg</t>
  </si>
  <si>
    <t>HASAN ÜNSAL</t>
  </si>
  <si>
    <t>#BarışPınarı Tarih bizi izliyor, Tarih bizi çağırıyor #TurkishArmy @unsalmusavir_</t>
  </si>
  <si>
    <t>Selçuklu/Konya</t>
  </si>
  <si>
    <t>Mânevi Silahınızı kuşandınızmı</t>
  </si>
  <si>
    <t>Osman Duran🇹🇷🤘</t>
  </si>
  <si>
    <t>Hazırlansın tabutluklar yine girip çıkıcaz 🇹🇷🇹🇷 #TurkishArmy</t>
  </si>
  <si>
    <t>https://pbs.twimg.com/media/EGbWmASWkAATB4k.jpg</t>
  </si>
  <si>
    <t>🇹🇷Mustafa Kemal Atatürk🇹🇷 Albem Bilişim Kayseri Distribütörü 🇹🇷 Kayseri🇹🇷 AKÜ📖📚</t>
  </si>
  <si>
    <t>Onur MHC</t>
  </si>
  <si>
    <t>Onlar korkularından denizi zincirleyecek kadar akıllı ise, biz gemileri karadan yürütebilecek kadar deliyiz. #TurkishArmy #TurkishArmy</t>
  </si>
  <si>
    <t xml:space="preserve">Ş e h r - i     T r a b z o n </t>
  </si>
  <si>
    <t>Keskin bıçak olmak için çok çekiç yedik, daha da çekiç kaldıran olursa kafasına geçiririz.</t>
  </si>
  <si>
    <t>mübin</t>
  </si>
  <si>
    <t>#TurkishArmy RT @slmhktn: Türk komandolarını gören teröristler: Aman Tanrım Türkler geliyor #OperationPeaceSpring #KurdsSideWithTurkey</t>
  </si>
  <si>
    <t>https://twitter.com/slmhktn/status/1181355105037307904</t>
  </si>
  <si>
    <t>Fedai</t>
  </si>
  <si>
    <t>Yaşasın devlet Var olsun TÜRK ORDUSU SEFER BİZDEN ZAFER ALAHTAN 🇹🇷🇹🇷 #TurkishArmy</t>
  </si>
  <si>
    <t>https://pbs.twimg.com/media/EGbWjuOXoAE-uzr.jpg</t>
  </si>
  <si>
    <t>Mermaid idyle</t>
  </si>
  <si>
    <t>Allah'ım askerlerimizi korusun♥️#TurkishArmy</t>
  </si>
  <si>
    <t>İzmir'li bir denizkızı🧜🏻‍♀️ ⚖️ona göre yorum yapalım⚖️</t>
  </si>
  <si>
    <t>Su Özavcı</t>
  </si>
  <si>
    <t>Kulun Rabbine en yakın olduğu hal, secde ederkenki halidir. İşte bu sebeple (secdede) çok dua etmeye bakın! Hz Muhammed #TurkishArmy</t>
  </si>
  <si>
    <t>https://pbs.twimg.com/media/D2KxDfVXQAAr8p7.jpg</t>
  </si>
  <si>
    <t>Piri Reis Üniversitesi</t>
  </si>
  <si>
    <t>dasda</t>
  </si>
  <si>
    <t>Hazır, daima hazır. #TurkishArmy</t>
  </si>
  <si>
    <t>MeteHan</t>
  </si>
  <si>
    <t>Dağlar demirden dediler, deldik. Türk'ün bileği çeliktendi, öğrettik!🇹🇷🇹🇷🇹🇷#TurkishArmy</t>
  </si>
  <si>
    <t>https://pbs.twimg.com/media/EGbWfUaWoAAT3pi.jpg</t>
  </si>
  <si>
    <t>🇹🇷Dadaşlar 🇹🇷Türkiye🇹🇷</t>
  </si>
  <si>
    <t>Dalgalansın göklerde; millet sevinsin! Bayrak nâmus demektir, namussuzlar ne bilsin!☞☪.FENERBAHÇE💙💛</t>
  </si>
  <si>
    <t>Meczub</t>
  </si>
  <si>
    <t>Teröristleri vururken Nusret taklidi yapan bir Türk pilotu ♡ #TurkishArmy 🇹🇷</t>
  </si>
  <si>
    <t>pic.twitter.com/R8CxBDhNsj</t>
  </si>
  <si>
    <t>Nuri Pakdil'in Yüreği..♡KUDÜS</t>
  </si>
  <si>
    <t>🍁İyileşmek için önce hasta olmak gerek🍁 🌾Yetiştirebilmek için yetişmeye talibim🌾</t>
  </si>
  <si>
    <t>Raine</t>
  </si>
  <si>
    <t>@marcowenjones #TurkishArmy is trending globally right now, with most of the tweets having tonally similar messages. After reading your previous studies, makes me wonder if all those accounts are legit people or not.</t>
  </si>
  <si>
    <t>Galata1905saray</t>
  </si>
  <si>
    <t>Savulun gavurun maşaları #TurkishArmy geliyor</t>
  </si>
  <si>
    <t>Galatasaray'ın olduğu yerde umut tükenmez..</t>
  </si>
  <si>
    <t>öncevatan</t>
  </si>
  <si>
    <t>🇹🇷🇹🇷🇹🇷 gazanız mübarek ola yiğitler. #TurkishArmy</t>
  </si>
  <si>
    <t>https://pbs.twimg.com/media/EGbWdXRXoAEEI3o.jpg</t>
  </si>
  <si>
    <t>Yusuf Dereli</t>
  </si>
  <si>
    <t>Vur şanlı silahınla gönül mülkü düzelsin Sen vururken de öldürürken de güzelsin... #TurkishArmy</t>
  </si>
  <si>
    <t>https://pbs.twimg.com/media/EGbWWn5X0AEKd1t.jpg</t>
  </si>
  <si>
    <t>agricultural engineer</t>
  </si>
  <si>
    <t>Gökbörü</t>
  </si>
  <si>
    <t>Tanrı Türk ırkına yardımcı olsun. #BarisPinari #turkmilletiordusununyaninda #TurkishArmy</t>
  </si>
  <si>
    <t>ideolojimi çok merak ediyorsan; militarist türkçü</t>
  </si>
  <si>
    <t>Ebru Selvan</t>
  </si>
  <si>
    <t>Kafadaki Kippa'ya dikkat. Kürtler Siyonizm için Hayati öneme sahip... Vaat edilmiş Topraklardan ibaret büyük İsrail'i Dolduracak kadar Yahudi olmadığı için köleleştirdikleri Kürtleri yerleştirecekler.  #TurkishArmy</t>
  </si>
  <si>
    <t>https://pbs.twimg.com/media/D95OEc1X4AE_3z5.jpg</t>
  </si>
  <si>
    <t>Herkesin işine yaradığı kadar iyisin bu hayatta… -Nejat İşler</t>
  </si>
  <si>
    <t>Zift</t>
  </si>
  <si>
    <t>#TurkishArmy Allah birdir, Ordusu Türk’tür! Zulmün ve Emperyalizmin karşısında Son Kale Yüce Türk Ordusudur.</t>
  </si>
  <si>
    <t>https://pbs.twimg.com/media/EGbWbeLWwAA_oev.jpg</t>
  </si>
  <si>
    <t>RTE...DVM...BJK...TÜRKİYE 🇹🇷🇹🇷🇹🇷🇹🇷🇹🇷🇹🇷🇹🇷🇹🇷🇹🇷</t>
  </si>
  <si>
    <t>jenny’s baby 🥺💜</t>
  </si>
  <si>
    <t>who taught it was about us and not the army army #TurkishArmy</t>
  </si>
  <si>
    <t>bts 131019 &amp; ateez 120419 🥰 london day1and2 &amp; paris day1and2🥺💜</t>
  </si>
  <si>
    <t>https://curiouscat.me/seokjinsatans?t=1562796193</t>
  </si>
  <si>
    <t>Harp Sanatı</t>
  </si>
  <si>
    <t>Yazılım dili olarak hangisini kullanıyorsunuz? #eminebulut #TurkishArmy #yazılım #programming #Csharp #Java</t>
  </si>
  <si>
    <t>Harp Sanatı Devlet için Hayati Derecede Önemlidir. Ana faktörler: Moral Kanunu, Kainat, Dünya, Komutanlık, Metot Ve Disiplin. Bizim Anamızda Babamızda Devlettir</t>
  </si>
  <si>
    <t>sener koseoglu</t>
  </si>
  <si>
    <t>Aslan parçaları #TurkishArmy</t>
  </si>
  <si>
    <t>Salim Avcı💛❤️</t>
  </si>
  <si>
    <t>#SONDAKİKA! ▪️Yabancı ajanslar, an itibariyle Türk Silahlı Kuvvetleri’nin Milli ordu birlikleriyle birlikte bölgeye girdiğini açıkladı! #TurkishArmy</t>
  </si>
  <si>
    <t>Kastamonu Merkez, Kastamonu</t>
  </si>
  <si>
    <t>Takdir Edilmek Değil , Anlaşılmaktır Önemli Olan.. Sonra Dedimki.İyiki Galatasaraylıyım...💛❤️</t>
  </si>
  <si>
    <t>Cihad</t>
  </si>
  <si>
    <t>Trust in friends, fear in enemies. (Dosta güven, düşmana korku.) #TurkishArmy</t>
  </si>
  <si>
    <t>https://pbs.twimg.com/media/EGbWYl_W4AES5wu.jpg</t>
  </si>
  <si>
    <t>İSTANBUL / RİZE</t>
  </si>
  <si>
    <t>ÜSTÜNLÜK ANCAK TAKVA'DADIR. Sakarya Üniversitesi mezunu Metalurji ve Malzeme Mühendisi #reis</t>
  </si>
  <si>
    <t>https://www.instagram.com/c.osmanagaoglu/?hl=tr</t>
  </si>
  <si>
    <t>ÖğrenciyeSat</t>
  </si>
  <si>
    <t>https://pbs.twimg.com/media/EGbWVSeXUAAOfY5.jpg</t>
  </si>
  <si>
    <t>Öğrencilere yönelik kiralık ev bakabilir, 2. el eşya ve kitap alıp satabilirsiniz; ayrıca ev arkadaşı ve iş ilanlarından size en uygun olanı seçebilirsiniz.</t>
  </si>
  <si>
    <t>http://www.ogrenciyesat.com</t>
  </si>
  <si>
    <t>Barbaros Çavuşoğlu</t>
  </si>
  <si>
    <t>Muhammed'in ordusu geliyor...! #TurkishArmy</t>
  </si>
  <si>
    <t>https://pbs.twimg.com/media/EGbWVngWwAAXkdn.jpg</t>
  </si>
  <si>
    <t>TARİH ÖĞRETMENİ... 🖋️🖋️🖋️NET TARİH🇹🇷🇹🇷🇹🇷 NİĞDE ÖMER HALİSDEMİR 🖋️🖋️🖋️ÜNİVERSİTESİ FEN EDEBİYAT FAKÜLTESİ TARİH BÖLÜMÜ📔👔🖋️ brbrs.frkn(instagram)</t>
  </si>
  <si>
    <t>basri sepik</t>
  </si>
  <si>
    <t>basri sepik @basrisepik · 3d kim için ne için tam anlayamadım bu işi yarın inşaallah olmaz şehit haberleri gelirse ailelerin durumunu kimse anlamayacak ateş düştüğü yeri yakacak filler tepişiyor abd-rusya kim kimin dostu düşmanı belli mi... #TurkishArmy</t>
  </si>
  <si>
    <t>Nezih Dönertaş</t>
  </si>
  <si>
    <t>bundan sonra kimse bana unuttun beni demesin, gereksizmişsin beynim seni silmiş der geçerim. çünkü zeki olmak bunu gerektirir... #TurkishArmy</t>
  </si>
  <si>
    <t>"Nothing can dim the light which shines from within" -Maya Angelou</t>
  </si>
  <si>
    <t>Eyüp</t>
  </si>
  <si>
    <t>Allah Türk’ü Korusun ve Yüceltsin. (Amin) #TurkishArmy</t>
  </si>
  <si>
    <t>Takipçi istemiyorum. Ok?</t>
  </si>
  <si>
    <t>Ozan Avcı</t>
  </si>
  <si>
    <t>"Türkiye canımız #TurkishArmy</t>
  </si>
  <si>
    <t>@Fenerbahce 💛💙 🦂</t>
  </si>
  <si>
    <t>Büyük kartal veya kanuni :) 🇹🇷🇹🇷</t>
  </si>
  <si>
    <t>https://pbs.twimg.com/media/EGbWUAKWwAMkwLd.jpg</t>
  </si>
  <si>
    <t>Devlet_i ebed müddet fikrindeyim.</t>
  </si>
  <si>
    <t>Salih</t>
  </si>
  <si>
    <t>Tengri miz menen #TurkishArmy</t>
  </si>
  <si>
    <t>Galatasaray taraftarı /sıradan bir işçi</t>
  </si>
  <si>
    <t>mehdi</t>
  </si>
  <si>
    <t>Sınırları kanla çizilmiş vatanın etrafında kansızları barındırmayız! #TurkishArmy</t>
  </si>
  <si>
    <t>Bizimkisi bir aşk hikayesi siyah beyaz film gibi biraz...BEŞİKTAŞ🦅</t>
  </si>
  <si>
    <t>sam5un5por</t>
  </si>
  <si>
    <t>Ya ALLAH BİSMİLLAH #TurkishArmy</t>
  </si>
  <si>
    <t>SAMSUNDA DA</t>
  </si>
  <si>
    <t>🇹🇷 KIZIL ELMA</t>
  </si>
  <si>
    <t>🇹🇷 "Atalarımızın destanlarını masal mı sandın? Onlar bebe uyutmak için değil, Adam uyandırmak için..." #TurkishArmy</t>
  </si>
  <si>
    <t>M.Ö. 8000 ~ 751 ~ 1071 ~ 1299 ~ 1453 ~ 1915 ~ 1923 ∞ Taş kırılır, tunç erir ama Türklük ebedidir!</t>
  </si>
  <si>
    <t>Fehmi ÇOPUR</t>
  </si>
  <si>
    <t>yahya ŞENGÜL🇹🇷</t>
  </si>
  <si>
    <t>@suleymansoylu Çocukların korkmadığı tek ordu 🇹🇷 Rabbim yar #vE yardımcımız olsun İnşaALLAH Sefer bizden Zafer Aleldmlerin Rabbi #Allah CC lü den #AllahBizimledir #BarisPinariHarekati #TurkishArmy #carsamba #Çarşamba</t>
  </si>
  <si>
    <t>https://pbs.twimg.com/media/EGbWRPXXoAAP-Or.jpg</t>
  </si>
  <si>
    <t>@ObirMeczup ❝ Şahsi Danışman| ❞ Adını hatırlayan son kişi öldüğünde, hiç doğmamış olacağız. Hayat işte..</t>
  </si>
  <si>
    <t>Koray Aydın</t>
  </si>
  <si>
    <t>Yıllardır dilimizde hep bu şarkı Bir gece ansızın gelebiliriz.. 🇹🇷🇹🇷 #TurkishArmy</t>
  </si>
  <si>
    <t>samet💡💡</t>
  </si>
  <si>
    <t>R.T.E istanbul Ak Parti CUMHURBAŞKANI RTE</t>
  </si>
  <si>
    <t>ValiBey</t>
  </si>
  <si>
    <t>Zalime gazabın mazluma şefkatin uzanır.. Ey şanlı ordu ey şanlı asker.. #TurkishArmy</t>
  </si>
  <si>
    <t>https://pbs.twimg.com/media/EGbWQbpXkAAjcZQ.jpg</t>
  </si>
  <si>
    <t>Musul, Kerkük valisi.. Adı ümmet olan bir sevdanın aşığı..</t>
  </si>
  <si>
    <t>ali umut</t>
  </si>
  <si>
    <t>Amerikan diki ile gerdeğe girenler şimdi nereye kacacaksiniz. Vefalı Türk geliyor yol ver Türk'ün bayrağına #TurkishArmy</t>
  </si>
  <si>
    <t>Memo1907</t>
  </si>
  <si>
    <t>pic.twitter.com/UQDW4OGseb</t>
  </si>
  <si>
    <t>Хусейн Баш</t>
  </si>
  <si>
    <t>http://instagram.com/huseyinbas_</t>
  </si>
  <si>
    <t>Enes Duran</t>
  </si>
  <si>
    <t>Vur şanlı silahınla gönül mülkü düzelsin sen vuruyorkende öldürüyorken de güzelsin... #TurkishArmy</t>
  </si>
  <si>
    <t>Karadeniz Teknik Üniversitesi ( Beşiktaşk )</t>
  </si>
  <si>
    <t>şarap yes votka no</t>
  </si>
  <si>
    <t>Acaba şu hastaga cevap kaç kişi gidip kendisi savaşırdı cafede oturup tweet atması kolay #TurkishArmy</t>
  </si>
  <si>
    <t>mutluluğu kaybedenler klubu sunar Çukurova diş</t>
  </si>
  <si>
    <t>Kepez Şifa</t>
  </si>
  <si>
    <t>#TurkishArmy #hacamat</t>
  </si>
  <si>
    <t>https://pbs.twimg.com/media/EGbWMzqXkAAZP2K.jpg</t>
  </si>
  <si>
    <t>#hacamat #ozon #biorezonans #hipnoz</t>
  </si>
  <si>
    <t>http://www.kepezsifa.com</t>
  </si>
  <si>
    <t>Recep Çelik</t>
  </si>
  <si>
    <t>İslam sancağının son neferleri allah yar ve yardımcınız olsun !! siz dünyanın en güçlü ordususunuz ! #TurkishArmy</t>
  </si>
  <si>
    <t>Simple man</t>
  </si>
  <si>
    <t>Pelinsu Gökmen</t>
  </si>
  <si>
    <t>AKP'nin haksızlıklarını ve hatalarını eleştiriyor. Vakti zamanında fetö'yü de çok eleştirmiş ama şimdi fetö'den içeride. Yarın devran döner bu sefer AKP'li olduğu için tutuklanırsa hiç şaşırmam.  #TurkishArmy</t>
  </si>
  <si>
    <t>pic.twitter.com/lSDZgqZMFx</t>
  </si>
  <si>
    <t>Dokuz doğurdum yalnızlığında. Gel de sahip çık çocuklarına.</t>
  </si>
  <si>
    <t>Ahmet Akdoğan</t>
  </si>
  <si>
    <t>Hazırlansın tabutluklar, yine girip çıkacağız! 🇹🇷🇹🇷🇹🇷🇹🇷🇹🇷🇹🇷 #TurkishArmy #eniyicevap #carsamba #AllahBizimledir #BarisPinariHarekati #Birilerivar #deprem #YAMANLARLisesi</t>
  </si>
  <si>
    <t>https://pbs.twimg.com/media/EGbWL7XX0AA7M9e.jpg</t>
  </si>
  <si>
    <t>Cânım İstanbul...</t>
  </si>
  <si>
    <t>Bizim için özgürlük yanliz Allah 'a köle olunca başlar ... Yenilik açık,başkalaşım kapalı!. -Kendi halinden hallice...</t>
  </si>
  <si>
    <t>http://Instagram.com/ahmt.akdgn</t>
  </si>
  <si>
    <t>H Murat Dincer</t>
  </si>
  <si>
    <t>https://pbs.twimg.com/media/EGbWJRYWkAAl46d.jpg</t>
  </si>
  <si>
    <t>aprınçur</t>
  </si>
  <si>
    <t>Vur, senin darbenden çıkacak ateş İntikam isteyen bir milletindir; Alnında doğacak kırmızı güneş, Bu senin ilâhî hürriyetindir!.. #TurkishArmy</t>
  </si>
  <si>
    <t>bjk'nin öz evladı @besiktas</t>
  </si>
  <si>
    <t>murat aydoğdu</t>
  </si>
  <si>
    <t>https://pbs.twimg.com/media/EGbWJiEWkAUJpAr.jpg</t>
  </si>
  <si>
    <t>#SOMTEMAYAPIİNŞAAT #genaralMenager</t>
  </si>
  <si>
    <t>▫️</t>
  </si>
  <si>
    <t>Kılıç kınından çıkmadıkça it sürüsü dağılmaz.⚔🇹🇷 #TurkishArmy</t>
  </si>
  <si>
    <t>Her derd-i daim beşer.</t>
  </si>
  <si>
    <t>Call of Cuchu 🐍</t>
  </si>
  <si>
    <t>#TurkishArmy = #Daesh</t>
  </si>
  <si>
    <t>Viviamo su una placida isola di ignoranza nel mezzo del nerazzurro mare dell'infinito, e non era destino che navigassimo lontano.</t>
  </si>
  <si>
    <t>siyahbeyaz34</t>
  </si>
  <si>
    <t>Dosta güven, düşmana korku veren #TurkishArmy 🇹🇷 Allah yardımcınız olsun... Dualarımız Kahraman Ordumuza...🇹🇷</t>
  </si>
  <si>
    <t>https://pbs.twimg.com/media/EGbWIQPXoAE50OH.jpg</t>
  </si>
  <si>
    <t>Birgün degil hergün❤Beşiktaşk🖤🏁🇹🇷 #Boğa🌷 🇹🇷🇹🇷🇹🇷</t>
  </si>
  <si>
    <t>metin ülgen</t>
  </si>
  <si>
    <t>Ulan #tranp dünyanın içine ettiniz yetmedi şimdi o g..tle bize bulaşıyorsunuz, bak eşkiya başı.. Biz Türkler ordusu olan bir millet değil, milleti ordu olan bir milletiz. #MustafaKemalAtatürk #TurkishArmy</t>
  </si>
  <si>
    <t>https://pbs.twimg.com/media/EGbWG_FWkAAkK4j.jpg</t>
  </si>
  <si>
    <t>sakarya</t>
  </si>
  <si>
    <t>Birlik ve beraberlik ölümden başka her şeyi yener, - Mustafa Kemal Atatürk -</t>
  </si>
  <si>
    <t>Fatih Çelik</t>
  </si>
  <si>
    <t>Ne Mutlu TÜRK'üm Diyene. Rabbim Türk Ordusunun Yar ve Yardımcısı Olsun. #TurkishArmy</t>
  </si>
  <si>
    <t>https://pbs.twimg.com/media/EGbWHOAX0AEeLN7.jpg</t>
  </si>
  <si>
    <t>NE MUTLU TÜRK'ÜM DİYENE 🇹🇷| @trabzonspor @kuzeytarafi #DeliceSever</t>
  </si>
  <si>
    <t>B E R K İ N</t>
  </si>
  <si>
    <t>Soran olursa Türkler geliyor dersiniz. Dosttuna sahip çıkan, düşmanına kan kusturan #TurkishArmy</t>
  </si>
  <si>
    <t>ultrAslan 💪🏻 🇹🇷🇧🇬</t>
  </si>
  <si>
    <t>https://www.instagram.com/berkindurgut/</t>
  </si>
  <si>
    <t>nurettin</t>
  </si>
  <si>
    <t>Tatar ramazana selam oyun bozmaya devam😂 #TurkishArmy</t>
  </si>
  <si>
    <t>Malta</t>
  </si>
  <si>
    <t>Sefayıldırım</t>
  </si>
  <si>
    <t>https://pbs.twimg.com/media/EGbWELqWkAE0GH7.jpg</t>
  </si>
  <si>
    <t>Tanrı Türk'ü korusun!</t>
  </si>
  <si>
    <t>https://www.instagram.com/sefaylldrm0/</t>
  </si>
  <si>
    <t>Nâm-ı Diğer Tiryâkî</t>
  </si>
  <si>
    <t>Those peoples never give up to you.Try what you can do best.İf u lucky, you can save yourself from this homicide. C'mon "unmatched wisdom". #TurkishArmy RT @realDonaldTrump: As I have stated strongly before, and just to reiterate, if Turkey does anything that I, in my great and unmatched wisdom, consider to be off limits, I will totally destroy and obliterate the Economy of Turkey (I’ve done before!). They must, with Europe and others, watch over...</t>
  </si>
  <si>
    <t>https://twitter.com/realDonaldTrump/status/1181232249821388801</t>
  </si>
  <si>
    <t>Bilecik Şeyh Edebali Unıversıty Şair / Yazar / Mühendis</t>
  </si>
  <si>
    <t>https://open.spotify.com/user/l0rd%E2%82%A90ld%E2%82%ACm0rt?si=vu1WNWc9TiGDqL33-q7oew</t>
  </si>
  <si>
    <t>Mirac🇹🇷</t>
  </si>
  <si>
    <t>@LindseyGrahamSC There is happiness where we are. There are tears where you are #TurkishArmy 🇹🇷🇹🇷🇹🇷</t>
  </si>
  <si>
    <t>https://pbs.twimg.com/media/EGbWDW9WoAAFR2O.jpg</t>
  </si>
  <si>
    <t>Herkes korktuğundan kaçar,yalnız Allah'tan korkan Ona yaklaşır..</t>
  </si>
  <si>
    <t>Derviş</t>
  </si>
  <si>
    <t>https://pbs.twimg.com/media/EGbWCnXX0AAGgVg.jpg</t>
  </si>
  <si>
    <t>lisanı Hâl</t>
  </si>
  <si>
    <t>dar-ı dünya</t>
  </si>
  <si>
    <t>İnsan mukadder telakki ettiği şeyleri kabule her zaman hazır...</t>
  </si>
  <si>
    <t>T.C BAHADIR ÖCAL/ YOZGAT</t>
  </si>
  <si>
    <t>Ecdadımızın heybeti ma’rûf-ı cihandır, Fıtrat değişir sanma bu kan yine o kandır 🇹🇷 #BarışPınarı #TurkishArmy</t>
  </si>
  <si>
    <t>YOZGAT MİLLİYETÇİ-ÜLKÜCÜ-KIZILELMA-TURAN</t>
  </si>
  <si>
    <t>rasim yılmaz</t>
  </si>
  <si>
    <t>#TurkishArmy yolunuz açık olsun.. Şanlı Türk Ordusu</t>
  </si>
  <si>
    <t>https://pbs.twimg.com/media/EGbWCIlWkAA_p9s.jpg</t>
  </si>
  <si>
    <t>Niğde / Türkiye</t>
  </si>
  <si>
    <t>Ziraat Mühendisi - 2009-2014 ZMO Niğde İl Tem.. 2014-2019 CHP Niğde İl Genel Meclis Üyesi.. 2019 Niğde Belediye Başkan Adayı..</t>
  </si>
  <si>
    <t>http://www.chp.org.tr</t>
  </si>
  <si>
    <t>ErayŞEN</t>
  </si>
  <si>
    <t>önce2002sonra</t>
  </si>
  <si>
    <t>#TurkishArmy Hainsen, zalimsen kork. Mazlumsan korkma sığın. #BarisPinari #BarisPinariHarekati #BarısPınarlarıHarekatı</t>
  </si>
  <si>
    <t>Basit örnek, basit karşılaştırma, basit anlatım, derin anlam. Anlayana. Bizi birleyen değerlere sahip çıkalım, bölenleri dinlemeliyim. Bir, iri, diri olalım.</t>
  </si>
  <si>
    <t>Suha🇹🇷</t>
  </si>
  <si>
    <t>#TurkishArmy savaş Türk'ün düğünüdür!</t>
  </si>
  <si>
    <t>Ulu Önder Mareşal Gazi Mustafa Kemal ATATÜRK 🇹🇷〽️ Yaşa Mustafa Kemal Paşa Yaşa! Facebook/Suha Baltacı İnstagram/@suhabltc https://youtu.be/A2WIkmQMwow</t>
  </si>
  <si>
    <t>Nadir Özer</t>
  </si>
  <si>
    <t>Onlar ki, faydasız işlerden ve Boş sözlerden yüz çevirirler.[Muminun-3  #TurkishArmy</t>
  </si>
  <si>
    <t>https://pbs.twimg.com/media/D5tGg2dX4AAlXmf.jpg</t>
  </si>
  <si>
    <t>Günün birinde hepimiz sonsuza dek susacağız onun için sevdiklerimize .. seni seviyorum .. demekten çekinmeyin!</t>
  </si>
  <si>
    <t>🇹🇷🇹🇷SenSarıyLaKırmızı🇹🇷🇹🇷</t>
  </si>
  <si>
    <t>https://pbs.twimg.com/media/EGbWBeFWwAEXh2u.jpg</t>
  </si>
  <si>
    <t>Sonsuza Kadar Adalet Sonsuza Kadar Hürriyet.</t>
  </si>
  <si>
    <t>Oğuz the Great and Unmatched</t>
  </si>
  <si>
    <t>Seninleyiz #TurkishArmy</t>
  </si>
  <si>
    <t>Uzun yola çıkmaya hüküm giydim.</t>
  </si>
  <si>
    <t>http://cambodia.org</t>
  </si>
  <si>
    <t>Harun KARATAŞ</t>
  </si>
  <si>
    <t>https://pbs.twimg.com/media/EGbWA5jWkAAbk0Y.jpg</t>
  </si>
  <si>
    <t>Vedat</t>
  </si>
  <si>
    <t>İndirin hepsini asagi #TurkishArmy</t>
  </si>
  <si>
    <t>Emrah Bozkurt</t>
  </si>
  <si>
    <t>pic.twitter.com/wjlJX1GsP1</t>
  </si>
  <si>
    <t>H A L İ M .</t>
  </si>
  <si>
    <t>Dağlar demirdendi dediler Türk'ün yüreği çeliktendi öğrettik. #TurkishArmy 🇹🇷🇹🇷🇹🇷🇹🇷</t>
  </si>
  <si>
    <t>Dertlendim yerine HOKELENDİM demeyi bilmeli bir İnsan 😇</t>
  </si>
  <si>
    <t>http://Instagram.com/halimm7</t>
  </si>
  <si>
    <t>Rıdvan ACAR 🇹🇷REİS</t>
  </si>
  <si>
    <t>#TurkishArmy is coming for justice and humanrights.</t>
  </si>
  <si>
    <t>Vatan sana canım feda, istikamet KIZILELMA</t>
  </si>
  <si>
    <t>Orhun Çet</t>
  </si>
  <si>
    <t>Florya / İstanbul</t>
  </si>
  <si>
    <t>Faber est suae quisque fortunae ▲ // Bilgi University IR</t>
  </si>
  <si>
    <t>http://instagram.com/cetorhun</t>
  </si>
  <si>
    <t>Aytekin Gülaçtı</t>
  </si>
  <si>
    <t>#TurkishArmy Bayrama hazırlanın çocuklar.</t>
  </si>
  <si>
    <t>Ünye, Türkiye</t>
  </si>
  <si>
    <t>Ulusun Korkma. Selçuklu hayranı</t>
  </si>
  <si>
    <t>tayfunk63</t>
  </si>
  <si>
    <t>Sadece trumpun bu açıklmasına binayen (şimdi istanbul boğazından göteborg boğazına gitmesinler) biraz şerefi olan, haysiyetli, bende bu ülkenin evladıyım, bu ülke için herşeyi yaparım diyerek özür dileyecek onurlu insanlar aranıyor ? #TurkishArmy</t>
  </si>
  <si>
    <t>https://pbs.twimg.com/media/EGbV76tWsAAApCc.jpg</t>
  </si>
  <si>
    <t>entony stark</t>
  </si>
  <si>
    <t>curasik parka çevirdiniz iyice burayı</t>
  </si>
  <si>
    <t>Ah be tam da ıphone almayı düşünüyodum üzgünüm #Trump böyle yapmamalıydın. **param olmadığından falan değil yani. #TurkishArmy :))</t>
  </si>
  <si>
    <t>δεν υπάρχει τίποτα εδώ</t>
  </si>
  <si>
    <t>ALPAGU</t>
  </si>
  <si>
    <t>Uyuma lan pkk ayık ölün isteriz #TurkishArmy</t>
  </si>
  <si>
    <t>EY TÜRK SELAM OLSUN SANA</t>
  </si>
  <si>
    <t>https://pbs.twimg.com/media/EGbV6brWoAEylg6.jpg</t>
  </si>
  <si>
    <t>AK PARTİ KARAKÖPRÜ</t>
  </si>
  <si>
    <t>ALLAH' tan başka GALİP YOKTUR! 🇹🇷 Hazırlansın tabutluklar, yine girip çıkacağız! Bayrağımızda gözü olanın, yurduna mezar kazacağız! #TurkishArmy #OperationPeaceSpring @RTErdogan @byildiz63 @saitagann @zabeyazgul @MetinBaydilli @Akparti</t>
  </si>
  <si>
    <t>pic.twitter.com/vKXciQYina</t>
  </si>
  <si>
    <t>Karaköprü, Şanlıurfa</t>
  </si>
  <si>
    <t>AK Parti Karaköprü İlçe Başkanlığı Resmi Twitter Hesabı | Karaköprü | Şanlıurfa</t>
  </si>
  <si>
    <t>http://www.akpartisanliurfa.org.tr/</t>
  </si>
  <si>
    <t>Paü/Aek</t>
  </si>
  <si>
    <t>basri türk</t>
  </si>
  <si>
    <t>#turkisharmy operasyon fiilen başlamıştır.Rabbim sen zaferler nasip et.</t>
  </si>
  <si>
    <t>Yaşama hakkı kutsaldır,</t>
  </si>
  <si>
    <t>fh0126🇹🇷</t>
  </si>
  <si>
    <t>#TurkishArmy Turkish soldier is the most merciful soldier in the world</t>
  </si>
  <si>
    <t>pic.twitter.com/StErGvXs0B</t>
  </si>
  <si>
    <t>Şırnak Merkez, Şırnak</t>
  </si>
  <si>
    <t>Canı, cananı, bütün varımı alsın da hüda, Etmesin tek vatanımdan beni dünyada cüda. ⭐🌙</t>
  </si>
  <si>
    <t>abis</t>
  </si>
  <si>
    <t>#TuerkMilletiOrdusununYanında #turkmilletiordusununyaninda #TurkishArmy RT @_berkaysaglam: Dikkat kesilin bu sese... Bu gelen Türk ordusudur! #turkmilletiordusununyaninda #TurkishArmy</t>
  </si>
  <si>
    <t>https://twitter.com/_berkaysaglam/status/1181508333477548035</t>
  </si>
  <si>
    <t>https://pbs.twimg.com/media/EGWPjLoWsAsYhzt.jpg</t>
  </si>
  <si>
    <t>Hayallerimin altını mı çiziyorum üstünü mü belli değil! AÜ|Architecture 📐</t>
  </si>
  <si>
    <t>OLCAY</t>
  </si>
  <si>
    <t>Yeniden başlıyoruz 🇹🇷🇹🇷 #TurkishArmy</t>
  </si>
  <si>
    <t>https://pbs.twimg.com/media/EGbV1QcXoAAJx-o.jpg</t>
  </si>
  <si>
    <t>9 Eylül Üniversitesi - O gemi bir gün gelecek 🙋‍♂️</t>
  </si>
  <si>
    <t>Tgrl🇹🇷𐱅𐰇𐰼𐰰🇹🇷</t>
  </si>
  <si>
    <t>Biz Türküz oğul. Savaşmadan ölmek bizim kaderimizde yok. Yiğit askerlerimizin ayağına taş değmesin. Rabbim ordumuzu muzaffer kılsın. Tanrı Türk’ü Korusun ve Yüceltsin! Ne Mutlu Türk’üm Diyene ! #TurkishArmy</t>
  </si>
  <si>
    <t>https://pbs.twimg.com/media/EGbV0-mWkAAgZE_.jpg</t>
  </si>
  <si>
    <t>TR-25°40-27°30D-39°27-40°45K</t>
  </si>
  <si>
    <t>TÜRK ! ÖNCE VATAN ! BAŞBUĞ GAZİ MUSTAFA KEMAL ATATÜRK! Büyük FENERBAHÇE'li, kendi felsefesini yaşar. Doğa ile deniz mutlaka olacak.</t>
  </si>
  <si>
    <t>Chao 🇺🇦🇹🇷</t>
  </si>
  <si>
    <t>#TurkishArmy Allah hepsini korusun.. bir askerimizin bile burnu kanamadan gidip gelin isallah</t>
  </si>
  <si>
    <t>Fenerbahçe💛💙 / 𐱅𐰼𐰇𐰰 /</t>
  </si>
  <si>
    <t>Ertürk🇹🇷ERDOĞAN</t>
  </si>
  <si>
    <t>@erayyyNihal @RTErdogan @dbdevletbahceli @_yusufosmanli @tozanbey @AsiHurrem24 @realimage06 @vali1071 @58_Yigidom_58 @SudeMirayCan @ErolDoruk15 @n_ecdad @ertan080808 #TurkishArmy ŞANLI TÜRK ORDUSU SINIRI GEÇTİ. DEĞMESİN DİYE MABEDİME NAMAHREM ELİ .YA ALLAH @Sinemerdogann95 @Erdogansinem @_Erdogan_rte @_Erturk__ @islim_gul63 @_yusufosmanli @tozanbey @AsiHurrem24 @realimage06 @vali1071 @58_Yigidom_58 @SudeMirayCan @ErolDoruk15</t>
  </si>
  <si>
    <t>https://pbs.twimg.com/media/EGbVxzeWsAAKjds.jpg</t>
  </si>
  <si>
    <t>🇹🇷 Davamız Îlâyı Kelimetullah'dır. 🇹🇷</t>
  </si>
  <si>
    <t>eşek dikeni</t>
  </si>
  <si>
    <t>#TurkishArmy ⚖🇹🇷🇹🇷🇹🇷🇹🇷🇹🇷⛓️</t>
  </si>
  <si>
    <t>Uğur Karip</t>
  </si>
  <si>
    <t>Çırpınırdın Karadeniz Bakıp Türk'ün bayrağına Ah ölmeden bir görseydim Düşebilsem toprağına Sırmalar sarsam koluna İnciler dizsem yoluna Fırtınalar dursun yana Yol ver Türk'ün bayrağına AÇIN YOLLARI #TurkishArmy geliyor</t>
  </si>
  <si>
    <t>Dost meclisinde muhabbet, çay ile demlenir.</t>
  </si>
  <si>
    <t>CryptoStar</t>
  </si>
  <si>
    <t>Ordu mensupları başka ülkelerdeki gibi toplama olmadığı, kendi milletinin evlatları oldugu icin merhametli, vicdanlı, düşmana korku, mazluma huzur veren tek ordu. #TurkishArmy Allah yardımcımız olsun.</t>
  </si>
  <si>
    <t>Small-Sized Investor, Prof. Özgür Demirtaş Fan, Kitap Kurdu</t>
  </si>
  <si>
    <t>Bartuğ Can</t>
  </si>
  <si>
    <t>pic.twitter.com/dvwPRktHDC</t>
  </si>
  <si>
    <t>Vatansever Yedek hesap @bartugcan1</t>
  </si>
  <si>
    <t>Yusuf Gür</t>
  </si>
  <si>
    <t>Bizim ilde doğan olur baz olur, Kara taşa pençe vursa iz olur. Bir yiğide yedi kâfir az olur! Orduları kürüyecek #Bozkurdum! #TurkishArmy</t>
  </si>
  <si>
    <t>Erkan</t>
  </si>
  <si>
    <t>Heybetini gizli tut yiğidim..Duruşun ölümü korkutuyor🇹🇷🇹🇷🇹🇷🇹🇷🇹🇷 #TurkishArmy</t>
  </si>
  <si>
    <t>https://pbs.twimg.com/media/EGbVwa0WkAECdKH.jpg</t>
  </si>
  <si>
    <t>Diyap Ağa</t>
  </si>
  <si>
    <t>“Dünyanın hiçbir ordusunda yüreği seninkinden daha temiz, daha sağlam bir askere rastlanmamıştır." Mustafa Kemal Atatürk #TurkishArmy</t>
  </si>
  <si>
    <t>Gün akşamlıdır devletlûm.</t>
  </si>
  <si>
    <t>أحمد تركي - Ahmed Türki</t>
  </si>
  <si>
    <t>YPG, Türkiye ile İsrail'in kurmak istediği Arzı Mevud arasına tampon bölge olmak için gönüllü olmuştur. Türkiye Fırat Kalkanı ile bunun kapısına ayağını koymuştu. Şimdi #BarısPınarlarıHarekatı ile kapıyı kırıp atacağız inşAllah. #TurkishArmy</t>
  </si>
  <si>
    <t>Yazar / Kimya Mühendisi ve tabii ki "STRATEZİST, ANALİZT, FUÇURİZT, TİNKER, DİZİTAL/SOZYAL MEDYA UZMENİ 32 kısım tekmili birden" :-)</t>
  </si>
  <si>
    <t>Nagi 1,5 üst</t>
  </si>
  <si>
    <t>Biz ordusu olan bir millet değil, milleti olan bir orduyuz #TurkishArmy</t>
  </si>
  <si>
    <t>https://pbs.twimg.com/media/EGbVuWaWsAAdpKE.jpg</t>
  </si>
  <si>
    <t>merhaba duvarıma hoş geldiniz arkadaşlar hoş mu geldiniz şimdi siktirip gidin</t>
  </si>
  <si>
    <t>http://www.instagram.com/dopedude__</t>
  </si>
  <si>
    <t>Kıvanç Aydıner</t>
  </si>
  <si>
    <t>“Şüphesiz namaz, ALLAH’a derinden saygı duyanlardan başkasına ağır gelir.”(Bakara Sûresi, 45. #TurkishArmy</t>
  </si>
  <si>
    <t>Muhammet Durdu</t>
  </si>
  <si>
    <t>#TurkishArmy Cenabı Allah yâr ve yardımcınız olsun. Kalbimiz ve dualarımızla yanınızdayız.</t>
  </si>
  <si>
    <t>Geleceğin Yazarı</t>
  </si>
  <si>
    <t>#Turkey #TurkishArmy #BarisPinariHarekati #Türkiye #Turkish #Şiir</t>
  </si>
  <si>
    <t>https://pbs.twimg.com/media/EGbVrRXXYAUeTnI.jpg</t>
  </si>
  <si>
    <t>Zaman hep aleyhte işler http://www.facebook.com/geleceginyazari</t>
  </si>
  <si>
    <t>http://www.instagram.com/gelecegin.yazari</t>
  </si>
  <si>
    <t>İKÜ</t>
  </si>
  <si>
    <t>https://www.instagram.com/halil.tayfur/</t>
  </si>
  <si>
    <t>Eminsu</t>
  </si>
  <si>
    <t>Sen vuruyorken de öldürüyorken de güzelsin #TurkishArmy</t>
  </si>
  <si>
    <t>@fenerbahce</t>
  </si>
  <si>
    <t>Selçuk Şirin🇹🇷</t>
  </si>
  <si>
    <t>@HasipKAPLAN Eyyy CHP; Bak bu hasip ne diyor? Hâlâ HDP'yi siyasi parti sanmaya devam edin. Canlı kalkanların arasına karbon kağıdı koyup en üsttede seni oturtarak öyle sevecez hasip🇹🇷 Kaçış yok hasip🇹🇷 Öpecez hasip🇹🇷 Hasiptir ordan hasip🇹🇷 #TurkishArmy #Sözverdimbirkere</t>
  </si>
  <si>
    <t>Kâlû-Belâ'da #Sözverdimbirkere Dönemem🙏</t>
  </si>
  <si>
    <t>Chinaski</t>
  </si>
  <si>
    <t>Ne çok gülmüşümdür keskin pençeleri olmadığı için kendini iyi zanneden zayıflara. Friedrich Nietzsche #TurkishArmy</t>
  </si>
  <si>
    <t>Bira sarhoşu ruhum dünyanın bütün noel ağaçlarından daha hüzünlüdür.</t>
  </si>
  <si>
    <t>özel eğitim uzmanı</t>
  </si>
  <si>
    <t>N💕</t>
  </si>
  <si>
    <t>Tuğcan</t>
  </si>
  <si>
    <t>https://pbs.twimg.com/media/EGbVnEcWoAA8QUJ.jpg</t>
  </si>
  <si>
    <t>�dil Topçu</t>
  </si>
  <si>
    <t>EGEMENLİK KAYITSIZ ŞARTSIZ ALLAH'INDIR!(ENAM) 57  #TurkishArmy</t>
  </si>
  <si>
    <t>https://pbs.twimg.com/media/D2YGl3UWkAA63dv.jpg</t>
  </si>
  <si>
    <t>Ardahan Üniversitesi</t>
  </si>
  <si>
    <t>Allah şifalar versin.</t>
  </si>
  <si>
    <t>#TurkishArmy Eyyy Allahım ! Adını senin Rasulü’nün isminden alan Ordumuzu - Mehmetciklerimizi muzaffer eyle ve muhafaza eyle. Bedir ve Uhud’da Rasülüne ve ordusuna yardım ettiğin gibi yardım eyle , güç ver, kudret ver, cesaret ver, kahramanca galip gelmelerini nasib eyle.</t>
  </si>
  <si>
    <t>Bir namazım, bir duam, bir de eski seccadem. Hepsi hepsi bu kadar, işte benim sermayem. Necip Fazıl Kz</t>
  </si>
  <si>
    <t>garden kuzimato</t>
  </si>
  <si>
    <t>BREAKING..Bloomberg News Agency says Turkish forward troops begin crossing into Northeast Syria,near Tal Abyad and Rasulayn regions.. @CNN @cnnbrk @NBCNews @FoxNews @CBSNews @ABC @business @latimes @MSNBC @BBCBreaking @France24 @CNBC #TurkishArmy @washingtonpost</t>
  </si>
  <si>
    <t>commentator,sports fan.</t>
  </si>
  <si>
    <t>https://pbs.twimg.com/media/EGbVmI1X0AAFqs4.jpg</t>
  </si>
  <si>
    <t>İnsana güvenme ölür ağaca yaslanma kurur.</t>
  </si>
  <si>
    <t>Mehmet GÜNEŞ</t>
  </si>
  <si>
    <t>“Gez-göz-arpacık” şiarıyla kuş misali avlarken yağıyı, dillerinde tek slogan: Korkaklıkta ar, ilerlemekte şeref var! #TurkishArmy</t>
  </si>
  <si>
    <t>https://pbs.twimg.com/media/EGbVluCW4AIGmi3.jpg</t>
  </si>
  <si>
    <t>İSTANBUL / ŞANLIURFA</t>
  </si>
  <si>
    <t>"EMİROĞLU" BARTIN ÜNİVERSTESI 🇹🇷 GALATASARAY ⭐️⭐️⭐️⭐️http://Instagram.com/mehmet.guness</t>
  </si>
  <si>
    <t>Fırat Çinici</t>
  </si>
  <si>
    <t>Ya devlet başa ya kuzgun leşe. #TurkishArmy</t>
  </si>
  <si>
    <t>https://pbs.twimg.com/media/EGbVlDyWwAAZxxh.jpg</t>
  </si>
  <si>
    <t>Erzurum</t>
  </si>
  <si>
    <t>Sosyal Bilgiler Öğretmeni Devlet-i Ebed Müddet 🇹🇷</t>
  </si>
  <si>
    <t>Gokhan Sahin</t>
  </si>
  <si>
    <t>Turkey Backed National Army 150 Vehicled Massive Convoy Arrives Turkey To Participate In Operation 💪🇹🇷👍  #TurkishArmy #BarisPinari #BarisPinariHarekati</t>
  </si>
  <si>
    <t>https://www.youtube.com/watch?v=KYug1UdNqaA</t>
  </si>
  <si>
    <t>Türkiye, İstanbul</t>
  </si>
  <si>
    <t>“Lâ gâlibe illallah” 🇹🇷☝️ MSc Computer Engineer, IT Consultant (30 years), E.T. &amp; Alien Technology Researcher</t>
  </si>
  <si>
    <t>Hallâc-ı Mansûr TR</t>
  </si>
  <si>
    <t>Herkes hazır ise başlayalım sevgilim. #TurkishArmy</t>
  </si>
  <si>
    <t>pic.twitter.com/9tAEVmcnoe</t>
  </si>
  <si>
    <t>İhvan Ş.Urfa-Aktivist Attığım twitler ve yaptığım RT ve Fv'lardan Jack Dorsey, Noah Glass, Biz Stone, Evan Williams sorumludur. TÜRKİYE 🇹🇷</t>
  </si>
  <si>
    <t>https://www.yenisafak.com</t>
  </si>
  <si>
    <t>Tamer 🐺</t>
  </si>
  <si>
    <t>Sınırlarımızda savaş istemiyoruz dedik. Savaşmayı bilmiyoruz demedik. #TurkishArmy</t>
  </si>
  <si>
    <t>https://pbs.twimg.com/media/EGbVj0QXoAAu3te.jpg</t>
  </si>
  <si>
    <t>B'</t>
  </si>
  <si>
    <t>'EVLAD-I OSMANLI''</t>
  </si>
  <si>
    <t>Yüzyıla damga vuracak bir cümle olmuş bu.. "Türkiye ile ypg arasında orta yol bulmayı başaramadık, Türkiye OPERASYON'u seçti" EL-MUZAFFER DÂİMÂ RECEP TAYYİP ERDOĞAN.. #TurkishArmy</t>
  </si>
  <si>
    <t>https://pbs.twimg.com/media/EGbVjq0W4AAePM1.jpg</t>
  </si>
  <si>
    <t>'BİZ MUHABBET FEDAİLERİYİZ HUSUMETE VAKTİMİZ YOK''</t>
  </si>
  <si>
    <t>Güler bekaroğlu #DEVAM❤Herşey daha güzel olacak 💛</t>
  </si>
  <si>
    <t>#TurkishArmy hiç bir millete nasip olmayan şanlı bayrağımızı 🇹🇷onurla, gururla taşıyan mehmetciklerimiz zafere gidiyor 🇹🇷Askerlerimizi Rabbim muzaffer eylesin Dualarımız sizinle Allah'a emanet olun inşAllah🤲🇹🇷🇹🇷🇹🇷</t>
  </si>
  <si>
    <t>https://pbs.twimg.com/media/EGbVinVXkAAMkhu.jpg</t>
  </si>
  <si>
    <t>Allah var gam yok... Hayat olduğu kadar olmadığı kader...Gruplara eklemeyin lütfen..</t>
  </si>
  <si>
    <t>☞Doğukan☜</t>
  </si>
  <si>
    <t>Mustafa Kemalin Askerleri Geliyor! #TürkOrdusu #TurkishArmy</t>
  </si>
  <si>
    <t>Bir gün mutlaka...</t>
  </si>
  <si>
    <t>http://istanbulgonulluleri.org</t>
  </si>
  <si>
    <t>Cumhur İttifakı ⚡🇹🇷</t>
  </si>
  <si>
    <t>Türkün gücünü göreceksiniz 🇹🇷🇹🇷🤘🤘#TurkishArmy</t>
  </si>
  <si>
    <t>https://pbs.twimg.com/media/EGbVh8FWkAAFm-t.jpg</t>
  </si>
  <si>
    <t>Tayyipçiyim Tayyipçi🇹🇷🇹🇷</t>
  </si>
  <si>
    <t>HDPKK Gerçekleri 🇹🇷</t>
  </si>
  <si>
    <t>Şanlıurfa Akçakale Halkı, Sınıra Doğru İlerleyen Komandoların Yolunu Kesti. -En Büyük Asker Bizim Asker.. -En Büyük Asker Bizim Asker.. -Ya Allah Bismillah Allah-u Ekber... -Ya Allah Bismillah Allah-u Ekber... Sloganları Atıldı. #BarışPınarı #TurkishArmy</t>
  </si>
  <si>
    <t>pic.twitter.com/bCUdSqbasY</t>
  </si>
  <si>
    <t>HDPKK Terörünü Ortaya Çıkarmak İçin Burada 56. Hesapla Devam Ediyoruz. We Are With You From Turkey With Instant And Accurate News</t>
  </si>
  <si>
    <t>http://instagram.com/hdpkkteroru8</t>
  </si>
  <si>
    <t>H.OSMAN 💙💛🇺🇦🇺🇦🙏</t>
  </si>
  <si>
    <t>Türklük bedenimiz, İslamiyet ruhumuzdur. Ruhsuz beden ceset olur 🇹🇷🇹🇷🇹🇷🇹🇷🇹🇷🇹🇷🇹🇷🇹🇷🇹🇷🇹🇷🇹🇷🇹🇷🇹🇷 #TurkishArmy</t>
  </si>
  <si>
    <t>pic.twitter.com/GXtgmlSyJD</t>
  </si>
  <si>
    <t>kayseri</t>
  </si>
  <si>
    <t>🏆FENERBAHÇE ÇOK YAŞA🙏🙏 🇹🇷🇹🇷🇹🇷🇹🇷🇹🇷🇹🇷🇹🇷🇹🇷🇹🇷🇹🇷 💙💛💙💛💙💛💙💛💙💛💙 🇹🇷🇹🇷🇹🇷🇹🇷🇹🇷🇹🇷🇹🇷🇹🇷🇹🇷🇹🇷 💛💙💛💙💛💙💛💙💛💙</t>
  </si>
  <si>
    <t>BUR4K</t>
  </si>
  <si>
    <t>Askerimizin Allah yar ve yardımcınız olsun dualarımız sizinle #TurkishArmy</t>
  </si>
  <si>
    <t>Bu Yol Ki Hak Yoludur Durmak Bilmez Yürürüz...</t>
  </si>
  <si>
    <t>http://www.facebook.com/?ref=logo</t>
  </si>
  <si>
    <t>“Tâ ki yükselsin ezanlarla müeyyed nâmın, Galip et Ya Rab! Bu son ordusudur İslâm'ın!” #TurkishArmy #BarışPınarı</t>
  </si>
  <si>
    <t>https://pbs.twimg.com/media/EGbVeGyXYAAZTpp.jpg</t>
  </si>
  <si>
    <t>Beykent University | Computer Engineering</t>
  </si>
  <si>
    <t>Bırakda Bi Sarsın</t>
  </si>
  <si>
    <t>Askerlerimizin istikballerini parlak, kıyamet gününde yüzlerini ak eyle Ya Rabbi! Halk içinde imanlarıyla itibarlı, millet ve memleketimize faydalı olmalarını müyesser eyle Ya Rabbi!#TurkishArmy</t>
  </si>
  <si>
    <t>Ben seni sevdiğim zaman bu şehirde ayrılık kurşun gibi yağardı.</t>
  </si>
  <si>
    <t>Erbakan Vakfı Nizip</t>
  </si>
  <si>
    <t>Hassasiyeti olmayanın parası şeref katmaz şerefsizliğine.... Türk’ün hassasiyeti dini, vatanı ve askeridir bilmeyene.... #TurkishArmy</t>
  </si>
  <si>
    <t>https://pbs.twimg.com/media/EGbVa3dWkAAQB8M.jpg</t>
  </si>
  <si>
    <t>Nizip, Türkiye</t>
  </si>
  <si>
    <t>Milli görüş</t>
  </si>
  <si>
    <t>Emirhan Küreci</t>
  </si>
  <si>
    <t>#TurkishArmy #TuerkMilletiOrdusununYanında #TSK</t>
  </si>
  <si>
    <t>https://pbs.twimg.com/media/EGbVajuWkAAdYgt.jpg</t>
  </si>
  <si>
    <t>Ceyhan, Adana</t>
  </si>
  <si>
    <t>Mehmet biçer</t>
  </si>
  <si>
    <t>https://pbs.twimg.com/media/EGbVZp0WkAA-jNr.jpg</t>
  </si>
  <si>
    <t>🇹🇷MUSTAFA KEMAL ATATÜRK. MKÜ</t>
  </si>
  <si>
    <t>Bade Akçay</t>
  </si>
  <si>
    <t>Yalnız Allah'a tevekkül edin!  #TurkishArmy</t>
  </si>
  <si>
    <t>https://pbs.twimg.com/media/D6bv677WwAERsqC.jpg</t>
  </si>
  <si>
    <t>Unutamadığın kişi, daima senden uzakta olandır…Chuck Palahniuk</t>
  </si>
  <si>
    <t>Osman Ural</t>
  </si>
  <si>
    <t>https://pbs.twimg.com/media/EGbVW5tXoAAkYI0.jpg</t>
  </si>
  <si>
    <t xml:space="preserve">Konya </t>
  </si>
  <si>
    <t>Sadece Türkçü Veteriner Hekim</t>
  </si>
  <si>
    <t>Thomas Shelby</t>
  </si>
  <si>
    <t>Ve zamanı Gelmişti. #TurkishArmy</t>
  </si>
  <si>
    <t>https://pbs.twimg.com/media/EGbVXBKXUAEtbks.jpg</t>
  </si>
  <si>
    <t>🌟My Life,My Rulles</t>
  </si>
  <si>
    <t>Rüzgar</t>
  </si>
  <si>
    <t>We are a nation that does not leave the flag even when we die #TurkishArmy</t>
  </si>
  <si>
    <t>pic.twitter.com/Vo7sEXz1AH</t>
  </si>
  <si>
    <t>Gizli Operasyon</t>
  </si>
  <si>
    <t>SON DAKİKA! Reuters'a konuşan Türk yetkili : Harekat başlamadı, sınırdaki beton bloklar kaldırılıyor. #Suriye #TurkishArmy</t>
  </si>
  <si>
    <t>Stratejik - Siyasi Analiz / Ortadoğu'dan haberler Diğer hesaplarımız : @SuriyeOperasyon @gizliservis06</t>
  </si>
  <si>
    <t>M.KOSEMEK (✩</t>
  </si>
  <si>
    <t>Aydın EFE'si GAZİ ÜNİ./TBMM</t>
  </si>
  <si>
    <t>Biraz kültür biraz siyaset</t>
  </si>
  <si>
    <t>Ali Gülhan</t>
  </si>
  <si>
    <t>Yaa allah bismillah allah yar ve yardımcınız olsun #TurkishArmy</t>
  </si>
  <si>
    <t>Turgay Gövsu🇹🇷</t>
  </si>
  <si>
    <t>Allah Yar ve Yardımcınız olsun Yiğitler! #TurkishArmy #TSK #EmniyetGM #pöh #jöh</t>
  </si>
  <si>
    <t>https://pbs.twimg.com/media/EGbVWEQXoAAcLOC.jpg</t>
  </si>
  <si>
    <t>Sen güzellikle sözünü söylersin.. Ârif olan ders alır, Câhil olan tavır…</t>
  </si>
  <si>
    <t>Finansline</t>
  </si>
  <si>
    <t>Dikkat!!! Mevzu Türkiye nin yapacağı operasyon olunca İran ile Amerika bile aynı tarafta olabiliyor lütfen ayık uyanık olalım kol kırılır yen içinde kalır mesele hükümet değil mesele Vatan... Türke dost olarak Allah yeter #TurkishArmy</t>
  </si>
  <si>
    <t>ist</t>
  </si>
  <si>
    <t>Küçük yatırımcı; parası değil vizyonu küçük olandır. Öğrenmek öğrendiğimi uygulamak ve paylaşmak için. Müif. Alaylı - mektepli.</t>
  </si>
  <si>
    <t>İrem Güleryüz</t>
  </si>
  <si>
    <t>#trump , Erdoğan’ı suriye’ye karşı bir operasyon başlatması halinde ülkesinde #ekonominin çöküşüne yol açacağını tehdit ediyor 😑 #TurkishArmy #Persembe RT @realDonaldTrump: We may be in the process of leaving Syria, but in no way have we Abandoned the Kurds, who are special people and wonderful fighters. Likewise our relationship with Turkey, a NATO and Trading partner, has been very good. Turkey already has a large Kurdish population and fully....</t>
  </si>
  <si>
    <t>Istanbul sahilne oturmak ne güzeldir</t>
  </si>
  <si>
    <t>mylisa</t>
  </si>
  <si>
    <t>Even time has changed,we are always the same. we do not come under the yoke of anyone #TurkishArmy</t>
  </si>
  <si>
    <t>https://pbs.twimg.com/media/EGbVSymWkAA8DBS.jpg</t>
  </si>
  <si>
    <t>Emre Güloğlu 🇹🇷</t>
  </si>
  <si>
    <t>https://pbs.twimg.com/media/EGbVS2aXYAAMtOD.jpg</t>
  </si>
  <si>
    <t>İREM∞</t>
  </si>
  <si>
    <t>Mr.Anıl</t>
  </si>
  <si>
    <t>Bütün Türkler bir gün ansızın delirecektir. O zaman Tanrı Türkü değil, sizi korusun. 🇹🇷 #TurkishArmy RT @TTAgrup: Bu delileri bir araya getirmeyecektiniz! #TurkishArmy</t>
  </si>
  <si>
    <t>Biz giden sevgilinin geri dönmeyeceğini 1938 yılında öğrendik. Bundandır bütün içmelerimiz ./// Mali Uzman</t>
  </si>
  <si>
    <t>http://Instagram.com/mr.kilicccc</t>
  </si>
  <si>
    <t>Figen Akaslan</t>
  </si>
  <si>
    <t>Uyumak istiyorum başım bir cenk meydanı, Harfsiz ve kelimesiz düşünmek Yaradanı!..- Necip Fazıl</t>
  </si>
  <si>
    <t>E.</t>
  </si>
  <si>
    <t>Gelecek biz Türklerindir. Büyüklerimizden o bayrağı teslim alınca sizlere yapacağımızı çok iyi biliyoruz @HDPgenelmerkezi sizinde başlarınızı ezeceğiz, tıpkı şimdi desteklediğiniz silahlı aşağılık teröristlerin ezdiğimiz gibi Kimin kucağında olduğunuzun bir önemi yok #TurkishArmy</t>
  </si>
  <si>
    <t>MSKÜ</t>
  </si>
  <si>
    <t>Bahadır Tekin</t>
  </si>
  <si>
    <t>"Amerika ne derse o olur" devri bitti... Artık "Recep Tayyip Erdoğan ne derse o olacak" devri başladı. İşinize gelirse. #TurkishArmy</t>
  </si>
  <si>
    <t>-Başkomutan RecepTayyipErdoğan'ın neferi, AK Parti'nin daimi mensubu, Fethiye15TemmuzDerneği kurucu yönetim kurulu üyesi- #MetinKülünk @kadirsarihanla</t>
  </si>
  <si>
    <t>http://www.facebook.com/osmanlibaha</t>
  </si>
  <si>
    <t>serdar #Yeniden</t>
  </si>
  <si>
    <t>Tekerinize taş değmesin inşallah #TurkishArmy</t>
  </si>
  <si>
    <t>Özcan Arabacı</t>
  </si>
  <si>
    <t>#BarisPinariHarekati #TurkishArmy #Türkiye #Türk #şiir</t>
  </si>
  <si>
    <t>https://pbs.twimg.com/media/EGbVQB2W4AAK6BG.jpg</t>
  </si>
  <si>
    <t>İnstagram: ozcan.rbc</t>
  </si>
  <si>
    <t>http://www.facebook.com/geleceginyazari</t>
  </si>
  <si>
    <t>Yalçın Şenel</t>
  </si>
  <si>
    <t>#TurkishArmy Aspanda bürküt, jerde kökbörü ol. Ayağınıza taş değmesin. Allah yar ve yardımcımız olsun.</t>
  </si>
  <si>
    <t>Gazi - Başkent Üniversitesi Sağlık Yönetimi</t>
  </si>
  <si>
    <t>http://www.linkedin.com/in/yalçın-şenel-81a809153</t>
  </si>
  <si>
    <t>Ayberk Torunoğlu</t>
  </si>
  <si>
    <t>once again 🇹🇷 #TurkishArmy #OperationPeaceSpring #ets2</t>
  </si>
  <si>
    <t>https://pbs.twimg.com/media/EGbVOw-XoAA-JxC.jpg</t>
  </si>
  <si>
    <t>Bünyamin</t>
  </si>
  <si>
    <t>Fistanlılar mehmetçik geliyor #TurkishArmy</t>
  </si>
  <si>
    <t>Mehmet Nuri PEKACAR</t>
  </si>
  <si>
    <t>We are coming step by step! 🇹🇷🇹🇷 #TurkishArmy</t>
  </si>
  <si>
    <t>https://pbs.twimg.com/media/EGbVOrPXkAE7gAK.jpg</t>
  </si>
  <si>
    <t>GAUN - Electrical and Electronic Engineering 🇹🇷 𐱅𐰇𐰼𐰰 🇹🇷</t>
  </si>
  <si>
    <t>Nova Group Holding</t>
  </si>
  <si>
    <t>Almanya'da Şirket Kurarak Ticaret Hacminizi Genişletin!  - +90 549 550 40 86 #almanyasirket #almanyadasirketkur Divan Restaurant #almanyaoturumizmi #almanyadayatırım #TurkishArmy #CheGuevara #germany #almanya #otomotiv #tekstil #EmineBulut</t>
  </si>
  <si>
    <t>http://www.almanyadasirket.com</t>
  </si>
  <si>
    <t>https://pbs.twimg.com/media/EGbVOr9WoAAlB_J.jpg</t>
  </si>
  <si>
    <t>(P):0 850 811 52 82 (P)+90 212 912 1234 (E):tr@novagroupholding.com (A):Trump Towers No:12 Kule:1 Kat:18 34387 İstanbul</t>
  </si>
  <si>
    <t>http://www.novagroupholding.com/</t>
  </si>
  <si>
    <t>ƙαğαɳƙυƚʅυƙ (𝖄𝖊𝖑𝖊𝖑𝖎)</t>
  </si>
  <si>
    <t>"Türk milleti iki bin yıldır profesyonel askerdir. Bütün Türklerin mesleği askerliktir." "Dünyanın hangi ordusuna sorarsanız sorun, Türk askerinin karşısında düşünmenin hiç de kolay olmadığını veya olamayacağını size söyler." Donaldson Respect! #TurkishArmy</t>
  </si>
  <si>
    <t>“Türk köklü tek fikir, tek ülkü yalnız Türkçülüktür.” Sevinme ey çomar! Unutma ki patates ile insan arasında sadece 2 kromozom fark var.</t>
  </si>
  <si>
    <t>baykankss</t>
  </si>
  <si>
    <t>#canlibahis paylaşımı yaptığım #ücretsiz veya #ücretli #vip grubum için mesajlarınızı bekliyorum ✌️😉 #carsamba #deprem #turkmilletiordusununyaninda #TurkishArmy #EmineBulut</t>
  </si>
  <si>
    <t>Dortmund, Germany</t>
  </si>
  <si>
    <t>Amaç eğlenirken kazanıp kazandırmak 💰💰💰bu profilde #bahis oynatılmaz tavsiye verilir 👍 #vipgrup için mesaj atınız</t>
  </si>
  <si>
    <t>#TurkishArmy MADEM UNUTTUNUZ KÜR ŞAT ADLI ÇERİYİ HATIRLATIRIZ YİNE YAĞMUR KOKAN O GECEYİ. .</t>
  </si>
  <si>
    <t>TÜRKÜ sevdikçe IRKÇI, Vatanı sevdikce Faşist dediler.🇹🇷 Varolsun TÜRK IRKI 🇹🇷 Tabiki BEŞIKTAŞ ⚽️ Unutma,Sınırların kadar özgürsün</t>
  </si>
  <si>
    <t>Sayın Sayım</t>
  </si>
  <si>
    <t>Bekliyor musunuz? Biz geliyoruz #TurkishArmy</t>
  </si>
  <si>
    <t>https://pbs.twimg.com/media/EGbVNFKX0AEmuqg.jpg</t>
  </si>
  <si>
    <t>Türklük hem mefkûrem, hem de kanımdır: Sırtımdan alınmaz, çünkü kürk değil!</t>
  </si>
  <si>
    <t>Rami Mumcuoğlu</t>
  </si>
  <si>
    <t>Ama düşlerin de yaşam gibi bir sonu vardı. -Ahmet Ümit</t>
  </si>
  <si>
    <t>TutamadımKendimi</t>
  </si>
  <si>
    <t>https://youtu.be/XBYvZJoWBbQ</t>
  </si>
  <si>
    <t>Ahmet ÜNGÜR</t>
  </si>
  <si>
    <t>İstanbuL</t>
  </si>
  <si>
    <t>http://www.AvrupaTVcenteR.com</t>
  </si>
  <si>
    <t>Derin</t>
  </si>
  <si>
    <t>Çünkü Türk askerinin gittiği her yerde umut vardır..🇹🇷 #TurkishArmy</t>
  </si>
  <si>
    <t>https://pbs.twimg.com/media/EGbVJ5NX0AAcZVH.jpg</t>
  </si>
  <si>
    <t>kör kuyular</t>
  </si>
  <si>
    <t>ne demek ne belli fc.</t>
  </si>
  <si>
    <t>Ahmt</t>
  </si>
  <si>
    <t>Türkiye'ye tehdit sınırın ötesinden geliyorsa; Türkiye o dağı devirir, devirmesi lazımdır! Onun arkasında Türk milleti durur. TSK bunların hepsini yapacak güce sahiptir. Muhsin Yazıcıoğlu @tcsavunma #TurkishArmy</t>
  </si>
  <si>
    <t>https://pbs.twimg.com/media/EGbVJaMXoAEIEVb.jpg</t>
  </si>
  <si>
    <t>Suvas</t>
  </si>
  <si>
    <t>SİVASSPOR'lu</t>
  </si>
  <si>
    <t>Güne Bakan</t>
  </si>
  <si>
    <t>#TurkishArmy.#TürkOrdusu🇹🇷</t>
  </si>
  <si>
    <t>https://pbs.twimg.com/media/EGbVJoRW4AAfSga.jpg</t>
  </si>
  <si>
    <t>pandman</t>
  </si>
  <si>
    <t>Hepinize yeteriz biz milleti ordu olan bir ulusuz. #TurkishArmy</t>
  </si>
  <si>
    <t xml:space="preserve">Dünya 🗺 </t>
  </si>
  <si>
    <t>Pandaların Efendisi</t>
  </si>
  <si>
    <t>Mehdi #AK</t>
  </si>
  <si>
    <t>#TurkishArmy Malum’a umut, zalime ecel olacağız. Rabbim yar ve yardımcınız olsun. @realDonaldTrump Gözün operasyon görsün 👊😉</t>
  </si>
  <si>
    <t>https://pbs.twimg.com/media/EGbVIXnWkAAbius.jpg</t>
  </si>
  <si>
    <t>Evlad-ı Osmanlı... Antikemalist, Hilafet yanlısı Ümmet-i Muhammed (s.a.v) - Ümmet-i Kemal değilim Elhamdülillah...!!!</t>
  </si>
  <si>
    <t>єуℓüℓ</t>
  </si>
  <si>
    <t>#TurkishArmy “Türk milleti bir ordu, katılmayan kaçaktır, Yasamızda yazılı: harpten kaçan alçaktır!”</t>
  </si>
  <si>
    <t>Partim yok diyorum,nesini anlamıyorsunuz?</t>
  </si>
  <si>
    <t>Duka Mobilya&amp;Dekorasyon</t>
  </si>
  <si>
    <t>EVİNİZİ YENİLİYORUZ... Özel Ölçü Siparişler Ücretsiz Keşif Uygun ve Kaliteli Mobilya Teslimat Süresi: 7 İş günüdür.. #Mobilya #Mutfak Dolabı #Banyo Dolabı #Duşakabin #Kapı #Dekorasyon Divan #YAMANLARLisesi #deprem #carsamba #TurkishArmy</t>
  </si>
  <si>
    <t>https://pbs.twimg.com/media/EGbVGPOXoAASJoK.jpg</t>
  </si>
  <si>
    <t>slm.ben.ilayda</t>
  </si>
  <si>
    <t>#TurkishArmy #TurkishArmy 💕</t>
  </si>
  <si>
    <t>https://pbs.twimg.com/media/EGbVAH-XkAEzept.jpg</t>
  </si>
  <si>
    <t>Efe Kaan Aras</t>
  </si>
  <si>
    <t>Bazen gitmek istersin öyle bir an gelir.</t>
  </si>
  <si>
    <t>TheminemShow</t>
  </si>
  <si>
    <t>Çocukların Korkmadığı Tek Ordu.#TurkishArmy #BarisPinariHarekati #BarısPınarlarıHarekatı</t>
  </si>
  <si>
    <t>https://pbs.twimg.com/media/EGbVCx3XoAAhNNy.jpg</t>
  </si>
  <si>
    <t>Now hush little baby, don't you cry. Everything's gonna be alright.</t>
  </si>
  <si>
    <t>Manolya Yanardağ</t>
  </si>
  <si>
    <t>Harf devriminin amacını İnönü açıklıyor....  #TurkishArmy</t>
  </si>
  <si>
    <t>https://pbs.twimg.com/media/D8sty6DXkAAeDCO.jpg</t>
  </si>
  <si>
    <t>Gizli aldatmalar, sevdiğin insanı "üzerine basmadan" çiğnemektir.- Kahraman Tazeoğlu</t>
  </si>
  <si>
    <t>MrNobody</t>
  </si>
  <si>
    <t>“Hiç hata yapmayan insan, hiç bir şey yapmayan insandır. Ve hayatta en büyük hata, kendini hatasız sanmaktır!” /Yunus Emre/ #NeredeKalmıştık #çarşamba #CheGuevara #eniyicevap #Uzmanıyım #BarışPınarı #TurkishArmy #EmineBulut #deprem #usdtry #YAMANLARLisesi</t>
  </si>
  <si>
    <t>Nothing is İmpossible 💯GT YAPILIR TAKİP ETTİKTEN SONRA ÇIKAN OLURSA ENGELLENİR🚫</t>
  </si>
  <si>
    <t>Şuna da ayar oluyorum; XX yere konuşan amerikalı yetkili, xx yere konuşan rus yetkili. Kim la bu yetkili? Neye yetkisi var? 😂 #TurkishArmy</t>
  </si>
  <si>
    <t>MEHMET ÇARBUĞA</t>
  </si>
  <si>
    <t>Korkma. Acımayacak🤫 #TurkishArmy #BarışPınarı</t>
  </si>
  <si>
    <t>https://pbs.twimg.com/media/EGbU-v5XYAA_X7S.jpg</t>
  </si>
  <si>
    <t>https://www.instagram.com/mehmetcrbg</t>
  </si>
  <si>
    <t>Mustafa biçer</t>
  </si>
  <si>
    <t>Kimse bize Merhametten,Barbarlıktan,Barıştan,Özgürlükten,Pembe Dünyadan Bahsetmesin. Biz bahsettiğiniz Duyguları Şehit oğlunun Mektubunda,Şehit Annenin Feryadında,Şehit Babasının Nemli Gözlerinde Kaybettik.KUSURA KİMSE BAKMASIN vakit ONLARI ONURLANDIRMA vakti #TurkishArmy</t>
  </si>
  <si>
    <t>https://pbs.twimg.com/media/EGbU97HXkAIuhvY.jpg</t>
  </si>
  <si>
    <t>Atak enerji inşaat..</t>
  </si>
  <si>
    <t>adınısenkoy</t>
  </si>
  <si>
    <t>Çay koy dedem, yeniden başlıyoruz. #TurkishArmy</t>
  </si>
  <si>
    <t>https://pbs.twimg.com/media/EGbU96WWwAIMQxI.jpg</t>
  </si>
  <si>
    <t>Elit bir profildir. Galoşsuz girilmez.</t>
  </si>
  <si>
    <t>🇹🇷Erol sevinc⚡🇹🇷🕋</t>
  </si>
  <si>
    <t>https://pbs.twimg.com/media/EGbU85lWkAM2p6h.jpg</t>
  </si>
  <si>
    <t>iman sahibi kişi asla haksızlığa tahammül edemez...</t>
  </si>
  <si>
    <t>Adalet dağıtmaya gidiyoruz. #TurkishArmy</t>
  </si>
  <si>
    <t>Emre Göktaş</t>
  </si>
  <si>
    <t>MEKANIN SAHİBİ GELİYOR. YOL VER TÜRK"ÜN BAYRAĞINA #TurkishArmy #Barışpınarıharekatı</t>
  </si>
  <si>
    <t>https://pbs.twimg.com/media/EGbU77UWwAAkDzU.jpg</t>
  </si>
  <si>
    <t>Miraç</t>
  </si>
  <si>
    <t>Hewal avı başlasın #TurkishArmy</t>
  </si>
  <si>
    <t>https://pbs.twimg.com/media/EGbU7imX0AEqE5Y.jpg</t>
  </si>
  <si>
    <t>19🌿7 @Fenerbahce</t>
  </si>
  <si>
    <t>Tek Millet</t>
  </si>
  <si>
    <t>Ben, Mesud Erden /İstanbul Emir Ve Görüşlerinize Hazırım @RTErdogan Komutanım 🇹🇷 #TurkishArmy RT @GunesAk__: Ben, Adalet Güneş /Ankara Emir Ve Görüşlerinize Hazırım @RTErdogan Komutanım 🇹🇷 #TurkishArmy</t>
  </si>
  <si>
    <t>https://twitter.com/GunesAk__/status/1181863282480680960</t>
  </si>
  <si>
    <t>pic.twitter.com/bOecOlosvx</t>
  </si>
  <si>
    <t>Derinlerde Büyük Hesaplaşma var. Gemisini Batıran Kaptanın Mazereti, Dinlenmez. @RTErdogan</t>
  </si>
  <si>
    <t>HABERCI</t>
  </si>
  <si>
    <t>😱aman Allah'ımm GELİYORLARRRRR!!!!! 😊🇹🇷#TurkishArmy</t>
  </si>
  <si>
    <t>pic.twitter.com/XEZVN2Im5S</t>
  </si>
  <si>
    <t>I.Gülhan 🇹🇷 ϜϓſϞ</t>
  </si>
  <si>
    <t>#TurkishArmy Korku nedir bilmeyiz!</t>
  </si>
  <si>
    <t>Utopia</t>
  </si>
  <si>
    <t>official - ϜϓſϞ - 34 - 🇹🇷 'Oğuzlar için hangi yöne giderlerse gitsinler,ulaşacakları zafer,ulaşılmadan önce Kızılelma’dır!' ⚫hiç⚪</t>
  </si>
  <si>
    <t>..</t>
  </si>
  <si>
    <t>𝐄𝐦𝐢𝐧 𝐀𝐏𝐀</t>
  </si>
  <si>
    <t>Hazırlansın tabutluklar Yine girip çıkıcaz #TurkishArmy</t>
  </si>
  <si>
    <t>pic.twitter.com/Fl43WurLz1</t>
  </si>
  <si>
    <t>Yalova-istanbul</t>
  </si>
  <si>
    <t>Türk milleti cihana hakim olmak için yaratılmıştır.🇹🇷</t>
  </si>
  <si>
    <t>Mustafa Taş</t>
  </si>
  <si>
    <t>https://pbs.twimg.com/media/EGbU43HXUAAHHxw.jpg</t>
  </si>
  <si>
    <t>arap puta taparken Türk göğe bakardi. erü</t>
  </si>
  <si>
    <t>⇜yıldırım⇝</t>
  </si>
  <si>
    <t>Davulla zurnayla canlı yayınlarla operasyon mu olur ? Düşman kardeş biz geliyoz hazırlığını yap diyoruz ne kadarda düşünceliyiz #TurkishArmy</t>
  </si>
  <si>
    <t>başınızı derde sokan bilmediğiniz şeyler değildir. bildiğinizden emin olduğunuz doğru olmayan şeylerdir ... mark twain. #borsa #finans #felsefe #Fenerbahçe.</t>
  </si>
  <si>
    <t>aslı güneş</t>
  </si>
  <si>
    <t>Dünyanın En Şerefeli Mesleği Allah Hepinizden Razı olsun Cesur Kahraman Türk Askeri #TurkishArmy #TurkishArmy</t>
  </si>
  <si>
    <t>https://pbs.twimg.com/media/EGbU4cQW4AIE6RB.jpg</t>
  </si>
  <si>
    <t>Atilla Diş</t>
  </si>
  <si>
    <t>Hadi Bismillah! #TurkishArmy (Fırat Kalkanı Harekâtı)</t>
  </si>
  <si>
    <t>https://pbs.twimg.com/media/EGbUzXZXkAEkuaL.jpg</t>
  </si>
  <si>
    <t>Bana ne Amerika'dan!</t>
  </si>
  <si>
    <t>Dilanur Gümüş</t>
  </si>
  <si>
    <t>Taş üstünde taş, omuz üstünde baş kalmasın. Kılıcınız keskin, bileğiniz çelik olsun. 🇹🇷 #TurkishArmy #BarisPinariHarekati</t>
  </si>
  <si>
    <t>Türkiye ☪️️</t>
  </si>
  <si>
    <t>10.08.2018 ♡ Ben her şeyden önce bir Türk milliyetçisiyim. Böyle doğdum. Böyle öleceğim. 🇹🇷 -Mustafa Kemal Atatürk∞</t>
  </si>
  <si>
    <t>V İ L İ 🔱</t>
  </si>
  <si>
    <t>https://pbs.twimg.com/media/EGbU30qWsAUvTG8.jpg</t>
  </si>
  <si>
    <t>https://www.instagram.com/hakankarakc/?hl=tr</t>
  </si>
  <si>
    <t>whiskers Lee</t>
  </si>
  <si>
    <t>🇹🇷🇹🇷🇹🇷🇹🇷🇹🇷🇹🇷🇹🇷🇹🇷🇹🇷🇹🇷🇹🇷🇹🇷🇹🇷🇹🇷🇹🇷🇹🇷🇹🇷🇹🇷🇹🇷🇹🇷🇹🇷🇹🇷🇹🇷🇹🇷 #TurkishArmy</t>
  </si>
  <si>
    <t>endless</t>
  </si>
  <si>
    <t>Gündüz vakti, günler öncesinden Bağıra bağıra bir davetiye göndermediğiniz kaldı. Bu nasıl operasyon? Kim kaldı orda sizi bekleyen... #TurkishArmy</t>
  </si>
  <si>
    <t>Thy Guided One</t>
  </si>
  <si>
    <t>A lot of bot activity regarding the #Turkish propaganda campaign of artificially magnifying the #TurkishArmy trending hashtag. When you see a nation depend on deception and propaganda to win the hearts of people, then know that they are up to no good and cannot be trusted.</t>
  </si>
  <si>
    <t>The Sovereign Land of God, Al-Ard (Earth)</t>
  </si>
  <si>
    <t>Spreading the Truth to the people of this World, defending what is Right, condemning Falsehood, and destroying Satanism in the process.</t>
  </si>
  <si>
    <t>https://wikileaks.org/plusd/cables/06DAMASCUS5399_a.html</t>
  </si>
  <si>
    <t>Bira Gezgini</t>
  </si>
  <si>
    <t>Allah yardımcınız olsun inşallah. #TurkishArmy</t>
  </si>
  <si>
    <t>Akademisyen, baba, eş. Bira İle ilgili her şey radarıma girer! Biracılık tarihi, bira kooperatifleri ve craft olan her bira 🍻 📩👉🏻 biragezgini@gmail.com</t>
  </si>
  <si>
    <t>The Faraway</t>
  </si>
  <si>
    <t>True optimism doesn't see death as unfavorable.</t>
  </si>
  <si>
    <t>#TurkishArmy Ümmet ümmet dedikleri.... RT @taylieli: 💥Arap Birliği: Türkiye'nin Suriye kuzeyine düzenleyeceği harekatı reddediyoruz.</t>
  </si>
  <si>
    <t>https://twitter.com/taylieli/status/1181858877119311872</t>
  </si>
  <si>
    <t>Ali Yıldız</t>
  </si>
  <si>
    <t>Ne de güzel söylemiş Akif Ey şehid oğlu şehid, isteme benden makber, Sana âguşunu açmış duruyor Peygamber. Allah yar ve yardımcınız olsun. Dualarımız sizlerle... #TurkishArmy</t>
  </si>
  <si>
    <t>Akhisar</t>
  </si>
  <si>
    <t>Esnaf, Müteahhit, Siyasetçi, Öğrenci, Eş, Oğul, Kardeş...</t>
  </si>
  <si>
    <t>ÜVEYS™</t>
  </si>
  <si>
    <t>"1 Çivi 1 Nalı, 1 Nal 1 Atı, 1 At 1 Komutanı 1 komutan 1 ülkeyi kurtarır" tamam ama Sakın bir Ermeniyi de küçümsemeyin.. Bir Ermeni bir piçi doğurur.. bir piç, bir partiye başkan olur bir parti, bir devleti satar.. #TurkishArmy #Çarşamba</t>
  </si>
  <si>
    <t>TWİTŞOR 🇹🇷 📍SİYASET BİLMEYEN MÜSLÜMANI , MÜSLÜMAN OLMAYAN SİYASETÇİ YÖNETİR. 📍Siz bizim ilericiliğimizi göremiyecek kadar geridesiniz.!</t>
  </si>
  <si>
    <t>Her zaman ve her yerde... Bir ölür bin diriliriz... 🇹🇷🇹🇷🇹🇷#TurkishArmy</t>
  </si>
  <si>
    <t>https://pbs.twimg.com/media/EGbUyQWWkAMiHo8.jpg</t>
  </si>
  <si>
    <t>Muhammet Ali</t>
  </si>
  <si>
    <t>https://pbs.twimg.com/media/EGbUxg1X0AE60tJ.jpg</t>
  </si>
  <si>
    <t>Gü Economist</t>
  </si>
  <si>
    <t>http://instagram.com/maekmekci00</t>
  </si>
  <si>
    <t>Y.A.Y</t>
  </si>
  <si>
    <t>O mübarek bayrak işte bu bayrak 🇹🇷🇹🇷🇹🇷 #TurkishArmy</t>
  </si>
  <si>
    <t>https://pbs.twimg.com/media/EGbUw72XkAIcEUo.jpg</t>
  </si>
  <si>
    <t>Erdem Yedibela</t>
  </si>
  <si>
    <t>Bırakın particiliği akp yi chp yi mhp yi hdp yi hep birlikte Türkiye olalım dış güçlere karşı birleşelim onlara fırsat vermeyelim bir olalım diri olalım türkiye giderse hiç bir şey kalmaz #TurkishArmy</t>
  </si>
  <si>
    <t>Televizyon</t>
  </si>
  <si>
    <t>REİS SEVER</t>
  </si>
  <si>
    <t>ANKARA VE İSTANBUL BELEDİYE BAŞKANLARI OLARAK ŞANLI TÜRK ASKERLERİNİN FIRATIN DOĞUSUNDA KI OPERASYONLARDA BAŞARILAR DİLERİM Sayın @ekrem_imamoglu Ve sayın @mansuryavas06 sıkılıp çekinmenize gerek yok ben sizin yerinize başarı diledim #TurkishArmy</t>
  </si>
  <si>
    <t>https://pbs.twimg.com/media/EGbUwUCWwAAZ0dS.jpg</t>
  </si>
  <si>
    <t>RECEP TAYYIP ERDOĞAN HAYRANI VATAN MİLLET SEVDALISI MAZLUMUN DOSTU ZALİMİN DÜŞMANI KENDI CAPIM DA DAVAYA KOL KANAT GEREN GARİBAN BİRİYİM</t>
  </si>
  <si>
    <t>Ali Demir</t>
  </si>
  <si>
    <t>Harekat başladı diyenler var. Sormak istiyorum hava desteği olmadan nasıl girilecek sınırdan? Biraz mantıklı düşünüp yazın. TSK düzenli ordudur. Taktik maktik yok bam bam bam şeklinde harekat başlayamaz. #TurkishArmy</t>
  </si>
  <si>
    <t>Ah var üzerinizde ah</t>
  </si>
  <si>
    <t>Neden Türk devletini hatta devletlerini surekli kandan besleniyor gibi gösteriyorsunuz ki biz demokrasi dağıtma derdinde degiliz. Sadece ve her zaman devletimizin bütünlüğünü koruma derdindeyiz... #TurkishArmy Allah yardımcınız olsun..</t>
  </si>
  <si>
    <t>Harita Mühendisi 💛💙</t>
  </si>
  <si>
    <t>Furkan Melek Akalın</t>
  </si>
  <si>
    <t>Hoşgeldin diyene sahip çıkın, neden geldiniz diyenin kafasına sıkın CcC #TurkishArmy</t>
  </si>
  <si>
    <t>https://pbs.twimg.com/media/EGbUteBXYAA-8jB.jpg</t>
  </si>
  <si>
    <t>Celal Bayar üniversitesi</t>
  </si>
  <si>
    <t>Rıza</t>
  </si>
  <si>
    <t>@annaturka #Syria #TurkishArmy</t>
  </si>
  <si>
    <t>https://pbs.twimg.com/media/EGbUtFTWsAEBkkf.jpg</t>
  </si>
  <si>
    <t>Devonside, Scotland</t>
  </si>
  <si>
    <t>KAYA✏️</t>
  </si>
  <si>
    <t>Soran olursa MUHAMMED ‘İn (SAV) ordusu geliyor.. #TurkishArmy</t>
  </si>
  <si>
    <t>https://pbs.twimg.com/media/EGbUsVnXkAA3Za8.jpg</t>
  </si>
  <si>
    <t>Varlığım, DAVAMA armağan olsun....🇹🇷 sifre 8-19 💪🏻 Ağzı olan değil,🧠 olan konuşsun.. ADÜ ✏️</t>
  </si>
  <si>
    <t>BÜLENT 🇹🇷</t>
  </si>
  <si>
    <t>T.C , tabeladan silinince kendini yerden yere vuranlar, T.C 'yi haritadan silmek istiyorlar. Kimin arkasına saklandınız. Bu korku niye gösterin kendinizide Vatan severliğinizi görelim... #TurkishArmy</t>
  </si>
  <si>
    <t>Mevzu "VATAN" Girişimci, Tasarım uzmanı, Vatan Sever, "KÜRT"</t>
  </si>
  <si>
    <t>Alican</t>
  </si>
  <si>
    <t>Bir takım köpek aktivistlerin ve şeref yoksunu gazetecilerin çığlıklarını duyuyor musunuz ? #TurkishArmy</t>
  </si>
  <si>
    <t>Hakan D</t>
  </si>
  <si>
    <t>#Deutschland #Türkei #TurkishArmy #OperationPeaceSpring #BarisPinariHarekati #Syria RT @bpolitics: Turkish troops have begun crossing into northeastern Syria to force U.S.-backed Kurdish militants away from its border</t>
  </si>
  <si>
    <t>https://twitter.com/bpolitics/status/1181848741243949056
https://bloom.bg/35ghU8y</t>
  </si>
  <si>
    <t>https://pbs.twimg.com/media/EGbFKtKWkAAgpD4.jpg</t>
  </si>
  <si>
    <t>Deutschland NRW</t>
  </si>
  <si>
    <t>Tyler Durden</t>
  </si>
  <si>
    <t>Ulan davulla zurnayla şuraya gircez burdan dalacaz hedef bu hedef şura diyerekten giriliyor suriyeye. Karşı tarafa resmen tvler gazeteciler yoluya istihbarat veriyoruz bravo 👏 #TurkishArmy</t>
  </si>
  <si>
    <t>Санкт-Петербург</t>
  </si>
  <si>
    <t>Melih Esat AÇIL</t>
  </si>
  <si>
    <t>Araştırmacı Gazeteci/Yazar Milat Gazetesi @milatgazete •KOU Journalism •AU Sociology #mersus | http://youtube.com/melihesatacil Whatsapp: +90 5362683030</t>
  </si>
  <si>
    <t>http://Instagram.com/melihesatacil</t>
  </si>
  <si>
    <t>Rıdvan BAŞBUĞ</t>
  </si>
  <si>
    <t>Dikkat kesilin bu sese. Bu gelen TÜRK ordusudur. Zafer Allahındır #TurkishArmy #ZaferBismillah #zaferallahındır</t>
  </si>
  <si>
    <t>https://pbs.twimg.com/media/EGbUoMZWoAAOMLE.jpg</t>
  </si>
  <si>
    <t>Alaşehir, Türkiye</t>
  </si>
  <si>
    <t>Dilhun Gündoğdu</t>
  </si>
  <si>
    <t>#TurkishArmy #osmanpamukoglu</t>
  </si>
  <si>
    <t>https://pbs.twimg.com/media/EGbUmBZXUAAH7Eq.jpg</t>
  </si>
  <si>
    <t>bagdatcaddesi Wedding&amp;dress haute couture.</t>
  </si>
  <si>
    <t>Ayten Okumuş</t>
  </si>
  <si>
    <t>Adımız yeter bizim.. TÜRK #TurkishArmy</t>
  </si>
  <si>
    <t>https://pbs.twimg.com/media/EGbUnfTWoAEQIWp.jpg</t>
  </si>
  <si>
    <t>Rize, Türkiye 🇹🇷</t>
  </si>
  <si>
    <t>Ömer ÜNLÜ</t>
  </si>
  <si>
    <t>Sonuna kadar Türk Ordusunun yanındayız. Ne mutlu Türk'üm diyene 🇹🇷🇹🇷🇹🇷 #TurkishArmy</t>
  </si>
  <si>
    <t>https://pbs.twimg.com/media/EGbUnMuX0AApNdn.jpg</t>
  </si>
  <si>
    <t>📍İAÜ / Sosyoloji 📚 Yes, I am a dreamer 💭 Şiir sevin şiir yaşayın Sanatsever ❤ 🎼📖📽️</t>
  </si>
  <si>
    <t>YEŞİM SEZEN şıker</t>
  </si>
  <si>
    <t>Syn yetkililer. Artık sona gelinmiş olsun,suça karışmamış #khklılar ın iade edilme zamanı gelmedimi? Syn; @RTErdogan @bulent_arinc @T_Karamollaoglu @cihangirislam @akadirkaraduman @yavuzagiraliog Divan Restaurant Fatih Tekke Haluk Levent #TurkishArmy</t>
  </si>
  <si>
    <t>https://pbs.twimg.com/media/EGbT8PkXoAAe5wK.jpg</t>
  </si>
  <si>
    <t>Hayat ben seni her turlu yasarim✌✌✌</t>
  </si>
  <si>
    <t>Uğur ERGİN</t>
  </si>
  <si>
    <t>Hazırlanın yine girip çıkacağız! #TurkishArmy</t>
  </si>
  <si>
    <t>Zulüm Azrail olsa da hep Hakk'ı tutacağım. Mukaddes, davalarda ölüm bile güzeldir.</t>
  </si>
  <si>
    <t>luenis</t>
  </si>
  <si>
    <t>https://pbs.twimg.com/media/EGbUkv0WkAAqEar.jpg</t>
  </si>
  <si>
    <t>Everybody wants to be the king</t>
  </si>
  <si>
    <t>Muhammet Yılmaz</t>
  </si>
  <si>
    <t>Bozkurt’lar Geliyor #TurkishArmy</t>
  </si>
  <si>
    <t>http://Instagram.com/geldimami</t>
  </si>
  <si>
    <t>Yavuz Dalgıç</t>
  </si>
  <si>
    <t>"La Galiba İllallah" Allah Yar ve Yardımcınız Olsun 🇹🇷🤘 #TurkishArmy</t>
  </si>
  <si>
    <t>https://pbs.twimg.com/media/EGbUj9FWoAMQVkp.jpg</t>
  </si>
  <si>
    <t>Türkiye/İST</t>
  </si>
  <si>
    <t>Tanrı Türkü korusun ve yüceltsin. yaşasın ASİL TÜRK ırkı. Türkün türkden başka dostu yoktur. Irkçı Türk Maltepe</t>
  </si>
  <si>
    <t>https://www.instagram.com/yavuzdalgic/</t>
  </si>
  <si>
    <t>Zinedine</t>
  </si>
  <si>
    <t>Türk’ün şerefli evlatları geldi.. #TurkishArmy</t>
  </si>
  <si>
    <t>Meral مرال</t>
  </si>
  <si>
    <t>#TurkishArmy ❤🇹🇷</t>
  </si>
  <si>
    <t>https://pbs.twimg.com/media/EGbUjRnW4AELHAD.jpg</t>
  </si>
  <si>
    <t>elhamdülillah</t>
  </si>
  <si>
    <t>bir acayip adam</t>
  </si>
  <si>
    <t>800 liraya aldıgım skechers marka ayakkabımı yaktım simdinsenndüsün amariga #TurkishArmy</t>
  </si>
  <si>
    <t>Twitter facebook birgün ölü insanlar günlügü olarak kalacak</t>
  </si>
  <si>
    <t>Alperen Babaoğlan</t>
  </si>
  <si>
    <t>https://pbs.twimg.com/media/EGbUid3WsAEyij6.jpg</t>
  </si>
  <si>
    <t>GFL'17 SÜ DİŞÇİ Gökte Tanrı Yerde Biz Delikanlı Türkleriz</t>
  </si>
  <si>
    <t>erdinç balk</t>
  </si>
  <si>
    <t>https://pbs.twimg.com/media/EGbUho_XYAAa5cn.jpg</t>
  </si>
  <si>
    <t>Fikri Baş</t>
  </si>
  <si>
    <t>#TurkishArmy Allah Türk Ordusunu Korusun 🇹🇷🇹🇷🇹🇷🇹🇷🇹🇷🇹🇷🇹🇷🇹🇷🇹🇷</t>
  </si>
  <si>
    <t>https://pbs.twimg.com/media/EGbUfatXYAEUeuk.jpg</t>
  </si>
  <si>
    <t>🇹🇷Mustafa Kemal Atatürk. Beşiktaş🦅🦅Samsun’lu. AÜ-Ekonomi Tekirdağ 95. Zırhlı Piyade Tugayı(02 Aralık)</t>
  </si>
  <si>
    <t>m.tuncay</t>
  </si>
  <si>
    <t>🔥🔥⚔️ #TurkishArmy</t>
  </si>
  <si>
    <t>ғeɴerвαнçe</t>
  </si>
  <si>
    <t>Mu_kitasi-1881</t>
  </si>
  <si>
    <t>TÜRK'tür acuna veren hükmü!... 🤘🏻🇹🇷🤘🏻 #TurkishArmy</t>
  </si>
  <si>
    <t>https://pbs.twimg.com/media/EGbUeIzW4AETGZr.jpg</t>
  </si>
  <si>
    <t>#TürkçüTürkiyeBirliği Türk soyu var olsun #Türkmen #AtaTürk 💛 #Galatasaray ❤</t>
  </si>
  <si>
    <t>milliyetçi</t>
  </si>
  <si>
    <t>https://pbs.twimg.com/media/EGbUdQqWkAAEzvH.jpg</t>
  </si>
  <si>
    <t>Türk Milliyetçisi Metehanın torunu Yüce Başbuğ Atatürkün öğrencisi..</t>
  </si>
  <si>
    <t>Ferhat Hoşalay</t>
  </si>
  <si>
    <t>"Biz Türkler ordusu olan bir millet değil, milleti olan bir orduyuz." Mustafa Kemal Atatürk #TurkishArmy</t>
  </si>
  <si>
    <t>https://pbs.twimg.com/media/EGbUcdsX0AAlkD7.jpg</t>
  </si>
  <si>
    <t>#İstanbul #Galatasaray</t>
  </si>
  <si>
    <t>Bizim davamız; Tanrı Dağları'ndaki bir çocuğun, Toroslar'daki kardeşine koşuşunu görmektir. 🇹🇷</t>
  </si>
  <si>
    <t>http://instagram.com/fhosalay</t>
  </si>
  <si>
    <t>Scorpius 🦂</t>
  </si>
  <si>
    <t>Savaşa hayır diyen pembe götlülere gösterin bunu!!! #TurkishArmy RT @Turan1530: Sınır Hattında Boşaltılan Bir Köyde Kürt anamız emretti; ONLARI EZİN! #TurkishArmy 🇹🇷</t>
  </si>
  <si>
    <t>World 🌍</t>
  </si>
  <si>
    <t>Leyla’da Mecnun’da yalan, herkes aynı hikayede ama kendi tarafından...🥃</t>
  </si>
  <si>
    <t>escumhurbakanı</t>
  </si>
  <si>
    <t>#TurkishArmy #çarşamba Dost, Düşman belli oluyor. Türk'ün Türkt'en başka dostu yoktur... Ne Mutlu Türküm Dİyene</t>
  </si>
  <si>
    <t>https://pbs.twimg.com/media/EGbUa31X0AALvRf.jpg</t>
  </si>
  <si>
    <t>gönüllerin cumhurbakani</t>
  </si>
  <si>
    <t>Tantuni Devam</t>
  </si>
  <si>
    <t>Ecdâdımızın heybeti maruf-ı cihândır Fıtrat değişir sanma bu kan yine o kandır! #TurkishArmy</t>
  </si>
  <si>
    <t>https://pbs.twimg.com/media/EGbUavwWoAA4LtS.jpg</t>
  </si>
  <si>
    <t>MehmetAkif MAKOÇOĞLU</t>
  </si>
  <si>
    <t>https://pbs.twimg.com/media/EGbUacBXYAA5nzG.jpg</t>
  </si>
  <si>
    <t>yakamoz</t>
  </si>
  <si>
    <t>your nightmare is coming 🇹🇷🇹🇷 #TurkishArmy</t>
  </si>
  <si>
    <t>Cenap Küfeciler</t>
  </si>
  <si>
    <t>Yıldırım Bayezid 1490larda ispanyadan kovulan 300bin yahudiyi kabul ederek belki de Osmanlının sonunu getirdi bilmeden.İspanyadayken Katolik ayağına yatan bu dönmeler Müslüman kisvesiyle 500 yıldır aleyhimize faaliyetteler.  #TurkishArmy</t>
  </si>
  <si>
    <t>https://pbs.twimg.com/media/EAjn31NW4AECfVi.jpg</t>
  </si>
  <si>
    <t>İçimde muhakkak bir yer paramparça olmuştu ki, ağlayamıyordum. - Sait Faik Abasıyanık</t>
  </si>
  <si>
    <t>Hüseyin Şanverdi</t>
  </si>
  <si>
    <t>Ya ALLAH BİSMİLLAH 🤲 Biz ordusu olan bir millet değil, milleti olan bir orduyuz. Sefer bizden zafer ALLAH’tan 🇹🇷🇹🇷 #TurkishArmy #BarisPinariHarekati</t>
  </si>
  <si>
    <t>https://pbs.twimg.com/media/EGbURvuXUAAZslo.jpg</t>
  </si>
  <si>
    <t>Reyhanlı, Hatay, Türkiye</t>
  </si>
  <si>
    <t>27.Dönem Ak Parti Hatay Milletvekili / Tarım Komisyonu Üyesi / Türkiye - Irak Parlementolar Arası Dostluk Grubu Başkanı / 2004-2018 Reyhanlı Belediye Başkanı</t>
  </si>
  <si>
    <t>http://huseyinsanverdi.com.tr</t>
  </si>
  <si>
    <t>Nurullah Uryan</t>
  </si>
  <si>
    <t>#TurkishArmy coming .. 🤫</t>
  </si>
  <si>
    <t>🦅 Beşiktaş 🦅 💻Teknoloji ,Doğa ⛰️ Yazılanlar okunduğu kadar . ✍️ @nuryan1903 diğer hesaptı. Şuan buradayım. Geriye takibe dönmeyen haftalık olarak düşüyor.</t>
  </si>
  <si>
    <t>http://Instagram.com/pro.filim</t>
  </si>
  <si>
    <t>BHYT</t>
  </si>
  <si>
    <t>Gazi Yunivörsiti TF-EEM A. Kerem Öztürk</t>
  </si>
  <si>
    <t>http://www.instagram.com/keremozturk61</t>
  </si>
  <si>
    <t>Mehmet Ali</t>
  </si>
  <si>
    <t>#TurkishArmy #Syria #BarisPinariHarekati</t>
  </si>
  <si>
    <t>https://pbs.twimg.com/media/EGbUUgLXkAAVd_d.jpg</t>
  </si>
  <si>
    <t>volkan beysir</t>
  </si>
  <si>
    <t>VATAN HAİNLERİ DEVLETİMİZDEN ALDIĞI MAAŞLA PKK'YI SAVUNURKEN, Sn ADNAN OKTAR PARASINI VATANIN BÜTÜNLÜĞÜ İÇİN HARCAMIŞTIR.  📏 #EmineBulut 9 Ekim #carsamba #TurkishArmy Haluk Levent yorgan kavgası kanatsızlar borucu zırıldamak 📏</t>
  </si>
  <si>
    <t>pic.twitter.com/pybZxcciBp</t>
  </si>
  <si>
    <t>Sevmezsen sevme lan! Ya da sev ya.</t>
  </si>
  <si>
    <t>https://instagram.com/VolkanBeysir</t>
  </si>
  <si>
    <t>Onur Yılmaz</t>
  </si>
  <si>
    <t>“Derdi çok olanın düşmanı da çok olur.” DERTLİ TÜRKİYEM! 🇹🇷 #TurkishArmy</t>
  </si>
  <si>
    <t>Payitaht 🇹🇷</t>
  </si>
  <si>
    <t>@nesl_ati Bşk. -İÜİF-</t>
  </si>
  <si>
    <t>http://nesliati.com</t>
  </si>
  <si>
    <t>Joakim Löb</t>
  </si>
  <si>
    <t>Lots of bots and propaganda on the trending #TurkishArmy. May peace prevail on earth and let's never forget the bravery of the #Kurds to help defeat ISIS.</t>
  </si>
  <si>
    <t>Switzerland</t>
  </si>
  <si>
    <t>Multimedia specialist, digital manager, reporter / #ngo #startups #technology #travel #mcfc #crypto | Working @tdh_ch RT ≠ endorsements</t>
  </si>
  <si>
    <t>http://www.instagram.com/explorerfoodie</t>
  </si>
  <si>
    <t>Çelik Kanat</t>
  </si>
  <si>
    <t>Dünyanın en cesur. Gittiği her yere adaleti ve güveni sağlayan, mazlum insanlara şefkatini gosteren tek ordu Türk ordusudur. #TurkishArmy</t>
  </si>
  <si>
    <t>https://pbs.twimg.com/media/EGbURrwWoAAX_K8.jpg</t>
  </si>
  <si>
    <t>DeliOrmanlı</t>
  </si>
  <si>
    <t>#TurkishArmy wants to play a game with you hewal</t>
  </si>
  <si>
    <t>https://pbs.twimg.com/media/EGbURxxXYAAmLsq.jpg</t>
  </si>
  <si>
    <t>http://www.fifa.com</t>
  </si>
  <si>
    <t>Leyla</t>
  </si>
  <si>
    <t>Biraz yazar biraz çizer biraz da coder</t>
  </si>
  <si>
    <t>FB'li Yiğit</t>
  </si>
  <si>
    <t>Varolsun TÜRK ordusu 🇹🇷 #TurkishArmy</t>
  </si>
  <si>
    <t xml:space="preserve">‎íڪ†∂ηßﺙℓ </t>
  </si>
  <si>
    <t>Sivaslı Türk Mhp Vatan 🇹🇷Fenerbahçe</t>
  </si>
  <si>
    <t>enes köksal</t>
  </si>
  <si>
    <t>#TurkishArmy Dünyanın en karizmatik fotoğrafı..</t>
  </si>
  <si>
    <t>https://pbs.twimg.com/media/EGbUNgSWoAAphUq.jpg</t>
  </si>
  <si>
    <t>İstanbul Bayrampaşa</t>
  </si>
  <si>
    <t>❤💛 GALATASARAY 🌟🌟🌟🌟 http://Instagram.com/enes__koksal</t>
  </si>
  <si>
    <t>İbrahim Paşa 🇹🇷 M.Ö. 209 dan beri...</t>
  </si>
  <si>
    <t>Since ( b.c.) 209 🇹🇷 #TurkishArmy</t>
  </si>
  <si>
    <t>Dört yüz arslandan bu vatan, kaldı bize yadigar. Terk edersek lanet etmez mi bize Perverdigar...</t>
  </si>
  <si>
    <t>Abdulkadir</t>
  </si>
  <si>
    <t>HAZIRLANSIN TABUTLUKLAR YİNE GİRİP ÇIKACAĞIZ #TurkishArmy</t>
  </si>
  <si>
    <t>Ankaragücü Bey diyeceksiniz. Gazi Üniversitesi.</t>
  </si>
  <si>
    <t>Taner YILDIZ</t>
  </si>
  <si>
    <t>Tüneldeki farelere söyleyin ŞAHİN’ler geliyor . #TurkishArmy</t>
  </si>
  <si>
    <t>Evli 💑</t>
  </si>
  <si>
    <t>Neslişah Merve ALBAYRAK</t>
  </si>
  <si>
    <t>Vefalı TÜRK geldi yine , Selam TÜRKÜN BAYRAĞINA!!!💪👊 #pınarbarısharekatı #TurkishArmy #turkmilletiordusununyaninda</t>
  </si>
  <si>
    <t>https://pbs.twimg.com/media/EGbUK0qX0AEA2rZ.jpg</t>
  </si>
  <si>
    <t>Göçmen kızı🌊</t>
  </si>
  <si>
    <t>Diplomat</t>
  </si>
  <si>
    <t>İşte geliyor özel harekat... İşte geliyor özel harekat... Hilal bıyıklı bozkurtlar bizim çocuklar... #TurkishArmy</t>
  </si>
  <si>
    <t>Türk-İslam / Bursaspor / Ordu-Millet / İdealist Genç / Uluslararası İlişkiler ve Siyaset</t>
  </si>
  <si>
    <t>EnsDkmn</t>
  </si>
  <si>
    <t>GRÜ-Tıbbi Laboratuvar Tekn.</t>
  </si>
  <si>
    <t>TheKing</t>
  </si>
  <si>
    <t>Dilek Akıncı ( Rizeli ) 🇹🇷RTE🇹🇷</t>
  </si>
  <si>
    <t>Çocukların korkmadan Sevgi ile baktığı ŞANLI TÜRK ORDUSU geliyor... Hoşgeldin diyene kolkanat olmaya... Niye geldiniz diyenlerinde kafasına sıkmaya geliyor.... 🇹🇷🇹🇷🇹🇷🇹🇷🇹🇷🇹🇷🇹🇷🇹🇷🇹🇷🇹🇷🇹🇷 #TurkishArmy</t>
  </si>
  <si>
    <t>https://pbs.twimg.com/media/EGbUGldXoAANJN9.jpg</t>
  </si>
  <si>
    <t>Reisçi ve Vatan Sevdalısı... #Hemşinli #Rizeli #AzraMelekAnnesi</t>
  </si>
  <si>
    <t>gökhan mercan</t>
  </si>
  <si>
    <t>Rabbim sizi cocuklariniza bagislasin ayaginiza tas degdirmesinnn #TurkishArmy</t>
  </si>
  <si>
    <t>Yılmaz Erçelik</t>
  </si>
  <si>
    <t>| N ❄ VIII.I.MMXVI |</t>
  </si>
  <si>
    <t>Aygün Demirkurt</t>
  </si>
  <si>
    <t>Başlıyoruz! 🇹🇷🇹🇷 #turkmilletiordusununyaninda #TurkishArmy</t>
  </si>
  <si>
    <t>https://pbs.twimg.com/media/EGbUDn7WkAIOddK.jpg</t>
  </si>
  <si>
    <t>Isparta</t>
  </si>
  <si>
    <t>her boka yarılmaya hazır zihniyetin yeşerdiği başka bir alem. 🇹🇷🇧🇬🇩🇪🇫🇷🇺🇦🇬🇪</t>
  </si>
  <si>
    <t>Mr. Who?</t>
  </si>
  <si>
    <t>https://pbs.twimg.com/media/EGbUCQ8XoAA9B9A.jpg</t>
  </si>
  <si>
    <t>Fetöcüler,Kemalistler,Hdpliler az ötede oynayın. Çeçen asıllı bir Türk</t>
  </si>
  <si>
    <t>Sananeleyn</t>
  </si>
  <si>
    <t>Vatan dediğinde tebessüm ediyorsak bilin ki o gün düğün günüdür. Tanrı Türkü korusun 🇹🇷🇹🇷🇹🇷 #TurkishArmy</t>
  </si>
  <si>
    <t>Lotalmamsanane her zaman ki ben</t>
  </si>
  <si>
    <t>Artı Haber Gazetesi</t>
  </si>
  <si>
    <t>Hırsızlık Şüphelileri Teknik Takip Sonucu Yakayı Ele Verdi  #carsamba #gaziantep #SONDAKIKA #SonDakika #TurkishArmy @gazianteppolis</t>
  </si>
  <si>
    <t>http://www.artihaber27.com/haber/hirsizlik-suphelileri-teknik-takip-sonucu-yakayi-ele-verdi-haberi-5659.html</t>
  </si>
  <si>
    <t>Gaziantep/Türkiye</t>
  </si>
  <si>
    <t>Günlük Siyasi Bağımsız Gazete</t>
  </si>
  <si>
    <t>http://www.artihaber27.com</t>
  </si>
  <si>
    <t>ASIM TURGUT</t>
  </si>
  <si>
    <t>İlhan Ardahanli</t>
  </si>
  <si>
    <t>#TurkishArmy Çocukların korkmadığı tek asker tek ordu TÜRK ORDUSU....</t>
  </si>
  <si>
    <t>https://pbs.twimg.com/media/EGbT_0OXkAAAAjh.jpg</t>
  </si>
  <si>
    <t>PokerAspirant</t>
  </si>
  <si>
    <t>#TurkishArmy I have opposed to Erdogan 99% of the time since the day I first began to understand politics. But this is not one of them. This is a matter of survival of our country. This is the time when we need to put our differences aside.</t>
  </si>
  <si>
    <t>Recently embarked on a path to become a solid hold'em player.</t>
  </si>
  <si>
    <t>Alparslan Arslan</t>
  </si>
  <si>
    <t>Vur şanlı silahınla gönül mülkü düzelsin; Sen öldürüyorken de vururken de güzelsin! -H. Nihal Atsız #TurkishArmy</t>
  </si>
  <si>
    <t>https://www.instagram.com/alp_arslan17</t>
  </si>
  <si>
    <t>bilgeadam</t>
  </si>
  <si>
    <t>https://pbs.twimg.com/media/EGbT8qEWoAAFvxk.jpg</t>
  </si>
  <si>
    <t>engineeer</t>
  </si>
  <si>
    <t>KHK'lı Vatan Devlet Millet</t>
  </si>
  <si>
    <t>Hayatın palyaçosu olduk diye bizleri mutlumu sanıyorsunuz.Törpünün ucu giderek uzuyor ve can acıtıyor.</t>
  </si>
  <si>
    <t>SAVUNAN ADAM</t>
  </si>
  <si>
    <t>Erdoğan'ın TRUMP'a TARİHİ RESTi. (Trump'ın Ekonominizi Batırrım..) &gt;&amp;gt;&amp;gt;  #TurkishArmy #KendineGelPezeberk #EmineBulut Haluk Levent Washington Post</t>
  </si>
  <si>
    <t>https://youtu.be/um0fe5yRji4</t>
  </si>
  <si>
    <t>https://pbs.twimg.com/media/EGbT7yiXUAA1vGs.jpg</t>
  </si>
  <si>
    <t>https://www.instagram.com/savunan_youtube/</t>
  </si>
  <si>
    <t>Müntekim olan Allah zalimlere karşı intikamına bizleri memur edecektir !</t>
  </si>
  <si>
    <t>https://www.youtube.com/c/SAVUNANADAMM</t>
  </si>
  <si>
    <t>Esmer 🦁</t>
  </si>
  <si>
    <t>@HDPgenelmerkezi Al sana kürt inkarı ve soykırımı.. Sözde kürt severler sizi! #TurkishArmy 🇹🇷</t>
  </si>
  <si>
    <t>pic.twitter.com/fCCo0b8TyK</t>
  </si>
  <si>
    <t>ပြာသော</t>
  </si>
  <si>
    <t>#Turkey #TurkishArmy #KurdsSideWithTurkey RT @AbdulaAsanovski: @saulbenkish Zionist puppets of Israel CIA said Turkey will be a super power by 2040 ,I say by 2030 and no one can stop Turkey!!</t>
  </si>
  <si>
    <t>https://twitter.com/AbdulaAsanovski/status/1181470838479941632</t>
  </si>
  <si>
    <t>[... Momento Mori ...]</t>
  </si>
  <si>
    <t>[... Vaadler memleketinde insan açlıktan ölür ...]</t>
  </si>
  <si>
    <t>Rıdvan Ayas</t>
  </si>
  <si>
    <t>Biz ordusu olan bir millet değil, milleti olan bir orduyuz. -Kemal Atatürk #TurkishArmy 🇹🇷</t>
  </si>
  <si>
    <t>https://pbs.twimg.com/media/EGbT7QdWwAEKGHy.jpg</t>
  </si>
  <si>
    <t>Eyvah eyvah çok fena tüylerim ürperdi adamsınız #TurkishArmy</t>
  </si>
  <si>
    <t>Şşşşttt sakin! Hadımül Haremeyn olarak hizmet vermekteyim</t>
  </si>
  <si>
    <t>ahmet balcı</t>
  </si>
  <si>
    <t>#TurkishArmy domuz avı...</t>
  </si>
  <si>
    <t>https://pbs.twimg.com/media/EGbT6_wWsAAcuj_.jpg</t>
  </si>
  <si>
    <t>Selçuk Üniversitesi Harita Mühendisliği 💪</t>
  </si>
  <si>
    <t>Samedov</t>
  </si>
  <si>
    <t>GÜÇLÜYÜZ! CESURUZ! HAZIRIZ! #TurkishArmy</t>
  </si>
  <si>
    <t>pic.twitter.com/0TBSkrXiTI</t>
  </si>
  <si>
    <t>Selçuk Kaya</t>
  </si>
  <si>
    <t>Sınırdaki sayıya aldanmayın. Sınırdaki 90 bin askerin ardında 82 milyon asker var. Bir ve beraber. İnançla. Geliyoruz! #TurkishArmy</t>
  </si>
  <si>
    <t>https://pbs.twimg.com/media/EGbT53RX0AA5Au-.jpg</t>
  </si>
  <si>
    <t>Gazi Siyaset ✍</t>
  </si>
  <si>
    <t>Ecz. Nilgün 19  ϜϓſϞ</t>
  </si>
  <si>
    <t>#Turkeyisnotourfriend #TurkishArmy #OperationPeaceSpring #BarisPinariHarekati #Syria #TürkMilletiOrdusununYanında</t>
  </si>
  <si>
    <t>Ne Mutlu Türk'üm Diyene ! #TÜRKİYECUMHURİYETİVATANDAŞI</t>
  </si>
  <si>
    <t>http://twiends.com/eczaci_nilgun</t>
  </si>
  <si>
    <t>Sahip Kıran</t>
  </si>
  <si>
    <t>Hedef kızıl elma #TurkishArmy</t>
  </si>
  <si>
    <t>Onur Yildiz</t>
  </si>
  <si>
    <t>Savaş neden istenmez eminin bunu bile neden istiyorlar bilmiyorlar. Savaş insanlar yurdundan edilmesin çoluk çocuk demeden ölmesin masum insanlar zarar görmesin diye istenmez. Ulan biz bunu yapmıyoruz biz insanlar bu duruma düşmesin diye terörle mücadele ediyoruz.#TurkishArmy</t>
  </si>
  <si>
    <t>Şu kopan fırtına Türk ordusudur yâ Rabbi. Senin uğrunda ölen ordu budur yâ Rabbi. Tâ ki yükselsin ezanlarla müeyyed nâmın, Galib et, çünkü bu son ordusudur İslâm'ın. -Yahya Kemal Beyatlı #TurkishArmy</t>
  </si>
  <si>
    <t>https://pbs.twimg.com/media/EGbT5crXYAEBY71.jpg</t>
  </si>
  <si>
    <t>Benim çok büyük hayallerim var. -Ege Üniversitesi 📚</t>
  </si>
  <si>
    <t>Mehmet polat</t>
  </si>
  <si>
    <t>#TurkishArmy Rabbim ordumuzu başımızdan eksik etmesin...</t>
  </si>
  <si>
    <t>pic.twitter.com/13XQFrTwce</t>
  </si>
  <si>
    <t>San Francisco, CA</t>
  </si>
  <si>
    <t>Belki aynı caddede yürüdük birbirimizden habersiz.</t>
  </si>
  <si>
    <t>http://www.apriyork.com</t>
  </si>
  <si>
    <t>Türker Çubukçu</t>
  </si>
  <si>
    <t>https://youtu.be/i0y4iUos1BQ</t>
  </si>
  <si>
    <t>https://pbs.twimg.com/media/EGbT4uvXkAEF8qW.jpg</t>
  </si>
  <si>
    <t>hiç kimse özel degildir</t>
  </si>
  <si>
    <t>Oğuz</t>
  </si>
  <si>
    <t>#TurkishArmy Ordusu olan millet değil, milleti olan ordu. Her Türk asker doğar</t>
  </si>
  <si>
    <t>https://pbs.twimg.com/media/EGbT3kYXYAAz38V.jpg</t>
  </si>
  <si>
    <t>Bilimle çatışmayan tek felsefi akım Agnostisizmdir. Her şeyden önce #Türk ϜϓſϞ AtaTürk'ün izinde.</t>
  </si>
  <si>
    <t>Yasemin Han🇹🇷</t>
  </si>
  <si>
    <t>pic.twitter.com/3M0kkWlCh7</t>
  </si>
  <si>
    <t>Müslüman,Türk,Ölümüne Vatan,Ölümüne Türk Ordusu,Ölümüne Reis🇹🇷🇹🇷🇹🇷</t>
  </si>
  <si>
    <t>AKbaba 🕊</t>
  </si>
  <si>
    <t>🇹🇷🇹🇷🇹🇷🇹🇷</t>
  </si>
  <si>
    <t>🇹🇷Arzu_Topkaya_21🇹🇷</t>
  </si>
  <si>
    <t>Ben, Arzu Topkaya /Diyarbakır Emir Ve Görüşlerinize Hazırım @RTErdogan Komutanım 🇹🇷 #TurkishArmy #KurdsSideWithTurkey #OperationPeaceSpring #BarısPınarıHarekatı #TürkMilletiOrdusununYanında RT @GunesAk__: Ben, Adalet Güneş /Ankara Emir Ve Görüşlerinize Hazırım @RTErdogan Komutanım 🇹🇷 #TurkishArmy</t>
  </si>
  <si>
    <t>Süleyman şâhın dediği gibi.. Biz Allah'a inanır O'na güveniriz Eğer sizin ordularınız O'ndan büyükse gelin, Sizi bekliyor olacağız.</t>
  </si>
  <si>
    <t>Serkan Çetintaş</t>
  </si>
  <si>
    <t>https://pbs.twimg.com/media/EGbT1uFWoAA0QU7.jpg</t>
  </si>
  <si>
    <t>🇹🇷 K. Kayaş Mahallesi muhtarı.</t>
  </si>
  <si>
    <t>Eeeee</t>
  </si>
  <si>
    <t>Dünya tarihi görmedi senin gibi şanlı bir ordu, Yer titresin, gök yarılsın geliyor hâk ordu #TurkishArmy</t>
  </si>
  <si>
    <t>🇹🇷 Adnan Alioğlu 🇹🇷</t>
  </si>
  <si>
    <t>içimizdeki amerikan malı sözde qemalistler &amp; çapulcular suriyeyi işgal edeceğiz gibi konuşuyorlar . bre hainler oralar zaten misak-i milli 'ye dahil değil mi ? #TurkishArmy</t>
  </si>
  <si>
    <t>Yönetici , Evli . 2 Evlat Babası ve Mutlu. Sahabe düşmanları, bilhassa Müşebbihe &amp; Mücessime mensupları takip etmesin . Takipden çıkanları direk engelliyorum !</t>
  </si>
  <si>
    <t>https://tekke.online</t>
  </si>
  <si>
    <t>Sen vururken de öldürürken de güzelsin... #TurkishArmy #BarisPinari</t>
  </si>
  <si>
    <t>https://pbs.twimg.com/media/EGbT0vPXkAYKD8a.jpg</t>
  </si>
  <si>
    <t>~ALTAY~</t>
  </si>
  <si>
    <t>Emre’diyorum</t>
  </si>
  <si>
    <t>#TurkishArmy BAYRAĞI müdafaa NAMUSTUR !!!#pınarbarısharekatı #PINARBARISİHAREKATI 🇹🇷🇹🇷🇹🇷</t>
  </si>
  <si>
    <t>Sıradanım bebeyimm, en ön sıradan ⚽️6⚽️</t>
  </si>
  <si>
    <t>http://Instagram.com/emrea.8</t>
  </si>
  <si>
    <t>kürşat</t>
  </si>
  <si>
    <t>SEFER BİZDEN ZAFER ALLAHTAN KILICINIZ KESKİN OLSUN ALLAHA EMANET OLUN #TurkishArmy</t>
  </si>
  <si>
    <t>pic.twitter.com/zYlVmA4M0j</t>
  </si>
  <si>
    <t>tolga aytumur</t>
  </si>
  <si>
    <t>Geliyor Türk’ün askeri... #TurkishArmy</t>
  </si>
  <si>
    <t>https://pbs.twimg.com/media/EGbTy98WoAAz0rN.jpg</t>
  </si>
  <si>
    <t>Azad Bekir</t>
  </si>
  <si>
    <t>#TurkishArmy #BarisPinariHarekati 🇹🇷🇹🇷🇹🇷 RT @ttahaber: BOZKURTLAR GELİYOR! #TurkishArmy #BarışPınarıHarekatı</t>
  </si>
  <si>
    <t>https://twitter.com/ttahaber/status/1181849068064182278</t>
  </si>
  <si>
    <t>https://pbs.twimg.com/media/EGbFczFXUAEyJCB.jpg</t>
  </si>
  <si>
    <t>Vatan ne Türkiyedir Türklere, ne Türkistan Vatan, büyük ve müebbet bir ülkedir: Turan." 🇹🇷🇹🇷🇹🇷</t>
  </si>
  <si>
    <t>Sinan Arac</t>
  </si>
  <si>
    <t>Dünyadaki "Ortadoğu Uzmanı" rezervinin %81 i Türkiye'de bulunmaktadır. #TurkishArmy #çarşamba</t>
  </si>
  <si>
    <t>Sen benim şehrimdeki büyük yangınların adı! #Galatasaray</t>
  </si>
  <si>
    <t>yusufzemheri</t>
  </si>
  <si>
    <t>#TurkishArmy vur küfrün dünyasına hilalin yükselmesi için gelmiş bu cihan fatihi süvari aşkına düşsün çelengi rum'un eğilsin frenk'in başı vur türkü gönderen ilahi el aşkına son gücünle vur ki açılsın bu surlar şafak hücümunda duyulan o tekbir aşkına.</t>
  </si>
  <si>
    <t>https://pbs.twimg.com/media/EGbTwV9WwAEHgaR.jpg</t>
  </si>
  <si>
    <t>Musibet Şeroğlu</t>
  </si>
  <si>
    <t>#TurkishArmy yinede şahlanıyor</t>
  </si>
  <si>
    <t>https://youtu.be/NQ54fKDZEiE</t>
  </si>
  <si>
    <t>YUSUF R ATAY 🇹🇷</t>
  </si>
  <si>
    <t>🇹🇷🇹🇷🇹🇷🇹🇷🇹🇷 #TurkishArmy 🇹🇷🇹🇷🇹🇷🇹🇷🇹🇷</t>
  </si>
  <si>
    <t>https://pbs.twimg.com/media/EGbTu77WoAAQyRv.jpg</t>
  </si>
  <si>
    <t>#Akekip Kendi halinde bir kul Aşırı REİSCİ</t>
  </si>
  <si>
    <t>Şakir Kazdal</t>
  </si>
  <si>
    <t>#TurkishArmy RT @kaankural: Kalktı valla. Ne diyim helal olsun</t>
  </si>
  <si>
    <t>https://twitter.com/kaankural/status/16867365789</t>
  </si>
  <si>
    <t>Sadi ÖZDEL</t>
  </si>
  <si>
    <t>ALLAH YAR VE YARDIMCIMIZ OLSUN..... #TurkishArmy</t>
  </si>
  <si>
    <t>Sıradan bir vatandaş.</t>
  </si>
  <si>
    <t>Tanrı Türk ordusunun yanında olsun. Bu saatten sonra savaşa hayır veyahut doğru ya da yanlış politikalara laf söyleme zamanı değil. Ordunun yaninda olma zamanı.#TurkishArmy</t>
  </si>
  <si>
    <t>Sekülerizm ve elitizm kalkınmanın yegane şartlarıdır.</t>
  </si>
  <si>
    <t>Yunus Emre BENGLİ</t>
  </si>
  <si>
    <t>https://pbs.twimg.com/media/EGbTvxPXUAAVD4v.jpg</t>
  </si>
  <si>
    <t>RİZE</t>
  </si>
  <si>
    <t>Ordu Üniversitesi</t>
  </si>
  <si>
    <t>http://Instagram.com/emrebengli</t>
  </si>
  <si>
    <t>A. Cüneyt POLAT</t>
  </si>
  <si>
    <t>"Türkler, müslümanlar gelmişler. Allah'a şükür o köpeklerden kurtulduk. YPG/PKK'dan kurtulduk. Ne namus bıraktılar, ne çocuk bıraktılar. 8 çocuğum vardı hepsi gitti. Hiçbiri kalmadı." #TurkishArmy</t>
  </si>
  <si>
    <t>Oğlunun Babası | Hay'dan gelip Hû'ya yolcu.. | Sosyoloji | Girişim | Dijital | Medya | Gazeteci | Önce adalet.</t>
  </si>
  <si>
    <t>http://www.cuneytpolat.com</t>
  </si>
  <si>
    <t>emneedgn</t>
  </si>
  <si>
    <t>Gök girsin kızıl çıksın🤘🏻🤘🏻🤘🏻🇹🇷🇹🇷🇹🇷 #TurkishArmy</t>
  </si>
  <si>
    <t>https://pbs.twimg.com/media/EGbTrzcX0AELtbg.jpg</t>
  </si>
  <si>
    <t>GRÜ📚</t>
  </si>
  <si>
    <t>oz</t>
  </si>
  <si>
    <t>Merrciful turkish soldier 🇹🇷🇹🇷🇹🇷 #TurkishArmy</t>
  </si>
  <si>
    <t>https://pbs.twimg.com/media/EGbTr1qWkAE7eZS.jpg</t>
  </si>
  <si>
    <t>HAFIZ ENES YİĞİT</t>
  </si>
  <si>
    <t>#Uzmanıyım #TurkishArmy #EmineBulut #Instagramdarkmode #YAMANLARLisesi #deprem #carsamba #iyilik #Syria #CheGuevara #StandWithTheKurds #eniyicevap #PioliOut #dolar @RTErdogan @suleymansoylu @HulusiAkar06 @TC_icisleri @TC_Disisleri @MevlutCavusoglu @EmniyetGM @tcsavunma</t>
  </si>
  <si>
    <t>https://pbs.twimg.com/media/EGbTq-AXUAE-z-v.jpg</t>
  </si>
  <si>
    <t>Sultan Abdülhamid Han'ın Anne tarafından torunu ...🌹 medrese ilahiyat</t>
  </si>
  <si>
    <t>Dante</t>
  </si>
  <si>
    <t>Biz tek siz hepiniz. Hepinizi sileceğiz. #TurkishArmy</t>
  </si>
  <si>
    <t>Italy</t>
  </si>
  <si>
    <t>Adap bildiren</t>
  </si>
  <si>
    <t>Vildan Karakaya</t>
  </si>
  <si>
    <t>Tekrar edelim🇹🇷 The Turkish Armed Forces have never gone to oppressed geographies like the Imperialist bloodsuckers for political ambitions.Cyprus is witness to this. South Korea,Bosnia are witnesses. Afghanistan is a witness.Every time we went,went for justice. 🇹🇷 #TurkishArmy</t>
  </si>
  <si>
    <t>https://pbs.twimg.com/media/EGbTpjYWsAAiTxQ.jpg</t>
  </si>
  <si>
    <t>Çukurova Üniversitesi (ELT) İngilizce Öğretmeni Adana ➡️ Hilvan</t>
  </si>
  <si>
    <t>aytacturhan 🇹🇷</t>
  </si>
  <si>
    <t>pic.twitter.com/UD20wZuXAM</t>
  </si>
  <si>
    <t>nevi şahsına münhasır 🇹🇷</t>
  </si>
  <si>
    <t>DeathIsTheFact</t>
  </si>
  <si>
    <t>#TurkishArmy not like other armies... It is merciful at the same time it is equitable for all .</t>
  </si>
  <si>
    <t>parody değil gerçek kişi trol değil o bir insan. küfür etmez sadece havale eder. güncel için burda.</t>
  </si>
  <si>
    <t>Kanal Finans</t>
  </si>
  <si>
    <t>9 Ekim 1998'de Hafız Esad terörüst başı Öcalanı Suriye'den Moskova'ya giden uçağa uğurladı. Devam eden süreçte ülke değişiklikleri yapan Öcalan15 Şubat'ta Kenya'da tutuklandı... Bugün 9 Ekim 2019 Allah yolumuzu açık etsin #TurkishArmy</t>
  </si>
  <si>
    <t>Piyasalar ve ekonomi için finansal bilgi kanalı (kurumsal hesap) https://www.youtube.com/kanalfinans-webtv</t>
  </si>
  <si>
    <t>http://kanalfinans.com</t>
  </si>
  <si>
    <t>Düğünümüz başlıyor... #TurkishArmy</t>
  </si>
  <si>
    <t>Healt Tourism Busines</t>
  </si>
  <si>
    <t>PKK is equal with ISIS. PKK plants and explodes live bombs in Istanbul and Ankara. PKK is not Kurd. PKK is a terrorist organisation which usa supports, gives guns and pays. So I stand with #TurkishArmy I hate ISIS and PKK, because I hate terrorism.</t>
  </si>
  <si>
    <t>https://pbs.twimg.com/media/EGbTkjZWwAA9rVs.jpg</t>
  </si>
  <si>
    <t>Computer Engineer and Science.</t>
  </si>
  <si>
    <t>mr president ERDOĞAN</t>
  </si>
  <si>
    <t>GİİİİİİİİİRRRRRDDDDDİİİİİİİİCCCCKKKKK #TurkishArmy</t>
  </si>
  <si>
    <t>FENERBAHÇE ULAN!</t>
  </si>
  <si>
    <t>SERDA(L) İLE🇹🇷</t>
  </si>
  <si>
    <t>Biz dünyanın en iyi askerlerimiz Allah bizi ümmetin başına asker yarattı...🇹🇷 #TurkishArmy</t>
  </si>
  <si>
    <t>zeyno ile İbrahim'in Babasi ISTANBUL 34 ⚽Beşiktaş VATANSEVER kendi doğrularimla yasarim. Resmi değil imam nikahlı hesabimdir. ALLAH VAR GAM YOK</t>
  </si>
  <si>
    <t>Kintsugi26</t>
  </si>
  <si>
    <t>#TurkishArmy TANRI TÜRKÜ KORUSUN!</t>
  </si>
  <si>
    <t>Sadece gündemi takip etmek için açılmış bir profil.</t>
  </si>
  <si>
    <t>batu</t>
  </si>
  <si>
    <t>İstanbul üniversitesi | #oba</t>
  </si>
  <si>
    <t>http://instagram.com/ozdemirr_52</t>
  </si>
  <si>
    <t>Buro</t>
  </si>
  <si>
    <t>#TurkishArmy Brave Honorable Helpful</t>
  </si>
  <si>
    <t>Yaşamak yetiyor insana düşünmek zor geliyor.Yanlışlar sevildikçe doğrular değişiyor.</t>
  </si>
  <si>
    <t>#TurkishArmy Bir gece ansızın geliyor Müslüman Türk ordusu, Korkun hainler bu gelen İslamin son ordusu, çıkılıyor sefere, dua ve gayretle, nasipse varılacak zafere, hedef kızıl elma! Rabbim ülkemizi ve ordumuzu muhafaza eylesin.Amin</t>
  </si>
  <si>
    <t>https://pbs.twimg.com/media/EGbTgOYWsAAxwHJ.jpg</t>
  </si>
  <si>
    <t>Meziyetin varsa hafâ türabında kalsın; ta neşvünema bulsun.</t>
  </si>
  <si>
    <t>Sükûnet</t>
  </si>
  <si>
    <t>Net.🇹🇷 #TurkishArmy RT @Enes_inci1: Net.🇹🇷 #TurkishArmy</t>
  </si>
  <si>
    <t>https://twitter.com/Enes_inci1/status/1181864209107361794</t>
  </si>
  <si>
    <t>https://pbs.twimg.com/media/EGbTOAeX0AAuvmb.jpg</t>
  </si>
  <si>
    <t>Sükut-u Lisan Selamet-i İnsan..</t>
  </si>
  <si>
    <t>Kaan AKAR</t>
  </si>
  <si>
    <t>You will see the power of the #TurkishArmy</t>
  </si>
  <si>
    <t>https://pbs.twimg.com/media/EGbTfJOWsAAw8-9.jpg</t>
  </si>
  <si>
    <t>Hemşireniz</t>
  </si>
  <si>
    <t>💊💉💉</t>
  </si>
  <si>
    <t>çekimhatası</t>
  </si>
  <si>
    <t>#TurkishArmy this man Kemal Kılıçdaroğlu can not understand name of power Bu kişinin (Kemal Kılıçdaroğlu) anlayamayacağı gücün adı ... 🇹🇷🇹🇷🇹🇷🇹🇷🇹🇷</t>
  </si>
  <si>
    <t>mehdi demir</t>
  </si>
  <si>
    <t>Mazlumların imdadına koşan bir ordumuz var. Sefer başladı,Zafer'i Allah lütuf etsin. #TurkishArmy</t>
  </si>
  <si>
    <t>mehdi demir muş istanbul</t>
  </si>
  <si>
    <t>Sosyopat Cüce Bihter</t>
  </si>
  <si>
    <t>https://pbs.twimg.com/media/EGbTby4XkAAWkBO.jpg</t>
  </si>
  <si>
    <t>Burda öyle takılıyoruz</t>
  </si>
  <si>
    <t>Adore</t>
  </si>
  <si>
    <t>Anlatmış Allah’ın ordusu TÜRK ASKERİ GELİYOR #TurkishArmy</t>
  </si>
  <si>
    <t>https://pbs.twimg.com/media/EGbTb0mXkAE1Rki.jpg</t>
  </si>
  <si>
    <t>Tanju Nazire Mert</t>
  </si>
  <si>
    <t>Geliyoruz orası karışıcak vaziyet alın. #TurkishArmy</t>
  </si>
  <si>
    <t>https://pbs.twimg.com/media/EGbTbO-WsAAHONw.jpg</t>
  </si>
  <si>
    <t>@GalatasaraySK ⭐️⭐️⭐️⭐️🏆🇹🇷 #MustafaKemalAtatürk</t>
  </si>
  <si>
    <t>Kamil Sarıkaş</t>
  </si>
  <si>
    <t>e</t>
  </si>
  <si>
    <t>مورات كوشاك</t>
  </si>
  <si>
    <t>İSLAM ORDUSUNUN ASKERLERİ=#TurkishArmy Rasûlullah (sav) buyurdular: Cennete giren hiçbir kimse, yeryüzündeki her şey kendisinin olsa bile dünyaya geri dönmeyi arzu etmez. Sadece şehit, gördüğü aşırı itibar ve ikram sebebiyle tekrar dünyaya dönmeyi ve on defa şehit olmayı ister.</t>
  </si>
  <si>
    <t>https://pbs.twimg.com/media/EGbTZKeXUAI1Tw4.jpg</t>
  </si>
  <si>
    <t>http://goo.gl/PZ4GSS http://goo.gl/CTQmh7 http://goo.gl/gzKv53 http://goo.gl/3pqZkL http://goo.gl/ANWTDP Like+RT Mesajlar Yayılsın Lütfen 🇹🇷</t>
  </si>
  <si>
    <t>http://www.seyrangah.tv/</t>
  </si>
  <si>
    <t>YineBaşlayacak %53 #DEVAM</t>
  </si>
  <si>
    <t>Turks are coming 🇹🇷 🇹🇷 🇹🇷 #TurkishArmy</t>
  </si>
  <si>
    <t>https://pbs.twimg.com/media/EGbGadyXkAA96Dr.jpg</t>
  </si>
  <si>
    <t>ANTI GLADIO (FETÖ,HDPKK,..) ANTISOROS 1) yazdığım kendimi bağlar 2) focus on Türkiye</t>
  </si>
  <si>
    <t>Themanofgod</t>
  </si>
  <si>
    <t>Ramazan KARA</t>
  </si>
  <si>
    <t>https://pbs.twimg.com/media/EGbTW_WWoAIzJpS.jpg</t>
  </si>
  <si>
    <t>EMİN</t>
  </si>
  <si>
    <t>#TurkishArmy 🇹🇷🇹🇷</t>
  </si>
  <si>
    <t>https://pbs.twimg.com/media/EGbTVxoXkAAW8dV.jpg</t>
  </si>
  <si>
    <t>http://www.instagram.com/emindemirhan61</t>
  </si>
  <si>
    <t>Türkler geliyor!!! #TurkishArmy</t>
  </si>
  <si>
    <t>Abdullah Özbek</t>
  </si>
  <si>
    <t>https://pbs.twimg.com/media/EGbTUyyWwAEMJzK.jpg</t>
  </si>
  <si>
    <t>O kadar parlak bi bioya sahip değilim sadece neşeliyim saygılar😚</t>
  </si>
  <si>
    <t>http://instagram.com/abdullahhozbekk</t>
  </si>
  <si>
    <t>Yarın 10.10 Yavuz Sultan Selimin doğum günü ve anafartalarda ingiliz, avustralya ve yeni zelanda birliklerini yendiğimiz gün. Son yıllarda tarihlerle mesaj veren devletimiz gece yarısından sonra operasyona başlar! #TurkishArmy</t>
  </si>
  <si>
    <t>Fındık kabuğunu doldurmayacak sebeplerden kendini üzme, sorun yaratma, başkasını üzme, kafana takma!!!🙂 Hayat devam ediyor! 🙂</t>
  </si>
  <si>
    <t>Murat58ss</t>
  </si>
  <si>
    <t>Tüm oyuncular sahada olmasına rağmen muhteşem anı bölmeyen ikinci yarıyı başlatmayan hakem Ümit Öztürk ve Konyaspor taraftarını tebrik ediyorum. #TurkishArmy @_yusufosmanli @tozanbey @SivassporKulubu @erayyyNihal @zekibahce @iklim52nurda41 @CeddiOsmanliRT @dursun66 @sevgimrc54</t>
  </si>
  <si>
    <t>pic.twitter.com/8Mw1bsNcSK</t>
  </si>
  <si>
    <t>http://18.ci hesap bıktırdın lan Jack.</t>
  </si>
  <si>
    <t>Tüm askerlerimizi Rabbim korusun. ❤️🙏🏻 Allah yar ve yardımcınız olsun inşallah 🇹🇷 #TurkishArmy</t>
  </si>
  <si>
    <t>https://pbs.twimg.com/media/EGbTTklXUAAcJxo.jpg</t>
  </si>
  <si>
    <t>iyi biri olarak kalmaya çalışıyorum lütfen beni sinirlendirmeyin.</t>
  </si>
  <si>
    <t>https://instagram.com/prohiberre</t>
  </si>
  <si>
    <t>KEREM</t>
  </si>
  <si>
    <t>İnna fetahna leke fetham mübına (Doğrusu biz sana apaçık bir fetih ihsân ettik) Ve yensurakellahü nasran azıza (Ve sana Allah, şanlı bir zaferle yardım eder.) #TurkishArmy 🇹🇷🇹🇷</t>
  </si>
  <si>
    <t>https://pbs.twimg.com/media/EGbTQ_MXUAAL_d8.jpg</t>
  </si>
  <si>
    <t>Üsküdar</t>
  </si>
  <si>
    <t>Ayt</t>
  </si>
  <si>
    <t>Her Türk asker doğar #TurkishArmy</t>
  </si>
  <si>
    <t>https://pbs.twimg.com/media/EGbTNr9XoAAOiJ9.jpg</t>
  </si>
  <si>
    <t>Yaşa Fenerbahçe</t>
  </si>
  <si>
    <t>varolmasendromu</t>
  </si>
  <si>
    <t>#TurkishArmy Bizim vatanımızı Tunadan Nilden dinle, Sor laleye sümbüle birazda gülden dinle, Bizi üç kıta değil koca dünya tanır, Hem bizi bizden değil, yedi kat elden dinle...</t>
  </si>
  <si>
    <t>https://pbs.twimg.com/media/EGbTP0rXYAAj19P.jpg</t>
  </si>
  <si>
    <t>H'lâl</t>
  </si>
  <si>
    <t>Ey şanlı ordu,ey şanlı asker. Allahu ekber, Allahu ekber Ordumuz olsun daim muzaffer. #TurkishArmy</t>
  </si>
  <si>
    <t>RTE sevdalısı Özü Angara 🌸</t>
  </si>
  <si>
    <t>ahmet ekin</t>
  </si>
  <si>
    <t>Kazasız belasız şehit vermeden Zaferle dönün inşaallah 'Lâ Galibe İllâllah'' #TurkishArmy</t>
  </si>
  <si>
    <t>https://pbs.twimg.com/media/EGbTODhWoAAPkJw.jpg</t>
  </si>
  <si>
    <t>GRÜ COĞRAFYA 2013/2017 Yetim Gülerse Dünya Güler Vatan sevgisi imandandır.</t>
  </si>
  <si>
    <t>DELİ USTA</t>
  </si>
  <si>
    <t>https://pbs.twimg.com/media/EGbTMHpWkAAKITe.jpg</t>
  </si>
  <si>
    <t>Deli de , bu Fani Dünyanın delisi değil...</t>
  </si>
  <si>
    <t>Fahrettin</t>
  </si>
  <si>
    <t>Olay budur #TurkishArmy</t>
  </si>
  <si>
    <t>https://pbs.twimg.com/media/EGbTJb-X0AAOjWW.jpg</t>
  </si>
  <si>
    <t>UCİM Gönüllüsü 🦋🦋🦋 Özgürlük için gökyüzünü satın almanıza gerek yok. Ruhunuzu satmayın yeter...</t>
  </si>
  <si>
    <t>Milli Sosyal Medya Derneği</t>
  </si>
  <si>
    <t>Osmanlı döneminde (1910) basılan bir görsel: Üzerinde "Türkiye" yazan ve elinde İslam sancağı taşıyan şahıs, Avrupalı devletlere karşı tek başına savaşıyor. Uzaktan izleyip, konuşanlar ise Çin ve Japonya. (Stanford University, Hoover Institution Library, Cairo Punch) #TurkishArmy</t>
  </si>
  <si>
    <t>https://pbs.twimg.com/media/EGbTJFZWwAAionc.jpg</t>
  </si>
  <si>
    <t>(Sosyal Medya Ahlakı) Milli fikriyata sahip hesapların toplanma merkezi</t>
  </si>
  <si>
    <t>http://www.mismed.org.tr</t>
  </si>
  <si>
    <t>Gözlem Gazetesi</t>
  </si>
  <si>
    <t>@fethigurer yine birçok konuda hükumet yetkililerini göreve çağırdı  ... #TurkishArmy #EmineBulut #Çarşamba #CheGuevara</t>
  </si>
  <si>
    <t>http://is.gd/qPVvUP</t>
  </si>
  <si>
    <t>https://pbs.twimg.com/media/EGbTI4zWwAEA9yK.jpg</t>
  </si>
  <si>
    <t>Gözlem Gazetesi Resmi Twitter Hesabı / Ekonomiye ve politikaya yön verenlerin gazetesi</t>
  </si>
  <si>
    <t>http://www.gozlemgazetesi.com</t>
  </si>
  <si>
    <t>Ğüşra</t>
  </si>
  <si>
    <t>"Kim bu cennet vatanın uğruna olmaz ki feda?" sorusunun cevabını bu operasyona karşı çıkıp, Mehmetçiğimizin yanında olmayanlara bakıp öğrenebilirsiniz. #TurkishArmy 🇹🇷</t>
  </si>
  <si>
    <t>itina ile tivit atılır.</t>
  </si>
  <si>
    <t>Onur.</t>
  </si>
  <si>
    <t>Hazırlansın tabutluklar yine geliyoruz. #TurkishArmy</t>
  </si>
  <si>
    <t>a drop in the ocean görünen köyün istenmeyen kılavuzu.</t>
  </si>
  <si>
    <t>mert gunes</t>
  </si>
  <si>
    <t>Bayram Şanlı 🇹🇷</t>
  </si>
  <si>
    <t>pic.twitter.com/kbxrZyrLeN</t>
  </si>
  <si>
    <t>Emre Başkaya</t>
  </si>
  <si>
    <t>https://pbs.twimg.com/media/EGbTFxjX0AAxO2D.jpg</t>
  </si>
  <si>
    <t>https://www.instagram.com/emrebaskaya</t>
  </si>
  <si>
    <t>Tespitçi ⚡</t>
  </si>
  <si>
    <t>#TurkishArmy Ottoman is coming 😏</t>
  </si>
  <si>
    <t>Hayat bence tecahülü arif</t>
  </si>
  <si>
    <t>i𝓈𝓉𝒶𝓃𝒷𝓊𝓁'ℯ</t>
  </si>
  <si>
    <t>Rabbim ilây-ı kelimetullah ve kızıl elma ülküsü uğruna mücadele veren kahraman ordumuzun ve İslâm'ın son kalesi ülkemizin yâr ve yardımcısı olsun..🇹🇷 #TurkishArmy</t>
  </si>
  <si>
    <t>https://pbs.twimg.com/media/EGbTFp4WsAEHI1q.jpg</t>
  </si>
  <si>
    <t xml:space="preserve">Şehr-i İstanbul </t>
  </si>
  <si>
    <t>Herkese anladığı dilden..</t>
  </si>
  <si>
    <t>Yıkık Premses</t>
  </si>
  <si>
    <t>Taşında gözü olanın, yurduna mezar kazacağız. Yol ver Türk'ün bayrağına! Geliyoruz🇹🇷 #TurkishArmy</t>
  </si>
  <si>
    <t>https://pbs.twimg.com/media/EGbTEIOXoAE5ELq.jpg</t>
  </si>
  <si>
    <t>Doğru olanı yaptığımda kaybettiğim kim varsa, yolu açık olsun. 💁‍♀️</t>
  </si>
  <si>
    <t>http://instagram.com/sedaknsu</t>
  </si>
  <si>
    <t>Furkan Çetinkaya</t>
  </si>
  <si>
    <t>Yiğitler kan döker bayrak solmayaAnadolum başlar vatan olmayaKızıl Elma'ya hey! Kızıl Elma'ya!En güzel marşını vurmada mehterYa Allah Bismillah Allahu Ekber #TurkishArmy</t>
  </si>
  <si>
    <t>https://pbs.twimg.com/media/EGbTDgvXYAIHDFL.jpg</t>
  </si>
  <si>
    <t>Galatasaray / 23</t>
  </si>
  <si>
    <t>fakkruse</t>
  </si>
  <si>
    <t>https://pbs.twimg.com/media/EGbTDlGWkAAKyUl.jpg</t>
  </si>
  <si>
    <t>Hawaii, USA</t>
  </si>
  <si>
    <t>Elif Urazin</t>
  </si>
  <si>
    <t>#TurkishArmy Söz konusu vatansa gerisi teferruattır. Vakit bir olma vaktidir.🇹🇷🤲 #turkmilletiordusununyaninda #AllahBizimledir #TurkishArmy</t>
  </si>
  <si>
    <t>pic.twitter.com/WbuO5oxc1I</t>
  </si>
  <si>
    <t>Ak Parti Midyat İlçe Kadın Kolları Başkanı💡</t>
  </si>
  <si>
    <t>http://Instagram.com/ahmttns</t>
  </si>
  <si>
    <t>HABERCi</t>
  </si>
  <si>
    <t>pic.twitter.com/3URbUybQC4</t>
  </si>
  <si>
    <t>Kerim Parlak🌐</t>
  </si>
  <si>
    <t>6 Ekim #TurkishArmy</t>
  </si>
  <si>
    <t>https://pbs.twimg.com/media/EGbS94QWkAcucz-.jpg</t>
  </si>
  <si>
    <t>İTÜ Fizik Mühendisliği | Yüksel Türk! Senin için yükselmenin hududu yoktur. MKA</t>
  </si>
  <si>
    <t>http://www.instagram.com/seyyidiparlak</t>
  </si>
  <si>
    <t>Mavi Floransseven</t>
  </si>
  <si>
    <t>#TurkishArmy Suriye'ye demokrasi getiriyoruz...</t>
  </si>
  <si>
    <t>nilgun kuku</t>
  </si>
  <si>
    <t>🌺 MİLLİ ŞUUR ÇOK ÖNEMLİ, GENÇLERİMİZ ACİLEN BİLİNÇLENDİRİLMELİ. 🌺  📚 DelilOlsa BunlarMıKonuşulur #TurkishArmy DelilOlsa BunlarMıKonuşulur fiziki #CheGuevara hilaf lezzetlendirme nazikleşme 📚</t>
  </si>
  <si>
    <t>pic.twitter.com/6uCiACbJ6v</t>
  </si>
  <si>
    <t>ne guzel demişİkinci şans her zaman iyi bir fikir olmayabilir ilkinde yaralayan ikincisinde öldurebilir</t>
  </si>
  <si>
    <t>🇹🇷 M. Ş. Akçay ® 🇹🇷</t>
  </si>
  <si>
    <t>Çok anlamlı olmuş #turkisharmy 🇹🇷🇹🇷🇹🇷</t>
  </si>
  <si>
    <t>https://pbs.twimg.com/media/EGbS8VAWsAACMh9.jpg</t>
  </si>
  <si>
    <t>Önceki tüm hesaplarım askıya alındı. Takibe dönerseniz sevinirim.</t>
  </si>
  <si>
    <t>Allah Yar Ve Yardımcımız Olsun Rabbim Sizi Korusun #TurkishArmy</t>
  </si>
  <si>
    <t>https://pbs.twimg.com/media/EGbS8HeXUAEPlr2.jpg</t>
  </si>
  <si>
    <t>Bursa/İnegöl</t>
  </si>
  <si>
    <t>Yiğit Gıriz⚓</t>
  </si>
  <si>
    <t>BiRLiKtE</t>
  </si>
  <si>
    <t>#TurkishArmy We come ! RT @bir_lik_te: #TurkishArmy  #TurkishArmy</t>
  </si>
  <si>
    <t>https://twitter.com/bir_lik_te/status/1181863397878571009
https://youtu.be/JzN-lfHrdUE</t>
  </si>
  <si>
    <t>En büyük iftiharım Türk olarak yaratılmamdır. MKA. Türk budur: Yıldırımdır, kasırgadır, dünyayı aydınlatan güneştir.</t>
  </si>
  <si>
    <t>Ümititi FCB</t>
  </si>
  <si>
    <t>Korkaklıkta Ar, İlerlemekte Şeref Var.. #TurkishArmy</t>
  </si>
  <si>
    <t>https://pbs.twimg.com/media/EGbS7NCWoAArc9G.jpg</t>
  </si>
  <si>
    <t>Al Cappuccino</t>
  </si>
  <si>
    <t>#TurkishArmy #TT zirvede hayırlsı savaş bilmiyorum sıkıntılı ama insanların yaşaması için ölmesi gerekir bu bir dengedir. Allah sabır versin</t>
  </si>
  <si>
    <t>New Orleans, LA</t>
  </si>
  <si>
    <t>#Atanamayan AT'T #GT Ölmek mi istiyorsun az ilerde geber uğraşamam.</t>
  </si>
  <si>
    <t>ayşe turan</t>
  </si>
  <si>
    <t>#TurkishArmy Çılgın Türkler geliyor!</t>
  </si>
  <si>
    <t>Teacher</t>
  </si>
  <si>
    <t>✍ GUDUBET 🇹🇷</t>
  </si>
  <si>
    <t>Düşün ki, haşr olan kan, kemik eti Yaptığı bu tümsek, amansız çetin Bir harbin sonunda bütün milletin Hürriyet zevkini tattığı yerdir. N.Halil ONAN #TurkishArmy</t>
  </si>
  <si>
    <t xml:space="preserve">Venüs </t>
  </si>
  <si>
    <t>Anlayışlı olan beni anlayışlı, aptal olan ise aptal bulur. Bence ikisi de haklıdır..</t>
  </si>
  <si>
    <t>Mustafa Ataş</t>
  </si>
  <si>
    <t>https://pbs.twimg.com/media/EGbS47WWkAAYTXx.jpg</t>
  </si>
  <si>
    <t>Mardin</t>
  </si>
  <si>
    <t>Yücel Kum</t>
  </si>
  <si>
    <t>Arkadaşlar korkmayın vatanını savununca herhangi bir siyasi görüşe destek vermiyorsunuz. Allah ordumuzun yar ve yardımcısı olsun. #TurkishArmy</t>
  </si>
  <si>
    <t>/Trabzonspor'un Amatör Ruhlu Taraftarı/ EMRE&amp;YÜCEL</t>
  </si>
  <si>
    <t>Ömer Faruk Yıldırım</t>
  </si>
  <si>
    <t>Grey Wolves did go to Syrian because it is should children not dead 🇹🇷 🇹🇷 #TurkishArmy</t>
  </si>
  <si>
    <t>https://pbs.twimg.com/media/EGbMW5hXkAAyI5X.jpg</t>
  </si>
  <si>
    <t>- SAÜ /Sakarya Meslek Yüksekokulu Eski Öğrenci Temsilcisi -Zonguldak Bülent Ecevit Üniversitesi -Ahmet Şafak</t>
  </si>
  <si>
    <t>aydın! #TR 🇹🇷</t>
  </si>
  <si>
    <t>Ee soysuzlar şimdi baş başa kaldık, topuklarınızı götünüze vura vura kaçın! Şanlı ve Güçlü TÜRK ORDUSU sizin için geliyor!!! #TurkishArmy</t>
  </si>
  <si>
    <t>#TR</t>
  </si>
  <si>
    <t>Irkçı değiliz TÜRKÇÜYÜZ!</t>
  </si>
  <si>
    <t>https://pbs.twimg.com/media/EGbS07aW4AAiDGz.jpg</t>
  </si>
  <si>
    <t>Siyah Nur سياه نور🕋</t>
  </si>
  <si>
    <t>#TurkishArmy Bakan Hulusi Akar : Türkiye Cumhuriyeti devleti asla savaşta değildir. Savaş devletler arasında yapılır.Bizim karşımızda bir devlet yoktur, sürüngenler vardır, başlarını ezeceğiz. #NeredeKalmıştık #BarisPinari</t>
  </si>
  <si>
    <t>https://pbs.twimg.com/media/D1H8ZwpU4AAaqKb.jpg</t>
  </si>
  <si>
    <t>Hakâiki İmaniye Esrarı Şeriat SünnetiSeniyeye HizmetEden Kalemden Akan SİYAHNUR veya MÜREKKEBİN dirhemi Şühedanın YüzDirhem Kanı Hükmünde MahşerdeFaideVerebilir</t>
  </si>
  <si>
    <t>alpay toraman⚡️</t>
  </si>
  <si>
    <t>#TurkishArmy bunu size önünde sonunda de-dit-tiii-reee-cekkk🇹🇷 RT @elmeru41_baba: Tıl hamıyed değil... Tel abyad Kobani değil... Ayn el Arap Gamişlo değil... Kamışlı Rojova değil... Kuzey suriye Yepege değil... Mayın eşekleri #SavasaHayır değil...Chpkk'lıyız Tece değil... Türkiye DİYECEKSİNİZ Tsk fıratın doğusuna girince de mal mal BAKACAKSINIZ ..</t>
  </si>
  <si>
    <t>https://twitter.com/elmeru41_baba/status/1181861317902241792</t>
  </si>
  <si>
    <t>gurbetçi dadaş</t>
  </si>
  <si>
    <t>inandık Hakk'a | güvendik Reis'e #RTE</t>
  </si>
  <si>
    <t>ARİFF</t>
  </si>
  <si>
    <t>https://pbs.twimg.com/media/EGbSz8zXUAIISpC.jpg</t>
  </si>
  <si>
    <t>Ardeşen, Rize</t>
  </si>
  <si>
    <t>G.K.</t>
  </si>
  <si>
    <t>Biz ordusu olan bir millet değil, milleti olan bir orduyuz.🇹🇷 #TurkishArmy</t>
  </si>
  <si>
    <t>https://pbs.twimg.com/media/EGbSztfX0AEo4tJ.jpg</t>
  </si>
  <si>
    <t>Dünya bir bütün, ben dışındayım.</t>
  </si>
  <si>
    <t>YavuzSelim080</t>
  </si>
  <si>
    <t>https://pbs.twimg.com/media/EGbSyNPWkAAouV9.jpg</t>
  </si>
  <si>
    <t>acılar bitmez... Sadece alışırsın. ..</t>
  </si>
  <si>
    <t>Yusuf cesur</t>
  </si>
  <si>
    <t>https://pbs.twimg.com/media/EGbSx3KXUAArT1M.jpg</t>
  </si>
  <si>
    <t>grkn ™</t>
  </si>
  <si>
    <t>#ultrAslan</t>
  </si>
  <si>
    <t>🌴EFE KIZI🌴</t>
  </si>
  <si>
    <t>@vdemirbey @TC_Atalente @ATA_fusun @1881_esra_1903 @ersinmystical @MKArealist @ay_moon_ay @Cavbella_84 @ysm_akl @Cbozoklar351 @kadturay #TurkishArmy</t>
  </si>
  <si>
    <t>#ATATÜRK #TÜRKİYECUMHURİYETİVATANDAŞI 👈 ”Haklı olduğun zaman , Hiç kimseye boyun eğmeyeceksin.” @E_L_E_L_E ❌❌DM❌❌</t>
  </si>
  <si>
    <t>💙💛FENERBAHÇE🐺🇹🇷</t>
  </si>
  <si>
    <t>Güneydoğu ve sınırötesinde savaşan, Göktürkçe Tamgalı yiğitlere selam olsun.. #TurkishArmy 🐺🇹🇷</t>
  </si>
  <si>
    <t>https://pbs.twimg.com/media/EGbSvZpX0AAaifz.jpg</t>
  </si>
  <si>
    <t>Kiskunfélegyháza, Magyarország</t>
  </si>
  <si>
    <t>Furkan Günindi</t>
  </si>
  <si>
    <t>#TurkishArmy “Bir bak tarihe , Türk'e baş kaldıranların sonu ne olmuş!” | Bilge Kağan</t>
  </si>
  <si>
    <t>https://pbs.twimg.com/media/EGbSvGGXkAIyZ0O.jpg</t>
  </si>
  <si>
    <t>Fatih SAGDIC</t>
  </si>
  <si>
    <t>#TurkishArmy #BarışPınarıHarekatı 🐺 👆</t>
  </si>
  <si>
    <t>https://pbs.twimg.com/media/EGbSu4-W4AEdbIk.jpg</t>
  </si>
  <si>
    <t>Kayısı</t>
  </si>
  <si>
    <t>İlköğretim Matematik Öğretmeni</t>
  </si>
  <si>
    <t>Uğur Can AKBAŞ</t>
  </si>
  <si>
    <t>Kahramanlar Can Verir Yurdu Yaşatmak için #TurkishArmy</t>
  </si>
  <si>
    <t>Kocaeli / Hereke..</t>
  </si>
  <si>
    <t>Kocaeli Üniversitesi</t>
  </si>
  <si>
    <t>Tolga KESKIN</t>
  </si>
  <si>
    <t>https://pbs.twimg.com/media/EGbSuvkXkAAOIP-.jpg</t>
  </si>
  <si>
    <t>SOSİAR (Sosyal Siyasi Ekonomik Araştırmalar Ve Strateji Geliştirme Merkezi) Başkanı SOSYOLOG/Siyaset Bilimci /Atatürkçü / Milliyetci TURKMEN Beyi</t>
  </si>
  <si>
    <t>Adem</t>
  </si>
  <si>
    <t>Winter is coming hewal😂 Size kabaran birseyler var🔥🚀 Allah yardımcımız olsun💪#TurkishArmy</t>
  </si>
  <si>
    <t>pic.twitter.com/bvplbgQdeZ</t>
  </si>
  <si>
    <t>Beyazkanat42</t>
  </si>
  <si>
    <t>https://pbs.twimg.com/media/EGbSt7sXoAACNmh.jpg</t>
  </si>
  <si>
    <t>Hayırlısı --- Konyaspor</t>
  </si>
  <si>
    <t>#BчD3ЯiŃ™</t>
  </si>
  <si>
    <t>~ @realdonaldtrump | @DeptofDefense | @nato | @EmmanuelMacron | @AngelaMerkeICDU ~ "if the dogs prayers were answered, bones would rain from the sky..." ~ #BarışPınarı | #TSK | #Komando | #BordoBereli | #TurkishArmy ~ ...</t>
  </si>
  <si>
    <t>https://pbs.twimg.com/media/EGbSsuQXoAM2Q9q.jpg</t>
  </si>
  <si>
    <t>#TÜRK #OsmanlıEvladı | #Karadeniz'li / #Oğlak / #Fenerbahçe'li / #SultanFatih'in, #Abdülhamid'in Hayranı... | FETÖcü/PKKlı Kahpeler ve EYT liler Uzak Dursun !!!</t>
  </si>
  <si>
    <t>mehmet sermenli</t>
  </si>
  <si>
    <t>Biz sefer dedik sen zafer nasip ihsan eyle Allah'ım #TurkishArmy</t>
  </si>
  <si>
    <t>Emrah KAYA</t>
  </si>
  <si>
    <t>https://pbs.twimg.com/media/EGbSsLRXUAAU4s2.jpg</t>
  </si>
  <si>
    <t>Media playerınızdaki unknown artist. -NE MUTLU TÜRKÜM DİYENE 🇹🇷🇹🇷🇹🇷</t>
  </si>
  <si>
    <t>Meva Nur Genç</t>
  </si>
  <si>
    <t>Türk Öğün Güven Çalış</t>
  </si>
  <si>
    <t>Pınar Ben 👁👁</t>
  </si>
  <si>
    <t>Bende psikolojik topallama hastalığı var. Vücudumun herhangi bi yerinde bi sorun olunca hemen topallamak istiyor canım 🙄 #TurkishArmy #çarşamba</t>
  </si>
  <si>
    <t>Città del Vaticano</t>
  </si>
  <si>
    <t>WhatsAppta 7 grupta yönetici 👓 İngilizce öğretmeni 💁🏻‍♀️</t>
  </si>
  <si>
    <t>Mert Özdel</t>
  </si>
  <si>
    <t>Geliyoruz! #TurkishArmy #BarisPinariHarekati #TürkMilletiOrdusununYanında</t>
  </si>
  <si>
    <t>https://pbs.twimg.com/media/EGbSpydWwAAu-tW.jpg</t>
  </si>
  <si>
    <t>Pratikte adil, tam zamanlı realist</t>
  </si>
  <si>
    <t>ibrahim halil boz 🇹🇷</t>
  </si>
  <si>
    <t>🇹🇷🇹🇷🇹🇷🇹🇷🇹🇷 Kendini TÜRK hisseden herkes doğuştan askerdir. #TurkishArmy</t>
  </si>
  <si>
    <t>Muhafazakar, milliyetçi. Vatan ve Bayrak sevdalısı. Samimiyet arıyor.</t>
  </si>
  <si>
    <t>Abdullah İNCE</t>
  </si>
  <si>
    <t>şu kopan fırtına türk ordusudur yâ rabbi. senin uğrunda ölen ordu, budur yâ rabbi. tâ ki yükselsin ezanlarla müeyyed nâmın, galib et, çünkü bu son ordusudur islâm'ın. #TurkishArmy</t>
  </si>
  <si>
    <t xml:space="preserve">Tüm Cihan </t>
  </si>
  <si>
    <t>Gaün-ilâhiyat| AÜ-Sosyoloji</t>
  </si>
  <si>
    <t>https://pbs.twimg.com/media/EGbSlM2WoAAz4Y2.jpg</t>
  </si>
  <si>
    <t>pic.twitter.com/CLKyHSD9eY</t>
  </si>
  <si>
    <t>ee sonra?</t>
  </si>
  <si>
    <t>Hatice</t>
  </si>
  <si>
    <t>Yeryüzünde ölüme 'düğüne gidiyoruz' diye giden başka bir Ordu daha göremezsiniz... #TurkishArmy #BarışPınarıHarekatı</t>
  </si>
  <si>
    <t>pic.twitter.com/56uoASUiW0</t>
  </si>
  <si>
    <t>Sabır, duanın yarısıdır...</t>
  </si>
  <si>
    <t>Metin Apaydın</t>
  </si>
  <si>
    <t>Abd nin israilin ve Bati diye tabir edilen soysuzlarin Cikardiklari gurultu yikilan hayallerinin gostergesidir #TurkishArmy</t>
  </si>
  <si>
    <t>http://instagram.com/metin_apaydin07</t>
  </si>
  <si>
    <t>Furkan_svm</t>
  </si>
  <si>
    <t>Yüksel Türk; senin için yüksekliğin hududu yoktur🇹🇷🇹🇷🇹🇷🇹🇷 #TurkishArmy</t>
  </si>
  <si>
    <t>https://pbs.twimg.com/media/EGbSiO1WoAA_4wa.jpg</t>
  </si>
  <si>
    <t>MUSTAFA KEMAL ATATÜRK. Fırat Üniversitesi 🎓</t>
  </si>
  <si>
    <t>onur güneş</t>
  </si>
  <si>
    <t>Var olsun Şanlı Türk ordusu #TurkishArmy</t>
  </si>
  <si>
    <t>https://pbs.twimg.com/media/EGbSgm6WkAA9zHH.jpg</t>
  </si>
  <si>
    <t>M. KAYASERDAR🇹🇷</t>
  </si>
  <si>
    <t>@cenkerenonline Milli meselelerde sanatçı! Tayfanın nerdeyse tamamının devletin karşısında yer almasını yadırgamayın. Çünkü onları oraya taşıyan, orda tutanların hiç biri milli değil. O garibanlar da ne yapsın, gavurun ekmeğini yiyip gavurun kılıcını sallıyorlar... #TurkishArmy</t>
  </si>
  <si>
    <t>öğretmen, bir kız iki erkek üç çocuk babası, eş, oğul, dervişliğe hevesi var fakat takati yok.(büyüyünce olacak inşaallah)her rt fav onay değil arşiv içindir.</t>
  </si>
  <si>
    <t>iscarpinyo</t>
  </si>
  <si>
    <t>Forzaaa 🇹🇷🇹🇷🇹🇷 #TurkishArmy</t>
  </si>
  <si>
    <t>Süper Lig Gündem Enteresan Futbol Mizah Türkiye Siyaseti Sinema Spor haber</t>
  </si>
  <si>
    <t>yılmaz bulut</t>
  </si>
  <si>
    <t>Çay koy dede! Yeniden başlıyoruz!! #TurkishArmy</t>
  </si>
  <si>
    <t>pic.twitter.com/H789KMbDmA</t>
  </si>
  <si>
    <t>Başkale, Van</t>
  </si>
  <si>
    <t>Smyrna 🇹🇷 Başkale 🍻 📸</t>
  </si>
  <si>
    <t>Tayfun Kaya</t>
  </si>
  <si>
    <t>Ayak bastığımız, her neresi olursa olsun. Bereket gelir, huzur gelir, yeri geldiğinde dünyanın en marhametlisi oluruz. Yeri geldiğinde de dünyanın en merhametsizi. Konu vatan olunca, gerisi teferruattır. "Canımız feda al bayrağımıza" #TurkishArmy</t>
  </si>
  <si>
    <t>https://pbs.twimg.com/media/EGbSd9nXoAAMdEl.jpg</t>
  </si>
  <si>
    <t>VEYSEL B!L!Cİ</t>
  </si>
  <si>
    <t>100 yıldır bekleyen #TurkishArmy</t>
  </si>
  <si>
    <t>RECEP TAYYİP ERDOĞAN...</t>
  </si>
  <si>
    <t>parlarfidan</t>
  </si>
  <si>
    <t>👉🍏🍎 Elma çeşitleri @parlarfidan 'da;🍏🍎👈 #sapling #meyvecilik #meyvefidanı #fidansipariş #elma #elmafidanı #AUTUMNSTAR #apple #BREAKING #carsamba #deprem #dolar #EYT #FIFA20 #masterchefturkiye #turkmilletiordusununyaninda #Trump #TurkishArmy #CheGuevara #isparta #cukur #Tbt</t>
  </si>
  <si>
    <t>https://pbs.twimg.com/media/EGbSbqFX0AE_OSv.jpg</t>
  </si>
  <si>
    <t>Ödemiş, Türkiye</t>
  </si>
  <si>
    <t>Meyve Fidanı Üreticisi</t>
  </si>
  <si>
    <t>https://www.parlarfidan.com/</t>
  </si>
  <si>
    <t>Oğuzhan Fatih GÖKDEMİR</t>
  </si>
  <si>
    <t>The Turks are coming... #TurkishArmy</t>
  </si>
  <si>
    <t>https://pbs.twimg.com/media/EGbSaryWwAAwNFE.jpg</t>
  </si>
  <si>
    <t>Technician /Nationalist🇹🇷🇰🇬🇦🇿🇰🇿🇺🇿🇵🇼 N.❤️</t>
  </si>
  <si>
    <t>Deniz UNAY</t>
  </si>
  <si>
    <t>#TurkishArmy İTİRAZI OLANLARA GELSİN !!!!</t>
  </si>
  <si>
    <t>pic.twitter.com/l5vBhUZDNv</t>
  </si>
  <si>
    <t>Sosyal Medya Uzmanı TV programları,seminer ve eğitim talepleri için : denizunay@gmail.com</t>
  </si>
  <si>
    <t>http://www.socibox.com</t>
  </si>
  <si>
    <t>Jesus Solomon</t>
  </si>
  <si>
    <t>Kalıcı olan üç şey vardır; İman, Umut, Sevgi</t>
  </si>
  <si>
    <t>Hakan KARA</t>
  </si>
  <si>
    <t>Oğuz Kaan'dan ; Mete Han'a, Alparslan 'a, Fatih Sultan Mehmet Han'a ,Gazi Mustafa Kemal Atatürk'e...Ya devlet başa ya kuzgun leşe... Tanrı Türk' ü korusun... #TurkishArmy</t>
  </si>
  <si>
    <t>idrisAkçara</t>
  </si>
  <si>
    <t>Bütün İslam düşmanları sana cephe almış birleşmişse sevin Türkiye! Allah azze ve celle yeniden İslâm sancaktarlığını veriyor! 🇹🇷🇹🇷🇹🇷 #TurkishArmy</t>
  </si>
  <si>
    <t>Fatih Sultan Mehmet Han Hazretleri ana hesap @IdrisAkcara</t>
  </si>
  <si>
    <t>Mikr@skoP</t>
  </si>
  <si>
    <t>#TurkishArmy Türk beklenendir.. Rabbim ordumuzu korusun.</t>
  </si>
  <si>
    <t>Mikroplarla mücadele 🛇</t>
  </si>
  <si>
    <t>https://pbs.twimg.com/media/EGbSUFIXoAcdTtW.jpg</t>
  </si>
  <si>
    <t>Kerim Özarslan</t>
  </si>
  <si>
    <t>Ülkemiz Türk ülkesi, Aşık eder herkesi. Üstümüzden eksilmesin, Al bayrağın gölgesi! #TurkishArmy #TürkMilletiOrdusununYanında</t>
  </si>
  <si>
    <t>https://pbs.twimg.com/media/EGbSVXfX0AA956c.jpg</t>
  </si>
  <si>
    <t>Dümdüz Ülkücü, Toplum Mühendisliği 25. yıl Türkav Ceyhan Şube Bşk. Yrd. Tükenmez Kalem Yazar değil ama Karalar Şair değil ama Sıralar.</t>
  </si>
  <si>
    <t>http://kerimozarslan.com.tr</t>
  </si>
  <si>
    <t>Duman74</t>
  </si>
  <si>
    <t>#TurkishArmy is very hot!</t>
  </si>
  <si>
    <t>pic.twitter.com/wQRcctGjy4</t>
  </si>
  <si>
    <t>evladıma miras bu sevda</t>
  </si>
  <si>
    <t>Devlet terbiyesi çok önemli. Devlet adamlığı ve liderliği 👏👏👏👏👏 #TurkishArmy</t>
  </si>
  <si>
    <t>pic.twitter.com/7LSV2pPYb4</t>
  </si>
  <si>
    <t>Fenerbahçe Okul Açık - KFY- Unifeb- GFB -CK- Vamos</t>
  </si>
  <si>
    <t>AK Parti Gönüllüleri</t>
  </si>
  <si>
    <t>Çocukların korkmadan Sevgi ile baktığı ŞANLI TÜRK ORDUSU #TurkishArmy</t>
  </si>
  <si>
    <t>https://pbs.twimg.com/media/EGbSRqYXYAAy0vC.png</t>
  </si>
  <si>
    <t>Orhan Karayel</t>
  </si>
  <si>
    <t>Burak Özcan 🇹🇷</t>
  </si>
  <si>
    <t>Dün teröristleri destekleyen belediyelere kayyum ataninca desteğe giden Bugün Türkiye'nin #BarısPınarlarıHarekatı na hala sesini çıkarmayan @ekrem_imamoglu Hangi safta yoksa bu teröristler senidemi kucakladı #çarşamba #TurkishArmy #TürkMilletiOrdusununYanında</t>
  </si>
  <si>
    <t>#ALLAH #EvladıOsmanlı, #AKPARTİ #RTE, #Elhamdülillah #Fenerbahçe'li, #İşGüvenliğiUzmanı @ozcanburak34</t>
  </si>
  <si>
    <t>ℂ✯MEHMET REİS ℂ✯</t>
  </si>
  <si>
    <t>@erayyyNihal @RTErdogan @dbdevletbahceli @_yusufosmanli @tozanbey @AsiHurrem24 @realimage06 @58_Yigidom_58 @SudeMirayCan @ErolDoruk15 @n_ecdad @_Erturk_ERDOGAN @ertan080808 #TurkishArmy ŞANLI TÜRK ORDUSU SINIRI GEÇTİ. DEĞMESİN DİYE MABEDİME NAMAHREM ELİ .YA ALLAH @RTErdogan @dbdevletbahceli @_yusufosmanli @tozanbey @AsiHurrem24 @realimage06 @vali1071 @58_Yigidom_58 @SudeMirayCan @ErolDoruk15 @n_ecdad @_Erturk_ERDOGAN @ertan080808</t>
  </si>
  <si>
    <t>🅁🄴🄲🄴🄿 🅃🄰🅈🅈🄸🄿 🄴🅁🄳🄾🄶🄰🄽</t>
  </si>
  <si>
    <t>Ya devlet başa Ya kuzgun leşe #TurkishArmy</t>
  </si>
  <si>
    <t>izdiham</t>
  </si>
  <si>
    <t>#TurkishArmy ordumuzun tek askeri her türlü ve bütün siyasetçilerden daha değerlidir.</t>
  </si>
  <si>
    <t>sabricem TAVŞAN sevenler derneği başkanı</t>
  </si>
  <si>
    <t>KaHRaMaN</t>
  </si>
  <si>
    <t>🇹🇷👏👏👏🇹🇷 #TurkishArmy RT @oguzhan_tolak: 'Yaralı Bırakmayın! Hapislere girmesin kimse. Ne dağda bırakın, ne şehirde bırakın, ne ovada bırakın. Allah'ınızı seviyorsanız bırakmayın. Allah ne verdiyse...' #TürkMilletiOrdusununYanında</t>
  </si>
  <si>
    <t>https://twitter.com/oguzhan_tolak/status/1181419155628666880</t>
  </si>
  <si>
    <t>pic.twitter.com/VkfeQzeyVo</t>
  </si>
  <si>
    <t>#Bayburt #İzmir</t>
  </si>
  <si>
    <t>Yenilgi yenilgi büyüyen bir zafer vardır ... 🇹🇷</t>
  </si>
  <si>
    <t>TOPRAK</t>
  </si>
  <si>
    <t>Doğduğum yer memleketim Akçakale de Komandolarımız sevgi seli ile karşılandı.🇹🇷 Türk ordusu; Dünya’nın hiçbir ordusunda seninkinden daha temiz, daha sağlam bir askere rast gelinmemiştir. ATATÜRK Ne Mutlu Türk'üm Diyene 🇹🇷 #TurkishArmy</t>
  </si>
  <si>
    <t>pic.twitter.com/c1y2IjTTnG</t>
  </si>
  <si>
    <t>🇹🇷 Ϝ ϓ ſ Ϟ 🇹🇷 🇹🇷Mustafa Kemal ATATÜRK🇹🇷 💛GALATASARAY❤️ OXFORD yoktu ama HARRAN vardı. 🙂 🎓HRÜ Siyaset bilimci 2015</t>
  </si>
  <si>
    <t>http://instagram.com/toprakisaa</t>
  </si>
  <si>
    <t>Mehmet Coban</t>
  </si>
  <si>
    <t>#TurkishArmy comes to protect innocent people. Dont worry!🇹🇷🇹🇷</t>
  </si>
  <si>
    <t>Abdullah İşler</t>
  </si>
  <si>
    <t>https://pbs.twimg.com/media/EGbSLJ1WoAI5w9s.jpg</t>
  </si>
  <si>
    <t>Sınıf Öğretmeni,</t>
  </si>
  <si>
    <t>av mustafa utku ⚡️</t>
  </si>
  <si>
    <t>Vurduğu yerde Gül bitiren Ordu.. #TurkishArmy RT @oba_war: Savaş ile barışı getiren tek ordu! #TurkishArmy</t>
  </si>
  <si>
    <t>https://twitter.com/oba_war/status/1181837102855659526</t>
  </si>
  <si>
    <t>avukat</t>
  </si>
  <si>
    <t>Kayzer</t>
  </si>
  <si>
    <t>#TurkishArmy Sen Altay'dan, Orhun'dan gelen bir yiğitsin. Korkusuz bir bahadır, bir börü, bir Tunç Yüreksin. Toprağının, budunun için göz kırpmadan can verensin.</t>
  </si>
  <si>
    <t>Maranta</t>
  </si>
  <si>
    <t>Gazamız mübarek olsun kardeşlerim ❤️💙🇹🇷 #TurkishArmy</t>
  </si>
  <si>
    <t>Yabani kadife çiçeği; sarı renkli, hoş kokulu bir yayla çiçeği. | Mustafa Kemal Atatürk ❤️ 𐱅𐰇𐰼𐰚</t>
  </si>
  <si>
    <t>betül</t>
  </si>
  <si>
    <t>https://pbs.twimg.com/media/EGbSJQiWoAA8JDx.jpg</t>
  </si>
  <si>
    <t>istanbul/amasya</t>
  </si>
  <si>
    <t>geçiyor katmış tozu dumana,geçiyor ömrüm</t>
  </si>
  <si>
    <t>http://vsco.co/betbdk</t>
  </si>
  <si>
    <t>Bayraktaroğlu</t>
  </si>
  <si>
    <t>Bismillahirrahmanirrahim (Rahman ve Rahim olan Allah’ın adıyla) #TurkishArmy</t>
  </si>
  <si>
    <t>Ya Baki Entel Baki.. Asım’ın nesli!</t>
  </si>
  <si>
    <t>http://Trabzonspor.org</t>
  </si>
  <si>
    <t>amine duygu idin</t>
  </si>
  <si>
    <t>Abdulhamidin tapulu malini almaya geldik !!! #TurkishArmy</t>
  </si>
  <si>
    <t>Var Eden, bizi birbirimiz için yarattı. Ben bende olmayanda seni buldum. Bende olmayanlara teslim oldum...</t>
  </si>
  <si>
    <t>Halit Sahin</t>
  </si>
  <si>
    <t>Tanrı TÜRK'ün Yanındadır #TurkishArmy #çarşamba "Haluk Levent" "Bakan Akar'dan" #CheGuevara</t>
  </si>
  <si>
    <t>https://pbs.twimg.com/media/EGbSG-kWkAEuJrH.jpg</t>
  </si>
  <si>
    <t xml:space="preserve">Turkish Rep. Northern Cyprus </t>
  </si>
  <si>
    <t>ATATÜRK... O NEYSE BİZ DE O'YUZ 3.Ayyaşız...</t>
  </si>
  <si>
    <t>Hakan Yeşilyurt</t>
  </si>
  <si>
    <t>Ey şanlı ordu,ey şanlı asker Haydi gazanfer, umman-ı safter Bir elde kalkan, bir elde hançer Serhadde doğru ey şanlı asker. Necip Türk Milleti’nin duaları sizlerle, muzaffer eyle Allahım! #TurkishArmy</t>
  </si>
  <si>
    <t>https://pbs.twimg.com/media/EGbSFbpXoAEImWA.jpg</t>
  </si>
  <si>
    <t>🇹🇷Türk Milliyetçisi🇹🇷</t>
  </si>
  <si>
    <t>Ebrar_Kayalı</t>
  </si>
  <si>
    <t>Yaylaları geçtik, karlı dağları aştık Siz salonda dans ederken bizler savaştık! Hüseyin Nihal ATSIZ #TurkishArmy #BarisPinariHarekati Allah Türk’e Yâr Olsun !</t>
  </si>
  <si>
    <t>https://pbs.twimg.com/media/EGbSEhZWwAAwJJv.jpg</t>
  </si>
  <si>
    <t>#Ak Parti Kahramanmaraş İl Kadın Kolları Başkan Yardımcısı #Tanıtım Medya #Ak Parti Kahramanmaraş İl Üniversite Bayan Komisyonu Başkanı 2017-2018 #ÜniAk #KSÜ</t>
  </si>
  <si>
    <t>https://www.instagram.com/ebrar_kayali/</t>
  </si>
  <si>
    <t>aylardan şubat</t>
  </si>
  <si>
    <t>Irak ve Suriye’yi darmadağın eden güçler Türkiye'de de aynı senaryoyu yazarsa ne olur? #TurkishArmy</t>
  </si>
  <si>
    <t>Abdullah Bekci</t>
  </si>
  <si>
    <t>Diyarbakır'a takviye var. GELİYORUZ! #TurkishArmy</t>
  </si>
  <si>
    <t>https://pbs.twimg.com/media/EGbSEVCWwAEj4my.jpg</t>
  </si>
  <si>
    <t>Savunma Sanayii ve Askeri Teknoloji - Strateji araştırmacısı. Havacı ve F-16'cı. Tarihe meraklı. (Ne Mutlu Türküm Diyene!)</t>
  </si>
  <si>
    <t>Amerika rahatsız Avrupa rahatsız Mısır rahatsız. Suud rahatsız. İsrail rahatsız. Yer yüzünde ne kadar emperyalist , ne kadar katıl, ne kadar darbeci, ne kadar yiyici , ne kadar isbirlikci, Ne kadar hain varsa hepsi rahatsız. Ne mutlu.. Ne mutlu böyle bir ulkeni #TurkishArmy</t>
  </si>
  <si>
    <t>Şahıs ateisttir. Ayrıca kel göbekli kısa boylu ve 50 yaşında.</t>
  </si>
  <si>
    <t>İBB MAĞDURU</t>
  </si>
  <si>
    <t>Şanlı Direnişin 43. Günü #çarşamba #TurkishArmy</t>
  </si>
  <si>
    <t>https://twitter.com/i/broadcasts/1ypJdBMXyBqKW</t>
  </si>
  <si>
    <t>Nærøy, Norge</t>
  </si>
  <si>
    <t>#İBBMAĞDURLARI #İŞÇİKIYIMI #İBBMAĞDURLARINADESTEK #Sosyalmedyauzmanı #EmekliFenomen dim Bırakmıştım yeniden başlattılar İşçiler haklarını geri alana kadar devam</t>
  </si>
  <si>
    <t>Alpkrdem</t>
  </si>
  <si>
    <t>K A F A S I R A H A T</t>
  </si>
  <si>
    <t>AslıHanzade Reis Hazretleri🌵</t>
  </si>
  <si>
    <t>#TurkishArmy Vefalı Türk geldi yine, Yol ver Türk'ün Bayrağına..</t>
  </si>
  <si>
    <t>https://pbs.twimg.com/media/EGbSB8ZWwAA-RhD.jpg</t>
  </si>
  <si>
    <t>Anadolu Üniversitesi Siyaset bilimi ve Kamu Yönetimi / İzmir Kâtip Çelebi Üniversitesi İslami İlimler / İzmir Ülkü Ocakları 🤘 Benim Aklım Hep Türkiye'dir🇹🇷</t>
  </si>
  <si>
    <t>https://instagram.com/asakyldzx</t>
  </si>
  <si>
    <t>Şef Bey</t>
  </si>
  <si>
    <t>@lordsinov Turkish army comes to protect innocent civilians 🇹🇷 #TurkishArmy</t>
  </si>
  <si>
    <t>Manisa - İzmir</t>
  </si>
  <si>
    <t>⚡️Ems sports plus owner</t>
  </si>
  <si>
    <t>http://www.emsportsplus.com</t>
  </si>
  <si>
    <t>haydar eke</t>
  </si>
  <si>
    <t>https://pbs.twimg.com/media/EGbSAZMXYAA9WB4.jpg</t>
  </si>
  <si>
    <t>Dalkılıç Deli 🇹🇷</t>
  </si>
  <si>
    <t>#TurkishArmy Şanlı Zafer bizimdir Çünkü nihayetsiz güç sahibi YÜCE ALLAH CC bizimle, Yine yeniden Şanlı bir Zafere daha, Düşman ganimetlerini elde etmeye</t>
  </si>
  <si>
    <t>Çevre Mühendisi</t>
  </si>
  <si>
    <t>Hülya     🦅</t>
  </si>
  <si>
    <t>#TurkishArmy Ceddin deden neslin baban Hep kahraman Türk Milleti Orduları pek çok yaman Vermiştiler dünyaya şan !</t>
  </si>
  <si>
    <t>https://pbs.twimg.com/media/EGbR_2oX0AADUYJ.jpg</t>
  </si>
  <si>
    <t>Fakri Manevi</t>
  </si>
  <si>
    <t>Türk devletine mal diyen malı, Demokrasi havarisi gibi lanse etmeye çalışan ahmaklar Demirtaş’ı mal mal cezaevinden izlesinler şimdi. #perşembe #TurkishArmy RT @ensonhaber: Terör suçundan tutuklu Selahattin Demirtaş, YPG'nin Fırat'ın ötesine geçeceğini, Türkiye'nin de "mal mal izleyeceğini" söylüyordu. Ketılı fişten çek Televizyonu tak Öyle şey şey bakarsın!..</t>
  </si>
  <si>
    <t>https://twitter.com/ensonhaber/status/1181861441139294208</t>
  </si>
  <si>
    <t>pic.twitter.com/geVUW3shkA</t>
  </si>
  <si>
    <t>Mehmet Öztürk. Şiir sever, Biraz Şair... Çepni- . Fenerbahçeli. Türkiye Türklerindir</t>
  </si>
  <si>
    <t>akif tekcan</t>
  </si>
  <si>
    <t>ABD keşif uçağı B350 Haseke yakınlarında... #TurkishArmy #TürkMilletiOrdusununYanında #Suriye</t>
  </si>
  <si>
    <t>https://pbs.twimg.com/media/EGbR_YuXUAIyEM1.jpg</t>
  </si>
  <si>
    <t>#Türkoloji, #Türktarihi,#kurlar #ons #piyasalar #EKONOMİ, #TüketiciHakları! Burada yer alan bilgiler yatırım tavsiyesi değildir!</t>
  </si>
  <si>
    <t>Aytaç</t>
  </si>
  <si>
    <t>Amına kodumun btscileri hashtagi salın da gündemi takip edek. #TurkishArmy</t>
  </si>
  <si>
    <t>Bilal Çolak</t>
  </si>
  <si>
    <t>Hazır , daima hazır ! Her zaman ve her yerde .. #TurkishArmy</t>
  </si>
  <si>
    <t>https://pbs.twimg.com/media/EGbR8XaWkAA9nGJ.jpg</t>
  </si>
  <si>
    <t>Tamam yazacağım ama bil ki kan kaybeder gibi kelime kaybettim ben .. Unutma ölmekte olan bir zihni hayata çağırıyorsun .</t>
  </si>
  <si>
    <t>Ahmet ÖTER</t>
  </si>
  <si>
    <t>Savaş TÜRK’ün düğünüdür.. #TurkishArmy</t>
  </si>
  <si>
    <t>https://pbs.twimg.com/media/EGbR9XKWkAAwOss.jpg</t>
  </si>
  <si>
    <t>Sohfy</t>
  </si>
  <si>
    <t>REİSÇİ &amp; S-400 PENÇE 🇹🇷🇹🇷🇹🇷</t>
  </si>
  <si>
    <t>Bol bol Fetih Suresi okuyalım inşallah !!!!... #TurkishArmy #BarışPınarı</t>
  </si>
  <si>
    <t>pic.twitter.com/xNOaNJRUtb</t>
  </si>
  <si>
    <t xml:space="preserve">Kudüs </t>
  </si>
  <si>
    <t>Allah🕋 var gam yok.Recep Tayyip Erdoğan kırmızı Çizgimiz'dir.ÖLÜMÜNE BEŞİKTAŞLIYIZ. #Akparti #Beşiktaş @Besiktas Bizimkisi Bir AŞK HİKAYESİ ❤</t>
  </si>
  <si>
    <t>fatih büyüksoylu</t>
  </si>
  <si>
    <t>#Tuerksilahlıkuvvetleri #TuerkMilletiOrdusununYanında #TurkishArmy herzaman heryerde biz varız RT @NoGods0nlyAllah: Kafirlerin yüreğine korku salan tek ordu elhamdulillah. #TurkishArmy</t>
  </si>
  <si>
    <t>https://twitter.com/nogods0nlyallah/status/1181827297336320000</t>
  </si>
  <si>
    <t>https://pbs.twimg.com/media/EGaxpRaXoAAcSMk.png</t>
  </si>
  <si>
    <t>ereğli/konya/türkiye</t>
  </si>
  <si>
    <t>beni bilen bilir bilmek isteyen sorar öğrenir.</t>
  </si>
  <si>
    <t>BirArkadaşımdanDuydum</t>
  </si>
  <si>
    <t>Bölgeden gelen haberlere göre Tel Abyad ve Resulayn'dan çekilen SDG/PKK terör unsurlarının bulunduğu alanlara Türk askeri geçmeye başladı. İlerleme devam ediyor. #Turkisharmy #çarşamba</t>
  </si>
  <si>
    <t>Bak bakalım beğenecek misin? https://www.instagram.com/birarkadasimdan/</t>
  </si>
  <si>
    <t>Yasin Günay</t>
  </si>
  <si>
    <t>Bir doğrunun imanı ,Bin eğriyi düzeltir.. #TurkishArmy #okyaydançıktı</t>
  </si>
  <si>
    <t>Bir Gün Mutlaka</t>
  </si>
  <si>
    <t>İns</t>
  </si>
  <si>
    <t>Geliyor gelmekte olan. 🤫 #TurkishArmy #TurkeylsNotOurFriend</t>
  </si>
  <si>
    <t>https://pbs.twimg.com/media/EGbR7A-WoAABMos.jpg</t>
  </si>
  <si>
    <t>Mustafa Erdinç</t>
  </si>
  <si>
    <t>7 den 70 e mustafa kemalin askerleriyiz #TurkishArmy</t>
  </si>
  <si>
    <t>https://pbs.twimg.com/media/EGbR46TXYAEVQq1.jpg</t>
  </si>
  <si>
    <t>http://instigram.com 33erdinc33 mustafa kemal Üniversitesi Makina Mühendisliği okudu. boşa okudu. 😂</t>
  </si>
  <si>
    <t>Nur_nuray</t>
  </si>
  <si>
    <t>#TurkishArmy Tanrım yaşla kuru bir niye yanar bu dünyada Bu çok acı işte zalimler yüzünden Umarım zarar görmesin Türk askerleri...</t>
  </si>
  <si>
    <t>Atatürkçü ve adaletçi Öyle olan gelsin Gerisinin yolu açık olsun...</t>
  </si>
  <si>
    <t>Oğuz İlleri</t>
  </si>
  <si>
    <t>Askerlerimiz tanklarla Suriye sınırını geçti, muhtemelen Zeytindalı Harekâtından daha hızlı bir ilerleme olacak. Allah şanlı Türk Ordusu'nun yardımcısı olsun.. #TurkishArmy #BarışPınarıHarekatı</t>
  </si>
  <si>
    <t>https://pbs.twimg.com/media/EGbR2t5WwAAvjF-.jpg</t>
  </si>
  <si>
    <t>Türk gibi yaşa, Türk gibi öl...</t>
  </si>
  <si>
    <t>Berkay #FBA</t>
  </si>
  <si>
    <t>Selamun aleyküm biz geldik #TurkishArmy</t>
  </si>
  <si>
    <t>https://pbs.twimg.com/media/EGbR2xZXYAA36bN.jpg</t>
  </si>
  <si>
    <t>Medipol Üniversitesi - 1907 ÜNİFEB</t>
  </si>
  <si>
    <t>http://instagram.com/berkayildiz1</t>
  </si>
  <si>
    <t>Mustafa Yetek</t>
  </si>
  <si>
    <t>#TurkishArmy Siz daha Türk askerini tanımadınız..!</t>
  </si>
  <si>
    <t>https://pbs.twimg.com/media/EGbR1BFXoAEAE_b.jpg</t>
  </si>
  <si>
    <t>Mehmet Çamur</t>
  </si>
  <si>
    <t>Ecdadımızın heybeti ma’rûf-ı cihandır, Fıtrat değişir sanma bu kan yine o kandır 🇹🇷 #BarışPınarı #TurkishArmy RT @KasderGM: Ecdadımızın heybeti ma’rûf-ı cihandır, Fıtrat değişir sanma bu kan yine o kandır 🇹🇷 #BarışPınarı #TurkishArmy</t>
  </si>
  <si>
    <t>https://twitter.com/kasdergm/status/1181853997017321472</t>
  </si>
  <si>
    <t>https://pbs.twimg.com/media/EGbJ8XsXUAMNvLJ.jpg</t>
  </si>
  <si>
    <t>KAS DER GENEL MERKEZİ TEŞKİLAT İŞLERİNDEN SORUMLU GENEL BAŞKAN YARDIMCISI</t>
  </si>
  <si>
    <t>enes şekerli</t>
  </si>
  <si>
    <t>Sen hiç gözlerinde korku olan Türk Askeri gördün mü ? Allah yardımcınız olsun koçyiğitler 🇹🇷🇹🇷 #TurkishArmy</t>
  </si>
  <si>
    <t>https://pbs.twimg.com/media/EGbRzljX0AEKird.jpg</t>
  </si>
  <si>
    <t>Biz ki ustasıyız vatan sevmenin 🇹🇷🇹🇷 Mühendis 😊</t>
  </si>
  <si>
    <t>http://instagram.com/enessekerli</t>
  </si>
  <si>
    <t>nopainnogain</t>
  </si>
  <si>
    <t>https://youtu.be/GMT4aQ_Hzd0</t>
  </si>
  <si>
    <t>leopard</t>
  </si>
  <si>
    <t>Geldik kaçmayın köpekler #TurkishArmy</t>
  </si>
  <si>
    <t>https://pbs.twimg.com/media/EGbRy0PW4AEnRen.jpg</t>
  </si>
  <si>
    <t>engin53 🇹🇷</t>
  </si>
  <si>
    <t>#TurkishArmy 🇹🇷🇹🇷🇹🇷 RT @kaankural: Kalktı valla. Ne diyim helal olsun</t>
  </si>
  <si>
    <t>📍İstanbul 🦅📍Rize 📍Çayeli 🌿</t>
  </si>
  <si>
    <t>http://www.besiktas.com.tr</t>
  </si>
  <si>
    <t>Serhan Şensan</t>
  </si>
  <si>
    <t>Tanrı Türk’ü korusun ve gözetsin! #TurkishArmy</t>
  </si>
  <si>
    <t>gokselyk</t>
  </si>
  <si>
    <t>Allah bir dir ordusu Türk'dür #TurkishArmy</t>
  </si>
  <si>
    <t>Ne sağcı ne de solcuyum, milliyetçiyim. İslamı ve Atatürk'ü siyasete alet edenlerden ve HDPKK destekçilerinden nefret ederim. Ne mutlu Türküm Diyene</t>
  </si>
  <si>
    <t>Mᴇʀᴛᴄᴀɴ Üʟᴋᴇʀ</t>
  </si>
  <si>
    <t>Uçak geçtiği zaman, sevinmeyen çocuklar #TurkishArmy 🇹🇷🇹🇷</t>
  </si>
  <si>
    <t>https://pbs.twimg.com/media/EGbRufnXoAAG599.jpg</t>
  </si>
  <si>
    <t>https://www.instagram.com/mertcanulkerrrr/</t>
  </si>
  <si>
    <t>Melih Korun</t>
  </si>
  <si>
    <t>https://pbs.twimg.com/media/EGbRpmJWkAALjED.jpg</t>
  </si>
  <si>
    <t>Issız adam</t>
  </si>
  <si>
    <t>Nerde o her fırsatta Araplara atıp tutanlar. #TurkishArmy</t>
  </si>
  <si>
    <t>https://pbs.twimg.com/media/EGbRtKbXkAE6SGT.jpg</t>
  </si>
  <si>
    <t>Aksoy</t>
  </si>
  <si>
    <t>Sadece yapılması gerekeni yapıcak TSK #TurkishArmy 🇹🇷</t>
  </si>
  <si>
    <t>https://pbs.twimg.com/media/EGbRsRoWsAApNsI.jpg</t>
  </si>
  <si>
    <t>ANTALYA</t>
  </si>
  <si>
    <t>Napalım yani</t>
  </si>
  <si>
    <t>Becky Bleach 🇫🇷🇪🇺</t>
  </si>
  <si>
    <t>Döviz kurunu yuksetmek için bahane arayan hükümet çareyi Amerika ile pazarlıkta buldu Egerki kendi yüksetmiş olsaydı bunun suçlusu hükümet olacaktı ama bir savaş durumu ve Amerika ile kavga durumunda suç Dış güçlere atlicakti Oy kaybı korkusu İşi buraya getirdi #TurkishArmy</t>
  </si>
  <si>
    <t>Lyon, France</t>
  </si>
  <si>
    <t>Fransızım Türkiye'de yaşıyorum Koç holding Uluslararası Alım-satım Görevliyim Türkçem biraz az olabilir bunun için kusura bakmayın Herkese hayatında iyi şanslar</t>
  </si>
  <si>
    <t>sertac1984</t>
  </si>
  <si>
    <t>#TurkishArmy Cumhurriyet tarihimizin en büyük operasyonu. 👇</t>
  </si>
  <si>
    <t>https://pbs.twimg.com/media/EGbRrEMWwAAcdGu.jpg</t>
  </si>
  <si>
    <t>Insan hayatı pamuk ipliğine bağlı. Bir bakmışsın bugün varsın, bir bakmışsın yarın yoksun........</t>
  </si>
  <si>
    <t>Ayşe AYDIN</t>
  </si>
  <si>
    <t>https://pbs.twimg.com/media/EGbRrAEWsAIukJ3.jpg</t>
  </si>
  <si>
    <t>Lüleburgaz, Türkiye</t>
  </si>
  <si>
    <t>Herkese selam, sana hasret...</t>
  </si>
  <si>
    <t>http://Instagram.com/miss.aydnn</t>
  </si>
  <si>
    <t>İsmailgültekin</t>
  </si>
  <si>
    <t>Operasyona 200 uçak ve 100bin kişilik askeri güç katılacak. Allah cc askerimizi korusun.amin #TurkishArmy</t>
  </si>
  <si>
    <t>https://pbs.twimg.com/media/EGbRpbPWwAAEQDY.jpg</t>
  </si>
  <si>
    <t xml:space="preserve">Kocaeli, </t>
  </si>
  <si>
    <t>Trabzonspor❤️💙</t>
  </si>
  <si>
    <t>tlgmrt3485</t>
  </si>
  <si>
    <t>#turkisharmy 💪💪🇹🇷</t>
  </si>
  <si>
    <t>Fotoğraf tutkunu Beşiktaş hayranı teknoloji aşığı http://instagram.com/tolgamert3485/</t>
  </si>
  <si>
    <t>Arif Koçyiğit</t>
  </si>
  <si>
    <t>Biz Ordumuz Askerimiz Mehmetçiğimiz Dedikçe Birileri #CheGuevara Diyor 🙄🙄 #TurkishArmy</t>
  </si>
  <si>
    <t>https://pbs.twimg.com/media/EGbRougXYAET_Fm.jpg</t>
  </si>
  <si>
    <t>Salih AYDIN.</t>
  </si>
  <si>
    <t>Şanlı Türk ordusu Suriyenin kuzeyi Fırat'ın doğusuna giriş yaptı. Haydi bismillah, sefer bizden zafer ise Allah'tandır. Zafer Allâha inananlarındır.. Allah’ım sana secde eden orduları mağlup ettirme, Mansur ve Muzaffer eyle. Amin 🤲 #TurkishArmy #çarşamba</t>
  </si>
  <si>
    <t>Gebze, Kocaeli, Türkiye</t>
  </si>
  <si>
    <t>Ege Üniversitesi'13 🎓 Marmara Üniversitesi(YL)'19 🎓</t>
  </si>
  <si>
    <t>Veli Demir</t>
  </si>
  <si>
    <t>#TurkishArmy fakir aile çocuklarının cesareti çoktur adaletsiz iş yapmaz ahlaklıdır. Gittiği topraklarda emperyalizmin maşalarını ülkemiz için tehlikesiz hale getirip inşallah sağ salim dönecekler. Böyle kahraman çocuklar yetiştiren tüm anne ve babalara selamlar.</t>
  </si>
  <si>
    <t>https://pbs.twimg.com/media/EGbRlrqXYAAD5XW.jpg</t>
  </si>
  <si>
    <t>Baycu Noyan</t>
  </si>
  <si>
    <t>#TurkishArmy 🇹🇷 Türk Ordusu Var Olsun. Güçlü ordu ,Güçlü Türkiye</t>
  </si>
  <si>
    <t>https://pbs.twimg.com/media/EGbRlX7WkAAuE_B.jpg</t>
  </si>
  <si>
    <t>...Galip et Çünkü bu son ordusudur İslam'ın. - Bütün Türkler bir ordu - #Türk Uluslararası İlişkiler</t>
  </si>
  <si>
    <t>Fatih Çakıcı</t>
  </si>
  <si>
    <t>#TurkishArmy başınıza inmeye geliyoruz.❤🇹🇷❤🇹🇷❤🇹🇷❤🇹🇷❤</t>
  </si>
  <si>
    <t>https://pbs.twimg.com/media/EGbRk4AWoAExScI.jpg</t>
  </si>
  <si>
    <t>Evli FENERBAHÇE💛💙 NE MUTLU TÜRK'ÜM DİYENE❤🇹🇷❤</t>
  </si>
  <si>
    <t>Salih ACAP</t>
  </si>
  <si>
    <t>Dede demliği ya büyüt ya da artır,bu sefer mevzu çok derin. #TurkishArmy</t>
  </si>
  <si>
    <t>https://pbs.twimg.com/media/EGbRk3rWwAABe8P.jpg</t>
  </si>
  <si>
    <t>Son derece gururlu insanlar, Susmayı ve yalnızlığı sever.</t>
  </si>
  <si>
    <t>Argument</t>
  </si>
  <si>
    <t>"One minute" tiyatrosuyla seçimlere girip, israil'le ticaretini üçe katlayan, rahip brunson'u tek telefonla serbest bıraktıran, iktidarını diktatörlüğe çevirmek için 15 temmuzu tezgahlayan, Abd okullarindan mezun, askerlikten muaf evlatların babasının Savaşına Hayır. #TurkishArmy</t>
  </si>
  <si>
    <t>cam kırıkları gibidir bazen kelimeler, ağzına dolar insanın... sussan acıtır, konuşsan kanatır</t>
  </si>
  <si>
    <t>TÜYLÜ MİKROFON</t>
  </si>
  <si>
    <t>#mansuryavaş #iştenatılanlar #tüylümikrofon #TurkishArmy #CheGuevara #Ankara #Meclis Mansur YAVAŞ İşten ÇIKARILMALARIN SEBEBİNİ Anlatıyor !!! ve Dayanamayıp Sonunda SİNİRLENİYOR...</t>
  </si>
  <si>
    <t>https://www.youtube.com/watch?v=htOA_S4hdWo&amp;feature=youtu.be</t>
  </si>
  <si>
    <t>https://pbs.twimg.com/media/EGbRil8XYAAhQz8.jpg</t>
  </si>
  <si>
    <t>İZMİR Kanalı...</t>
  </si>
  <si>
    <t>https://www.youtube.com/channel/UCOeNkjZkJcrZhFAHD_s__wg?view_as=subscriber</t>
  </si>
  <si>
    <t>Ercüment Ateş 🇹🇷</t>
  </si>
  <si>
    <t>Ordu sefere çıkmış, bu gevşekler neredeler? 😒 🇹🇷🇹🇷 #Barışpınarıharekatı #TürkMilletiOrdusununYanında #BarisPinariHarekati #BarısHarekatı #TurkishArmy</t>
  </si>
  <si>
    <t>https://pbs.twimg.com/media/EGbRjRcXoAAUafE.jpg</t>
  </si>
  <si>
    <t>Türkiye / İstanbul - Adana</t>
  </si>
  <si>
    <t>MUSTAFA KEMALİN ASKERİ.!! Tek Gerçek CANIM VATANIM ve FENERBAHÇEM 🇹🇷💛💙 Prensesimin Babişkosu 😜 #HerŞeyÇokGüzelOlacak /Turkey / İstanbul</t>
  </si>
  <si>
    <t>temedmırıdlıy</t>
  </si>
  <si>
    <t>Muhtaç olduğun kudret, damarlarındaki asil kanda mevcuttur. 🇹🇷🇹🇷#TurkishArmy</t>
  </si>
  <si>
    <t>Okumaya çalışıyorum...</t>
  </si>
  <si>
    <t>Her yerde ben varım</t>
  </si>
  <si>
    <t>Mustafa Kemal Atatürk #Beşiktaş</t>
  </si>
  <si>
    <t>http://instagram.com/Cnk.vrl</t>
  </si>
  <si>
    <t>TC.ŞebneⓂ️</t>
  </si>
  <si>
    <t>Rabbim Askerimizi korusun🇹🇷Hergun yapılan olağan güvenlik devriyesi yapılmış her olayı girdik çıktik başladı vs gibi lütfen yapmayalım.Evladi kocasi kardesi kuzeni yegeni vs orda olan yuzlerce aile var #carsamba #TurkishArmy</t>
  </si>
  <si>
    <t>https://pbs.twimg.com/media/EGbRhUWX0AA6Vtu.jpg</t>
  </si>
  <si>
    <t>Fransa</t>
  </si>
  <si>
    <t>Rt.faw onayladigim anlamina gelmez🇺🇦Başkomutan M.Kemal Atatürk 💛Fenerbahçe 💙 🇹🇷Turkiyem💓</t>
  </si>
  <si>
    <t>Turan DEMİR</t>
  </si>
  <si>
    <t>Geliyorlar #deliler hu huu.. #TurkishArmy</t>
  </si>
  <si>
    <t>https://pbs.twimg.com/media/EGbRhzcXkAIUYE_.jpg</t>
  </si>
  <si>
    <t>Benim sadece ismimi biliyorsunuz, HİKAYEMİ değil..</t>
  </si>
  <si>
    <t>aysel</t>
  </si>
  <si>
    <t>sürdürülebilir tarım</t>
  </si>
  <si>
    <t>#TurkishArmy gazamiz mubarek olsun.</t>
  </si>
  <si>
    <t>ınstagram: surdurulebilir_tarim</t>
  </si>
  <si>
    <t>Çocukların korkmadığı tek ordu...🇹🇷#TurkishArmy🇹🇷</t>
  </si>
  <si>
    <t>https://pbs.twimg.com/media/EGbRfRVXkAAHi-P.jpg</t>
  </si>
  <si>
    <t>NE MUTLU TÜRKÜM DİYENE 🇹🇷</t>
  </si>
  <si>
    <t>can°</t>
  </si>
  <si>
    <t>Bu sesler Türklerin ayak sesleri KORMAYIN TİTREYİN #TurkishArmy</t>
  </si>
  <si>
    <t>https://pbs.twimg.com/media/EGbRecGWoAAUbIl.jpg</t>
  </si>
  <si>
    <t>Sen oynama yörü yeter</t>
  </si>
  <si>
    <t>http://instagram.com/canturkegilmez</t>
  </si>
  <si>
    <t>FURKAN VARDAR</t>
  </si>
  <si>
    <t>https://pbs.twimg.com/media/EGbRboiX0AA5jSN.jpg</t>
  </si>
  <si>
    <t>Bahcesehir University 🇦🇱🇹🇷</t>
  </si>
  <si>
    <t>Çehreli Laz</t>
  </si>
  <si>
    <t>#TurkishArmy Sınırda girmeyi bekleyen Türk tankçıları :)</t>
  </si>
  <si>
    <t>pic.twitter.com/DXBvOCpqnb</t>
  </si>
  <si>
    <t>Beijing China</t>
  </si>
  <si>
    <t>Dikkat : (!)</t>
  </si>
  <si>
    <t>Mahlas ; KoR</t>
  </si>
  <si>
    <t>The Turks can be killed but never defeated. #TurkishArmy</t>
  </si>
  <si>
    <t>Lâ Tahzen..! İnnallahe Meâna... La Galibe İllallah...</t>
  </si>
  <si>
    <t>http://www.facebook.com/koral.1978</t>
  </si>
  <si>
    <t>Samira Gazi</t>
  </si>
  <si>
    <t>@alaraby_ar يدوا انه حديثا درس بعض الجغرافيا .. عليه ان يستمر في دروس التقوية #TurkishArmy</t>
  </si>
  <si>
    <t>Independent Academician “يسرقون رغيفك .. ثم يعطونك منه كِسرة .. ثم يأمرونك أن تشكرهم على كرمهم .. يالوقاحتهم !!” Twitter has suspended my account 01/10/2019</t>
  </si>
  <si>
    <t>https://www.linkedin.com/in/samira-ahmed-gazi-101965b1/</t>
  </si>
  <si>
    <t>alpar</t>
  </si>
  <si>
    <t>Kafirlerin yüreğine korku salan tek ordu elhamdulillah. #TurkishArmy</t>
  </si>
  <si>
    <t>https://pbs.twimg.com/media/EGbRJaRXYAARHNC.jpg</t>
  </si>
  <si>
    <t>who ? 💦</t>
  </si>
  <si>
    <t>#KendineGelPezeberk #TurkishArmy #deprem #carsamba #YAMANLARLisesi #iyilik ##tubayayardımedin tubanın ınstagram hesabını buldum çok tatlıymış maşallah</t>
  </si>
  <si>
    <t>https://pbs.twimg.com/media/EGbRZZYWoAADkfE.jpg</t>
  </si>
  <si>
    <t>Beylikdüzü, İstanbul</t>
  </si>
  <si>
    <t>RESMİ TWİTTER HESABI DEĞİLDİR</t>
  </si>
  <si>
    <t>c e m i l    k ı r</t>
  </si>
  <si>
    <t>Hollywood seti değil Türk ordusu👊#TurkishArmy</t>
  </si>
  <si>
    <t>pic.twitter.com/gas3UKauNo</t>
  </si>
  <si>
    <t>SMMM | Bilirkişi | Mali Analiz Uzmanı | Fenerbahçe 📢 |</t>
  </si>
  <si>
    <t>http://www.avrasyamuhasebe.com</t>
  </si>
  <si>
    <t>Alperen Hekimoglu</t>
  </si>
  <si>
    <t>Ümit Karakelle</t>
  </si>
  <si>
    <t>https://pbs.twimg.com/media/EGbRT74WsAAlqNi.jpg</t>
  </si>
  <si>
    <t>Gürsel</t>
  </si>
  <si>
    <t>#TurkishArmy "Yiğide şan verir nal şakırtısı, Çakala korku verir Kurt uluması." 🇹🇷🐺🐺🇹🇷</t>
  </si>
  <si>
    <t>pic.twitter.com/A0PJLxFDul</t>
  </si>
  <si>
    <t>Anladım ALLAH'ım .. Ben başımı sana eğince, Sende bu başı kimseye eğdirmiyorsun. ELHAMDÜLİLLAH.||||||| Sadece Eskişehirspor.</t>
  </si>
  <si>
    <t>Scirakoglu18</t>
  </si>
  <si>
    <t>No bio</t>
  </si>
  <si>
    <t>Muhammet HÜSREV</t>
  </si>
  <si>
    <t>https://pbs.twimg.com/media/EGbRWAQXUAA5aRW.jpg</t>
  </si>
  <si>
    <t>Çayeli,Rize / Çankaya, Ankara</t>
  </si>
  <si>
    <t>Sıradan Bir Kul - İmam Hatip Mezunu - Ergenekon Davası Mağduru -15 Temmuz Gazisi -Sonradan Değil Ezelden Beri Fetö Düşmanı - Milliyetçi - Beşiktaş-🇹🇷 🤘</t>
  </si>
  <si>
    <t>fatih sncl #MMD</t>
  </si>
  <si>
    <t>#TurkishArmy Allah Türk devletinin yolunu açık eylesin</t>
  </si>
  <si>
    <t>https://pbs.twimg.com/media/EGbRVU0WwAAh4ZM.jpg</t>
  </si>
  <si>
    <t>mayor of istanbul :) Ama sivaslı #MMD</t>
  </si>
  <si>
    <t>Mustafa Acar</t>
  </si>
  <si>
    <t>Yeryüzünün Gördüğü En Kahraman Millet ve En Kahraman Ordusu Aziz Şanlı Muzaffer Cihangir Adaletli Müslüman Türk Ordusu #TurkishArmy</t>
  </si>
  <si>
    <t>Nefer</t>
  </si>
  <si>
    <t>#TurkishArmy ANANIZI SİKMEYE GELİYORUZ #TurkMilletiOrdusununYanında</t>
  </si>
  <si>
    <t>pic.twitter.com/gik4kCDYM4</t>
  </si>
  <si>
    <t>Barış ACAR</t>
  </si>
  <si>
    <t>Dünyanın ilk düzenli ordusunun karşısına çıkacaklara şaşıyorum Aptallık cesaret değildir. #TurkishArmy</t>
  </si>
  <si>
    <t>İnsan ol ey fani...Toprak olmadan önce!</t>
  </si>
  <si>
    <t>cengiz</t>
  </si>
  <si>
    <t>#TurkishArmy öyle mal mal bakıyor</t>
  </si>
  <si>
    <t>https://pbs.twimg.com/media/EGbRQv9WwAE7U1K.jpg</t>
  </si>
  <si>
    <t>#TurkishArmy Hadi girdik temizledik..Amerika gene orada koşullancak..</t>
  </si>
  <si>
    <t>🍃☘😊 🇹🇷</t>
  </si>
  <si>
    <t>RuhlarAleminden Ferruh</t>
  </si>
  <si>
    <t>#TurkishArmy Hazır;daima hazır!</t>
  </si>
  <si>
    <t>https://pbs.twimg.com/media/EGbRTGOWoAYtl_E.jpg</t>
  </si>
  <si>
    <t>balbazar</t>
  </si>
  <si>
    <t>Bazen tek bir karenin anlattıkları bir kitaba sığmaz #TurkishArmy</t>
  </si>
  <si>
    <t>https://pbs.twimg.com/media/EGbRTNKX0AASiG_.jpg</t>
  </si>
  <si>
    <t>bir beden de yaşıyorum #heryerdeyok</t>
  </si>
  <si>
    <t>Serife Sen ⚡ 👀 ⚡</t>
  </si>
  <si>
    <t>Yaptıkları söyledikleri her pisliği,hainlik ve alçaklığı Atatürk'ün arkasına saklanarak yapan rezil güruh! Sınır ötesi Terör Operasyonunu 'Barış' diye Terör operasyonuna karşı olmak nasıl bir kansızlıktir! "Ben Size Taarruz emretmiyorum, Ölmeyi emrediyorum"...! #TurkishArmy</t>
  </si>
  <si>
    <t>https://pbs.twimg.com/media/EGbRTKJXYAEWRZy.jpg</t>
  </si>
  <si>
    <t>Turkey,Istanbul</t>
  </si>
  <si>
    <t>Demokrasi destanında şahitler biziz, Bir ölünce bin dirilen şehitler biziz, Serden geçtik Vatan Millet Allah aşkına...☝💪 Pkk🚫❌Fetö🚫❌</t>
  </si>
  <si>
    <t>Ümmetten biri</t>
  </si>
  <si>
    <t>mascot_Benny</t>
  </si>
  <si>
    <t>Ölürsek Cennet bizim, kalırsak Devlet bizim. Ya Allah #TurkishArmy #Syria #BarisPinariHarekati</t>
  </si>
  <si>
    <t>https://pbs.twimg.com/media/EGbROalXkAEsmKp.jpg</t>
  </si>
  <si>
    <t>Sfero</t>
  </si>
  <si>
    <t>Sıradanİnsan</t>
  </si>
  <si>
    <t>#TurkishArmy Girmezsin niye girmedin Girersin niye giriyosun.Muhalefet herşeye muhalif kardeşim..Sen doğru bildiğin yolda yürü..Arkandayız..</t>
  </si>
  <si>
    <t>#TurkishArmy There is no merciful soldier like the Turkish soldier! There is no soldier as much as the fight Turkish soldier! It is the United States that confuses the Middle East!</t>
  </si>
  <si>
    <t>https://pbs.twimg.com/media/EGbRLPsWoAALVks.jpg</t>
  </si>
  <si>
    <t>Çanakkale, İstanbul</t>
  </si>
  <si>
    <t>Çanakkale 18 Mart Üniversitesi-Tarih</t>
  </si>
  <si>
    <t>http://vsco.com/fatihdede</t>
  </si>
  <si>
    <t>sadi yavuz</t>
  </si>
  <si>
    <t>Oğuz'un, Fatih'in, Atatürk'ün başbuğluğunu yaptığı bu şanlı Türk ordusunu muzaffer eyle ey yüce Allah #TurkishArmy</t>
  </si>
  <si>
    <t>İskenderun, Hatay</t>
  </si>
  <si>
    <t>Olduğum şeyle olmadığım şey arasında, hayal ettiğim şeyle hayatın beni yaptığı şey arasında bir boşluğum.</t>
  </si>
  <si>
    <t>Cihangir ÖZCAN</t>
  </si>
  <si>
    <t>https://pbs.twimg.com/media/EGbRJc8WoAEM24T.jpg</t>
  </si>
  <si>
    <t>Nefsi terbiyeye muhtaç kendi mürebbi... Edeb ya Hû...</t>
  </si>
  <si>
    <t>Hakan Seyrek</t>
  </si>
  <si>
    <t>Gün doğar mecbur gibi yola düşer kalbin, Her bir yol bir ihtimal ama gitme kal</t>
  </si>
  <si>
    <t>🇹🇷🇹🇷🇹🇷 Murat 🇹🇷🇹🇷🇹🇷</t>
  </si>
  <si>
    <t>Being Turkish is difficult, because we fight the world, But it's harder not to be a Turk, because you fight the Turks. Türk olmak zordur, Çünkü Dünya ile savaşırız, Ama Türk olmamak daha zordur, Çünkü Türklerle savaşırsın. #TurkishArmy</t>
  </si>
  <si>
    <t>Türk olmak zordur, Çünkü Dünya ile savaşırız, Ama Türk olmamak daha zordur, Çünkü Türklerle savaşırsın.</t>
  </si>
  <si>
    <t>Tülay Aksu Ekşioğlu 🦅</t>
  </si>
  <si>
    <t>https://pbs.twimg.com/media/EGbRHcBWsAAmiyG.jpg</t>
  </si>
  <si>
    <t>İstanbul, Rize</t>
  </si>
  <si>
    <t>👉Yağmurun Dinmediği Şehirdenim☔️🌿</t>
  </si>
  <si>
    <t>kerim</t>
  </si>
  <si>
    <t>Hz.Muhammed’in ordusudur bu sen muzaffer eyle Ya Rabbim #TurkishArmy</t>
  </si>
  <si>
    <t>https://pbs.twimg.com/media/EGbRHnQWoAI8KaP.jpg</t>
  </si>
  <si>
    <t>Kenan Danacıoğlu</t>
  </si>
  <si>
    <t>#BarışPınarıHarekatı devletimize, milletimize hayırlı olsun. Allah ordumuzun ve ordu mensuplarının yar ve yardımcısı olsun. Her zaman zaferle! #TurkishArmy</t>
  </si>
  <si>
    <t>Makine Mühendisi ✈️ - Müzik Sever 🎧</t>
  </si>
  <si>
    <t>Rezzak Altunöz 🇹🇷🇹🇷</t>
  </si>
  <si>
    <t>Söyleyin küffara , Hz Muhammed’in ordusu geri döndü 🇹🇷🇹🇷#TurkishArmy</t>
  </si>
  <si>
    <t>Aciz bir kul..</t>
  </si>
  <si>
    <t>ibrahim Arslantaş 🇹🇷</t>
  </si>
  <si>
    <t>La Galibe İllAllah #TurkishArmy</t>
  </si>
  <si>
    <t>https://pbs.twimg.com/media/EGbRGgmW4AA8Jgs.jpg</t>
  </si>
  <si>
    <t>1984 Bayburt Doğumluyum. 1987'den beri İstanbul'da Yaşıyorum. Evliyim. Selçuk Üni. İşletme Mezunuyum. Bankacıyım..</t>
  </si>
  <si>
    <t>https://www.facebook.com/ibrahim.arslantas.921</t>
  </si>
  <si>
    <t>Zafer Bey</t>
  </si>
  <si>
    <t>Çocukların korkmadığı tek ordu geliyor ! #BarisPinariHarekati #BarısPınarıOperasyonu #TürkSilahlıKuvvetleri #TurkishArmy</t>
  </si>
  <si>
    <t>https://pbs.twimg.com/media/EGbQ7sgXUAAbMKc.jpg</t>
  </si>
  <si>
    <t>#ultras #ftm #Türk #Ukrayna #Turan 🤘🏻izmirli,nişanlı --- 🇹🇷🇹🇷🇹🇷--- .. #galatasaray #noracism #izmir #karşıyaka #HEDEF23</t>
  </si>
  <si>
    <t>Emir Çağrı Bilim</t>
  </si>
  <si>
    <t>https://pbs.twimg.com/media/EGbRCsWWwAAwOgL.jpg</t>
  </si>
  <si>
    <t>●Beşiktaş○ Instagram @emircagribilim</t>
  </si>
  <si>
    <t>Altan</t>
  </si>
  <si>
    <t>Yaklaşıyor yaklaşmakta olan... #TurkishArmy</t>
  </si>
  <si>
    <t>https://pbs.twimg.com/media/EGbRFvDWsAAH7bR.jpg</t>
  </si>
  <si>
    <t>Sadece Türkçü... &amp; http://instagram.com/altanurugtr &amp; http://facebook.com/altanurugtr</t>
  </si>
  <si>
    <t>PKK is equal with ISIS. PKK plants and explodes live bombs in Istanbul and Ankara. Pkk is not Kurd. Pkk is a terrorist organisation which usa supports, gives guns and pays. So I stand with #TurkishArmy I hate ISIS and PKK because I hate terrorism.</t>
  </si>
  <si>
    <t>Vatan ne Türkiyedir Türklere, ne Türkistan Vatan, büyük ve müebbet bir ülkedir Turan! #TurkishArmy</t>
  </si>
  <si>
    <t>https://pbs.twimg.com/media/EGbREVqX0AAfMYm.jpg</t>
  </si>
  <si>
    <t>🇹🇷 #HEDEF23</t>
  </si>
  <si>
    <t>KENDALVELi</t>
  </si>
  <si>
    <t>#TurkishArmy huuu</t>
  </si>
  <si>
    <t>https://pbs.twimg.com/media/EGbRBDEXoAECybA.jpg</t>
  </si>
  <si>
    <t>"BEYiN HESAP YAPAR,KALP GÄYRi iRADi CALISIR.!"</t>
  </si>
  <si>
    <t>mehmet korkmaz</t>
  </si>
  <si>
    <t>PKK=YPG terrorists and all totalitarian cronies should be swept from Syria to return the land to the rightful owners! #TurkishArmy</t>
  </si>
  <si>
    <t>Watch your language or you'll be blocked. No followers please.</t>
  </si>
  <si>
    <t>https://pbs.twimg.com/media/EGbRBcoXoAAXRy0.jpg</t>
  </si>
  <si>
    <t>koş🏃‍♂️oktay🏃‍♂️koş</t>
  </si>
  <si>
    <t>#TurkishArmy Ekimin 9'u, temmuzun 15'i farketmez. Silahını Bedrin Aslanlarına doğrultan herkes ölmeyi haketmiştir 🇹🇷</t>
  </si>
  <si>
    <t>sosyal medya azmanı 🏃‍♂️ Reklam ve iş birliği için ateşle bakiyim bi 50 lira 😏</t>
  </si>
  <si>
    <t>Reyhan Yalcin</t>
  </si>
  <si>
    <t>Terrorist hunter #TurkishArmy</t>
  </si>
  <si>
    <t>https://pbs.twimg.com/media/EGbQ-MgWoAATicz.jpg</t>
  </si>
  <si>
    <t>MURATT 🐺</t>
  </si>
  <si>
    <t>Aspanda bürküt, jerde kökbörü bol.! #TurkishArmy</t>
  </si>
  <si>
    <t>https://pbs.twimg.com/media/EGbQ9CHWoAAnv8I.jpg</t>
  </si>
  <si>
    <t>Ankara Üniversitesi // Şükürler olsun TÜRKİYE CUMHURİYETİ VATANDAŞIYIM şükürler olsun ATATÜRK'ÜN EVLADIYIM.!!! POLİS ÖZEL HAREKÂT .!! Ϝϓſ Ϟ</t>
  </si>
  <si>
    <t>Okan</t>
  </si>
  <si>
    <t>#TurkishArmy #turkmilletiordusununyaninda #Türkaskeri #MustafaKemalATATÜRK Yaşasın Tam Bağımsız Türkiye ! Yaşasın Halkların Kardeşliği ! Kahrolsun amerikan emperyalizmi ve iş birlikçileri ! RT @OkanGRLER: Yaşa Mustafa Kemal Paşa yaşa adın yazılacak mücevher taşa !</t>
  </si>
  <si>
    <t>https://twitter.com/OkanGRLER/status/1171020265691783169</t>
  </si>
  <si>
    <t>https://pbs.twimg.com/media/EEBMtfbW4AE4oNi.jpg</t>
  </si>
  <si>
    <t>Turkiye Gaziantep</t>
  </si>
  <si>
    <t>C*ATATÜRK C*Türkiye Cumhuriyeti</t>
  </si>
  <si>
    <t>Oğuzhan Bağdatlı</t>
  </si>
  <si>
    <t>#TurkishArmy May the God be your envoy and helper</t>
  </si>
  <si>
    <t>İstanbul/TÜRKİYE</t>
  </si>
  <si>
    <t>Resmi Twitter Hesabı 🤣🤣🤣</t>
  </si>
  <si>
    <t>https://www.facebook.com/oguzhan.bagdatli</t>
  </si>
  <si>
    <t>Uçaklar olmadan görelim sizi #TurkishArmy</t>
  </si>
  <si>
    <t>Amed</t>
  </si>
  <si>
    <t>AtakanAy</t>
  </si>
  <si>
    <t>Türkiye kuzey Suriye'ye girerse,Kongre tarafından cehennemden gelen yaptırımların uygulanması takip edilecektir. Geniş, derin ve yıkıcı yaptırımlar !!! demiş Lindsey Graham denen dangoz!!!Zaman bu ve bunun gibi terörist severlere tükürdüklerini yalatma zamanıdır!!! #TurkishArmy</t>
  </si>
  <si>
    <t>Ne Mutlu TÜRK'üm Diyene 🇹🇷</t>
  </si>
  <si>
    <t>MilliDuruş</t>
  </si>
  <si>
    <t>#TurkishArmy Kılıçtaroğlu! 'Tezkere'ye içimiz yanaYana evet dedik' diyor.Unutmayınız ki eğer ordumuz, PKK-PYD çapulcularını darmadağanEderse, yine içi ençokYanacak olan, Kılıçtaroğlu ve avanesiOlacaktır.TabiBaşta Ç.İ.Ş MEDYA olmakÜzere bütünİşbirlikçilerin de, matemGünü olacaktır</t>
  </si>
  <si>
    <t>https://pbs.twimg.com/media/EGbQ0h8WwAAtsFw.jpg</t>
  </si>
  <si>
    <t>||Başgan hnm diyeceksiniz👑</t>
  </si>
  <si>
    <t>#TurkishArmy Gideriz Nur yolu izde gideriz Taş bağırda,sular dizde gideriz Bir gün akşam olur bizde gideriz Kalır dudaklarda şarkımız bizim...NFK🇹🇷🌹</t>
  </si>
  <si>
    <t>https://pbs.twimg.com/media/EGbQyQ1XYAAowV3.jpg</t>
  </si>
  <si>
    <t xml:space="preserve">Mollamehmetoğulları/Trabzon </t>
  </si>
  <si>
    <t>“Vur Şanlı Silahınla Gönül Mülkü Düzelsin! Ki,Sen Vuruyorken de Öldürüyorken de Güzelsin!” 🤘🏻🇹🇷🤘🏻🇹🇷🤘🏻🇹🇷🤘🏻🇹🇷🤘🏻🇹🇷🤘🏻🇹🇷🤘🏻</t>
  </si>
  <si>
    <t>emre sağlam</t>
  </si>
  <si>
    <t>#TurkishArmy eger deysinler asker yetersiz koşarak gelmeyi hazırım konu vatansa gerisi hikaye inşallah soylarını kurucak</t>
  </si>
  <si>
    <t>ölümüne @GalatasaraySK #amasyaspor #amasya #akdenizmyo</t>
  </si>
  <si>
    <t>Orhan Köroğlu</t>
  </si>
  <si>
    <t>Marmara Üniversitesi 🎓/Anadolu Üniversitesi Fenerbahçe&amp;ÜNİFEB Mustafa Kemal Atatürk #HerŞeyÇokGüzelOldu 🇧🇬🇹🇷</t>
  </si>
  <si>
    <t>http://instagram.com/orhan97_/?hl=tr</t>
  </si>
  <si>
    <t>Ferit</t>
  </si>
  <si>
    <t>https://pbs.twimg.com/media/EGbQuuZWoAAtXDf.jpg</t>
  </si>
  <si>
    <t>Ahmed Karademir</t>
  </si>
  <si>
    <t>Göğe aşık olduğum doğrudur. Yere çakılıp kaldığım doğrudur. Yerle gök arasında kalmaktan yorulduğum doğrudur. Dünyayı sevemediğim doğrudur. Kendimi ararken hiç'liği bulduğum doğrudur... #deprem #TurkishArmy</t>
  </si>
  <si>
    <t>Rıham</t>
  </si>
  <si>
    <t>Ayrılacağını bile bile... Ölürcesine...</t>
  </si>
  <si>
    <t>AEÜ-OkulÖncesiÖğretmenliği voll3 Kayseri38</t>
  </si>
  <si>
    <t>Yorumsal</t>
  </si>
  <si>
    <t>Türkiye Suriye'ye girmeye başladı. #TurkishArmy</t>
  </si>
  <si>
    <t>https://pbs.twimg.com/media/EGbQtKsWsAEtNE8.jpg</t>
  </si>
  <si>
    <t>conqueror</t>
  </si>
  <si>
    <t>#TurkishArmy Pkk ya destek veren belediyelere kayyum atanınca açıklama yaparak ziyarete giden eko dan harekata başlayan askerimiz için bir mesaj geldimi ? Hayır .. şaşırdıkmı ? Hayır...</t>
  </si>
  <si>
    <t>noyan geric</t>
  </si>
  <si>
    <t>Whatch and see... this is real public care of real country. This operation is not for petrol. Not for israel sick zionofascist policy. This is for babys, this is for mothers We support you ‘Turkeye’ Allah salamad #KurdsSideWithTurkey #TurkishArmy</t>
  </si>
  <si>
    <t>pic.twitter.com/fKh0Xfhvdx</t>
  </si>
  <si>
    <t>Kenarda, sıramızı bekliyoruz. yazılan kaderi icra etmek için</t>
  </si>
  <si>
    <t>Hayruddin YILDIZ</t>
  </si>
  <si>
    <t>The only army children are not afraid of is the #TurkishArmy Çocukların korkmadığı tek ordu Türk Ordusu</t>
  </si>
  <si>
    <t>https://pbs.twimg.com/media/EGbQrKVWoAUyei6.jpg</t>
  </si>
  <si>
    <t>Atatürk hayranı</t>
  </si>
  <si>
    <t>Oğuz aslan</t>
  </si>
  <si>
    <t>#TurkishArmy fistanlilar kacmayin emi Türk Ordusu şimşek gibi tepenize binecek 💪💪💪</t>
  </si>
  <si>
    <t>https://pbs.twimg.com/media/EGbQqUQXoAcTCRX.jpg</t>
  </si>
  <si>
    <t>🇹🇷Türk Polisi🇹🇷Atatürkçü🇹🇷Milliyetçi🇹🇷Allah Indin de Tek Din Islamdır.Elhamdülillah☝️</t>
  </si>
  <si>
    <t>İki devlet arasında savaş yapılır bizim karşımızda devlet yok! Girip temizleyip çıkıcaz #TurkishArmy</t>
  </si>
  <si>
    <t>ya düşman ya pişman ama bir şekilde illa ki bir gün</t>
  </si>
  <si>
    <t>İzag🔵</t>
  </si>
  <si>
    <t>Varolsun #TurkishArmy</t>
  </si>
  <si>
    <t>@cetinzi</t>
  </si>
  <si>
    <t>Ramazan Mutlu</t>
  </si>
  <si>
    <t>Diyanete çağrımızdır! Suriye harekatı başladığı anda tüm camilerimizde sela,tekbir ile ORDUMUZA dua edilmeli... #TurkishArmy</t>
  </si>
  <si>
    <t>Gümüşhane...</t>
  </si>
  <si>
    <t>TheByrm1903</t>
  </si>
  <si>
    <t>READY ? #TurkishArmy</t>
  </si>
  <si>
    <t>Besiktas</t>
  </si>
  <si>
    <t>Vincent.Corleone</t>
  </si>
  <si>
    <t>twitterdan boş yapmayın. gidin gönüllü katılın birliklere. bakam görem kaç erkek varmış #TurkishArmy</t>
  </si>
  <si>
    <t>Sicilia-Italy</t>
  </si>
  <si>
    <t>CihatTetik</t>
  </si>
  <si>
    <t>OsmanlıHanımefendisi</t>
  </si>
  <si>
    <t>İki kanatlıdır Anadolu... Bir kanadı Yunusca irfanı, diğer kanadı Yavuzca cihadı temsil eder... Bir tarafında Mevlânaca hoşgörü saklar yüreğinin, diğer tarafında Battal Gazi gibi hamaset... Yüreği ipek gibi, bileği çelik gibidir milletimizin... Elhamdülillah...#TurkishArmy</t>
  </si>
  <si>
    <t>İbrahim Koşar</t>
  </si>
  <si>
    <t>#TurkishArmy ..</t>
  </si>
  <si>
    <t>ϜϓſϞ 🇹🇷</t>
  </si>
  <si>
    <t>Göktürk Alp</t>
  </si>
  <si>
    <t>#TurkishArmy 🇹🇷 We don't want a kurds terrorist state. #NATO #PENTAGON</t>
  </si>
  <si>
    <t>Nasıl bir adam mıyım ? Söyledikleri için yemine gerek duymayan.↙️</t>
  </si>
  <si>
    <t>The Crowski</t>
  </si>
  <si>
    <t>#TurkishArmy arş ileri marş ileri dönmez geri türkün askeri</t>
  </si>
  <si>
    <t>Benim buraya yazacak kişisel bilgim yok çünki kişiliksizim</t>
  </si>
  <si>
    <t>Burak Yıldız</t>
  </si>
  <si>
    <t>Tanrı Türkü Koruyacak Bozkurtum 🇹🇷 #TurkishArmy RT @TTAgrup: Bu delileri bir araya getirmeyecektiniz! #TurkishArmy</t>
  </si>
  <si>
    <t>Ne Mutlu Türk'üm Diyene 🇹🇷</t>
  </si>
  <si>
    <t>Ercan Erdogan</t>
  </si>
  <si>
    <t>https://pbs.twimg.com/media/EGbQkZqXoAETqm0.jpg</t>
  </si>
  <si>
    <t>kadirerdogan</t>
  </si>
  <si>
    <t>https://pbs.twimg.com/media/EGbQlJpWkAAeS-6.jpg</t>
  </si>
  <si>
    <t xml:space="preserve">konya </t>
  </si>
  <si>
    <t>Abdullah Bulut™</t>
  </si>
  <si>
    <t>You will not find a hole to escape from the Turks. You will kill wherever you are #sdg #sdf #ypg !! #TurkishArmy❤️</t>
  </si>
  <si>
    <t>36-42 K | 26-45 D</t>
  </si>
  <si>
    <t>Stabil🏁</t>
  </si>
  <si>
    <t>M.Emin Aydın</t>
  </si>
  <si>
    <t>Dün ağzındaki sakızı bugün düşürmüş galiba övgüler falan filan hemen geri vites... #TrumpdanDostOlmaz Ypg-Pkk gümbür gümbür geliyor şanlı Türk ordusu korkma titree direnmen boşa diz çök biatt et !! #TurkishArmy</t>
  </si>
  <si>
    <t>https://pbs.twimg.com/media/EGbQhcSX0AE9Und.jpg</t>
  </si>
  <si>
    <t>Bakış açım</t>
  </si>
  <si>
    <t>#TurkishArmy FIRTINALAR DURSUN YANA YOL VER TÜRK'ÜN BAYRAĞINA</t>
  </si>
  <si>
    <t>https://pbs.twimg.com/media/EGbQhZ8XkAAyM4j.jpg</t>
  </si>
  <si>
    <t>https://pbs.twimg.com/media/EGbQgNRWkAAn5Fr.jpg</t>
  </si>
  <si>
    <t>İnsan, hakikati idrak ettiği ve yaşadığı ölçüde gerçek mutluluğa erişebilir.@ibrahimkalin_</t>
  </si>
  <si>
    <t>Zorbey</t>
  </si>
  <si>
    <t>#TurkishArmy Görünmez ordular yoldaşınız olsun</t>
  </si>
  <si>
    <t>https://pbs.twimg.com/media/EGbQfELX0AAX29v.jpg</t>
  </si>
  <si>
    <t>Melih Özgen</t>
  </si>
  <si>
    <t>#TurkishArmy RT @Samedowski: #TurkishArmy</t>
  </si>
  <si>
    <t>https://twitter.com/samedowski/status/1181860023783366656</t>
  </si>
  <si>
    <t>pic.twitter.com/luljwAXcud</t>
  </si>
  <si>
    <t>naz</t>
  </si>
  <si>
    <t>Allah Askerimize güç kuvvet versin hepsini korusun 🇹🇷 #TurkishArmy</t>
  </si>
  <si>
    <t>💛❤️🇹🇷 Adige pshase</t>
  </si>
  <si>
    <t>KİRVE</t>
  </si>
  <si>
    <t>#TurkishArmy LA Galibe İllâllah</t>
  </si>
  <si>
    <t>https://pbs.twimg.com/media/EGbPUTZXUAAMKhq.jpg</t>
  </si>
  <si>
    <t xml:space="preserve">Kütahya, Türkiye </t>
  </si>
  <si>
    <t>tanerbingol73@gmail.com</t>
  </si>
  <si>
    <t>METİN (REİS)</t>
  </si>
  <si>
    <t>https://pbs.twimg.com/media/EGbQbOFXUAEdEf0.jpg</t>
  </si>
  <si>
    <t>Yıllar önceye dönsek o geceye olsak arkadaş KIRK YİĞİT ÇERİYE 🇹🇷 Türk Dili ve Edebiyatı Öğretmeni 🇹🇷</t>
  </si>
  <si>
    <t>Tüm alemin bir nizam içinde olmasını sağlamak. Kimin canı yanıyorsa onun yarasını sarmak. Türk’e İslam’a dert verenin başını vurup, derdini başından almak için #TurkishArmy #barışpınarı</t>
  </si>
  <si>
    <t>https://pbs.twimg.com/media/EGbQbChXYAAha5e.jpg</t>
  </si>
  <si>
    <t>Mr</t>
  </si>
  <si>
    <t>https://pbs.twimg.com/media/EGbQa-rWkAApX7F.jpg</t>
  </si>
  <si>
    <t>Türkkizi</t>
  </si>
  <si>
    <t>#SavasaHayır diyen gerizekalılar ülkenizin dibinde devlet kurup sizi tehdit altına alacaklar siz hala barış safsatası ile kendinizi yormayın , Burası Türkiye kardeşim biz girip çıkacağız ! Sizler de destek olmuyorsaniz engel de olmayın #BarisPinariHarekati #TurkishArmy</t>
  </si>
  <si>
    <t>LOKMANNTE</t>
  </si>
  <si>
    <t>ünlü bi düşünürün oğlu olmamam benim değil babamın suçu instagram : lokmannte ⭐️⭐️⭐️</t>
  </si>
  <si>
    <t>http://www.facebook.com/#!/lkmn.ist</t>
  </si>
  <si>
    <t>pic.twitter.com/lkOTEb2DV1</t>
  </si>
  <si>
    <t>Kepez, Antalya</t>
  </si>
  <si>
    <t>Akdeniz Üniversitesi</t>
  </si>
  <si>
    <t>http://instagram.com/mirkovicstein61</t>
  </si>
  <si>
    <t>tbadik</t>
  </si>
  <si>
    <t>Sefer bizim Zafer Allah'ın #TurkishArmy</t>
  </si>
  <si>
    <t>Beklemede...</t>
  </si>
  <si>
    <t>En Yeni Videolar</t>
  </si>
  <si>
    <t>"Türk hükümetine sesleniyorum. Suriye'ye girmek için bizden yeşil ışık almadınız. Zaten kırılgan olan ilişkilerimizi mahvetmek istiyorsanız girin." Trump'a yakın ABD'li senatörden Türkiye'ye uyarı #TurkishArmy #Suriye #Harekat #SINIR #Gündemdekiler #Gündem #SonDakika</t>
  </si>
  <si>
    <t>İnternette Popüler Videolar izle</t>
  </si>
  <si>
    <t>Furkan g</t>
  </si>
  <si>
    <t>Korkmayın titreyin Turks are coming 🇹🇷🇹🇷 #TurkishArmy #BarisPinariHarekati</t>
  </si>
  <si>
    <t>Once, devil was also an angel 😈👼</t>
  </si>
  <si>
    <t>🇹🇷 Sen Ne Dersen De 🇹🇷 💛❤</t>
  </si>
  <si>
    <t>We will cleanse our borders from all who wish to harm us. We have already waited long enough and stayed patient. #TurkishArmy</t>
  </si>
  <si>
    <t>🇹🇷 İtle Köpekle Uğraşacak Değilim,Tasmasını Kim Tutuyorsa O Gelsin..Ne Mutlu Türküm Diyene..!</t>
  </si>
  <si>
    <t>engx</t>
  </si>
  <si>
    <t>#TurkishArmy konu: düşman nedir nasıl öldürülür.eğitmen:tsk</t>
  </si>
  <si>
    <t>El-Aziz Gazetesi</t>
  </si>
  <si>
    <t>Fırat'ın Doğusuna harekâtın başladığı ifade ediliyor. Yüce Rab'bimiz Ümmet'in ümidi Türkiye'ye büyük bir zafer müyesser kılsın.  #TurkishArmy</t>
  </si>
  <si>
    <t>https://www.el-aziz.com/tr/gundem/detail/1331</t>
  </si>
  <si>
    <t>El-Aziz Gazetesi ve Her Ay Elazığ Aktüel Dergisi Yazı İşleri Müdürü</t>
  </si>
  <si>
    <t>http://www.el-aziz.com</t>
  </si>
  <si>
    <t>azlaan khan</t>
  </si>
  <si>
    <t>Have your friends deleted Whatsapp messages they sent before you can read? #StrayKids_DoubleKnot #StrayKidsComeback #SCOvRUS #TurkishArmy #BacheloretteAU #BacheloretteAU #StrayKids_DoubleKnot #TheBachelorette link</t>
  </si>
  <si>
    <t>http://bit.ly/2ns6rBO</t>
  </si>
  <si>
    <t>https://pbs.twimg.com/media/EGbQVxyWsAAb7t1.jpg</t>
  </si>
  <si>
    <t>when yiy pray for rain then ready to tude</t>
  </si>
  <si>
    <t>K@DIR_KYGSZ 🇹🇷🇹🇷🤘🤘</t>
  </si>
  <si>
    <t>İsrail’e, Amerika’ya, İngiltere’ye, Fransa’ya... -Alparslanlar geliyor -Ertuğrullar geliyor... -Osman gaziler geliyor... -Fatihler geliyor... -Yavuzlar geliyor Mustafa kemaller geliyor diye.... Haber salın yeryüzüne, Osmanlılar geliyor diye.. #TurkishArmy</t>
  </si>
  <si>
    <t>https://pbs.twimg.com/media/EGbQWJGW4AAT8Tg.jpg</t>
  </si>
  <si>
    <t>Ülkücülerin dünyasında "ALTERNATİF PARTİ" yoktur. Musallaya yatana kadar MHP VARDIR</t>
  </si>
  <si>
    <t>kemal hoş</t>
  </si>
  <si>
    <t>Vurduğun dağ çakıl, vurduğun heval çukur olsun ayak seslerinizi tüm dünya duysun Mevlam tekrar islamın sancaktarı olmayı nasip eylesin.. Düşmana korku mazlumlara umut olun Mevlam yar ve yardımcınız olsun #TurkishArmy</t>
  </si>
  <si>
    <t xml:space="preserve">istanbul </t>
  </si>
  <si>
    <t>babanın oğlu ihsan</t>
  </si>
  <si>
    <t>Savaşı kutlayan savaş bizim düğünümüzdür diyen tek Ordu tek millet 💪🏼💪🏼💪🏼 🚀🇹🇷🇹🇷#TurkishArmy</t>
  </si>
  <si>
    <t>https://pbs.twimg.com/media/EGbQVwOXUAEulyq.jpg</t>
  </si>
  <si>
    <t>Japonn :d</t>
  </si>
  <si>
    <t>https://pbs.twimg.com/media/EGbQVjRW4AAIxTX.jpg</t>
  </si>
  <si>
    <t>Bende Kafam Kadar Karışık Bir Pizza Ismarladım Kendime... -@Pirayeniz💜</t>
  </si>
  <si>
    <t>Güzin KARAMAN</t>
  </si>
  <si>
    <t>#TurkishArmy Tanrı Türk'ü Korusun.</t>
  </si>
  <si>
    <t>eren tekin</t>
  </si>
  <si>
    <t>#TurkishArmy Şerefle!🇹🇷</t>
  </si>
  <si>
    <t>https://pbs.twimg.com/media/EGbQVYBWkAEX-Gg.jpg</t>
  </si>
  <si>
    <t>BEÜ/Muay Thai/Taekwondo</t>
  </si>
  <si>
    <t>🌙H</t>
  </si>
  <si>
    <t>Bir bak tarihe TÜRK'e baş kaldıranın sonu ne olmuş. -Bilge Kağan #TurkishArmy</t>
  </si>
  <si>
    <t>Ş A N I Ş E R</t>
  </si>
  <si>
    <t>Arif</t>
  </si>
  <si>
    <t>Pembe Tezkerelilerin Şeysi Mustafa İslamoğlu ndan 🏳️‍🌈 beklenen açıklama gelmiştir “Savaşma Seviş Çizgimizden Taviz Vermiyoruz “ #TurkishArmy #CheGuevara</t>
  </si>
  <si>
    <t>Aşk Bedel ister.</t>
  </si>
  <si>
    <t>🇹🇷TC🇹🇷</t>
  </si>
  <si>
    <t>https://pbs.twimg.com/media/EGbQTyHW4AIXvmd.jpg</t>
  </si>
  <si>
    <t>Hatice Bozok</t>
  </si>
  <si>
    <t>Türk'e Hudut yok Yaşa Var ol Türk Milleti! Rabbim yardımcınız olsun... 🇹🇷 #TurkishArmy</t>
  </si>
  <si>
    <t>Vur şanlı silahınla gönül mülkü düzelsin. Sen öldürüyorken de vururken de güzelsin.. 🇹🇷</t>
  </si>
  <si>
    <t>http://instagram.com/_thehtc</t>
  </si>
  <si>
    <t>whyman</t>
  </si>
  <si>
    <t>Lol at the #TurkishArmy PR campaign going on. Bet it is needed before a possible massacre.</t>
  </si>
  <si>
    <t>Sweden</t>
  </si>
  <si>
    <t>Why oh Why?</t>
  </si>
  <si>
    <t>SANCAR TUĞRUL</t>
  </si>
  <si>
    <t>#TurkishArmy in the region for security</t>
  </si>
  <si>
    <t>ByKorkut 🇹🇷</t>
  </si>
  <si>
    <t>Selam ver Türkün şanlı bayrağına 🇹🇷🇹🇷🇹🇷 #TurkishArmy</t>
  </si>
  <si>
    <t>İnstagram:bykorkut</t>
  </si>
  <si>
    <t>Adnan Ersal</t>
  </si>
  <si>
    <t>pic.twitter.com/xYRkV89hfw</t>
  </si>
  <si>
    <t>Zat-ı muteber olanın sıfata ihtiyacı yoktur #Natural fikri hür hiç bir insana tâbi olmayan kendi doğrularını yaşayan #MustafaKemalAtatürk</t>
  </si>
  <si>
    <t>Mustafa Görgülü</t>
  </si>
  <si>
    <t>#TurkishArmy is the only army , really fought against ISIS.</t>
  </si>
  <si>
    <t>Desperate times need desperate measures. peki ya bekçilere kim bekçilik edecek-sünger bob-</t>
  </si>
  <si>
    <t>Oğuzhan Çaylak</t>
  </si>
  <si>
    <t>https://pbs.twimg.com/media/EGbQPbGXYAAT27C.jpg</t>
  </si>
  <si>
    <t>Alpaslan, Kayseri</t>
  </si>
  <si>
    <t>Gençliğim çok güzel gidiyor, ama ellerimden</t>
  </si>
  <si>
    <t>http://instagram.com/oguzhanncaylak</t>
  </si>
  <si>
    <t>Gazi Şükrü Yılmaz</t>
  </si>
  <si>
    <t>Türk askeri gelirse Kırılmadık cam, kesilmedik baş bırakmaz derler. Yani anlayacağınız bu saatten sonra Tanrı sizi bizim azabımızdan korusun. #TurkishArmy</t>
  </si>
  <si>
    <t>İzmir/ Political Science</t>
  </si>
  <si>
    <t>Şener AÇIL 𐱅𐰇𐰼𐰰</t>
  </si>
  <si>
    <t>#TurkishArmy RT @tcsavunma: Kahraman Türk Silahlı Kuvvetleri, Fırat Kalkanı Harekâtı’nda sahada DEAŞ terör örgütü ile göğüs göğüse mücadele eden tek Koalisyon ve NATO ülkesi ordusudur. #MSB #TSK</t>
  </si>
  <si>
    <t>https://twitter.com/tcsavunma/status/1181585790683484160</t>
  </si>
  <si>
    <t>https://pbs.twimg.com/media/EGXWAtSX0AAs3MJ.jpg</t>
  </si>
  <si>
    <t>marmara tarih ⚡Es⚡Es⚡</t>
  </si>
  <si>
    <t>📷♓ЄƝƊЄM♏️🐞</t>
  </si>
  <si>
    <t>Ben ezelden beri hür yaşadım hür yaşarım hangi çılgın bana zincir vuracakmış şaşarım yırtarım dağları enginlere sığmam taşarım #TurkishArmy</t>
  </si>
  <si>
    <t>https://pbs.twimg.com/media/EGbQLG1XYAAtxPL.jpg</t>
  </si>
  <si>
    <t>💎Hმzἶղεlεɾ հმɾმჩεlεɾძε օlմɾ. Düղყმყı ძმհმ ἶყἶ ყმpომყმղ ἶղʂმղ,ἶղʂმղ ძεğἶlძἶɾ. 🐂Boğa burcu ♂ Galatasaray 💛 💗 M.K.ATATÜRK 🇹🇷</t>
  </si>
  <si>
    <t>http://instagram.com/hendem.blog</t>
  </si>
  <si>
    <t>Fazıl Ahmet Tülüce</t>
  </si>
  <si>
    <t>Türk beklenendir. Vefalı Türk geldi yine. Selâm Türk'ün Bayrağına. #TurkishArmy</t>
  </si>
  <si>
    <t>https://pbs.twimg.com/media/EGbQLX4XoAAWbvg.jpg</t>
  </si>
  <si>
    <t>Osmaniye Tosçelik</t>
  </si>
  <si>
    <t>Superbetin</t>
  </si>
  <si>
    <t>⁉️ Trabzonspor'lulara Soruldu : '' Bir Futbolcuyu Takımda Görmek İsteseydiniz Bu Hangisi Olurdu ? '' 🗣️ Taraftar : '' Fatih Tekke '' #çarşamba #YAMANLARLisesi #EmineBulut #TurkishArmy #kendinegelpezeberk</t>
  </si>
  <si>
    <t>pic.twitter.com/JrSI0QX5YI</t>
  </si>
  <si>
    <t>Güncel #Superbetin promosyon hesabımız, en güncel kampanyalar ve bonuslar için takip etmeyi unutmayın.Güncel site #Superbetin ;⬇️⬇️⬇️</t>
  </si>
  <si>
    <t>https://bit.ly/2VfE5oZ</t>
  </si>
  <si>
    <t>Emrah Parlan</t>
  </si>
  <si>
    <t>Genelde ekonomi dışında bir konu hakkında burayı kullanmaktan kaçınıyorum ama,mevcut süreç ve gelişmeler içerisinde hatırlamakta fayda var ki; #SavasaHayır #SavasFelakettir #savasistemiyoruz #savas #TurkishArmy #Suriye #türkiye #Tuerksilahlıkuvvetleri</t>
  </si>
  <si>
    <t>https://www.youtube.com/watch?v=qv0RBMoVTiM&amp;feature=youtu.be&amp;t=26</t>
  </si>
  <si>
    <t>Kıbrıslı, yurtsever #Forex: trend takipçisi, #hisse senedi: değer yatırımcısı. #Sermaye piyasası çalışanı, yüksek lisans öğrencisi https://about.me/Emrah_parlan</t>
  </si>
  <si>
    <t>Ufuk Yaman ♣️</t>
  </si>
  <si>
    <t>we're really trouble guys. And we are still innocent children. #TurkishArmy</t>
  </si>
  <si>
    <t>https://pbs.twimg.com/media/EGbQIZaWwAE8QkP.jpg</t>
  </si>
  <si>
    <t>🔋 R&amp;B 🎤</t>
  </si>
  <si>
    <t>Son şehzade™</t>
  </si>
  <si>
    <t>#TurkishArmy Ya Rabbi! Bin üçyüz yılı aşkın süredir İslam dinine hizmet eden ve askerine Peygamber efendimizin ismini veren milletimizin kahraman ordusunu muzaffer eyle. Düşmanlarına fırsat verme. Evlatlarımızı muhafaza eyle. #Bismillah..</t>
  </si>
  <si>
    <t>Zat-ı Hakda mahrem-i irfan olan anlar bizi.. İlm-i sırda bahr-ı bî-payan olan anlar bizi...</t>
  </si>
  <si>
    <t>Sporajans</t>
  </si>
  <si>
    <t>Eren için, Bedirhan Bebek için, Aybüke ve Necmettin Öğretmen için, Fırat Yılmaz için, Yasin Börü için tüm şehitlerimiz için VUR ŞANLI TÜRK ASKERİ... #TurkishArmy Savaşa hayır diyen mk veledi zinaları. Eren'in, Bedirhan Bebeğin, Aybüke öğretmenin gözlerine bir kez bakın...</t>
  </si>
  <si>
    <t>Semih Çıplak</t>
  </si>
  <si>
    <t>#TurkishArmy RT @TTAgrup: FIRTINALAR DURSUN YANA YOL VER TÜRK'ÜN BAYRAĞINA #TurkishArmy</t>
  </si>
  <si>
    <t>https://twitter.com/TTAgrup/status/1181832166659039232</t>
  </si>
  <si>
    <t>https://pbs.twimg.com/media/EGa2FqVWwAE3T8w.jpg</t>
  </si>
  <si>
    <t>Beşiktaş 💜</t>
  </si>
  <si>
    <t>AltEfDört Podcast</t>
  </si>
  <si>
    <t>Fak'a Bastık Çıktı ! @brkkrgl ve @0nnuurr -Avrupa'da türk kasabası - #kendinegelpezeberk -Sahibini kıskanan köpek -#HalukLevent -Eski sevgiliye bomba hediye etti -#TurkishArmy #EyAmerika -Vatikanda evlenme izni 📱Sc:  Diğer Linkler Aşağıda 👇👇</t>
  </si>
  <si>
    <t>https://soundcloud.com/altefdortpodcast/faka-bastik-7-haluk-levent-turkisharmy-kiskanc-kopek-avrupada-turk-kasabasi</t>
  </si>
  <si>
    <t>🎩Patreon : https://www.patreon.com/altefdortpod 👥Reklam ve İşbirliği için karaoglu19@itu.edu.tr</t>
  </si>
  <si>
    <t>Saruhan</t>
  </si>
  <si>
    <t>YTU</t>
  </si>
  <si>
    <t>Tugrul4316</t>
  </si>
  <si>
    <t>Haydi Bismillah.Taş üstünde taş omuz üstünde baş bırakmayın oralarda yiğitler!!#TurkishArmy</t>
  </si>
  <si>
    <t>🇹🇷 Biz Hollywood’çu değiliz, gerçeğiz. 🇬🇧 We ain’t about that Hollywood, because we are the real deal. #TurkishArmy</t>
  </si>
  <si>
    <t>https://pbs.twimg.com/media/EGbQESPW4AAPXjE.jpg</t>
  </si>
  <si>
    <t>Orange County</t>
  </si>
  <si>
    <t>but when it was hot, it was hot ||</t>
  </si>
  <si>
    <t>hepiniz oradaydı</t>
  </si>
  <si>
    <t>Kaçınılmazsa adapte ol, yabancı dizi sevici, okur yazar çizer</t>
  </si>
  <si>
    <t>•fi</t>
  </si>
  <si>
    <t>Refik 🇹🇷</t>
  </si>
  <si>
    <t>Bizi silahlarıyla durduramayacaklar kürt devleti hayalini kurdukları topraklara girip onları ezip kalıcı olarak duracağız ama bu sırada ekonomik saldırılar olacak patates soğan için ağlayanlar bu günden stoklarınızı yapın sonra başımızı ağırtmayın #TurkishArmy</t>
  </si>
  <si>
    <t>Tanınmamış Kişi... #EvladıOsmanlı Rizespor</t>
  </si>
  <si>
    <t>Yasin AKPINAR</t>
  </si>
  <si>
    <t>https://pbs.twimg.com/media/EGbQCcWWsAEBuo3.jpg</t>
  </si>
  <si>
    <t>ISPARTA ANTALYA | GENÇFENERBAHÇELİLER 🌿</t>
  </si>
  <si>
    <t>http://instagram.com/ysn.akpnr32/</t>
  </si>
  <si>
    <t>sezgin ok</t>
  </si>
  <si>
    <t>https://pbs.twimg.com/media/EGbQDBgX0AAj1CM.jpg</t>
  </si>
  <si>
    <t>Mehmet KOCAOĞLU🇹🇷</t>
  </si>
  <si>
    <t>Vur düşmana gönlümüz şenlensin #TurkishArmy</t>
  </si>
  <si>
    <t>Bozok Üni. Eğitim fakültesi</t>
  </si>
  <si>
    <t>efe aydın</t>
  </si>
  <si>
    <t>#TurkishArmy #carsamba</t>
  </si>
  <si>
    <t>https://pbs.twimg.com/media/EGbQBrUX0AAw3Kc.jpg</t>
  </si>
  <si>
    <t>☝🏻 #TurkishArmy</t>
  </si>
  <si>
    <t>https://pbs.twimg.com/media/EGbQA8AWkAANMln.jpg</t>
  </si>
  <si>
    <t>🇹🇷Türk beklenendir,elbet gelir!(KIZILELMA)</t>
  </si>
  <si>
    <t>Herşeyvataniçin</t>
  </si>
  <si>
    <t>Sana kurban olurum kürt anne.Ermeni terör örgütü Pkknın en çok ezdiği zavallılar gerçek kürt halkıdır ya.Teyzemin tatlılığına bak. #TurkishArmy RT @Turan1530: Sınır Hattında Boşaltılan Bir Köyde Kürt anamız emretti; ONLARI EZİN! #TurkishArmy 🇹🇷</t>
  </si>
  <si>
    <t>Önce Vatan</t>
  </si>
  <si>
    <t>Bülent ÇUKUR</t>
  </si>
  <si>
    <t>#TurkishArmy 💪💪💪</t>
  </si>
  <si>
    <t>http://Instagram.com/bulentcukur</t>
  </si>
  <si>
    <t>Emirhan</t>
  </si>
  <si>
    <t>We will never give up🇹🇷 #TurkishArmy</t>
  </si>
  <si>
    <t>https://pbs.twimg.com/media/EGbQAmnWoAEO-hx.jpg</t>
  </si>
  <si>
    <t>Sürmene, Trabzon</t>
  </si>
  <si>
    <t>Trabzonspor ❤️💙🇹🇷</t>
  </si>
  <si>
    <t>marguerite</t>
  </si>
  <si>
    <t>Son heval bükücüler 🇹🇷#TurkishArmy</t>
  </si>
  <si>
    <t>𝔼𝕣𝕔𝕚ş𝕝𝕚 𝔻𝕣. ⚡ 👳 📿 ✍️</t>
  </si>
  <si>
    <t>Tell our oppressed brothers, children of the Ummah are coming. أخبر إخواننا المضطهدين ، أطفال الأمة قادمون #TurkishArmy #BarisPinariHarekati</t>
  </si>
  <si>
    <t>https://pbs.twimg.com/media/EGbP_8jXYAEr65g.jpg</t>
  </si>
  <si>
    <t>Reisin yanı ☝</t>
  </si>
  <si>
    <t>Jurnalist. Aktivist. Şizofren Doktoru.</t>
  </si>
  <si>
    <t>http://xn--fenerbahe-x3a.Sk</t>
  </si>
  <si>
    <t>Burak Karacasulu</t>
  </si>
  <si>
    <t>Havada, karada, denizde, çölde, çatakta ve batakta; Her zaman ve her yerde hazır; daima hazır! #TürkMilletiOrdusununYanında #TurkishArmy</t>
  </si>
  <si>
    <t>https://pbs.twimg.com/media/EGbP_V1XoAAkq1i.jpg</t>
  </si>
  <si>
    <t>ADÜ / PARAMEDİK Galatasaray bizim ciğerimiz</t>
  </si>
  <si>
    <t>http://instagram.com/burakkaracasulu</t>
  </si>
  <si>
    <t>Oğuz Biçer</t>
  </si>
  <si>
    <t>Ya Allah, Bismillah ! #TurkishArmy Muzaffer ordu, dualarımız sizlerle.</t>
  </si>
  <si>
    <t>| 'Babasının oğlu, oğlunun babası' | Çevre Müh. Aksa Enerji İSG Uzmanı / İstanbul</t>
  </si>
  <si>
    <t>🌿yeşilBURSAyeşil🌿🍎⚡#DEVAM</t>
  </si>
  <si>
    <t>Operasyon başladı: Türk askeri sınırı geçti!  #TurkishArmy</t>
  </si>
  <si>
    <t>http://www.haber7.com/guncel/haber/2904096-operasyon-basladi-turk-askeri-siniri-gecti</t>
  </si>
  <si>
    <t>TÜRKİYE - BURSA</t>
  </si>
  <si>
    <t>"Ben" diye başlamayı hak ettiğim tek cümle; " Ben şehadet ederim ki, Allah'tan başka ilâh yoktur"</t>
  </si>
  <si>
    <t>https://www.facebook.com/alinuraktas70/videos/2414965538586056/</t>
  </si>
  <si>
    <t>Seda TÜRK</t>
  </si>
  <si>
    <t>Suriye'de,sınırlarda,Doğu Akdeniz'de içerde vatanımızın,milletimizin ve Cumhuriyeti'mizin koruyucusu sen ne büyük, ne güçlü bir ordusun Türk Ordusu bu millet her zaman seninle.#TurkishArmy RT @EGozuguzelli: Doğu Akdeniz’de dün Türk donanması Kıbrıs adasının etrafını fırkateyn ve deniz altılar ile toplam 20 gemi ile çerçevelemiştir.</t>
  </si>
  <si>
    <t>https://twitter.com/EGozuguzelli/status/1181826480164212737
https://twitter.com/ekathimerini/status/1181824561043689472</t>
  </si>
  <si>
    <t>İnsan;Eşref-i mahlukat,yaratılmışların en şereflisi.Gizli bir hazineydin bilinmek istenen!O hazineyi bulan Türk'e selamlar olsun!🇹🇷🇹🇷🇹🇷</t>
  </si>
  <si>
    <t>namütenahi</t>
  </si>
  <si>
    <t>Korkuyor musunuz? Korkmalısınız. Geri geliyorlar.. #TurkishArmy</t>
  </si>
  <si>
    <t>https://pbs.twimg.com/media/EGbP-ZQX0AAuwC9.jpg</t>
  </si>
  <si>
    <t>zamansız</t>
  </si>
  <si>
    <t>Teknik ARIZA</t>
  </si>
  <si>
    <t>#TurkishArmy ne la Türk Ordusu desenize!</t>
  </si>
  <si>
    <t>Teknik ARIZA Arab yavelerine inanmaz biri... Tabi ki ULU ÖNDER MUSTAFA KEMAL ATATÜRK! FENERBAHÇE #ATE $BTC</t>
  </si>
  <si>
    <t>Mehmet Muhammed Bozkır</t>
  </si>
  <si>
    <t>#TurkishArmy Türk Ordusunu gören hevaller;</t>
  </si>
  <si>
    <t>https://pbs.twimg.com/media/EGbP96OXUAAuZG3.jpg</t>
  </si>
  <si>
    <t>AHLAKDER| Dünya Ahlak ve Maneviyat Derneği Üniversite Komisyonu Başkanı (Takipler davet amaçlıdır..)</t>
  </si>
  <si>
    <t>https://instagram.com/muhammedbzkir</t>
  </si>
  <si>
    <t>ABDUSSAMET 🇹🇷</t>
  </si>
  <si>
    <t>Rabbim kılıcınızı keskin, sizleri muzaffer eylesin yiğitler. Amin #TurkishArmy</t>
  </si>
  <si>
    <t>https://pbs.twimg.com/media/EGbP9p1XUAI0euz.jpg</t>
  </si>
  <si>
    <t>la vita rosso giallo 🦁 𐱅𐰇𐰼𐰜🇹🇷</t>
  </si>
  <si>
    <t>https://www.instagram.com/abdussamet.bas</t>
  </si>
  <si>
    <t>Serkan Çınar</t>
  </si>
  <si>
    <t>Rabbim sen yüzümüzü kara çıkarma, Mehmetimizin ayağına taş değdirme, mazlumun imdadına koşan islamın son ordusunu muzaffer eyle #TurkishArmy</t>
  </si>
  <si>
    <t>Cevizin kabuğunu kırıp özüne inmeyen, cevizin hepsini kabuk zanneder...</t>
  </si>
  <si>
    <t>http://boykot.forums-free.com/</t>
  </si>
  <si>
    <t>بايرام درماز ١٤٥٣</t>
  </si>
  <si>
    <t>Harika Tesadüf Değil mi ya🇹🇷😍😍🇹🇷 #TurkishArmy</t>
  </si>
  <si>
    <t>https://pbs.twimg.com/media/EGbP7nMWkAADkP1.jpg</t>
  </si>
  <si>
    <t>Yobazistan</t>
  </si>
  <si>
    <t>Adyü🍁 |Arapça Öğretmenliği🍂| 2/4| Arap|🍂🇹🇷 🍁الأدَبُ خَيْرٌ مِنَ الذَّهَبِ🚫Hanım Kardeşler DM🚫 #arapçasözler #العربي</t>
  </si>
  <si>
    <t>es_er_34</t>
  </si>
  <si>
    <t>İsmail Ede</t>
  </si>
  <si>
    <t>Gerilir zorlu bir yay, oku fırlatmak için #TurkishArmy 🇹🇷</t>
  </si>
  <si>
    <t>Konu @fenerbahce ise gerisi teferruattır.</t>
  </si>
  <si>
    <t>Türk her zaman BEKLENEN'dir #TurkishArmy</t>
  </si>
  <si>
    <t>SEYDA</t>
  </si>
  <si>
    <t>Mazlumun umudu olabilmek bu milletin fıtratında var! #TurkishArmy</t>
  </si>
  <si>
    <t>https://pbs.twimg.com/media/EGXDQFjX0AA7a5w.jpg</t>
  </si>
  <si>
    <t>ALLAH BİZE YETER, O NE GÜZEL VEKİLDİR!!! #islamuğruna , rehberim KURAN’I KERİM ve SÜNNET, BEŞİKTAŞ</t>
  </si>
  <si>
    <t>Hüseyin Göker</t>
  </si>
  <si>
    <t>Teşekkürler İstanbul 'un Yiğit Çocukları... #istanbul #Turkey #TurkishArmy #bayrak #millet @Tumyad4</t>
  </si>
  <si>
    <t>pic.twitter.com/ceTwqZ3XVj</t>
  </si>
  <si>
    <t>☀️İYİ Parti Gençlik Kolları Adana İl Başkan Yard, ☀️Yeniçağ Gazetesi Adana İl Temsilcisi, ☀️Mustafa Kemal Atatürk'ün İzinde Meral Akşener'in Yanında Türk Genci.</t>
  </si>
  <si>
    <t>NeslihanDemirci53🇹🇷</t>
  </si>
  <si>
    <t>Bu ordudan kaçamazsınız oldu ki kaçtınız sadece yorgun ölürsünüz! #TurkishArmy</t>
  </si>
  <si>
    <t>Vahitkocc</t>
  </si>
  <si>
    <t>Geliyor gelmekte olan! #TurkishArmy</t>
  </si>
  <si>
    <t>https://pbs.twimg.com/media/EGbP0uRXUAUty8l.jpg</t>
  </si>
  <si>
    <t>Harun Rst 🇹🇷</t>
  </si>
  <si>
    <t>Hanımefendi komutanim diyeceksiniz! #TurkishArmy</t>
  </si>
  <si>
    <t>https://pbs.twimg.com/media/EGbP0WVXoAAw6BK.jpg</t>
  </si>
  <si>
    <t>İnsanlara akılları ölçüsünde söz söyleyiniz..</t>
  </si>
  <si>
    <t>Lejyoner</t>
  </si>
  <si>
    <t>Yolunuz acik olsun.Kalbimiz sizinle #TurkishArmy</t>
  </si>
  <si>
    <t>https://pbs.twimg.com/media/EGbPzleWkAEone-.jpg</t>
  </si>
  <si>
    <t>KayseriSporlu</t>
  </si>
  <si>
    <t>Allahuekber #TurkishArmy</t>
  </si>
  <si>
    <t>İnci &amp; İnci🕊</t>
  </si>
  <si>
    <t>#TurkishArmy Asil ordumuz Allah'a şükürler olsun.</t>
  </si>
  <si>
    <t>https://pbs.twimg.com/media/EGbPztgXUAE9RNL.jpg</t>
  </si>
  <si>
    <t>Ertan İNANÇ</t>
  </si>
  <si>
    <t>https://pbs.twimg.com/media/EGbPxP7XoAEJGbo.jpg</t>
  </si>
  <si>
    <t>Uludağ Üniversitesi Kamu Yönetimi(akpli değil AK Parti’liyim) 🇹🇷RTE🇹🇷</t>
  </si>
  <si>
    <t>Sicilyalı</t>
  </si>
  <si>
    <t>Yaşasın #TurkishArmy</t>
  </si>
  <si>
    <t>Asalet Azmaz, Bal Bozmaz...</t>
  </si>
  <si>
    <t>Gül'ün morali bozuk</t>
  </si>
  <si>
    <t>#TurkishArmy 🇹🇷🇹🇷🇹🇷🇹🇷🇹🇷🇹🇷🇹🇷🇹🇷🇹🇷🇹🇷🇹🇷🇹🇷🇹🇷🇹🇷🇹🇷🇹🇷 RT @1parcatuhaftik: Yol ver Türk'ün bayrağına! #TurkishArmy</t>
  </si>
  <si>
    <t>https://twitter.com/1parcatuhaftik/status/1181854869243797504</t>
  </si>
  <si>
    <t>https://pbs.twimg.com/media/EGbKvCyW4AAgBzf.jpg</t>
  </si>
  <si>
    <t>➀➃➆➁➁</t>
  </si>
  <si>
    <t>Bünyamin Celep</t>
  </si>
  <si>
    <t>Silahlarınızı bırakın teslim olun Türk Ordusu geliyor.. #TurkishArmy</t>
  </si>
  <si>
    <t>https://pbs.twimg.com/media/EGbPwzyXkAABnBo.jpg</t>
  </si>
  <si>
    <t>Ben yabancı kaynaklı hiçbir fikri benimsemeyen. Milli şuur ve gurura malik bir TÜRK'ÜM</t>
  </si>
  <si>
    <t>ser'efraz</t>
  </si>
  <si>
    <t>Savaş kaçınılmaz olduysa geri durmak mazlumların hakkına ihanettir Allah yardımcımız olsun #TurkishArmy</t>
  </si>
  <si>
    <t>YAŞASIN ŞERİAT-I GARRA-YI MUHAMMEDİYE • ehl-i sünnet • #5816SayılıKanunKaldırılsın ☪</t>
  </si>
  <si>
    <t>Tolga Akpınar</t>
  </si>
  <si>
    <t>Kılıcınız keskin gazanız mübarek olsun! 🇹🇷 #TurkishArmy</t>
  </si>
  <si>
    <t>İstanbul, Kırşehir</t>
  </si>
  <si>
    <t>Deva,Bazı Yalnızlıklar İyidir, Aşkullah,Aşkpare,Yâre,Pişman Tavuk,Yol Kalbinden Geçer kitaplarının yazarı. http://Instagram.com/tolgaakpinar 👈</t>
  </si>
  <si>
    <t>https://www.dr.com.tr/Yazar/tolga-akpinar/s=199359</t>
  </si>
  <si>
    <t>Mustafa Enver Sarı</t>
  </si>
  <si>
    <t>https://pbs.twimg.com/media/EGbPsE3W4AALIg_.jpg</t>
  </si>
  <si>
    <t>murat budak</t>
  </si>
  <si>
    <t>Çünkü hayat, birinin tüm kalbiyle senin yanında olduğunu bildiğinde güzelleşiyor. ✍🏻🖌⌛️🎨☕️🍼</t>
  </si>
  <si>
    <t>c e r e n</t>
  </si>
  <si>
    <t>Ne mutlu Türk’üm diyene!🇹🇷 Mustafa Kemal Atatürk</t>
  </si>
  <si>
    <t>http://instagram.com/cerennnr</t>
  </si>
  <si>
    <t>Ibrahim Y. 🇹🇷</t>
  </si>
  <si>
    <t>Bu arada, bu trumpun brunson meselesinde yaptığı ekonomik saldırıyı itiraf etmesi ni bu mecralarda unutturmayalım. Zira şerefsiz anti devletcilere ekonomi icin devlete cok yüklenmişti. Bedava iyi aile çocuğu kemalistler. Dünyada eşi benzeriniz yok #TurkishArmy</t>
  </si>
  <si>
    <t>• ya Devlet başa ya Kuzgun leşe</t>
  </si>
  <si>
    <t>Ramazan 🇹🇷</t>
  </si>
  <si>
    <t>Mezarları kazmaya başlayın geliyoruz. Dig the graves. we are coming. #TurkishArmy #turkmilletiordusununyaninda #PINARBARISİHAREKATI</t>
  </si>
  <si>
    <t>https://pbs.twimg.com/media/EGbPliUWsAAA6ho.jpg</t>
  </si>
  <si>
    <t>Satış koyulmayacak tek sevgili vatandır, bu yüzden hiçbir zaman vazgeçmedim.</t>
  </si>
  <si>
    <t>Tamer Cebeci</t>
  </si>
  <si>
    <t>"Sana dar gelmeyecek makberi kimler kazsın? Gömelim gel seni târîhe desem, sığmazsın." #TurkishArmy</t>
  </si>
  <si>
    <t>https://pbs.twimg.com/media/EGbPoLwXoAEiqT2.jpg</t>
  </si>
  <si>
    <t>Ankara-Cebeci</t>
  </si>
  <si>
    <t>Vatan Partisi Öncü Gençlik GYK Üyesi / Ankara Üniversitesi Halkla İlişkiler ve Tanıtım/ #ilef</t>
  </si>
  <si>
    <t>https://www.instagram.com/cebecitamer/</t>
  </si>
  <si>
    <t>#TurkishArmy ŞANLI TÜRK ORDUSU SINIRI GEÇTİ. DEĞMESİN DİYE MABEDİME NAMAHREM ELİ .YA ALLAH @RTErdogan @dbdevletbahceli @_yusufosmanli @tozanbey @AsiHurrem24 @realimage06 @vali1071 @58_Yigidom_58 @SudeMirayCan @ErolDoruk15 @n_ecdad @_Erturk_ERDOGAN @ertan080808</t>
  </si>
  <si>
    <t>https://pbs.twimg.com/media/EGbPonRW4AE9fSO.jpg</t>
  </si>
  <si>
    <t>Suküt...</t>
  </si>
  <si>
    <t>Gerilir zorlu bir Yay, Oku fırlatmak için! #TurkishArmy</t>
  </si>
  <si>
    <t>https://pbs.twimg.com/media/EGbPntqXYAEE3mv.jpg</t>
  </si>
  <si>
    <t xml:space="preserve">turkey istanbul </t>
  </si>
  <si>
    <t>ECOMÜSLÜMBABA 🇹🇷 💙 💛</t>
  </si>
  <si>
    <t>🇹🇷🇹🇷🇹🇷🇹🇷🇹🇷🇹🇷🇹🇷🇹🇷🇹🇷🇹🇷🇹🇷🇹🇷#TurkishArmy</t>
  </si>
  <si>
    <t>https://pbs.twimg.com/media/EGbPmHWWoAAE9wy.jpg</t>
  </si>
  <si>
    <t>Neyine güveneyim kalleş dünya da sürgün hayatı yaşıyor 🇹🇷💙💛. Emniyet i sağlamak güzel iş meyvesi PAKET.</t>
  </si>
  <si>
    <t>Mesahorlu🇹🇷</t>
  </si>
  <si>
    <t>Rabbim ayaklarına taş Bizimde gözümüze yaş Değdirmesin #TurkishArmy #TSK</t>
  </si>
  <si>
    <t>pic.twitter.com/22RvBK9X4s</t>
  </si>
  <si>
    <t>Asapos</t>
  </si>
  <si>
    <t>#TurkishArmy savaşmadan önce #Trump la tilbeyi bir görüştürsekmi #YildizTilbe ninde diyecekleri var. Kim bilir deli deliyi görünce sopasını saklar belki..</t>
  </si>
  <si>
    <t>https://pbs.twimg.com/media/EGbPkycXYAAJ7fF.jpg</t>
  </si>
  <si>
    <t>Bob Krause</t>
  </si>
  <si>
    <t>Just happened. #TurkishArmy crosses into #Kurdistan in #Syria. While our Senators sleep and our #POTUS betrays. #IaPolitics @SenJoniErnst @ChuckGrassley @realDonaldTrump #Kurds RT @UKDefJournal: BREAKING: Turkish troops have started crossing into Syria. | @geoallison for @UKDefJournal</t>
  </si>
  <si>
    <t>https://twitter.com/UKDefJournal/status/1181852801477021696
https://ukdefencejournal.org.uk/turkey-begins-invasion-of-northern-syria/</t>
  </si>
  <si>
    <t>Iowa</t>
  </si>
  <si>
    <t>Veteran Activist &amp; Observer. frmr Carter Admin, frmr Senate candidate for Iowa. Prez at Veterans National Recovery Center. RT is not agreement.</t>
  </si>
  <si>
    <t>http://www.vnrc.us</t>
  </si>
  <si>
    <t>AKSAÇLI</t>
  </si>
  <si>
    <t>@LindseyGrahamSC The only army the kids aren't afraid of ...#TurkishArmy</t>
  </si>
  <si>
    <t>İlahi Adalette Zaman Aşımı Yoktur.</t>
  </si>
  <si>
    <t>Eray ŞEKER</t>
  </si>
  <si>
    <t>Şanlı tarihin ile her zaman yanındayız #TurkishArmy</t>
  </si>
  <si>
    <t>I've lost control.</t>
  </si>
  <si>
    <t>Zümrüt</t>
  </si>
  <si>
    <t>Türk'ün ayak sesleri dosta güven, düşmana korku verir... #TurkishArmy</t>
  </si>
  <si>
    <t>https://pbs.twimg.com/media/EGbPio3XUAAJXzZ.jpg</t>
  </si>
  <si>
    <t xml:space="preserve">Reisin Yanında </t>
  </si>
  <si>
    <t>Sefer bizim ey dostlar, Zafer Allah'ındır.</t>
  </si>
  <si>
    <t>Nez💦</t>
  </si>
  <si>
    <t>Koç yiğitlik nam olmuş kırk yiğidin kırkına, Tanrı güç kuvvet versin Kürşadların ırkına! #TürkMilletiOrdusununYanında #TurkishArmy</t>
  </si>
  <si>
    <t>https://pbs.twimg.com/media/EGbPh4IW4AAcsAD.jpg</t>
  </si>
  <si>
    <t>🇹🇷#NeMutluTürkümDiyene🇹🇷</t>
  </si>
  <si>
    <t>emreGEN</t>
  </si>
  <si>
    <t>Unutmayın bu ordu 6 asır dünyanın içinden geçti. Onun için korkmalrı çok normal #TurkishArmy</t>
  </si>
  <si>
    <t>sıradan biri...</t>
  </si>
  <si>
    <t>Özgür Burak Şeker</t>
  </si>
  <si>
    <t>"Ordu, Türk ordusu... Bütün milletin göğsünü itimat, gurur duygularıyla kabartan şanlı ad..." #TurkishArmy</t>
  </si>
  <si>
    <t>https://pbs.twimg.com/media/EGbPg6lX0AA-Z9m.jpg</t>
  </si>
  <si>
    <t>Hanişe Cömert Dayı</t>
  </si>
  <si>
    <t>Kükremiş sel gibiyim bendini çiğner aşarım #TurkishArmy</t>
  </si>
  <si>
    <t>https://pbs.twimg.com/media/EGbPhBzWoAEzXsp.jpg</t>
  </si>
  <si>
    <t>Hukuk⚖️📚 Ak parti💡 Photographer 📸📽️🎬 Seyyah 🌍🏞️🏝️🚐 Evli 👨‍👩‍👦</t>
  </si>
  <si>
    <t>http://www.hanise16.com.tr</t>
  </si>
  <si>
    <t>Muhammed Yasir Oruç ⚡️</t>
  </si>
  <si>
    <t>HAİNİN SOYSUZUN DÖNEĞİN ALNINA VATAN YAZACAĞIZ. #TurkishArmy</t>
  </si>
  <si>
    <t>https://pbs.twimg.com/media/EGbPhIVXYAMhMMR.jpg</t>
  </si>
  <si>
    <t>إِنَّ الدِّينَ عِندَ اللّهِ الإِسْلاَمُ</t>
  </si>
  <si>
    <t>Aldmrl</t>
  </si>
  <si>
    <t>#TurkishArmy dünyanın gözü bu operasyonda ,öyle bir çökelim ki üstlerine ,TÜRK ün gücünü tüm dünya görsün</t>
  </si>
  <si>
    <t>Sefer bizden zafer Allahtan 💪💪💪💪 dedemizin bi çayını içip gelecez altarafı #TurkishArmy</t>
  </si>
  <si>
    <t>https://pbs.twimg.com/media/EGbPfwhWoAAzLsX.jpg</t>
  </si>
  <si>
    <t>Ertuğrul Barış Akgün</t>
  </si>
  <si>
    <t>https://pbs.twimg.com/media/EGbPfzEXYAAcjVF.jpg</t>
  </si>
  <si>
    <t>Devlet-i Aliyye</t>
  </si>
  <si>
    <t>Imperium Turcicum 🎯 PAX OTTOMANA 🎯</t>
  </si>
  <si>
    <t>mertkozlu</t>
  </si>
  <si>
    <t>Şereflilerin tavizi yoktur ! #TurkishArmy</t>
  </si>
  <si>
    <t>Young Philosophy Teacher</t>
  </si>
  <si>
    <t>Yavuz Ekiz</t>
  </si>
  <si>
    <t>Ordumuz gururumuz çünkü biz asker doğuyoruz. #TurkishArmy</t>
  </si>
  <si>
    <t>Antalya Kepez Belediyesi İş Güvenliği Uzmanı</t>
  </si>
  <si>
    <t>Çiğdemm</t>
  </si>
  <si>
    <t>Sen öldürüyorken de vuruyorken de güzelsin. #TurkishArmy</t>
  </si>
  <si>
    <t>https://pbs.twimg.com/media/EGbPdWEXoAAN5-c.jpg</t>
  </si>
  <si>
    <t xml:space="preserve">Sivas Aksaray </t>
  </si>
  <si>
    <t>Cumhuriyet Üniversitesi Eyüp sabrında..</t>
  </si>
  <si>
    <t>http://instegram.com/ciigdemcoskun</t>
  </si>
  <si>
    <t>GaripBirKomedya</t>
  </si>
  <si>
    <t>#TurkishArmy "Sizin, hayat ve şarabı sevdiğiniz kadar, ölümü seven bir orduyla geldim."(Halid Bin Velid)</t>
  </si>
  <si>
    <t>https://pbs.twimg.com/media/EGbPdtRXYAE_L1P.jpg</t>
  </si>
  <si>
    <t>Zalime Tevazu Zulümdür...</t>
  </si>
  <si>
    <t>zbam</t>
  </si>
  <si>
    <t>https://pbs.twimg.com/media/EGbPdxjXUAAL6ee.jpg</t>
  </si>
  <si>
    <t>🖕🏼</t>
  </si>
  <si>
    <t>Mehmet Ali Güldaş</t>
  </si>
  <si>
    <t>Askerimiz sınırdan içeri girdi ve ilk cepler oluşturuluyor.. Haydi Bismillah.. #TurkishArmy</t>
  </si>
  <si>
    <t>Gül Dalında Bulunsun İsterdim Parmak İzim, Bağışlayın Beni!! Fırtınanın Canımızda Gözü Var..</t>
  </si>
  <si>
    <t>oguzzhan.tarhan</t>
  </si>
  <si>
    <t>Bekle geliyoruz #TurkishArmy</t>
  </si>
  <si>
    <t>https://pbs.twimg.com/media/EGbPdIxXUAIVN-H.jpg</t>
  </si>
  <si>
    <t>İaü/eem</t>
  </si>
  <si>
    <t>https://pbs.twimg.com/media/EGbPcRUXUAAJBnT.jpg</t>
  </si>
  <si>
    <t>yıkıklar şehrine hoşgeldiniz</t>
  </si>
  <si>
    <t>tolga kara</t>
  </si>
  <si>
    <t>Vur şanlı ordu #TurkishArmy</t>
  </si>
  <si>
    <t>Hakan Sofya</t>
  </si>
  <si>
    <t>#Akp and #Ergenekon say %80 of #TurkishArmy is terrorist, but when it comes to operation they say "good luck #TurkishArmy" %80i terörist diyorlar ama, konu operasyona gelince başarılar #asker! #Syria #deprem #Turkey #carsamba</t>
  </si>
  <si>
    <t>https://pbs.twimg.com/media/EGbPWYdWoAAQMX6.jpg</t>
  </si>
  <si>
    <t>Earth</t>
  </si>
  <si>
    <t>Dindarlığını tanrına göster, bana insanlığın lazım..</t>
  </si>
  <si>
    <t>Batu Şanlı</t>
  </si>
  <si>
    <t>#TurkishArmy #turkmilletiordusununyaninda 🇹🇷</t>
  </si>
  <si>
    <t>pic.twitter.com/evIYGHGF64</t>
  </si>
  <si>
    <t>Yenidevir Gazetesi</t>
  </si>
  <si>
    <t>Temel Karamollaoğlu: Amerika’nın başında terbiye edilmemiş bir aygır bulunuyor! #TurkishArmy #Trump #Suriye</t>
  </si>
  <si>
    <t>pic.twitter.com/rYNf8HzISx</t>
  </si>
  <si>
    <t>https://www.yenidevir.com.tr</t>
  </si>
  <si>
    <t>Eeeee başlayalım o zaman #TurkishArmy</t>
  </si>
  <si>
    <t>zehra</t>
  </si>
  <si>
    <t>Biz Ordusu olan bir Millet değil, Milleti Ordu olan bir Orduyuz! #TurkishArmy</t>
  </si>
  <si>
    <t>havadis</t>
  </si>
  <si>
    <t>#TurkishArmy Karşı çıkanlar ABD AB pkk pyd sdg israil CHP hdp ırak Suriye İran Arap ligi ebesi anası dıdısı dıdıs... Yanımızda olanlar Allah var gam yok</t>
  </si>
  <si>
    <t>3xL</t>
  </si>
  <si>
    <t>Tarafımız belli olsun 🇹🇷 #TurkishArmy</t>
  </si>
  <si>
    <t>https://pbs.twimg.com/media/EGbPYQTWwAMUmvh.jpg</t>
  </si>
  <si>
    <t>No Land</t>
  </si>
  <si>
    <t>Ben baharat yolundaki şaman dedenin ay tutkunu torunu... Beni bitkiler ve efsaneler korur.</t>
  </si>
  <si>
    <t>Semih Can TEKELİ</t>
  </si>
  <si>
    <t>Karahan ASLAN</t>
  </si>
  <si>
    <t>Sayılmayız parmak ile, tükenmeyiz kırmak ile, biz Türk ordusu bir ölür bin diriliriz.... #TurkishArmy</t>
  </si>
  <si>
    <t>Beğdili Boyu... Partilerinizin canı cehenneme... Tek Vatan Vardır O Vatan Türkiye'dir gerisi teferruattır...</t>
  </si>
  <si>
    <t>Oğuz Kağan'ın, Metehan'ın, Alparslan'ın, Fatih'in ve Kemal Atatürk'ün torunları sizi kendi kanınızda boğmaya geliyor. Hazırlansın tabutluklar, yine girip çıkacağız! #TurkishArmy</t>
  </si>
  <si>
    <t>pic.twitter.com/Eivb2xy7uO</t>
  </si>
  <si>
    <t>altta kalanın canı çıksın</t>
  </si>
  <si>
    <t>https://pbs.twimg.com/media/EGbPV_lX0AAw35P.jpg</t>
  </si>
  <si>
    <t>Cappadocia</t>
  </si>
  <si>
    <t>Geberiyorum gönlünüz olsun bihabersiniz haberiniz olsun.</t>
  </si>
  <si>
    <t>oha çok iyi la !</t>
  </si>
  <si>
    <t>Fatih Tekke haluk levent #EmineBulut #KendineGelPezeberk #TurkishArmy #yamanlarlisesi</t>
  </si>
  <si>
    <t>pic.twitter.com/bFwPrmT4Ln</t>
  </si>
  <si>
    <t>👆eğlenmeyi severlerin sayfası 📽📷</t>
  </si>
  <si>
    <t>http://www.instagram.com/ohaacokiyilaa</t>
  </si>
  <si>
    <t>Bekir Sakarya</t>
  </si>
  <si>
    <t>Mekanın sahipleri geliyor bekleyin🇹🇷🇹🇷#TurkishArmy</t>
  </si>
  <si>
    <t>https://pbs.twimg.com/media/EGbPU9qWoAEHUMd.jpg</t>
  </si>
  <si>
    <t>GAÜ</t>
  </si>
  <si>
    <t>https://www.instagram.com/bekrskrya/</t>
  </si>
  <si>
    <t>Karahanbey</t>
  </si>
  <si>
    <t>Çocuklar bile biliyor, Mehmetçik’in olduğunu her yerde huzur ve güven olur... 🇹🇷ALLAH yar💔#TurkishArmy</t>
  </si>
  <si>
    <t>pic.twitter.com/J3FrD2x1ae</t>
  </si>
  <si>
    <t>🇹🇷 🐺 𐱅𐰼𐰇𐰰 🐺 🇹🇷</t>
  </si>
  <si>
    <t>Tv kanallarına göre Harekat başlamış.. Sefer Bizim Zafer Allah'ındır..🇹🇷🇹🇷 #TurkishArmy #Çarşamba #EmineBulut #YAMANLARLisesi #NeredeKalmıştık</t>
  </si>
  <si>
    <t>https://pbs.twimg.com/media/EGbPUPUXUAAx4fh.jpg</t>
  </si>
  <si>
    <t>TÜRK - JGK - Şırnak - Kışlada Uzman Erbaş, Arazide Uzman Çavuş - Elbet bir gün..</t>
  </si>
  <si>
    <t>Kaptan-ı Derya</t>
  </si>
  <si>
    <t>Allah’ım ordumuzu herdaim muzaffer eyle. #TurkishArmy</t>
  </si>
  <si>
    <t>🇹🇷 Çam da BİZİM kozalak da ..🇹🇷Kim olduğumuzun ve ne iş yaptığımızın önemi yok. Önemli olan bu Al Bayrağın göğe yükselmesi için verdiğimiz mücadele !</t>
  </si>
  <si>
    <t>Adil A Yigiter</t>
  </si>
  <si>
    <t>Peace at home, peace in the world #TurkishArmy</t>
  </si>
  <si>
    <t>https://pbs.twimg.com/media/EGbPTR1WoAE5pmB.jpg</t>
  </si>
  <si>
    <t>Emre Çakmak</t>
  </si>
  <si>
    <t>#TurkishArmy RT @ravenn444: Yüce Rabbim...! Türk Ordusunu Türk Askerini koru #TurkishArmy</t>
  </si>
  <si>
    <t>العاصمه, دولة الكويت</t>
  </si>
  <si>
    <t>The key of the world is in the kitchen 🔪 🍳 🥄 🍽 🎣 🌿 🍕 🥧 🍝 🥩 🐠 🥕 🍅 🥔 🐙🦀🐓🐟🌾🥦🥒🌶️🍔🌮🍱🥗🍩🥂🍻🥢🍷🛵🛵🛵</t>
  </si>
  <si>
    <t>evp1982</t>
  </si>
  <si>
    <t>#TurkishArmy bir asker abisi olarak Tüm kalbim sizle,Size 16yıl önce 20nci Zırhlı Tugaydan askerken çektirdiğim fotografı moral icin gönderiyorum Abiniz yaşlandı bayrak nöbeti sizde Haydi Aslanlarım gidin temizleyin sınırlarımızı Alçaklardan. Muzaffer olarak kayıpsız dönün</t>
  </si>
  <si>
    <t>https://pbs.twimg.com/media/EGbPRUxWwAAxZ9Z.jpg</t>
  </si>
  <si>
    <t>#İstanbuloldCity/ #BilgeÖnderAtatürk/ #Galatasaray / #takipedeniEderimYobazlarHariç/ #KadınTakipcilerimDmyleRahtsızlıkvermiyorum/ #TertemizSayfamaHoşgeldiniz</t>
  </si>
  <si>
    <t>WoLKY 🌋</t>
  </si>
  <si>
    <t>Türk Ordusu #TurkishArmy çeşitli bölgelerden suriyeye giriş yapmaya başlamış. Tam da 11 yıl önce Aktütün’e saldırılıp askerlerimizin şehit edildiği günde.</t>
  </si>
  <si>
    <t>https://pbs.twimg.com/media/EGbPRD_X0AEjygS.jpg</t>
  </si>
  <si>
    <t>http://Instagram.com/wollky52</t>
  </si>
  <si>
    <t>Müzikolog, Gitarist, Müzik Öğretmeni, Amatör Fotoğrafçı |ORDU|</t>
  </si>
  <si>
    <t>https://m.youtube.com/wolkytv</t>
  </si>
  <si>
    <t>https://pbs.twimg.com/media/EGbPOYCX0AIZE42.jpg</t>
  </si>
  <si>
    <t>http://instagram.com/burakkazaanc</t>
  </si>
  <si>
    <t>SalGitsin</t>
  </si>
  <si>
    <t>Allah Ordumuza Güç Kuvvet Versin. Ne mutlu Türk'üm diyene #TurkishArmy</t>
  </si>
  <si>
    <t>Mehmet Önder</t>
  </si>
  <si>
    <t>https://pbs.twimg.com/media/EGbPN6FXkAEEnBZ.jpg</t>
  </si>
  <si>
    <t>Bir rüya, bütün gerçeklere değer!</t>
  </si>
  <si>
    <t>Emre Sülün</t>
  </si>
  <si>
    <t>https://pbs.twimg.com/media/EGbPMJXXYAAvrBB.jpg</t>
  </si>
  <si>
    <t>Malatyalı Evli Emir Talha’nın babası..</t>
  </si>
  <si>
    <t>https://suluntekstil.com/</t>
  </si>
  <si>
    <t>İrfan Dolaş</t>
  </si>
  <si>
    <t>https://pbs.twimg.com/media/EGbPKzzWsAAmUGz.jpg</t>
  </si>
  <si>
    <t>YclSt^^</t>
  </si>
  <si>
    <t>🇹🇷🇹🇷💙💛</t>
  </si>
  <si>
    <t>Siyaset Cafe</t>
  </si>
  <si>
    <t>SON DAKİKA... Fırat'ın doğusuna harekat başladı!  @SiyasetCafe_com aracılığıyla #TurkishArmy</t>
  </si>
  <si>
    <t>https://www.siyasetcafe.com/firatin-dogusuna-harekat-basladi-56603h.htm</t>
  </si>
  <si>
    <t>Siyaset Cafe resmi Twitter hesabıdır</t>
  </si>
  <si>
    <t>https://www.siyasetcafe.com/</t>
  </si>
  <si>
    <t>İlkay</t>
  </si>
  <si>
    <t>Sana benim gözümle bakmayanın Mezarını kazacağım #TurkishArmy</t>
  </si>
  <si>
    <t>https://pbs.twimg.com/media/EGbPMBQWwAA4dGQ.jpg</t>
  </si>
  <si>
    <t>Bay Baykoz</t>
  </si>
  <si>
    <t>https://pbs.twimg.com/media/EGbPMNUWoAEjsue.jpg</t>
  </si>
  <si>
    <t>Milliyetçi/ Muhafazakar</t>
  </si>
  <si>
    <t>DarienEndymionShields</t>
  </si>
  <si>
    <t>We are not a nation's with an army. We are an army with nation. M.Kemal #تركيا #TurkishArmy #OperationPeaceSpring #KurdsSideWithTurkey</t>
  </si>
  <si>
    <t>Programmer 👨‍💻/ Philosopher 🤷🏻‍♂️ / Scientist 👨🏻‍🔬 / Artist 👨🏻‍🎨 / Muslim 👳🏻#🇹🇷 まもる(اود)𐰴𐰀𐰍𐰀𐰣</t>
  </si>
  <si>
    <t>𝕋𝕙𝕖 𝕋𝕌ℝ𝕂</t>
  </si>
  <si>
    <t>Bizi bulmak için çok akıllı olmalısınız....Bizi yakalamak için çok hızlı olmalısınız....Bizi yenmek için şaka yapıyor olmalısınız🇹🇷🇹🇷 #TurkishArmy</t>
  </si>
  <si>
    <t xml:space="preserve">Thomastown </t>
  </si>
  <si>
    <t>Rabbim-Ailem-Vatanım🇹🇷-Atatürk-Handyman- Beşiktaş🏴🏳️Huzur-🦅🐺Bir gün derim bir gün.-.-.-.-Tek Yol TURAN</t>
  </si>
  <si>
    <t>MUSTAFA EKİN</t>
  </si>
  <si>
    <t>Evet O Gün Bugünmüş! #TurkishArmy RT @MustafaEkin: ALLAH’ım Safer Ayını Ordumuza ZAFER Eyle! Belki Bugün dür Oğun! Savaş Sadece Cephe de Degil Dış Politika da Ekonomi de İç politika da Allah ım Devletimizin Milletimizin Dirliğini Birliğini Muhafaza Eyle Bozmak İSTEYENLERE Fırsat Verme.. Planlarını Boşa Çıkar ALLAHım..! #çarşamba</t>
  </si>
  <si>
    <t>https://twitter.com/mustafaekin/status/1181800046993518594</t>
  </si>
  <si>
    <t>Ankara (Niğde/Bor) Ankara/İst</t>
  </si>
  <si>
    <t>“Yarabbi Seni kendime vekil yapıyor Azametin karşısında yüzümü yere sürüyor ve senin uğrunda savaşıyorum. Ey Allahım niyetim halistir bana yardım et.(Alparslan)</t>
  </si>
  <si>
    <t>http://www.edebiyatdefteri.com/index.asp?istek=sair_siirleri&amp;sair=38039</t>
  </si>
  <si>
    <t>Tony Montana 🦁🤴🏽</t>
  </si>
  <si>
    <t>#TurkishArmy dünyadaki en merhametli, tek amacı barış ve huzuru sağlamak olan ordudur. Petrol için değil, halkın mutluluğu için Suriyedeyiz!</t>
  </si>
  <si>
    <t>https://pbs.twimg.com/media/EGbPIFaXkAANVR9.jpg</t>
  </si>
  <si>
    <t>wf</t>
  </si>
  <si>
    <t>Cuma GÜZEL</t>
  </si>
  <si>
    <t>Düğüne gidiyoruz diyen yiğit ALLAH ayağınıza taş degdirmesin. @kockar2626  #TurkishArmyRT @kockar2626: Düğüne gidiyoruz...! #TürkMilletiOrdusununYanında</t>
  </si>
  <si>
    <t>https://twitter.com/kockar2626/status/1181330042703491074?s=19</t>
  </si>
  <si>
    <t>https://pbs.twimg.com/media/EGTtaCxWkAEmCz6.jpg</t>
  </si>
  <si>
    <t>İsminizin önünde bir ünvan olması değil önemli olan, adınız geçerken iyi insan dedirtin yeter... Kars 🇹🇷</t>
  </si>
  <si>
    <t>BAHRİ ÖZUYLASI</t>
  </si>
  <si>
    <t>#TurkishArmy huzur ve mutluluk 🇹🇷</t>
  </si>
  <si>
    <t>https://pbs.twimg.com/media/EGbPG7-XYAEtNXn.jpg</t>
  </si>
  <si>
    <t>Matematik Öğretmeni Alfa Yaşam Koleji</t>
  </si>
  <si>
    <t>JönTürk</t>
  </si>
  <si>
    <t>Türk Hava Kuvvetleri'nde halen uçan tarikatçı (Menzil, İsmailağa) pilotlar ve bunlarla ilgili yaşanan rahatsızlık:  #TurkishArmy</t>
  </si>
  <si>
    <t>http://xn--jntrk-jua8b.net/hava-kuvvetlerinde-tarikatci-pilot-rahatsizligi-iste-halen-ucan-o-pilotlar</t>
  </si>
  <si>
    <t>https://pbs.twimg.com/media/EGbPGwSW4AA-p-8.jpg</t>
  </si>
  <si>
    <t>New York</t>
  </si>
  <si>
    <t>Black Swan, Devil's Advocate... (JONTURK is a scoop, mind blowing news blog)</t>
  </si>
  <si>
    <t>http://xn--jntrk-jua8b.net</t>
  </si>
  <si>
    <t>Jade.,✈️</t>
  </si>
  <si>
    <t>Memedime zarar gelmesin , Canları sağ olsun 🙏 Analar ,gelinler ağlamasın , Çocuklar yetim kalmasın , #TurkishArmy</t>
  </si>
  <si>
    <t>Cumhuriyet düşüncesi hür, anlayışı hür, vicdanı hür nesiller ister. M.K.ATATÜRK</t>
  </si>
  <si>
    <t>https://pbs.twimg.com/media/EGbPFeaXYAAmOnN.jpg</t>
  </si>
  <si>
    <t>Bugun dünyanın altın kalpli insanlara ihtiyacı var.Önce düşün,sonra yargıla.İyi niyetli ol.Ama enayi olma</t>
  </si>
  <si>
    <t>Kenaaann💛❤</t>
  </si>
  <si>
    <t>Dertli gönüllere kramp işte benim danılt tramp. #TurkishArmy</t>
  </si>
  <si>
    <t>https://pbs.twimg.com/media/EGbPFoAXYAUnQIq.jpg</t>
  </si>
  <si>
    <t>az okur yazar ...</t>
  </si>
  <si>
    <t>Herodotos</t>
  </si>
  <si>
    <t>Alişan'ın Suriye operasyonu konusundaki çıkışından sonra Nihat Doğan'ın sessiz kalması... Ülkecek tedirginiz...#TurkishArmy</t>
  </si>
  <si>
    <t>Kadir TOPUZ</t>
  </si>
  <si>
    <t>https://pbs.twimg.com/media/EGbPFEcXYAAcoUH.jpg</t>
  </si>
  <si>
    <t>Kayseri/Amasya</t>
  </si>
  <si>
    <t>Amasya Uni-EEM</t>
  </si>
  <si>
    <t>ted mosby affect</t>
  </si>
  <si>
    <t>#TurkishArmy Kim ki hainlik yapıyor, kim ki bu vatana ihanet ediyor, bedelini ödeyecek.</t>
  </si>
  <si>
    <t>https://youtu.be/PxzsffCot0U</t>
  </si>
  <si>
    <t>reşadiye numune mektebi'18 KOÜ Elektronik ve Haberleşme Mühendisliği</t>
  </si>
  <si>
    <t>E.K</t>
  </si>
  <si>
    <t>Sınır geçildi düğüne hoşgeldiniz! #TurkishArmy #BarisPinari</t>
  </si>
  <si>
    <t>https://pbs.twimg.com/media/EGbPD28WwAAsvnQ.jpg</t>
  </si>
  <si>
    <t>İroni</t>
  </si>
  <si>
    <t>http://instagram.com/ka.emre</t>
  </si>
  <si>
    <t>Hasan Karakoç</t>
  </si>
  <si>
    <t>Korkma mazlum; Afganistan'ı Kıbrıs'ı Kosova'yı hatırla Vefalı Türk geliyor Titre zalim; Kandil'i Afrin'i El-Bab'ı hatırla Demir yumruklu Türk geliyor #TurkishArmy #BarışPınarıHarekatı</t>
  </si>
  <si>
    <t>https://pbs.twimg.com/media/EGbPC8tXkAAaIUT.jpg</t>
  </si>
  <si>
    <t>İstanbul-Konya/Ereğli</t>
  </si>
  <si>
    <t>Öğrenim Görevlisi</t>
  </si>
  <si>
    <t>BURCUU</t>
  </si>
  <si>
    <t>#TurkishArmy #şanlıTürkordusu geliyor !!</t>
  </si>
  <si>
    <t>pic.twitter.com/JCrtD0eRLL</t>
  </si>
  <si>
    <t>mesleğine aşık ve İstanbul sevdalısı bir öğretmen 🦋</t>
  </si>
  <si>
    <t>Enes🌘</t>
  </si>
  <si>
    <t>Domuz avı başlıyor 🇹🇷🇹🇷 #TurkishArmy #BarisPinariHarekati</t>
  </si>
  <si>
    <t>https://pbs.twimg.com/media/EGbPCCAWoAASIG_.jpg</t>
  </si>
  <si>
    <t>🇹🇷 Paten/serbest dalış</t>
  </si>
  <si>
    <t>http://www.instagram.com/mr.enees</t>
  </si>
  <si>
    <t>DİDİ Digomi</t>
  </si>
  <si>
    <t>Gözler ki birer parçasıdır sende ilahın Gözler ki senin en katı zulmün ve silahın Vur şanlı silahınla gönül mülkü düzelsin Sen vururken de öldürürken de güzelsin....... #TurkishArmy</t>
  </si>
  <si>
    <t>Bornova, İzmir</t>
  </si>
  <si>
    <t>Evi Nepal’de kalmış Slovakyalı salyangozdur ruhum</t>
  </si>
  <si>
    <t>https://instagram.com/gezeennkisii?igshid=ykdmmnv61pro</t>
  </si>
  <si>
    <t>yeşim orhan</t>
  </si>
  <si>
    <t>Tanrı Türk ordusunu korusun. #TurkishArmy</t>
  </si>
  <si>
    <t>istanbul - #siyaset #bilim #kültür #kamu #yönetim #spor #haber</t>
  </si>
  <si>
    <t>Kara Kartal</t>
  </si>
  <si>
    <t>Allah gücünüze güç katsın, yolunuz açık olsun #TurkishArmy</t>
  </si>
  <si>
    <t>Al bayrağın gölgesi altında. #TurkishArmy</t>
  </si>
  <si>
    <t>https://pbs.twimg.com/media/EGbO-w6WsAAX2Xw.jpg</t>
  </si>
  <si>
    <t>Kübra Çakıroğlu Büyük</t>
  </si>
  <si>
    <t>Bakış açınızı değiştirmeye geliyoruz. Bir de tersten görün bakayım nasıl görünüyor. #TurkishArmy</t>
  </si>
  <si>
    <t>İstanbul, Turkey</t>
  </si>
  <si>
    <t>alp bilici</t>
  </si>
  <si>
    <t>Mr. Zhe Zhu 🌏</t>
  </si>
  <si>
    <t>#TurkishArmy 😍👏</t>
  </si>
  <si>
    <t>Koç University 🎓 '17. Entrepreneur, journalist, author, curious and excited man against the world! Fenerbahce 🎸📰📊🎥✈</t>
  </si>
  <si>
    <t>hemresamiloglu</t>
  </si>
  <si>
    <t>Allah sizleri korusun büyük Türk ordusunun neferleri #TurkishArmy</t>
  </si>
  <si>
    <t>ÇALIKOĞLU 🇹🇷</t>
  </si>
  <si>
    <t>#TurkishArmy 🇹🇷🇹🇷 Yavrum burası TÜRKİYE</t>
  </si>
  <si>
    <t>#CTE #Karadenizli http://Vsco.co/burakcalikoglu /Eccedentesiast</t>
  </si>
  <si>
    <t>http://instagram.com/burak_calikoglu</t>
  </si>
  <si>
    <t>#TurkishArmy söz konusu vatansa gerisi teferruattır #vatansağolsun</t>
  </si>
  <si>
    <t>oktay uysal</t>
  </si>
  <si>
    <t>Dikkat kesilin bu sese... Bu gelen Türk ordusudur! #turkmilletiordusununyaninda #TurkishArmy</t>
  </si>
  <si>
    <t>https://pbs.twimg.com/media/EGbO7HxXYAA7AOz.jpg</t>
  </si>
  <si>
    <t>Golden Brown</t>
  </si>
  <si>
    <t>Bugün siyasi farklılıklarımızı bir tarafa bırakıp, birlik olmak günüdür. Tanrı ordumuzun yanında olsun... #TurkishArmy</t>
  </si>
  <si>
    <t>When i haven't any blue, i use red.</t>
  </si>
  <si>
    <t>Kurdflzf</t>
  </si>
  <si>
    <t>Devletler mezarlığı olan bu çoğrafya güçlü orduların bayrağı altında huzuru, selameti ve mutluluğu yakalamıştır. Oslanlı devleti buna en güzel örnektir. #TurkishArmy</t>
  </si>
  <si>
    <t>Basiretsiz cahil insanların faydasından çok zararı olur. Laflarımı kişilere değil, duvara söylüyorum. Kimse üzerine alınmasın. Ebu-la-şey</t>
  </si>
  <si>
    <t>A24.com.tr</t>
  </si>
  <si>
    <t>Son dakika! Hulusi Akar'dan askeri operasyon açıklaması #TurkishArmy</t>
  </si>
  <si>
    <t>https://www.a24.com.tr/hulusi-akardan-askeri-operasyon-aciklamasi-haberi-40160719h.html?h=50</t>
  </si>
  <si>
    <t>Güncel haber, video ve galerilerin adresi</t>
  </si>
  <si>
    <t>http://www.a24.com.tr/</t>
  </si>
  <si>
    <t>Şahbaz uzun</t>
  </si>
  <si>
    <t>Geliyoruz 😎#TurkishArmy</t>
  </si>
  <si>
    <t>SiNoP</t>
  </si>
  <si>
    <t>Murat Akdeniz</t>
  </si>
  <si>
    <t>https://pbs.twimg.com/media/EGbO4_0XUAA4KfJ.jpg</t>
  </si>
  <si>
    <t>özgürlük uzağa değil dilediğine uçabilmektir..</t>
  </si>
  <si>
    <t>Birol Serim</t>
  </si>
  <si>
    <t>Şerefliler taviz vermezler Şerefin tavizi yoktur.. Hüseyin Nihal Atsız #TurkishArmy</t>
  </si>
  <si>
    <t>Harry Potter ⚡</t>
  </si>
  <si>
    <t>Ugur kurtoglu</t>
  </si>
  <si>
    <t>https://pbs.twimg.com/media/EGbO3-EWwAYN3M1.jpg</t>
  </si>
  <si>
    <t>Ankara - Mustafa Kemal Atatürk</t>
  </si>
  <si>
    <t>Fatih Mehmet Kaplan</t>
  </si>
  <si>
    <t>نصر من الله و فتح قريب ... Rabbim ordumuzu koru, onları muzaffer eyle #TurkishArmy</t>
  </si>
  <si>
    <t>Türkiye/Konya</t>
  </si>
  <si>
    <t>SMMM Hayati KAPLAN Bürosunda Muhasebeci Hayat Yaşayınca Güzel..</t>
  </si>
  <si>
    <t>chamomile</t>
  </si>
  <si>
    <t>4 gündür şoyle geziyorum. İntikam intikam intikam alacagiz PKK dan YPG den intikam alacagiz 🇹🇷 #TurkishArmy</t>
  </si>
  <si>
    <t>şerif'in yeri</t>
  </si>
  <si>
    <t>Türk milleti ordusunun yanında Allah muzaffer ve muhafaza etsin #TurkishArmy</t>
  </si>
  <si>
    <t>Yolumuz Şeriat-ı Garra-yı Muhammediyedir ki biz bu yola baş koyduk ☪ ehl-i sünnet #5816SayılıKanunKaldırılsın</t>
  </si>
  <si>
    <t>Yaşar ŞAHİN 1071 / 1453</t>
  </si>
  <si>
    <t>Soran olursa Türk ler geldi dersiniz.Hoşğeldin diyene sahip çıkın koruyun kollayın.niye geldiniz diyen olursa kafasına sıkın...#TurkishArmy barış pınarı.</t>
  </si>
  <si>
    <t>https://pbs.twimg.com/media/EGbO2oiW4AAET6v.jpg</t>
  </si>
  <si>
    <t>TÜRKİYE/SAMSUN /ÇARŞAMBA</t>
  </si>
  <si>
    <t>tilki.mp4</t>
  </si>
  <si>
    <t>Türk Ordusu gittiği yerlere zulüm, ölüm, işkence ve kargaşa değil merhamet, şefkat, sevgi ve GERÇEK DEMOKRASİ getirmiştir. Yine gereğini yapacağınızdan asla şüphemiz yoktur Türk Gençliği daima yanınızda olacaktır. 🇹🇷✊ #BarisPinariHarekati #TurkishArmy</t>
  </si>
  <si>
    <t>https://pbs.twimg.com/media/EGbO0qMWwAAeR0b.jpg</t>
  </si>
  <si>
    <t>Türkiye Liseliler Birliği İl Sekreteri TGB🇹🇷</t>
  </si>
  <si>
    <t>http://talebe.org</t>
  </si>
  <si>
    <t>Fatma Nur Bay</t>
  </si>
  <si>
    <t>Dünyanın hiç bir ordusunda yüreği seninkinden daha temiz, daha sağlam bir askere rastgelinmemiştir. 🇹🇷 Mustafa Kemal Atatürk #TurkishArmy</t>
  </si>
  <si>
    <t>pic.twitter.com/2FAeWiVpSJ</t>
  </si>
  <si>
    <t>Bu ülke, tarihte Türk'tü bugün de Türk'tür ve sonsuza dek Türk olarak yaşayacaktır 🇹🇷 ❤Mustafa Kemal Atatürk Galatasaray ❤💛</t>
  </si>
  <si>
    <t>Jane</t>
  </si>
  <si>
    <t>درعمت احسبهم ارمي بانقتان بس يمه خرعوووني شنو فيييه #TurkishArmy</t>
  </si>
  <si>
    <t>Drama,movies and BTS</t>
  </si>
  <si>
    <t>Beyazborsacı</t>
  </si>
  <si>
    <t>“Ey Hamza yavaş yürü, gözünün gördüğü hiçbir şeyden korkmazsın sen lakin heybetini gizli tut. Yürüyüşün ölümü korkutuyor” #TurkishArmy #BarisPinariHarekati #StandWithTheKurds #carsamba</t>
  </si>
  <si>
    <t>https://pbs.twimg.com/media/EGbO0IGXUAEoMHn.jpg</t>
  </si>
  <si>
    <t>İttihat Haber</t>
  </si>
  <si>
    <t>Suriye Türkmenleri tarafından kurulan Sultan Murat Tümeni askerleri eğitimlerini tamamladı. Fırat kalkanı ve Zeytindalı harekâtlarında 1000'e yakın şehit veren Sultan Murat Tümeni, Barış Pınarı Harekatı'nda ön safta yer alacak. #TurkishArmy</t>
  </si>
  <si>
    <t>https://pbs.twimg.com/media/EGbOyQIWoAEihFA.jpg</t>
  </si>
  <si>
    <t>İstanbul Üniversitesi Ülkücüleri</t>
  </si>
  <si>
    <t>Hürriyet Müsavvat Uhuvvet!</t>
  </si>
  <si>
    <t>Mehmet Sever</t>
  </si>
  <si>
    <t>https://pbs.twimg.com/media/EGbOyNwXYAAv2bX.jpg</t>
  </si>
  <si>
    <t>Sevdiğiniz kadar sevilin🙂</t>
  </si>
  <si>
    <t>Tarık Aküzüm</t>
  </si>
  <si>
    <t>https://pbs.twimg.com/media/EGbOwMTW4AEzPt7.jpg</t>
  </si>
  <si>
    <t>Özlem Nur Yıldırım</t>
  </si>
  <si>
    <t>Ey koca ve yüce Türk! Devşirmeler seni devşirmeden, sen aklını başına devşir! Çoklar diye korkma, azız diye çekinme! Tonyukuk #TurkishArmy</t>
  </si>
  <si>
    <t>https://pbs.twimg.com/media/EGbOvswWoAAZLlf.jpg</t>
  </si>
  <si>
    <t>34/44 Malatya 💫</t>
  </si>
  <si>
    <t>BarışPınarıHarekatı</t>
  </si>
  <si>
    <t>Özel güvenlik bölgesi ilan edilen sınırlar var. Operasyon öncelikli olarak havadan başlar sonra topçular vurur daha sonra kara harekatı başlar. Burada operasyonu başlatanlar yarın operasyonu yönetmeyi çalışırlar... PRİM VERMEYİN KİMSEYE...! #BarisPinariHarekati #TurkishArmy</t>
  </si>
  <si>
    <t>Sosyal Medyanın Silâh Olarak Günden Bu yana,Yüce Türk Devletinin Bekâsı için 7/24 NÖBETTEYİZ...</t>
  </si>
  <si>
    <t>Lordfloki</t>
  </si>
  <si>
    <t>https://pbs.twimg.com/media/EGbOvBoWoAU4vAi.jpg</t>
  </si>
  <si>
    <t>Özgür Durmaz</t>
  </si>
  <si>
    <t>#TurkishArmy 50-60 yıldır ABD emperyalizmine karşı durmaya çalışan Solcuların yerini dini bütünler aldı. Ama asıl problem o dini bütünler, daha 10 yıl öncesine kadar "kahrolsun ABD" diyenleri vatan hainliği ile suçluyordu.</t>
  </si>
  <si>
    <t>Yaşa Mustafa Kemal Paşa yaşa!!!! Uçuşumuz tek yöndür...</t>
  </si>
  <si>
    <t>Rakunzel</t>
  </si>
  <si>
    <t>Visit Turkey. Before Turkey visits you. #TurkishArmy</t>
  </si>
  <si>
    <t>Yahya</t>
  </si>
  <si>
    <t>Kükremiş sel gibiyim, bendimi çiğner, aşarım. #TurkishArmy</t>
  </si>
  <si>
    <t>https://pbs.twimg.com/media/EGbOtcNXkAE6_Y2.jpg</t>
  </si>
  <si>
    <t>Gördes, Manisa</t>
  </si>
  <si>
    <t>⚬Grafiker / Graphic Designer</t>
  </si>
  <si>
    <t>https://www.instagram.com/halilyahyagrer</t>
  </si>
  <si>
    <t>mustafa</t>
  </si>
  <si>
    <t>Daima haziriz #TurkishArmy</t>
  </si>
  <si>
    <t>https://pbs.twimg.com/media/EGbOqvtWsAAhvc6.jpg</t>
  </si>
  <si>
    <t>favor is easy to do, being hard is fair...</t>
  </si>
  <si>
    <t>reis🇹🇷🇹🇷🇹🇷🇹🇷</t>
  </si>
  <si>
    <t>https://pbs.twimg.com/media/EGbOqjvXkAAVGC1.jpg</t>
  </si>
  <si>
    <t>ne mutlu türküm diyene🇹🇷🇹🇷🇹🇷🇹🇷🇹🇷🤘☝️</t>
  </si>
  <si>
    <t>Mekanın Sahibi #TurkishArmy</t>
  </si>
  <si>
    <t>kun fe yekun</t>
  </si>
  <si>
    <t>Duha</t>
  </si>
  <si>
    <t>Uğruna can verilmiş emanetlerin Vebali büyüktür... Can gibi korunmalı, canan gibi sarılmalı... #TurkishArmy</t>
  </si>
  <si>
    <t>https://pbs.twimg.com/media/EGbOo1lXYAAYy0G.jpg</t>
  </si>
  <si>
    <t>Mühür kimdeyse Süleyman O dur. @RTErdogan</t>
  </si>
  <si>
    <t>DARBOĞAZ TV</t>
  </si>
  <si>
    <t>#TurkishArmy Fırtınalar dursun yana,Yol ver Türk'ün bayrağına.. 🇹🇷 #turkmilletiordusununyaninda</t>
  </si>
  <si>
    <t>https://pbs.twimg.com/media/EGbOp4fWwAMDj5e.jpg</t>
  </si>
  <si>
    <t>takibe takip ABONE OLUN LÜTFEN http://youtube.com/c/DARBOĞAZTV 🇹🇷Mustafa🇹🇷Kemal🇹🇷Atatürk🇹🇷</t>
  </si>
  <si>
    <t>Dùş Peşime</t>
  </si>
  <si>
    <t>savaşa hayır diyen eşekseviciler bilsin ki ortada bir savaş yok, ortada savaşılan bir devlet de yok, sadece devlet hayali gören eşekler var ve onları bu ıslak rüyalarından uyandirmaya gelen kahraman türk askeri! bu konjonktürde savaşa hayır demek vatan hainliğidir #TurkishArmy</t>
  </si>
  <si>
    <t>Uganda</t>
  </si>
  <si>
    <t>Uganda da yerel esnaf.. Uganda kuvay-i milliye dernek başkanı .. Kendine muhalif, mevcut hiç bir siyasi görüşten hoşlanmayan..</t>
  </si>
  <si>
    <t>Türbanlı Atatürkçü</t>
  </si>
  <si>
    <t>Operasyon başladı mı? #BarisPinariHarekati #TurkishArmy</t>
  </si>
  <si>
    <t>Alıştırılmışın (dayatılanın) dışında, hümanist Türkçü, Atatürkçü 🇹🇷🇦🇿🇰🇿🇹🇲🇰🇬🇺🇿 12.05.1987🎂🍰🍷 hayvan dostu🐺🐱🐶 Yurtta Barış Dünyada Barış.</t>
  </si>
  <si>
    <t>arsinliakreap61</t>
  </si>
  <si>
    <t>pic.twitter.com/SEGx0I6x56</t>
  </si>
  <si>
    <t>Ali Tuna Bozkurt</t>
  </si>
  <si>
    <t>#TurkishArmy @realDonaldTrump ru reeady ?</t>
  </si>
  <si>
    <t>mydorukan 💫</t>
  </si>
  <si>
    <t>#TurkishArmy #TuerkMilletiOrdusununYanında #HerYerdeSen #Tuerksilahlıkuvvetleri dosta güven düşmana korku veren askerlerimiz yolunuz açık olsun ..🇹🇷🇹🇷🇹🇷🇹🇷</t>
  </si>
  <si>
    <t>https://pbs.twimg.com/media/EGbOmEVXYAArYvl.jpg</t>
  </si>
  <si>
    <t>Konya /Türkiye</t>
  </si>
  <si>
    <t>DORUKAN Hidrolik Makina AŞ</t>
  </si>
  <si>
    <t>http://www.dorukanvinc.com</t>
  </si>
  <si>
    <t>ahmetgülhalil</t>
  </si>
  <si>
    <t>Uyuyan Devi uyandırdılar. Üç kıtaya hüküm sürmüş, yer yüzüne adalet salmış ecdadın torunları geliyor. Türkler Geliyor. #TurkishArmy #BarisPinariHarekati</t>
  </si>
  <si>
    <t>https://pbs.twimg.com/media/EGbOl7-XYAAw7X8.jpg</t>
  </si>
  <si>
    <t>Eskiden Siyah Beyaz yaşamın iyi olduğunu düşünürdüm, baktım HERKES öyle yaşıyor bende yaşamıma renk kattım.</t>
  </si>
  <si>
    <t>VATAN SAĞ OLSUN 🇹🇷</t>
  </si>
  <si>
    <t>BİZİMLEYDİ... 🇹🇷🇹🇷🇹🇷🇹🇷🇹🇷☝️🤘🏼 #TurkishArmy #OperationPeaceSpring #BarisPinariHarekati #Syria</t>
  </si>
  <si>
    <t>pic.twitter.com/6IFrYo2XgS</t>
  </si>
  <si>
    <t>ALDIĞIMIZ NEFESE BİLE HÜKMEDEMEDİĞİMİZ DÜNYA’YAMI BOYUN EĞECEĞİZ? 🇹🇷VATAN SAĞ OLSUN🇹🇷</t>
  </si>
  <si>
    <t>Murat Kamil Yıldız</t>
  </si>
  <si>
    <t>We are not a nation with an army, we are an army with a nation.#TurkishArmy</t>
  </si>
  <si>
    <t>https://pbs.twimg.com/media/EGbOjbnWoAENn5V.jpg</t>
  </si>
  <si>
    <t>Tespitkopat</t>
  </si>
  <si>
    <t>Biraz geciktik sanki savaşacak kimse kaldı mı? #TurkishArmy</t>
  </si>
  <si>
    <t>Tespitbikopat</t>
  </si>
  <si>
    <t>Dağcı komando</t>
  </si>
  <si>
    <t>övülmüş milletin kahraman ordusu #TurkishArmy</t>
  </si>
  <si>
    <t>EVLADI OSMANLI</t>
  </si>
  <si>
    <t>Çağrı Batıgücü 🇹🇷</t>
  </si>
  <si>
    <t>Dalgalansın göklerde; millet sevinsin! Bayrak nâmus demektir, namussuzlar ne bilsin! 🇹🇷</t>
  </si>
  <si>
    <t>İmran Aleyna Canik</t>
  </si>
  <si>
    <t>https://pbs.twimg.com/media/EGbOi4NWkAAzA1t.jpg</t>
  </si>
  <si>
    <t>İstanbul Üniversitesi-Tarih/Adalet -Giresun -Galatasaray 💜</t>
  </si>
  <si>
    <t>https://instagram.com/imranaleyna</t>
  </si>
  <si>
    <t>Temizlik Nasıl Yapılır</t>
  </si>
  <si>
    <t>Henüz bağışıklık sistemleri gelişmemiş olan bebekler mikroplardan tozlardan oldukça kolay etkilenebilmektedirler. Bebek burnu nasıl temizlenir? :  #bebek #anne #EmineBulut #TurkishArmy #mutfak #dekarasyon #alışveriş</t>
  </si>
  <si>
    <t>https://temizliknasilyapilir.com/bebeklerin-burnu-nasil-temizlenir/</t>
  </si>
  <si>
    <t>https://pbs.twimg.com/media/EGbOfbXXUAAxk_5.jpg</t>
  </si>
  <si>
    <t>Temizlik yapmak artık daha kolay!</t>
  </si>
  <si>
    <t>http://temizliknasilyapilir.com</t>
  </si>
  <si>
    <t>Abdullah ŞENOL</t>
  </si>
  <si>
    <t>Sizin sahte film kahramanlarınıza benzemiyor değil mi? @realDonaldTrump #TurkishArmy</t>
  </si>
  <si>
    <t>https://pbs.twimg.com/media/EGbOh0rX0AAjROs.jpg</t>
  </si>
  <si>
    <t>Ben sadece O'yum. 1.90 küsür boyum</t>
  </si>
  <si>
    <t>instagram: zilkarfurkan</t>
  </si>
  <si>
    <t>Bildiğin Gökhan</t>
  </si>
  <si>
    <t>TÜRK ORDUSU yazmaya yüreği yetmeyenler #TurkishArmy demiş</t>
  </si>
  <si>
    <t>Kimsin nesin diye sorma Bildiğin sıradan bir Gökhan işte fındıkzaDE İSTanbul</t>
  </si>
  <si>
    <t>http://www.haberturkkan.com</t>
  </si>
  <si>
    <t>ME</t>
  </si>
  <si>
    <t>İngilizce bilen Rusça öğrenen eğitime aşık öğrenmeye aç ve öğretmeyi seven kişilik. 🧐 Birde her retweet onaylıyorum demek değildir!</t>
  </si>
  <si>
    <t>MuRaT HAN</t>
  </si>
  <si>
    <t>Operasyon başlamamış:(( Tamammm bozkurt yapsın herkes #TurkishArmy</t>
  </si>
  <si>
    <t>pic.twitter.com/o4tKKNnt2t</t>
  </si>
  <si>
    <t>#OBA BEYİ</t>
  </si>
  <si>
    <t>serefhan_ozcelik ⚡️</t>
  </si>
  <si>
    <t>SON DAKİKA: Yabancı Haber Ajansları: TÜRK ASKERİ sınırdan içeri girmeye başladı... Ayağınıza taş değmesin YİĞİTLER 🇹🇷🇹🇷🇹🇷 ALLAH yardımcınız olsun. #TurkishArmy</t>
  </si>
  <si>
    <t>https://pbs.twimg.com/media/EGbOgmJX0AAiOLq.jpg</t>
  </si>
  <si>
    <t>PAYİTAHT</t>
  </si>
  <si>
    <t>MİLLİYETÇİ, MUHAFAZAKAR, ANTİ FETÖ, ANTİ CHPKK 🇹🇷 LA GALİBE İLLALLAH ⚡️</t>
  </si>
  <si>
    <t>firat</t>
  </si>
  <si>
    <t>Yaylaları geçtik, karlı dağları aştık Siz salonda dans ederken bizler savaştık! #TurkishArmy Hüseyin Nihal ATSIZ</t>
  </si>
  <si>
    <t>navymannn</t>
  </si>
  <si>
    <t>#TurkishArmy Ne ülkemi istiyordunuz? Size ülke değil kabile devleti kurdurmayız. Bu gelen ordu bildiğin ordu değil.</t>
  </si>
  <si>
    <t>fotofiniş</t>
  </si>
  <si>
    <t>#TurkishArmy #TSK</t>
  </si>
  <si>
    <t>https://pbs.twimg.com/media/EGbOehyWwAEXM9l.jpg</t>
  </si>
  <si>
    <t>𐱅𐰇𐰼𐰜 🇹🇷</t>
  </si>
  <si>
    <t>Salih Furkan Günaydın</t>
  </si>
  <si>
    <t>Atıldı dağlardan zafer okları, Yürürdü ileri alpler Bismillah. #TurkishArmy</t>
  </si>
  <si>
    <t>AK Gençlik İzmir</t>
  </si>
  <si>
    <t>SoLoTürk61™</t>
  </si>
  <si>
    <t>#TurkishArmy Türk'ün Gücünü Göreceksiniz...</t>
  </si>
  <si>
    <t>https://pbs.twimg.com/media/EGbObkAWkAEpp2v.jpg</t>
  </si>
  <si>
    <t>🇹🇷~Trabzon'lu~🇹🇷 Vatan'ına💓Millet'ine Devlet'ine💙Bayrağına AŞK ile Bağlı 🐺{ 61 }🐺 Trabzon &amp; Ankara &amp; İstanbul</t>
  </si>
  <si>
    <t>Şeyma🇹🇷</t>
  </si>
  <si>
    <t>Türk beklenendir. •Bismillahirrahmanirrahim #TurkishArmy</t>
  </si>
  <si>
    <t>https://pbs.twimg.com/media/EGbObUtWkAAKDTN.jpg</t>
  </si>
  <si>
    <t>Aydın Karakuzu</t>
  </si>
  <si>
    <t>#TurkishArmy Türkün ve Kürdün kardeşliğini hiç kimse bozmadı ve de bozamiyacaktır.Bu topraklar her ne kadar Türkün ise okadar da Kürdün de topraklarıdır.Bilinçli hiçbir Türk, Kürt Türkiyenin bütünlüğünden vazgeçemez.Bu Ülke bizimdir bizim kalacaktır.@RTErdogan @kilicdarogluk</t>
  </si>
  <si>
    <t>Projelerimle İnsanların kaderini değiştirmek istiyorum.Dünyayı bu Türbinle Tertemiz ve Sağlıklı kılabiliriz.</t>
  </si>
  <si>
    <t>Saim CEYLAN</t>
  </si>
  <si>
    <t>Atatürk benzer çıkışları yapan Mussolini'ye ağzının payını efeler diyarı Edremit'ten verdi: “Bana yeniden çizmelerimi giydirmesinler!” #TurkishArmy</t>
  </si>
  <si>
    <t>Çocuk: Anne Lütfen Ölme‼️ Anne: Ölmek istemiyorum‼️</t>
  </si>
  <si>
    <t>https://twitter.com/search?f=tweets&amp;vertical=default&amp;q=%23BedelliAskerlik&amp;src=tyah</t>
  </si>
  <si>
    <t>𐰀𐰲𐰀:𐰚𐰢𐰞</t>
  </si>
  <si>
    <t>"Hoş geldin diyene sahip çıkın, Neden geldiniz diyenin kafasına sıkın" #TurkishArmy</t>
  </si>
  <si>
    <t>Beşiktaş🦅</t>
  </si>
  <si>
    <t>🇹🇷LİMON ÇİÇEKLERİ 🇹🇷</t>
  </si>
  <si>
    <t>Coookkk hele birde teröristler geberecek diye korkudan titreyen paçaları tutuşan sanatçı siyasetçi musvettelerini gördükçe daha çok eğleniyoruz 😎🇹🇷 #TurkishArmy RT @julidefzr: #TurkishArmy</t>
  </si>
  <si>
    <t>https://twitter.com/julidefzr/status/1181856484315017217</t>
  </si>
  <si>
    <t>https://pbs.twimg.com/media/EGbMNNEXUAAqye8.jpg</t>
  </si>
  <si>
    <t>Denildi mi bir yere Türk beldesi, Gözüm al 🇹🇷 arar, kulağım ezan sesi.</t>
  </si>
  <si>
    <t>Hasan Karakaş</t>
  </si>
  <si>
    <t>https://pbs.twimg.com/media/EGbOZvWX0AIGj_U.jpg</t>
  </si>
  <si>
    <t>Varto, Muş</t>
  </si>
  <si>
    <t>Dört ayak iyi, İki ayak kötü. #Kurdistan welatperest</t>
  </si>
  <si>
    <t>senanlamazsin</t>
  </si>
  <si>
    <t>ALLAH save them❤️❤️❤️ #TurkishArmy</t>
  </si>
  <si>
    <t>📸 Fotografci/Fotografin 📸</t>
  </si>
  <si>
    <t>Z.yazici</t>
  </si>
  <si>
    <t>#TurkishArmy RT @batuhangcr: “ Ben Atatürk’ü gördüm, mehmetçiğin gözlerinde... #TurkishArmy</t>
  </si>
  <si>
    <t>https://twitter.com/batuhangcr/status/1181836754770366464</t>
  </si>
  <si>
    <t>https://pbs.twimg.com/media/EGa6QzzXUAAyBQM.jpg</t>
  </si>
  <si>
    <t>MUSTAFA KEMAL ATATÜRK İZİNDE...</t>
  </si>
  <si>
    <t>fırat🇹🇷</t>
  </si>
  <si>
    <t>Kosova'da çocuklara hediye dağıtan Türk askeri #TurkishArmy</t>
  </si>
  <si>
    <t>https://pbs.twimg.com/media/EGbOXMPWkAAQLGU.jpg</t>
  </si>
  <si>
    <t>yurtta barış Dünya'da barış Malatya lı Amasya üniversitesi Elektrik</t>
  </si>
  <si>
    <t>Adem Oren</t>
  </si>
  <si>
    <t>Ey şimdi süzgün, rüzgârlarda dalgalı; Barışın güvercini, savaşın kartalı... Yüksek yerlerde açan çiçeğim; Senin altında doğdum Senin dibinde öleceğim. Tarihim, şerefim, şiirim, her şeyim; Yeryüzünde yer beğen Nereye dikilmek istersen Söyle, seni oraya dikeyim!.. #TurkishArmy</t>
  </si>
  <si>
    <t>https://pbs.twimg.com/media/EGbOW7pWsAAoXep.jpg</t>
  </si>
  <si>
    <t>İki şey mühimdir, birincisi okyanus gibi bol haysiyet, ikincisi Elif gibi dimdik şahsiyet..</t>
  </si>
  <si>
    <t>Murat ERSÖZ</t>
  </si>
  <si>
    <t>#TurkishArmy ALLAH ordumuzun yar ve yardımcısı olsun.</t>
  </si>
  <si>
    <t>https://pbs.twimg.com/media/EGbOW91XYAAW1sa.jpg</t>
  </si>
  <si>
    <t>Hayat Sürprizlerle Doludur.Kaybetmekten korkma; birşeyi kazanman için bazı şeyleri kaybetmelisin Ve unutma; Kaybettiğinde değil vazgeçtiğinde yenilirsin</t>
  </si>
  <si>
    <t>Ayşm 19⚡</t>
  </si>
  <si>
    <t>Ey şanlı ordu ey şanlı asker #TurkishArmy</t>
  </si>
  <si>
    <t>Hakan Karabacak</t>
  </si>
  <si>
    <t>#TurkishArmy Şu kopan fırtına Türk ordusudur Yâ Rabbi Senin uğrunda ölen ordu, budur yâ Rabbi Tâ ki yükselsin ezanlarla müeyyed nâmın Galib et; çünkü bu son ordusudur İslâm’ın</t>
  </si>
  <si>
    <t>https://pbs.twimg.com/media/EGbOWmFWsAAEcLe.jpg</t>
  </si>
  <si>
    <t>Trabzonlu İstanbul’da yaşıyor.</t>
  </si>
  <si>
    <t>Necla Derman</t>
  </si>
  <si>
    <t>Amin #TurkishArmy RT @musabickioglu: Batının beslemesi bir grubun etnik kimliği değil, kendisinden icra etmesi beklenen misyona dikkat edilmeli Bulunduğu bölgede kendisi gibi düşünmeyen soydaşını bile cezalandıranlar mı barışçı? A.B.D. Boşuna silah verir mi? Allah evlatlarımızı Muzaffer kılsın #pınarbarısharekatı</t>
  </si>
  <si>
    <t>https://twitter.com/musabickioglu/status/1181854493958381569</t>
  </si>
  <si>
    <t>cyln kılıç</t>
  </si>
  <si>
    <t>#TurkishArmy🇹🇷🇹🇷🇹🇷</t>
  </si>
  <si>
    <t>https://pbs.twimg.com/media/EGbOTYzXkAEZTZr.jpg</t>
  </si>
  <si>
    <t>Erzurum AÜ / sosyal hizmet</t>
  </si>
  <si>
    <t>Anıl BOZKURT</t>
  </si>
  <si>
    <t>pic.twitter.com/Z9G9cejO6x</t>
  </si>
  <si>
    <t>https://instagram.com/anlbozkurtt</t>
  </si>
  <si>
    <t>Şeyda Nasibli</t>
  </si>
  <si>
    <t>Savaşa kesinlikle hayır. Ama konu vatansa arkandayız #TurkishArmy</t>
  </si>
  <si>
    <t>gazeteci yazar</t>
  </si>
  <si>
    <t>max hunter1</t>
  </si>
  <si>
    <t>#TurkishArmy geldik geliyoruz hep burdayız !!!</t>
  </si>
  <si>
    <t>NEYLER AKLIM KALIR ÖYLECE .. # uzaktan bakması güzel</t>
  </si>
  <si>
    <t>Taha Alpsoy</t>
  </si>
  <si>
    <t>pic.twitter.com/aZii6BcXsl</t>
  </si>
  <si>
    <t>Sivas Cü</t>
  </si>
  <si>
    <t>DOĞAN 4️⃣4️⃣ 🇹🇷</t>
  </si>
  <si>
    <t>#SonDakika Operasyonlar genel olarak Cuma günü başlar. Ben resmi açıklamayı Cuma bekliyorum. Allah’ım yardım et. #TurkishArmy #OperationPeaceSpring #BarisPinariHarekati</t>
  </si>
  <si>
    <t>Ahmet  Öncel</t>
  </si>
  <si>
    <t>Yurda Ay yıldızının ışığı yeter. #TurkishArmy #BarisPinariHarekati #TelAbyad</t>
  </si>
  <si>
    <t>https://pbs.twimg.com/media/EGbORXCXkAA6CwQ.jpg</t>
  </si>
  <si>
    <t>http://www.instagram.com/ahmt_oncll</t>
  </si>
  <si>
    <t>#TurkishArmy Anlamadınız ? Anlatıcaz...</t>
  </si>
  <si>
    <t>https://pbs.twimg.com/media/EGbORNlWwAAcfag.jpg</t>
  </si>
  <si>
    <t>IstanbuL, Türkiye</t>
  </si>
  <si>
    <t>☪ ∂üşмαиıи üℓкєѕι νιяαи σℓα¢αк тüякιує вüуüуüρ тυяαи σℓα¢αк !</t>
  </si>
  <si>
    <t>Muhalif JK. 🖕🏼</t>
  </si>
  <si>
    <t>Biz ordusu olan bir millet değil, milleti olan bir orduyuz. 📌 #TurkishArmy</t>
  </si>
  <si>
    <t>https://pbs.twimg.com/media/EGbOPjXWsAU6aql.jpg</t>
  </si>
  <si>
    <t>Az öte’de oynayın sesiniz çok çıkıyo 🤨 ⚪️🦅⚫️</t>
  </si>
  <si>
    <t>FatihUslu</t>
  </si>
  <si>
    <t>Çırpınırdın Karadeniz Bakıp Türk'ün bayrağına. Fırtınalar dursun yana Yol ver Türk'ün bayrağına. #TurkishArmy</t>
  </si>
  <si>
    <t>https://pbs.twimg.com/media/EGbOOQ1WkAIfuiF.jpg</t>
  </si>
  <si>
    <t>http://twitterbegeni.com/?rf=FatihUSLU27</t>
  </si>
  <si>
    <t>la bebe</t>
  </si>
  <si>
    <t>#TurkishArmy Allah yar ve yardımcınız olsun.Ayagınıza taş değmesin</t>
  </si>
  <si>
    <t>slymn Tvşnğl</t>
  </si>
  <si>
    <t>YOLVER TÜRK'ÜN BAYRAGINA #TurkishArmy</t>
  </si>
  <si>
    <t>Kozan,kilis</t>
  </si>
  <si>
    <t>AVŞAROĞLU</t>
  </si>
  <si>
    <t>Bayramca</t>
  </si>
  <si>
    <t>#TurkishArmy for peace</t>
  </si>
  <si>
    <t>Siyasi değilim!!!! Komünistler Yallah Kuzey Kore'ye. PKK ve DHKP-C sempatizanlarının soyu kurusun. Veni, Vidi, Vici.</t>
  </si>
  <si>
    <t>stevo</t>
  </si>
  <si>
    <t>#SCOvRUSً 8DI ُ🔥#TurkishArmyً 8DI ُ🔥#Upd8ً 8DI ُ🔥#Çarşambaً 8DI ُ🔥#wednesdaythoughtsً 8DI ُ🔥</t>
  </si>
  <si>
    <t>https://ift.tt/2ICmd4e</t>
  </si>
  <si>
    <t>Angaralı</t>
  </si>
  <si>
    <t>Soran olursa TÜRKLER geldi diyin, Hoş geldin diyene sahip çıkın Niye geldiniz diyen olursa Kafasına sıkın. Orgeneral Zekai AKSAKALLI #TurkishArmy #BarisPinariHarekati #TürkMilletiOrdusununYanında</t>
  </si>
  <si>
    <t>pic.twitter.com/F7SrK0zQt3</t>
  </si>
  <si>
    <t>Ayaş, Türkiye</t>
  </si>
  <si>
    <t>💛💙💛 Saygı olsun bu çelik atlıların gök tuğuna. Tuğu kaldırmış olan, orduların Başbuğuna.</t>
  </si>
  <si>
    <t>http://www.gecekondu.org.tr</t>
  </si>
  <si>
    <t>muhammed nihat</t>
  </si>
  <si>
    <t>https://pbs.twimg.com/media/EGbOLHJWoAEBBFN.jpg</t>
  </si>
  <si>
    <t>TRABZONSPOR❤💙 (TOKAT) bize her yer trabzon İG:nihats_61</t>
  </si>
  <si>
    <t>synknt</t>
  </si>
  <si>
    <t>#TurkishArmy temizlik imandandır, haydi bakalım</t>
  </si>
  <si>
    <t>Turgut ARICI</t>
  </si>
  <si>
    <t>Rabbim yar yardımcınız olsun, ayağınıza taş değmesin Mehmedim can yiğidim #TurkishArmy</t>
  </si>
  <si>
    <t>Rize, Çayeli, Madenli</t>
  </si>
  <si>
    <t>Ozan Korkmaz</t>
  </si>
  <si>
    <t>Dağlara BOZKURT lâzım 🇹🇷🐺 #TurkishArmy #BarisPinariHarekati</t>
  </si>
  <si>
    <t>https://pbs.twimg.com/media/EGbOJW_W4AAr_gv.jpg</t>
  </si>
  <si>
    <t>Göklerde ÜLKÜ'm ne mutlu TÜRK' üm, Ne mutlu TÜRK'üm diyene, Kahpe düzenin yiğit çocukları yaşasın ÜLKÜ OCAKLARI, TURAN</t>
  </si>
  <si>
    <t>Berke Erdoğan</t>
  </si>
  <si>
    <t>Fırtınalar dursun yana #TurkishArmy RT @1parcatuhaftik: Yol ver Türk'ün bayrağına! #TurkishArmy</t>
  </si>
  <si>
    <t>Aühf http://instagram.com/berkeerdogan_</t>
  </si>
  <si>
    <t>Ey Şanlı Ordu Ey şanlı Asker #TurkishArmy</t>
  </si>
  <si>
    <t>Allah ım iyi insanlarla karşılaştırsın.</t>
  </si>
  <si>
    <t>Mithat Soysal</t>
  </si>
  <si>
    <t>İki ırkın kabarmalı asırlık kini! #TurkishArmy</t>
  </si>
  <si>
    <t>Sade vatandaş</t>
  </si>
  <si>
    <t>Enes Emirhan GÜVEN</t>
  </si>
  <si>
    <t>Türkiye Cumhuriyeti Devleti haklı davasını dünya kamuoyuna duyurmak zorunda. ABD ve Avrupa’nın yaptığı algı giderek gerçeklik kazanıyor. Ve doğru şu ki “Algı Gerçekliktir” #TurkishArmy</t>
  </si>
  <si>
    <t>1907 UNIFEB | İstanbul Siyasal</t>
  </si>
  <si>
    <t>Sevenmi</t>
  </si>
  <si>
    <t>Şu söz çok hoşuma gitti: " Ferasetli; karanlığı gören değil, karanlıkta görendir... " #TurkishArmy</t>
  </si>
  <si>
    <t>Sen gibi kendisini cenneti garantilemiş gören biriyim yani aynıyız</t>
  </si>
  <si>
    <t>By dermisim</t>
  </si>
  <si>
    <t>Survivor 2020 İçin Anlaşma Yapılan 7 İsim  #survivor2020 #survivor #KendineGelPezeberk Lugano Haluk Levent #TurkishArmy #EmineBulut #yamanlarlisesi Fatih Tekke #CheGuevara AKP'li Ünal #çarşamba #Uzmanıyım</t>
  </si>
  <si>
    <t>https://youtu.be/zfoBQdnZkn0</t>
  </si>
  <si>
    <t>https://pbs.twimg.com/media/EGbOGyAWkAAWy8O.jpg</t>
  </si>
  <si>
    <t>🤠</t>
  </si>
  <si>
    <t>https://www.youtube.com/dermisim</t>
  </si>
  <si>
    <t>animalize insan</t>
  </si>
  <si>
    <t>Dünyanın en eski en köklü en şanlı ordusu geliyor Allah bu Türk aslanlarının yardımcısı olsun Türk milleti sizinle #TurkishArmy</t>
  </si>
  <si>
    <t>no pain no gain</t>
  </si>
  <si>
    <t>türk</t>
  </si>
  <si>
    <t>#TurkishArmy TANRI TÜRK'Ü KORUSUN!</t>
  </si>
  <si>
    <t>https://pbs.twimg.com/media/EGbODedWkAYba85.jpg</t>
  </si>
  <si>
    <t>M.K.Atatürk'e, silah arkadaşlarına, devrimlerine, eserlerine saygı duymayan hiçkimseye saygı duymuyorum!</t>
  </si>
  <si>
    <t>GazetemBayrakli.com</t>
  </si>
  <si>
    <t>Eski Bakan AK Parti'den istifa etti  #KendineGelPezeberk #EmineBulut #TurkishArmy #çarşamba #tubayayardımedin #dünyapostagünü #belensay #2sayfa #spormansettrt</t>
  </si>
  <si>
    <t>http://www.gazetembayrakli.com/eski-bakan-ak-parti-den-istifa-etti/14648/</t>
  </si>
  <si>
    <t>https://pbs.twimg.com/media/EGbOFPwWkAAS5vJ.jpg</t>
  </si>
  <si>
    <t>http://www.gazetembayrakli.com</t>
  </si>
  <si>
    <t>Emrah Koca</t>
  </si>
  <si>
    <t>Poz verin çekiyoruz #TurkishArmy</t>
  </si>
  <si>
    <t>https://pbs.twimg.com/media/EGbOFImXoAA-HCt.jpg</t>
  </si>
  <si>
    <t>Yunus Can</t>
  </si>
  <si>
    <t>#TurkishArmy ABD amacına ulaştı Türkiye yi uyalayaral bir çıkmaza soktu ,ıraktan gelen mülteci akını ve geçmişten daha tehlikeli örgüt ve olaylara karşı karşıya,ta baştan bu durumu bilmezlermydi? Madem suriye oyunun bilmedniz neden o makamlrdsnz İşin bi gerçği daha...</t>
  </si>
  <si>
    <t>#tekgerçekhesaplar inst: @yunuscan_00 -face: yunus.56can.1988@hot. güzel adına ne varsa her şey öldürüldü..Belki de bu dünya başka bir gezegenin cehenemidir</t>
  </si>
  <si>
    <t>https://pbs.twimg.com/media/EGbOEIAWsAYRqSD.jpg</t>
  </si>
  <si>
    <t>Instagram: @_sametr60</t>
  </si>
  <si>
    <t>Yunus Beyhan</t>
  </si>
  <si>
    <t>Suriye sınırından geçişler başladı. Fırat kalkanı, zeytin dalı ve barış pınarı operasyonları ile güney sınırımızın kontrol altına alınması en tabii hakkımızdır. Ayağına taş değmesin mehmedim.. #TurkishArmy</t>
  </si>
  <si>
    <t>CL; Metarllurgy And Materials Eng. YTU; Int. Securty and Strategy MEF Uni (MA), Limitless Corp. Cons. Services</t>
  </si>
  <si>
    <t>ϜϓſϞ #TSK nesrin</t>
  </si>
  <si>
    <t>https://pbs.twimg.com/media/EGbOEH9W4AEAb_v.jpg</t>
  </si>
  <si>
    <t>🇹🇷💕🇦🇿 #TÜRK OĞLU #TÜRK DEDESİNİN TORUNU #ATATÜRK'ÜN ASKERİ HARBİYELİ'NİN KIZI</t>
  </si>
  <si>
    <t>gedix</t>
  </si>
  <si>
    <t>Yollara çıkılsın bayraklar tura Kalbimiz çarpıyor vatan aşkıyla Allahu Ekber Allahu Ekber TÜRKLER GELİYOR #TurkishArmy</t>
  </si>
  <si>
    <t>Baylan</t>
  </si>
  <si>
    <t>Seviyorum Türk Milletini, söz konusu Vatan olunca tek yürek oluyor her bir insan. #TurkishArmy</t>
  </si>
  <si>
    <t>Kainat</t>
  </si>
  <si>
    <t>Ali Altıntaş</t>
  </si>
  <si>
    <t>Fıtrat değişir sanma bu kan yine o kandır #TurkishArmy</t>
  </si>
  <si>
    <t>https://pbs.twimg.com/media/EGbOBHWXYAAkktp.jpg</t>
  </si>
  <si>
    <t>Aydin kilinc</t>
  </si>
  <si>
    <t>#TurkishArmy Sefer bizim zafer Allah in inşallah</t>
  </si>
  <si>
    <t>Kalpler ancak Allah'ı anmakla huzur bulur. (Râ'd - 28)</t>
  </si>
  <si>
    <t>Burak der ki</t>
  </si>
  <si>
    <t>Pozitif bir video bırakıyorum buraya #turkmilletiordusununyaninda #polis #pöh #TurkishArmy</t>
  </si>
  <si>
    <t>pic.twitter.com/6gm8SCzlTe</t>
  </si>
  <si>
    <t>Zengin ve popüler olmayan ilk Burak tanesi.</t>
  </si>
  <si>
    <t>fatih fatih</t>
  </si>
  <si>
    <t>Rabbi Yessir vela tüasir rabbi temmim bil hayr #TurkishArmy</t>
  </si>
  <si>
    <t>Hem yanımda hem çok uzaktasın, Doğan güneşim bitmeyen amacımsın......</t>
  </si>
  <si>
    <t>İbrahim Baki YALDIZ</t>
  </si>
  <si>
    <t>KOY VER ŞAHİN MİSALİ SALDIRSIN İBRAHİMİN DELİLERİNİ MEHMETÇESİNE ÇAKAL SÜRÜSÜNE !!! 🇹🇷TSK sınırı geçti operasyona başlıyor Allah yar ve yardımcınız olsun Ey şanlı Ordu 🇹🇷 #TurkishArmy 🇹🇷</t>
  </si>
  <si>
    <t>https://pbs.twimg.com/media/EGbOAaVWkAACb65.jpg</t>
  </si>
  <si>
    <t>🇹🇷1881-OO🇹🇷 __🚑ATT🚑__ 💛FENERBAHÇE💙</t>
  </si>
  <si>
    <t>Okan Balaz</t>
  </si>
  <si>
    <t>Bi arkadaşa bakıp çıkıcaz :) Allah yardımcınız olsun şanlı Türk Ordusu. #TurkishArmy</t>
  </si>
  <si>
    <t>https://pbs.twimg.com/media/EGbN_3-WkAA_Qmz.jpg</t>
  </si>
  <si>
    <t>ultrAslan kayseri</t>
  </si>
  <si>
    <t>ADYÜ MEDYA</t>
  </si>
  <si>
    <t>Terörist avcısı #TurkishArmy #BarısPınarlarıHarekatı</t>
  </si>
  <si>
    <t>https://pbs.twimg.com/media/EGbN-zuX0AEp0jF.jpg</t>
  </si>
  <si>
    <t>parody account</t>
  </si>
  <si>
    <t>‼️GERÇEK KİŞİ VE KURUMLARLA İLGİSİ YOKTUR‼️ 📩 Soru ve önerilerinizi DM ile iletebilirsiniz. 📥çektiğiniz video ve görselleri atın paylaşalım.</t>
  </si>
  <si>
    <t>http://instagram.com/adyu.medya</t>
  </si>
  <si>
    <t>Allahım bu ordu senin yerdeki ordundur sen bu ordunu görünmeyen ordularınla destekle ve muvaffak kıl. #TurkishArmy #BarisPinar</t>
  </si>
  <si>
    <t>İnşaat mühendisi (civil engineering)</t>
  </si>
  <si>
    <t>Emre Sancak</t>
  </si>
  <si>
    <t>For peace #TurkishArmy</t>
  </si>
  <si>
    <t>Firtina</t>
  </si>
  <si>
    <t>"Ben Allah’ın (c.c.) emirlerini yerine getirmek, zulüm görenlere yardım etmek için zırh giydim, kılıç kuşandım." Yavuz Sultan Selim Han Hazretleri ... Torun dedeye çeker... #TurkishArmy</t>
  </si>
  <si>
    <t>https://pbs.twimg.com/media/EGbN8ygW4AEFtmg.jpg</t>
  </si>
  <si>
    <t>ayağını sıcak tut başını serin,düşünme derin</t>
  </si>
  <si>
    <t>MUSTAFA AYKAN</t>
  </si>
  <si>
    <t>#TurkishArmy Ortadoğunun neden petrol rezervi açısından zengin olduğunu şimdi anladınız mı?</t>
  </si>
  <si>
    <t>Tanrı Dağı,Ötüken,Tuna Boyları</t>
  </si>
  <si>
    <t>TÜRK MİLLİYETÇİLİĞİ BİR AVUÇ NAMERDİN KAHPELİĞİ İLE KÖKÜ KAZINABİLECEK BİR FİKİR DEĞİLDİR.İSTİKBAL GÖKLERDE,DİRİLİŞ KÖKLERDEDİR. YTÜ-MAKİNE MÜH.</t>
  </si>
  <si>
    <t>Ekrem Alp Günay</t>
  </si>
  <si>
    <t>Yeni videom yayında askerlerimize tam destek #TurkishArmy</t>
  </si>
  <si>
    <t>https://youtu.be/OHsoWtFMwoc</t>
  </si>
  <si>
    <t>Göreceksiniz.</t>
  </si>
  <si>
    <t>http://instagram.com/ekrem_alp3</t>
  </si>
  <si>
    <t>Ömer Uçar</t>
  </si>
  <si>
    <t>#TurkishArmy açız diye ağlayan bir millet birden bire savaş manyağı oldu Zamlar Eflasyon İşsizlik Cinayetler adaletsizlik Diktatörlük bir anda unutuldu . SAVASA HAYIR diyen bizlere gerçeği gören kisileriz pempe rüyalara dalmayin</t>
  </si>
  <si>
    <t>anarşist 😗😗</t>
  </si>
  <si>
    <t>inadına</t>
  </si>
  <si>
    <t>Yol ver Türk bayrağına 🇹🇷🇹🇷#TurkishArmy</t>
  </si>
  <si>
    <t>????</t>
  </si>
  <si>
    <t>Turancı Grafik</t>
  </si>
  <si>
    <t>Heval Avcısı! #TurkishArmy #BarisPinariHarekati</t>
  </si>
  <si>
    <t>https://pbs.twimg.com/media/EGbN4qqWkAA5JYS.jpg</t>
  </si>
  <si>
    <t>Atatürk'ün çizdiği, Atsız'ın yazdığı yoldan. #TTAGrup</t>
  </si>
  <si>
    <t>http://Instagram.com/turancigrafik</t>
  </si>
  <si>
    <t>Duygusal Sehpa</t>
  </si>
  <si>
    <t>Beğendiği twitleri paylaşır,bazen kendi uydurur.</t>
  </si>
  <si>
    <t>Onaylı Hesaplar</t>
  </si>
  <si>
    <t>#TurkishArmy delirttiniz lan beni</t>
  </si>
  <si>
    <t>https://pbs.twimg.com/media/EGbN4uBXkAUbWeP.jpg</t>
  </si>
  <si>
    <t>Hayalet</t>
  </si>
  <si>
    <t>ASUMAN KIRAUSE</t>
  </si>
  <si>
    <t>#TurkishArmy İnşallah bizim kuzucuklarımıxa bişey olmaz Allahım sen yardım et onlara.</t>
  </si>
  <si>
    <t>Trabzon, Of Cumhuriyeti</t>
  </si>
  <si>
    <t>Berkem Karabacak</t>
  </si>
  <si>
    <t>https://pbs.twimg.com/media/EGbN3a_WoAApgiL.jpg</t>
  </si>
  <si>
    <t>TI SI NAŠ MUDŽAHID SEFA REIS!</t>
  </si>
  <si>
    <t>Soner VAROL</t>
  </si>
  <si>
    <t>#TurkishArmy Yolunuz açık olsun, güneş teninizi yakmasın, yağmur canınızı üşütmesin, ayağınıza taş değmesin. Su gibi gidin,su gibi dönün yurdunuza ...Allah yar ve yardımcınız olsun ...</t>
  </si>
  <si>
    <t>Aşağı Hisar, Manavgat</t>
  </si>
  <si>
    <t>Adem AYCAN</t>
  </si>
  <si>
    <t>Şahsınıza fenalık eden bir düşmanı affediniz. Lakin vatanınıza ve milletinize fenalık eden kimseyi asla affetmeyiniz.. Hz. Ali #BarisPinariHarekati #TurkishArmy #turkmilletiordusununyaninda</t>
  </si>
  <si>
    <t>Mali Müşavir</t>
  </si>
  <si>
    <t>http://www.ademaycan.com</t>
  </si>
  <si>
    <t>ömer çetin</t>
  </si>
  <si>
    <t>Allah tektir ordusu Türk’tür mübarek ola #TurkishArmy</t>
  </si>
  <si>
    <t>https://pbs.twimg.com/media/EGbN2W-XYAEeCCM.jpg</t>
  </si>
  <si>
    <t>istanbul/kasımpaşa</t>
  </si>
  <si>
    <t>başka bişey Yok kardeşim En büyük Galatasaray</t>
  </si>
  <si>
    <t>Burak AKKAYA</t>
  </si>
  <si>
    <t>LEGEN #TurkishArmy DARY</t>
  </si>
  <si>
    <t>Hakan AKYOL 🦅</t>
  </si>
  <si>
    <t>Yaylaları geçtik, karlı dağları aştık. Siz salonda dans ederken bizler savaştık! #TurkishArmy</t>
  </si>
  <si>
    <t>https://pbs.twimg.com/media/EGbN1GOXoAABjh4.jpg</t>
  </si>
  <si>
    <t>Emre Çetin</t>
  </si>
  <si>
    <t>akçabeyii</t>
  </si>
  <si>
    <t>Savaşsan da sana ölmek güç değil, Çünkü soyun belli; Türksün piç değil. #turkisharmy</t>
  </si>
  <si>
    <t>Ayıya dayı demem, köprüyü dik geçemezsem dik düşerim.</t>
  </si>
  <si>
    <t>Akil Olan Divane</t>
  </si>
  <si>
    <t>tolgay demir</t>
  </si>
  <si>
    <t>#TurkishArmy Operasyon WAR, eko bu aralar suskun... Tam üstüne gidip sıkıştırılacak zaman.</t>
  </si>
  <si>
    <t>Twıtter UP</t>
  </si>
  <si>
    <t>Ak Parti Fatih 4.Dönem Gençlik Kolları İlçe Başkan Yrd. Çevre ve Şehir,Kültür Birim Başkanı. 27.Dönem Millet Vekili Aday Adayı</t>
  </si>
  <si>
    <t>Çemberimde De Souza</t>
  </si>
  <si>
    <t>#TurkishArmy 💪💪🇹🇷</t>
  </si>
  <si>
    <t>https://pbs.twimg.com/media/EGbNzQ9XkAAtRo0.jpg</t>
  </si>
  <si>
    <t>Çog qüsel döndüq</t>
  </si>
  <si>
    <t>🇹🇷 Seyhan 🇹🇷</t>
  </si>
  <si>
    <t>Biz onlara mehmetçik diyoruz...Peygamber ocağı diyoruz... Kınalar yakıp, geri dönemeyeceklerini bile bile düğünlerle gönderiyoruz... Allah'ım sen evlatlarımızı koru... Eğer ölürlerse de zaten ölü değil ŞEHİT ler... #TurkishArmy</t>
  </si>
  <si>
    <t>Başlangıcı olan her şeyin bir sonu vardır...</t>
  </si>
  <si>
    <t>#RamazanDnlr</t>
  </si>
  <si>
    <t>kimseye KÖPEKLİK yapmadık kimseye YALAKALIK yapmadık kimseye BOYUN egmedik biz mi ? sadece @RTErdogan ı ve #VATAN ı sevdik. #TurkishArmy @abisayin_ Dedim Gitti @fikri_miz</t>
  </si>
  <si>
    <t>https://pbs.twimg.com/media/EGbNxIOW4AAtmno.png</t>
  </si>
  <si>
    <t>(ilimdennoksan) 1 damlasında1000 dünya barındıran sözlere aşık bir ademoğlu (el yükselince semaya titrer bedendeki kötülükler)Abisayın üzülme</t>
  </si>
  <si>
    <t>Kanal Maraş</t>
  </si>
  <si>
    <t>Büyük harekat başlıyor! Türk askeri Fırat'ın doğusuna girmeye başladı  #TurkishArmy #Çarşamba #BarışPınarHarekatı</t>
  </si>
  <si>
    <t>https://www.kanalmaras.com/guncel/buyuk-harekat-basliyor-turk-askeri-firat-in-dogusuna-girmeye-h67071.html</t>
  </si>
  <si>
    <t>Kanal Maraş'ın resmi Twitter hesabı. 2014 yılında kurulan http://Kanalmaras.com Kahramanmaraş'ın en çok izlenen bağımsız haber sitelerinden biridir.</t>
  </si>
  <si>
    <t>http://www.kanalmaras.com</t>
  </si>
  <si>
    <t>Serhat Tosunoğlu</t>
  </si>
  <si>
    <t>Tanrı onlara Türk adını verdi ve onları yeryüzüne hakim kıldı. ( Kaşgarlı Mahmut)🇹🇷 #turkisharmy</t>
  </si>
  <si>
    <t>BEŞİKTAŞ</t>
  </si>
  <si>
    <t>Fakı Erd</t>
  </si>
  <si>
    <t>#TurkishArmy adamın ana siker</t>
  </si>
  <si>
    <t>Seville, Spain</t>
  </si>
  <si>
    <t>without me, it's just aweso</t>
  </si>
  <si>
    <t>https://instagram.com/rapndrugs?igshid=laudcq57rq2l</t>
  </si>
  <si>
    <t>Bildirdim</t>
  </si>
  <si>
    <t>https://pbs.twimg.com/media/EGbNwzpXYAAQcs1.jpg</t>
  </si>
  <si>
    <t>Sosyal haber sitesi.</t>
  </si>
  <si>
    <t>https://bildirdim.com</t>
  </si>
  <si>
    <t>Tugce 👑</t>
  </si>
  <si>
    <t>Girdik mi arkadaşlar ? #TurkishArmy</t>
  </si>
  <si>
    <t>Food Quality 🍏 Labor Economist ⛏👩🏻‍🏭</t>
  </si>
  <si>
    <t>https://pbs.twimg.com/media/EGbNvk4WwAEhgXv.jpg</t>
  </si>
  <si>
    <t>Kayserili alanyada yaşıyor</t>
  </si>
  <si>
    <t>#TurkishArmy Ötügenden Nizamı Alem, ilayıkelimetullah için çıktığımız bu yolda Rabbim senin dinini yer yüzüne hakim kılmak ve adaleti tesis etmek isteyen Türk ordusuna zaferler nasip et. (amin)</t>
  </si>
  <si>
    <t xml:space="preserve">profilde görünüyor </t>
  </si>
  <si>
    <t>Bırakın insanların kalpleri birbirine yakışsın, yüzlerinin ne kadar yakıştığının bir önemi yok.Siz siz olun kalbinize yakışanı sevin</t>
  </si>
  <si>
    <t>Mine Önal</t>
  </si>
  <si>
    <t>⚡Yakup Yucar⚡</t>
  </si>
  <si>
    <t>Türk dediğin mazlumun yanında zalimin karşısında olur #BarisPinariHarekati #TurkishArmy #TuerkMilletiOrdusununYanında #AllahBizimledir</t>
  </si>
  <si>
    <t>pic.twitter.com/2qyZzBljnx</t>
  </si>
  <si>
    <t>ankara sincan</t>
  </si>
  <si>
    <t>#Yby Ak parti Sincan gençlik kolları yönetim kurulu üyesi...𐰖𐰀𐰴𐰆𐰯 𐰉𐰆𐰍𐰺𐰀𐰴𐰀𐰣 𐰖𐰆𐰲𐰀𐰺</t>
  </si>
  <si>
    <t>𝚊𝚒 ✨</t>
  </si>
  <si>
    <t>🤲🏻❤️ #TurkishArmy</t>
  </si>
  <si>
    <t>pic.twitter.com/ffBUWZxyhe</t>
  </si>
  <si>
    <t>一か八か「𝚢𝚊 𝚑𝚎𝚛𝚛𝚘、 𝚢𝚊 𝚖𝚎𝚛𝚛𝚘」</t>
  </si>
  <si>
    <t>🎈</t>
  </si>
  <si>
    <t>❤️ kalbimiz seninle ❤️ #TurkishArmy</t>
  </si>
  <si>
    <t>#UNIBJK Beykent UNIV.</t>
  </si>
  <si>
    <t>http://Instagram.com/tugceozden</t>
  </si>
  <si>
    <t>ORDAN BURDAN</t>
  </si>
  <si>
    <t>#TurkishArmy .</t>
  </si>
  <si>
    <t>ORDAN BURDAN YOUTUBE KANALI AÇILMIŞTIR ABONE OLUP DESTEK VERİRSENİZ SEVİNİRİM teşekkürler :) https://www.youtube.com/channel/UCxoaiwuak5H6xeAH0CuG6Dg</t>
  </si>
  <si>
    <t>#turkmilletiordusununyaninda #TSK #Türkiye #TurkishArmy</t>
  </si>
  <si>
    <t>https://pbs.twimg.com/media/EGbNtxuXkAArczd.jpg</t>
  </si>
  <si>
    <t>İMANIMIZ SARSILMAZ; DAVAMIZ EBED MÜDDET; REHBERİMİZ KUR’AN; ÖNDERİMİZ MUHAMMED (sav)</t>
  </si>
  <si>
    <t>ömer🇹🇷🇹🇷🇹🇷</t>
  </si>
  <si>
    <t>Şehit ölmez Diyen Bayrak inmez Diyen Birileri Var.. #KIZILELMA #TurkishArmy</t>
  </si>
  <si>
    <t>https://pbs.twimg.com/media/EGbNtG4XoAAak7I.jpg</t>
  </si>
  <si>
    <t>Allah Türk'ü Korusun ve Yüceltsin🤘🤘</t>
  </si>
  <si>
    <t>BlackEagle61</t>
  </si>
  <si>
    <t>Rabbim hepinizi korusun Aslanlar 🇹🇷🇹🇷🇹🇷🇹🇷#TurkishArmy</t>
  </si>
  <si>
    <t>ı'm a simple ''riddle'' but nobody has solved me yet.</t>
  </si>
  <si>
    <t>Bugün aslında dündü.</t>
  </si>
  <si>
    <t>Kürt anamızın ellerinde öperim. Onları terör bataklıktan kurtaracağız. #TurkishArmy #BarisPinariHarekati #TürkMilletiOrdusununYanın RT @YolumuzVatan: Kürt anamız emretti; ONLARI EZİN! #TurkishArmy 🇹🇷</t>
  </si>
  <si>
    <t>Milyonda 1'iz. Hepimiz Mustafa Kemal'iz. Ultra Türk.. Bilgi ile görgü ile. Anladığınız dilden adrese teslim ederiz.</t>
  </si>
  <si>
    <t>ÇepniTÜRK🇹🇷𐱅𐰇𐰼𐰜</t>
  </si>
  <si>
    <t>Hazır daima hazır🇹🇷 #TurkishArmy</t>
  </si>
  <si>
    <t>pic.twitter.com/2KDZKMFu0V</t>
  </si>
  <si>
    <t xml:space="preserve">Kadıköy💛 💙Giresun❤️Trabzon </t>
  </si>
  <si>
    <t>Memleket 61💙28🇹🇷 Şehit jöh Bekir KELLECİ'nin kuzeni,ağabeyi😔 ŞEHİTLER ÖLMEZ🇹🇷 “Ölüm bize ne uzak bize ne yakın ölüm. ölümsüzlüğü tattık bize yapsın ölüm</t>
  </si>
  <si>
    <t>BÜYÜK KONUŞAN ADAM</t>
  </si>
  <si>
    <t>YAYLALARI GEÇTİK, KARLI DAĞLARI AŞTIK SİZ SALONDA DANS EDERKEN BİZLER SAVAŞTIK ! HÜSEYİN NİHAL ATSIZ #TurkishArmy</t>
  </si>
  <si>
    <t>https://pbs.twimg.com/media/EGbNrzaXoAAb33a.jpg</t>
  </si>
  <si>
    <t>EntornoInteligente</t>
  </si>
  <si>
    <t>Hacemos tu página WEB en tiempo récord @web24it  #SCOvRUS #TurkishArmy #StrayKids_DoubleKnot</t>
  </si>
  <si>
    <t>https://www.web24it.com/contact-us/</t>
  </si>
  <si>
    <t>https://pbs.twimg.com/media/EGbNrtyUUAAZIHO.jpg</t>
  </si>
  <si>
    <t>Venezuela</t>
  </si>
  <si>
    <t>El noticiero más inteligente de internet. Breaking News del mundo entero. Baja nuestra app.</t>
  </si>
  <si>
    <t>http://www.EntornoInteligente.com</t>
  </si>
  <si>
    <t>Hüseyin🇹🇷</t>
  </si>
  <si>
    <t>Ey şanlı ordu ey şanlı asker... #TurkishArmy</t>
  </si>
  <si>
    <t>TÜRK POLİSİ 🇹🇷</t>
  </si>
  <si>
    <t>http://Instagram.com/zvitaminiiii</t>
  </si>
  <si>
    <t>Sadece AnkaraGücü</t>
  </si>
  <si>
    <t>https://pbs.twimg.com/media/EGbNqndWwAAJXVx.jpg</t>
  </si>
  <si>
    <t>2PAC</t>
  </si>
  <si>
    <t>Sayın Cumhurbaşkanım @RTErdogan sizden de Trump'ın ciddiyetsiz tehditkar açıklamasına karşı misli ile karşılık verecek ve gerçekten uygulanacak ciddi yaptırımlar bekliyoruz Korkmayın çünkü bu konuda kararlılıkla arkanızda duracağız #TurkishArmy #TürkMilletiOrdusununYanında RT @avcimucahit: Hamaset ile feraset gelişmez. 1978’de yaptırımlar ve ambargo uygulamalarıyla Türkiye’yi tehdit eden ABD’ye Bülent Ecevit somut olarak askeri üslerin faaliyetlerini durdurarak yanıt veriyor. Ve bunu çıkıp tüm dünyaya İngilizce olarak net bir şekilde deklare ediyor.</t>
  </si>
  <si>
    <t>https://twitter.com/avcimucahit/status/1181652292912726016</t>
  </si>
  <si>
    <t>pic.twitter.com/fq77lh9zHe</t>
  </si>
  <si>
    <t>Haklıysan Korkma Hak Seni Korur.</t>
  </si>
  <si>
    <t>kaderϜϓſϞ🏆</t>
  </si>
  <si>
    <t>#TurkishArmy bi girip çıkacaklar korkmayın acımayacak YAŞASIN ŞANLI IRKIN BÜYÜK ORDUSU</t>
  </si>
  <si>
    <t>yedek hesap @UzumMavi</t>
  </si>
  <si>
    <t>Elinde ne varsa hayata dair, ötesi hiçbir şey ya da vesair... Hani demiş ya şair; '' Mutluluğu sende bulan senindir, ötesi misafir''</t>
  </si>
  <si>
    <t>muharrem türkmen</t>
  </si>
  <si>
    <t>Allah ordumuza yar ve yardımcı olsun inşallah #TurkishArmy</t>
  </si>
  <si>
    <t>https://pbs.twimg.com/media/EGbNpr3W4AAkVTX.jpg</t>
  </si>
  <si>
    <t>bayan kıvırcık</t>
  </si>
  <si>
    <t>Aslanlar be çocuklarımızın bile korkmadığı ordu #TurkishArmy</t>
  </si>
  <si>
    <t>https://pbs.twimg.com/media/EGbNplDWsAAq8Fy.jpg</t>
  </si>
  <si>
    <t>😳</t>
  </si>
  <si>
    <t>ʜᴀꜱᴀɴ ᴀʀɪ 🇹🇷</t>
  </si>
  <si>
    <t>İşte; ardına çil çil kubbeler serpen ordu. #TurkishArmy</t>
  </si>
  <si>
    <t>https://pbs.twimg.com/media/EGbNnarX0AE0DXC.jpg</t>
  </si>
  <si>
    <t>Bir avuç toprak, biraz da suyum ben. Neyimle övüneyim, işte buyum ben.</t>
  </si>
  <si>
    <t>Nurullah Akbulut</t>
  </si>
  <si>
    <t>Her zaman her yerde daima hazır. #TurkishArmy</t>
  </si>
  <si>
    <t>antropopolog</t>
  </si>
  <si>
    <t>Ayağınıza taş değmesin yolunuz açık gittiğiniz gibi gelin inşallah #TurkishArmy #Syria @TSKGnkur</t>
  </si>
  <si>
    <t>Öğrenmeniz gereken üç şey vardır: Yalınlık, sabır, şefkat: Bu üç şey sizin en büyük hazinenizdir. antropolog mamiii133@gmail.com</t>
  </si>
  <si>
    <t>Süleyman Çamlıca</t>
  </si>
  <si>
    <t>https://pbs.twimg.com/media/EGbNmI0XUAAVrAL.jpg</t>
  </si>
  <si>
    <t>ϜϓſϞ ırkı sağ olsun.</t>
  </si>
  <si>
    <t>Ömer Faruk ÇAKIR</t>
  </si>
  <si>
    <t>İcraatı yapanlar orada havasını atanlar burada 😂 #TurkishArmy</t>
  </si>
  <si>
    <t>ig: omerfarukcakir</t>
  </si>
  <si>
    <t>Seyyar Teyyare</t>
  </si>
  <si>
    <t>#TurkishArmy tanımayanlar için , Tanıyacaksınız !</t>
  </si>
  <si>
    <t>ALLAH de gönül ALLAH de</t>
  </si>
  <si>
    <t>Ⲉ⳽ⲙⲁ Ⳋⳙ̈ⲛ𝖽ⲟⳋ𝖽ⳙ🇹🇷</t>
  </si>
  <si>
    <t>#TurkishArmy #BarisPinariHarekati #carsamba #OperationPeaceSpring #SavasaHayır RT @drbetulsayan: Daima adalet, barış ve masumlar için mücadele eden Mehmetçik, hem ülkemizin bekası hem Arap, Kürt, Türkmen tüm Suriyeli kardeşlerimizin geleceği adına operasyona hazır. Allah, Kahraman Ordumuzu muhafaza eylesin ve başarılı kılsın. #AllahBizimledir 🇹🇷</t>
  </si>
  <si>
    <t>https://twitter.com/drbetulsayan/status/1181797208351485953</t>
  </si>
  <si>
    <t>pic.twitter.com/71HeNVQH7P</t>
  </si>
  <si>
    <t>Mimar|Architect👩🏼‍💻 ➳ ³⁴☪︎²⁵ ➳NoDM🚷</t>
  </si>
  <si>
    <t>Nazan Selçuk</t>
  </si>
  <si>
    <t>Dalgalan sen de şafaklar gibi ey şanlı hilal #TurkishArmy</t>
  </si>
  <si>
    <t>https://pbs.twimg.com/media/EGbNh0qXUAEo0om.jpg</t>
  </si>
  <si>
    <t>Eğitim Danışmanı Yaşam Koçu NLP UZMANI</t>
  </si>
  <si>
    <t>AtakanK</t>
  </si>
  <si>
    <t>Tarih bizi izliyor, tarih bizi çağırıyor... #TurkishArmy</t>
  </si>
  <si>
    <t>https://pbs.twimg.com/media/EGbNh0nX0AAi-p1.jpg</t>
  </si>
  <si>
    <t>| ultrAslan-BARTIN İl Koordinatörü | ADANA http://Instagram.com/atakankuren</t>
  </si>
  <si>
    <t>İHF</t>
  </si>
  <si>
    <t>İstanbul Anadolu İmam Hatip...</t>
  </si>
  <si>
    <t>R</t>
  </si>
  <si>
    <t>Allah hepinize güç versin #TurkishArmy</t>
  </si>
  <si>
    <t>Man I'm only 23, have some patience with us..</t>
  </si>
  <si>
    <t>İnstagram; yunustunc78 SAGOPA KAJMER GALATASARAY</t>
  </si>
  <si>
    <t>Türk oğlu Türk T.S.K. 💀</t>
  </si>
  <si>
    <t>Poz verin çekiyoruz. Var Olsun Şanlı TÜRK Ordumuz. #TurkishArmy</t>
  </si>
  <si>
    <t>https://pbs.twimg.com/media/EGbNg7bXUAAqDRf.jpg</t>
  </si>
  <si>
    <t>Toroslar</t>
  </si>
  <si>
    <t>TÜRKÇÜ , ATATÜRK'ÇÜ. ATATÜRK'ÜN Üniformasız Askeri. MERSİN - TOROSLAR - YÖRÜK T.S.K. Biziz,Biz T.S.K. yız. @TSKgnkur TANRI TÜRK'Ü KORUSUN VE YÜCELTSİN</t>
  </si>
  <si>
    <t>Emre !</t>
  </si>
  <si>
    <t>Şanlı türk ordusu sınırı geçti allahın izniyle büyük temizlik yapıcaz inşallah #TurkishArmy</t>
  </si>
  <si>
    <t>https://pbs.twimg.com/media/EGbNewsWoAYMTbB.jpg</t>
  </si>
  <si>
    <t>VATAN SEVDALISI İŞÇİ PARTİLİ 01.11.2018</t>
  </si>
  <si>
    <t>@realDonaldTrump Trump sen bizi tanımıyorsun ! Türkler parasız yaşar Vatansız Asla !!! Biz Dünyada'ki hiç bir insana benzemeyiz, Söz konusu vatansa Dünya'yı bir kibritle ateşe veririz. #TurkishArmy</t>
  </si>
  <si>
    <t>pic.twitter.com/1g7doGlaTV</t>
  </si>
  <si>
    <t>Bu hesapta taraf bellidir, Tarafımız Türkiye Cumhuriyeti'nin Egemenliğidir... "Her Şeyi Affedin VATAN HAİNLERİNİ Asla"...</t>
  </si>
  <si>
    <t>FranceNews24</t>
  </si>
  <si>
    <t>⚡ DERNIERE MINUTE - #Syrie : Les #Kurdes syriens appellent des civils à se défendre contre la #Turquie. #TurkishArmy</t>
  </si>
  <si>
    <t>https://pbs.twimg.com/media/EGbNeuCWsAEvnNp.jpg</t>
  </si>
  <si>
    <t>France News 24 is France online news resource #Info #AlerteInfo #Breakingnews #Actualité #Media #Information #France #News #SocialMedia #TransfoDigitale</t>
  </si>
  <si>
    <t>http://www.francenews24.fr</t>
  </si>
  <si>
    <t>Digital Son Mars</t>
  </si>
  <si>
    <t>Eyvallah! #TurkishArmy Çok çok iyi anlıyorum! Düşünen olursa şu sözü Okyanus ötesinden gelip! Vatanımı.. Lakin Ancak .. Ülkeye dikkatle bak! Üslere Şirketlere Tabelalara Nasıldı o söz? Alleme-i cihan olsan Dayatılan dile Kızmadan Köpürmeden Düşmanlaşmadan BAK! #SAVASAHAYIR #Syria</t>
  </si>
  <si>
    <t>Don't follow me!. Beni takip etme!. Arada ufak küfrederm! Begenmeyen başka kapıya!. Cosmo'da ya dusunceyiz ya isik yada enerji, Boyut? Belki yine 🔁 .. 🤔🤗</t>
  </si>
  <si>
    <t>Cenk KAYGISIZ</t>
  </si>
  <si>
    <t>https://pbs.twimg.com/media/EGbNdZQWwAAqgxc.jpg</t>
  </si>
  <si>
    <t>Bursa/Nilüfer</t>
  </si>
  <si>
    <t>Kimsenin torunu falan değiliz,Türk Milletiyiz!</t>
  </si>
  <si>
    <t>murat bey</t>
  </si>
  <si>
    <t>#TurkishArmy Kılıçı insafsız bir beceriyle kullanan Türk'ün eliyle yendiği insanların yaralarını sarmakta'da ustadır Lory Byron</t>
  </si>
  <si>
    <t>https://pbs.twimg.com/media/EGbNdk2XkAAZjte.jpg</t>
  </si>
  <si>
    <t xml:space="preserve">Kadıköy, İstanbul İzmir </t>
  </si>
  <si>
    <t>Türkiye sevdalısı iyi bir Fenerbahçe'li</t>
  </si>
  <si>
    <t>enverözkan</t>
  </si>
  <si>
    <t>#TurkishArmy Merhametiyle gönülleri fetheden cesaretiyle hainleri korkutan her gittiği yerde huzur ve asayişi sağlayan Dünyada çocukların korkmadığı yegane Ordu Şanlı ve Kahraman Türk Ordusudur Allah Yar ve Yardımcınız Olsun Ağlayan DELİ</t>
  </si>
  <si>
    <t>https://pbs.twimg.com/media/EGbNcVNXUAIh4d4.png</t>
  </si>
  <si>
    <t>Halk Şairi Ağlayan deli</t>
  </si>
  <si>
    <t>Serdar Atıcı</t>
  </si>
  <si>
    <t>Mazlumun Yanında Zalimin Karşısında #TurkishArmy</t>
  </si>
  <si>
    <t>https://pbs.twimg.com/media/EGbNbwzW4AAFZ4O.jpg</t>
  </si>
  <si>
    <t>Benimle aynı ateşe düşmeden, içimdeki yangını anlayamazsın. İnşaat Mühendisi Beşiktaş JK</t>
  </si>
  <si>
    <t>http://www.instagram.com/serdaratiici</t>
  </si>
  <si>
    <t>Bahadır B</t>
  </si>
  <si>
    <t>Terörist avcısı! #TurkishArmy</t>
  </si>
  <si>
    <t>https://pbs.twimg.com/media/EGbNc-ZXoAAVAGR.jpg</t>
  </si>
  <si>
    <t>𐱅𐰭𐰼𐰃∶𐱅𐰇𐰼𐰜𐰇∶𐰸𐰆𐰺𐰽𐰣 🇹🇷</t>
  </si>
  <si>
    <t>Hikmet AYHAN 🇹🇷</t>
  </si>
  <si>
    <t>#TurkishArmy Dönen tekerlek zaferi müjdeler! @TSKGnkur</t>
  </si>
  <si>
    <t>https://pbs.twimg.com/media/EGbNdDaW4AAi2ZJ.jpg</t>
  </si>
  <si>
    <t>🇹🇷Türk. Doktora</t>
  </si>
  <si>
    <t>Mehmet ARICI ⚡️</t>
  </si>
  <si>
    <t>Ey şanlı ordu Ey şanlı asker Orduların olsun muzaffer Allah yar ve yardımcınız olsun. Dua ordusu arkanızda, peygamberimizin duası sizinle olsun #TurkishArmy</t>
  </si>
  <si>
    <t>htimucinaras</t>
  </si>
  <si>
    <t>Hazırlansın tabutluklar, yine girp çıkacağız #TurkishArmy</t>
  </si>
  <si>
    <t>https://pbs.twimg.com/media/EGbNbSQWwAAmLGt.jpg</t>
  </si>
  <si>
    <t>ali cömert</t>
  </si>
  <si>
    <t>Kadirli, Türkiye</t>
  </si>
  <si>
    <t>Allah'ın kulu</t>
  </si>
  <si>
    <t>𝐓𝐎𝐏𝐇𝐀𝐍𝐄𝐋İ ✩ 🔪</t>
  </si>
  <si>
    <t>Pembe Tezkerelilerin Şeysi Mustafa İslamoğlu ndan 🏳️‍🌈 beklenen açıklama gelmiştir “Savaşma Seviş Çizgimizden Taviz Vermiyoruz “ #TurkishArmy RT @mustafaislamogl: savaş için ne düşündüğümü soruyorlar. ben müslümanım. islam “barış”, müslüman “barışa adanmış insan” demektir. islama hizmet, barışa hizmettir. savaşın galibi bile mağlup, barışın mağlubu bile galiptir. buna inanır, bunu söylerim.</t>
  </si>
  <si>
    <t>Bana “Senin aklını alırım” diyenlerin aklı hep bende kaldı #OTTOMANTİM #AVCITİM</t>
  </si>
  <si>
    <t>Yasin Özbey</t>
  </si>
  <si>
    <t>Asaletin ete kemiğe bürünmüş hali. 🇹🇷🇹🇷🇹🇷#TurkishArmy</t>
  </si>
  <si>
    <t>https://pbs.twimg.com/media/EGbNY_dWkAEkGBQ.jpg</t>
  </si>
  <si>
    <t>Metin 🔥🦁⭐⭐⭐⭐🦁🔥</t>
  </si>
  <si>
    <t>Biz ordusu olan bir millet değil, milleti olan bir orduyuz. #TurkishArmy #çarşamba #turkmilletiordusununyaninda #TurksilahliKuvvetleri</t>
  </si>
  <si>
    <t>https://pbs.twimg.com/media/EGbNYTTWwAAJiyl.jpg</t>
  </si>
  <si>
    <t>🦁⭐⭐⭐⭐🦁 #Galatasaray “Adalet asla şaşmaz.. Çünkü Allah var Ahiret var ! “</t>
  </si>
  <si>
    <t>Saqer</t>
  </si>
  <si>
    <t>#TurkishArmy My Muslim brother smiled you are a Muslim</t>
  </si>
  <si>
    <t>Muslim</t>
  </si>
  <si>
    <t>Abdullah Büdüş</t>
  </si>
  <si>
    <t>Gerçek Hayat dergisi, Atatürk’ün ölümüne ilişkin 1 iddiayı gündeme taşıdı. Atatürk’ün ölümüyle ilgili, İnönü ve her ikisi de mason olduğu öne sürülen Kasım Gülek ile Şükrü Kaya’ya ait olduğu ileri sürülen yazışmalarda Atatürk'ü masonlar zehirleyerek öldürmüşler... #TurkishArmy</t>
  </si>
  <si>
    <t>https://pbs.twimg.com/media/EGbNV6hWoAEAVNH.png</t>
  </si>
  <si>
    <t>İnsanları iyi tanıyın, her insani fena bilip kötülemeyin, her insanı da iyi bilip övmeyin. Hz. Mevlana 💛💙 FB #zaza ana dili #zazaca</t>
  </si>
  <si>
    <t>http://zazavun.blogspot.com/</t>
  </si>
  <si>
    <t>Burak TAFLAN</t>
  </si>
  <si>
    <t>Bunu anlamayacak kadar kafasız değiliz,o kadar tırlar silahlar nereye gitti.Şerefsiz ABD oradan çekilerek bizi pyd ypg ve diğer teröristlerle başbaşa bırakıyor!!!!uyanık olmamız lazım.Katil abd,İsrail devlet kurmaya çalışıyor orada.trump netenyahu esed birer kukla. #TurkishArmy</t>
  </si>
  <si>
    <t>Masal’ın babası</t>
  </si>
  <si>
    <t>💛LivaneLi.08💙 Değişim Dönüşüm Kaçınılmazdır❗️</t>
  </si>
  <si>
    <t>Beklenen operasyon başlamış. Tanrı Yardımcısı olsun Mehmetçiğimizin. 🇹🇷🇹🇷🇹🇷#TürkMilletiOrdusununYanında #TurkishArmy 🇹🇷🇹🇷🇹🇷</t>
  </si>
  <si>
    <t>GELİBOLU İSTANBUL BURSA ARTVİN</t>
  </si>
  <si>
    <t>🇹🇷Ne Mutlu Türk Doğmuşum🇹🇷 Kuvvai Milliye🇹🇷</t>
  </si>
  <si>
    <t>http://Dm.Bozuk.com</t>
  </si>
  <si>
    <t>Eᴍʀʟʜᴅɢ</t>
  </si>
  <si>
    <t>Şundan daha karizma bir fotoğraf görmedim. #TurkishArmy</t>
  </si>
  <si>
    <t>https://pbs.twimg.com/media/EGbNRUsXoAADpa7.jpg</t>
  </si>
  <si>
    <t>ATATÜRK Üniversitesi</t>
  </si>
  <si>
    <t>El Afluencia Acero ❄️</t>
  </si>
  <si>
    <t>Kendi ülkesinde pozisyon alan hainler var aramızda😡Yine ve yeniden TÜRK’ün gücünü göreceksiniz...🤘 🇹🇷#TurkishArmy #çarşamba</t>
  </si>
  <si>
    <t>https://pbs.twimg.com/media/EGbNRLLX0AAeE-q.jpg</t>
  </si>
  <si>
    <t>🇹🇷🤘</t>
  </si>
  <si>
    <t>TAŞKIN GÜLBABA</t>
  </si>
  <si>
    <t>"Dünyanın hiçbir ordusunda yüreği seninkinden daha temiz, daha sağlam bir askere rast gelinmemiştir. Her zaferin en büyük payı senindir."#TurkishArmy</t>
  </si>
  <si>
    <t>Korkaklıkta ar ilerlemekte Şeref var.</t>
  </si>
  <si>
    <t>Bana oyle geliyo ki bizim #TurkishArmy suriyeye bi oyle girip cikacak en fazla, bizim osmanlici comarlarin gazini alacak o kadar, sonra rte 13 kasimda amerikaya gidip hicbi sey olmamis gibi orayla iliskilere devam edecek</t>
  </si>
  <si>
    <t>Feriha karakaş</t>
  </si>
  <si>
    <t>Dualarla yuceltik bu vatani biz kanla canla costurduk turk yurdunu bizim olan bizimle olmayanda yolda kaldın #TurkishArmy</t>
  </si>
  <si>
    <t>Arabistan</t>
  </si>
  <si>
    <t>Seni ilgilendirmez o kadar</t>
  </si>
  <si>
    <t>yasin emre</t>
  </si>
  <si>
    <t>“Hiçbir zaman kimseye pes etmedik biz, ecel veya zaferden biridir seçeneğimiz.” #TurkishArmy #TürkMilletiOrdusununYanında</t>
  </si>
  <si>
    <t>Kertenkele  Mah.</t>
  </si>
  <si>
    <t>hiç</t>
  </si>
  <si>
    <t>Kerem Muhçu</t>
  </si>
  <si>
    <t>#TurkishArmy 👊🏽🇹🇷</t>
  </si>
  <si>
    <t>The North Remembers</t>
  </si>
  <si>
    <t>DİM TV</t>
  </si>
  <si>
    <t>An itibari ile Barış Pınarı harekatı başladı. Bir ordu düşünün, bastığı yeri titreten. Söz konusu vatansa gerisi teferruattır. Biz ordusu olan bir millet değil, milleti olan bir orduyuz. Sağlıcakla aslanlar.. #TurkishArmy</t>
  </si>
  <si>
    <t>https://pbs.twimg.com/media/EGbNM96XoAAcM82.jpg</t>
  </si>
  <si>
    <t>YENİ NESİL TELEVİZYON http://dimtv.tv 🔸 RADYO http://dimradyo.com 🔸Saat 18'de ANA HABER BÜLTENİ 🔸Haber İhbar Hattı Whatsapp 0541 902 85 75 🔸️YouTube: Dim TV</t>
  </si>
  <si>
    <t>http://dimtv.tv/canliyayin</t>
  </si>
  <si>
    <t>Hilmi Daşdemir</t>
  </si>
  <si>
    <t>Güçsüzün yanında Zalimin karşısında #TurkishArmy</t>
  </si>
  <si>
    <t>Optimar Araştırma Dan. A.Ş Başkanı Çeyrek Asırdır Araştırmacı Kayseri-Süleymanlı http://www.hurhaber.com http://www.siviltoplumhaber.com yazarı</t>
  </si>
  <si>
    <t>http://www.optimar.com.tr</t>
  </si>
  <si>
    <t>YA ALLAHHH BİSMİLLAHİRRAHMANIRRAHİM #TurkishArmy</t>
  </si>
  <si>
    <t>Celall</t>
  </si>
  <si>
    <t>https://pbs.twimg.com/media/EGbNMkNXoAArSKj.jpg</t>
  </si>
  <si>
    <t>İç Mimar</t>
  </si>
  <si>
    <t>😬😛 Kriptocu 😛😝</t>
  </si>
  <si>
    <t>Bitcoin Holder'larinin dikkat çeken stokları 😮😲😬😤  #carsamba #TurkishArmy #pınarbarısharekatı #bitcoin #kriptopara #cryptocurrency #YouTubeAndrewYang</t>
  </si>
  <si>
    <t>https://koinmedya.com/2019/10/09/en-buyuk-8-kripto-borsa-cuzdanindaki-bitcoin-miktari-dudak-ucuklatiyor/amp/</t>
  </si>
  <si>
    <t>😃 Kripto Piyasasına Meraklı Birisi 😄</t>
  </si>
  <si>
    <t>Huseyin Kilinc</t>
  </si>
  <si>
    <t>Korkaklıkta ar, ilerlemekte şeref vardır #TurkishArmy</t>
  </si>
  <si>
    <t>https://pbs.twimg.com/media/EGbNLEYWwAARxH9.jpg</t>
  </si>
  <si>
    <t>inşaat mühendisi</t>
  </si>
  <si>
    <t>Sercan Konus</t>
  </si>
  <si>
    <t>#TurkishArmy eceliniz olmaya geliyor</t>
  </si>
  <si>
    <t>Bağımsızlık benim de karakterimdir... NE MUTLU TÜRK'ÜM DİYENE</t>
  </si>
  <si>
    <t>bî-vâre</t>
  </si>
  <si>
    <t>#TurkishArmy Umuttur.. Güvendir.. Sevgidir..</t>
  </si>
  <si>
    <t>https://pbs.twimg.com/media/EGbNKzzWkAAv0i8.jpg</t>
  </si>
  <si>
    <t>Yaşadı denemez, bir müddet ölmedi sadece...</t>
  </si>
  <si>
    <t>Yakup Oflar</t>
  </si>
  <si>
    <t>https://pbs.twimg.com/media/EGbNK4EX0AAqozT.jpg</t>
  </si>
  <si>
    <t>Bolu Merkez, Bolu</t>
  </si>
  <si>
    <t>AİBÜ Doktora (PhD Candidate), Social Studies, Sınıf Öğretmeni, Origami, Satranç, Galatasaray</t>
  </si>
  <si>
    <t>http://www.kolemans.wordpress.com</t>
  </si>
  <si>
    <t>Hakan Sarıkıyak</t>
  </si>
  <si>
    <t>yeni hesabım, eskisi küfür ettiğim için askıya alındı hayır nooolmuş iki sövdüysek</t>
  </si>
  <si>
    <t>https://pbs.twimg.com/media/EGbNKS1WoAAH2GA.jpg</t>
  </si>
  <si>
    <t>Gittiğimiz yol yol değil ama inan buna manzarası güzel.</t>
  </si>
  <si>
    <t>http://www.xn--artkkapalyz-1zbgb.com.tr</t>
  </si>
  <si>
    <t>Mustafa Mesin</t>
  </si>
  <si>
    <t>#TurkishArmy is aiming to cover eternal safety on its borders against terror groups.. #KurdsSideWithTurkey #OperationPeaceSpring #BarısPınarlarıHarekatı RT @Turan1530: Sınır Hattında Boşaltılan Bir Köyde Kürt anamız emretti; ONLARI EZİN! #TurkishArmy 🇹🇷</t>
  </si>
  <si>
    <t>Hürriyet... Müsavat... Uhuvvet... Adalet... Konya... Ankara... Cakarta... Singapur... Takımdan ayrı, düz koşu yapıyor.. 🇹🇷🇹🇷🇹🇷</t>
  </si>
  <si>
    <t>Mıstık 🇹🇷</t>
  </si>
  <si>
    <t>#TurkishArmy Uyuyan devi uyandırdınız🇹🇷💪🏻🤛🇹🇷👏🇹🇷👍🏻🇹🇷</t>
  </si>
  <si>
    <t>https://pbs.twimg.com/media/EGbNGfHW4AEIvhP.jpg</t>
  </si>
  <si>
    <t>İstanbul Büyükşehir Belediye Başkanı - Mayor of Istanbul Metropolitan Municipality</t>
  </si>
  <si>
    <t>⚘ AGIR BEY ⚘</t>
  </si>
  <si>
    <t>Bazi mallar ve chp liler hala bedelliler para verdi gariban cocugu savasak diyorlar.ordunun artik prof oldugunu ozel askerlerin artik sinirda ve oparasyonlarda savastigini anlatsin #TurkishArmy</t>
  </si>
  <si>
    <t>Malatya</t>
  </si>
  <si>
    <t>Sefer bizim zafer Allah' ındır. Operasyon başladı. Allah ordumuzun yanında olsun. #TurkishArmy #TurkishArmy</t>
  </si>
  <si>
    <t>https://pbs.twimg.com/media/EGbNFB8WwAAizbb.jpg</t>
  </si>
  <si>
    <t>10000 yıl önceki Arslantepe</t>
  </si>
  <si>
    <t>ben, keyfim ve kayısı. azıcık siyaset , bir tutam güncel . ayrıca her retweet katıldığım anlamına gelmez.</t>
  </si>
  <si>
    <t>Alper Arat</t>
  </si>
  <si>
    <t>ALLAH #TurkishArmy korusun</t>
  </si>
  <si>
    <t>https://pbs.twimg.com/media/EGbNE9vXYAAUjES.jpg</t>
  </si>
  <si>
    <t>F.</t>
  </si>
  <si>
    <t>Pi Cemiyet Mah. Umut Sk. No:2</t>
  </si>
  <si>
    <t>Aşkı divane ✏️... #Kerkük #Türk Aşığı/Ne Mutlu Türk’üm Diyene 🇹🇷 Hayatımın Anlamı= #ANKARAGÜCÜ #CA💙💎 #MKA @picemiyeti</t>
  </si>
  <si>
    <t>Elif Seven</t>
  </si>
  <si>
    <t>Bu yalanlarla neler umuyorsanız kursağınızda kalacak. Çünkü geliyor #TurkishArmy</t>
  </si>
  <si>
    <t>https://pbs.twimg.com/media/EGbNDTCWwAAzMom.jpg</t>
  </si>
  <si>
    <t>Herşeyin hayırlısı...</t>
  </si>
  <si>
    <t>http://www.kadin2.com</t>
  </si>
  <si>
    <t>Ümit Efe</t>
  </si>
  <si>
    <t>Gururumuz #TurkishArmy</t>
  </si>
  <si>
    <t>Topunuz Gelin..</t>
  </si>
  <si>
    <t>Tek Devlet,Tek Millet,Tek Bayrak,Tek Vatan</t>
  </si>
  <si>
    <t>Sleepy</t>
  </si>
  <si>
    <t>TARIHLERE SORUN KI BIZE ÖLMEZ TURK DERLER #TurkishArmy</t>
  </si>
  <si>
    <t>https://pbs.twimg.com/media/EGbNCBMWsAEcedi.jpg</t>
  </si>
  <si>
    <t>bilmiom</t>
  </si>
  <si>
    <t>Galatasaray'li</t>
  </si>
  <si>
    <t>deryabeyaz 🌐</t>
  </si>
  <si>
    <t>Terrorist Hunter: #TurkishArmy</t>
  </si>
  <si>
    <t>Kaybolmamaya çalışıyorum</t>
  </si>
  <si>
    <t>http://www.sonsuzark.com/search/label/Derya%20Beyaz</t>
  </si>
  <si>
    <t>Tufan ÖZTÜRK</t>
  </si>
  <si>
    <t>Çayı tazele dedem geliyoruz.🇹🇷 #TurkishArmy #BarisPinariHarekati #BarisPinari</t>
  </si>
  <si>
    <t>https://pbs.twimg.com/media/EGbNCN-WkAANEy8.jpg</t>
  </si>
  <si>
    <t>Michael Wittmann</t>
  </si>
  <si>
    <t>Necmi KILIÇ🏹⚔️🐞🌼</t>
  </si>
  <si>
    <t>Resulayna girmeye çalışan pkk/ypg teröristlerinin konvoyunu #TSK mensubu Allah’ın Aslanları havaya uçurmuş Birliklerimiz girmeye köpekler kaçmaya başlamış terörist sevici KANI BOZUKLAR gidin leşlerinizi toplayın @Hifafra_ #BarışPınarı #TürkMilletiOrdusununYanında #TurkishArmy</t>
  </si>
  <si>
    <t>pic.twitter.com/1mFX4hv77T</t>
  </si>
  <si>
    <t>Mersin, Tekirdağ MÜHENDİS</t>
  </si>
  <si>
    <t>@necmiRT3359 #EDEBİSLAM #DİRİLİŞSANCAĞI #DİRİLİŞİTTİFAKITT #RecepTayyipErdoğan #DevletBahçeli #Türkiye☝🏼🇹🇷</t>
  </si>
  <si>
    <t>#TurkishArmy Bi girip çıkıcam hemen:))</t>
  </si>
  <si>
    <t>Gastronomi</t>
  </si>
  <si>
    <t>sallim |🇹🇷⚡️</t>
  </si>
  <si>
    <t>“Bir gece ansızın gelebiliriz” demiştik gece bekledi sığırlar .. Güneş tepedeyken geldik, çıkın bişey deneyeceğiz #TurkishArmy</t>
  </si>
  <si>
    <t>..istisnayım,kaideyi çok pis bozarım .. 😏hayat,yaşadığın andır..</t>
  </si>
  <si>
    <t>muhalifim ama haksızlığa</t>
  </si>
  <si>
    <t>Dualarımız sizinle #TurkishArmy</t>
  </si>
  <si>
    <t>BÜŞRA ϜϓſϞ🇹🇷</t>
  </si>
  <si>
    <t>#TurkishArmy Bu şanlı ordu senin ordundur yarab sen askerlerimizin yardimisi ol Allahim</t>
  </si>
  <si>
    <t>https://pbs.twimg.com/media/EGbM-yzXkAAIUD0.jpg</t>
  </si>
  <si>
    <t>Efekan Bilgetekin</t>
  </si>
  <si>
    <t>https://pbs.twimg.com/media/EGbM-pnW4AAp8ot.jpg</t>
  </si>
  <si>
    <t>Ege Üniversitesi</t>
  </si>
  <si>
    <t>🇮🇹</t>
  </si>
  <si>
    <t>Fuat  ϜϓſϞ 🇹🇷</t>
  </si>
  <si>
    <t>All the world should know that #TurkishArmy Forces mass on the border ahead of an expected operation into northeastern Syria in order to root out SDF/YPG an extension of the PKK terror organization in Syria.We’re determined to struggle with all terror organizations in the region</t>
  </si>
  <si>
    <t>pic.twitter.com/aQHAhNUZeI</t>
  </si>
  <si>
    <t>İnsan Türk olur da nasıl Kemal Paşa’dan yana olmaz! Ne Mutlu Türküm Diyene #ATATÜRK #TürkiyeCumhuriyeti #ϜϓſϞ Üçok Kolu Çepni Boyu DM Yok</t>
  </si>
  <si>
    <t>💛uFuK’s💙FeNeR oL🔥🔥 ¹⁹⁰⁷</t>
  </si>
  <si>
    <t>Allah’ım muzaffer eylesin🇹🇷🇹🇷#TurkishArmy</t>
  </si>
  <si>
    <t>https://pbs.twimg.com/media/EGbM8qwXUAUSdIi.jpg</t>
  </si>
  <si>
    <t>💙Fenerbahçe 💛</t>
  </si>
  <si>
    <t>hacıselçuk</t>
  </si>
  <si>
    <t>Mekanın sahibi geldi beyler açılın kenara bakıyım #TurkishArmy</t>
  </si>
  <si>
    <t>TÜRKİYE TÜRKLERİNDİR,YA SEV, YA TERK ET</t>
  </si>
  <si>
    <t>Lokman Şen</t>
  </si>
  <si>
    <t>İzmir Türkiye</t>
  </si>
  <si>
    <t>Azma gençlik, düşme nefsin toruna. 70 er ile feda oldum vatan namus uğruna.. Şehit Seyfettin Yzb.</t>
  </si>
  <si>
    <t>AK PARTİ ŞANLIURFA</t>
  </si>
  <si>
    <t>pic.twitter.com/5s00YSG6dG</t>
  </si>
  <si>
    <t>Türkiye/Şanlıurfa</t>
  </si>
  <si>
    <t>AK PARTİ ŞANLIURFA İL BAŞKANLIĞI RESMİ TWİTTER HESABI.</t>
  </si>
  <si>
    <t>http://www.akpartisanliurfa.org.tr</t>
  </si>
  <si>
    <t>özden bahadır</t>
  </si>
  <si>
    <t>#TurkishArmy soon in musul,kerkük 😎🍻</t>
  </si>
  <si>
    <t>birakolik,liberal demokrat, sıradan bir taşra iktisatcısı.😎🍺</t>
  </si>
  <si>
    <t>Mustafa Çal</t>
  </si>
  <si>
    <t>LKMANKARACAM</t>
  </si>
  <si>
    <t>Çay koy dedem, yeniden başlıyoruz 🇹🇷 #TürkMilletiOrdusununYanında #Turkey #BarısPınarlarıHarekatı #TurkishArmy</t>
  </si>
  <si>
    <t>https://pbs.twimg.com/media/EGbM2J5X0AAiQfW.jpg</t>
  </si>
  <si>
    <t>🏅KIDEMLİ TECHNİCAL ANALYSİS🏅 Wrestler👊</t>
  </si>
  <si>
    <t>Kasımpaşalı TR</t>
  </si>
  <si>
    <t>https://pbs.twimg.com/media/EGbM2SDWwAYDsFR.jpg</t>
  </si>
  <si>
    <t>YKK|🍂🍁</t>
  </si>
  <si>
    <t>https://pbs.twimg.com/media/EGbM0rLXUAEFFUd.jpg</t>
  </si>
  <si>
    <t xml:space="preserve">Gaziantep/Kars </t>
  </si>
  <si>
    <t>Nurse in the future</t>
  </si>
  <si>
    <t>𝒯𝒾𝓃 𝒱. ✿</t>
  </si>
  <si>
    <t>When u see #TurkishArmy trending.. thinking that it's Turkish fans of BTS. 😂</t>
  </si>
  <si>
    <t>𝓘𝓼𝓵𝓪 𝓼𝓪 𝓢𝓲𝓵𝓪𝓷𝓰𝓪𝓷</t>
  </si>
  <si>
    <t>@Bts_twt OT7/'⁹³ ˡⁱⁿᵉʳ/ 𝕳𝖆𝖗𝖗𝖞 𝕻𝖔𝖙𝖙𝖊𝖗 / 𝓜𝓲𝓬𝓱𝓪𝓮𝓵 𝓙𝓪𝓬𝓴𝓼𝓸𝓷 / ᴍᴀʀᴠᴇʟ / 𝙼𝚞𝚜𝚒𝚌 / 𝙼𝚘𝚟𝚒𝚎𝚜 / 🎨 / 🇵🇭 /🍗🍜/🛫/👟/👗/🙏</t>
  </si>
  <si>
    <t>https://www.youtube.com/channel/UCQ151BlYrsa8WXv3UB29Y5w</t>
  </si>
  <si>
    <t>Berhan Ataoğlu 🎼🎸🎼</t>
  </si>
  <si>
    <t>Askerlik yapmamak için her türlü fırıldağı yapıp, kurtlar vadisi izleyip Vatan Millet Sakarya moduna giren, neresinden bakarsan bak sahte, cahil bir güruhla; Ya Allah bismillah geliyoruz!.. Mevlam devlete zeval vermesin..#TurkishArmy</t>
  </si>
  <si>
    <t>Mümkün mertebe sandırıcı, aması abesle iştigal. Gitarist</t>
  </si>
  <si>
    <t>http://berhanataoglu.com</t>
  </si>
  <si>
    <t>insanperest</t>
  </si>
  <si>
    <t>#TurkishArmy Her gün amerikanın saçmalıklarına laf sayalım, ordumuz ile gurur duyduğumuzu belirtmek için tag açalım. Ama Türk Ordusu demeyip Turkish Army diyelim. @TTAgrup sen bari yapma.</t>
  </si>
  <si>
    <t>http://www.instagram.com/insanperest/</t>
  </si>
  <si>
    <t>Serhat</t>
  </si>
  <si>
    <t>#TurkishArmy Allah ayağınıza taş değdirmesin...🙏 #TuerkMilletiOrdusununYanındadır</t>
  </si>
  <si>
    <t>https://pbs.twimg.com/media/EGbMxFrX0AAddh-.jpg</t>
  </si>
  <si>
    <t>2010-2011 ŞAMPİYONU TRABZONSPOR</t>
  </si>
  <si>
    <t>Şevket YILDIRIM</t>
  </si>
  <si>
    <t>Artık tanrı Türkü değil sizi korusun. #TurkishArmy</t>
  </si>
  <si>
    <t>https://pbs.twimg.com/media/EGbMx40W4AAnvPi.jpg</t>
  </si>
  <si>
    <t>“Editing”</t>
  </si>
  <si>
    <t>M.Gökhan Üvez</t>
  </si>
  <si>
    <t>Hill917 ya da hamburger hill... tipik bir pirus zaferi bekliyor bizi. Üstelik 60bin ışidli esir ve milyonlarca göçmen daha gelecek. Dahası da olacak.. acı ama gerçek. Zafer kaçınılmaz ama zaferin bedeli (ekonomik yönden) çok ağır olacak. #TurkishArmy</t>
  </si>
  <si>
    <t>Çukurova'da bir yerlerde.</t>
  </si>
  <si>
    <t>yazıcı... öykü anlatıcısı... elinden geldiğince insan, fazlasıyla teknik uzman</t>
  </si>
  <si>
    <t>http://www.yenfikir.com</t>
  </si>
  <si>
    <t>Allahım sen.cocuklarimizin yanında ol.Saglikla gidip gelsinler.Guc kuvvet ver onlara🇹🇷🤲🙏🏻#TurkishArmy</t>
  </si>
  <si>
    <t>tansu</t>
  </si>
  <si>
    <t>filler ve çimen.. #TurkishArmy</t>
  </si>
  <si>
    <t>ihsan1984</t>
  </si>
  <si>
    <t>We are coming to protect innocent people and secure our territory. Every country has right to defend their borders according to United Nations #TurkishArmy</t>
  </si>
  <si>
    <t>dünya güzel bir yer olsaydı ben dünyaya gelmezdim.</t>
  </si>
  <si>
    <t>İzel</t>
  </si>
  <si>
    <t>DAİMA! #TurkishArmy</t>
  </si>
  <si>
    <t>https://pbs.twimg.com/media/EGbMvbQXoAAgAGj.jpg</t>
  </si>
  <si>
    <t>beni siz delirtiyosunuz</t>
  </si>
  <si>
    <t>çağrıgaliba</t>
  </si>
  <si>
    <t>#TurkishArmy Dağlar demirdendi dediler Türk'ün yüreği çeliktendi öğrettik. #TurkishArmy</t>
  </si>
  <si>
    <t>https://pbs.twimg.com/media/EGbMvF4WkAAMmFm.jpg</t>
  </si>
  <si>
    <t>18.11.2018💕canımdan can iste 💛❤️ömründen ömür 💛❤️ iyi ki GALATASARAY 🦁💛❤️</t>
  </si>
  <si>
    <t>★★►Gs◄★★</t>
  </si>
  <si>
    <t>https://pbs.twimg.com/media/EGbMvGFWwAEVBge.jpg</t>
  </si>
  <si>
    <t>Sverige , Adana</t>
  </si>
  <si>
    <t>LeventY</t>
  </si>
  <si>
    <t>#TurkishArmy Turkish military history is full of glorious victories and new victories will be of Turkish army Türk Askeri Tarihi Şanlı Zaferlerle Doludur ve Yeni Zaferler Türk Ordusunun Olacak</t>
  </si>
  <si>
    <t>https://pbs.twimg.com/media/EGbMuVPXkAEnn0T.jpg</t>
  </si>
  <si>
    <t>Türkiye Cumhuriyeti, Mustafa Kemal ATATÜRK</t>
  </si>
  <si>
    <t>http://www.openwaterturkey.com</t>
  </si>
  <si>
    <t>ERDEM KAYA</t>
  </si>
  <si>
    <t>Fırtınalar dursun yana, yol ver Türk'ün bayrağına..! #TurkishArmy</t>
  </si>
  <si>
    <t>https://pbs.twimg.com/media/EGbMsukW4AAfe5h.jpg</t>
  </si>
  <si>
    <t>Bursa - İstanbul</t>
  </si>
  <si>
    <t>Marmara Üniversitesi / Siyah - Beyaz / Everyone has a different truth.</t>
  </si>
  <si>
    <t>EMRE</t>
  </si>
  <si>
    <t>VUR ŞANLI SİLAHINLA GÖNÜL MÜLKÜ DÜZELSİN SEN ÖLDÜRÜYORKEN VURUYORKENDE GÜZELSİN 🇹🇷 #turkmilletiordusununyaninda #TurkishArmy</t>
  </si>
  <si>
    <t>https://pbs.twimg.com/media/EGbMsNfXoAAQbTj.jpg</t>
  </si>
  <si>
    <t>Ne Mutlu TÜRK’üm Diyene.🇹🇷</t>
  </si>
  <si>
    <t>ahmet çat</t>
  </si>
  <si>
    <t>Bayramımiz mübarek olsun #TurkishArmy</t>
  </si>
  <si>
    <t>Barışcıl lider olmak istersen,davacının sözünü iyi dinle</t>
  </si>
  <si>
    <t>Denizhan Nacar</t>
  </si>
  <si>
    <t>#TurkishArmy #TÜRKİYE 🇹🇷🇹🇷🇹🇷 RT @tcsavunma: Engel Tanımaz Aşarız!🇹🇷 #MSB #TSK</t>
  </si>
  <si>
    <t>RumanaAliii 🇵🇰</t>
  </si>
  <si>
    <t>#TurkishArmy RT @Gazwaihind: @RTErdogan Pakistan fully supports Turkish Military Operation against US-backed Kurdish/SDF forces near Syrian border Just like US sent TTP terrorists from Afghanistan into Pakistan, similarly USA also supports/finances Kurdish terrorists from Syrian Territory into Turkey. #TurkishArmy</t>
  </si>
  <si>
    <t>https://twitter.com/Gazwaihind/status/1181783028298858497</t>
  </si>
  <si>
    <t>https://pbs.twimg.com/media/EGaJX4WX0AAvwkO.jpg</t>
  </si>
  <si>
    <t>‏لا الہ الا اللہُ محمد الرسول اللہ</t>
  </si>
  <si>
    <t>a</t>
  </si>
  <si>
    <t>geliyoruz orospu cocuklari #TurkishArmy</t>
  </si>
  <si>
    <t>hayalperest bir realist</t>
  </si>
  <si>
    <t>Bir Delinin Günlüğü... Deniz</t>
  </si>
  <si>
    <t>Sadece merak ediyorum bu operasyonla gündem istediginiz kadar değişmezse Yunanistan'a nota verip Ege Adaları sorunu mu çıkaracaksınız ! #TurkishArmy</t>
  </si>
  <si>
    <t>Insan.Haymatlos. Anarşist.</t>
  </si>
  <si>
    <t>sukrudumenli</t>
  </si>
  <si>
    <t>#TurkishArmy şurada bedelli askerlik yapan kazmalar haydi aslanlar Suriye'ye yazmasın lütfen o kadar meraklıysanız adam gibi askerlik yapsaydınız.</t>
  </si>
  <si>
    <t>Mali Müşavir Adayı - Denizli Bisikletliler Derneği Saymanı - Kitap Kurdu - Manga Sever</t>
  </si>
  <si>
    <t>Ali YILMAZ (Konya)</t>
  </si>
  <si>
    <t>BU KOPAN TÜRK ORDUSUDUR YARABBİ.! ECDADIM ALPASLAN GİBİ ZIRHIM KEFENİMDİR DEDİK ABDESTİMİZİ ALDIK NAMAZIMIZI KILDIK CİHADA ÇIKIYORUZ BİZDEN YARDIMINI ESİRGEME YARABBİ.! AMİN.. #TurkishArmy</t>
  </si>
  <si>
    <t>pic.twitter.com/tMadPmfzyr</t>
  </si>
  <si>
    <t>ANLADIM! YAR'LA BİR OLMAYINCA YER'LE BİR OLUYORMUŞ İNSAN (YAR VE YARDIMCIM ALLAH'TIR) HAKSIZLIK KARŞISINDA SUSAN DİLSİZ ŞEYTANDIR. (EMEKLİ) DM🚫</t>
  </si>
  <si>
    <t>furkan ozbek</t>
  </si>
  <si>
    <t>#TurkishArmy in syria coming soon</t>
  </si>
  <si>
    <t>https://pbs.twimg.com/media/EGbMmIKX0AEjVSB.jpg</t>
  </si>
  <si>
    <t>Kars kafkas üniversitesi paramedik</t>
  </si>
  <si>
    <t>Sabri Akın👑</t>
  </si>
  <si>
    <t>Size kış günü tanga giydirecek ordumuz yola çıktı Allah türk askerini vatanı, milleti ,bayrağı ve türk devletini korusun dosta güven düşmana korku veren türk askeri dualarımız sizinle 👏 #TurkishArmy</t>
  </si>
  <si>
    <t>“Bir delil ile 40 alimi yendim; ama 40 delil ile bir cahili yenemedim.” 😉</t>
  </si>
  <si>
    <t>Adil G..</t>
  </si>
  <si>
    <t>Tını Geyms.</t>
  </si>
  <si>
    <t>http://www.youtube.com/taizhougames</t>
  </si>
  <si>
    <t>https://pbs.twimg.com/media/EGbMkfYWwAAcTv8.jpg</t>
  </si>
  <si>
    <t>Evren koca bir boşluktan mı ibaret , yoksa sen mi çok boş yapıyorsun 🤔😁</t>
  </si>
  <si>
    <t>Aysel Sokur</t>
  </si>
  <si>
    <t>Başladık, haydi bismillaah #TurkishArmy</t>
  </si>
  <si>
    <t>Medipol Üniversitesi 🎓</t>
  </si>
  <si>
    <t>Aymesev</t>
  </si>
  <si>
    <t>🇹🇷🇹🇷🇹🇷🇹🇷#TurkishArmy</t>
  </si>
  <si>
    <t>Uzumaki</t>
  </si>
  <si>
    <t>Muhammed Uzuner</t>
  </si>
  <si>
    <t>Bozkurtlar geliyor film başlasın Allah yâr ve yardımcınız olsun yiğitler🇹🇷🇹🇷🇹🇷#TurkishArmy</t>
  </si>
  <si>
    <t>https://pbs.twimg.com/media/EGbMhZtXkAAZJW8.jpg</t>
  </si>
  <si>
    <t>Kahramanmaraş</t>
  </si>
  <si>
    <t>Maziye, Irka, Sancağadır İftiharımız🇹🇷🇹🇷🇹🇷 Emniyet Genel Müdürlüğü 🇹🇷🇹🇷</t>
  </si>
  <si>
    <t>Efe Çakır</t>
  </si>
  <si>
    <t>#TurkishArmy Bu ordu ikinize birden kordu, ama zaten öyle oldu.</t>
  </si>
  <si>
    <t>https://pbs.twimg.com/media/EGbMf1-XoAkWzQf.jpg</t>
  </si>
  <si>
    <t>Designer</t>
  </si>
  <si>
    <t>https://pbs.twimg.com/media/EGbMf1lX0AAt1Xe.jpg</t>
  </si>
  <si>
    <t>Kingdom of İzmir</t>
  </si>
  <si>
    <t>they destroy, so we design.</t>
  </si>
  <si>
    <t>http://www.serdarsalman.com</t>
  </si>
  <si>
    <t>TechnicLAZ</t>
  </si>
  <si>
    <t>Girdik #TurkishArmy</t>
  </si>
  <si>
    <t>Müslüman bir Türk Vatandaşı. Biraz gündem, Birazda Siyaset.</t>
  </si>
  <si>
    <t>Ferdi Güçyetmez</t>
  </si>
  <si>
    <t>#BarisPinariHarekati #BarısPınarıOperasyonu #TurkishArmy</t>
  </si>
  <si>
    <t>https://www.diplomatikstrateji.com/baris-pinari-harekati-son-durum-raporu/</t>
  </si>
  <si>
    <t>✴International Terrorism Law Phd ✴Founder of @diplomatik_stj ✴Teaching Assistant ✴Security and Terrorism ✴History of Religions ✴Future Science</t>
  </si>
  <si>
    <t>https://www.diplomatikstrateji.com/author/ferdigucyetmez/</t>
  </si>
  <si>
    <t>Gufran</t>
  </si>
  <si>
    <t>Ben ezelden beri hür yaşadım hür yaşarım hangi çılgın bana zincir vuracakmış şaşarım yırtarım dağları enginlere sığmam taşarım! #TurkishArmy</t>
  </si>
  <si>
    <t>söndürülmez ateşdim,eritilmez buz oldum. 🇹🇷</t>
  </si>
  <si>
    <t>Wolf-33</t>
  </si>
  <si>
    <t>Yaklaşıyor yaklaşmakta olan #TurkishArmy</t>
  </si>
  <si>
    <t>https://pbs.twimg.com/media/EGbMbs0W4AAnEnL.jpg</t>
  </si>
  <si>
    <t>Ülkem RTE Reisçi olmayan uzasın</t>
  </si>
  <si>
    <t>Havadis Dünya</t>
  </si>
  <si>
    <t>Beni alın bensiz olurmu kardeşim ya burada içim içimiyiyor #TurkishArmy</t>
  </si>
  <si>
    <t>Yfpehlivanlar</t>
  </si>
  <si>
    <t>@realDonaldTrump if you knew about history, you couldn't threaten us. #TurkishArmy</t>
  </si>
  <si>
    <t>B A Y R A M</t>
  </si>
  <si>
    <t>Sn @RTErdogan elbet siz daha iyi bilirsiniz ama ego balonu @realDonaldTrump'un davetine icabet konusunu tekrar düşünmenizi istirham ediyorum adam bizzat tehdit ediyor.! Syg @yavuzagiraliog #çarşamba Dünya Bankası Zabıta Fahrettin Altun Washington Post #TurkishArmy AKP'li Ünal</t>
  </si>
  <si>
    <t>https://pbs.twimg.com/media/EGbMan8XoAA2Ott.jpg</t>
  </si>
  <si>
    <t>Kendisini tehlikeye atmaktan korkanın başkalarını tehlikeye atmaya hakkı yoktur. Yıldırım Bayezid @RuleOfBayram</t>
  </si>
  <si>
    <t>Seek Threat</t>
  </si>
  <si>
    <t>Altay tankı'nın gecikmesi akabinde kaçırdığı 3. Operasyon bu. Altay ve TSK için güzel PR olurdu. Her şeyden önemlisi şuan ki tanklarımıza kıyasla vurulma şansı oldukça düşük olurdu. #TurkishArmy</t>
  </si>
  <si>
    <t>https://pbs.twimg.com/media/EGbMatYW4AARdtk.jpg</t>
  </si>
  <si>
    <t>Savunma sanayi meraklısı.</t>
  </si>
  <si>
    <t>yazılımÇı</t>
  </si>
  <si>
    <t>Zaferleri ve geçmişi insanlık tarihi ile başlayan, her zaman zaferle beraber uygarlık nurlarını taşıyan kahraman #TurkishArmy</t>
  </si>
  <si>
    <t>🌟🌟Қĩהɢ👑ĢÃŁÃ🌟🌟</t>
  </si>
  <si>
    <t>#TurkishArmy Savaşa değil TERÖR örgütlerine, Dünyanın kaç bucak olduğunu göstermeye geliyor..🇹🇷💪🏼</t>
  </si>
  <si>
    <t>https://pbs.twimg.com/media/EGbMaIhWwAIthGG.jpg</t>
  </si>
  <si>
    <t xml:space="preserve">UzakDoğu  </t>
  </si>
  <si>
    <t>Çocukluk aşkımsın, Sen ilk göz ağrımsın, Kimseyi kimseyi sevmedim, Senin gibi. Sevdanın uğruna, Terkettim herşeyi, Hayatın anlamı, @GalatasaraySk #King 👑</t>
  </si>
  <si>
    <t>Çayı tazele dede vatan evlatları yola çıkıyor.#TurkishArmy</t>
  </si>
  <si>
    <t>https://pbs.twimg.com/media/EGbMQcyXUAE_NlK.jpg</t>
  </si>
  <si>
    <t>edebim el vermez edepsizlik edene susmak en güzel cevaptır edebi elden gidene.</t>
  </si>
  <si>
    <t>EVLAD-I BAKLAVA</t>
  </si>
  <si>
    <t>https://pbs.twimg.com/media/EGbMZukW4AA9FV6.jpg</t>
  </si>
  <si>
    <t>Tabiki senden daha iyilerine layığım gerizekalı.⭐️⭐️⭐️⭐️</t>
  </si>
  <si>
    <t>🇹🇷KÜR_ŞAD🤘 Bozkurt 🇹🇷</t>
  </si>
  <si>
    <t>#turkisharmy Yok gelemez yok giremez Bizim arkamızda abd var Kaldırdık geliyoruz !!!!!</t>
  </si>
  <si>
    <t>https://pbs.twimg.com/media/EGbMZ5cWsAE7pTk.jpg</t>
  </si>
  <si>
    <t>🇹🇷Ne Mutlu Türküm Diyene🇹🇷 #TürkçüTürkiyeBirliği #PARTİSİZ #TürkMilliyetçisi #BenTürküm</t>
  </si>
  <si>
    <t>UÇ_BEYİ</t>
  </si>
  <si>
    <t>#TurkishArmy Ey cengin talihi bize yol ver yol Bekliyor bizleri zafer Bismillah</t>
  </si>
  <si>
    <t>https://pbs.twimg.com/media/EGbMZOaX0AAwx1g.jpg</t>
  </si>
  <si>
    <t>OBA</t>
  </si>
  <si>
    <t>Berkay Arıkoç</t>
  </si>
  <si>
    <t>Vur şanlı silahınla gönül mülkü düzelsin; Sen öldürürken de vururken de güzelsin! #TurkishArmy 🇹🇷</t>
  </si>
  <si>
    <t>Erciyes Üniversitesi</t>
  </si>
  <si>
    <t>http://instagram.com/berkayarkoc</t>
  </si>
  <si>
    <t>Temizinden delirdim.</t>
  </si>
  <si>
    <t>Laozinin yırtılan çarığı</t>
  </si>
  <si>
    <t>https://pbs.twimg.com/media/EGbMY2-XYAErxot.jpg</t>
  </si>
  <si>
    <t>Sikkim, India</t>
  </si>
  <si>
    <t>神の道</t>
  </si>
  <si>
    <t>Medine'li_Genç</t>
  </si>
  <si>
    <t>Korkaklıkta Ar, İlerlemekte Şeref Var..☝ #TurkishArmy</t>
  </si>
  <si>
    <t>https://pbs.twimg.com/media/EGbMXzDX0AcluBb.jpg</t>
  </si>
  <si>
    <t>T.C.DoğuBey</t>
  </si>
  <si>
    <t>🐺|Fakat ihtimal bazı kafalar kesilecektir. #Atatürk #TurkishArmy #BarışPınarıHarekatı #TSK</t>
  </si>
  <si>
    <t>Bütün CİHAN Bizi MİLLİYETÇİ Olarak Bilir. |Atatürk</t>
  </si>
  <si>
    <t>Ökkeş</t>
  </si>
  <si>
    <t>May The Force Be With You :) #TurkishArmy Allah yar ve yardımcınız olsun.</t>
  </si>
  <si>
    <t>Boğaziçi Üniversitesi/Oyuncu/Meraklı</t>
  </si>
  <si>
    <t>Peygamber Ocağı 🇹🇷</t>
  </si>
  <si>
    <t>Tarih Türk topraklarına göz dikenler için hep aynı kaderi yazar ''Geldiklerini Gibi Giderler '' #TurkishArmy</t>
  </si>
  <si>
    <t>https://pbs.twimg.com/media/EGbMXDbXUAAY1Oz.jpg</t>
  </si>
  <si>
    <t>🇹🇷🇹🇷🇹🇷 Soran olursa TÜRK dersiniz.. 🇹🇷 🇹🇷 🇹🇷</t>
  </si>
  <si>
    <t>Yavuz Han Kılıç</t>
  </si>
  <si>
    <t>Küstahça ve rezilce ülkemi tehtit eden ABD’ye, onun piyonu olan teröristlere karşı devletimin,Ordumun ve başkomutan Cumhurbaşkanı Recep Tayyip Erdoğan’ın yanındayım. #BarışPınarıHarekatı #TurkishArmy</t>
  </si>
  <si>
    <t xml:space="preserve">bandirma </t>
  </si>
  <si>
    <t>Zümrüt Kuyumculuk, Fenerbahçe, Fikir dedikoducusu, yazar çırağı, yargı günü düşünürü</t>
  </si>
  <si>
    <t>Kaveria Ei Jätetä</t>
  </si>
  <si>
    <t>Sefer sizden zafer Allahtan #TurkishArmy RT @TTAgrup: Bu delileri bir araya getirmeyecektiniz! #TurkishArmy</t>
  </si>
  <si>
    <t>İki kişilikliyim ikisi de canavar 👻</t>
  </si>
  <si>
    <t>M.K.</t>
  </si>
  <si>
    <t>Yaylaları geçtik, karlı dağları aştık Siz salonda dans ederken bizler savaştık! #TurkishArmy</t>
  </si>
  <si>
    <t>https://pbs.twimg.com/media/EGbMV_bWoAEI0yZ.jpg</t>
  </si>
  <si>
    <t>🔱KARAHAN🔱 | G F B | 🇹🇷</t>
  </si>
  <si>
    <t>http://Instagram.com/mkaraahan</t>
  </si>
  <si>
    <t>Başlıyoruz... 🇹🇷 #TurkishArmy</t>
  </si>
  <si>
    <t>Bu sitede kiracıyım. 🇹🇷</t>
  </si>
  <si>
    <t>Efe Uçar</t>
  </si>
  <si>
    <t>Türk bir vаzifе için yаrаtılmıştır. O vаzifе kаinаt güzеllеştiği zаmаn bitеr. #TurkishArmy</t>
  </si>
  <si>
    <t>https://pbs.twimg.com/media/EGbMUehXoAAzcFh.jpg</t>
  </si>
  <si>
    <t>•ultrAslan</t>
  </si>
  <si>
    <t>Yol ver Türk’ün bayrağına... #TurkishArmy</t>
  </si>
  <si>
    <t>https://pbs.twimg.com/media/EGbMUJTWkAUisT6.jpg</t>
  </si>
  <si>
    <t>Abdurrahman</t>
  </si>
  <si>
    <t>💗乙ﾚ乇ᄊ______😽💞🐈</t>
  </si>
  <si>
    <t>Operasyon başlamış. Allah Türk Askerinin yardımcısı olsun... 🤲🏼 #TurkishArmy 🇹🇷🇹🇷🇹🇷</t>
  </si>
  <si>
    <t>https://pbs.twimg.com/media/EGbMTNTWkAECPqX.jpg</t>
  </si>
  <si>
    <t>Türkiye Cumhuriyeti  🇹🇷🇹🇷</t>
  </si>
  <si>
    <t>⛔DM⛔</t>
  </si>
  <si>
    <t>Chaudhary Israr</t>
  </si>
  <si>
    <t>Love ♥️ &amp; Respect 🇹🇷Long Live Turkey🇹🇷♥️🇵🇰 Long Live Pakistan..🇵🇰 #TurkishArmy</t>
  </si>
  <si>
    <t>ali altuntepe</t>
  </si>
  <si>
    <t>Ordumuza askerimize Allah güç kuvvet versin her daim hakkı savunan mazlumun yanında olanlarlardan eylesin 🇹🇷🇹🇷#BarısPınarlarıHarekatı #TurkishArmy #turkmilletiordusununyaninda</t>
  </si>
  <si>
    <t>phd(c) mechanical engineer| energy and material| graphene| 2D materials| solar cell</t>
  </si>
  <si>
    <t>https://www.linkedin.com/in/ali-altuntepe-763479104/</t>
  </si>
  <si>
    <t>Selim Hacıoğlu</t>
  </si>
  <si>
    <t>#turkishArmy RT @1parcatuhaftik: Gününüz güzel olsun. #TurkishArmy</t>
  </si>
  <si>
    <t>https://twitter.com/1parcatuhaftik/status/1181844228445478913</t>
  </si>
  <si>
    <t>https://pbs.twimg.com/media/EGbBDz0WwAAwFwS.jpg</t>
  </si>
  <si>
    <t>İstanbul Üniversitesi Biyomedikal Teknikeri</t>
  </si>
  <si>
    <t>https://www.instagram.com/muhammedselimhacioglu/</t>
  </si>
  <si>
    <t>Eva</t>
  </si>
  <si>
    <t>sometimes i hate being a stan acc but i do respect the hashtag #TurkishArmy</t>
  </si>
  <si>
    <t>What a relief.... 💜🇺🇸🇹🇷💜 since 2016</t>
  </si>
  <si>
    <t>Erol ÜN</t>
  </si>
  <si>
    <t>Bir bak tarihe, Türk'e baş kaldıranların sonu ne olmuş! #TurkishArmy</t>
  </si>
  <si>
    <t>https://pbs.twimg.com/media/EGbMQfWWkAA7s0W.jpg</t>
  </si>
  <si>
    <t>Ankara Üniversitesi</t>
  </si>
  <si>
    <t>Dünyalı06</t>
  </si>
  <si>
    <t>Wait, guys, your brothers are coming. #TurkishArmy</t>
  </si>
  <si>
    <t>ankara</t>
  </si>
  <si>
    <t>Terazi var, tartı var; her şeyin bir vakti var.</t>
  </si>
  <si>
    <t>Caner26</t>
  </si>
  <si>
    <t>Yabancı ajanslar harekatın başladığını duyurdu .. #TurkishArmy</t>
  </si>
  <si>
    <t>İleri Kafalarr</t>
  </si>
  <si>
    <t>Seksist film önerileri listesi: #TurkishArmy #çarşamba #EmineBulut #CheGuevara #carsamba Natali Avazyan Haluk Levent Dünya Bankası Bakan Akar'dan Ben Simmons</t>
  </si>
  <si>
    <t>https://yabancifilmonerilerim.blogspot.com/2019/09/seksizm-film-listesi.html</t>
  </si>
  <si>
    <t>Bizi takip ederek sayfamızın büyümesine ve kalitesiz blog içeriklerinden kurtulmanıza yeni bir adım atabilirsiniz. #geritakip Reklam DM!</t>
  </si>
  <si>
    <t>http://www.ilerikafalar.com/</t>
  </si>
  <si>
    <t>Halil Akpınar</t>
  </si>
  <si>
    <t>#TurkishArmy Başlıyoruz.</t>
  </si>
  <si>
    <t>https://pbs.twimg.com/media/EGbMNMeWkAAfAqP.jpg</t>
  </si>
  <si>
    <t>Niğde Ömer Halisdemir Üniversitesi Türkçe Öğretmenliği</t>
  </si>
  <si>
    <t>Sansar</t>
  </si>
  <si>
    <t>Mazluma umut, Zalime korku verir #TurkishArmy</t>
  </si>
  <si>
    <t>Bütün şehit ailelerine #TurkishArmy</t>
  </si>
  <si>
    <t>https://pbs.twimg.com/media/EGbMMfXWwAEVnE_.jpg</t>
  </si>
  <si>
    <t>canerdizdar</t>
  </si>
  <si>
    <t>#TurkishArmy ihanetin bedeli cok agir olucak..</t>
  </si>
  <si>
    <t>Bizde aşklar ölene kadar..</t>
  </si>
  <si>
    <t>Akif Emre</t>
  </si>
  <si>
    <t>Vatansever Hekimler olarak, Savaş ve Barışın iki ülke arasında olacağı bilinci ile Milli Egemenliğimize ve Toprak Bütünlüğümüze yönelik her türlü terör eyleminin, dahili ve harici ihanet şebekelerinin karşısında, Devletimizin ve @TSKGnkur 'mızın yanında olacağız #TurkishArmy</t>
  </si>
  <si>
    <t>https://pbs.twimg.com/media/EGbML7nXYAA8JG_.jpg</t>
  </si>
  <si>
    <t>Aklım her gün tövbe eder. Nefsim her an tövbemi bozar. Arada kalmış bîçareyim. İyi ki senin kapın var. Ankara Deneme Lisesi Erciyes Üniv. Tıp Fakültesi</t>
  </si>
  <si>
    <t>Açık İstihbarat</t>
  </si>
  <si>
    <t>Who asked you for a green light ; you schmuck (@LindseyGrahamSC ) The days of "US; the policeman" are over; get over it. Get out of the 90's when you had better hair. #TurkishArmy RT @LindseyGrahamSC: To the Turkish Government: You do NOT have a green light to enter into northern Syria. There is massive bipartisan opposition in Congress, which you should see as a red line you should not cross.</t>
  </si>
  <si>
    <t>Ey Yolcu; Bu gördüğün bir kelebeğin mermerdeki izidir; Bu okuduğun ebedi bir kelebek etkisidir. Destek için: http://www.patreon.com/acikistihbarat</t>
  </si>
  <si>
    <t>http://www.acikistihbarat.com</t>
  </si>
  <si>
    <t>oktay kaya</t>
  </si>
  <si>
    <t>Özgür Suriye Ordusu'na (ÖSO) bağlı 14 bin askerin ağır silahlarıyla birlikte Türkiye'ye doğru yola çıktığı öğrenildi. #TurkishArmy “Bir gece ansızın gelebiliriz demiştik ve kararlılığımız sürüyor.</t>
  </si>
  <si>
    <t>https://pbs.twimg.com/media/EGbMLYwXUAAh7pU.jpg</t>
  </si>
  <si>
    <t>🔴Selâm Olsun Reis'le Aynı Yolda Yürüyenlere!🔴</t>
  </si>
  <si>
    <t>MAyse⚡</t>
  </si>
  <si>
    <t>Tek Gerçek #TurkishArmy</t>
  </si>
  <si>
    <t>https://pbs.twimg.com/media/EGbMK1lXoAADQ5S.jpg</t>
  </si>
  <si>
    <t>ISTANBUL</t>
  </si>
  <si>
    <t>Gökhan KESKİN</t>
  </si>
  <si>
    <t>Gittiğiniz gibi gelin, #TurkishArmy</t>
  </si>
  <si>
    <t>Her adımımda sonsuz benler koyuyorum boşluğa ve yine ben dolmuyorum...</t>
  </si>
  <si>
    <t>http://www.seyahatgezi.com</t>
  </si>
  <si>
    <t>Celebi 🧙‍♂️</t>
  </si>
  <si>
    <t>#TurkishArmy denildiğinde " Bir Gece Ansızın Gelebiliriz " gelirdi aklıma.. Ama artık Girmeden önce Herkesten izin alıp, kamuoyu oluşturuyor ondan sonra kafamıza göre sağa sola vurup seçimde oyları topluyoruz...</t>
  </si>
  <si>
    <t>MUTMAİN ERKEK🙎🏻‍♂️ 1️⃣Pokemon and Raid coords etc. 2️⃣CeHaBe Kabadılsın!❌🚫 3️⃣ 🧙‍♂️</t>
  </si>
  <si>
    <t>iIkBahar</t>
  </si>
  <si>
    <t>#TurkishArmy Ya Allah Ya Bismillah zafer inananlarındır 💪</t>
  </si>
  <si>
    <t>Ne takipçi kaygısı, ne etkileşim kafayı dağıtır giderim</t>
  </si>
  <si>
    <t>zuma</t>
  </si>
  <si>
    <t>Yürü🇹🇷 #TurkishArmy</t>
  </si>
  <si>
    <t>Buğra Çelik</t>
  </si>
  <si>
    <t>Abdurrahman Uzun</t>
  </si>
  <si>
    <t>@THMhabermerkezi Genel Yayın Yönetmeni / Dertli bir Anadolu Evladı / Araştırmacı / Program Yapımcısı http://facebook.com/uzunabdurrahma… @UzerMedya</t>
  </si>
  <si>
    <t>http://abdurrahmanuzun.com/</t>
  </si>
  <si>
    <t>Lilyy 🥀</t>
  </si>
  <si>
    <t>* Biz Türkler tarih boyunca hürriyet ve istiklale timsal olmuş bir milletiz. MUSTAFA KEMAL ATATÜRK♥️ #TurkishArmy</t>
  </si>
  <si>
    <t>Mustafa Kemal ATATÜRK 🌹</t>
  </si>
  <si>
    <t>EMRE ATEŞ.🇹🇷 🌟OSMANLI🇹🇷🌟TÜRK AKINCISI🇹🇷</t>
  </si>
  <si>
    <t>pic.twitter.com/2Hu12J0CvW</t>
  </si>
  <si>
    <t>#receptayyiperdoğan #osmanlı #Akparti #jöh #fikriasımmedya #ottoman #dirilisbaskanlari #sivas #gühertaş #millibeka #jöh #türksilahlıkuvvetleri #ϜϓſϞ</t>
  </si>
  <si>
    <t>https://www.guhertas.com</t>
  </si>
  <si>
    <t>Bilal ve diğer bakan çocukları önden gitsin suriye'ye #TurkishArmy</t>
  </si>
  <si>
    <t>Mustafa Kemal'in askerleriyiz</t>
  </si>
  <si>
    <t>Serdar Balıkçı</t>
  </si>
  <si>
    <t>❤️ #TurkishArmy❤️</t>
  </si>
  <si>
    <t>#HAYATINANLAMIGALATASARAY❤️💛 UÜ Makine Mühendisliği</t>
  </si>
  <si>
    <t>Recep TORUN</t>
  </si>
  <si>
    <t>YA FETTAH... #TurkishArmy</t>
  </si>
  <si>
    <t>Sessizliğe aşık, meş_kul...! Bilme(ben)ce...</t>
  </si>
  <si>
    <t>ibrahim</t>
  </si>
  <si>
    <t>#TurkishArmy Allah ayağınıza taş değdirmesin</t>
  </si>
  <si>
    <t>ş. 🇹🇷</t>
  </si>
  <si>
    <t>Türk beklenendir. Geldik. #TurkishArmy</t>
  </si>
  <si>
    <t>hak yok vazife vardır | sü hukuk</t>
  </si>
  <si>
    <t>A🔥</t>
  </si>
  <si>
    <t>https://pbs.twimg.com/media/EGbMFOoX0AAXeoG.jpg</t>
  </si>
  <si>
    <t>BİR ÇİFT MAVİ GÖZÜN IŞIĞINDA</t>
  </si>
  <si>
    <t>İslam Yakut</t>
  </si>
  <si>
    <t>İyi ki varsın Eren #TurkishArmy</t>
  </si>
  <si>
    <t>Eren Direk</t>
  </si>
  <si>
    <t>İzinsiz fotoğrafımı kullanan bu şahıs, gerekçesini bildirmesini istediğimde haddini aşıp küstahça davranmıştır. Sizde görün bu rezaleti. #TurkishArmy</t>
  </si>
  <si>
    <t>https://pbs.twimg.com/media/EGbMEzEXYAEIPrm.jpg</t>
  </si>
  <si>
    <t>K.K.K 🇹🇷</t>
  </si>
  <si>
    <t>Btl@</t>
  </si>
  <si>
    <t>Vur şanlı Türk ordusu vur. Sen vurdukça her yerden ses geliyor 🇹🇷 #TurkishArmy</t>
  </si>
  <si>
    <t>Turgay Araklı</t>
  </si>
  <si>
    <t>Be soysuz! Namaza durduğun yönü bilirsin de, kıble diye, secde edip alnını koyduğun toprağı neden söylemezsin vatan diye? ~Neyzen Tevfik 🇹🇷 #TurkishArmy #Çarşamba</t>
  </si>
  <si>
    <t>Tatopani NEPAL/Worldwide</t>
  </si>
  <si>
    <t>Daldan dala-Konudan konuya atlar, Çok bilmiş, Multiple Kültürlü, Kralıyla boy ölçüşür Hem bela hem deva. Yerinde araştırır, ateşin tam ortasında yanar.</t>
  </si>
  <si>
    <t>Penka Laa</t>
  </si>
  <si>
    <t>Yanlış zaman</t>
  </si>
  <si>
    <t>Ali Arslan</t>
  </si>
  <si>
    <t>"Türklerin Kusuru Tahammülsüz Olmaları Değil, Gereğinden Çok Sabredip Hesabı Toptan Sormalarıdır." [Alman Sefir Marschall Bieberstein] #TurkishArmy</t>
  </si>
  <si>
    <t>ikiteker</t>
  </si>
  <si>
    <t>Okur, yazar ; düşünür, sürer.! From İstanbul / Turkey. Dört teker bedeni, iki teker ruhu taşır. Ne Mutlu Türküm Diyene 🏍🤘🇹🇷Turkey</t>
  </si>
  <si>
    <t>Özgür</t>
  </si>
  <si>
    <t>KARŞIYAKA 35,5</t>
  </si>
  <si>
    <t>#bitsedegitsek duygularımı aldırdım.</t>
  </si>
  <si>
    <t>Üç harfliler çarpmaya geliyor. Fistanları hazırlayın😂 #TurkishArmy</t>
  </si>
  <si>
    <t>https://pbs.twimg.com/media/EGbMDWGX0AAzls9.jpg</t>
  </si>
  <si>
    <t>Vatan, Millet, Bayrak🇹🇷</t>
  </si>
  <si>
    <t>BHA🇹🇷</t>
  </si>
  <si>
    <t>pic.twitter.com/Pf5Bp8Xptp</t>
  </si>
  <si>
    <t>BizBiriz</t>
  </si>
  <si>
    <t>Rüzgar Osman Durur</t>
  </si>
  <si>
    <t>Ben Kürt olarak Devletimin Yanindayim Ailem Bana ResulAllah (s.a.v) izinde gitmemi öğretti Ermeni Temsilcinin Esçinsellerin ve Yediği kabı pisletmeninde İnançsızlik Olarak Ögretti Cepheye Gitmeye Hazirim #TurkishArmy</t>
  </si>
  <si>
    <t>ALLAH adaleti yerine Şahsi Adalet uygulayan her kişinin Ensesinde ki hattaroğlu</t>
  </si>
  <si>
    <t>vlk ANK</t>
  </si>
  <si>
    <t>TÜRK 🇹🇷GALATASARAY</t>
  </si>
  <si>
    <t>🇹🇷twoBrothers🇹🇷</t>
  </si>
  <si>
    <t>🇦🇱Bursalı-Arnavut🇦🇱Kız Babası🇹🇷</t>
  </si>
  <si>
    <t>kadir sendil</t>
  </si>
  <si>
    <t>https://pbs.twimg.com/media/EGbMBTBWkAAPfQx.jpg</t>
  </si>
  <si>
    <t>Avrupa üniversitesi #UstanınÇırakları</t>
  </si>
  <si>
    <t>-aykut</t>
  </si>
  <si>
    <t>ALLAH YAR VE YARDIMCINIZ OLSUN. DUALARIMIZ SİZİNLE #TurkishArmy</t>
  </si>
  <si>
    <t>Adnan Menderes Üniversitesi - İktisat 👨‍🎓 | Anadolu Üniversitesi - Menkul Kiymetler ve Sermaye Piyasası 📚 | Temel ve İleri Düzey Borsa Egitim Sertifikası</t>
  </si>
  <si>
    <t>https://www.youtube.com/channel/UCTIoPBaWRC7Gzn7a4XN570Q?view_as=subscriber</t>
  </si>
  <si>
    <t>Tukbayakmur</t>
  </si>
  <si>
    <t>Mielensäpahoittaja</t>
  </si>
  <si>
    <t>ALLAH YARDIMCINIZ OLSUN KAHRAMAN TÜRK ORDUSU VURUN İNLESİN KAHPELER #TurkishArmy</t>
  </si>
  <si>
    <t>TEK DERDİMİZ BEŞİKTAŞ</t>
  </si>
  <si>
    <t>Teolog</t>
  </si>
  <si>
    <t>#YAMANLARLisesi #deprem #TurkishArmy Graham Bell telefonu icat ettiğinde böyle tepki vermemiştir.</t>
  </si>
  <si>
    <t>pic.twitter.com/0zcLPR2VnZ</t>
  </si>
  <si>
    <t>Bilgi cesaret verir, cehalet küstahlık. İmam hatip 🖤 İlahiyat 🖤 Çocuk gelişimi 🖤</t>
  </si>
  <si>
    <t>Fatih Çakmak</t>
  </si>
  <si>
    <t>Millet için etti mi ordum sefer, Kükremiş aslan kesilir her nefer. Döktüğü kandan göğe vursun zafer, Toprağa bir damlası boş akmasın. Âmin! desin hep birden yiğitler, “Allâhu ekber!” gökten şehidler. Âmin! Âmin! Allâhu Ekber! Mehmet Akif Ersoy #TurkishArmy</t>
  </si>
  <si>
    <t>BANANE AMERİKADAN! !!</t>
  </si>
  <si>
    <t>The fact that people are so brainwashed &amp; foolish to believe that Kurds and SDF are terrorists when in fact they fought against ISIS sacrificing their own lives, blows my mind! Cant you see the dirty game they’re playing??? Fuck the #TurkishArmy</t>
  </si>
  <si>
    <t>22 | Warrior of Earth 💫</t>
  </si>
  <si>
    <t>Ahmet Özsezer</t>
  </si>
  <si>
    <t>Rabbim askerlerimizin yar ve yardımcısı olsun.Tırnaklarına zarar gelmeden sevdiklerine en kısa zamanda kavuşurlar İnşallah... #TurkishArmy</t>
  </si>
  <si>
    <t>Profesyonel Otomotivci Amatör Borsacı 😉</t>
  </si>
  <si>
    <t>Mrs. Tesla⚡</t>
  </si>
  <si>
    <t>Ötüken Mühendislik Otağı</t>
  </si>
  <si>
    <t>Savaşın kartalı Tesla'nın beyaz güvercini.</t>
  </si>
  <si>
    <t>İzzettin Hallaçoğlu</t>
  </si>
  <si>
    <t>Kendi içlerinde farklı planları olanlar da var. Bunlar komplo teorisi değil. PKK’yı ve Türkiye içindeki sivil kollarını bu çerçeveden okumak lazım. #TurkishArmy #çarşamba</t>
  </si>
  <si>
    <t>https://pbs.twimg.com/media/EGbL7R_WwAAx_C3.jpg</t>
  </si>
  <si>
    <t>siyaset ve tarih meraklısı, eski futbolsever, mühendis</t>
  </si>
  <si>
    <t>neslii</t>
  </si>
  <si>
    <t>THOR (son of ODİN)</t>
  </si>
  <si>
    <t>Bu algı yönetim tarzı evrenseldir. Ben doğmadan önce #Odin de sıkıntılı süreçlerde bunu yapıyordu ki kendisi #allfather olmasına rağmen. Dün #Mussolini vb bu yöntemi uygularken bugün de #Türkiye deki tüm sorunları örtmek içinde aynı yöntem kullanılıyor. #TurkishArmy RT @EmrAlp__: Ekonomi zorlanıyordu, işsizlik artıyordu, memnuniyetsizlik yayılıyordu.. Sonra harika bir fikir geldi aklına, savaş-mak!!!</t>
  </si>
  <si>
    <t>https://twitter.com/emralp__/status/1181831623484018688</t>
  </si>
  <si>
    <t>Mitolojide değil aranızdayım</t>
  </si>
  <si>
    <t>KaraKartal53</t>
  </si>
  <si>
    <t>Allaha emanet olun dualar sizinle Türk ordusunun gücünü gösterin #BarısPınarıHarekatı #TurkishArmy #Çarşamba...</t>
  </si>
  <si>
    <t>🇹🇷VAR OLSUN BÜYÜK TÜRKİYE CUMHURİYETİ #RİZE53 BİZ ÖLÜMÜNE ÖLÜMÜNE #RECEPTAYYİPERDOĞAN (BEŞİKTAŞ JK.) 🇹🇷</t>
  </si>
  <si>
    <t>tmr</t>
  </si>
  <si>
    <t>#TurkishArmy Allah sizin le duamiz sizinle</t>
  </si>
  <si>
    <t>Tuzla</t>
  </si>
  <si>
    <t>balık day san özgürsün</t>
  </si>
  <si>
    <t>Sennur.</t>
  </si>
  <si>
    <t>Türk ordusu; dünyanın hiçbir ordusunda seninkinden daha temiz, daha sağlam bir askere rast gelinmemiştir. 🇹🇷 Mustafa Kemal Atatürk #TurkishArmy #carsamba</t>
  </si>
  <si>
    <t>https://pbs.twimg.com/media/EGbL4ymWoAABzt0.jpg</t>
  </si>
  <si>
    <t>🇹🇷 RTEU’18 🎓 Öğretmen Hanım 🌸</t>
  </si>
  <si>
    <t>Uğur K~</t>
  </si>
  <si>
    <t>#OBA sakini</t>
  </si>
  <si>
    <t>Okan Pala</t>
  </si>
  <si>
    <t>Mazluma güven Zalime korku salan Varlığıyla dünyaya adalet sağlayan kutlu ordumuz, rabbim sizi muzaffer eylesin. #TurkishArmy</t>
  </si>
  <si>
    <t>Türk /Dadaş /Mimar</t>
  </si>
  <si>
    <t>çeçen</t>
  </si>
  <si>
    <t>#TurkishArmy BU ORDU İSLAMIN ORDUSU GALİB EYLE YA RABBİ...</t>
  </si>
  <si>
    <t>https://pbs.twimg.com/media/EGbL2swWwAArb38.jpg</t>
  </si>
  <si>
    <t>ersin selvi</t>
  </si>
  <si>
    <t>Rabbim daima yanınızda olsun #TurkishArmy</t>
  </si>
  <si>
    <t>https://pbs.twimg.com/media/EGbL3rzWoAclodD.jpg</t>
  </si>
  <si>
    <t>Musa Sert</t>
  </si>
  <si>
    <t>Allah ordumuzu muzaffer eylesin. İnlerine gireceğiz... #TurkishArmy 🇹🇷</t>
  </si>
  <si>
    <t>pic.twitter.com/12gTLZkZt5</t>
  </si>
  <si>
    <t>matematikchi eko</t>
  </si>
  <si>
    <t>#TurkishArmy geliyoruz 😁</t>
  </si>
  <si>
    <t>s.cn</t>
  </si>
  <si>
    <t>İbrahimin delileri sahada #TurkishArmy</t>
  </si>
  <si>
    <t>Ama olmaz bu kötü gidişe bir son vermem gerekir...</t>
  </si>
  <si>
    <t>Muhammed Furkan Göktaş</t>
  </si>
  <si>
    <t>Havada, karada, denizde, çölde, çatakta ve batakta; Her zaman ve her yerde, hazır; daima hazır! #TurkishArmy</t>
  </si>
  <si>
    <t>MERSİN DERDİMİZ VATANA MİLLETE HİZMET 🇹🇷</t>
  </si>
  <si>
    <t>First Lady Merkür</t>
  </si>
  <si>
    <t>pic.twitter.com/p3T2zPqIhy</t>
  </si>
  <si>
    <t>Your religion is not a constitution for the rest of humanity...Queen Mary’s Hospital 🍀✨</t>
  </si>
  <si>
    <t>efderhaa</t>
  </si>
  <si>
    <t>Dunyaya koyarız #TurkishArmy</t>
  </si>
  <si>
    <t>Rade</t>
  </si>
  <si>
    <t>Her zamam ve her yerde #TurkishArmy</t>
  </si>
  <si>
    <t>https://pbs.twimg.com/media/EGbL08kWwAAdwoU.jpg</t>
  </si>
  <si>
    <t>Hikmet Atalay</t>
  </si>
  <si>
    <t>Trabzon - OF</t>
  </si>
  <si>
    <t>Ali Kaplan</t>
  </si>
  <si>
    <t>Biz ordusu olan bir Millet değil, Milleti olan bir Orduyuz 🇹🇷 #TurkishArmy</t>
  </si>
  <si>
    <t>Rbymnm * 𐱅𐰇𐰼𐰰</t>
  </si>
  <si>
    <t>Fırat’ın doğusundan ayak bastığınız heryer temizlensin, sizi eksilmeden aydınlığa çıkarsın aslanlar. Dualarımız sizinle, hep beraber sizinleyiz! 🇹🇷 #OperationPeaceSpring #TurkishArmy #TürkMilletiOrdusununYanında</t>
  </si>
  <si>
    <t>https://pbs.twimg.com/media/EGbL08KX0AAZPFG.jpg</t>
  </si>
  <si>
    <t>Siyasi, içtimâi mezhebim TÜRKÇÜLÜKTÜR! ATA/Ϝϓſ Ϟ https://twitter.com/turktoyturan</t>
  </si>
  <si>
    <t>Dr. SMK</t>
  </si>
  <si>
    <t>Bu ülkede bir futbol takımının borçları için milyarlar toplandı. Barış Pınarı harekatı için MSB bünyesinde bir bağış hesabı açın. Destek olalım. #Barışpınarıbağış #TurkishArmy @TSKGnkur @tcbestepe</t>
  </si>
  <si>
    <t>Galatasaray, Politics, Defence Tecnology, Donk. İstanbul da Uzman Doktor... Kabullenemediğim, muhalefet ediyorum derken ülkesine ve milletine ihanet edenler.</t>
  </si>
  <si>
    <t>Sarı Kurt</t>
  </si>
  <si>
    <t>https://pbs.twimg.com/media/EGbLyuzW4AA-pi-.jpg</t>
  </si>
  <si>
    <t>Tanrı Dağları &amp; Ötüken</t>
  </si>
  <si>
    <t>TÜRK🇹🇷</t>
  </si>
  <si>
    <t>yiğit çetin</t>
  </si>
  <si>
    <t>Istanbul Aydın Unıversity-Civil Air Transport Management ✈️ Istanbul Unıversıty-Justice🗽 25.06 🐰🥛</t>
  </si>
  <si>
    <t>SKY</t>
  </si>
  <si>
    <t>Yolunuz açık olsun, güneş teninizi yakmasın, yağmur canınızı üşütmesin, ayağınıza taş değmesin; su gibi gidin su gibi dönün inşallah 🇹🇷 #TurkishArmy RT @helsinkigoa: Vur şanlı silahınla gönül mülkü düzelsin; Sen öldürüyorken de vururken de güzelsin. #TurkishArmy</t>
  </si>
  <si>
    <t>https://twitter.com/helsinkigoa/status/1181853715306815489</t>
  </si>
  <si>
    <t>https://pbs.twimg.com/media/EGbJr2AWwAAwcVi.jpg</t>
  </si>
  <si>
    <t>🌟🌟🌟🌟 🦁🐺🐎 🌠🌙</t>
  </si>
  <si>
    <t>İsmail kaplan</t>
  </si>
  <si>
    <t>https://pbs.twimg.com/media/EGbLxAHX0AAUEKU.jpg</t>
  </si>
  <si>
    <t>Kaplan</t>
  </si>
  <si>
    <t>Yunus Emre Arslan</t>
  </si>
  <si>
    <t>Dağlar demirdendi dediler ,Türk'ün yüreği çeliktendi öğrettik. #TurkishArmy</t>
  </si>
  <si>
    <t>https://pbs.twimg.com/media/EGbLxVFWwAAiS4d.jpg</t>
  </si>
  <si>
    <t>İnegöl</t>
  </si>
  <si>
    <t>Çanakkale Onsekiz Mart Üniversitesi İnegöl</t>
  </si>
  <si>
    <t>mevy💥💦</t>
  </si>
  <si>
    <t>🇹🇷 #TurkishArmy 🇹🇷</t>
  </si>
  <si>
    <t>https://pbs.twimg.com/media/EGbLwQMXkAExPVp.jpg</t>
  </si>
  <si>
    <t>Ve sen gelmiyorsun, çünkü gelmeye kendin ihtiyaç duyana kadar bekliyorsun.. ➰</t>
  </si>
  <si>
    <t>Hazırlansın tabutluklar,yine girip çıkacağız. #TurkishArmy</t>
  </si>
  <si>
    <t>SCÜ▪️İnternational Trade and Logistics▪️</t>
  </si>
  <si>
    <t>Cihat</t>
  </si>
  <si>
    <t>CENGİZ ÇAKAR</t>
  </si>
  <si>
    <t>HATAY KIRIKHAN</t>
  </si>
  <si>
    <t>DEVLETİ EBED MÜDDET</t>
  </si>
  <si>
    <t>Ya rabbi çocuklarımız sana emanet ya Allah Bismillah #TurkishArmy</t>
  </si>
  <si>
    <t>Batuhan Oğuz ÖKTEN</t>
  </si>
  <si>
    <t>pic.twitter.com/CwziALV5i9</t>
  </si>
  <si>
    <t>Yaşattığını yaşarsın.🇹🇷 DADAŞ</t>
  </si>
  <si>
    <t>http://www.forzabesiktas.com</t>
  </si>
  <si>
    <t>siinems</t>
  </si>
  <si>
    <t>Dosta güven düşmana korkudur #TurkishArmy işte bu mübarek ordudur Allah yar ve yardımcınız olsun</t>
  </si>
  <si>
    <t>Zulmu alkişlayamam Zalimi asla sevemem! #EvladiOsmanli</t>
  </si>
  <si>
    <t>Aydın yılmaz</t>
  </si>
  <si>
    <t>“Biz Türkler ordusu olan bir millet değil, milleti olan bir orduyuz.” Başkomutan Mustafa Kemal Atatürk #TurkishArmy</t>
  </si>
  <si>
    <t>https://pbs.twimg.com/media/EGbLtUdW4AAI5fC.jpg</t>
  </si>
  <si>
    <t>Ömer Halis Demir Üniversitesi📚🎓 Coğrafya Öğretmeni</t>
  </si>
  <si>
    <t>alexulo¹⁹⁰⁷ #yeniden</t>
  </si>
  <si>
    <t>Selam Türk'ün Bayrağına #TurkishArmy</t>
  </si>
  <si>
    <t>https://pbs.twimg.com/media/EGbLso3WsAASbqb.jpg</t>
  </si>
  <si>
    <t>Çınardaki papağan bilmez bi yanım mahçup Bi yanım hala 14 kayık kepli o çocuk FENERBAHÇE// KuleliAskeriLisesi//</t>
  </si>
  <si>
    <t>Kubilay</t>
  </si>
  <si>
    <t>Namlunun ucu teroristlere cevrilince barış naraları atanlar.Savas istediniz,istediğiniz savaşı alacaksiniz.#TurkishArmy</t>
  </si>
  <si>
    <t>https://pbs.twimg.com/media/EGbLsDNXUAU6g4s.jpg</t>
  </si>
  <si>
    <t>Kriyos</t>
  </si>
  <si>
    <t>the man from earth</t>
  </si>
  <si>
    <t>Pala</t>
  </si>
  <si>
    <t>https://pbs.twimg.com/media/EGbLqobW4AIJQX7.jpg</t>
  </si>
  <si>
    <t>Transhümanist Ateist</t>
  </si>
  <si>
    <t>Bedelli askerlik yapan çocukların babaları karar verdi Bedelli yaptıramayan babaların çocukları savaşa gidecek. #TurkishArmy 💕</t>
  </si>
  <si>
    <t>Transhümanist. Bilim aşığı. mantık sevdalısı. kitapsever. Yobaz düşmanı.</t>
  </si>
  <si>
    <t>Cüneyt Şeker</t>
  </si>
  <si>
    <t>Fırtınalar koparan da sizlersiniz, hak uğrunda can verenler de. 40 yıllık hesabı kapatamaya gelen kahramanlar; Allah yâr ve yardımcınız olsun! #BarisPinariHarekati #TurkishArmy #Syria #TurkMilletiOrdusununYanında</t>
  </si>
  <si>
    <t>https://pbs.twimg.com/media/EGbLqPLX0AA5wXx.jpg</t>
  </si>
  <si>
    <t>DR #AtauniTıp 'Vay ki gençtim ölümle paslanmış buldum sesimi'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</si>
</sst>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quot;/&quot;mm&quot;/&quot;yyyy&quot; &quot;hh&quot;:&quot;mm"/>
    <numFmt numFmtId="165" formatCode="m/d/yyyy\ h:mm:ss"/>
  </numFmts>
  <fonts count="7">
    <font>
      <sz val="10"/>
      <color rgb="FF000000"/>
      <name val="Arial"/>
    </font>
    <font>
      <sz val="10"/>
      <color rgb="FFFFFFFF"/>
      <name val="Droid Sans"/>
    </font>
    <font>
      <sz val="8"/>
      <color rgb="FFFFFFFF"/>
      <name val="Droid Sans"/>
    </font>
    <font>
      <sz val="8"/>
      <color theme="1"/>
      <name val="Droid Sans"/>
    </font>
    <font>
      <u/>
      <sz val="8"/>
      <color rgb="FF0000FF"/>
      <name val="Droid Sans"/>
    </font>
    <font>
      <u/>
      <sz val="8"/>
      <color rgb="FF0000FF"/>
      <name val="Droid Sans"/>
    </font>
    <font>
      <u/>
      <sz val="8"/>
      <color rgb="FF0000FF"/>
      <name val="Droid Sans"/>
    </font>
  </fonts>
  <fills count="3">
    <fill>
      <patternFill patternType="none"/>
    </fill>
    <fill>
      <patternFill patternType="gray125"/>
    </fill>
    <fill>
      <patternFill patternType="solid">
        <fgColor rgb="FF3C78D8"/>
        <bgColor rgb="FF3C78D8"/>
      </patternFill>
    </fill>
  </fills>
  <borders count="1">
    <border>
      <left/>
      <right/>
      <top/>
      <bottom/>
      <diagonal/>
    </border>
  </borders>
  <cellStyleXfs count="1">
    <xf numFmtId="0" fontId="0" fillId="0" borderId="0"/>
  </cellStyleXfs>
  <cellXfs count="22">
    <xf numFmtId="0" fontId="0" fillId="0" borderId="0" xfId="0" applyFont="1" applyAlignment="1"/>
    <xf numFmtId="164" fontId="1" fillId="0" borderId="0" xfId="0" applyNumberFormat="1" applyFont="1" applyAlignment="1">
      <alignment horizontal="center" vertical="center"/>
    </xf>
    <xf numFmtId="0" fontId="1" fillId="0" borderId="0" xfId="0" applyFont="1" applyAlignment="1">
      <alignment vertical="center"/>
    </xf>
    <xf numFmtId="0" fontId="1" fillId="0" borderId="0" xfId="0" applyFont="1" applyAlignment="1">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vertical="center"/>
    </xf>
    <xf numFmtId="0" fontId="3" fillId="0" borderId="0" xfId="0" applyFont="1" applyAlignment="1">
      <alignment vertical="center"/>
    </xf>
    <xf numFmtId="0" fontId="3" fillId="0" borderId="0" xfId="0" applyFont="1" applyAlignment="1">
      <alignment vertical="center"/>
    </xf>
    <xf numFmtId="165" fontId="3" fillId="0" borderId="0" xfId="0" applyNumberFormat="1" applyFont="1" applyAlignment="1">
      <alignment vertical="center"/>
    </xf>
    <xf numFmtId="0" fontId="2" fillId="2" borderId="0" xfId="0" applyFont="1" applyFill="1" applyAlignment="1">
      <alignment vertical="center"/>
    </xf>
    <xf numFmtId="164" fontId="3" fillId="0" borderId="0" xfId="0" applyNumberFormat="1" applyFont="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5" fillId="0" borderId="0" xfId="0" applyFont="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3" fillId="0" borderId="0" xfId="0" applyFont="1" applyAlignment="1">
      <alignment horizontal="center" vertical="center"/>
    </xf>
    <xf numFmtId="14" fontId="3" fillId="0" borderId="0" xfId="0" applyNumberFormat="1" applyFont="1" applyAlignment="1">
      <alignment horizontal="center" vertical="center"/>
    </xf>
    <xf numFmtId="0" fontId="6" fillId="0" borderId="0" xfId="0" applyFont="1" applyAlignment="1">
      <alignment horizontal="center" vertical="center"/>
    </xf>
    <xf numFmtId="0" fontId="3" fillId="0" borderId="0" xfId="0" applyFont="1" applyAlignment="1">
      <alignment horizontal="center" vertical="center"/>
    </xf>
    <xf numFmtId="0" fontId="3" fillId="0" borderId="0" xfId="0" quotePrefix="1" applyFont="1" applyAlignment="1">
      <alignment vertical="center"/>
    </xf>
  </cellXfs>
  <cellStyles count="1">
    <cellStyle name="Normal" xfId="0" builtinId="0"/>
  </cellStyles>
  <dxfs count="9">
    <dxf>
      <fill>
        <patternFill patternType="solid">
          <fgColor rgb="FFE8F0FE"/>
          <bgColor rgb="FFE8F0FE"/>
        </patternFill>
      </fill>
    </dxf>
    <dxf>
      <fill>
        <patternFill patternType="solid">
          <fgColor rgb="FFFFFFFF"/>
          <bgColor rgb="FFFFFFFF"/>
        </patternFill>
      </fill>
    </dxf>
    <dxf>
      <fill>
        <patternFill patternType="solid">
          <fgColor rgb="FF1155CC"/>
          <bgColor rgb="FF1155CC"/>
        </patternFill>
      </fill>
    </dxf>
    <dxf>
      <fill>
        <patternFill patternType="solid">
          <fgColor rgb="FFE8F0FE"/>
          <bgColor rgb="FFE8F0FE"/>
        </patternFill>
      </fill>
    </dxf>
    <dxf>
      <fill>
        <patternFill patternType="solid">
          <fgColor rgb="FFFFFFFF"/>
          <bgColor rgb="FFFFFFFF"/>
        </patternFill>
      </fill>
    </dxf>
    <dxf>
      <fill>
        <patternFill patternType="solid">
          <fgColor rgb="FF1155CC"/>
          <bgColor rgb="FF1155CC"/>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3">
    <tableStyle name="Twitter Archiver Logs-style" pivot="0" count="3" xr9:uid="{00000000-0011-0000-FFFF-FFFF00000000}">
      <tableStyleElement type="headerRow" dxfId="8"/>
      <tableStyleElement type="firstRowStripe" dxfId="7"/>
      <tableStyleElement type="secondRowStripe" dxfId="6"/>
    </tableStyle>
    <tableStyle name="#JamalKhashoggi OR #خاشقجي -fil-style" pivot="0" count="3" xr9:uid="{00000000-0011-0000-FFFF-FFFF01000000}">
      <tableStyleElement type="headerRow" dxfId="5"/>
      <tableStyleElement type="firstRowStripe" dxfId="4"/>
      <tableStyleElement type="secondRowStripe" dxfId="3"/>
    </tableStyle>
    <tableStyle name="#TurkishArmy -filterretweets-style" pivot="0" count="3" xr9:uid="{00000000-0011-0000-FFFF-FFFF02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3" displayName="Table_3" ref="A1:Z5691" headerRowCount="0">
  <tableColumns count="2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s>
  <tableStyleInfo name="#TurkishArmy -filterretweets-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Z2161" headerRowCount="0">
  <tableColumns count="26">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 id="15" xr3:uid="{00000000-0010-0000-0100-00000F000000}" name="Column15"/>
    <tableColumn id="16" xr3:uid="{00000000-0010-0000-0100-000010000000}" name="Column16"/>
    <tableColumn id="17" xr3:uid="{00000000-0010-0000-0100-000011000000}" name="Column17"/>
    <tableColumn id="18" xr3:uid="{00000000-0010-0000-0100-000012000000}" name="Column18"/>
    <tableColumn id="19" xr3:uid="{00000000-0010-0000-0100-000013000000}" name="Column19"/>
    <tableColumn id="20" xr3:uid="{00000000-0010-0000-0100-000014000000}" name="Column20"/>
    <tableColumn id="21" xr3:uid="{00000000-0010-0000-0100-000015000000}" name="Column21"/>
    <tableColumn id="22" xr3:uid="{00000000-0010-0000-0100-000016000000}" name="Column22"/>
    <tableColumn id="23" xr3:uid="{00000000-0010-0000-0100-000017000000}" name="Column23"/>
    <tableColumn id="24" xr3:uid="{00000000-0010-0000-0100-000018000000}" name="Column24"/>
    <tableColumn id="25" xr3:uid="{00000000-0010-0000-0100-000019000000}" name="Column25"/>
    <tableColumn id="26" xr3:uid="{00000000-0010-0000-0100-00001A000000}" name="Column26"/>
  </tableColumns>
  <tableStyleInfo name="#JamalKhashoggi OR #خاشقجي -fil-style"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_1" displayName="Table_1" ref="A1:Z1000" headerRowCount="0">
  <tableColumns count="26">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 id="15" xr3:uid="{00000000-0010-0000-0200-00000F000000}" name="Column15"/>
    <tableColumn id="16" xr3:uid="{00000000-0010-0000-0200-000010000000}" name="Column16"/>
    <tableColumn id="17" xr3:uid="{00000000-0010-0000-0200-000011000000}" name="Column17"/>
    <tableColumn id="18" xr3:uid="{00000000-0010-0000-0200-000012000000}" name="Column18"/>
    <tableColumn id="19" xr3:uid="{00000000-0010-0000-0200-000013000000}" name="Column19"/>
    <tableColumn id="20" xr3:uid="{00000000-0010-0000-0200-000014000000}" name="Column20"/>
    <tableColumn id="21" xr3:uid="{00000000-0010-0000-0200-000015000000}" name="Column21"/>
    <tableColumn id="22" xr3:uid="{00000000-0010-0000-0200-000016000000}" name="Column22"/>
    <tableColumn id="23" xr3:uid="{00000000-0010-0000-0200-000017000000}" name="Column23"/>
    <tableColumn id="24" xr3:uid="{00000000-0010-0000-0200-000018000000}" name="Column24"/>
    <tableColumn id="25" xr3:uid="{00000000-0010-0000-0200-000019000000}" name="Column25"/>
    <tableColumn id="26" xr3:uid="{00000000-0010-0000-0200-00001A000000}" name="Column26"/>
  </tableColumns>
  <tableStyleInfo name="Twitter Archiver Log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ntbilgi.com/baldiran-otu/" TargetMode="External"/><Relationship Id="rId3182" Type="http://schemas.openxmlformats.org/officeDocument/2006/relationships/hyperlink" Target="https://pbs.twimg.com/media/EGbdNG9XkAE9V5-.jpg" TargetMode="External"/><Relationship Id="rId4233" Type="http://schemas.openxmlformats.org/officeDocument/2006/relationships/hyperlink" Target="https://pbs.twimg.com/media/EGbPFoAXYAUnQIq.jpg" TargetMode="External"/><Relationship Id="rId3999" Type="http://schemas.openxmlformats.org/officeDocument/2006/relationships/hyperlink" Target="https://pbs.twimg.com/media/EGbSAZMXYAA9WB4.jpg" TargetMode="External"/><Relationship Id="rId4300" Type="http://schemas.openxmlformats.org/officeDocument/2006/relationships/hyperlink" Target="https://pbs.twimg.com/media/EGbORXCXkAA6CwQ.jpg" TargetMode="External"/><Relationship Id="rId170" Type="http://schemas.openxmlformats.org/officeDocument/2006/relationships/hyperlink" Target="http://www.berwaz.com.kw/?p=34053" TargetMode="External"/><Relationship Id="rId987" Type="http://schemas.openxmlformats.org/officeDocument/2006/relationships/hyperlink" Target="http://pic.twitter.com/oy59oJlMVF" TargetMode="External"/><Relationship Id="rId2668" Type="http://schemas.openxmlformats.org/officeDocument/2006/relationships/hyperlink" Target="https://pbs.twimg.com/media/EGbn-KjWkAENRTx.jpg" TargetMode="External"/><Relationship Id="rId3719" Type="http://schemas.openxmlformats.org/officeDocument/2006/relationships/hyperlink" Target="http://anitsayac.com/" TargetMode="External"/><Relationship Id="rId4090" Type="http://schemas.openxmlformats.org/officeDocument/2006/relationships/hyperlink" Target="https://pbs.twimg.com/media/EGbQqUQXoAcTCRX.jpg" TargetMode="External"/><Relationship Id="rId1684" Type="http://schemas.openxmlformats.org/officeDocument/2006/relationships/hyperlink" Target="http://pic.twitter.com/Y4RU7cuX78" TargetMode="External"/><Relationship Id="rId2735" Type="http://schemas.openxmlformats.org/officeDocument/2006/relationships/hyperlink" Target="https://pbs.twimg.com/media/EGbmXllWwAAan9n.jpg" TargetMode="External"/><Relationship Id="rId707" Type="http://schemas.openxmlformats.org/officeDocument/2006/relationships/hyperlink" Target="http://www.oztashafriyat.com/" TargetMode="External"/><Relationship Id="rId1337" Type="http://schemas.openxmlformats.org/officeDocument/2006/relationships/hyperlink" Target="https://www.akparti.org.tr/" TargetMode="External"/><Relationship Id="rId1751" Type="http://schemas.openxmlformats.org/officeDocument/2006/relationships/hyperlink" Target="https://tr.pinterest.com/atlganselin/" TargetMode="External"/><Relationship Id="rId2802" Type="http://schemas.openxmlformats.org/officeDocument/2006/relationships/hyperlink" Target="https://pbs.twimg.com/media/EGRbh9jXoAABxJk.jpg" TargetMode="External"/><Relationship Id="rId43" Type="http://schemas.openxmlformats.org/officeDocument/2006/relationships/hyperlink" Target="https://pbs.twimg.com/media/EGcaV74WkAAB5IF.jpg" TargetMode="External"/><Relationship Id="rId1404" Type="http://schemas.openxmlformats.org/officeDocument/2006/relationships/hyperlink" Target="https://youtu.be/vGzUB9AM_J4" TargetMode="External"/><Relationship Id="rId3576" Type="http://schemas.openxmlformats.org/officeDocument/2006/relationships/hyperlink" Target="https://twitter.com/realdonaldtrump/status/1181553636444426240" TargetMode="External"/><Relationship Id="rId497" Type="http://schemas.openxmlformats.org/officeDocument/2006/relationships/hyperlink" Target="https://pbs.twimg.com/media/EGcTkU2VUAAuPL8.jpg" TargetMode="External"/><Relationship Id="rId2178" Type="http://schemas.openxmlformats.org/officeDocument/2006/relationships/hyperlink" Target="http://instagram.com/ecemcetinkaya_" TargetMode="External"/><Relationship Id="rId3229" Type="http://schemas.openxmlformats.org/officeDocument/2006/relationships/hyperlink" Target="http://pic.twitter.com/KTlQqdb0Dx" TargetMode="External"/><Relationship Id="rId3990" Type="http://schemas.openxmlformats.org/officeDocument/2006/relationships/hyperlink" Target="https://pbs.twimg.com/media/EGbSG-kWkAEuJrH.jpg" TargetMode="External"/><Relationship Id="rId1194" Type="http://schemas.openxmlformats.org/officeDocument/2006/relationships/hyperlink" Target="https://pbs.twimg.com/media/EGcPEzrWoAAOtxg.jpg" TargetMode="External"/><Relationship Id="rId2592" Type="http://schemas.openxmlformats.org/officeDocument/2006/relationships/hyperlink" Target="http://pic.twitter.com/zNpXGuUWYU" TargetMode="External"/><Relationship Id="rId3643" Type="http://schemas.openxmlformats.org/officeDocument/2006/relationships/hyperlink" Target="https://pbs.twimg.com/media/EGbW1ThX0AAT_Qt.jpg" TargetMode="External"/><Relationship Id="rId217" Type="http://schemas.openxmlformats.org/officeDocument/2006/relationships/hyperlink" Target="http://byburyy.com/" TargetMode="External"/><Relationship Id="rId564" Type="http://schemas.openxmlformats.org/officeDocument/2006/relationships/hyperlink" Target="https://pbs.twimg.com/media/EGcT7iGX0AEKNtE.jpg" TargetMode="External"/><Relationship Id="rId2245" Type="http://schemas.openxmlformats.org/officeDocument/2006/relationships/hyperlink" Target="https://pbs.twimg.com/media/EGby87eX0AAmYJY.jpg" TargetMode="External"/><Relationship Id="rId3710" Type="http://schemas.openxmlformats.org/officeDocument/2006/relationships/hyperlink" Target="https://pbs.twimg.com/media/EGbVxzeWsAAKjds.jpg" TargetMode="External"/><Relationship Id="rId631" Type="http://schemas.openxmlformats.org/officeDocument/2006/relationships/hyperlink" Target="http://instagram.com/aytugbulut1" TargetMode="External"/><Relationship Id="rId1261" Type="http://schemas.openxmlformats.org/officeDocument/2006/relationships/hyperlink" Target="http://pic.twitter.com/eqB7U83t6I" TargetMode="External"/><Relationship Id="rId2312" Type="http://schemas.openxmlformats.org/officeDocument/2006/relationships/hyperlink" Target="https://pbs.twimg.com/media/EGbwtMCW4AE0dZb.jpg" TargetMode="External"/><Relationship Id="rId4484" Type="http://schemas.openxmlformats.org/officeDocument/2006/relationships/hyperlink" Target="https://twitter.com/LindseyGrahamSC/status/1181714248977833984" TargetMode="External"/><Relationship Id="rId3086" Type="http://schemas.openxmlformats.org/officeDocument/2006/relationships/hyperlink" Target="https://pbs.twimg.com/media/EGbfv9iWoAAfvfT.jpg" TargetMode="External"/><Relationship Id="rId4137" Type="http://schemas.openxmlformats.org/officeDocument/2006/relationships/hyperlink" Target="https://pbs.twimg.com/media/EGbQDBgX0AAj1CM.jpg" TargetMode="External"/><Relationship Id="rId3153" Type="http://schemas.openxmlformats.org/officeDocument/2006/relationships/hyperlink" Target="http://pic.twitter.com/efREOzHbP6" TargetMode="External"/><Relationship Id="rId4204" Type="http://schemas.openxmlformats.org/officeDocument/2006/relationships/hyperlink" Target="http://pic.twitter.com/J3FrD2x1ae" TargetMode="External"/><Relationship Id="rId141" Type="http://schemas.openxmlformats.org/officeDocument/2006/relationships/hyperlink" Target="https://pbs.twimg.com/media/EGcYI-SXoAATFoX.jpg" TargetMode="External"/><Relationship Id="rId3220" Type="http://schemas.openxmlformats.org/officeDocument/2006/relationships/hyperlink" Target="https://pbs.twimg.com/media/EGa0LsjW4AMa0UL.jpg" TargetMode="External"/><Relationship Id="rId7" Type="http://schemas.openxmlformats.org/officeDocument/2006/relationships/hyperlink" Target="http://stepagency-sy.net/" TargetMode="External"/><Relationship Id="rId2986" Type="http://schemas.openxmlformats.org/officeDocument/2006/relationships/hyperlink" Target="http://www.fenerbahce.org/" TargetMode="External"/><Relationship Id="rId958" Type="http://schemas.openxmlformats.org/officeDocument/2006/relationships/hyperlink" Target="https://pbs.twimg.com/media/EGcRJG9XYAAyjh4.jpg" TargetMode="External"/><Relationship Id="rId1588" Type="http://schemas.openxmlformats.org/officeDocument/2006/relationships/hyperlink" Target="http://www.internethaber.com/" TargetMode="External"/><Relationship Id="rId2639" Type="http://schemas.openxmlformats.org/officeDocument/2006/relationships/hyperlink" Target="https://pbs.twimg.com/media/EGboqjGXUAE-gpL.jpg" TargetMode="External"/><Relationship Id="rId1655" Type="http://schemas.openxmlformats.org/officeDocument/2006/relationships/hyperlink" Target="https://www.instagram.com/muhammedblgc/" TargetMode="External"/><Relationship Id="rId2706" Type="http://schemas.openxmlformats.org/officeDocument/2006/relationships/hyperlink" Target="https://pbs.twimg.com/media/EGbnQROWoAAV2UD.jpg" TargetMode="External"/><Relationship Id="rId4061" Type="http://schemas.openxmlformats.org/officeDocument/2006/relationships/hyperlink" Target="https://pbs.twimg.com/media/EGbRTGOWoAYtl_E.jpg" TargetMode="External"/><Relationship Id="rId1308" Type="http://schemas.openxmlformats.org/officeDocument/2006/relationships/hyperlink" Target="http://pic.twitter.com/uyhDsvYwru" TargetMode="External"/><Relationship Id="rId1722" Type="http://schemas.openxmlformats.org/officeDocument/2006/relationships/hyperlink" Target="https://pbs.twimg.com/media/EGcLpy3XkAAagqk.jpg" TargetMode="External"/><Relationship Id="rId14" Type="http://schemas.openxmlformats.org/officeDocument/2006/relationships/hyperlink" Target="https://pbs.twimg.com/media/EGcbBPZX0AE05-l.jpg" TargetMode="External"/><Relationship Id="rId3894" Type="http://schemas.openxmlformats.org/officeDocument/2006/relationships/hyperlink" Target="https://pbs.twimg.com/media/EGbTgOYWsAAxwHJ.jpg" TargetMode="External"/><Relationship Id="rId2496" Type="http://schemas.openxmlformats.org/officeDocument/2006/relationships/hyperlink" Target="http://instagram.com/mtahakbulut" TargetMode="External"/><Relationship Id="rId3547" Type="http://schemas.openxmlformats.org/officeDocument/2006/relationships/hyperlink" Target="https://pbs.twimg.com/media/EGbYUCgXUAAWsuo.jpg" TargetMode="External"/><Relationship Id="rId3961" Type="http://schemas.openxmlformats.org/officeDocument/2006/relationships/hyperlink" Target="http://www.instagram.com/emrecantopuz/" TargetMode="External"/><Relationship Id="rId468" Type="http://schemas.openxmlformats.org/officeDocument/2006/relationships/hyperlink" Target="http://instagram.com/nazelialtin" TargetMode="External"/><Relationship Id="rId882" Type="http://schemas.openxmlformats.org/officeDocument/2006/relationships/hyperlink" Target="https://pbs.twimg.com/media/EGcRu-BWwAAq6Da.jpg" TargetMode="External"/><Relationship Id="rId1098" Type="http://schemas.openxmlformats.org/officeDocument/2006/relationships/hyperlink" Target="https://pbs.twimg.com/media/EGcQEWqXUAElWW-.jpg" TargetMode="External"/><Relationship Id="rId2149" Type="http://schemas.openxmlformats.org/officeDocument/2006/relationships/hyperlink" Target="https://pbs.twimg.com/media/EGb1O_CWkAAeaoa.jpg" TargetMode="External"/><Relationship Id="rId2563" Type="http://schemas.openxmlformats.org/officeDocument/2006/relationships/hyperlink" Target="https://pbs.twimg.com/media/EGbqVwQWwAU-M2f.jpg" TargetMode="External"/><Relationship Id="rId3614" Type="http://schemas.openxmlformats.org/officeDocument/2006/relationships/hyperlink" Target="https://pbs.twimg.com/media/C1mV8CZWEAEaCFa.jpg" TargetMode="External"/><Relationship Id="rId535" Type="http://schemas.openxmlformats.org/officeDocument/2006/relationships/hyperlink" Target="https://pbs.twimg.com/media/EGcUMBQXkAEm3YJ.jpg" TargetMode="External"/><Relationship Id="rId1165" Type="http://schemas.openxmlformats.org/officeDocument/2006/relationships/hyperlink" Target="https://pbs.twimg.com/media/EGcPVgVX0AAVJd1.jpg" TargetMode="External"/><Relationship Id="rId2216" Type="http://schemas.openxmlformats.org/officeDocument/2006/relationships/hyperlink" Target="http://www.sedatpeker.com/" TargetMode="External"/><Relationship Id="rId2630" Type="http://schemas.openxmlformats.org/officeDocument/2006/relationships/hyperlink" Target="https://pbs.twimg.com/media/EGbo6i9XkAIq4Ls.jpg" TargetMode="External"/><Relationship Id="rId602" Type="http://schemas.openxmlformats.org/officeDocument/2006/relationships/hyperlink" Target="https://pbs.twimg.com/media/EGcTnIwXkAAryai.jpg" TargetMode="External"/><Relationship Id="rId1232" Type="http://schemas.openxmlformats.org/officeDocument/2006/relationships/hyperlink" Target="https://pbs.twimg.com/media/EGcOv3eWkAEIvWk.jpg" TargetMode="External"/><Relationship Id="rId4388" Type="http://schemas.openxmlformats.org/officeDocument/2006/relationships/hyperlink" Target="https://pbs.twimg.com/media/EGbNYTTWwAAJiyl.jpg" TargetMode="External"/><Relationship Id="rId3057" Type="http://schemas.openxmlformats.org/officeDocument/2006/relationships/hyperlink" Target="https://pbs.twimg.com/media/EGbgXnwW4AAIqJN.jpg" TargetMode="External"/><Relationship Id="rId4108" Type="http://schemas.openxmlformats.org/officeDocument/2006/relationships/hyperlink" Target="http://instagram.com/mirkovicstein61" TargetMode="External"/><Relationship Id="rId4455" Type="http://schemas.openxmlformats.org/officeDocument/2006/relationships/hyperlink" Target="https://pbs.twimg.com/media/EGbMaIhWwAIthGG.jpg" TargetMode="External"/><Relationship Id="rId3471" Type="http://schemas.openxmlformats.org/officeDocument/2006/relationships/hyperlink" Target="https://twitter.com/Trofr2/status/1181704755971870720?s=19" TargetMode="External"/><Relationship Id="rId4522" Type="http://schemas.openxmlformats.org/officeDocument/2006/relationships/hyperlink" Target="https://pbs.twimg.com/media/EGbLso3WsAASbqb.jpg" TargetMode="External"/><Relationship Id="rId392" Type="http://schemas.openxmlformats.org/officeDocument/2006/relationships/hyperlink" Target="https://pbs.twimg.com/media/EGcVde9XoAA2HS8.jpg" TargetMode="External"/><Relationship Id="rId2073" Type="http://schemas.openxmlformats.org/officeDocument/2006/relationships/hyperlink" Target="https://pbs.twimg.com/media/EGb3Kl4X0AAYGyO.jpg" TargetMode="External"/><Relationship Id="rId3124" Type="http://schemas.openxmlformats.org/officeDocument/2006/relationships/hyperlink" Target="http://pic.twitter.com/Sj4EDkikU2" TargetMode="External"/><Relationship Id="rId2140" Type="http://schemas.openxmlformats.org/officeDocument/2006/relationships/hyperlink" Target="https://pbs.twimg.com/media/EGb1dA2X0AASsiL.jpg" TargetMode="External"/><Relationship Id="rId112" Type="http://schemas.openxmlformats.org/officeDocument/2006/relationships/hyperlink" Target="http://pic.twitter.com/tWmusfX6eL" TargetMode="External"/><Relationship Id="rId2957" Type="http://schemas.openxmlformats.org/officeDocument/2006/relationships/hyperlink" Target="https://www.instagram.com/safaarsln/?hl=tr" TargetMode="External"/><Relationship Id="rId929" Type="http://schemas.openxmlformats.org/officeDocument/2006/relationships/hyperlink" Target="https://youtu.be/xodr5o2Shck" TargetMode="External"/><Relationship Id="rId1559" Type="http://schemas.openxmlformats.org/officeDocument/2006/relationships/hyperlink" Target="https://www.instagram.com/emrearduc" TargetMode="External"/><Relationship Id="rId1973" Type="http://schemas.openxmlformats.org/officeDocument/2006/relationships/hyperlink" Target="https://pbs.twimg.com/media/EGb5Vq-XUAA0-GS.jpg" TargetMode="External"/><Relationship Id="rId4032" Type="http://schemas.openxmlformats.org/officeDocument/2006/relationships/hyperlink" Target="https://pbs.twimg.com/media/EGbRougXYAET_Fm.jpg" TargetMode="External"/><Relationship Id="rId1626" Type="http://schemas.openxmlformats.org/officeDocument/2006/relationships/hyperlink" Target="https://pbs.twimg.com/media/EGcMIfsXkAEGKzX.jpg" TargetMode="External"/><Relationship Id="rId3798" Type="http://schemas.openxmlformats.org/officeDocument/2006/relationships/hyperlink" Target="https://pbs.twimg.com/media/EGbUsVnXkAA3Za8.jpg" TargetMode="External"/><Relationship Id="rId3865" Type="http://schemas.openxmlformats.org/officeDocument/2006/relationships/hyperlink" Target="http://pic.twitter.com/3M0kkWlCh7" TargetMode="External"/><Relationship Id="rId786" Type="http://schemas.openxmlformats.org/officeDocument/2006/relationships/hyperlink" Target="http://instagram.com/ahmtemrn/" TargetMode="External"/><Relationship Id="rId2467" Type="http://schemas.openxmlformats.org/officeDocument/2006/relationships/hyperlink" Target="http://instagram.com/xomerdogan" TargetMode="External"/><Relationship Id="rId3518" Type="http://schemas.openxmlformats.org/officeDocument/2006/relationships/hyperlink" Target="https://pbs.twimg.com/media/EGbYnnEXYAAQUu9.jpg" TargetMode="External"/><Relationship Id="rId439" Type="http://schemas.openxmlformats.org/officeDocument/2006/relationships/hyperlink" Target="https://twitter.com/RTErdogan/status/1181919804619407360" TargetMode="External"/><Relationship Id="rId1069" Type="http://schemas.openxmlformats.org/officeDocument/2006/relationships/hyperlink" Target="https://pbs.twimg.com/media/EGcQQpAXoAEbF-K.jpg" TargetMode="External"/><Relationship Id="rId1483" Type="http://schemas.openxmlformats.org/officeDocument/2006/relationships/hyperlink" Target="https://pbs.twimg.com/media/EGcM1v2X0AEq32H.jpg" TargetMode="External"/><Relationship Id="rId2881" Type="http://schemas.openxmlformats.org/officeDocument/2006/relationships/hyperlink" Target="https://pbs.twimg.com/media/EGbjP3DWsAEuh89.jpg" TargetMode="External"/><Relationship Id="rId3932" Type="http://schemas.openxmlformats.org/officeDocument/2006/relationships/hyperlink" Target="http://pic.twitter.com/WbuO5oxc1I" TargetMode="External"/><Relationship Id="rId506" Type="http://schemas.openxmlformats.org/officeDocument/2006/relationships/hyperlink" Target="https://pbs.twimg.com/media/EGcUbQ4XoAArnAV.jpg" TargetMode="External"/><Relationship Id="rId853" Type="http://schemas.openxmlformats.org/officeDocument/2006/relationships/hyperlink" Target="http://pic.twitter.com/zLIaWLXWkE" TargetMode="External"/><Relationship Id="rId1136" Type="http://schemas.openxmlformats.org/officeDocument/2006/relationships/hyperlink" Target="https://www.instagram.com/p/B3Zlqs-pkfb/?igshid=n5l4ochw5m8s" TargetMode="External"/><Relationship Id="rId2534" Type="http://schemas.openxmlformats.org/officeDocument/2006/relationships/hyperlink" Target="https://pbs.twimg.com/media/EGbrgXYWwAIQhuf.jpg" TargetMode="External"/><Relationship Id="rId920" Type="http://schemas.openxmlformats.org/officeDocument/2006/relationships/hyperlink" Target="https://pbs.twimg.com/media/EGcRYSDWwAIEkAu.jpg" TargetMode="External"/><Relationship Id="rId1550" Type="http://schemas.openxmlformats.org/officeDocument/2006/relationships/hyperlink" Target="http://pic.twitter.com/crCkhP8TMj" TargetMode="External"/><Relationship Id="rId2601" Type="http://schemas.openxmlformats.org/officeDocument/2006/relationships/hyperlink" Target="https://pbs.twimg.com/media/EGbpo21WkAEWL3z.jpg" TargetMode="External"/><Relationship Id="rId1203" Type="http://schemas.openxmlformats.org/officeDocument/2006/relationships/hyperlink" Target="http://instagram.com/eda.19951907" TargetMode="External"/><Relationship Id="rId4359" Type="http://schemas.openxmlformats.org/officeDocument/2006/relationships/hyperlink" Target="https://pbs.twimg.com/media/EGbNrtyUUAAZIHO.jpg" TargetMode="External"/><Relationship Id="rId3375" Type="http://schemas.openxmlformats.org/officeDocument/2006/relationships/hyperlink" Target="http://pic.twitter.com/Og9KG6mLqD" TargetMode="External"/><Relationship Id="rId4426" Type="http://schemas.openxmlformats.org/officeDocument/2006/relationships/hyperlink" Target="http://berhanataoglu.com/" TargetMode="External"/><Relationship Id="rId296" Type="http://schemas.openxmlformats.org/officeDocument/2006/relationships/hyperlink" Target="https://pbs.twimg.com/media/EGcWRJSXUAAJ2XD.jpg" TargetMode="External"/><Relationship Id="rId2391" Type="http://schemas.openxmlformats.org/officeDocument/2006/relationships/hyperlink" Target="http://pic.twitter.com/NUINlwvjpz" TargetMode="External"/><Relationship Id="rId3028" Type="http://schemas.openxmlformats.org/officeDocument/2006/relationships/hyperlink" Target="https://pbs.twimg.com/media/EGbg1ffXkAAs-6l.jpg" TargetMode="External"/><Relationship Id="rId3442" Type="http://schemas.openxmlformats.org/officeDocument/2006/relationships/hyperlink" Target="http://www.yoretur.com.tr/" TargetMode="External"/><Relationship Id="rId363" Type="http://schemas.openxmlformats.org/officeDocument/2006/relationships/hyperlink" Target="https://twitter.com/slmhktn/status/1181693753234321408" TargetMode="External"/><Relationship Id="rId2044" Type="http://schemas.openxmlformats.org/officeDocument/2006/relationships/hyperlink" Target="http://pic.twitter.com/izLgf5nyWh" TargetMode="External"/><Relationship Id="rId430" Type="http://schemas.openxmlformats.org/officeDocument/2006/relationships/hyperlink" Target="http://pic.twitter.com/T3Ji0PVo6V" TargetMode="External"/><Relationship Id="rId1060" Type="http://schemas.openxmlformats.org/officeDocument/2006/relationships/hyperlink" Target="https://twitter.com/TractorOfficial" TargetMode="External"/><Relationship Id="rId2111" Type="http://schemas.openxmlformats.org/officeDocument/2006/relationships/hyperlink" Target="http://www.youtube.com/on4hd" TargetMode="External"/><Relationship Id="rId1877" Type="http://schemas.openxmlformats.org/officeDocument/2006/relationships/hyperlink" Target="http://www.sancaruguryol.org/" TargetMode="External"/><Relationship Id="rId2928" Type="http://schemas.openxmlformats.org/officeDocument/2006/relationships/hyperlink" Target="https://pbs.twimg.com/media/D2Kv8tZWkAEPgwO.jpg" TargetMode="External"/><Relationship Id="rId4283" Type="http://schemas.openxmlformats.org/officeDocument/2006/relationships/hyperlink" Target="https://pbs.twimg.com/media/EGbObkAWkAEpp2v.jpg" TargetMode="External"/><Relationship Id="rId1944" Type="http://schemas.openxmlformats.org/officeDocument/2006/relationships/hyperlink" Target="https://pbs.twimg.com/media/EGUD_LRXoAAwojz.jpg" TargetMode="External"/><Relationship Id="rId4350" Type="http://schemas.openxmlformats.org/officeDocument/2006/relationships/hyperlink" Target="http://pic.twitter.com/ffBUWZxyhe" TargetMode="External"/><Relationship Id="rId4003" Type="http://schemas.openxmlformats.org/officeDocument/2006/relationships/hyperlink" Target="https://pbs.twimg.com/media/EGbR_YuXUAIyEM1.jpg" TargetMode="External"/><Relationship Id="rId3769" Type="http://schemas.openxmlformats.org/officeDocument/2006/relationships/hyperlink" Target="https://pbs.twimg.com/media/EGbVAH-XkAEzept.jpg" TargetMode="External"/><Relationship Id="rId2785" Type="http://schemas.openxmlformats.org/officeDocument/2006/relationships/hyperlink" Target="http://pic.twitter.com/wVeKTzgYRe" TargetMode="External"/><Relationship Id="rId3836" Type="http://schemas.openxmlformats.org/officeDocument/2006/relationships/hyperlink" Target="https://pbs.twimg.com/media/EGbUNgSWoAAphUq.jpg" TargetMode="External"/><Relationship Id="rId757" Type="http://schemas.openxmlformats.org/officeDocument/2006/relationships/hyperlink" Target="https://twitter.com/sjosephburns/status/1181931262275182593" TargetMode="External"/><Relationship Id="rId1387" Type="http://schemas.openxmlformats.org/officeDocument/2006/relationships/hyperlink" Target="https://pbs.twimg.com/media/EGcNYIhXUAI2Tef.jpg" TargetMode="External"/><Relationship Id="rId2438" Type="http://schemas.openxmlformats.org/officeDocument/2006/relationships/hyperlink" Target="https://pbs.twimg.com/media/EGbtrYvXkAAQRNq.jpg" TargetMode="External"/><Relationship Id="rId2852" Type="http://schemas.openxmlformats.org/officeDocument/2006/relationships/hyperlink" Target="http://pic.twitter.com/e7Ams2EZZx" TargetMode="External"/><Relationship Id="rId3903" Type="http://schemas.openxmlformats.org/officeDocument/2006/relationships/hyperlink" Target="http://www.seyrangah.tv/" TargetMode="External"/><Relationship Id="rId93" Type="http://schemas.openxmlformats.org/officeDocument/2006/relationships/hyperlink" Target="https://pbs.twimg.com/media/EGcZPC_XkAAazR2.jpg" TargetMode="External"/><Relationship Id="rId824" Type="http://schemas.openxmlformats.org/officeDocument/2006/relationships/hyperlink" Target="https://www.britannica.com/biography/Kemal-Ataturk" TargetMode="External"/><Relationship Id="rId1454" Type="http://schemas.openxmlformats.org/officeDocument/2006/relationships/hyperlink" Target="https://pbs.twimg.com/media/EGcM9kAXUAE9Iob.jpg" TargetMode="External"/><Relationship Id="rId2505" Type="http://schemas.openxmlformats.org/officeDocument/2006/relationships/hyperlink" Target="https://twitter.com/TTAgrup/status/1181829264490029056" TargetMode="External"/><Relationship Id="rId1107" Type="http://schemas.openxmlformats.org/officeDocument/2006/relationships/hyperlink" Target="http://pic.twitter.com/LliYomG8hO" TargetMode="External"/><Relationship Id="rId1521" Type="http://schemas.openxmlformats.org/officeDocument/2006/relationships/hyperlink" Target="https://pbs.twimg.com/media/EGcMlvKXUAEuhcC.jpg" TargetMode="External"/><Relationship Id="rId3279" Type="http://schemas.openxmlformats.org/officeDocument/2006/relationships/hyperlink" Target="https://pbs.twimg.com/media/EGbch5RXkAEgcXW.jpg" TargetMode="External"/><Relationship Id="rId3693" Type="http://schemas.openxmlformats.org/officeDocument/2006/relationships/hyperlink" Target="http://www.chp.org.tr/" TargetMode="External"/><Relationship Id="rId2295" Type="http://schemas.openxmlformats.org/officeDocument/2006/relationships/hyperlink" Target="http://pic.twitter.com/MXbfjFVcGr" TargetMode="External"/><Relationship Id="rId3346" Type="http://schemas.openxmlformats.org/officeDocument/2006/relationships/hyperlink" Target="http://instagram.com/alirzamertcan/" TargetMode="External"/><Relationship Id="rId267" Type="http://schemas.openxmlformats.org/officeDocument/2006/relationships/hyperlink" Target="https://pbs.twimg.com/media/EGcWmcyXoAAbbHy.jpg" TargetMode="External"/><Relationship Id="rId3760" Type="http://schemas.openxmlformats.org/officeDocument/2006/relationships/hyperlink" Target="https://pbs.twimg.com/media/EGbVNFKX0AEmuqg.jpg" TargetMode="External"/><Relationship Id="rId681" Type="http://schemas.openxmlformats.org/officeDocument/2006/relationships/hyperlink" Target="https://en.wikipedia.org/wiki/Libertarian_conservatism" TargetMode="External"/><Relationship Id="rId2362" Type="http://schemas.openxmlformats.org/officeDocument/2006/relationships/hyperlink" Target="https://pbs.twimg.com/media/EGbvgb5WwAEVdAF.jpg" TargetMode="External"/><Relationship Id="rId3413" Type="http://schemas.openxmlformats.org/officeDocument/2006/relationships/hyperlink" Target="https://pbs.twimg.com/media/EGbaS7fWwAUt2Xq.jpg" TargetMode="External"/><Relationship Id="rId334" Type="http://schemas.openxmlformats.org/officeDocument/2006/relationships/hyperlink" Target="https://pbs.twimg.com/media/EGcUAhJWkAEIaNq.jpg" TargetMode="External"/><Relationship Id="rId2015" Type="http://schemas.openxmlformats.org/officeDocument/2006/relationships/hyperlink" Target="https://bit.ly/2VpNdco" TargetMode="External"/><Relationship Id="rId401" Type="http://schemas.openxmlformats.org/officeDocument/2006/relationships/hyperlink" Target="http://pic.twitter.com/ZXKbkpsPds" TargetMode="External"/><Relationship Id="rId1031" Type="http://schemas.openxmlformats.org/officeDocument/2006/relationships/hyperlink" Target="http://www.ihh.org/" TargetMode="External"/><Relationship Id="rId4187" Type="http://schemas.openxmlformats.org/officeDocument/2006/relationships/hyperlink" Target="https://pbs.twimg.com/media/EGbPdWEXoAAN5-c.jpg" TargetMode="External"/><Relationship Id="rId4254" Type="http://schemas.openxmlformats.org/officeDocument/2006/relationships/hyperlink" Target="http://pic.twitter.com/2FAeWiVpSJ" TargetMode="External"/><Relationship Id="rId1848" Type="http://schemas.openxmlformats.org/officeDocument/2006/relationships/hyperlink" Target="https://twitter.com/" TargetMode="External"/><Relationship Id="rId3270" Type="http://schemas.openxmlformats.org/officeDocument/2006/relationships/hyperlink" Target="http://pic.twitter.com/o3lcN6ZP2Y" TargetMode="External"/><Relationship Id="rId4321" Type="http://schemas.openxmlformats.org/officeDocument/2006/relationships/hyperlink" Target="https://pbs.twimg.com/media/EGbOFImXoAA-HCt.jpg" TargetMode="External"/><Relationship Id="rId191" Type="http://schemas.openxmlformats.org/officeDocument/2006/relationships/hyperlink" Target="https://pbs.twimg.com/media/EGcXSINW4AI3hXc.jpg" TargetMode="External"/><Relationship Id="rId1915" Type="http://schemas.openxmlformats.org/officeDocument/2006/relationships/hyperlink" Target="https://pbs.twimg.com/media/D5vvd0-WwAM3j2e.jpg" TargetMode="External"/><Relationship Id="rId2689" Type="http://schemas.openxmlformats.org/officeDocument/2006/relationships/hyperlink" Target="https://pbs.twimg.com/media/EGbndsSXoAAJS16.jpg" TargetMode="External"/><Relationship Id="rId2756" Type="http://schemas.openxmlformats.org/officeDocument/2006/relationships/hyperlink" Target="http://pic.twitter.com/78xnL0Puyo" TargetMode="External"/><Relationship Id="rId3807" Type="http://schemas.openxmlformats.org/officeDocument/2006/relationships/hyperlink" Target="http://instagram.com/geldimami" TargetMode="External"/><Relationship Id="rId728" Type="http://schemas.openxmlformats.org/officeDocument/2006/relationships/hyperlink" Target="https://pbs.twimg.com/media/EGcStw9XUAApbe1.jpg" TargetMode="External"/><Relationship Id="rId1358" Type="http://schemas.openxmlformats.org/officeDocument/2006/relationships/hyperlink" Target="https://medium.com/@17egeo3/kendime-sorular-a4619abd50f0" TargetMode="External"/><Relationship Id="rId1772" Type="http://schemas.openxmlformats.org/officeDocument/2006/relationships/hyperlink" Target="http://www.ilk-kursun.com/" TargetMode="External"/><Relationship Id="rId2409" Type="http://schemas.openxmlformats.org/officeDocument/2006/relationships/hyperlink" Target="http://pic.twitter.com/OWRxB5kAGS" TargetMode="External"/><Relationship Id="rId64" Type="http://schemas.openxmlformats.org/officeDocument/2006/relationships/hyperlink" Target="http://pic.twitter.com/XYCjSJJv9p" TargetMode="External"/><Relationship Id="rId1425" Type="http://schemas.openxmlformats.org/officeDocument/2006/relationships/hyperlink" Target="https://pbs.twimg.com/media/EGcNJx7XoAI7vPT.jpg" TargetMode="External"/><Relationship Id="rId2823" Type="http://schemas.openxmlformats.org/officeDocument/2006/relationships/hyperlink" Target="http://pic.twitter.com/pBOyyePsKT" TargetMode="External"/><Relationship Id="rId2199" Type="http://schemas.openxmlformats.org/officeDocument/2006/relationships/hyperlink" Target="https://pbs.twimg.com/media/EGbz79CWkAEcdL8.jpg" TargetMode="External"/><Relationship Id="rId3597" Type="http://schemas.openxmlformats.org/officeDocument/2006/relationships/hyperlink" Target="http://instagram.com/yunusaktas10" TargetMode="External"/><Relationship Id="rId3664" Type="http://schemas.openxmlformats.org/officeDocument/2006/relationships/hyperlink" Target="https://pbs.twimg.com/media/EGbWYl_W4AES5wu.jpg" TargetMode="External"/><Relationship Id="rId585" Type="http://schemas.openxmlformats.org/officeDocument/2006/relationships/hyperlink" Target="https://pbs.twimg.com/media/EGcTv_9W4AATJzs.jpg" TargetMode="External"/><Relationship Id="rId2266" Type="http://schemas.openxmlformats.org/officeDocument/2006/relationships/hyperlink" Target="https://pbs.twimg.com/media/Dx7k-voWsAAwdp1.jpg" TargetMode="External"/><Relationship Id="rId2680" Type="http://schemas.openxmlformats.org/officeDocument/2006/relationships/hyperlink" Target="https://pbs.twimg.com/media/EGbn2RhXYAI5cWf.jpg" TargetMode="External"/><Relationship Id="rId3317" Type="http://schemas.openxmlformats.org/officeDocument/2006/relationships/hyperlink" Target="https://instagram.com/2bbutik" TargetMode="External"/><Relationship Id="rId3731" Type="http://schemas.openxmlformats.org/officeDocument/2006/relationships/hyperlink" Target="http://istanbulgonulluleri.org/" TargetMode="External"/><Relationship Id="rId238" Type="http://schemas.openxmlformats.org/officeDocument/2006/relationships/hyperlink" Target="https://pbs.twimg.com/media/EGcUmwtX0AAyo__.jpg" TargetMode="External"/><Relationship Id="rId652" Type="http://schemas.openxmlformats.org/officeDocument/2006/relationships/hyperlink" Target="http://mehmetalikulat.com/" TargetMode="External"/><Relationship Id="rId1282" Type="http://schemas.openxmlformats.org/officeDocument/2006/relationships/hyperlink" Target="https://pbs.twimg.com/media/EGcOOqiWwAEra_F.jpg" TargetMode="External"/><Relationship Id="rId2333" Type="http://schemas.openxmlformats.org/officeDocument/2006/relationships/hyperlink" Target="https://twitter.com/ttagrup/status/1181829264490029056" TargetMode="External"/><Relationship Id="rId305" Type="http://schemas.openxmlformats.org/officeDocument/2006/relationships/hyperlink" Target="https://pbs.twimg.com/media/EGcWMi8WkAMR-Ci.jpg" TargetMode="External"/><Relationship Id="rId2400" Type="http://schemas.openxmlformats.org/officeDocument/2006/relationships/hyperlink" Target="https://twitter.com/LisanHal06/status/1181867301286633472" TargetMode="External"/><Relationship Id="rId1002" Type="http://schemas.openxmlformats.org/officeDocument/2006/relationships/hyperlink" Target="http://aa.com.tr/tr" TargetMode="External"/><Relationship Id="rId4158" Type="http://schemas.openxmlformats.org/officeDocument/2006/relationships/hyperlink" Target="http://pic.twitter.com/ceTwqZ3XVj" TargetMode="External"/><Relationship Id="rId3174" Type="http://schemas.openxmlformats.org/officeDocument/2006/relationships/hyperlink" Target="http://www.ahmetertem.com/" TargetMode="External"/><Relationship Id="rId1819" Type="http://schemas.openxmlformats.org/officeDocument/2006/relationships/hyperlink" Target="https://pbs.twimg.com/media/EGb9j30W4AAnzS9.jpg" TargetMode="External"/><Relationship Id="rId4225" Type="http://schemas.openxmlformats.org/officeDocument/2006/relationships/hyperlink" Target="https://pbs.twimg.com/media/EGbPIFaXkAANVR9.jpg" TargetMode="External"/><Relationship Id="rId2190" Type="http://schemas.openxmlformats.org/officeDocument/2006/relationships/hyperlink" Target="https://pbs.twimg.com/media/EGb0FRSXoAApE0y.jpg" TargetMode="External"/><Relationship Id="rId3241" Type="http://schemas.openxmlformats.org/officeDocument/2006/relationships/hyperlink" Target="https://pbs.twimg.com/media/EGbdLVQXkAATHgb.jpg" TargetMode="External"/><Relationship Id="rId162" Type="http://schemas.openxmlformats.org/officeDocument/2006/relationships/hyperlink" Target="http://instagram.com/aliiern" TargetMode="External"/><Relationship Id="rId979" Type="http://schemas.openxmlformats.org/officeDocument/2006/relationships/hyperlink" Target="https://pbs.twimg.com/media/EGcQ81SX0AAjBI4.jpg" TargetMode="External"/><Relationship Id="rId4082" Type="http://schemas.openxmlformats.org/officeDocument/2006/relationships/hyperlink" Target="https://www.facebook.com/oguzhan.bagdatli" TargetMode="External"/><Relationship Id="rId1676" Type="http://schemas.openxmlformats.org/officeDocument/2006/relationships/hyperlink" Target="http://pic.twitter.com/JvEccVDcEO" TargetMode="External"/><Relationship Id="rId2727" Type="http://schemas.openxmlformats.org/officeDocument/2006/relationships/hyperlink" Target="https://pbs.twimg.com/media/EGbmlkDW4AEKgqr.jpg" TargetMode="External"/><Relationship Id="rId1329" Type="http://schemas.openxmlformats.org/officeDocument/2006/relationships/hyperlink" Target="https://twitter.com/RTErdogan/status/1181919804619407360" TargetMode="External"/><Relationship Id="rId1743" Type="http://schemas.openxmlformats.org/officeDocument/2006/relationships/hyperlink" Target="https://pbs.twimg.com/media/EGb_tkfWsAIdHnK.jpg" TargetMode="External"/><Relationship Id="rId35" Type="http://schemas.openxmlformats.org/officeDocument/2006/relationships/hyperlink" Target="https://pbs.twimg.com/media/EGcakCNXkAA1Bhd.jpg" TargetMode="External"/><Relationship Id="rId1810" Type="http://schemas.openxmlformats.org/officeDocument/2006/relationships/hyperlink" Target="https://mbugrahankilic.wordpress.com/" TargetMode="External"/><Relationship Id="rId3568" Type="http://schemas.openxmlformats.org/officeDocument/2006/relationships/hyperlink" Target="https://pbs.twimg.com/media/EGbYAmVW4AAowVz.jpg" TargetMode="External"/><Relationship Id="rId3982" Type="http://schemas.openxmlformats.org/officeDocument/2006/relationships/hyperlink" Target="http://pic.twitter.com/VkfeQzeyVo" TargetMode="External"/><Relationship Id="rId489" Type="http://schemas.openxmlformats.org/officeDocument/2006/relationships/hyperlink" Target="https://pbs.twimg.com/media/EGcUluiXkAEcqI5.jpg" TargetMode="External"/><Relationship Id="rId2584" Type="http://schemas.openxmlformats.org/officeDocument/2006/relationships/hyperlink" Target="http://www.youtube.com/c/dedimedyayoutube" TargetMode="External"/><Relationship Id="rId3635" Type="http://schemas.openxmlformats.org/officeDocument/2006/relationships/hyperlink" Target="https://pbs.twimg.com/media/EGbW5pdWkAAQn3b.jpg" TargetMode="External"/><Relationship Id="rId556" Type="http://schemas.openxmlformats.org/officeDocument/2006/relationships/hyperlink" Target="https://pbs.twimg.com/media/EGcT_iKXYAEW1pr.jpg" TargetMode="External"/><Relationship Id="rId1186" Type="http://schemas.openxmlformats.org/officeDocument/2006/relationships/hyperlink" Target="http://www.cecevaspor.org/" TargetMode="External"/><Relationship Id="rId2237" Type="http://schemas.openxmlformats.org/officeDocument/2006/relationships/hyperlink" Target="https://pbs.twimg.com/media/EGbzGWeXUAMh8SQ.jpg" TargetMode="External"/><Relationship Id="rId209" Type="http://schemas.openxmlformats.org/officeDocument/2006/relationships/hyperlink" Target="https://pbs.twimg.com/media/EGcXGn-XkAArpVs.jpg" TargetMode="External"/><Relationship Id="rId970" Type="http://schemas.openxmlformats.org/officeDocument/2006/relationships/hyperlink" Target="https://pbs.twimg.com/media/EGcREU5XkAAEnu3.jpg" TargetMode="External"/><Relationship Id="rId1253" Type="http://schemas.openxmlformats.org/officeDocument/2006/relationships/hyperlink" Target="https://pbs.twimg.com/media/EGcOhaGXYAAKtuP.jpg" TargetMode="External"/><Relationship Id="rId2651" Type="http://schemas.openxmlformats.org/officeDocument/2006/relationships/hyperlink" Target="https://www.instagram.com/tc.gizemyildiz/" TargetMode="External"/><Relationship Id="rId3702" Type="http://schemas.openxmlformats.org/officeDocument/2006/relationships/hyperlink" Target="https://pbs.twimg.com/media/EGbV6brWoAEylg6.jpg" TargetMode="External"/><Relationship Id="rId623" Type="http://schemas.openxmlformats.org/officeDocument/2006/relationships/hyperlink" Target="https://twitter.com/1parcatuhaftik/status/1181933644425912320" TargetMode="External"/><Relationship Id="rId2304" Type="http://schemas.openxmlformats.org/officeDocument/2006/relationships/hyperlink" Target="https://pbs.twimg.com/media/EGbxUF8X0AAkmRy.jpg" TargetMode="External"/><Relationship Id="rId1320" Type="http://schemas.openxmlformats.org/officeDocument/2006/relationships/hyperlink" Target="http://pic.twitter.com/bivkmH1XGg" TargetMode="External"/><Relationship Id="rId4476" Type="http://schemas.openxmlformats.org/officeDocument/2006/relationships/hyperlink" Target="https://www.instagram.com/muhammedselimhacioglu/" TargetMode="External"/><Relationship Id="rId3078" Type="http://schemas.openxmlformats.org/officeDocument/2006/relationships/hyperlink" Target="https://pbs.twimg.com/media/EGbf23gWkAA0h8F.jpg" TargetMode="External"/><Relationship Id="rId3492" Type="http://schemas.openxmlformats.org/officeDocument/2006/relationships/hyperlink" Target="http://galatasaray.org/" TargetMode="External"/><Relationship Id="rId4129" Type="http://schemas.openxmlformats.org/officeDocument/2006/relationships/hyperlink" Target="https://www.youtube.com/watch?v=qv0RBMoVTiM&amp;feature=youtu.be&amp;t=26" TargetMode="External"/><Relationship Id="rId2094" Type="http://schemas.openxmlformats.org/officeDocument/2006/relationships/hyperlink" Target="https://pbs.twimg.com/media/EGb2nU8XkAEjyPq.jpg" TargetMode="External"/><Relationship Id="rId3145" Type="http://schemas.openxmlformats.org/officeDocument/2006/relationships/hyperlink" Target="https://pbs.twimg.com/media/EGbe2ASWsAANaee.jpg" TargetMode="External"/><Relationship Id="rId480" Type="http://schemas.openxmlformats.org/officeDocument/2006/relationships/hyperlink" Target="https://pbs.twimg.com/media/EGcUqW-WwAAw4wj.jpg" TargetMode="External"/><Relationship Id="rId2161" Type="http://schemas.openxmlformats.org/officeDocument/2006/relationships/hyperlink" Target="https://pbs.twimg.com/media/DuyrFlMWoAARLU6.jpg" TargetMode="External"/><Relationship Id="rId3212" Type="http://schemas.openxmlformats.org/officeDocument/2006/relationships/hyperlink" Target="https://pbs.twimg.com/media/EGbdrqwWkAEiB2g.jpg" TargetMode="External"/><Relationship Id="rId133" Type="http://schemas.openxmlformats.org/officeDocument/2006/relationships/hyperlink" Target="http://tarihturklerdebaslar.wordpress.com/" TargetMode="External"/><Relationship Id="rId200" Type="http://schemas.openxmlformats.org/officeDocument/2006/relationships/hyperlink" Target="https://pbs.twimg.com/media/EGcXOY0XkAA0-J6.jpg" TargetMode="External"/><Relationship Id="rId2978" Type="http://schemas.openxmlformats.org/officeDocument/2006/relationships/hyperlink" Target="http://pic.twitter.com/Cg3NiaMqMO" TargetMode="External"/><Relationship Id="rId1994" Type="http://schemas.openxmlformats.org/officeDocument/2006/relationships/hyperlink" Target="https://pbs.twimg.com/media/EGb41NRXkAAK0rX.jpg" TargetMode="External"/><Relationship Id="rId1647" Type="http://schemas.openxmlformats.org/officeDocument/2006/relationships/hyperlink" Target="https://pbs.twimg.com/media/EGcMAmRWsAA7OZp.jpg" TargetMode="External"/><Relationship Id="rId4053" Type="http://schemas.openxmlformats.org/officeDocument/2006/relationships/hyperlink" Target="http://pic.twitter.com/gas3UKauNo" TargetMode="External"/><Relationship Id="rId1714" Type="http://schemas.openxmlformats.org/officeDocument/2006/relationships/hyperlink" Target="http://www.instagram.com/efeaky1453" TargetMode="External"/><Relationship Id="rId4120" Type="http://schemas.openxmlformats.org/officeDocument/2006/relationships/hyperlink" Target="https://pbs.twimg.com/media/EGbQPbGXYAAT27C.jpg" TargetMode="External"/><Relationship Id="rId2488" Type="http://schemas.openxmlformats.org/officeDocument/2006/relationships/hyperlink" Target="http://instagram.com/aydnn9/" TargetMode="External"/><Relationship Id="rId3886" Type="http://schemas.openxmlformats.org/officeDocument/2006/relationships/hyperlink" Target="https://pbs.twimg.com/media/EGbTq-AXUAE-z-v.jpg" TargetMode="External"/><Relationship Id="rId3539" Type="http://schemas.openxmlformats.org/officeDocument/2006/relationships/hyperlink" Target="http://pic.twitter.com/J84wkOXzg2" TargetMode="External"/><Relationship Id="rId3953" Type="http://schemas.openxmlformats.org/officeDocument/2006/relationships/hyperlink" Target="https://pbs.twimg.com/media/EGbSu4-W4AEdbIk.jpg" TargetMode="External"/><Relationship Id="rId874" Type="http://schemas.openxmlformats.org/officeDocument/2006/relationships/hyperlink" Target="https://pbs.twimg.com/media/EGcRxgdXoAYhv5m.jpg" TargetMode="External"/><Relationship Id="rId2555" Type="http://schemas.openxmlformats.org/officeDocument/2006/relationships/hyperlink" Target="http://www.vuralhanbozkurt.com/" TargetMode="External"/><Relationship Id="rId3606" Type="http://schemas.openxmlformats.org/officeDocument/2006/relationships/hyperlink" Target="https://pbs.twimg.com/media/EGbXXLpWkAEGi0B.jpg" TargetMode="External"/><Relationship Id="rId527" Type="http://schemas.openxmlformats.org/officeDocument/2006/relationships/hyperlink" Target="https://pbs.twimg.com/media/EGcUQvFXUAQcavF.jpg" TargetMode="External"/><Relationship Id="rId941" Type="http://schemas.openxmlformats.org/officeDocument/2006/relationships/hyperlink" Target="https://pbs.twimg.com/media/EGcRS8CW4AIz-ST.jpg" TargetMode="External"/><Relationship Id="rId1157" Type="http://schemas.openxmlformats.org/officeDocument/2006/relationships/hyperlink" Target="http://www.bilgiistasyonu.net/" TargetMode="External"/><Relationship Id="rId1571" Type="http://schemas.openxmlformats.org/officeDocument/2006/relationships/hyperlink" Target="https://www.instagram.com/00nilay" TargetMode="External"/><Relationship Id="rId2208" Type="http://schemas.openxmlformats.org/officeDocument/2006/relationships/hyperlink" Target="https://twitter.com/mhmmedckrgz/status/1181899539537629184" TargetMode="External"/><Relationship Id="rId2622" Type="http://schemas.openxmlformats.org/officeDocument/2006/relationships/hyperlink" Target="https://twitter.com/Trabzonspor/status/1181451561559572480" TargetMode="External"/><Relationship Id="rId1224" Type="http://schemas.openxmlformats.org/officeDocument/2006/relationships/hyperlink" Target="https://www.youtube.com/c/ibcTurkishSoldier" TargetMode="External"/><Relationship Id="rId3189" Type="http://schemas.openxmlformats.org/officeDocument/2006/relationships/hyperlink" Target="https://pbs.twimg.com/media/EGbeMKhWoAAgQK-.jpg" TargetMode="External"/><Relationship Id="rId3396" Type="http://schemas.openxmlformats.org/officeDocument/2006/relationships/hyperlink" Target="https://pbs.twimg.com/media/EGbajpWX0AAZvt5.jpg" TargetMode="External"/><Relationship Id="rId4447" Type="http://schemas.openxmlformats.org/officeDocument/2006/relationships/hyperlink" Target="https://pbs.twimg.com/media/EGbMf1-XoAkWzQf.jpg" TargetMode="External"/><Relationship Id="rId3049" Type="http://schemas.openxmlformats.org/officeDocument/2006/relationships/hyperlink" Target="https://pbs.twimg.com/media/EGbgdwSXkAAo4hu.jpg" TargetMode="External"/><Relationship Id="rId3256" Type="http://schemas.openxmlformats.org/officeDocument/2006/relationships/hyperlink" Target="http://pic.twitter.com/azSDRxOzRM" TargetMode="External"/><Relationship Id="rId3463" Type="http://schemas.openxmlformats.org/officeDocument/2006/relationships/hyperlink" Target="https://pbs.twimg.com/media/DlYaAimXgAAaEMF.jpg" TargetMode="External"/><Relationship Id="rId4307" Type="http://schemas.openxmlformats.org/officeDocument/2006/relationships/hyperlink" Target="http://pic.twitter.com/F7SrK0zQt3" TargetMode="External"/><Relationship Id="rId177" Type="http://schemas.openxmlformats.org/officeDocument/2006/relationships/hyperlink" Target="http://pic.twitter.com/3UHYAB5bzj" TargetMode="External"/><Relationship Id="rId384" Type="http://schemas.openxmlformats.org/officeDocument/2006/relationships/hyperlink" Target="http://instagram.com/abdulsametbekar61" TargetMode="External"/><Relationship Id="rId591" Type="http://schemas.openxmlformats.org/officeDocument/2006/relationships/hyperlink" Target="http://yourfavoritetaurus.com/" TargetMode="External"/><Relationship Id="rId2065" Type="http://schemas.openxmlformats.org/officeDocument/2006/relationships/hyperlink" Target="https://twitter.com/BagerMordem3/status/1181647309395955715" TargetMode="External"/><Relationship Id="rId2272" Type="http://schemas.openxmlformats.org/officeDocument/2006/relationships/hyperlink" Target="https://pbs.twimg.com/media/D8ciokYWsAEV611.jpg" TargetMode="External"/><Relationship Id="rId3116" Type="http://schemas.openxmlformats.org/officeDocument/2006/relationships/hyperlink" Target="https://pbs.twimg.com/media/EGbfOxPWoAEVjFZ.jpg" TargetMode="External"/><Relationship Id="rId3670" Type="http://schemas.openxmlformats.org/officeDocument/2006/relationships/hyperlink" Target="https://pbs.twimg.com/media/EGbWRPXXoAAP-Or.jpg" TargetMode="External"/><Relationship Id="rId4514" Type="http://schemas.openxmlformats.org/officeDocument/2006/relationships/hyperlink" Target="https://twitter.com/helsinkigoa/status/1181853715306815489" TargetMode="External"/><Relationship Id="rId244" Type="http://schemas.openxmlformats.org/officeDocument/2006/relationships/hyperlink" Target="http://www.huysuzyazar.com/" TargetMode="External"/><Relationship Id="rId1081" Type="http://schemas.openxmlformats.org/officeDocument/2006/relationships/hyperlink" Target="https://pbs.twimg.com/media/EGcQJVqWkAAATqu.jpg" TargetMode="External"/><Relationship Id="rId3323" Type="http://schemas.openxmlformats.org/officeDocument/2006/relationships/hyperlink" Target="https://pbs.twimg.com/media/EGbUJa3WwAAauC0.jpg" TargetMode="External"/><Relationship Id="rId3530" Type="http://schemas.openxmlformats.org/officeDocument/2006/relationships/hyperlink" Target="https://pbs.twimg.com/media/EGbYjwbWkAASfT3.jpg" TargetMode="External"/><Relationship Id="rId451" Type="http://schemas.openxmlformats.org/officeDocument/2006/relationships/hyperlink" Target="https://pbs.twimg.com/media/EGcU3f-X0AAcziE.jpg" TargetMode="External"/><Relationship Id="rId2132" Type="http://schemas.openxmlformats.org/officeDocument/2006/relationships/hyperlink" Target="https://pbs.twimg.com/media/EGb1rQkWoAId6wZ.jpg" TargetMode="External"/><Relationship Id="rId104" Type="http://schemas.openxmlformats.org/officeDocument/2006/relationships/hyperlink" Target="https://pbs.twimg.com/media/EGcY_uPWsAMfPdP.jpg" TargetMode="External"/><Relationship Id="rId311" Type="http://schemas.openxmlformats.org/officeDocument/2006/relationships/hyperlink" Target="https://pbs.twimg.com/media/EGcWJgiWwAAwaMz.jpg" TargetMode="External"/><Relationship Id="rId1898" Type="http://schemas.openxmlformats.org/officeDocument/2006/relationships/hyperlink" Target="https://pbs.twimg.com/media/EGb7aQaW4AAI2oH.jpg" TargetMode="External"/><Relationship Id="rId2949" Type="http://schemas.openxmlformats.org/officeDocument/2006/relationships/hyperlink" Target="https://pbs.twimg.com/media/EGbiMdZWkAMj3S0.jpg" TargetMode="External"/><Relationship Id="rId4097" Type="http://schemas.openxmlformats.org/officeDocument/2006/relationships/hyperlink" Target="https://pbs.twimg.com/media/EGbQgNRWkAAn5Fr.jpg" TargetMode="External"/><Relationship Id="rId1758" Type="http://schemas.openxmlformats.org/officeDocument/2006/relationships/hyperlink" Target="https://www.youtube.com/channel/UCiSPFRLFNOcUVwL0gL24NZQ" TargetMode="External"/><Relationship Id="rId2809" Type="http://schemas.openxmlformats.org/officeDocument/2006/relationships/hyperlink" Target="http://pic.twitter.com/0fQQiW0p9X" TargetMode="External"/><Relationship Id="rId4164" Type="http://schemas.openxmlformats.org/officeDocument/2006/relationships/hyperlink" Target="https://twitter.com/1parcatuhaftik/status/1181854869243797504" TargetMode="External"/><Relationship Id="rId4371" Type="http://schemas.openxmlformats.org/officeDocument/2006/relationships/hyperlink" Target="https://pbs.twimg.com/media/EGbNh0qXUAEo0om.jpg" TargetMode="External"/><Relationship Id="rId1965" Type="http://schemas.openxmlformats.org/officeDocument/2006/relationships/hyperlink" Target="http://pic.twitter.com/x7glxukqEl" TargetMode="External"/><Relationship Id="rId3180" Type="http://schemas.openxmlformats.org/officeDocument/2006/relationships/hyperlink" Target="http://www.tccb.gov.tr/" TargetMode="External"/><Relationship Id="rId4024" Type="http://schemas.openxmlformats.org/officeDocument/2006/relationships/hyperlink" Target="https://www.instagram.com/mertcanulkerrrr/" TargetMode="External"/><Relationship Id="rId4231" Type="http://schemas.openxmlformats.org/officeDocument/2006/relationships/hyperlink" Target="http://j&#246;nt&#252;rk.net/" TargetMode="External"/><Relationship Id="rId1618" Type="http://schemas.openxmlformats.org/officeDocument/2006/relationships/hyperlink" Target="https://pbs.twimg.com/media/EGcMM--XUAMKeaw.jpg" TargetMode="External"/><Relationship Id="rId1825" Type="http://schemas.openxmlformats.org/officeDocument/2006/relationships/hyperlink" Target="https://www.bilgisefi.net/" TargetMode="External"/><Relationship Id="rId3040" Type="http://schemas.openxmlformats.org/officeDocument/2006/relationships/hyperlink" Target="http://pic.twitter.com/3agiJOwobt" TargetMode="External"/><Relationship Id="rId3997" Type="http://schemas.openxmlformats.org/officeDocument/2006/relationships/hyperlink" Target="https://instagram.com/asakyldzx" TargetMode="External"/><Relationship Id="rId2599" Type="http://schemas.openxmlformats.org/officeDocument/2006/relationships/hyperlink" Target="https://pbs.twimg.com/media/EGbptuJWwAMr_M1.jpg" TargetMode="External"/><Relationship Id="rId3857" Type="http://schemas.openxmlformats.org/officeDocument/2006/relationships/hyperlink" Target="https://pbs.twimg.com/media/EGbT53RX0AA5Au-.jpg" TargetMode="External"/><Relationship Id="rId778" Type="http://schemas.openxmlformats.org/officeDocument/2006/relationships/hyperlink" Target="https://pbs.twimg.com/media/EGcSb_YXUAAEf9M.jpg" TargetMode="External"/><Relationship Id="rId985" Type="http://schemas.openxmlformats.org/officeDocument/2006/relationships/hyperlink" Target="https://pbs.twimg.com/media/EGcQ6fqXoAAgrbU.jpg" TargetMode="External"/><Relationship Id="rId2459" Type="http://schemas.openxmlformats.org/officeDocument/2006/relationships/hyperlink" Target="https://pbs.twimg.com/media/EGbtJxAWsAEA4hW.jpg" TargetMode="External"/><Relationship Id="rId2666" Type="http://schemas.openxmlformats.org/officeDocument/2006/relationships/hyperlink" Target="http://instagram.com/mustafacihattd" TargetMode="External"/><Relationship Id="rId2873" Type="http://schemas.openxmlformats.org/officeDocument/2006/relationships/hyperlink" Target="https://pbs.twimg.com/media/D46Ym8AX4AEUCgo.jpg" TargetMode="External"/><Relationship Id="rId3717" Type="http://schemas.openxmlformats.org/officeDocument/2006/relationships/hyperlink" Target="http://www.instagram.com/gelecegin.yazari" TargetMode="External"/><Relationship Id="rId3924" Type="http://schemas.openxmlformats.org/officeDocument/2006/relationships/hyperlink" Target="http://pic.twitter.com/kbxrZyrLeN" TargetMode="External"/><Relationship Id="rId638" Type="http://schemas.openxmlformats.org/officeDocument/2006/relationships/hyperlink" Target="https://twitter.com/rterdogan/status/1181919804619407360" TargetMode="External"/><Relationship Id="rId845" Type="http://schemas.openxmlformats.org/officeDocument/2006/relationships/hyperlink" Target="https://pbs.twimg.com/media/EGcR8EFWkAAQ2nk.jpg" TargetMode="External"/><Relationship Id="rId1268" Type="http://schemas.openxmlformats.org/officeDocument/2006/relationships/hyperlink" Target="http://www.bursaspor.org.tr/" TargetMode="External"/><Relationship Id="rId1475" Type="http://schemas.openxmlformats.org/officeDocument/2006/relationships/hyperlink" Target="http://www.fenerbahce.org/" TargetMode="External"/><Relationship Id="rId1682" Type="http://schemas.openxmlformats.org/officeDocument/2006/relationships/hyperlink" Target="https://pbs.twimg.com/media/EGcL1YKXoAIgI3D.jpg" TargetMode="External"/><Relationship Id="rId2319" Type="http://schemas.openxmlformats.org/officeDocument/2006/relationships/hyperlink" Target="http://www.instagram.com/nadir.cakiroglu" TargetMode="External"/><Relationship Id="rId2526" Type="http://schemas.openxmlformats.org/officeDocument/2006/relationships/hyperlink" Target="https://youtu.be/t-OKhWD_lbg" TargetMode="External"/><Relationship Id="rId2733" Type="http://schemas.openxmlformats.org/officeDocument/2006/relationships/hyperlink" Target="https://pbs.twimg.com/media/EGbmY2_XUAAOPd_.jpg" TargetMode="External"/><Relationship Id="rId705" Type="http://schemas.openxmlformats.org/officeDocument/2006/relationships/hyperlink" Target="https://pbs.twimg.com/media/EGcS3b3XYAAjBTh.jpg" TargetMode="External"/><Relationship Id="rId1128" Type="http://schemas.openxmlformats.org/officeDocument/2006/relationships/hyperlink" Target="https://pbs.twimg.com/media/EGcPwkbXYAAZm7z.jpg" TargetMode="External"/><Relationship Id="rId1335" Type="http://schemas.openxmlformats.org/officeDocument/2006/relationships/hyperlink" Target="http://pic.twitter.com/E6A3f9AzZh" TargetMode="External"/><Relationship Id="rId1542" Type="http://schemas.openxmlformats.org/officeDocument/2006/relationships/hyperlink" Target="http://pic.twitter.com/lUCrZjsUBq" TargetMode="External"/><Relationship Id="rId2940" Type="http://schemas.openxmlformats.org/officeDocument/2006/relationships/hyperlink" Target="https://pbs.twimg.com/media/EGbiQo8XUAAgxNd.jpg" TargetMode="External"/><Relationship Id="rId912" Type="http://schemas.openxmlformats.org/officeDocument/2006/relationships/hyperlink" Target="http://pic.twitter.com/foEC50M4Co" TargetMode="External"/><Relationship Id="rId2800" Type="http://schemas.openxmlformats.org/officeDocument/2006/relationships/hyperlink" Target="http://pic.twitter.com/2iwoWqeb7j" TargetMode="External"/><Relationship Id="rId41" Type="http://schemas.openxmlformats.org/officeDocument/2006/relationships/hyperlink" Target="https://twitter.com/yecbro" TargetMode="External"/><Relationship Id="rId1402" Type="http://schemas.openxmlformats.org/officeDocument/2006/relationships/hyperlink" Target="http://www.bihavadis.com/" TargetMode="External"/><Relationship Id="rId288" Type="http://schemas.openxmlformats.org/officeDocument/2006/relationships/hyperlink" Target="https://pbs.twimg.com/media/EGcWZ-LXkAATcnj.jpg" TargetMode="External"/><Relationship Id="rId3367" Type="http://schemas.openxmlformats.org/officeDocument/2006/relationships/hyperlink" Target="https://pbs.twimg.com/media/D8pO4uVWsAADKot.jpg" TargetMode="External"/><Relationship Id="rId3574" Type="http://schemas.openxmlformats.org/officeDocument/2006/relationships/hyperlink" Target="http://instagram.com/halilkuskira" TargetMode="External"/><Relationship Id="rId3781" Type="http://schemas.openxmlformats.org/officeDocument/2006/relationships/hyperlink" Target="http://pic.twitter.com/XEZVN2Im5S" TargetMode="External"/><Relationship Id="rId4418" Type="http://schemas.openxmlformats.org/officeDocument/2006/relationships/hyperlink" Target="http://pic.twitter.com/aQHAhNUZeI" TargetMode="External"/><Relationship Id="rId495" Type="http://schemas.openxmlformats.org/officeDocument/2006/relationships/hyperlink" Target="https://pbs.twimg.com/media/EGcUh-FXUAA-b-S.jpg" TargetMode="External"/><Relationship Id="rId2176" Type="http://schemas.openxmlformats.org/officeDocument/2006/relationships/hyperlink" Target="https://twitter.com/ulkucan04/status/1181512228148858880" TargetMode="External"/><Relationship Id="rId2383" Type="http://schemas.openxmlformats.org/officeDocument/2006/relationships/hyperlink" Target="https://pbs.twimg.com/media/EGbvHIQX0AAe77T.jpg" TargetMode="External"/><Relationship Id="rId2590" Type="http://schemas.openxmlformats.org/officeDocument/2006/relationships/hyperlink" Target="https://www.turkiyegazetesi.com.tr/dunya/655241.aspx" TargetMode="External"/><Relationship Id="rId3227" Type="http://schemas.openxmlformats.org/officeDocument/2006/relationships/hyperlink" Target="https://pbs.twimg.com/media/EGbddvEWsAIUSJ3.jpg" TargetMode="External"/><Relationship Id="rId3434" Type="http://schemas.openxmlformats.org/officeDocument/2006/relationships/hyperlink" Target="https://pbs.twimg.com/media/EGbaAffXYAAyLj0.jpg" TargetMode="External"/><Relationship Id="rId3641" Type="http://schemas.openxmlformats.org/officeDocument/2006/relationships/hyperlink" Target="http://www.mirathaber.com/zamlar-ve-yeni-ekonomik-program/" TargetMode="External"/><Relationship Id="rId148" Type="http://schemas.openxmlformats.org/officeDocument/2006/relationships/hyperlink" Target="https://fikirturu.com/2019/10/06/firatin-dogusunda-neler-olacak/" TargetMode="External"/><Relationship Id="rId355" Type="http://schemas.openxmlformats.org/officeDocument/2006/relationships/hyperlink" Target="http://pic.twitter.com/Rst690hgm2" TargetMode="External"/><Relationship Id="rId562" Type="http://schemas.openxmlformats.org/officeDocument/2006/relationships/hyperlink" Target="https://pbs.twimg.com/media/EGcT7oaWoAQDzg-.jpg" TargetMode="External"/><Relationship Id="rId1192" Type="http://schemas.openxmlformats.org/officeDocument/2006/relationships/hyperlink" Target="https://pbs.twimg.com/media/EGcPF7kX0AAy8Xe.jpg" TargetMode="External"/><Relationship Id="rId2036" Type="http://schemas.openxmlformats.org/officeDocument/2006/relationships/hyperlink" Target="https://twitter.com/seldasoyer_/status/1181881158130425858" TargetMode="External"/><Relationship Id="rId2243" Type="http://schemas.openxmlformats.org/officeDocument/2006/relationships/hyperlink" Target="https://pbs.twimg.com/media/EGby-HSXUAAr2FP.jpg" TargetMode="External"/><Relationship Id="rId2450" Type="http://schemas.openxmlformats.org/officeDocument/2006/relationships/hyperlink" Target="https://pbs.twimg.com/media/EGbtdDcXYAAToDN.jpg" TargetMode="External"/><Relationship Id="rId3501" Type="http://schemas.openxmlformats.org/officeDocument/2006/relationships/hyperlink" Target="http://pic.twitter.com/fT1gfdcqmV" TargetMode="External"/><Relationship Id="rId215" Type="http://schemas.openxmlformats.org/officeDocument/2006/relationships/hyperlink" Target="https://pbs.twimg.com/media/EGcXE5eXUAYO2HA.jpg" TargetMode="External"/><Relationship Id="rId422" Type="http://schemas.openxmlformats.org/officeDocument/2006/relationships/hyperlink" Target="https://pbs.twimg.com/media/EGXyp7pW4AAP757.jpg" TargetMode="External"/><Relationship Id="rId1052" Type="http://schemas.openxmlformats.org/officeDocument/2006/relationships/hyperlink" Target="http://www.facebook.com/ifshamubarak" TargetMode="External"/><Relationship Id="rId2103" Type="http://schemas.openxmlformats.org/officeDocument/2006/relationships/hyperlink" Target="https://pbs.twimg.com/media/EGb2a0DWoAMEAoY.jpg" TargetMode="External"/><Relationship Id="rId2310" Type="http://schemas.openxmlformats.org/officeDocument/2006/relationships/hyperlink" Target="https://pbs.twimg.com/media/EGbws1GWoAEllPi.jpg" TargetMode="External"/><Relationship Id="rId4068" Type="http://schemas.openxmlformats.org/officeDocument/2006/relationships/hyperlink" Target="https://pbs.twimg.com/media/EGbRHcBWsAAmiyG.jpg" TargetMode="External"/><Relationship Id="rId4275" Type="http://schemas.openxmlformats.org/officeDocument/2006/relationships/hyperlink" Target="https://temizliknasilyapilir.com/bebeklerin-burnu-nasil-temizlenir/" TargetMode="External"/><Relationship Id="rId4482" Type="http://schemas.openxmlformats.org/officeDocument/2006/relationships/hyperlink" Target="https://pbs.twimg.com/media/EGbMMfXWwAEVnE_.jpg" TargetMode="External"/><Relationship Id="rId1869" Type="http://schemas.openxmlformats.org/officeDocument/2006/relationships/hyperlink" Target="http://www.hayratvakfi.org/" TargetMode="External"/><Relationship Id="rId3084" Type="http://schemas.openxmlformats.org/officeDocument/2006/relationships/hyperlink" Target="http://dursunalierzincanli.com.tr/" TargetMode="External"/><Relationship Id="rId3291" Type="http://schemas.openxmlformats.org/officeDocument/2006/relationships/hyperlink" Target="https://pbs.twimg.com/media/EGbbkFLX0AEdncB.jpg" TargetMode="External"/><Relationship Id="rId4135" Type="http://schemas.openxmlformats.org/officeDocument/2006/relationships/hyperlink" Target="https://pbs.twimg.com/media/EGbQCcWWsAEBuo3.jpg" TargetMode="External"/><Relationship Id="rId1729" Type="http://schemas.openxmlformats.org/officeDocument/2006/relationships/hyperlink" Target="http://www.kurtsoftware.com/" TargetMode="External"/><Relationship Id="rId1936" Type="http://schemas.openxmlformats.org/officeDocument/2006/relationships/hyperlink" Target="https://pbs.twimg.com/media/EGb6jSaWkAEfyKU.jpg" TargetMode="External"/><Relationship Id="rId4342" Type="http://schemas.openxmlformats.org/officeDocument/2006/relationships/hyperlink" Target="https://pbs.twimg.com/media/EGbNxIOW4AAtmno.png" TargetMode="External"/><Relationship Id="rId3151" Type="http://schemas.openxmlformats.org/officeDocument/2006/relationships/hyperlink" Target="https://www.teknoloskop.net/" TargetMode="External"/><Relationship Id="rId4202" Type="http://schemas.openxmlformats.org/officeDocument/2006/relationships/hyperlink" Target="https://pbs.twimg.com/media/EGbPU9qWoAEHUMd.jpg" TargetMode="External"/><Relationship Id="rId3011" Type="http://schemas.openxmlformats.org/officeDocument/2006/relationships/hyperlink" Target="https://twitter.com/ankaragelisiyor/status/1181670341908807686" TargetMode="External"/><Relationship Id="rId3968" Type="http://schemas.openxmlformats.org/officeDocument/2006/relationships/hyperlink" Target="https://pbs.twimg.com/media/EGbSd9nXoAAMdEl.jpg" TargetMode="External"/><Relationship Id="rId5" Type="http://schemas.openxmlformats.org/officeDocument/2006/relationships/hyperlink" Target="https://pbs.twimg.com/media/EGcbbP8WoAU--gD.jpg" TargetMode="External"/><Relationship Id="rId889" Type="http://schemas.openxmlformats.org/officeDocument/2006/relationships/hyperlink" Target="http://www.gazeteciler.com/" TargetMode="External"/><Relationship Id="rId2777" Type="http://schemas.openxmlformats.org/officeDocument/2006/relationships/hyperlink" Target="https://pbs.twimg.com/media/EGblMk-XoAElJpH.jpg" TargetMode="External"/><Relationship Id="rId749" Type="http://schemas.openxmlformats.org/officeDocument/2006/relationships/hyperlink" Target="https://twitter.com/ulasdogaeralp/status/1181925559972089857" TargetMode="External"/><Relationship Id="rId1379" Type="http://schemas.openxmlformats.org/officeDocument/2006/relationships/hyperlink" Target="https://pbs.twimg.com/media/EGcNcKIWsAAEQZ6.jpg" TargetMode="External"/><Relationship Id="rId1586" Type="http://schemas.openxmlformats.org/officeDocument/2006/relationships/hyperlink" Target="https://www.internethaber.com/suriye-harekatinda-son-durum-savas-ucaklari-hedefleri-vurdu-2055547h.htm" TargetMode="External"/><Relationship Id="rId2984" Type="http://schemas.openxmlformats.org/officeDocument/2006/relationships/hyperlink" Target="https://pbs.twimg.com/media/EGbhr7AWkAADr_K.jpg" TargetMode="External"/><Relationship Id="rId3828" Type="http://schemas.openxmlformats.org/officeDocument/2006/relationships/hyperlink" Target="https://pbs.twimg.com/media/EGbUUgLXkAAVd_d.jpg" TargetMode="External"/><Relationship Id="rId609" Type="http://schemas.openxmlformats.org/officeDocument/2006/relationships/hyperlink" Target="https://pbs.twimg.com/media/EGcTifiXYAAPnp7.jpg" TargetMode="External"/><Relationship Id="rId956" Type="http://schemas.openxmlformats.org/officeDocument/2006/relationships/hyperlink" Target="https://pbs.twimg.com/media/EGcRKFSXUAAfIhW.jpg" TargetMode="External"/><Relationship Id="rId1239" Type="http://schemas.openxmlformats.org/officeDocument/2006/relationships/hyperlink" Target="https://pbs.twimg.com/media/EGcOod_WsAEWWjS.png" TargetMode="External"/><Relationship Id="rId1793" Type="http://schemas.openxmlformats.org/officeDocument/2006/relationships/hyperlink" Target="https://www.instagram.com/umitaydintc/" TargetMode="External"/><Relationship Id="rId2637" Type="http://schemas.openxmlformats.org/officeDocument/2006/relationships/hyperlink" Target="https://pbs.twimg.com/media/EGbov7ZX0AEyL4Y.jpg" TargetMode="External"/><Relationship Id="rId2844" Type="http://schemas.openxmlformats.org/officeDocument/2006/relationships/hyperlink" Target="https://pbs.twimg.com/media/EGbj16YXkAEUN4P.jpg" TargetMode="External"/><Relationship Id="rId85" Type="http://schemas.openxmlformats.org/officeDocument/2006/relationships/hyperlink" Target="https://pbs.twimg.com/media/EGcZYG9WoBASVVz.jpg" TargetMode="External"/><Relationship Id="rId816" Type="http://schemas.openxmlformats.org/officeDocument/2006/relationships/hyperlink" Target="https://pbs.twimg.com/media/EGcSJEvXoAIU78d.jpg" TargetMode="External"/><Relationship Id="rId1446" Type="http://schemas.openxmlformats.org/officeDocument/2006/relationships/hyperlink" Target="http://facebook.com/mttbkutahya" TargetMode="External"/><Relationship Id="rId1653" Type="http://schemas.openxmlformats.org/officeDocument/2006/relationships/hyperlink" Target="https://pbs.twimg.com/media/EGcL-OOWoAMUaiT.jpg" TargetMode="External"/><Relationship Id="rId1860" Type="http://schemas.openxmlformats.org/officeDocument/2006/relationships/hyperlink" Target="https://pbs.twimg.com/media/EGb8FuuWsAE7Agx.jpg" TargetMode="External"/><Relationship Id="rId2704" Type="http://schemas.openxmlformats.org/officeDocument/2006/relationships/hyperlink" Target="http://pic.twitter.com/XUqUIB0iXz" TargetMode="External"/><Relationship Id="rId2911" Type="http://schemas.openxmlformats.org/officeDocument/2006/relationships/hyperlink" Target="https://pbs.twimg.com/media/EGbefs3XUAAOKOU.jpg" TargetMode="External"/><Relationship Id="rId1306" Type="http://schemas.openxmlformats.org/officeDocument/2006/relationships/hyperlink" Target="https://www.facebook.com/Haramiler-328493117170092/?ref=hl" TargetMode="External"/><Relationship Id="rId1513" Type="http://schemas.openxmlformats.org/officeDocument/2006/relationships/hyperlink" Target="http://www.gencbeyin.org/" TargetMode="External"/><Relationship Id="rId1720" Type="http://schemas.openxmlformats.org/officeDocument/2006/relationships/hyperlink" Target="https://pbs.twimg.com/media/EGcLp_kWwAExnTb.jpg" TargetMode="External"/><Relationship Id="rId12" Type="http://schemas.openxmlformats.org/officeDocument/2006/relationships/hyperlink" Target="http://www.instagram.com/gamzeaydn74" TargetMode="External"/><Relationship Id="rId3478" Type="http://schemas.openxmlformats.org/officeDocument/2006/relationships/hyperlink" Target="https://pbs.twimg.com/media/EGbZdGTXYAAgVW8.jpg" TargetMode="External"/><Relationship Id="rId3685" Type="http://schemas.openxmlformats.org/officeDocument/2006/relationships/hyperlink" Target="https://pbs.twimg.com/media/EGbWELqWkAE0GH7.jpg" TargetMode="External"/><Relationship Id="rId3892" Type="http://schemas.openxmlformats.org/officeDocument/2006/relationships/hyperlink" Target="http://pic.twitter.com/yN7bcK7UbL" TargetMode="External"/><Relationship Id="rId399" Type="http://schemas.openxmlformats.org/officeDocument/2006/relationships/hyperlink" Target="http://instagram.com/enesmhammed/" TargetMode="External"/><Relationship Id="rId2287" Type="http://schemas.openxmlformats.org/officeDocument/2006/relationships/hyperlink" Target="http://pic.twitter.com/Yy8OrKaaNI" TargetMode="External"/><Relationship Id="rId2494" Type="http://schemas.openxmlformats.org/officeDocument/2006/relationships/hyperlink" Target="https://pbs.twimg.com/media/EGbsZvZX0AASmCj.jpg" TargetMode="External"/><Relationship Id="rId3338" Type="http://schemas.openxmlformats.org/officeDocument/2006/relationships/hyperlink" Target="http://www.linkedin.com/in/tarimnazmi" TargetMode="External"/><Relationship Id="rId3545" Type="http://schemas.openxmlformats.org/officeDocument/2006/relationships/hyperlink" Target="https://pbs.twimg.com/media/EGbYVq5WwAAL1tJ.png" TargetMode="External"/><Relationship Id="rId3752" Type="http://schemas.openxmlformats.org/officeDocument/2006/relationships/hyperlink" Target="http://www.facebook.com/osmanlibaha" TargetMode="External"/><Relationship Id="rId259" Type="http://schemas.openxmlformats.org/officeDocument/2006/relationships/hyperlink" Target="http://www.stevekaufmann.xyz/" TargetMode="External"/><Relationship Id="rId466" Type="http://schemas.openxmlformats.org/officeDocument/2006/relationships/hyperlink" Target="http://www.tccb.gov.tr/" TargetMode="External"/><Relationship Id="rId673" Type="http://schemas.openxmlformats.org/officeDocument/2006/relationships/hyperlink" Target="https://pbs.twimg.com/media/EGcTHYyW4AAz_Bi.jpg" TargetMode="External"/><Relationship Id="rId880" Type="http://schemas.openxmlformats.org/officeDocument/2006/relationships/hyperlink" Target="http://pic.twitter.com/DTKC5fFI2Z" TargetMode="External"/><Relationship Id="rId1096" Type="http://schemas.openxmlformats.org/officeDocument/2006/relationships/hyperlink" Target="https://pbs.twimg.com/media/EGcQFVEWoAAynGo.jpg" TargetMode="External"/><Relationship Id="rId2147" Type="http://schemas.openxmlformats.org/officeDocument/2006/relationships/hyperlink" Target="https://pbs.twimg.com/media/EGb1PW0XYAA5bhp.jpg" TargetMode="External"/><Relationship Id="rId2354" Type="http://schemas.openxmlformats.org/officeDocument/2006/relationships/hyperlink" Target="https://pbs.twimg.com/media/EGbvoA8XUAI3Xp2.jpg" TargetMode="External"/><Relationship Id="rId2561" Type="http://schemas.openxmlformats.org/officeDocument/2006/relationships/hyperlink" Target="https://pbs.twimg.com/media/EGbqbKgXYAIak6_.jpg" TargetMode="External"/><Relationship Id="rId3405" Type="http://schemas.openxmlformats.org/officeDocument/2006/relationships/hyperlink" Target="https://pbs.twimg.com/media/EGbaa9XWsAA5I2W.jpg" TargetMode="External"/><Relationship Id="rId119" Type="http://schemas.openxmlformats.org/officeDocument/2006/relationships/hyperlink" Target="https://pbs.twimg.com/media/EGcYhzHXUAM-3LO.jpg" TargetMode="External"/><Relationship Id="rId326" Type="http://schemas.openxmlformats.org/officeDocument/2006/relationships/hyperlink" Target="http://pic.twitter.com/qv9TApUscB" TargetMode="External"/><Relationship Id="rId533" Type="http://schemas.openxmlformats.org/officeDocument/2006/relationships/hyperlink" Target="https://pbs.twimg.com/media/EGcUMgEWkAEsTwy.jpg" TargetMode="External"/><Relationship Id="rId1163" Type="http://schemas.openxmlformats.org/officeDocument/2006/relationships/hyperlink" Target="http://pic.twitter.com/OTVo7ybtpX" TargetMode="External"/><Relationship Id="rId1370" Type="http://schemas.openxmlformats.org/officeDocument/2006/relationships/hyperlink" Target="https://pbs.twimg.com/media/EGcNfwKXoAA8peI.jpg" TargetMode="External"/><Relationship Id="rId2007" Type="http://schemas.openxmlformats.org/officeDocument/2006/relationships/hyperlink" Target="https://pbs.twimg.com/media/D1pGJfbWkAIyadk.jpg" TargetMode="External"/><Relationship Id="rId2214" Type="http://schemas.openxmlformats.org/officeDocument/2006/relationships/hyperlink" Target="https://pbs.twimg.com/media/EGbzRwgXYAEJTrx.jpg" TargetMode="External"/><Relationship Id="rId3612" Type="http://schemas.openxmlformats.org/officeDocument/2006/relationships/hyperlink" Target="https://pbs.twimg.com/media/EGbXUc-XkAARY69.jpg" TargetMode="External"/><Relationship Id="rId740" Type="http://schemas.openxmlformats.org/officeDocument/2006/relationships/hyperlink" Target="http://pic.twitter.com/nnHvyFz0Ur" TargetMode="External"/><Relationship Id="rId1023" Type="http://schemas.openxmlformats.org/officeDocument/2006/relationships/hyperlink" Target="https://pbs.twimg.com/media/EGcQpfTWoAIb9EM.jpg" TargetMode="External"/><Relationship Id="rId2421" Type="http://schemas.openxmlformats.org/officeDocument/2006/relationships/hyperlink" Target="https://pbs.twimg.com/media/EGbuGN3WoAA0WMC.jpg" TargetMode="External"/><Relationship Id="rId4179" Type="http://schemas.openxmlformats.org/officeDocument/2006/relationships/hyperlink" Target="https://pbs.twimg.com/media/EGbPio3XUAAJXzZ.jpg" TargetMode="External"/><Relationship Id="rId600" Type="http://schemas.openxmlformats.org/officeDocument/2006/relationships/hyperlink" Target="https://pbs.twimg.com/media/EGcTm8mWwAYyWok.jpg" TargetMode="External"/><Relationship Id="rId1230" Type="http://schemas.openxmlformats.org/officeDocument/2006/relationships/hyperlink" Target="https://pbs.twimg.com/media/EGUJoAMXYAAzCnX.jpg" TargetMode="External"/><Relationship Id="rId4386" Type="http://schemas.openxmlformats.org/officeDocument/2006/relationships/hyperlink" Target="https://twitter.com/mustafaislamogl/status/1181666154689044480" TargetMode="External"/><Relationship Id="rId3195" Type="http://schemas.openxmlformats.org/officeDocument/2006/relationships/hyperlink" Target="https://pbs.twimg.com/media/EGbeH2EWoAE5pOr.jpg" TargetMode="External"/><Relationship Id="rId4039" Type="http://schemas.openxmlformats.org/officeDocument/2006/relationships/hyperlink" Target="https://www.youtube.com/channel/UCOeNkjZkJcrZhFAHD_s__wg?view_as=subscriber" TargetMode="External"/><Relationship Id="rId4246" Type="http://schemas.openxmlformats.org/officeDocument/2006/relationships/hyperlink" Target="http://a24.com.tr/" TargetMode="External"/><Relationship Id="rId4453" Type="http://schemas.openxmlformats.org/officeDocument/2006/relationships/hyperlink" Target="https://pbs.twimg.com/media/EGbMan8XoAA2Ott.jpg" TargetMode="External"/><Relationship Id="rId3055" Type="http://schemas.openxmlformats.org/officeDocument/2006/relationships/hyperlink" Target="https://pbs.twimg.com/media/CqoXvwEWIAAlrak.jpg" TargetMode="External"/><Relationship Id="rId3262" Type="http://schemas.openxmlformats.org/officeDocument/2006/relationships/hyperlink" Target="http://instagram.com/fetullahaydinn" TargetMode="External"/><Relationship Id="rId4106" Type="http://schemas.openxmlformats.org/officeDocument/2006/relationships/hyperlink" Target="http://www.facebook.com/" TargetMode="External"/><Relationship Id="rId4313" Type="http://schemas.openxmlformats.org/officeDocument/2006/relationships/hyperlink" Target="https://youtu.be/zfoBQdnZkn0" TargetMode="External"/><Relationship Id="rId4520" Type="http://schemas.openxmlformats.org/officeDocument/2006/relationships/hyperlink" Target="http://www.forzabesiktas.com/" TargetMode="External"/><Relationship Id="rId183" Type="http://schemas.openxmlformats.org/officeDocument/2006/relationships/hyperlink" Target="https://pbs.twimg.com/media/EGcXY1PXoAMNzYV.jpg" TargetMode="External"/><Relationship Id="rId390" Type="http://schemas.openxmlformats.org/officeDocument/2006/relationships/hyperlink" Target="https://pbs.twimg.com/media/EGcVe_RXYAEF6UX.jpg" TargetMode="External"/><Relationship Id="rId1907" Type="http://schemas.openxmlformats.org/officeDocument/2006/relationships/hyperlink" Target="https://pbs.twimg.com/media/EGb7J14X0AEI3Zt.jpg" TargetMode="External"/><Relationship Id="rId2071" Type="http://schemas.openxmlformats.org/officeDocument/2006/relationships/hyperlink" Target="https://pbs.twimg.com/media/EGb3MUcWkAA1EbH.jpg" TargetMode="External"/><Relationship Id="rId3122" Type="http://schemas.openxmlformats.org/officeDocument/2006/relationships/hyperlink" Target="http://instagram.com/merve_septioglu" TargetMode="External"/><Relationship Id="rId250" Type="http://schemas.openxmlformats.org/officeDocument/2006/relationships/hyperlink" Target="https://pbs.twimg.com/media/EGcWxxVWwAAXO5r.jpg" TargetMode="External"/><Relationship Id="rId110" Type="http://schemas.openxmlformats.org/officeDocument/2006/relationships/hyperlink" Target="https://pbs.twimg.com/media/EGcYz65WoAAQqVB.jpg" TargetMode="External"/><Relationship Id="rId2888" Type="http://schemas.openxmlformats.org/officeDocument/2006/relationships/hyperlink" Target="https://www.instagram.com/p/B3ZPXiihmgmhgX3AiSGo6iP2Dncs_6J8znapJs0/?igshid=sy6xyal38wwp" TargetMode="External"/><Relationship Id="rId3939" Type="http://schemas.openxmlformats.org/officeDocument/2006/relationships/hyperlink" Target="https://pbs.twimg.com/media/EGbS8HeXUAEPlr2.jpg" TargetMode="External"/><Relationship Id="rId1697" Type="http://schemas.openxmlformats.org/officeDocument/2006/relationships/hyperlink" Target="http://pic.twitter.com/KFHgOsu2wt" TargetMode="External"/><Relationship Id="rId2748" Type="http://schemas.openxmlformats.org/officeDocument/2006/relationships/hyperlink" Target="http://pic.twitter.com/c16kXEDk7x" TargetMode="External"/><Relationship Id="rId2955" Type="http://schemas.openxmlformats.org/officeDocument/2006/relationships/hyperlink" Target="https://pbs.twimg.com/media/EGbiGwAWsAAWJjG.jpg" TargetMode="External"/><Relationship Id="rId927" Type="http://schemas.openxmlformats.org/officeDocument/2006/relationships/hyperlink" Target="https://www.instagram.com/fehmi.yalcinkaya/" TargetMode="External"/><Relationship Id="rId1557" Type="http://schemas.openxmlformats.org/officeDocument/2006/relationships/hyperlink" Target="http://pic.twitter.com/WvhQmArIYG" TargetMode="External"/><Relationship Id="rId1764" Type="http://schemas.openxmlformats.org/officeDocument/2006/relationships/hyperlink" Target="https://pbs.twimg.com/media/EGb_C0rXYAA4u99.jpg" TargetMode="External"/><Relationship Id="rId1971" Type="http://schemas.openxmlformats.org/officeDocument/2006/relationships/hyperlink" Target="https://pbs.twimg.com/media/EGb5iRAXkAAx6zl.jpg" TargetMode="External"/><Relationship Id="rId2608" Type="http://schemas.openxmlformats.org/officeDocument/2006/relationships/hyperlink" Target="http://instagram.com/kdrsvnd" TargetMode="External"/><Relationship Id="rId2815" Type="http://schemas.openxmlformats.org/officeDocument/2006/relationships/hyperlink" Target="https://pbs.twimg.com/media/EGbkd9RXUAA-sqX.jpg" TargetMode="External"/><Relationship Id="rId4170" Type="http://schemas.openxmlformats.org/officeDocument/2006/relationships/hyperlink" Target="https://pbs.twimg.com/media/EGbPliUWsAAA6ho.jpg" TargetMode="External"/><Relationship Id="rId56" Type="http://schemas.openxmlformats.org/officeDocument/2006/relationships/hyperlink" Target="https://pbs.twimg.com/media/EGcaDAcXoAEOY5E.jpg" TargetMode="External"/><Relationship Id="rId1417" Type="http://schemas.openxmlformats.org/officeDocument/2006/relationships/hyperlink" Target="https://pbs.twimg.com/media/EGcNLxvW4AMxC1O.jpg" TargetMode="External"/><Relationship Id="rId1624" Type="http://schemas.openxmlformats.org/officeDocument/2006/relationships/hyperlink" Target="https://pbs.twimg.com/media/EGcMKGAWkAE0Arg.jpg" TargetMode="External"/><Relationship Id="rId1831" Type="http://schemas.openxmlformats.org/officeDocument/2006/relationships/hyperlink" Target="http://oralbiber.com/" TargetMode="External"/><Relationship Id="rId4030" Type="http://schemas.openxmlformats.org/officeDocument/2006/relationships/hyperlink" Target="http://instagram.com/miss.aydnn" TargetMode="External"/><Relationship Id="rId3589" Type="http://schemas.openxmlformats.org/officeDocument/2006/relationships/hyperlink" Target="https://pbs.twimg.com/media/EGbXnkiXYAEGiiR.jpg" TargetMode="External"/><Relationship Id="rId3796" Type="http://schemas.openxmlformats.org/officeDocument/2006/relationships/hyperlink" Target="https://pbs.twimg.com/media/EGbUteBXYAA-8jB.jpg" TargetMode="External"/><Relationship Id="rId2398" Type="http://schemas.openxmlformats.org/officeDocument/2006/relationships/hyperlink" Target="https://pbs.twimg.com/media/EGbulelWkAARZ5U.jpg" TargetMode="External"/><Relationship Id="rId3449" Type="http://schemas.openxmlformats.org/officeDocument/2006/relationships/hyperlink" Target="https://pbs.twimg.com/media/EGbZ0gkWwAEOu1a.jpg" TargetMode="External"/><Relationship Id="rId577" Type="http://schemas.openxmlformats.org/officeDocument/2006/relationships/hyperlink" Target="https://twitter.com/AkademikTarihTR/status/1181934380446621697" TargetMode="External"/><Relationship Id="rId2258" Type="http://schemas.openxmlformats.org/officeDocument/2006/relationships/hyperlink" Target="http://urfanews.com/sanliurfada-teror-propagandasi-gozaltilari-devam-ediyor-66-kisi-gozaltina-alindi" TargetMode="External"/><Relationship Id="rId3656" Type="http://schemas.openxmlformats.org/officeDocument/2006/relationships/hyperlink" Target="https://pbs.twimg.com/media/D2KxDfVXQAAr8p7.jpg" TargetMode="External"/><Relationship Id="rId3863" Type="http://schemas.openxmlformats.org/officeDocument/2006/relationships/hyperlink" Target="https://pbs.twimg.com/media/EGbT4uvXkAEF8qW.jpg" TargetMode="External"/><Relationship Id="rId784" Type="http://schemas.openxmlformats.org/officeDocument/2006/relationships/hyperlink" Target="http://instagram.com/murtcnar37" TargetMode="External"/><Relationship Id="rId991" Type="http://schemas.openxmlformats.org/officeDocument/2006/relationships/hyperlink" Target="https://www.instagram.com/furkanuretdi/" TargetMode="External"/><Relationship Id="rId1067" Type="http://schemas.openxmlformats.org/officeDocument/2006/relationships/hyperlink" Target="https://pbs.twimg.com/media/EGcQR9WWsAAY7LK.jpg" TargetMode="External"/><Relationship Id="rId2465" Type="http://schemas.openxmlformats.org/officeDocument/2006/relationships/hyperlink" Target="http://www.instagram.com/bburakcakiroglu" TargetMode="External"/><Relationship Id="rId2672" Type="http://schemas.openxmlformats.org/officeDocument/2006/relationships/hyperlink" Target="https://www.holyspiritspeaks.org/special-topic/kingdom-has-descended-on-the-world/index.html" TargetMode="External"/><Relationship Id="rId3309" Type="http://schemas.openxmlformats.org/officeDocument/2006/relationships/hyperlink" Target="http://pic.twitter.com/gJ1HDqAafQ" TargetMode="External"/><Relationship Id="rId3516" Type="http://schemas.openxmlformats.org/officeDocument/2006/relationships/hyperlink" Target="https://pbs.twimg.com/media/EGbYpqXXkAAc1ki.jpg" TargetMode="External"/><Relationship Id="rId3723" Type="http://schemas.openxmlformats.org/officeDocument/2006/relationships/hyperlink" Target="https://pbs.twimg.com/media/EGbVluCW4AIGmi3.jpg" TargetMode="External"/><Relationship Id="rId3930" Type="http://schemas.openxmlformats.org/officeDocument/2006/relationships/hyperlink" Target="https://pbs.twimg.com/media/EGbTDgvXYAIHDFL.jpg" TargetMode="External"/><Relationship Id="rId437" Type="http://schemas.openxmlformats.org/officeDocument/2006/relationships/hyperlink" Target="http://pic.twitter.com/xZfyu5aRch" TargetMode="External"/><Relationship Id="rId644" Type="http://schemas.openxmlformats.org/officeDocument/2006/relationships/hyperlink" Target="https://pbs.twimg.com/media/EGcTRDSW4AMRmYY.jpg" TargetMode="External"/><Relationship Id="rId851" Type="http://schemas.openxmlformats.org/officeDocument/2006/relationships/hyperlink" Target="http://yukyung.&#9829;/" TargetMode="External"/><Relationship Id="rId1274" Type="http://schemas.openxmlformats.org/officeDocument/2006/relationships/hyperlink" Target="http://linkedin.com/in/allan-cogan-1a928689" TargetMode="External"/><Relationship Id="rId1481" Type="http://schemas.openxmlformats.org/officeDocument/2006/relationships/hyperlink" Target="https://pbs.twimg.com/media/EGcM2ueX0AAfYjp.jpg" TargetMode="External"/><Relationship Id="rId2118" Type="http://schemas.openxmlformats.org/officeDocument/2006/relationships/hyperlink" Target="https://www.1olay.com/" TargetMode="External"/><Relationship Id="rId2325" Type="http://schemas.openxmlformats.org/officeDocument/2006/relationships/hyperlink" Target="http://investingmorocco.com/" TargetMode="External"/><Relationship Id="rId2532" Type="http://schemas.openxmlformats.org/officeDocument/2006/relationships/hyperlink" Target="https://pbs.twimg.com/media/EGbrmVeXYAA_9ej.jpg" TargetMode="External"/><Relationship Id="rId504" Type="http://schemas.openxmlformats.org/officeDocument/2006/relationships/hyperlink" Target="http://www.dunyabulteni.net/" TargetMode="External"/><Relationship Id="rId711" Type="http://schemas.openxmlformats.org/officeDocument/2006/relationships/hyperlink" Target="https://pbs.twimg.com/media/EGcS1PrXkAAVtWu.jpg" TargetMode="External"/><Relationship Id="rId1134" Type="http://schemas.openxmlformats.org/officeDocument/2006/relationships/hyperlink" Target="https://pbs.twimg.com/media/EGcPnXxWkAELgpF.jpg" TargetMode="External"/><Relationship Id="rId1341" Type="http://schemas.openxmlformats.org/officeDocument/2006/relationships/hyperlink" Target="http://instagram.com/atlpzr" TargetMode="External"/><Relationship Id="rId4497" Type="http://schemas.openxmlformats.org/officeDocument/2006/relationships/hyperlink" Target="https://pbs.twimg.com/media/EGbMDWGX0AAzls9.jpg" TargetMode="External"/><Relationship Id="rId1201" Type="http://schemas.openxmlformats.org/officeDocument/2006/relationships/hyperlink" Target="https://twitter.com/mesutbogatemur/status/1181926111183360001" TargetMode="External"/><Relationship Id="rId3099" Type="http://schemas.openxmlformats.org/officeDocument/2006/relationships/hyperlink" Target="https://pbs.twimg.com/media/EGbfhEGXoAAqsQu.jpg" TargetMode="External"/><Relationship Id="rId4357" Type="http://schemas.openxmlformats.org/officeDocument/2006/relationships/hyperlink" Target="https://pbs.twimg.com/media/EGbNrzaXoAAb33a.jpg" TargetMode="External"/><Relationship Id="rId3166" Type="http://schemas.openxmlformats.org/officeDocument/2006/relationships/hyperlink" Target="http://bilimveali.com/" TargetMode="External"/><Relationship Id="rId3373" Type="http://schemas.openxmlformats.org/officeDocument/2006/relationships/hyperlink" Target="http://pic.twitter.com/Ou2WEo6rQ8" TargetMode="External"/><Relationship Id="rId3580" Type="http://schemas.openxmlformats.org/officeDocument/2006/relationships/hyperlink" Target="https://pbs.twimg.com/media/EGbXzWnWoAAOZSF.jpg" TargetMode="External"/><Relationship Id="rId4217" Type="http://schemas.openxmlformats.org/officeDocument/2006/relationships/hyperlink" Target="https://suluntekstil.com/" TargetMode="External"/><Relationship Id="rId4424" Type="http://schemas.openxmlformats.org/officeDocument/2006/relationships/hyperlink" Target="https://pbs.twimg.com/media/EGbM0rLXUAEFFUd.jpg" TargetMode="External"/><Relationship Id="rId294" Type="http://schemas.openxmlformats.org/officeDocument/2006/relationships/hyperlink" Target="http://pic.twitter.com/zwARSBI9Ka" TargetMode="External"/><Relationship Id="rId2182" Type="http://schemas.openxmlformats.org/officeDocument/2006/relationships/hyperlink" Target="https://pbs.twimg.com/media/EGb0ZCKWoAI98AF.jpg" TargetMode="External"/><Relationship Id="rId3026" Type="http://schemas.openxmlformats.org/officeDocument/2006/relationships/hyperlink" Target="https://twitter.com/technical_moon/status/963372878195576833" TargetMode="External"/><Relationship Id="rId3233" Type="http://schemas.openxmlformats.org/officeDocument/2006/relationships/hyperlink" Target="https://youtu.be/LtEypHYVXxE" TargetMode="External"/><Relationship Id="rId154" Type="http://schemas.openxmlformats.org/officeDocument/2006/relationships/hyperlink" Target="http://www.instagram.com/ibrahimyukseell" TargetMode="External"/><Relationship Id="rId361" Type="http://schemas.openxmlformats.org/officeDocument/2006/relationships/hyperlink" Target="https://pbs.twimg.com/media/EGcVvqgXYAAJBBB.jpg" TargetMode="External"/><Relationship Id="rId2042" Type="http://schemas.openxmlformats.org/officeDocument/2006/relationships/hyperlink" Target="https://pbs.twimg.com/media/EGbIejVWsAAfECb.jpg" TargetMode="External"/><Relationship Id="rId3440" Type="http://schemas.openxmlformats.org/officeDocument/2006/relationships/hyperlink" Target="https://pbs.twimg.com/media/EGbZ6IGXUAAa2yG.jpg" TargetMode="External"/><Relationship Id="rId2999" Type="http://schemas.openxmlformats.org/officeDocument/2006/relationships/hyperlink" Target="http://www.benimyuvam.org/" TargetMode="External"/><Relationship Id="rId3300" Type="http://schemas.openxmlformats.org/officeDocument/2006/relationships/hyperlink" Target="https://pbs.twimg.com/media/EGbcPXWXoAA-Ei5.jpg" TargetMode="External"/><Relationship Id="rId221" Type="http://schemas.openxmlformats.org/officeDocument/2006/relationships/hyperlink" Target="https://pbs.twimg.com/media/EGcXBJ5WoAAGYlD.jpg" TargetMode="External"/><Relationship Id="rId2859" Type="http://schemas.openxmlformats.org/officeDocument/2006/relationships/hyperlink" Target="https://pbs.twimg.com/media/EGbjmWjXYAEPC_r.jpg" TargetMode="External"/><Relationship Id="rId1668" Type="http://schemas.openxmlformats.org/officeDocument/2006/relationships/hyperlink" Target="https://pbs.twimg.com/media/EGcL5XMWwAMj9h3.jpg" TargetMode="External"/><Relationship Id="rId1875" Type="http://schemas.openxmlformats.org/officeDocument/2006/relationships/hyperlink" Target="https://pbs.twimg.com/media/CjWG_bgXIAAzk9J.jpg" TargetMode="External"/><Relationship Id="rId2719" Type="http://schemas.openxmlformats.org/officeDocument/2006/relationships/hyperlink" Target="https://pbs.twimg.com/media/EGbmzrHXoAEXx9N.jpg" TargetMode="External"/><Relationship Id="rId4074" Type="http://schemas.openxmlformats.org/officeDocument/2006/relationships/hyperlink" Target="https://pbs.twimg.com/media/EGbRFvDWsAAH7bR.jpg" TargetMode="External"/><Relationship Id="rId4281" Type="http://schemas.openxmlformats.org/officeDocument/2006/relationships/hyperlink" Target="https://pbs.twimg.com/media/EGbOgmJX0AAiOLq.jpg" TargetMode="External"/><Relationship Id="rId1528" Type="http://schemas.openxmlformats.org/officeDocument/2006/relationships/hyperlink" Target="https://pbs.twimg.com/media/EGcMlQTWsAULkb6.jpg" TargetMode="External"/><Relationship Id="rId2926" Type="http://schemas.openxmlformats.org/officeDocument/2006/relationships/hyperlink" Target="https://pbs.twimg.com/media/EGbieRIWoAAxEax.jpg" TargetMode="External"/><Relationship Id="rId3090" Type="http://schemas.openxmlformats.org/officeDocument/2006/relationships/hyperlink" Target="https://twitter.com/ensonhaber/status/1181864086822428673" TargetMode="External"/><Relationship Id="rId4141" Type="http://schemas.openxmlformats.org/officeDocument/2006/relationships/hyperlink" Target="http://pic.twitter.com/SuaQla8DC1" TargetMode="External"/><Relationship Id="rId1735" Type="http://schemas.openxmlformats.org/officeDocument/2006/relationships/hyperlink" Target="https://pbs.twimg.com/media/EGb_9FpW4AE2AFn.jpg" TargetMode="External"/><Relationship Id="rId1942" Type="http://schemas.openxmlformats.org/officeDocument/2006/relationships/hyperlink" Target="https://pbs.twimg.com/media/EGb6S2OXYAALG7m.jpg" TargetMode="External"/><Relationship Id="rId4001" Type="http://schemas.openxmlformats.org/officeDocument/2006/relationships/hyperlink" Target="https://twitter.com/ensonhaber/status/1181861441139294208" TargetMode="External"/><Relationship Id="rId27" Type="http://schemas.openxmlformats.org/officeDocument/2006/relationships/hyperlink" Target="https://pbs.twimg.com/media/EGcayHjWkAIKuhs.jpg" TargetMode="External"/><Relationship Id="rId1802" Type="http://schemas.openxmlformats.org/officeDocument/2006/relationships/hyperlink" Target="https://shop.spreadshirt.com/balmer-hon/" TargetMode="External"/><Relationship Id="rId3767" Type="http://schemas.openxmlformats.org/officeDocument/2006/relationships/hyperlink" Target="https://pbs.twimg.com/media/EGbVIXnWkAAbius.jpg" TargetMode="External"/><Relationship Id="rId3974" Type="http://schemas.openxmlformats.org/officeDocument/2006/relationships/hyperlink" Target="https://pbs.twimg.com/media/D1pGJfbWkAIyadk.jpg" TargetMode="External"/><Relationship Id="rId688" Type="http://schemas.openxmlformats.org/officeDocument/2006/relationships/hyperlink" Target="https://pbs.twimg.com/media/EGcTBdSXkAEyGjs.jpg" TargetMode="External"/><Relationship Id="rId895" Type="http://schemas.openxmlformats.org/officeDocument/2006/relationships/hyperlink" Target="https://pbs.twimg.com/media/EGcRnj4WsAEXKw6.jpg" TargetMode="External"/><Relationship Id="rId2369" Type="http://schemas.openxmlformats.org/officeDocument/2006/relationships/hyperlink" Target="http://pic.twitter.com/TSfGfwPoZl" TargetMode="External"/><Relationship Id="rId2576" Type="http://schemas.openxmlformats.org/officeDocument/2006/relationships/hyperlink" Target="http://www.instagram.com/faksoyy" TargetMode="External"/><Relationship Id="rId2783" Type="http://schemas.openxmlformats.org/officeDocument/2006/relationships/hyperlink" Target="https://pbs.twimg.com/media/EGblEPxWsAE9kMv.jpg" TargetMode="External"/><Relationship Id="rId2990" Type="http://schemas.openxmlformats.org/officeDocument/2006/relationships/hyperlink" Target="http://pic.twitter.com/lposQhPE5K" TargetMode="External"/><Relationship Id="rId3627" Type="http://schemas.openxmlformats.org/officeDocument/2006/relationships/hyperlink" Target="https://pbs.twimg.com/media/EGbXDNsXUAAy93B.jpg" TargetMode="External"/><Relationship Id="rId3834" Type="http://schemas.openxmlformats.org/officeDocument/2006/relationships/hyperlink" Target="https://pbs.twimg.com/media/EGbURxxXYAAmLsq.jpg" TargetMode="External"/><Relationship Id="rId548" Type="http://schemas.openxmlformats.org/officeDocument/2006/relationships/hyperlink" Target="https://pbs.twimg.com/media/EGcUB30XYAIU8Rq.jpg" TargetMode="External"/><Relationship Id="rId755" Type="http://schemas.openxmlformats.org/officeDocument/2006/relationships/hyperlink" Target="https://twitter.com/RojavaIC/status/1181922590752985088" TargetMode="External"/><Relationship Id="rId962" Type="http://schemas.openxmlformats.org/officeDocument/2006/relationships/hyperlink" Target="https://twitter.com/amatoryolcu/status/1181843159120306176" TargetMode="External"/><Relationship Id="rId1178" Type="http://schemas.openxmlformats.org/officeDocument/2006/relationships/hyperlink" Target="http://pic.twitter.com/Czj7bouAkC" TargetMode="External"/><Relationship Id="rId1385" Type="http://schemas.openxmlformats.org/officeDocument/2006/relationships/hyperlink" Target="https://pbs.twimg.com/media/EGcNYgOXUAchJ7q.jpg" TargetMode="External"/><Relationship Id="rId1592" Type="http://schemas.openxmlformats.org/officeDocument/2006/relationships/hyperlink" Target="https://pbs.twimg.com/media/EGcMUUnXoAAplL2.jpg" TargetMode="External"/><Relationship Id="rId2229" Type="http://schemas.openxmlformats.org/officeDocument/2006/relationships/hyperlink" Target="http://pic.twitter.com/fEz8BnSPzw" TargetMode="External"/><Relationship Id="rId2436" Type="http://schemas.openxmlformats.org/officeDocument/2006/relationships/hyperlink" Target="https://twitter.com/BeyzaGvenmez/status/1181890328527282176?s=19" TargetMode="External"/><Relationship Id="rId2643" Type="http://schemas.openxmlformats.org/officeDocument/2006/relationships/hyperlink" Target="https://pbs.twimg.com/media/EGbolXgX0AAMBEe.jpg" TargetMode="External"/><Relationship Id="rId2850" Type="http://schemas.openxmlformats.org/officeDocument/2006/relationships/hyperlink" Target="https://pbs.twimg.com/media/EGbjtqwX0AU8fuH.jpg" TargetMode="External"/><Relationship Id="rId91" Type="http://schemas.openxmlformats.org/officeDocument/2006/relationships/hyperlink" Target="http://takvim.im/1682c2_smt" TargetMode="External"/><Relationship Id="rId408" Type="http://schemas.openxmlformats.org/officeDocument/2006/relationships/hyperlink" Target="http://instagram.com/UBKurt" TargetMode="External"/><Relationship Id="rId615" Type="http://schemas.openxmlformats.org/officeDocument/2006/relationships/hyperlink" Target="http://pic.twitter.com/I6al9XN2H5" TargetMode="External"/><Relationship Id="rId822" Type="http://schemas.openxmlformats.org/officeDocument/2006/relationships/hyperlink" Target="https://twitter.com/LindseyGrahamSC/status/1181714248977833984" TargetMode="External"/><Relationship Id="rId1038" Type="http://schemas.openxmlformats.org/officeDocument/2006/relationships/hyperlink" Target="https://www.instagram.com/yavuzd.947/" TargetMode="External"/><Relationship Id="rId1245" Type="http://schemas.openxmlformats.org/officeDocument/2006/relationships/hyperlink" Target="https://pbs.twimg.com/media/EGcOkWNX0AE_e6V.jpg" TargetMode="External"/><Relationship Id="rId1452" Type="http://schemas.openxmlformats.org/officeDocument/2006/relationships/hyperlink" Target="https://pbs.twimg.com/media/EGcM8R3WkAAgCTs.jpg" TargetMode="External"/><Relationship Id="rId2503" Type="http://schemas.openxmlformats.org/officeDocument/2006/relationships/hyperlink" Target="https://pbs.twimg.com/media/EGbsI97XkAAJ4pt.jpg" TargetMode="External"/><Relationship Id="rId3901" Type="http://schemas.openxmlformats.org/officeDocument/2006/relationships/hyperlink" Target="https://pbs.twimg.com/media/EGbTbO-WsAAHONw.jpg" TargetMode="External"/><Relationship Id="rId1105" Type="http://schemas.openxmlformats.org/officeDocument/2006/relationships/hyperlink" Target="https://nyti.ms/2LXXKbU" TargetMode="External"/><Relationship Id="rId1312" Type="http://schemas.openxmlformats.org/officeDocument/2006/relationships/hyperlink" Target="https://curiouscat.me/gimork" TargetMode="External"/><Relationship Id="rId2710" Type="http://schemas.openxmlformats.org/officeDocument/2006/relationships/hyperlink" Target="http://pic.twitter.com/I6al9XN2H5" TargetMode="External"/><Relationship Id="rId4468" Type="http://schemas.openxmlformats.org/officeDocument/2006/relationships/hyperlink" Target="https://pbs.twimg.com/media/EGbMV_bWoAEI0yZ.jpg" TargetMode="External"/><Relationship Id="rId3277" Type="http://schemas.openxmlformats.org/officeDocument/2006/relationships/hyperlink" Target="http://pic.twitter.com/eL8CcGgd7J" TargetMode="External"/><Relationship Id="rId198" Type="http://schemas.openxmlformats.org/officeDocument/2006/relationships/hyperlink" Target="http://instagram.com/ertugrullt_" TargetMode="External"/><Relationship Id="rId2086" Type="http://schemas.openxmlformats.org/officeDocument/2006/relationships/hyperlink" Target="https://pbs.twimg.com/media/EGb21AjXYAEgFr0.jpg" TargetMode="External"/><Relationship Id="rId3484" Type="http://schemas.openxmlformats.org/officeDocument/2006/relationships/hyperlink" Target="https://pbs.twimg.com/media/EGbZVP0XkAEZfS4.jpg" TargetMode="External"/><Relationship Id="rId3691" Type="http://schemas.openxmlformats.org/officeDocument/2006/relationships/hyperlink" Target="https://pbs.twimg.com/media/EGbWCwOWwAERqEN.jpg" TargetMode="External"/><Relationship Id="rId4328" Type="http://schemas.openxmlformats.org/officeDocument/2006/relationships/hyperlink" Target="https://pbs.twimg.com/media/EGbN-zuX0AEp0jF.jpg" TargetMode="External"/><Relationship Id="rId2293" Type="http://schemas.openxmlformats.org/officeDocument/2006/relationships/hyperlink" Target="https://pbs.twimg.com/media/EGbxkRLW4AAAs80.jpg" TargetMode="External"/><Relationship Id="rId3137" Type="http://schemas.openxmlformats.org/officeDocument/2006/relationships/hyperlink" Target="https://pbs.twimg.com/media/EGbe8ItXkAEbGer.jpg" TargetMode="External"/><Relationship Id="rId3344" Type="http://schemas.openxmlformats.org/officeDocument/2006/relationships/hyperlink" Target="https://pbs.twimg.com/media/EGbbcy9WkAIsmb7.jpg" TargetMode="External"/><Relationship Id="rId3551" Type="http://schemas.openxmlformats.org/officeDocument/2006/relationships/hyperlink" Target="https://www.funnygame.info/" TargetMode="External"/><Relationship Id="rId265" Type="http://schemas.openxmlformats.org/officeDocument/2006/relationships/hyperlink" Target="https://twitter.com/BLNT_KRN/status/1181936835733475330/photo/1" TargetMode="External"/><Relationship Id="rId472" Type="http://schemas.openxmlformats.org/officeDocument/2006/relationships/hyperlink" Target="https://pbs.twimg.com/media/EGcUsMMXYAA-_rs.jpg" TargetMode="External"/><Relationship Id="rId2153" Type="http://schemas.openxmlformats.org/officeDocument/2006/relationships/hyperlink" Target="http://pic.twitter.com/wfoN3GjXDY" TargetMode="External"/><Relationship Id="rId2360" Type="http://schemas.openxmlformats.org/officeDocument/2006/relationships/hyperlink" Target="https://pbs.twimg.com/media/EGbvjUAXYAA-VNn.jpg" TargetMode="External"/><Relationship Id="rId3204" Type="http://schemas.openxmlformats.org/officeDocument/2006/relationships/hyperlink" Target="https://pbs.twimg.com/media/EGbd9jfXoAE6X3s.jpg" TargetMode="External"/><Relationship Id="rId3411" Type="http://schemas.openxmlformats.org/officeDocument/2006/relationships/hyperlink" Target="https://www.instagram.com/zeynepsemiizz/" TargetMode="External"/><Relationship Id="rId125" Type="http://schemas.openxmlformats.org/officeDocument/2006/relationships/hyperlink" Target="https://twitter.com/seldasoyer_/status/1181881158130425858" TargetMode="External"/><Relationship Id="rId332" Type="http://schemas.openxmlformats.org/officeDocument/2006/relationships/hyperlink" Target="https://pbs.twimg.com/media/EGcWAopWsAAqQr8.jpg" TargetMode="External"/><Relationship Id="rId2013" Type="http://schemas.openxmlformats.org/officeDocument/2006/relationships/hyperlink" Target="https://pbs.twimg.com/media/EGb4ctUXkAAkNGu.jpg" TargetMode="External"/><Relationship Id="rId2220" Type="http://schemas.openxmlformats.org/officeDocument/2006/relationships/hyperlink" Target="https://pbs.twimg.com/media/EGbzdTcWkAAw7Nd.jpg" TargetMode="External"/><Relationship Id="rId4185" Type="http://schemas.openxmlformats.org/officeDocument/2006/relationships/hyperlink" Target="https://pbs.twimg.com/media/EGbPfwhWoAAzLsX.jpg" TargetMode="External"/><Relationship Id="rId4392" Type="http://schemas.openxmlformats.org/officeDocument/2006/relationships/hyperlink" Target="https://pbs.twimg.com/media/EGbNRUsXoAADpa7.jpg" TargetMode="External"/><Relationship Id="rId1779" Type="http://schemas.openxmlformats.org/officeDocument/2006/relationships/hyperlink" Target="https://pbs.twimg.com/media/EGb-n-3WoAAPLn6.jpg" TargetMode="External"/><Relationship Id="rId1986" Type="http://schemas.openxmlformats.org/officeDocument/2006/relationships/hyperlink" Target="http://www.fenerbahce.org/" TargetMode="External"/><Relationship Id="rId4045" Type="http://schemas.openxmlformats.org/officeDocument/2006/relationships/hyperlink" Target="https://pbs.twimg.com/media/EGbRecGWoAAUbIl.jpg" TargetMode="External"/><Relationship Id="rId4252" Type="http://schemas.openxmlformats.org/officeDocument/2006/relationships/hyperlink" Target="https://pbs.twimg.com/media/EGbO0qMWwAAeR0b.jpg" TargetMode="External"/><Relationship Id="rId1639" Type="http://schemas.openxmlformats.org/officeDocument/2006/relationships/hyperlink" Target="http://www.facebook.com/enestutar25" TargetMode="External"/><Relationship Id="rId1846" Type="http://schemas.openxmlformats.org/officeDocument/2006/relationships/hyperlink" Target="https://pbs.twimg.com/media/EGb8taYWwAApQND.jpg" TargetMode="External"/><Relationship Id="rId3061" Type="http://schemas.openxmlformats.org/officeDocument/2006/relationships/hyperlink" Target="http://pic.twitter.com/1vXW0ulyvp" TargetMode="External"/><Relationship Id="rId1706" Type="http://schemas.openxmlformats.org/officeDocument/2006/relationships/hyperlink" Target="https://pbs.twimg.com/media/EGcLtuTXUAIRrmX.jpg" TargetMode="External"/><Relationship Id="rId1913" Type="http://schemas.openxmlformats.org/officeDocument/2006/relationships/hyperlink" Target="http://instagram.com/edanur_bayan_hemsiree/" TargetMode="External"/><Relationship Id="rId4112" Type="http://schemas.openxmlformats.org/officeDocument/2006/relationships/hyperlink" Target="https://pbs.twimg.com/media/EGbQVxyWsAAb7t1.jpg" TargetMode="External"/><Relationship Id="rId3878" Type="http://schemas.openxmlformats.org/officeDocument/2006/relationships/hyperlink" Target="https://pbs.twimg.com/media/EGbTu77WoAAQyRv.jpg" TargetMode="External"/><Relationship Id="rId799" Type="http://schemas.openxmlformats.org/officeDocument/2006/relationships/hyperlink" Target="https://pbs.twimg.com/media/EGcPMZEWwAAsqvw.jpg" TargetMode="External"/><Relationship Id="rId2687" Type="http://schemas.openxmlformats.org/officeDocument/2006/relationships/hyperlink" Target="https://pbs.twimg.com/media/EGbnfbLW4AArdCl.jpg" TargetMode="External"/><Relationship Id="rId2894" Type="http://schemas.openxmlformats.org/officeDocument/2006/relationships/hyperlink" Target="https://www.instagram.com/invites/contact/?i=yly2reczp85l&amp;utm_content=hmci30" TargetMode="External"/><Relationship Id="rId3738" Type="http://schemas.openxmlformats.org/officeDocument/2006/relationships/hyperlink" Target="https://pbs.twimg.com/media/EGbVa3dWkAAQB8M.jpg" TargetMode="External"/><Relationship Id="rId659" Type="http://schemas.openxmlformats.org/officeDocument/2006/relationships/hyperlink" Target="https://pbs.twimg.com/media/EGcTMjUWkAA4pJg.jpg" TargetMode="External"/><Relationship Id="rId866" Type="http://schemas.openxmlformats.org/officeDocument/2006/relationships/hyperlink" Target="https://pbs.twimg.com/media/EGcR0ZoW4AES8QX.jpg" TargetMode="External"/><Relationship Id="rId1289" Type="http://schemas.openxmlformats.org/officeDocument/2006/relationships/hyperlink" Target="http://instagram.com/muratkarakartal" TargetMode="External"/><Relationship Id="rId1496" Type="http://schemas.openxmlformats.org/officeDocument/2006/relationships/hyperlink" Target="https://pbs.twimg.com/media/EGcMwx9XoAAH8rs.jpg" TargetMode="External"/><Relationship Id="rId2547" Type="http://schemas.openxmlformats.org/officeDocument/2006/relationships/hyperlink" Target="https://pbs.twimg.com/media/EGbq96AXUAAuYzD.jpg" TargetMode="External"/><Relationship Id="rId3945" Type="http://schemas.openxmlformats.org/officeDocument/2006/relationships/hyperlink" Target="https://pbs.twimg.com/media/D1H8ZwpU4AAaqKb.jpg" TargetMode="External"/><Relationship Id="rId519" Type="http://schemas.openxmlformats.org/officeDocument/2006/relationships/hyperlink" Target="https://pbs.twimg.com/media/EGcUVIyWsAM4uDT.jpg" TargetMode="External"/><Relationship Id="rId1149" Type="http://schemas.openxmlformats.org/officeDocument/2006/relationships/hyperlink" Target="http://www.editorialedae.com/" TargetMode="External"/><Relationship Id="rId1356" Type="http://schemas.openxmlformats.org/officeDocument/2006/relationships/hyperlink" Target="https://pbs.twimg.com/media/EGcNjnRW4AAdC_G.jpg" TargetMode="External"/><Relationship Id="rId2754" Type="http://schemas.openxmlformats.org/officeDocument/2006/relationships/hyperlink" Target="http://instagram.com/iamyasintek" TargetMode="External"/><Relationship Id="rId2961" Type="http://schemas.openxmlformats.org/officeDocument/2006/relationships/hyperlink" Target="https://azbuz.org/" TargetMode="External"/><Relationship Id="rId3805" Type="http://schemas.openxmlformats.org/officeDocument/2006/relationships/hyperlink" Target="https://pbs.twimg.com/media/EGbT8PkXoAAe5wK.jpg" TargetMode="External"/><Relationship Id="rId726" Type="http://schemas.openxmlformats.org/officeDocument/2006/relationships/hyperlink" Target="https://pbs.twimg.com/media/EGcStzTXYAINAI4.jpg" TargetMode="External"/><Relationship Id="rId933" Type="http://schemas.openxmlformats.org/officeDocument/2006/relationships/hyperlink" Target="https://twitter.com/rterdogan/status/1181919804619407360" TargetMode="External"/><Relationship Id="rId1009" Type="http://schemas.openxmlformats.org/officeDocument/2006/relationships/hyperlink" Target="https://pbs.twimg.com/media/EGcQvILXYAAfMpC.jpg" TargetMode="External"/><Relationship Id="rId1563" Type="http://schemas.openxmlformats.org/officeDocument/2006/relationships/hyperlink" Target="http://instagram.com/alperisbilen" TargetMode="External"/><Relationship Id="rId1770" Type="http://schemas.openxmlformats.org/officeDocument/2006/relationships/hyperlink" Target="http://instagram.com/emrreyazicii" TargetMode="External"/><Relationship Id="rId2407" Type="http://schemas.openxmlformats.org/officeDocument/2006/relationships/hyperlink" Target="http://www.allahseninbelaniversin.com/" TargetMode="External"/><Relationship Id="rId2614" Type="http://schemas.openxmlformats.org/officeDocument/2006/relationships/hyperlink" Target="http://ugureren.business.site/" TargetMode="External"/><Relationship Id="rId2821" Type="http://schemas.openxmlformats.org/officeDocument/2006/relationships/hyperlink" Target="https://pbs.twimg.com/media/DpxjgcLX4AEVD8v.jpg" TargetMode="External"/><Relationship Id="rId62" Type="http://schemas.openxmlformats.org/officeDocument/2006/relationships/hyperlink" Target="https://youtu.be/xodr5o2Shck" TargetMode="External"/><Relationship Id="rId1216" Type="http://schemas.openxmlformats.org/officeDocument/2006/relationships/hyperlink" Target="https://pbs.twimg.com/media/EGcO3NYWsAUhGrp.jpg" TargetMode="External"/><Relationship Id="rId1423" Type="http://schemas.openxmlformats.org/officeDocument/2006/relationships/hyperlink" Target="https://pbs.twimg.com/media/EGcNKOcWoAANJzl.jpg" TargetMode="External"/><Relationship Id="rId1630" Type="http://schemas.openxmlformats.org/officeDocument/2006/relationships/hyperlink" Target="https://pbs.twimg.com/media/EGcMH4nX0AAfa9Q.jpg" TargetMode="External"/><Relationship Id="rId3388" Type="http://schemas.openxmlformats.org/officeDocument/2006/relationships/hyperlink" Target="http://iyiparti.org.tr/" TargetMode="External"/><Relationship Id="rId3595" Type="http://schemas.openxmlformats.org/officeDocument/2006/relationships/hyperlink" Target="http://pic.twitter.com/rktE6MFQty" TargetMode="External"/><Relationship Id="rId4439" Type="http://schemas.openxmlformats.org/officeDocument/2006/relationships/hyperlink" Target="http://pic.twitter.com/I6al9XN2H5" TargetMode="External"/><Relationship Id="rId2197" Type="http://schemas.openxmlformats.org/officeDocument/2006/relationships/hyperlink" Target="https://pbs.twimg.com/media/EGbz-eAWkAAb8uE.jpg" TargetMode="External"/><Relationship Id="rId3248" Type="http://schemas.openxmlformats.org/officeDocument/2006/relationships/hyperlink" Target="http://pic.twitter.com/bxUJ1U7P0x" TargetMode="External"/><Relationship Id="rId3455" Type="http://schemas.openxmlformats.org/officeDocument/2006/relationships/hyperlink" Target="https://www.bjkajans.com/" TargetMode="External"/><Relationship Id="rId3662" Type="http://schemas.openxmlformats.org/officeDocument/2006/relationships/hyperlink" Target="https://pbs.twimg.com/media/EGbWbeLWwAA_oev.jpg" TargetMode="External"/><Relationship Id="rId4506" Type="http://schemas.openxmlformats.org/officeDocument/2006/relationships/hyperlink" Target="https://pbs.twimg.com/media/EGbL2swWwAArb38.jpg" TargetMode="External"/><Relationship Id="rId169" Type="http://schemas.openxmlformats.org/officeDocument/2006/relationships/hyperlink" Target="http://facebook.com/BaykusMukremin" TargetMode="External"/><Relationship Id="rId376" Type="http://schemas.openxmlformats.org/officeDocument/2006/relationships/hyperlink" Target="http://instagram.com/marikann33" TargetMode="External"/><Relationship Id="rId583" Type="http://schemas.openxmlformats.org/officeDocument/2006/relationships/hyperlink" Target="http://blog.milliyet.com.tr/alia" TargetMode="External"/><Relationship Id="rId790" Type="http://schemas.openxmlformats.org/officeDocument/2006/relationships/hyperlink" Target="https://www.instagram.com/p/B1bg5msBPBwm6Q1KXonvJfvfXB1hGUcT4C9jxw0/?igshid=1ee2lf9nskacc" TargetMode="External"/><Relationship Id="rId2057" Type="http://schemas.openxmlformats.org/officeDocument/2006/relationships/hyperlink" Target="http://pic.twitter.com/nKDZp4vfi6" TargetMode="External"/><Relationship Id="rId2264" Type="http://schemas.openxmlformats.org/officeDocument/2006/relationships/hyperlink" Target="https://pbs.twimg.com/media/EGbyW2NXkAAc6pG.jpg" TargetMode="External"/><Relationship Id="rId2471" Type="http://schemas.openxmlformats.org/officeDocument/2006/relationships/hyperlink" Target="https://pbs.twimg.com/media/EGbszZoXYAMj88J.jpg" TargetMode="External"/><Relationship Id="rId3108" Type="http://schemas.openxmlformats.org/officeDocument/2006/relationships/hyperlink" Target="https://pbs.twimg.com/media/EGbfVrmWkAAxQr8.jpg" TargetMode="External"/><Relationship Id="rId3315" Type="http://schemas.openxmlformats.org/officeDocument/2006/relationships/hyperlink" Target="http://pic.twitter.com/OsDWGhphkL" TargetMode="External"/><Relationship Id="rId3522" Type="http://schemas.openxmlformats.org/officeDocument/2006/relationships/hyperlink" Target="https://pbs.twimg.com/media/EGbYlqpX0AEMKhO.jpg" TargetMode="External"/><Relationship Id="rId236" Type="http://schemas.openxmlformats.org/officeDocument/2006/relationships/hyperlink" Target="https://twitter.com/gokborudiyorki/status/1181921702550343680" TargetMode="External"/><Relationship Id="rId443" Type="http://schemas.openxmlformats.org/officeDocument/2006/relationships/hyperlink" Target="https://pbs.twimg.com/media/EGcU8olXUAAIElE.jpg" TargetMode="External"/><Relationship Id="rId650" Type="http://schemas.openxmlformats.org/officeDocument/2006/relationships/hyperlink" Target="https://pbs.twimg.com/media/EGcTPEiXoAMDS25.jpg" TargetMode="External"/><Relationship Id="rId1073" Type="http://schemas.openxmlformats.org/officeDocument/2006/relationships/hyperlink" Target="http://pic.twitter.com/tCF5Ycyi2E" TargetMode="External"/><Relationship Id="rId1280" Type="http://schemas.openxmlformats.org/officeDocument/2006/relationships/hyperlink" Target="https://www.facebook.com/xsercanbeyx" TargetMode="External"/><Relationship Id="rId2124" Type="http://schemas.openxmlformats.org/officeDocument/2006/relationships/hyperlink" Target="https://twitter.com/Turan1530/status/1181854226231812096" TargetMode="External"/><Relationship Id="rId2331" Type="http://schemas.openxmlformats.org/officeDocument/2006/relationships/hyperlink" Target="https://pbs.twimg.com/media/EGbwVntXkAAgiUc.jpg" TargetMode="External"/><Relationship Id="rId303" Type="http://schemas.openxmlformats.org/officeDocument/2006/relationships/hyperlink" Target="http://www.rahimturk.com/" TargetMode="External"/><Relationship Id="rId1140" Type="http://schemas.openxmlformats.org/officeDocument/2006/relationships/hyperlink" Target="https://twitter.com/TurkPolisiTC/status/1181816176583811074" TargetMode="External"/><Relationship Id="rId4089" Type="http://schemas.openxmlformats.org/officeDocument/2006/relationships/hyperlink" Target="https://pbs.twimg.com/media/EGbQrKVWoAUyei6.jpg" TargetMode="External"/><Relationship Id="rId4296" Type="http://schemas.openxmlformats.org/officeDocument/2006/relationships/hyperlink" Target="https://pbs.twimg.com/media/EGbOTYzXkAEZTZr.jpg" TargetMode="External"/><Relationship Id="rId510" Type="http://schemas.openxmlformats.org/officeDocument/2006/relationships/hyperlink" Target="https://pbs.twimg.com/media/EGcUZHYX0AArQsX.jpg" TargetMode="External"/><Relationship Id="rId1000" Type="http://schemas.openxmlformats.org/officeDocument/2006/relationships/hyperlink" Target="http://pic.twitter.com/T8J6NOLX1s" TargetMode="External"/><Relationship Id="rId1957" Type="http://schemas.openxmlformats.org/officeDocument/2006/relationships/hyperlink" Target="http://www.kocaelitv.com.tr/" TargetMode="External"/><Relationship Id="rId4156" Type="http://schemas.openxmlformats.org/officeDocument/2006/relationships/hyperlink" Target="https://pbs.twimg.com/media/EGbP7nMWkAADkP1.jpg" TargetMode="External"/><Relationship Id="rId4363" Type="http://schemas.openxmlformats.org/officeDocument/2006/relationships/hyperlink" Target="https://twitter.com/avcimucahit/status/1181652292912726016" TargetMode="External"/><Relationship Id="rId1817" Type="http://schemas.openxmlformats.org/officeDocument/2006/relationships/hyperlink" Target="https://pbs.twimg.com/media/D6byqvKXoAAfmQs.jpg" TargetMode="External"/><Relationship Id="rId3172" Type="http://schemas.openxmlformats.org/officeDocument/2006/relationships/hyperlink" Target="http://instagram.com/yasmin_musmutlu" TargetMode="External"/><Relationship Id="rId4016" Type="http://schemas.openxmlformats.org/officeDocument/2006/relationships/hyperlink" Target="https://pbs.twimg.com/media/EGbJ8XsXUAMNvLJ.jpg" TargetMode="External"/><Relationship Id="rId4223" Type="http://schemas.openxmlformats.org/officeDocument/2006/relationships/hyperlink" Target="https://twitter.com/mustafaekin/status/1181800046993518594" TargetMode="External"/><Relationship Id="rId4430" Type="http://schemas.openxmlformats.org/officeDocument/2006/relationships/hyperlink" Target="http://www.yenfikir.com/" TargetMode="External"/><Relationship Id="rId3032" Type="http://schemas.openxmlformats.org/officeDocument/2006/relationships/hyperlink" Target="http://pic.twitter.com/iyD9AR9bCZ" TargetMode="External"/><Relationship Id="rId160" Type="http://schemas.openxmlformats.org/officeDocument/2006/relationships/hyperlink" Target="https://pbs.twimg.com/media/EGcX2RlWkAA7gTK.jpg" TargetMode="External"/><Relationship Id="rId3989" Type="http://schemas.openxmlformats.org/officeDocument/2006/relationships/hyperlink" Target="http://trabzonspor.org/" TargetMode="External"/><Relationship Id="rId2798" Type="http://schemas.openxmlformats.org/officeDocument/2006/relationships/hyperlink" Target="http://www.instagram.com/_mertkilinc" TargetMode="External"/><Relationship Id="rId3849" Type="http://schemas.openxmlformats.org/officeDocument/2006/relationships/hyperlink" Target="https://pbs.twimg.com/media/EGbT7yiXUAA1vGs.jpg" TargetMode="External"/><Relationship Id="rId977" Type="http://schemas.openxmlformats.org/officeDocument/2006/relationships/hyperlink" Target="http://sultanpolat.istanbul/" TargetMode="External"/><Relationship Id="rId2658" Type="http://schemas.openxmlformats.org/officeDocument/2006/relationships/hyperlink" Target="https://pbs.twimg.com/media/EGboJrIWwAAyhJu.jpg" TargetMode="External"/><Relationship Id="rId2865" Type="http://schemas.openxmlformats.org/officeDocument/2006/relationships/hyperlink" Target="https://pbs.twimg.com/media/EGbjdcRXYAAjLGF.jpg" TargetMode="External"/><Relationship Id="rId3709" Type="http://schemas.openxmlformats.org/officeDocument/2006/relationships/hyperlink" Target="https://pbs.twimg.com/media/EGbV0-mWkAAgZE_.jpg" TargetMode="External"/><Relationship Id="rId3916" Type="http://schemas.openxmlformats.org/officeDocument/2006/relationships/hyperlink" Target="https://pbs.twimg.com/media/EGbTODhWoAAPkJw.jpg" TargetMode="External"/><Relationship Id="rId4080" Type="http://schemas.openxmlformats.org/officeDocument/2006/relationships/hyperlink" Target="https://twitter.com/OkanGRLER/status/1171020265691783169" TargetMode="External"/><Relationship Id="rId837" Type="http://schemas.openxmlformats.org/officeDocument/2006/relationships/hyperlink" Target="https://pbs.twimg.com/media/EGcSAsfX0AAppc1.jpg" TargetMode="External"/><Relationship Id="rId1467" Type="http://schemas.openxmlformats.org/officeDocument/2006/relationships/hyperlink" Target="https://pbs.twimg.com/media/EGcM4ATWwAE78vl.jpg" TargetMode="External"/><Relationship Id="rId1674" Type="http://schemas.openxmlformats.org/officeDocument/2006/relationships/hyperlink" Target="http://kafakalem.com/" TargetMode="External"/><Relationship Id="rId1881" Type="http://schemas.openxmlformats.org/officeDocument/2006/relationships/hyperlink" Target="https://pbs.twimg.com/media/EGb7qWFXkAA1OCF.png" TargetMode="External"/><Relationship Id="rId2518" Type="http://schemas.openxmlformats.org/officeDocument/2006/relationships/hyperlink" Target="http://pic.twitter.com/e9Ce6sQjpC" TargetMode="External"/><Relationship Id="rId2725" Type="http://schemas.openxmlformats.org/officeDocument/2006/relationships/hyperlink" Target="https://www.youtube.com/watch?v=EFfCbChS9bc" TargetMode="External"/><Relationship Id="rId2932" Type="http://schemas.openxmlformats.org/officeDocument/2006/relationships/hyperlink" Target="http://yahyakaratas.blogspot.com/" TargetMode="External"/><Relationship Id="rId904" Type="http://schemas.openxmlformats.org/officeDocument/2006/relationships/hyperlink" Target="https://pbs.twimg.com/media/EGcRkcmXYAA3Af0.jpg" TargetMode="External"/><Relationship Id="rId1327" Type="http://schemas.openxmlformats.org/officeDocument/2006/relationships/hyperlink" Target="https://pbs.twimg.com/media/EGcNW3YWoAMbgyb.jpg" TargetMode="External"/><Relationship Id="rId1534" Type="http://schemas.openxmlformats.org/officeDocument/2006/relationships/hyperlink" Target="https://pbs.twimg.com/media/EGcMiYWXkAMNn6b.jpg" TargetMode="External"/><Relationship Id="rId1741" Type="http://schemas.openxmlformats.org/officeDocument/2006/relationships/hyperlink" Target="https://twitter.com/abukarsh2018/status/1181834879006326784" TargetMode="External"/><Relationship Id="rId33" Type="http://schemas.openxmlformats.org/officeDocument/2006/relationships/hyperlink" Target="https://pbs.twimg.com/media/EGcalkJXUAQ9vv5.jpg" TargetMode="External"/><Relationship Id="rId1601" Type="http://schemas.openxmlformats.org/officeDocument/2006/relationships/hyperlink" Target="https://www.instagram.com/zurichtair/" TargetMode="External"/><Relationship Id="rId3499" Type="http://schemas.openxmlformats.org/officeDocument/2006/relationships/hyperlink" Target="https://pbs.twimg.com/media/EGbZJEUWwAEEKI4.jpg" TargetMode="External"/><Relationship Id="rId3359" Type="http://schemas.openxmlformats.org/officeDocument/2006/relationships/hyperlink" Target="http://instagram.com/ceyhunkrkc" TargetMode="External"/><Relationship Id="rId3566" Type="http://schemas.openxmlformats.org/officeDocument/2006/relationships/hyperlink" Target="https://www.instagram.com/damlaasecgin/" TargetMode="External"/><Relationship Id="rId487" Type="http://schemas.openxmlformats.org/officeDocument/2006/relationships/hyperlink" Target="https://pbs.twimg.com/media/EGcUlfcWkAEHucY.jpg" TargetMode="External"/><Relationship Id="rId694" Type="http://schemas.openxmlformats.org/officeDocument/2006/relationships/hyperlink" Target="https://www.theguardian.com/profile/kiyya-baloch" TargetMode="External"/><Relationship Id="rId2168" Type="http://schemas.openxmlformats.org/officeDocument/2006/relationships/hyperlink" Target="https://pbs.twimg.com/media/EGb00MuW4AA6j7C.jpg" TargetMode="External"/><Relationship Id="rId2375" Type="http://schemas.openxmlformats.org/officeDocument/2006/relationships/hyperlink" Target="http://pic.twitter.com/VCo1DQrOpY" TargetMode="External"/><Relationship Id="rId3219" Type="http://schemas.openxmlformats.org/officeDocument/2006/relationships/hyperlink" Target="https://twitter.com/eskibirmuhtar/status/1181830089085992960" TargetMode="External"/><Relationship Id="rId3773" Type="http://schemas.openxmlformats.org/officeDocument/2006/relationships/hyperlink" Target="https://www.instagram.com/mehmetcrbg" TargetMode="External"/><Relationship Id="rId3980" Type="http://schemas.openxmlformats.org/officeDocument/2006/relationships/hyperlink" Target="https://pbs.twimg.com/media/EGbSRqYXYAAy0vC.png" TargetMode="External"/><Relationship Id="rId347" Type="http://schemas.openxmlformats.org/officeDocument/2006/relationships/hyperlink" Target="https://twitter.com/BillKristol/status/1181682899424350209" TargetMode="External"/><Relationship Id="rId1184" Type="http://schemas.openxmlformats.org/officeDocument/2006/relationships/hyperlink" Target="https://pbs.twimg.com/media/EGcPJy5WkAEr-kF.jpg" TargetMode="External"/><Relationship Id="rId2028" Type="http://schemas.openxmlformats.org/officeDocument/2006/relationships/hyperlink" Target="https://pbs.twimg.com/media/EGb4PjyX0AAgF0i.jpg" TargetMode="External"/><Relationship Id="rId2582" Type="http://schemas.openxmlformats.org/officeDocument/2006/relationships/hyperlink" Target="http://pic.twitter.com/M5TreacFF5" TargetMode="External"/><Relationship Id="rId3426" Type="http://schemas.openxmlformats.org/officeDocument/2006/relationships/hyperlink" Target="https://pbs.twimg.com/media/EGbaGsKWsAAS5s9.jpg" TargetMode="External"/><Relationship Id="rId3633" Type="http://schemas.openxmlformats.org/officeDocument/2006/relationships/hyperlink" Target="https://pbs.twimg.com/media/EGbW7GQWwAA_3Il.jpg" TargetMode="External"/><Relationship Id="rId3840" Type="http://schemas.openxmlformats.org/officeDocument/2006/relationships/hyperlink" Target="https://pbs.twimg.com/media/EGbUDn7WkAIOddK.jpg" TargetMode="External"/><Relationship Id="rId554" Type="http://schemas.openxmlformats.org/officeDocument/2006/relationships/hyperlink" Target="https://twitter.com/_kartal_goz_/status/1181933884684083202" TargetMode="External"/><Relationship Id="rId761" Type="http://schemas.openxmlformats.org/officeDocument/2006/relationships/hyperlink" Target="https://www.instagram.com/recepkaya__/" TargetMode="External"/><Relationship Id="rId1391" Type="http://schemas.openxmlformats.org/officeDocument/2006/relationships/hyperlink" Target="https://pbs.twimg.com/media/EGcNY0JWoAg38yn.jpg" TargetMode="External"/><Relationship Id="rId2235" Type="http://schemas.openxmlformats.org/officeDocument/2006/relationships/hyperlink" Target="https://pbs.twimg.com/media/EGbzHzsXkAABv4c.jpg" TargetMode="External"/><Relationship Id="rId2442" Type="http://schemas.openxmlformats.org/officeDocument/2006/relationships/hyperlink" Target="http://instagram.com/serhtceylan" TargetMode="External"/><Relationship Id="rId3700" Type="http://schemas.openxmlformats.org/officeDocument/2006/relationships/hyperlink" Target="http://instagram.com/cetorhun" TargetMode="External"/><Relationship Id="rId207" Type="http://schemas.openxmlformats.org/officeDocument/2006/relationships/hyperlink" Target="https://twitter.com/tskgnkur/status/1181566115996196865" TargetMode="External"/><Relationship Id="rId414" Type="http://schemas.openxmlformats.org/officeDocument/2006/relationships/hyperlink" Target="https://pbs.twimg.com/media/EGcVOrAWkAEC-yM.jpg" TargetMode="External"/><Relationship Id="rId621" Type="http://schemas.openxmlformats.org/officeDocument/2006/relationships/hyperlink" Target="https://pbs.twimg.com/media/EGcTc9aWoAUB27l.jpg" TargetMode="External"/><Relationship Id="rId1044" Type="http://schemas.openxmlformats.org/officeDocument/2006/relationships/hyperlink" Target="http://pic.twitter.com/smM93fBWeF" TargetMode="External"/><Relationship Id="rId1251" Type="http://schemas.openxmlformats.org/officeDocument/2006/relationships/hyperlink" Target="https://twitter.com/ankara_kusu/status/1181928799862235136" TargetMode="External"/><Relationship Id="rId2302" Type="http://schemas.openxmlformats.org/officeDocument/2006/relationships/hyperlink" Target="https://pbs.twimg.com/media/EGbxUzyXYAAc8WJ.jpg" TargetMode="External"/><Relationship Id="rId1111" Type="http://schemas.openxmlformats.org/officeDocument/2006/relationships/hyperlink" Target="http://instagram.com/halilkisecok" TargetMode="External"/><Relationship Id="rId4267" Type="http://schemas.openxmlformats.org/officeDocument/2006/relationships/hyperlink" Target="http://pic.twitter.com/SEGx0I6x56" TargetMode="External"/><Relationship Id="rId4474" Type="http://schemas.openxmlformats.org/officeDocument/2006/relationships/hyperlink" Target="https://twitter.com/1parcatuhaftik/status/1181844228445478913" TargetMode="External"/><Relationship Id="rId3076" Type="http://schemas.openxmlformats.org/officeDocument/2006/relationships/hyperlink" Target="http://www.e.com/" TargetMode="External"/><Relationship Id="rId3283" Type="http://schemas.openxmlformats.org/officeDocument/2006/relationships/hyperlink" Target="https://pbs.twimg.com/media/EGbcd63WkAYgPlE.jpg" TargetMode="External"/><Relationship Id="rId3490" Type="http://schemas.openxmlformats.org/officeDocument/2006/relationships/hyperlink" Target="https://pbs.twimg.com/media/EGbZM5TWwAADu1l.jpg" TargetMode="External"/><Relationship Id="rId4127" Type="http://schemas.openxmlformats.org/officeDocument/2006/relationships/hyperlink" Target="http://pic.twitter.com/JrSI0QX5YI" TargetMode="External"/><Relationship Id="rId4334" Type="http://schemas.openxmlformats.org/officeDocument/2006/relationships/hyperlink" Target="http://instagram.com/turancigrafik" TargetMode="External"/><Relationship Id="rId1928" Type="http://schemas.openxmlformats.org/officeDocument/2006/relationships/hyperlink" Target="http://fazilduygun.blogcu.com/" TargetMode="External"/><Relationship Id="rId2092" Type="http://schemas.openxmlformats.org/officeDocument/2006/relationships/hyperlink" Target="https://twitter.com/alikeskin_tr/status/1181876599542685697" TargetMode="External"/><Relationship Id="rId3143" Type="http://schemas.openxmlformats.org/officeDocument/2006/relationships/hyperlink" Target="https://pbs.twimg.com/media/EGbe3VvW4AAlQV9.jpg" TargetMode="External"/><Relationship Id="rId3350" Type="http://schemas.openxmlformats.org/officeDocument/2006/relationships/hyperlink" Target="https://pbs.twimg.com/media/EGbbTXIX0AEgWLQ.jpg" TargetMode="External"/><Relationship Id="rId271" Type="http://schemas.openxmlformats.org/officeDocument/2006/relationships/hyperlink" Target="https://pbs.twimg.com/media/EGcUyl-WwAUSPe5.png" TargetMode="External"/><Relationship Id="rId3003" Type="http://schemas.openxmlformats.org/officeDocument/2006/relationships/hyperlink" Target="https://www.muhammetkaplan.com/youtuber/" TargetMode="External"/><Relationship Id="rId4401" Type="http://schemas.openxmlformats.org/officeDocument/2006/relationships/hyperlink" Target="https://pbs.twimg.com/media/EGbNK4EX0AAqozT.jpg" TargetMode="External"/><Relationship Id="rId131" Type="http://schemas.openxmlformats.org/officeDocument/2006/relationships/hyperlink" Target="https://pbs.twimg.com/media/EGcYUb1WkAkQlpa.jpg" TargetMode="External"/><Relationship Id="rId3210" Type="http://schemas.openxmlformats.org/officeDocument/2006/relationships/hyperlink" Target="https://pbs.twimg.com/media/EGbdxZEWoAAcS-_.jpg" TargetMode="External"/><Relationship Id="rId2769" Type="http://schemas.openxmlformats.org/officeDocument/2006/relationships/hyperlink" Target="https://pbs.twimg.com/media/EGblaunXoAAZDVC.jpg" TargetMode="External"/><Relationship Id="rId2976" Type="http://schemas.openxmlformats.org/officeDocument/2006/relationships/hyperlink" Target="https://pbs.twimg.com/media/EGbhxSyWsAER9Ns.jpg" TargetMode="External"/><Relationship Id="rId948" Type="http://schemas.openxmlformats.org/officeDocument/2006/relationships/hyperlink" Target="https://pbs.twimg.com/media/EGcRM-OWsAE2bcL.jpg" TargetMode="External"/><Relationship Id="rId1578" Type="http://schemas.openxmlformats.org/officeDocument/2006/relationships/hyperlink" Target="http://www.ritech.com.tr/" TargetMode="External"/><Relationship Id="rId1785" Type="http://schemas.openxmlformats.org/officeDocument/2006/relationships/hyperlink" Target="https://pbs.twimg.com/media/EGb-kC1WoAEnn4h.jpg" TargetMode="External"/><Relationship Id="rId1992" Type="http://schemas.openxmlformats.org/officeDocument/2006/relationships/hyperlink" Target="https://pbs.twimg.com/media/EGb4zuXWsAAoMZW.jpg" TargetMode="External"/><Relationship Id="rId2629" Type="http://schemas.openxmlformats.org/officeDocument/2006/relationships/hyperlink" Target="http://instagram.com/themarginale" TargetMode="External"/><Relationship Id="rId2836" Type="http://schemas.openxmlformats.org/officeDocument/2006/relationships/hyperlink" Target="https://pbs.twimg.com/media/EGbkE-qW4AAEwnn.jpg" TargetMode="External"/><Relationship Id="rId4191" Type="http://schemas.openxmlformats.org/officeDocument/2006/relationships/hyperlink" Target="https://pbs.twimg.com/media/EGbPdIxXUAIVN-H.jpg" TargetMode="External"/><Relationship Id="rId77" Type="http://schemas.openxmlformats.org/officeDocument/2006/relationships/hyperlink" Target="https://pbs.twimg.com/media/EGcZhsNXkAADqD-.jpg" TargetMode="External"/><Relationship Id="rId808" Type="http://schemas.openxmlformats.org/officeDocument/2006/relationships/hyperlink" Target="http://pic.twitter.com/1pmYoISw9p" TargetMode="External"/><Relationship Id="rId1438" Type="http://schemas.openxmlformats.org/officeDocument/2006/relationships/hyperlink" Target="https://www.facebook.com/akpartisehitkamilkadinkollari27/" TargetMode="External"/><Relationship Id="rId1645" Type="http://schemas.openxmlformats.org/officeDocument/2006/relationships/hyperlink" Target="https://pbs.twimg.com/media/EGcMAODX0AEYD_C.jpg" TargetMode="External"/><Relationship Id="rId4051" Type="http://schemas.openxmlformats.org/officeDocument/2006/relationships/hyperlink" Target="https://pbs.twimg.com/media/EGbRJaRXYAARHNC.jpg" TargetMode="External"/><Relationship Id="rId1852" Type="http://schemas.openxmlformats.org/officeDocument/2006/relationships/hyperlink" Target="http://www.enibul.com/en-guzel-kucuk-dovmeler-ve-anlamlari/" TargetMode="External"/><Relationship Id="rId2903" Type="http://schemas.openxmlformats.org/officeDocument/2006/relationships/hyperlink" Target="https://pbs.twimg.com/media/EGbi6rgWoAAkKYE.jpg" TargetMode="External"/><Relationship Id="rId1505" Type="http://schemas.openxmlformats.org/officeDocument/2006/relationships/hyperlink" Target="https://pbs.twimg.com/media/EGcMtxtXUAIxYOX.jpg" TargetMode="External"/><Relationship Id="rId1712" Type="http://schemas.openxmlformats.org/officeDocument/2006/relationships/hyperlink" Target="https://pbs.twimg.com/media/EGcKpk0X0AUtvNm.jpg" TargetMode="External"/><Relationship Id="rId3677" Type="http://schemas.openxmlformats.org/officeDocument/2006/relationships/hyperlink" Target="https://pbs.twimg.com/media/EGbWL7XX0AA7M9e.jpg" TargetMode="External"/><Relationship Id="rId3884" Type="http://schemas.openxmlformats.org/officeDocument/2006/relationships/hyperlink" Target="https://pbs.twimg.com/media/EGbTrzcX0AELtbg.jpg" TargetMode="External"/><Relationship Id="rId598" Type="http://schemas.openxmlformats.org/officeDocument/2006/relationships/hyperlink" Target="http://facebook.com/amrahjafarly" TargetMode="External"/><Relationship Id="rId2279" Type="http://schemas.openxmlformats.org/officeDocument/2006/relationships/hyperlink" Target="https://pbs.twimg.com/media/EGbyBxNX0AEnsTX.jpg" TargetMode="External"/><Relationship Id="rId2486" Type="http://schemas.openxmlformats.org/officeDocument/2006/relationships/hyperlink" Target="https://www.haberinsiyatif.com/" TargetMode="External"/><Relationship Id="rId2693" Type="http://schemas.openxmlformats.org/officeDocument/2006/relationships/hyperlink" Target="https://pbs.twimg.com/media/EGbnaFbXoAAr6n5.jpg" TargetMode="External"/><Relationship Id="rId3537" Type="http://schemas.openxmlformats.org/officeDocument/2006/relationships/hyperlink" Target="https://pbs.twimg.com/media/EGbYdPEWsAAk1KG.jpg" TargetMode="External"/><Relationship Id="rId3744" Type="http://schemas.openxmlformats.org/officeDocument/2006/relationships/hyperlink" Target="http://pic.twitter.com/Vo7sEXz1AH" TargetMode="External"/><Relationship Id="rId3951" Type="http://schemas.openxmlformats.org/officeDocument/2006/relationships/hyperlink" Target="https://pbs.twimg.com/media/EGbSvZpX0AAaifz.jpg" TargetMode="External"/><Relationship Id="rId458" Type="http://schemas.openxmlformats.org/officeDocument/2006/relationships/hyperlink" Target="https://pbs.twimg.com/media/EGcUxD0XUAAe7nY.jpg" TargetMode="External"/><Relationship Id="rId665" Type="http://schemas.openxmlformats.org/officeDocument/2006/relationships/hyperlink" Target="https://pbs.twimg.com/media/EGcTKumWkAA_5ZY.jpg" TargetMode="External"/><Relationship Id="rId872" Type="http://schemas.openxmlformats.org/officeDocument/2006/relationships/hyperlink" Target="https://pbs.twimg.com/media/EGcRyx-XUAMlDJe.jpg" TargetMode="External"/><Relationship Id="rId1088" Type="http://schemas.openxmlformats.org/officeDocument/2006/relationships/hyperlink" Target="https://twitter.com/RTErdogan/status/1181919804619407360" TargetMode="External"/><Relationship Id="rId1295" Type="http://schemas.openxmlformats.org/officeDocument/2006/relationships/hyperlink" Target="https://pbs.twimg.com/media/EGcOGFSXUAARClk.jpg" TargetMode="External"/><Relationship Id="rId2139" Type="http://schemas.openxmlformats.org/officeDocument/2006/relationships/hyperlink" Target="https://instagram.com/AltincubukSayan" TargetMode="External"/><Relationship Id="rId2346" Type="http://schemas.openxmlformats.org/officeDocument/2006/relationships/hyperlink" Target="https://pbs.twimg.com/media/EGbv2kFWwAADR_o.jpg" TargetMode="External"/><Relationship Id="rId2553" Type="http://schemas.openxmlformats.org/officeDocument/2006/relationships/hyperlink" Target="https://pbs.twimg.com/media/EGbqtchXUAAXd_F.jpg" TargetMode="External"/><Relationship Id="rId2760" Type="http://schemas.openxmlformats.org/officeDocument/2006/relationships/hyperlink" Target="http://pic.twitter.com/meSDHWmGIV" TargetMode="External"/><Relationship Id="rId3604" Type="http://schemas.openxmlformats.org/officeDocument/2006/relationships/hyperlink" Target="https://pbs.twimg.com/media/EGbXXxNX0AIIjgz.jpg" TargetMode="External"/><Relationship Id="rId3811" Type="http://schemas.openxmlformats.org/officeDocument/2006/relationships/hyperlink" Target="https://pbs.twimg.com/media/EGbUid3WsAEyij6.jpg" TargetMode="External"/><Relationship Id="rId318" Type="http://schemas.openxmlformats.org/officeDocument/2006/relationships/hyperlink" Target="https://twitter.com/hdpgenelmerkezi/status/1181936116229902336" TargetMode="External"/><Relationship Id="rId525" Type="http://schemas.openxmlformats.org/officeDocument/2006/relationships/hyperlink" Target="https://twitter.com/uzunabdurrahman/status/1181579053045813250" TargetMode="External"/><Relationship Id="rId732" Type="http://schemas.openxmlformats.org/officeDocument/2006/relationships/hyperlink" Target="http://instagram.com/_arzucc_" TargetMode="External"/><Relationship Id="rId1155" Type="http://schemas.openxmlformats.org/officeDocument/2006/relationships/hyperlink" Target="https://www.washingtonpost.com/world/middle_east/with-turkish-offensive-looming-syrian-kurds-mobilize-civilian-defense/2019/10/09/4efca794-ea02-11e9-a329-7378fbfa1b63_story.html" TargetMode="External"/><Relationship Id="rId1362" Type="http://schemas.openxmlformats.org/officeDocument/2006/relationships/hyperlink" Target="https://pbs.twimg.com/media/EGcNhJzXoAATrIc.jpg" TargetMode="External"/><Relationship Id="rId2206" Type="http://schemas.openxmlformats.org/officeDocument/2006/relationships/hyperlink" Target="https://pbs.twimg.com/media/EGbz1bLXUAAiMis.jpg" TargetMode="External"/><Relationship Id="rId2413" Type="http://schemas.openxmlformats.org/officeDocument/2006/relationships/hyperlink" Target="https://pbs.twimg.com/media/EGbuOjUXYAEnS4S.jpg" TargetMode="External"/><Relationship Id="rId2620" Type="http://schemas.openxmlformats.org/officeDocument/2006/relationships/hyperlink" Target="https://pbs.twimg.com/media/EGbpN6NXoAMnkmo.jpg" TargetMode="External"/><Relationship Id="rId1015" Type="http://schemas.openxmlformats.org/officeDocument/2006/relationships/hyperlink" Target="https://www.egm.gov.tr/siber" TargetMode="External"/><Relationship Id="rId1222" Type="http://schemas.openxmlformats.org/officeDocument/2006/relationships/hyperlink" Target="http://instagram.com/_berkaytoprak" TargetMode="External"/><Relationship Id="rId4378" Type="http://schemas.openxmlformats.org/officeDocument/2006/relationships/hyperlink" Target="https://pbs.twimg.com/media/EGbNdZQWwAAqgxc.jpg" TargetMode="External"/><Relationship Id="rId3187" Type="http://schemas.openxmlformats.org/officeDocument/2006/relationships/hyperlink" Target="https://pbs.twimg.com/media/EGbePlQXYAA2HZG.jpg" TargetMode="External"/><Relationship Id="rId3394" Type="http://schemas.openxmlformats.org/officeDocument/2006/relationships/hyperlink" Target="http://instagram.com/oguzhanaksu1" TargetMode="External"/><Relationship Id="rId4238" Type="http://schemas.openxmlformats.org/officeDocument/2006/relationships/hyperlink" Target="https://pbs.twimg.com/media/EGbPC8tXkAAaIUT.jpg" TargetMode="External"/><Relationship Id="rId3047" Type="http://schemas.openxmlformats.org/officeDocument/2006/relationships/hyperlink" Target="https://pbs.twimg.com/media/EGbghf3WoAA6jLp.jpg" TargetMode="External"/><Relationship Id="rId4445" Type="http://schemas.openxmlformats.org/officeDocument/2006/relationships/hyperlink" Target="https://pbs.twimg.com/media/EGbMkfYWwAAcTv8.jpg" TargetMode="External"/><Relationship Id="rId175" Type="http://schemas.openxmlformats.org/officeDocument/2006/relationships/hyperlink" Target="https://www.cnn.com/videos/politics/2019/10/08/ralph-peters-responds-to-president-trumps-tweet-cooper-ac360-vpx.cnn" TargetMode="External"/><Relationship Id="rId3254" Type="http://schemas.openxmlformats.org/officeDocument/2006/relationships/hyperlink" Target="http://instagram.com/sedasgkpnr" TargetMode="External"/><Relationship Id="rId3461" Type="http://schemas.openxmlformats.org/officeDocument/2006/relationships/hyperlink" Target="https://www.instagram.com/berkaysydm00" TargetMode="External"/><Relationship Id="rId4305" Type="http://schemas.openxmlformats.org/officeDocument/2006/relationships/hyperlink" Target="http://twitterbegeni.com/?rf=FatihUSLU27" TargetMode="External"/><Relationship Id="rId4512" Type="http://schemas.openxmlformats.org/officeDocument/2006/relationships/hyperlink" Target="https://pbs.twimg.com/media/EGbL08KX0AAZPFG.jpg" TargetMode="External"/><Relationship Id="rId382" Type="http://schemas.openxmlformats.org/officeDocument/2006/relationships/hyperlink" Target="http://pic.twitter.com/SPERiFehNd" TargetMode="External"/><Relationship Id="rId2063" Type="http://schemas.openxmlformats.org/officeDocument/2006/relationships/hyperlink" Target="https://ift.tt/2VcrPHI" TargetMode="External"/><Relationship Id="rId2270" Type="http://schemas.openxmlformats.org/officeDocument/2006/relationships/hyperlink" Target="https://pbs.twimg.com/media/EGbyOEXWwAAJ9a_.jpg" TargetMode="External"/><Relationship Id="rId3114" Type="http://schemas.openxmlformats.org/officeDocument/2006/relationships/hyperlink" Target="http://pic.twitter.com/bCofTyalFg" TargetMode="External"/><Relationship Id="rId3321" Type="http://schemas.openxmlformats.org/officeDocument/2006/relationships/hyperlink" Target="https://pbs.twimg.com/media/EGbbtmWXYAAFmC8.jpg" TargetMode="External"/><Relationship Id="rId242" Type="http://schemas.openxmlformats.org/officeDocument/2006/relationships/hyperlink" Target="http://intagram.com/isaperi44" TargetMode="External"/><Relationship Id="rId2130" Type="http://schemas.openxmlformats.org/officeDocument/2006/relationships/hyperlink" Target="http://www.mariadebonne.blogspot.com/" TargetMode="External"/><Relationship Id="rId102" Type="http://schemas.openxmlformats.org/officeDocument/2006/relationships/hyperlink" Target="https://pbs.twimg.com/media/EGcY_r1XkAAnNP2.jpg" TargetMode="External"/><Relationship Id="rId1689" Type="http://schemas.openxmlformats.org/officeDocument/2006/relationships/hyperlink" Target="https://pbs.twimg.com/media/EGcLytQXoAA9uQ_.jpg" TargetMode="External"/><Relationship Id="rId4095" Type="http://schemas.openxmlformats.org/officeDocument/2006/relationships/hyperlink" Target="https://pbs.twimg.com/media/EGbQhcSX0AE9Und.jpg" TargetMode="External"/><Relationship Id="rId1896" Type="http://schemas.openxmlformats.org/officeDocument/2006/relationships/hyperlink" Target="https://pbs.twimg.com/media/D2YC84sWsAI5ZGJ.jpg" TargetMode="External"/><Relationship Id="rId2947" Type="http://schemas.openxmlformats.org/officeDocument/2006/relationships/hyperlink" Target="https://twitter.com/otomatikportakal/status/969113572973469698?s=19" TargetMode="External"/><Relationship Id="rId4162" Type="http://schemas.openxmlformats.org/officeDocument/2006/relationships/hyperlink" Target="https://pbs.twimg.com/media/EGbPztgXUAE9RNL.jpg" TargetMode="External"/><Relationship Id="rId919" Type="http://schemas.openxmlformats.org/officeDocument/2006/relationships/hyperlink" Target="http://pic.twitter.com/4n2gaS6gWK" TargetMode="External"/><Relationship Id="rId1549" Type="http://schemas.openxmlformats.org/officeDocument/2006/relationships/hyperlink" Target="http://www.bodrumholidayresort.com/" TargetMode="External"/><Relationship Id="rId1756" Type="http://schemas.openxmlformats.org/officeDocument/2006/relationships/hyperlink" Target="https://pbs.twimg.com/media/EGb_MpCWsAA_RcZ.jpg" TargetMode="External"/><Relationship Id="rId1963" Type="http://schemas.openxmlformats.org/officeDocument/2006/relationships/hyperlink" Target="https://www.facebook.com/imgulraizTLP" TargetMode="External"/><Relationship Id="rId2807" Type="http://schemas.openxmlformats.org/officeDocument/2006/relationships/hyperlink" Target="https://pbs.twimg.com/media/EGbkq2pWkAIh-BW.jpg" TargetMode="External"/><Relationship Id="rId4022" Type="http://schemas.openxmlformats.org/officeDocument/2006/relationships/hyperlink" Target="http://www.besiktas.com.tr/" TargetMode="External"/><Relationship Id="rId48" Type="http://schemas.openxmlformats.org/officeDocument/2006/relationships/hyperlink" Target="http://akgazete.com.tr/" TargetMode="External"/><Relationship Id="rId1409" Type="http://schemas.openxmlformats.org/officeDocument/2006/relationships/hyperlink" Target="https://pbs.twimg.com/media/EGcNOZVWoAELzp3.jpg" TargetMode="External"/><Relationship Id="rId1616" Type="http://schemas.openxmlformats.org/officeDocument/2006/relationships/hyperlink" Target="https://pbs.twimg.com/media/EGcMNm0WsAAM5qj.jpg" TargetMode="External"/><Relationship Id="rId1823" Type="http://schemas.openxmlformats.org/officeDocument/2006/relationships/hyperlink" Target="https://twitter.com/IgnatiusPost/status/1181724204233904128" TargetMode="External"/><Relationship Id="rId3788" Type="http://schemas.openxmlformats.org/officeDocument/2006/relationships/hyperlink" Target="https://www.twitter.com/" TargetMode="External"/><Relationship Id="rId3995" Type="http://schemas.openxmlformats.org/officeDocument/2006/relationships/hyperlink" Target="https://twitter.com/i/broadcasts/1ypJdBMXyBqKW" TargetMode="External"/><Relationship Id="rId2597" Type="http://schemas.openxmlformats.org/officeDocument/2006/relationships/hyperlink" Target="https://instagram.com/turkculerotagim" TargetMode="External"/><Relationship Id="rId3648" Type="http://schemas.openxmlformats.org/officeDocument/2006/relationships/hyperlink" Target="https://www.instagram.com/id0bey/?hl=tr" TargetMode="External"/><Relationship Id="rId3855" Type="http://schemas.openxmlformats.org/officeDocument/2006/relationships/hyperlink" Target="https://pbs.twimg.com/media/EGbT6_wWsAAcuj_.jpg" TargetMode="External"/><Relationship Id="rId569" Type="http://schemas.openxmlformats.org/officeDocument/2006/relationships/hyperlink" Target="http://instagram.com/celikensar" TargetMode="External"/><Relationship Id="rId776" Type="http://schemas.openxmlformats.org/officeDocument/2006/relationships/hyperlink" Target="https://pbs.twimg.com/media/EGcSbfzXoAEZmSG.jpg" TargetMode="External"/><Relationship Id="rId983" Type="http://schemas.openxmlformats.org/officeDocument/2006/relationships/hyperlink" Target="https://instagram.com/alifuaterbey" TargetMode="External"/><Relationship Id="rId1199" Type="http://schemas.openxmlformats.org/officeDocument/2006/relationships/hyperlink" Target="https://pbs.twimg.com/media/EGcPDKrX0AE3cVh.jpg" TargetMode="External"/><Relationship Id="rId2457" Type="http://schemas.openxmlformats.org/officeDocument/2006/relationships/hyperlink" Target="https://pbs.twimg.com/media/EGbtSfFWsAAZoQt.jpg" TargetMode="External"/><Relationship Id="rId2664" Type="http://schemas.openxmlformats.org/officeDocument/2006/relationships/hyperlink" Target="http://pic.twitter.com/UFgTpMyHsx" TargetMode="External"/><Relationship Id="rId3508" Type="http://schemas.openxmlformats.org/officeDocument/2006/relationships/hyperlink" Target="https://pbs.twimg.com/media/EGbY2v-WkAAVMCj.jpg" TargetMode="External"/><Relationship Id="rId429" Type="http://schemas.openxmlformats.org/officeDocument/2006/relationships/hyperlink" Target="https://pbs.twimg.com/media/EGcVD96WwAAsLD6.jpg" TargetMode="External"/><Relationship Id="rId636" Type="http://schemas.openxmlformats.org/officeDocument/2006/relationships/hyperlink" Target="https://www.vaynat.com/" TargetMode="External"/><Relationship Id="rId1059" Type="http://schemas.openxmlformats.org/officeDocument/2006/relationships/hyperlink" Target="https://twitter.com/siirsabahi_/status/1181929778582085634" TargetMode="External"/><Relationship Id="rId1266" Type="http://schemas.openxmlformats.org/officeDocument/2006/relationships/hyperlink" Target="https://pbs.twimg.com/media/EGcOXH3WoAEO3-W.jpg" TargetMode="External"/><Relationship Id="rId1473" Type="http://schemas.openxmlformats.org/officeDocument/2006/relationships/hyperlink" Target="https://pbs.twimg.com/media/EGcMz_1WkAAa0Xc.jpg" TargetMode="External"/><Relationship Id="rId2317" Type="http://schemas.openxmlformats.org/officeDocument/2006/relationships/hyperlink" Target="https://pbs.twimg.com/media/EGbwpr6WkAElU2s.jpg" TargetMode="External"/><Relationship Id="rId2871" Type="http://schemas.openxmlformats.org/officeDocument/2006/relationships/hyperlink" Target="https://pbs.twimg.com/media/EGbUbDJWkAALzso.jpg" TargetMode="External"/><Relationship Id="rId3715" Type="http://schemas.openxmlformats.org/officeDocument/2006/relationships/hyperlink" Target="http://www.instagram.com/dopedude__" TargetMode="External"/><Relationship Id="rId3922" Type="http://schemas.openxmlformats.org/officeDocument/2006/relationships/hyperlink" Target="https://pbs.twimg.com/media/EGbTI4zWwAEA9yK.jpg" TargetMode="External"/><Relationship Id="rId843" Type="http://schemas.openxmlformats.org/officeDocument/2006/relationships/hyperlink" Target="http://www.instagram.com/mscmrt" TargetMode="External"/><Relationship Id="rId1126" Type="http://schemas.openxmlformats.org/officeDocument/2006/relationships/hyperlink" Target="https://pbs.twimg.com/media/EGcPw_sXUAE6fAR.jpg" TargetMode="External"/><Relationship Id="rId1680" Type="http://schemas.openxmlformats.org/officeDocument/2006/relationships/hyperlink" Target="https://pbs.twimg.com/media/EFf_aQKWsAEBLS1.jpg" TargetMode="External"/><Relationship Id="rId2524" Type="http://schemas.openxmlformats.org/officeDocument/2006/relationships/hyperlink" Target="https://pbs.twimg.com/media/EGbrqItWwAEgGX6.jpg" TargetMode="External"/><Relationship Id="rId2731" Type="http://schemas.openxmlformats.org/officeDocument/2006/relationships/hyperlink" Target="https://pbs.twimg.com/media/EGbmbzjW4AEEew7.jpg" TargetMode="External"/><Relationship Id="rId703" Type="http://schemas.openxmlformats.org/officeDocument/2006/relationships/hyperlink" Target="http://pic.twitter.com/yEvGWOUGn0" TargetMode="External"/><Relationship Id="rId910" Type="http://schemas.openxmlformats.org/officeDocument/2006/relationships/hyperlink" Target="http://www.ercumentata.wordpress.com/" TargetMode="External"/><Relationship Id="rId1333" Type="http://schemas.openxmlformats.org/officeDocument/2006/relationships/hyperlink" Target="https://pbs.twimg.com/media/EGcN3ZXW4AAKLf3.jpg" TargetMode="External"/><Relationship Id="rId1540" Type="http://schemas.openxmlformats.org/officeDocument/2006/relationships/hyperlink" Target="https://pbs.twimg.com/media/EGcMgNJXYAYmM1x.jpg" TargetMode="External"/><Relationship Id="rId4489" Type="http://schemas.openxmlformats.org/officeDocument/2006/relationships/hyperlink" Target="http://anitsayac.com/" TargetMode="External"/><Relationship Id="rId1400" Type="http://schemas.openxmlformats.org/officeDocument/2006/relationships/hyperlink" Target="https://pbs.twimg.com/media/EGcNVQJWwAEv6Bt.jpg" TargetMode="External"/><Relationship Id="rId3298" Type="http://schemas.openxmlformats.org/officeDocument/2006/relationships/hyperlink" Target="https://bjk.com.tr/tr" TargetMode="External"/><Relationship Id="rId4349" Type="http://schemas.openxmlformats.org/officeDocument/2006/relationships/hyperlink" Target="http://pic.twitter.com/2qyZzBljnx" TargetMode="External"/><Relationship Id="rId3158" Type="http://schemas.openxmlformats.org/officeDocument/2006/relationships/hyperlink" Target="https://instagram.com/anilayhan35" TargetMode="External"/><Relationship Id="rId3365" Type="http://schemas.openxmlformats.org/officeDocument/2006/relationships/hyperlink" Target="https://pbs.twimg.com/media/EGbbEblWoAEx8x7.jpg" TargetMode="External"/><Relationship Id="rId3572" Type="http://schemas.openxmlformats.org/officeDocument/2006/relationships/hyperlink" Target="https://pbs.twimg.com/media/EGbX6MzX0AI-AYz.jpg" TargetMode="External"/><Relationship Id="rId4209" Type="http://schemas.openxmlformats.org/officeDocument/2006/relationships/hyperlink" Target="https://pbs.twimg.com/media/EGbPRUxWwAAxZ9Z.jpg" TargetMode="External"/><Relationship Id="rId4416" Type="http://schemas.openxmlformats.org/officeDocument/2006/relationships/hyperlink" Target="https://pbs.twimg.com/media/EGbM-yzXkAAIUD0.jpg" TargetMode="External"/><Relationship Id="rId286" Type="http://schemas.openxmlformats.org/officeDocument/2006/relationships/hyperlink" Target="http://ultraslan.net/" TargetMode="External"/><Relationship Id="rId493" Type="http://schemas.openxmlformats.org/officeDocument/2006/relationships/hyperlink" Target="http://instagram.com/arifkucukak" TargetMode="External"/><Relationship Id="rId2174" Type="http://schemas.openxmlformats.org/officeDocument/2006/relationships/hyperlink" Target="https://pbs.twimg.com/media/EGTCx6IXoAYdQsH.jpg" TargetMode="External"/><Relationship Id="rId2381" Type="http://schemas.openxmlformats.org/officeDocument/2006/relationships/hyperlink" Target="https://pbs.twimg.com/media/EGbvIjJWoAQ_t_P.jpg" TargetMode="External"/><Relationship Id="rId3018" Type="http://schemas.openxmlformats.org/officeDocument/2006/relationships/hyperlink" Target="https://pbs.twimg.com/media/EGbg9waX0AELeyJ.jpg" TargetMode="External"/><Relationship Id="rId3225" Type="http://schemas.openxmlformats.org/officeDocument/2006/relationships/hyperlink" Target="https://www.facebook.com/idris.aksakal" TargetMode="External"/><Relationship Id="rId3432" Type="http://schemas.openxmlformats.org/officeDocument/2006/relationships/hyperlink" Target="http://www.haberolay.net/basin/1946/mesud-barzaniden-donald-trumpa-cevap" TargetMode="External"/><Relationship Id="rId146" Type="http://schemas.openxmlformats.org/officeDocument/2006/relationships/hyperlink" Target="http://pic.twitter.com/S4nFBEIT8l" TargetMode="External"/><Relationship Id="rId353" Type="http://schemas.openxmlformats.org/officeDocument/2006/relationships/hyperlink" Target="https://instagram.com/alisametkarakus" TargetMode="External"/><Relationship Id="rId560" Type="http://schemas.openxmlformats.org/officeDocument/2006/relationships/hyperlink" Target="http://pic.twitter.com/qf96ueWAtH" TargetMode="External"/><Relationship Id="rId1190" Type="http://schemas.openxmlformats.org/officeDocument/2006/relationships/hyperlink" Target="http://www.bihavadis.com/" TargetMode="External"/><Relationship Id="rId2034" Type="http://schemas.openxmlformats.org/officeDocument/2006/relationships/hyperlink" Target="http://pic.twitter.com/Dws9JrBGQJ" TargetMode="External"/><Relationship Id="rId2241" Type="http://schemas.openxmlformats.org/officeDocument/2006/relationships/hyperlink" Target="https://pbs.twimg.com/media/EGbzAnFW4AAs6xH.jpg" TargetMode="External"/><Relationship Id="rId213" Type="http://schemas.openxmlformats.org/officeDocument/2006/relationships/hyperlink" Target="http://serefkocaman.com/" TargetMode="External"/><Relationship Id="rId420" Type="http://schemas.openxmlformats.org/officeDocument/2006/relationships/hyperlink" Target="https://pbs.twimg.com/media/EGcUAhJWkAEIaNq.jpg" TargetMode="External"/><Relationship Id="rId1050" Type="http://schemas.openxmlformats.org/officeDocument/2006/relationships/hyperlink" Target="https://pbs.twimg.com/media/EGcQchGWsAczSr2.jpg" TargetMode="External"/><Relationship Id="rId2101" Type="http://schemas.openxmlformats.org/officeDocument/2006/relationships/hyperlink" Target="https://www.instagram.com/0busray" TargetMode="External"/><Relationship Id="rId4066" Type="http://schemas.openxmlformats.org/officeDocument/2006/relationships/hyperlink" Target="http://vsco.com/fatihdede" TargetMode="External"/><Relationship Id="rId1867" Type="http://schemas.openxmlformats.org/officeDocument/2006/relationships/hyperlink" Target="https://pbs.twimg.com/media/EGb73-dX0AEpwLQ.jpg" TargetMode="External"/><Relationship Id="rId2918" Type="http://schemas.openxmlformats.org/officeDocument/2006/relationships/hyperlink" Target="https://pbs.twimg.com/media/EGbipU4XoAUoX44.jpg" TargetMode="External"/><Relationship Id="rId4273" Type="http://schemas.openxmlformats.org/officeDocument/2006/relationships/hyperlink" Target="https://pbs.twimg.com/media/EGbOi4NWkAAzA1t.jpg" TargetMode="External"/><Relationship Id="rId4480" Type="http://schemas.openxmlformats.org/officeDocument/2006/relationships/hyperlink" Target="http://www.ilerikafalar.com/" TargetMode="External"/><Relationship Id="rId1727" Type="http://schemas.openxmlformats.org/officeDocument/2006/relationships/hyperlink" Target="http://instagram.com/duruubeyza" TargetMode="External"/><Relationship Id="rId1934" Type="http://schemas.openxmlformats.org/officeDocument/2006/relationships/hyperlink" Target="https://www.kadinveotesi.com/sivilce-izlerini-geciren-ayva-cekirdegi-maskesi/1749/" TargetMode="External"/><Relationship Id="rId3082" Type="http://schemas.openxmlformats.org/officeDocument/2006/relationships/hyperlink" Target="http://pic.twitter.com/eXVwXYgULs" TargetMode="External"/><Relationship Id="rId4133" Type="http://schemas.openxmlformats.org/officeDocument/2006/relationships/hyperlink" Target="https://soundcloud.com/altefdortpodcast/faka-bastik-7-haluk-levent-turkisharmy-kiskanc-kopek-avrupada-turk-kasabasi" TargetMode="External"/><Relationship Id="rId4340" Type="http://schemas.openxmlformats.org/officeDocument/2006/relationships/hyperlink" Target="https://pbs.twimg.com/media/EGbN1GOXoAABjh4.jpg" TargetMode="External"/><Relationship Id="rId19" Type="http://schemas.openxmlformats.org/officeDocument/2006/relationships/hyperlink" Target="https://instagram.com/ney_neyzen?utm_source=ig_profile_share&amp;igshid=gx8nebcqejxe" TargetMode="External"/><Relationship Id="rId3899" Type="http://schemas.openxmlformats.org/officeDocument/2006/relationships/hyperlink" Target="https://pbs.twimg.com/media/EGbTby4XkAAWkBO.jpg" TargetMode="External"/><Relationship Id="rId4200" Type="http://schemas.openxmlformats.org/officeDocument/2006/relationships/hyperlink" Target="http://pic.twitter.com/bFwPrmT4Ln" TargetMode="External"/><Relationship Id="rId3759" Type="http://schemas.openxmlformats.org/officeDocument/2006/relationships/hyperlink" Target="http://www.novagroupholding.com/" TargetMode="External"/><Relationship Id="rId3966" Type="http://schemas.openxmlformats.org/officeDocument/2006/relationships/hyperlink" Target="https://pbs.twimg.com/media/EGbSgm6WkAA9zHH.jpg" TargetMode="External"/><Relationship Id="rId3" Type="http://schemas.openxmlformats.org/officeDocument/2006/relationships/hyperlink" Target="https://pbs.twimg.com/media/EGcbSwKWoAEtwB6.jpg" TargetMode="External"/><Relationship Id="rId887" Type="http://schemas.openxmlformats.org/officeDocument/2006/relationships/hyperlink" Target="https://www.gazeteciler.com/video/cnn-turk-suriye-canli-yayini-sirasinda-patlama-oldu/400729" TargetMode="External"/><Relationship Id="rId2568" Type="http://schemas.openxmlformats.org/officeDocument/2006/relationships/hyperlink" Target="https://pbs.twimg.com/media/EGbqRGnXkAEK1NV.jpg" TargetMode="External"/><Relationship Id="rId2775" Type="http://schemas.openxmlformats.org/officeDocument/2006/relationships/hyperlink" Target="http://instagram.com/themuratcan" TargetMode="External"/><Relationship Id="rId2982" Type="http://schemas.openxmlformats.org/officeDocument/2006/relationships/hyperlink" Target="http://pic.twitter.com/pLHcBpaug5" TargetMode="External"/><Relationship Id="rId3619" Type="http://schemas.openxmlformats.org/officeDocument/2006/relationships/hyperlink" Target="https://pbs.twimg.com/media/EGbXPjNX0AA4Pm_.jpg" TargetMode="External"/><Relationship Id="rId3826" Type="http://schemas.openxmlformats.org/officeDocument/2006/relationships/hyperlink" Target="http://instagram.com/pro.filim" TargetMode="External"/><Relationship Id="rId747" Type="http://schemas.openxmlformats.org/officeDocument/2006/relationships/hyperlink" Target="https://pbs.twimg.com/media/EGcSju8WoAEVlsN.jpg" TargetMode="External"/><Relationship Id="rId954" Type="http://schemas.openxmlformats.org/officeDocument/2006/relationships/hyperlink" Target="https://pbs.twimg.com/media/EGcRI7HXoAAEILA.jpg" TargetMode="External"/><Relationship Id="rId1377" Type="http://schemas.openxmlformats.org/officeDocument/2006/relationships/hyperlink" Target="https://pbs.twimg.com/media/EGcNdIiX0AAm6Mi.jpg" TargetMode="External"/><Relationship Id="rId1584" Type="http://schemas.openxmlformats.org/officeDocument/2006/relationships/hyperlink" Target="https://wmal.net/" TargetMode="External"/><Relationship Id="rId1791" Type="http://schemas.openxmlformats.org/officeDocument/2006/relationships/hyperlink" Target="https://pbs.twimg.com/media/EGb-RjPXUAY3XQQ.jpg" TargetMode="External"/><Relationship Id="rId2428" Type="http://schemas.openxmlformats.org/officeDocument/2006/relationships/hyperlink" Target="http://pic.twitter.com/BdTnflrhpa" TargetMode="External"/><Relationship Id="rId2635" Type="http://schemas.openxmlformats.org/officeDocument/2006/relationships/hyperlink" Target="http://instagram.com/emremuey" TargetMode="External"/><Relationship Id="rId2842" Type="http://schemas.openxmlformats.org/officeDocument/2006/relationships/hyperlink" Target="https://pbs.twimg.com/media/EGbj8sDWoAAxUph.jpg" TargetMode="External"/><Relationship Id="rId83" Type="http://schemas.openxmlformats.org/officeDocument/2006/relationships/hyperlink" Target="https://www.instagram.com/kaanceelik/" TargetMode="External"/><Relationship Id="rId607" Type="http://schemas.openxmlformats.org/officeDocument/2006/relationships/hyperlink" Target="https://pbs.twimg.com/media/EGcSQuSXUAAf8LK.jpg" TargetMode="External"/><Relationship Id="rId814" Type="http://schemas.openxmlformats.org/officeDocument/2006/relationships/hyperlink" Target="https://pbs.twimg.com/media/EDfGXOBXUAsXBZq.jpg" TargetMode="External"/><Relationship Id="rId1237" Type="http://schemas.openxmlformats.org/officeDocument/2006/relationships/hyperlink" Target="http://instagram.com/tarafsizhaberci" TargetMode="External"/><Relationship Id="rId1444" Type="http://schemas.openxmlformats.org/officeDocument/2006/relationships/hyperlink" Target="https://pbs.twimg.com/media/EGcM_OtXUAAUuI_.jpg" TargetMode="External"/><Relationship Id="rId1651" Type="http://schemas.openxmlformats.org/officeDocument/2006/relationships/hyperlink" Target="https://pbs.twimg.com/media/EGcL_EDX0AAXdn0.jpg" TargetMode="External"/><Relationship Id="rId2702" Type="http://schemas.openxmlformats.org/officeDocument/2006/relationships/hyperlink" Target="http://instagram.com/abdslm_kurt" TargetMode="External"/><Relationship Id="rId1304" Type="http://schemas.openxmlformats.org/officeDocument/2006/relationships/hyperlink" Target="https://www.telegraph.co.uk/news/2019/10/09/syrian-kurds-call-civilians-front-lines-turkey-warns-attack/" TargetMode="External"/><Relationship Id="rId1511" Type="http://schemas.openxmlformats.org/officeDocument/2006/relationships/hyperlink" Target="http://gencbeyin.org/" TargetMode="External"/><Relationship Id="rId3269" Type="http://schemas.openxmlformats.org/officeDocument/2006/relationships/hyperlink" Target="https://pbs.twimg.com/media/EGbctPPXUAE0j3I.jpg" TargetMode="External"/><Relationship Id="rId3476" Type="http://schemas.openxmlformats.org/officeDocument/2006/relationships/hyperlink" Target="https://pbs.twimg.com/media/EGbZea7WsAAX4og.jpg" TargetMode="External"/><Relationship Id="rId3683" Type="http://schemas.openxmlformats.org/officeDocument/2006/relationships/hyperlink" Target="https://pbs.twimg.com/media/EGbWHOAX0AEeLN7.jpg" TargetMode="External"/><Relationship Id="rId10" Type="http://schemas.openxmlformats.org/officeDocument/2006/relationships/hyperlink" Target="https://pbs.twimg.com/media/EGcbOLKWoAARIeO.jpg" TargetMode="External"/><Relationship Id="rId397" Type="http://schemas.openxmlformats.org/officeDocument/2006/relationships/hyperlink" Target="http://pic.twitter.com/Fiap9muNyn" TargetMode="External"/><Relationship Id="rId2078" Type="http://schemas.openxmlformats.org/officeDocument/2006/relationships/hyperlink" Target="https://twitter.com/mustafaislamogl/status/1181666154689044480" TargetMode="External"/><Relationship Id="rId2285" Type="http://schemas.openxmlformats.org/officeDocument/2006/relationships/hyperlink" Target="https://twitter.com/ali82184018/status/1181657535922749452" TargetMode="External"/><Relationship Id="rId2492" Type="http://schemas.openxmlformats.org/officeDocument/2006/relationships/hyperlink" Target="http://instagram.com/yirmibesahmet" TargetMode="External"/><Relationship Id="rId3129" Type="http://schemas.openxmlformats.org/officeDocument/2006/relationships/hyperlink" Target="http://instagram.com/kursattdurgun" TargetMode="External"/><Relationship Id="rId3336" Type="http://schemas.openxmlformats.org/officeDocument/2006/relationships/hyperlink" Target="http://instagram.com/uskudarimm" TargetMode="External"/><Relationship Id="rId3890" Type="http://schemas.openxmlformats.org/officeDocument/2006/relationships/hyperlink" Target="https://pbs.twimg.com/media/EGbTkjZWwAA9rVs.jpg" TargetMode="External"/><Relationship Id="rId257" Type="http://schemas.openxmlformats.org/officeDocument/2006/relationships/hyperlink" Target="https://twitter.com/fenerbahce/status/1181927957377540097" TargetMode="External"/><Relationship Id="rId464" Type="http://schemas.openxmlformats.org/officeDocument/2006/relationships/hyperlink" Target="http://www.google.com/" TargetMode="External"/><Relationship Id="rId1094" Type="http://schemas.openxmlformats.org/officeDocument/2006/relationships/hyperlink" Target="https://pbs.twimg.com/media/EGcQFH-WwAA587T.jpg" TargetMode="External"/><Relationship Id="rId2145" Type="http://schemas.openxmlformats.org/officeDocument/2006/relationships/hyperlink" Target="http://actforamerica.org/" TargetMode="External"/><Relationship Id="rId3543" Type="http://schemas.openxmlformats.org/officeDocument/2006/relationships/hyperlink" Target="https://www.instagram.com/m.ozcnnn/?hl=tr" TargetMode="External"/><Relationship Id="rId3750" Type="http://schemas.openxmlformats.org/officeDocument/2006/relationships/hyperlink" Target="http://pic.twitter.com/eXVwXYgULs" TargetMode="External"/><Relationship Id="rId117" Type="http://schemas.openxmlformats.org/officeDocument/2006/relationships/hyperlink" Target="http://pic.twitter.com/kZsocVZwpG" TargetMode="External"/><Relationship Id="rId671" Type="http://schemas.openxmlformats.org/officeDocument/2006/relationships/hyperlink" Target="https://pbs.twimg.com/media/EGcTHj8X0AAhNyy.jpg" TargetMode="External"/><Relationship Id="rId2352" Type="http://schemas.openxmlformats.org/officeDocument/2006/relationships/hyperlink" Target="http://www.tokgozbilisim.com/" TargetMode="External"/><Relationship Id="rId3403" Type="http://schemas.openxmlformats.org/officeDocument/2006/relationships/hyperlink" Target="http://www.sibelkucuk.net/" TargetMode="External"/><Relationship Id="rId3610" Type="http://schemas.openxmlformats.org/officeDocument/2006/relationships/hyperlink" Target="https://pbs.twimg.com/media/EGbXVT2XYAACtLh.jpg" TargetMode="External"/><Relationship Id="rId324" Type="http://schemas.openxmlformats.org/officeDocument/2006/relationships/hyperlink" Target="https://pbs.twimg.com/media/EGcWE27XYAA-DXf.jpg" TargetMode="External"/><Relationship Id="rId531" Type="http://schemas.openxmlformats.org/officeDocument/2006/relationships/hyperlink" Target="https://pbs.twimg.com/media/EGcUP4EXoAEhGXk.jpg" TargetMode="External"/><Relationship Id="rId1161" Type="http://schemas.openxmlformats.org/officeDocument/2006/relationships/hyperlink" Target="https://twitter.com/TheBigApple13/status/1181926346928381952" TargetMode="External"/><Relationship Id="rId2005" Type="http://schemas.openxmlformats.org/officeDocument/2006/relationships/hyperlink" Target="https://pbs.twimg.com/media/EGb4ocKXUAEPYvb.jpg" TargetMode="External"/><Relationship Id="rId2212" Type="http://schemas.openxmlformats.org/officeDocument/2006/relationships/hyperlink" Target="https://instagram.com/NesetSebat" TargetMode="External"/><Relationship Id="rId1021" Type="http://schemas.openxmlformats.org/officeDocument/2006/relationships/hyperlink" Target="https://pbs.twimg.com/media/EGcQp4CX0AA0Cu3.jpg" TargetMode="External"/><Relationship Id="rId1978" Type="http://schemas.openxmlformats.org/officeDocument/2006/relationships/hyperlink" Target="http://pic.twitter.com/5LPrRQBCKc" TargetMode="External"/><Relationship Id="rId4177" Type="http://schemas.openxmlformats.org/officeDocument/2006/relationships/hyperlink" Target="https://pbs.twimg.com/media/EGbPkycXYAAJ7fF.jpg" TargetMode="External"/><Relationship Id="rId4384" Type="http://schemas.openxmlformats.org/officeDocument/2006/relationships/hyperlink" Target="https://pbs.twimg.com/media/EGbNdDaW4AAi2ZJ.jpg" TargetMode="External"/><Relationship Id="rId3193" Type="http://schemas.openxmlformats.org/officeDocument/2006/relationships/hyperlink" Target="https://pbs.twimg.com/media/EGbeIHBXYAEjPfK.jpg" TargetMode="External"/><Relationship Id="rId4037" Type="http://schemas.openxmlformats.org/officeDocument/2006/relationships/hyperlink" Target="https://www.youtube.com/watch?v=htOA_S4hdWo&amp;feature=youtu.be" TargetMode="External"/><Relationship Id="rId4244" Type="http://schemas.openxmlformats.org/officeDocument/2006/relationships/hyperlink" Target="http://instagram.com/burak_calikoglu" TargetMode="External"/><Relationship Id="rId4451" Type="http://schemas.openxmlformats.org/officeDocument/2006/relationships/hyperlink" Target="https://www.diplomatikstrateji.com/author/ferdigucyetmez/" TargetMode="External"/><Relationship Id="rId1838" Type="http://schemas.openxmlformats.org/officeDocument/2006/relationships/hyperlink" Target="https://pbs.twimg.com/media/EGb83IVX0AES-Wa.jpg" TargetMode="External"/><Relationship Id="rId3053" Type="http://schemas.openxmlformats.org/officeDocument/2006/relationships/hyperlink" Target="https://pbs.twimg.com/media/EGbgYj7XkAA2IgB.jpg" TargetMode="External"/><Relationship Id="rId3260" Type="http://schemas.openxmlformats.org/officeDocument/2006/relationships/hyperlink" Target="https://pbs.twimg.com/media/EGbc5WbWkAAOoMm.jpg" TargetMode="External"/><Relationship Id="rId4104" Type="http://schemas.openxmlformats.org/officeDocument/2006/relationships/hyperlink" Target="https://pbs.twimg.com/media/EGbQbChXYAAha5e.jpg" TargetMode="External"/><Relationship Id="rId4311" Type="http://schemas.openxmlformats.org/officeDocument/2006/relationships/hyperlink" Target="https://twitter.com/1parcatuhaftik/status/1181854869243797504" TargetMode="External"/><Relationship Id="rId181" Type="http://schemas.openxmlformats.org/officeDocument/2006/relationships/hyperlink" Target="https://instagram.com/askerimillet?igshid=1wcewegiootl2" TargetMode="External"/><Relationship Id="rId1905" Type="http://schemas.openxmlformats.org/officeDocument/2006/relationships/hyperlink" Target="https://www.youtube.com/watch?v=9Zlqt-WUdgs" TargetMode="External"/><Relationship Id="rId3120" Type="http://schemas.openxmlformats.org/officeDocument/2006/relationships/hyperlink" Target="https://pbs.twimg.com/media/EGbfDskWwAAKqoR.jpg" TargetMode="External"/><Relationship Id="rId998" Type="http://schemas.openxmlformats.org/officeDocument/2006/relationships/hyperlink" Target="https://pbs.twimg.com/media/EGcQzlXWsAECWPI.jpg" TargetMode="External"/><Relationship Id="rId2679" Type="http://schemas.openxmlformats.org/officeDocument/2006/relationships/hyperlink" Target="https://pbs.twimg.com/media/EGbn4qfXUAAoF5S.jpg" TargetMode="External"/><Relationship Id="rId2886" Type="http://schemas.openxmlformats.org/officeDocument/2006/relationships/hyperlink" Target="http://pic.twitter.com/Bt64iOkLZB" TargetMode="External"/><Relationship Id="rId3937" Type="http://schemas.openxmlformats.org/officeDocument/2006/relationships/hyperlink" Target="http://pic.twitter.com/6uCiACbJ6v" TargetMode="External"/><Relationship Id="rId858" Type="http://schemas.openxmlformats.org/officeDocument/2006/relationships/hyperlink" Target="https://pbs.twimg.com/media/EGcR5f8XYAEAqqX.jpg" TargetMode="External"/><Relationship Id="rId1488" Type="http://schemas.openxmlformats.org/officeDocument/2006/relationships/hyperlink" Target="http://instagram.com/fthpekdogan" TargetMode="External"/><Relationship Id="rId1695" Type="http://schemas.openxmlformats.org/officeDocument/2006/relationships/hyperlink" Target="https://twitter.com/gerilim54/status/1181925563805655042" TargetMode="External"/><Relationship Id="rId2539" Type="http://schemas.openxmlformats.org/officeDocument/2006/relationships/hyperlink" Target="http://pic.twitter.com/FC15KRHz0l" TargetMode="External"/><Relationship Id="rId2746" Type="http://schemas.openxmlformats.org/officeDocument/2006/relationships/hyperlink" Target="https://pbs.twimg.com/media/EGbmJjQXYAEyYo7.jpg" TargetMode="External"/><Relationship Id="rId2953" Type="http://schemas.openxmlformats.org/officeDocument/2006/relationships/hyperlink" Target="https://pbs.twimg.com/media/EGbiH6JWwAAhG-3.jpg" TargetMode="External"/><Relationship Id="rId718" Type="http://schemas.openxmlformats.org/officeDocument/2006/relationships/hyperlink" Target="https://pbs.twimg.com/media/EGcSy8wX0A4JkFt.jpg" TargetMode="External"/><Relationship Id="rId925" Type="http://schemas.openxmlformats.org/officeDocument/2006/relationships/hyperlink" Target="http://instagram.com/hilalmarket03" TargetMode="External"/><Relationship Id="rId1348" Type="http://schemas.openxmlformats.org/officeDocument/2006/relationships/hyperlink" Target="https://pbs.twimg.com/media/EGcNstiWkAAs8EM.jpg" TargetMode="External"/><Relationship Id="rId1555" Type="http://schemas.openxmlformats.org/officeDocument/2006/relationships/hyperlink" Target="http://pic.twitter.com/Kj7mNWeM5Y" TargetMode="External"/><Relationship Id="rId1762" Type="http://schemas.openxmlformats.org/officeDocument/2006/relationships/hyperlink" Target="https://pbs.twimg.com/media/EGb_FRJXUAI11pB.jpg" TargetMode="External"/><Relationship Id="rId2606" Type="http://schemas.openxmlformats.org/officeDocument/2006/relationships/hyperlink" Target="https://pbs.twimg.com/media/EGbphsTXkAA2_Dk.jpg" TargetMode="External"/><Relationship Id="rId1208" Type="http://schemas.openxmlformats.org/officeDocument/2006/relationships/hyperlink" Target="https://pbs.twimg.com/media/EGcO9BgWkAApuNw.jpg" TargetMode="External"/><Relationship Id="rId1415" Type="http://schemas.openxmlformats.org/officeDocument/2006/relationships/hyperlink" Target="https://pbs.twimg.com/media/EGcNMU6X0AECkez.jpg" TargetMode="External"/><Relationship Id="rId2813" Type="http://schemas.openxmlformats.org/officeDocument/2006/relationships/hyperlink" Target="https://pbs.twimg.com/media/EGbkdcnW4AAa97s.png" TargetMode="External"/><Relationship Id="rId54" Type="http://schemas.openxmlformats.org/officeDocument/2006/relationships/hyperlink" Target="https://pbs.twimg.com/media/EGcaHekXkAEiTu6.jpg" TargetMode="External"/><Relationship Id="rId1622" Type="http://schemas.openxmlformats.org/officeDocument/2006/relationships/hyperlink" Target="https://pbs.twimg.com/media/EGcMKZCXYAACqIt.jpg" TargetMode="External"/><Relationship Id="rId2189" Type="http://schemas.openxmlformats.org/officeDocument/2006/relationships/hyperlink" Target="https://instagram.com/rustempehlivan_" TargetMode="External"/><Relationship Id="rId3587" Type="http://schemas.openxmlformats.org/officeDocument/2006/relationships/hyperlink" Target="http://pic.twitter.com/cRSKzPp4B4" TargetMode="External"/><Relationship Id="rId3794" Type="http://schemas.openxmlformats.org/officeDocument/2006/relationships/hyperlink" Target="https://pbs.twimg.com/media/EGbUw72XkAIcEUo.jpg" TargetMode="External"/><Relationship Id="rId2396" Type="http://schemas.openxmlformats.org/officeDocument/2006/relationships/hyperlink" Target="https://pbs.twimg.com/media/EGbuqh5WkAMQG3j.jpg" TargetMode="External"/><Relationship Id="rId3447" Type="http://schemas.openxmlformats.org/officeDocument/2006/relationships/hyperlink" Target="http://pic.twitter.com/DKBUJkbWRU" TargetMode="External"/><Relationship Id="rId3654" Type="http://schemas.openxmlformats.org/officeDocument/2006/relationships/hyperlink" Target="https://pbs.twimg.com/media/EGUD_LRXoAAwojz.jpg" TargetMode="External"/><Relationship Id="rId3861" Type="http://schemas.openxmlformats.org/officeDocument/2006/relationships/hyperlink" Target="http://www.apriyork.com/" TargetMode="External"/><Relationship Id="rId368" Type="http://schemas.openxmlformats.org/officeDocument/2006/relationships/hyperlink" Target="https://twitter.com/ttahaber/status/1181935910809669633" TargetMode="External"/><Relationship Id="rId575" Type="http://schemas.openxmlformats.org/officeDocument/2006/relationships/hyperlink" Target="https://pbs.twimg.com/media/EGcTzCrXYAEifL9.jpg" TargetMode="External"/><Relationship Id="rId782" Type="http://schemas.openxmlformats.org/officeDocument/2006/relationships/hyperlink" Target="https://pbs.twimg.com/media/EGcSVc_WwAEjdv2.jpg" TargetMode="External"/><Relationship Id="rId2049" Type="http://schemas.openxmlformats.org/officeDocument/2006/relationships/hyperlink" Target="http://pic.twitter.com/iMUkHxC4hZ" TargetMode="External"/><Relationship Id="rId2256" Type="http://schemas.openxmlformats.org/officeDocument/2006/relationships/hyperlink" Target="https://pbs.twimg.com/media/EGbypvoXoAMpdf2.jpg" TargetMode="External"/><Relationship Id="rId2463" Type="http://schemas.openxmlformats.org/officeDocument/2006/relationships/hyperlink" Target="https://pbs.twimg.com/media/EGbs9SRW4AAjK-X.jpg" TargetMode="External"/><Relationship Id="rId2670" Type="http://schemas.openxmlformats.org/officeDocument/2006/relationships/hyperlink" Target="http://pic.twitter.com/jQCbTZjIbV" TargetMode="External"/><Relationship Id="rId3307" Type="http://schemas.openxmlformats.org/officeDocument/2006/relationships/hyperlink" Target="http://instagram.com/zennobik" TargetMode="External"/><Relationship Id="rId3514" Type="http://schemas.openxmlformats.org/officeDocument/2006/relationships/hyperlink" Target="http://instagram.com/kulalerol" TargetMode="External"/><Relationship Id="rId3721" Type="http://schemas.openxmlformats.org/officeDocument/2006/relationships/hyperlink" Target="https://pbs.twimg.com/media/D2YGl3UWkAA63dv.jpg" TargetMode="External"/><Relationship Id="rId228" Type="http://schemas.openxmlformats.org/officeDocument/2006/relationships/hyperlink" Target="http://instagram.com/selmancee" TargetMode="External"/><Relationship Id="rId435" Type="http://schemas.openxmlformats.org/officeDocument/2006/relationships/hyperlink" Target="http://www.tafclub.com/" TargetMode="External"/><Relationship Id="rId642" Type="http://schemas.openxmlformats.org/officeDocument/2006/relationships/hyperlink" Target="https://pbs.twimg.com/media/EGcTR7WX0AAf62N.jpg" TargetMode="External"/><Relationship Id="rId1065" Type="http://schemas.openxmlformats.org/officeDocument/2006/relationships/hyperlink" Target="https://pbs.twimg.com/media/EGcQSm6XoAU6k-6.jpg" TargetMode="External"/><Relationship Id="rId1272" Type="http://schemas.openxmlformats.org/officeDocument/2006/relationships/hyperlink" Target="http://pic.twitter.com/1m8HtMdfDJ" TargetMode="External"/><Relationship Id="rId2116" Type="http://schemas.openxmlformats.org/officeDocument/2006/relationships/hyperlink" Target="https://www.1olay.com/2019/10/erdoganputin-ile-telefonda-gorustu/" TargetMode="External"/><Relationship Id="rId2323" Type="http://schemas.openxmlformats.org/officeDocument/2006/relationships/hyperlink" Target="https://m.youtube.com/channel/UCcpyY9slkI_aqCF5cG9y4og" TargetMode="External"/><Relationship Id="rId2530" Type="http://schemas.openxmlformats.org/officeDocument/2006/relationships/hyperlink" Target="https://pbs.twimg.com/media/EGbrmzRXoAAcZrx.jpg" TargetMode="External"/><Relationship Id="rId502" Type="http://schemas.openxmlformats.org/officeDocument/2006/relationships/hyperlink" Target="https://www.dunyabulteni.net/dis-politika/turkiye-sinir-otesinde-30-kilometrelik-derinlige-kadar-terorist-temizligi-yapilacak-h450624.html" TargetMode="External"/><Relationship Id="rId1132" Type="http://schemas.openxmlformats.org/officeDocument/2006/relationships/hyperlink" Target="https://instagram.com/kuzgunumtrak" TargetMode="External"/><Relationship Id="rId4288" Type="http://schemas.openxmlformats.org/officeDocument/2006/relationships/hyperlink" Target="https://pbs.twimg.com/media/EGbOZvWX0AIGj_U.jpg" TargetMode="External"/><Relationship Id="rId4495" Type="http://schemas.openxmlformats.org/officeDocument/2006/relationships/hyperlink" Target="https://pbs.twimg.com/media/EGbMFOoX0AAXeoG.jpg" TargetMode="External"/><Relationship Id="rId3097" Type="http://schemas.openxmlformats.org/officeDocument/2006/relationships/hyperlink" Target="https://twitter.com/slmhktn/status/1181876891000754177" TargetMode="External"/><Relationship Id="rId4148" Type="http://schemas.openxmlformats.org/officeDocument/2006/relationships/hyperlink" Target="http://www.haber7.com/guncel/haber/2904096-operasyon-basladi-turk-askeri-siniri-gecti" TargetMode="External"/><Relationship Id="rId4355" Type="http://schemas.openxmlformats.org/officeDocument/2006/relationships/hyperlink" Target="http://pic.twitter.com/sEnoaDTuUb" TargetMode="External"/><Relationship Id="rId1949" Type="http://schemas.openxmlformats.org/officeDocument/2006/relationships/hyperlink" Target="https://twitter.com/_34emre/status/1181522696921858048" TargetMode="External"/><Relationship Id="rId3164" Type="http://schemas.openxmlformats.org/officeDocument/2006/relationships/hyperlink" Target="https://pbs.twimg.com/media/EGbefhMXUAA3q9G.jpg" TargetMode="External"/><Relationship Id="rId4008" Type="http://schemas.openxmlformats.org/officeDocument/2006/relationships/hyperlink" Target="https://pbs.twimg.com/media/EGaxpRaXoAAcSMk.png" TargetMode="External"/><Relationship Id="rId292" Type="http://schemas.openxmlformats.org/officeDocument/2006/relationships/hyperlink" Target="https://pbs.twimg.com/media/EGcWTQaWkAACS0H.jpg" TargetMode="External"/><Relationship Id="rId1809" Type="http://schemas.openxmlformats.org/officeDocument/2006/relationships/hyperlink" Target="http://pic.twitter.com/A40JIETR2Z" TargetMode="External"/><Relationship Id="rId3371" Type="http://schemas.openxmlformats.org/officeDocument/2006/relationships/hyperlink" Target="http://www.facebook.com/TuranCephesi" TargetMode="External"/><Relationship Id="rId4215" Type="http://schemas.openxmlformats.org/officeDocument/2006/relationships/hyperlink" Target="https://pbs.twimg.com/media/EGbPN6FXkAEEnBZ.jpg" TargetMode="External"/><Relationship Id="rId4422" Type="http://schemas.openxmlformats.org/officeDocument/2006/relationships/hyperlink" Target="https://pbs.twimg.com/media/EGbM2J5X0AAiQfW.jpg" TargetMode="External"/><Relationship Id="rId2180" Type="http://schemas.openxmlformats.org/officeDocument/2006/relationships/hyperlink" Target="http://pic.twitter.com/s514XfrL9g" TargetMode="External"/><Relationship Id="rId3024" Type="http://schemas.openxmlformats.org/officeDocument/2006/relationships/hyperlink" Target="http://pic.twitter.com/ek9GOSBk4T" TargetMode="External"/><Relationship Id="rId3231" Type="http://schemas.openxmlformats.org/officeDocument/2006/relationships/hyperlink" Target="https://twitter.com/mtopal97/status/1062647422894129152" TargetMode="External"/><Relationship Id="rId152" Type="http://schemas.openxmlformats.org/officeDocument/2006/relationships/hyperlink" Target="https://www.twitter.com/" TargetMode="External"/><Relationship Id="rId2040" Type="http://schemas.openxmlformats.org/officeDocument/2006/relationships/hyperlink" Target="https://pbs.twimg.com/media/EGb384_XYAAA32r.jpg" TargetMode="External"/><Relationship Id="rId2997" Type="http://schemas.openxmlformats.org/officeDocument/2006/relationships/hyperlink" Target="https://pbs.twimg.com/media/EGbhWklWkAAVWRy.jpg" TargetMode="External"/><Relationship Id="rId969" Type="http://schemas.openxmlformats.org/officeDocument/2006/relationships/hyperlink" Target="https://www.instagram.com/celil.ilkaz/" TargetMode="External"/><Relationship Id="rId1599" Type="http://schemas.openxmlformats.org/officeDocument/2006/relationships/hyperlink" Target="http://pic.twitter.com/228IFIBtqg" TargetMode="External"/><Relationship Id="rId1459" Type="http://schemas.openxmlformats.org/officeDocument/2006/relationships/hyperlink" Target="http://instagram.com/aydemirhnn" TargetMode="External"/><Relationship Id="rId2857" Type="http://schemas.openxmlformats.org/officeDocument/2006/relationships/hyperlink" Target="http://www.instagram.com/yasararc33/" TargetMode="External"/><Relationship Id="rId3908" Type="http://schemas.openxmlformats.org/officeDocument/2006/relationships/hyperlink" Target="https://pbs.twimg.com/media/EGbTUyyWwAEMJzK.jpg" TargetMode="External"/><Relationship Id="rId4072" Type="http://schemas.openxmlformats.org/officeDocument/2006/relationships/hyperlink" Target="https://pbs.twimg.com/media/EGbQ7sgXUAAbMKc.jpg" TargetMode="External"/><Relationship Id="rId98" Type="http://schemas.openxmlformats.org/officeDocument/2006/relationships/hyperlink" Target="https://pbs.twimg.com/media/EGcZJc0XUAAMlu_.jpg" TargetMode="External"/><Relationship Id="rId829" Type="http://schemas.openxmlformats.org/officeDocument/2006/relationships/hyperlink" Target="https://pbs.twimg.com/media/EGcSDeIXkAAIUGV.jpg" TargetMode="External"/><Relationship Id="rId1666" Type="http://schemas.openxmlformats.org/officeDocument/2006/relationships/hyperlink" Target="https://pbs.twimg.com/media/EGcL5iNW4AARkO-.jpg" TargetMode="External"/><Relationship Id="rId1873" Type="http://schemas.openxmlformats.org/officeDocument/2006/relationships/hyperlink" Target="https://twitter.com/TTAgrup/status/1181829264490029056" TargetMode="External"/><Relationship Id="rId2717" Type="http://schemas.openxmlformats.org/officeDocument/2006/relationships/hyperlink" Target="https://pbs.twimg.com/media/EGbm0DpWwAM2yIH.jpg" TargetMode="External"/><Relationship Id="rId2924" Type="http://schemas.openxmlformats.org/officeDocument/2006/relationships/hyperlink" Target="https://pbs.twimg.com/media/EGbigEYX0AERKei.jpg" TargetMode="External"/><Relationship Id="rId1319" Type="http://schemas.openxmlformats.org/officeDocument/2006/relationships/hyperlink" Target="https://www.chartwellspeakers.com/speaker/tom-swarbrick/" TargetMode="External"/><Relationship Id="rId1526" Type="http://schemas.openxmlformats.org/officeDocument/2006/relationships/hyperlink" Target="https://pbs.twimg.com/media/EGcMlnZWsAAOscS.jpg" TargetMode="External"/><Relationship Id="rId1733" Type="http://schemas.openxmlformats.org/officeDocument/2006/relationships/hyperlink" Target="https://www.instagram.com/asli.demr/" TargetMode="External"/><Relationship Id="rId1940" Type="http://schemas.openxmlformats.org/officeDocument/2006/relationships/hyperlink" Target="https://pbs.twimg.com/media/EGb6ZqwX0AAFD7r.jpg" TargetMode="External"/><Relationship Id="rId25" Type="http://schemas.openxmlformats.org/officeDocument/2006/relationships/hyperlink" Target="https://pbs.twimg.com/media/EGcay4MXUAEbdLU.jpg" TargetMode="External"/><Relationship Id="rId1800" Type="http://schemas.openxmlformats.org/officeDocument/2006/relationships/hyperlink" Target="https://www.youtube.com/channel/UCpuFJYXiVHtCQq1iY8pTnYg" TargetMode="External"/><Relationship Id="rId3698" Type="http://schemas.openxmlformats.org/officeDocument/2006/relationships/hyperlink" Target="http://pic.twitter.com/wjlJX1GsP1" TargetMode="External"/><Relationship Id="rId3558" Type="http://schemas.openxmlformats.org/officeDocument/2006/relationships/hyperlink" Target="https://pbs.twimg.com/media/Dniznd9XgAERRei.jpg" TargetMode="External"/><Relationship Id="rId3765" Type="http://schemas.openxmlformats.org/officeDocument/2006/relationships/hyperlink" Target="https://pbs.twimg.com/media/EGbVJaMXoAEIEVb.jpg" TargetMode="External"/><Relationship Id="rId3972" Type="http://schemas.openxmlformats.org/officeDocument/2006/relationships/hyperlink" Target="http://pic.twitter.com/l5vBhUZDNv" TargetMode="External"/><Relationship Id="rId479" Type="http://schemas.openxmlformats.org/officeDocument/2006/relationships/hyperlink" Target="https://pbs.twimg.com/media/EGcUq1JWwAIhU9z.jpg" TargetMode="External"/><Relationship Id="rId686" Type="http://schemas.openxmlformats.org/officeDocument/2006/relationships/hyperlink" Target="https://twitter.com/sozcu_tv/status/1181930631367991301" TargetMode="External"/><Relationship Id="rId893" Type="http://schemas.openxmlformats.org/officeDocument/2006/relationships/hyperlink" Target="https://pbs.twimg.com/media/EGcRn0KXYAANRWb.jpg" TargetMode="External"/><Relationship Id="rId2367" Type="http://schemas.openxmlformats.org/officeDocument/2006/relationships/hyperlink" Target="https://pbs.twimg.com/media/EGbvemMW4AA9AOS.jpg" TargetMode="External"/><Relationship Id="rId2574" Type="http://schemas.openxmlformats.org/officeDocument/2006/relationships/hyperlink" Target="https://pbs.twimg.com/media/EGbqHZ0WkAA2wzO.jpg" TargetMode="External"/><Relationship Id="rId2781" Type="http://schemas.openxmlformats.org/officeDocument/2006/relationships/hyperlink" Target="https://pbs.twimg.com/media/EGblH-TWsAA9SY-.jpg" TargetMode="External"/><Relationship Id="rId3418" Type="http://schemas.openxmlformats.org/officeDocument/2006/relationships/hyperlink" Target="https://pbs.twimg.com/media/EGbaL4BWkAAulNZ.jpg" TargetMode="External"/><Relationship Id="rId3625" Type="http://schemas.openxmlformats.org/officeDocument/2006/relationships/hyperlink" Target="http://pic.twitter.com/4DGEFkqg7B" TargetMode="External"/><Relationship Id="rId339" Type="http://schemas.openxmlformats.org/officeDocument/2006/relationships/hyperlink" Target="http://sefatikiz.com/" TargetMode="External"/><Relationship Id="rId546" Type="http://schemas.openxmlformats.org/officeDocument/2006/relationships/hyperlink" Target="http://www.cakestation.com.tr/" TargetMode="External"/><Relationship Id="rId753" Type="http://schemas.openxmlformats.org/officeDocument/2006/relationships/hyperlink" Target="https://pbs.twimg.com/media/EGcSjBUWoAE_wsW.jpg" TargetMode="External"/><Relationship Id="rId1176" Type="http://schemas.openxmlformats.org/officeDocument/2006/relationships/hyperlink" Target="http://pic.twitter.com/XAuxb90VNe" TargetMode="External"/><Relationship Id="rId1383" Type="http://schemas.openxmlformats.org/officeDocument/2006/relationships/hyperlink" Target="https://pbs.twimg.com/media/EGcNbwoW4AAMncu.jpg" TargetMode="External"/><Relationship Id="rId2227" Type="http://schemas.openxmlformats.org/officeDocument/2006/relationships/hyperlink" Target="https://pbs.twimg.com/media/EGbzSmKWoAExrA3.jpg" TargetMode="External"/><Relationship Id="rId2434" Type="http://schemas.openxmlformats.org/officeDocument/2006/relationships/hyperlink" Target="https://pbs.twimg.com/media/EGbtzAAXUAAnP2n.jpg" TargetMode="External"/><Relationship Id="rId3832" Type="http://schemas.openxmlformats.org/officeDocument/2006/relationships/hyperlink" Target="http://www.instagram.com/explorerfoodie" TargetMode="External"/><Relationship Id="rId406" Type="http://schemas.openxmlformats.org/officeDocument/2006/relationships/hyperlink" Target="https://pbs.twimg.com/media/EGcVWciXkAETY-A.jpg" TargetMode="External"/><Relationship Id="rId960" Type="http://schemas.openxmlformats.org/officeDocument/2006/relationships/hyperlink" Target="https://instagram.com/ilysysr06/" TargetMode="External"/><Relationship Id="rId1036" Type="http://schemas.openxmlformats.org/officeDocument/2006/relationships/hyperlink" Target="https://pbs.twimg.com/media/EGcQgqbXUAAyJk_.jpg" TargetMode="External"/><Relationship Id="rId1243" Type="http://schemas.openxmlformats.org/officeDocument/2006/relationships/hyperlink" Target="https://pbs.twimg.com/media/EGcOn07XUAAEEE9.jpg" TargetMode="External"/><Relationship Id="rId1590" Type="http://schemas.openxmlformats.org/officeDocument/2006/relationships/hyperlink" Target="https://pbs.twimg.com/media/EGcMUidX0AQVHVv.jpg" TargetMode="External"/><Relationship Id="rId2641" Type="http://schemas.openxmlformats.org/officeDocument/2006/relationships/hyperlink" Target="http://dizifilmdergisi.com/haber-unlu-oyuncu-stand-up-gosterisine-basladi-13583.html" TargetMode="External"/><Relationship Id="rId4399" Type="http://schemas.openxmlformats.org/officeDocument/2006/relationships/hyperlink" Target="https://pbs.twimg.com/media/EGbNLEYWwAARxH9.jpg" TargetMode="External"/><Relationship Id="rId613" Type="http://schemas.openxmlformats.org/officeDocument/2006/relationships/hyperlink" Target="http://fatih.gurses.org/" TargetMode="External"/><Relationship Id="rId820" Type="http://schemas.openxmlformats.org/officeDocument/2006/relationships/hyperlink" Target="http://pic.twitter.com/ZUmdFLFebA" TargetMode="External"/><Relationship Id="rId1450" Type="http://schemas.openxmlformats.org/officeDocument/2006/relationships/hyperlink" Target="https://pbs.twimg.com/media/EGcM3iIX0AEJh89.jpg" TargetMode="External"/><Relationship Id="rId2501" Type="http://schemas.openxmlformats.org/officeDocument/2006/relationships/hyperlink" Target="https://pbs.twimg.com/media/EGbsK0VW4AE_5Yz.jpg" TargetMode="External"/><Relationship Id="rId1103" Type="http://schemas.openxmlformats.org/officeDocument/2006/relationships/hyperlink" Target="https://pbs.twimg.com/media/EGcQBMuWkAEnIyw.jpg" TargetMode="External"/><Relationship Id="rId1310" Type="http://schemas.openxmlformats.org/officeDocument/2006/relationships/hyperlink" Target="https://twitter.com/edipyuksel/status/614901469662187520" TargetMode="External"/><Relationship Id="rId4259" Type="http://schemas.openxmlformats.org/officeDocument/2006/relationships/hyperlink" Target="https://pbs.twimg.com/media/EGbOvswWoAAZLlf.jpg" TargetMode="External"/><Relationship Id="rId4466" Type="http://schemas.openxmlformats.org/officeDocument/2006/relationships/hyperlink" Target="https://twitter.com/ttagrup/status/1181829264490029056" TargetMode="External"/><Relationship Id="rId3068" Type="http://schemas.openxmlformats.org/officeDocument/2006/relationships/hyperlink" Target="https://pbs.twimg.com/media/EGbgEpMXkAEMSYi.jpg" TargetMode="External"/><Relationship Id="rId3275" Type="http://schemas.openxmlformats.org/officeDocument/2006/relationships/hyperlink" Target="http://pic.twitter.com/a2iogb5lAA" TargetMode="External"/><Relationship Id="rId3482" Type="http://schemas.openxmlformats.org/officeDocument/2006/relationships/hyperlink" Target="https://pbs.twimg.com/media/EGbZWRpXkAAtw3i.jpg" TargetMode="External"/><Relationship Id="rId4119" Type="http://schemas.openxmlformats.org/officeDocument/2006/relationships/hyperlink" Target="http://pic.twitter.com/xYRkV89hfw" TargetMode="External"/><Relationship Id="rId4326" Type="http://schemas.openxmlformats.org/officeDocument/2006/relationships/hyperlink" Target="https://pbs.twimg.com/media/EGbOAaVWkAACb65.jpg" TargetMode="External"/><Relationship Id="rId196" Type="http://schemas.openxmlformats.org/officeDocument/2006/relationships/hyperlink" Target="https://pbs.twimg.com/media/EGcXP-KWwAAfZda.jpg" TargetMode="External"/><Relationship Id="rId2084" Type="http://schemas.openxmlformats.org/officeDocument/2006/relationships/hyperlink" Target="https://www.instagram.com/mikailkucuuk" TargetMode="External"/><Relationship Id="rId2291" Type="http://schemas.openxmlformats.org/officeDocument/2006/relationships/hyperlink" Target="https://pbs.twimg.com/media/EGbxu69XkAEBt9G.jpg" TargetMode="External"/><Relationship Id="rId3135" Type="http://schemas.openxmlformats.org/officeDocument/2006/relationships/hyperlink" Target="https://twitter.com/" TargetMode="External"/><Relationship Id="rId3342" Type="http://schemas.openxmlformats.org/officeDocument/2006/relationships/hyperlink" Target="https://pbs.twimg.com/media/EGbbc73W4AEaNAJ.jpg" TargetMode="External"/><Relationship Id="rId263" Type="http://schemas.openxmlformats.org/officeDocument/2006/relationships/hyperlink" Target="https://www.instagram.com/turgutcelikk7/" TargetMode="External"/><Relationship Id="rId470" Type="http://schemas.openxmlformats.org/officeDocument/2006/relationships/hyperlink" Target="https://pbs.twimg.com/media/EGcUuCsXoAEYhIN.jpg" TargetMode="External"/><Relationship Id="rId2151" Type="http://schemas.openxmlformats.org/officeDocument/2006/relationships/hyperlink" Target="https://pbs.twimg.com/media/EGb1OifX0AAE17m.jpg" TargetMode="External"/><Relationship Id="rId3202" Type="http://schemas.openxmlformats.org/officeDocument/2006/relationships/hyperlink" Target="https://pbs.twimg.com/media/EGbeBf2WsAAi1nK.jpg" TargetMode="External"/><Relationship Id="rId123" Type="http://schemas.openxmlformats.org/officeDocument/2006/relationships/hyperlink" Target="http://instagram.com/ysngraphic" TargetMode="External"/><Relationship Id="rId330" Type="http://schemas.openxmlformats.org/officeDocument/2006/relationships/hyperlink" Target="https://pbs.twimg.com/media/EGcWBcgWoAAod6r.jpg" TargetMode="External"/><Relationship Id="rId2011" Type="http://schemas.openxmlformats.org/officeDocument/2006/relationships/hyperlink" Target="https://pbs.twimg.com/media/EGb4hT5XkAAGIom.jpg" TargetMode="External"/><Relationship Id="rId2968" Type="http://schemas.openxmlformats.org/officeDocument/2006/relationships/hyperlink" Target="http://durizle.tv/" TargetMode="External"/><Relationship Id="rId4183" Type="http://schemas.openxmlformats.org/officeDocument/2006/relationships/hyperlink" Target="http://www.hanise16.com.tr/" TargetMode="External"/><Relationship Id="rId1777" Type="http://schemas.openxmlformats.org/officeDocument/2006/relationships/hyperlink" Target="https://pbs.twimg.com/media/EGb-o9wXYAEiIg7.jpg" TargetMode="External"/><Relationship Id="rId1984" Type="http://schemas.openxmlformats.org/officeDocument/2006/relationships/hyperlink" Target="http://pic.twitter.com/AMOHf1kc6T" TargetMode="External"/><Relationship Id="rId2828" Type="http://schemas.openxmlformats.org/officeDocument/2006/relationships/hyperlink" Target="http://pic.twitter.com/33BVUAiXYE" TargetMode="External"/><Relationship Id="rId4390" Type="http://schemas.openxmlformats.org/officeDocument/2006/relationships/hyperlink" Target="http://zazavun.blogspot.com/" TargetMode="External"/><Relationship Id="rId69" Type="http://schemas.openxmlformats.org/officeDocument/2006/relationships/hyperlink" Target="https://play.google.com/store/apps/developer?id=MeCeKaSoft" TargetMode="External"/><Relationship Id="rId1637" Type="http://schemas.openxmlformats.org/officeDocument/2006/relationships/hyperlink" Target="https://instagram.com/eyuphansezi" TargetMode="External"/><Relationship Id="rId1844" Type="http://schemas.openxmlformats.org/officeDocument/2006/relationships/hyperlink" Target="http://pic.twitter.com/zQWhHTy5QE" TargetMode="External"/><Relationship Id="rId4043" Type="http://schemas.openxmlformats.org/officeDocument/2006/relationships/hyperlink" Target="https://pbs.twimg.com/media/EGbRhzcXkAIUYE_.jpg" TargetMode="External"/><Relationship Id="rId4250" Type="http://schemas.openxmlformats.org/officeDocument/2006/relationships/hyperlink" Target="https://pbs.twimg.com/media/EGbO3-EWwAYN3M1.jpg" TargetMode="External"/><Relationship Id="rId1704" Type="http://schemas.openxmlformats.org/officeDocument/2006/relationships/hyperlink" Target="https://pbs.twimg.com/media/EGcLt35WwAQNnq3.jpg" TargetMode="External"/><Relationship Id="rId4110" Type="http://schemas.openxmlformats.org/officeDocument/2006/relationships/hyperlink" Target="http://www.el-aziz.com/" TargetMode="External"/><Relationship Id="rId1911" Type="http://schemas.openxmlformats.org/officeDocument/2006/relationships/hyperlink" Target="http://pic.twitter.com/OIhZ3uKJkM" TargetMode="External"/><Relationship Id="rId3669" Type="http://schemas.openxmlformats.org/officeDocument/2006/relationships/hyperlink" Target="https://pbs.twimg.com/media/EGbWUAKWwAMkwLd.jpg" TargetMode="External"/><Relationship Id="rId797" Type="http://schemas.openxmlformats.org/officeDocument/2006/relationships/hyperlink" Target="https://pbs.twimg.com/media/EGcSPdjXkAEjeo5.jpg" TargetMode="External"/><Relationship Id="rId2478" Type="http://schemas.openxmlformats.org/officeDocument/2006/relationships/hyperlink" Target="http://pic.twitter.com/pEaneK07kL" TargetMode="External"/><Relationship Id="rId3876" Type="http://schemas.openxmlformats.org/officeDocument/2006/relationships/hyperlink" Target="https://pbs.twimg.com/media/EGbTwV9WwAEHgaR.jpg" TargetMode="External"/><Relationship Id="rId1287" Type="http://schemas.openxmlformats.org/officeDocument/2006/relationships/hyperlink" Target="http://cagrilozof.art.blog/" TargetMode="External"/><Relationship Id="rId2685" Type="http://schemas.openxmlformats.org/officeDocument/2006/relationships/hyperlink" Target="https://twitter.com/atillagonullu/status/1181877196769693696" TargetMode="External"/><Relationship Id="rId2892" Type="http://schemas.openxmlformats.org/officeDocument/2006/relationships/hyperlink" Target="https://file.army/karacoin" TargetMode="External"/><Relationship Id="rId3529" Type="http://schemas.openxmlformats.org/officeDocument/2006/relationships/hyperlink" Target="https://m.facebook.com/itz.khan.54966834" TargetMode="External"/><Relationship Id="rId3736" Type="http://schemas.openxmlformats.org/officeDocument/2006/relationships/hyperlink" Target="http://www.facebook.com/?ref=logo" TargetMode="External"/><Relationship Id="rId3943" Type="http://schemas.openxmlformats.org/officeDocument/2006/relationships/hyperlink" Target="https://pbs.twimg.com/media/EGbMW5hXkAAyI5X.jpg" TargetMode="External"/><Relationship Id="rId657" Type="http://schemas.openxmlformats.org/officeDocument/2006/relationships/hyperlink" Target="https://pbs.twimg.com/media/EGcTNgvWwAEAkXs.jpg" TargetMode="External"/><Relationship Id="rId864" Type="http://schemas.openxmlformats.org/officeDocument/2006/relationships/hyperlink" Target="https://www.instagram.com/oguzcanyuzerr/?hl=tr" TargetMode="External"/><Relationship Id="rId1494" Type="http://schemas.openxmlformats.org/officeDocument/2006/relationships/hyperlink" Target="https://twitter.com/ttagrup/status/1181686227076096010" TargetMode="External"/><Relationship Id="rId2338" Type="http://schemas.openxmlformats.org/officeDocument/2006/relationships/hyperlink" Target="https://pbs.twimg.com/media/EGbwTvjX0AAeyDu.jpg" TargetMode="External"/><Relationship Id="rId2545" Type="http://schemas.openxmlformats.org/officeDocument/2006/relationships/hyperlink" Target="https://www.youtube.com/watch?v=XdIfRJa9phM" TargetMode="External"/><Relationship Id="rId2752" Type="http://schemas.openxmlformats.org/officeDocument/2006/relationships/hyperlink" Target="https://pbs.twimg.com/media/EGbmBbuX0AEicNR.jpg" TargetMode="External"/><Relationship Id="rId3803" Type="http://schemas.openxmlformats.org/officeDocument/2006/relationships/hyperlink" Target="https://pbs.twimg.com/media/EGbUnfTWoAEQIWp.jpg" TargetMode="External"/><Relationship Id="rId517" Type="http://schemas.openxmlformats.org/officeDocument/2006/relationships/hyperlink" Target="http://twitch.tv/jayshush" TargetMode="External"/><Relationship Id="rId724" Type="http://schemas.openxmlformats.org/officeDocument/2006/relationships/hyperlink" Target="https://pbs.twimg.com/media/EGcSuZbXUAYoSQW.jpg" TargetMode="External"/><Relationship Id="rId931" Type="http://schemas.openxmlformats.org/officeDocument/2006/relationships/hyperlink" Target="https://pbs.twimg.com/media/EGcRVAUX0AItnSL.jpg" TargetMode="External"/><Relationship Id="rId1147" Type="http://schemas.openxmlformats.org/officeDocument/2006/relationships/hyperlink" Target="http://instagram.com/Oyavuuz" TargetMode="External"/><Relationship Id="rId1354" Type="http://schemas.openxmlformats.org/officeDocument/2006/relationships/hyperlink" Target="http://pic.twitter.com/Qc2HpYNKZI" TargetMode="External"/><Relationship Id="rId1561" Type="http://schemas.openxmlformats.org/officeDocument/2006/relationships/hyperlink" Target="http://instagram.com/ugurercann/" TargetMode="External"/><Relationship Id="rId2405" Type="http://schemas.openxmlformats.org/officeDocument/2006/relationships/hyperlink" Target="https://pbs.twimg.com/media/EGbuYIEWoAATdoL.jpg" TargetMode="External"/><Relationship Id="rId2612" Type="http://schemas.openxmlformats.org/officeDocument/2006/relationships/hyperlink" Target="https://pbs.twimg.com/media/EGbpeoWWwAEDZOZ.jpg" TargetMode="External"/><Relationship Id="rId60" Type="http://schemas.openxmlformats.org/officeDocument/2006/relationships/hyperlink" Target="http://pic.twitter.com/6zXXOGXGTN" TargetMode="External"/><Relationship Id="rId1007" Type="http://schemas.openxmlformats.org/officeDocument/2006/relationships/hyperlink" Target="https://pbs.twimg.com/media/EGcQvJ5X0AECQmy.jpg" TargetMode="External"/><Relationship Id="rId1214" Type="http://schemas.openxmlformats.org/officeDocument/2006/relationships/hyperlink" Target="https://pbs.twimg.com/media/EGcO6YjXoAIdAPJ.jpg" TargetMode="External"/><Relationship Id="rId1421" Type="http://schemas.openxmlformats.org/officeDocument/2006/relationships/hyperlink" Target="https://haberglobal.com.tr/" TargetMode="External"/><Relationship Id="rId3179" Type="http://schemas.openxmlformats.org/officeDocument/2006/relationships/hyperlink" Target="https://pbs.twimg.com/media/EGbeSRxWoAADPzA.jpg" TargetMode="External"/><Relationship Id="rId3386" Type="http://schemas.openxmlformats.org/officeDocument/2006/relationships/hyperlink" Target="http://pic.twitter.com/UvDrYcm3jI" TargetMode="External"/><Relationship Id="rId3593" Type="http://schemas.openxmlformats.org/officeDocument/2006/relationships/hyperlink" Target="https://twitter.com/NPA_SY/status/1181867750400114689" TargetMode="External"/><Relationship Id="rId4437" Type="http://schemas.openxmlformats.org/officeDocument/2006/relationships/hyperlink" Target="https://pbs.twimg.com/media/EGbMsNfXoAAQbTj.jpg" TargetMode="External"/><Relationship Id="rId2195" Type="http://schemas.openxmlformats.org/officeDocument/2006/relationships/hyperlink" Target="https://pbs.twimg.com/media/DMWJYFJWkAMW9nV.jpg" TargetMode="External"/><Relationship Id="rId3039" Type="http://schemas.openxmlformats.org/officeDocument/2006/relationships/hyperlink" Target="https://pbs.twimg.com/media/EGbgqZmXkAENLiR.jpg" TargetMode="External"/><Relationship Id="rId3246" Type="http://schemas.openxmlformats.org/officeDocument/2006/relationships/hyperlink" Target="https://pbs.twimg.com/media/EGbdKorXoAAGyY_.jpg" TargetMode="External"/><Relationship Id="rId3453" Type="http://schemas.openxmlformats.org/officeDocument/2006/relationships/hyperlink" Target="https://pbs.twimg.com/media/EGbZtliX0AAZ8xF.jpg" TargetMode="External"/><Relationship Id="rId167" Type="http://schemas.openxmlformats.org/officeDocument/2006/relationships/hyperlink" Target="http://pic.twitter.com/374LdraOMZ" TargetMode="External"/><Relationship Id="rId374" Type="http://schemas.openxmlformats.org/officeDocument/2006/relationships/hyperlink" Target="https://pbs.twimg.com/media/EGcVqroW4AAdENg.jpg" TargetMode="External"/><Relationship Id="rId581" Type="http://schemas.openxmlformats.org/officeDocument/2006/relationships/hyperlink" Target="http://instagram.com/erencankncal" TargetMode="External"/><Relationship Id="rId2055" Type="http://schemas.openxmlformats.org/officeDocument/2006/relationships/hyperlink" Target="https://pbs.twimg.com/media/EGb3pDoXUAAZO_e.jpg" TargetMode="External"/><Relationship Id="rId2262" Type="http://schemas.openxmlformats.org/officeDocument/2006/relationships/hyperlink" Target="https://pbs.twimg.com/media/EGXLRdkXoAARVJI.jpg" TargetMode="External"/><Relationship Id="rId3106" Type="http://schemas.openxmlformats.org/officeDocument/2006/relationships/hyperlink" Target="http://www.pio.com.tr/" TargetMode="External"/><Relationship Id="rId3660" Type="http://schemas.openxmlformats.org/officeDocument/2006/relationships/hyperlink" Target="https://pbs.twimg.com/media/EGbWWn5X0AEKd1t.jpg" TargetMode="External"/><Relationship Id="rId4504" Type="http://schemas.openxmlformats.org/officeDocument/2006/relationships/hyperlink" Target="http://pic.twitter.com/WCwIvfmmTU" TargetMode="External"/><Relationship Id="rId234" Type="http://schemas.openxmlformats.org/officeDocument/2006/relationships/hyperlink" Target="http://www.galatasaray.org/" TargetMode="External"/><Relationship Id="rId3313" Type="http://schemas.openxmlformats.org/officeDocument/2006/relationships/hyperlink" Target="https://pbs.twimg.com/media/EGbb7EbXYAAzmnS.jpg" TargetMode="External"/><Relationship Id="rId3520" Type="http://schemas.openxmlformats.org/officeDocument/2006/relationships/hyperlink" Target="http://pic.twitter.com/MKdLAfdCru" TargetMode="External"/><Relationship Id="rId441" Type="http://schemas.openxmlformats.org/officeDocument/2006/relationships/hyperlink" Target="http://pic.twitter.com/i81xlwbq5g" TargetMode="External"/><Relationship Id="rId1071" Type="http://schemas.openxmlformats.org/officeDocument/2006/relationships/hyperlink" Target="https://pbs.twimg.com/media/EGcQQgfXkAE8v_K.jpg" TargetMode="External"/><Relationship Id="rId2122" Type="http://schemas.openxmlformats.org/officeDocument/2006/relationships/hyperlink" Target="http://pic.twitter.com/B7fOGZBsfx" TargetMode="External"/><Relationship Id="rId301" Type="http://schemas.openxmlformats.org/officeDocument/2006/relationships/hyperlink" Target="https://pbs.twimg.com/media/EGcWP1lXkAAssbc.jpg" TargetMode="External"/><Relationship Id="rId1888" Type="http://schemas.openxmlformats.org/officeDocument/2006/relationships/hyperlink" Target="https://pbs.twimg.com/media/EGb7mNPWkAE5RBe.jpg" TargetMode="External"/><Relationship Id="rId2939" Type="http://schemas.openxmlformats.org/officeDocument/2006/relationships/hyperlink" Target="https://pbs.twimg.com/media/EGVnvTOWsAEQloN.jpg" TargetMode="External"/><Relationship Id="rId4087" Type="http://schemas.openxmlformats.org/officeDocument/2006/relationships/hyperlink" Target="https://pbs.twimg.com/media/EGbQtKsWsAEtNE8.jpg" TargetMode="External"/><Relationship Id="rId4294" Type="http://schemas.openxmlformats.org/officeDocument/2006/relationships/hyperlink" Target="https://pbs.twimg.com/media/EGbOWmFWsAAEcLe.jpg" TargetMode="External"/><Relationship Id="rId1748" Type="http://schemas.openxmlformats.org/officeDocument/2006/relationships/hyperlink" Target="http://www.medyaveri.com/gundem/trump-turkiye-avrupa-nin-kabul-etmedigi-tutuklu-isid-militanlariyla-h66881.html" TargetMode="External"/><Relationship Id="rId4154" Type="http://schemas.openxmlformats.org/officeDocument/2006/relationships/hyperlink" Target="https://www.instagram.com/abdussamet.bas" TargetMode="External"/><Relationship Id="rId4361" Type="http://schemas.openxmlformats.org/officeDocument/2006/relationships/hyperlink" Target="http://instagram.com/zvitaminiiii" TargetMode="External"/><Relationship Id="rId1955" Type="http://schemas.openxmlformats.org/officeDocument/2006/relationships/hyperlink" Target="https://pbs.twimg.com/media/EGb55T0XoAAEaDV.jpg" TargetMode="External"/><Relationship Id="rId3170" Type="http://schemas.openxmlformats.org/officeDocument/2006/relationships/hyperlink" Target="https://twitter.com/hdpgenelmerkezi/status/1181865576500731904" TargetMode="External"/><Relationship Id="rId4014" Type="http://schemas.openxmlformats.org/officeDocument/2006/relationships/hyperlink" Target="https://pbs.twimg.com/media/EGbR1BFXoAEAE_b.jpg" TargetMode="External"/><Relationship Id="rId4221" Type="http://schemas.openxmlformats.org/officeDocument/2006/relationships/hyperlink" Target="https://pbs.twimg.com/media/EGbPMBQWwAA4dGQ.jpg" TargetMode="External"/><Relationship Id="rId1608" Type="http://schemas.openxmlformats.org/officeDocument/2006/relationships/hyperlink" Target="https://pbs.twimg.com/media/EGcMPKsXoAIOuML.jpg" TargetMode="External"/><Relationship Id="rId1815" Type="http://schemas.openxmlformats.org/officeDocument/2006/relationships/hyperlink" Target="https://twitter.com/MustafAczmendi/status/1181746164238032897" TargetMode="External"/><Relationship Id="rId3030" Type="http://schemas.openxmlformats.org/officeDocument/2006/relationships/hyperlink" Target="http://instagram.com/ethemcankoksall" TargetMode="External"/><Relationship Id="rId3987" Type="http://schemas.openxmlformats.org/officeDocument/2006/relationships/hyperlink" Target="https://pbs.twimg.com/media/EGbSJQiWoAA8JDx.jpg" TargetMode="External"/><Relationship Id="rId2589" Type="http://schemas.openxmlformats.org/officeDocument/2006/relationships/hyperlink" Target="https://youtu.be/ycjA89dvl4g" TargetMode="External"/><Relationship Id="rId2796" Type="http://schemas.openxmlformats.org/officeDocument/2006/relationships/hyperlink" Target="http://pic.twitter.com/kMFkyZ4K3h" TargetMode="External"/><Relationship Id="rId3847" Type="http://schemas.openxmlformats.org/officeDocument/2006/relationships/hyperlink" Target="https://pbs.twimg.com/media/EGbT8PkXoAAe5wK.jpg" TargetMode="External"/><Relationship Id="rId768" Type="http://schemas.openxmlformats.org/officeDocument/2006/relationships/hyperlink" Target="http://instagram.com/cakmakhuseyin" TargetMode="External"/><Relationship Id="rId975" Type="http://schemas.openxmlformats.org/officeDocument/2006/relationships/hyperlink" Target="https://pbs.twimg.com/media/EGcRADpXoAAxBH8.jpg" TargetMode="External"/><Relationship Id="rId1398" Type="http://schemas.openxmlformats.org/officeDocument/2006/relationships/hyperlink" Target="https://pbs.twimg.com/media/EGcNV2HXkAAA0Jg.jpg" TargetMode="External"/><Relationship Id="rId2449" Type="http://schemas.openxmlformats.org/officeDocument/2006/relationships/hyperlink" Target="http://www.alimtunc.com/" TargetMode="External"/><Relationship Id="rId2656" Type="http://schemas.openxmlformats.org/officeDocument/2006/relationships/hyperlink" Target="https://pbs.twimg.com/media/EGboMvXXoAE0058.jpg" TargetMode="External"/><Relationship Id="rId2863" Type="http://schemas.openxmlformats.org/officeDocument/2006/relationships/hyperlink" Target="https://pbs.twimg.com/media/EGbjj_NWoAEfMrZ.jpg" TargetMode="External"/><Relationship Id="rId3707" Type="http://schemas.openxmlformats.org/officeDocument/2006/relationships/hyperlink" Target="https://pbs.twimg.com/media/EGWPjLoWsAsYhzt.jpg" TargetMode="External"/><Relationship Id="rId3914" Type="http://schemas.openxmlformats.org/officeDocument/2006/relationships/hyperlink" Target="https://pbs.twimg.com/media/EGbTNr9XoAAOiJ9.jpg" TargetMode="External"/><Relationship Id="rId628" Type="http://schemas.openxmlformats.org/officeDocument/2006/relationships/hyperlink" Target="https://pbs.twimg.com/media/EGcTWogXoAAB4UB.jpg" TargetMode="External"/><Relationship Id="rId835" Type="http://schemas.openxmlformats.org/officeDocument/2006/relationships/hyperlink" Target="https://www.linkedin.com/in/bartlomiej-kulpa-llm-0665688a/" TargetMode="External"/><Relationship Id="rId1258" Type="http://schemas.openxmlformats.org/officeDocument/2006/relationships/hyperlink" Target="https://pbs.twimg.com/media/EGcOc0KWsAIUwCs.jpg" TargetMode="External"/><Relationship Id="rId1465" Type="http://schemas.openxmlformats.org/officeDocument/2006/relationships/hyperlink" Target="https://twitter.com/" TargetMode="External"/><Relationship Id="rId1672" Type="http://schemas.openxmlformats.org/officeDocument/2006/relationships/hyperlink" Target="http://www.tth.com.tr/" TargetMode="External"/><Relationship Id="rId2309" Type="http://schemas.openxmlformats.org/officeDocument/2006/relationships/hyperlink" Target="https://pbs.twimg.com/media/EGbw5_AXkAAp2__.jpg" TargetMode="External"/><Relationship Id="rId2516" Type="http://schemas.openxmlformats.org/officeDocument/2006/relationships/hyperlink" Target="https://pbs.twimg.com/media/EGbrzluX0AAl31P.jpg" TargetMode="External"/><Relationship Id="rId2723" Type="http://schemas.openxmlformats.org/officeDocument/2006/relationships/hyperlink" Target="https://pbs.twimg.com/media/EGbmozpXkAArywo.jpg" TargetMode="External"/><Relationship Id="rId1118" Type="http://schemas.openxmlformats.org/officeDocument/2006/relationships/hyperlink" Target="https://pbs.twimg.com/media/EGcP2CEWoAAzOn-.jpg" TargetMode="External"/><Relationship Id="rId1325" Type="http://schemas.openxmlformats.org/officeDocument/2006/relationships/hyperlink" Target="https://pbs.twimg.com/media/EGcN7qGWwAEx_8z.jpg" TargetMode="External"/><Relationship Id="rId1532" Type="http://schemas.openxmlformats.org/officeDocument/2006/relationships/hyperlink" Target="https://pbs.twimg.com/media/EGcMjmrW4AAm7K2.png" TargetMode="External"/><Relationship Id="rId2930" Type="http://schemas.openxmlformats.org/officeDocument/2006/relationships/hyperlink" Target="http://pic.twitter.com/pLHcBpaug5" TargetMode="External"/><Relationship Id="rId902" Type="http://schemas.openxmlformats.org/officeDocument/2006/relationships/hyperlink" Target="http://pic.twitter.com/bJZZGk1wuP" TargetMode="External"/><Relationship Id="rId3497" Type="http://schemas.openxmlformats.org/officeDocument/2006/relationships/hyperlink" Target="https://pbs.twimg.com/media/EGbZJImWsAA8VIm.jpg" TargetMode="External"/><Relationship Id="rId31" Type="http://schemas.openxmlformats.org/officeDocument/2006/relationships/hyperlink" Target="https://pbs.twimg.com/media/EGcapatWkAAwOS7.jpg" TargetMode="External"/><Relationship Id="rId2099" Type="http://schemas.openxmlformats.org/officeDocument/2006/relationships/hyperlink" Target="http://instagram.com/anil_koose" TargetMode="External"/><Relationship Id="rId278" Type="http://schemas.openxmlformats.org/officeDocument/2006/relationships/hyperlink" Target="https://pbs.twimg.com/media/EGcWjrAX0AA0-xW.jpg" TargetMode="External"/><Relationship Id="rId3357" Type="http://schemas.openxmlformats.org/officeDocument/2006/relationships/hyperlink" Target="https://twitter.com/realdonaldtrump/status/1181553636444426240" TargetMode="External"/><Relationship Id="rId3564" Type="http://schemas.openxmlformats.org/officeDocument/2006/relationships/hyperlink" Target="https://pbs.twimg.com/media/EGbYIeDXUAAKuny.jpg" TargetMode="External"/><Relationship Id="rId3771" Type="http://schemas.openxmlformats.org/officeDocument/2006/relationships/hyperlink" Target="https://pbs.twimg.com/media/D8sty6DXkAAeDCO.jpg" TargetMode="External"/><Relationship Id="rId4408" Type="http://schemas.openxmlformats.org/officeDocument/2006/relationships/hyperlink" Target="https://pbs.twimg.com/media/EGbNFB8WwAAizbb.jpg" TargetMode="External"/><Relationship Id="rId485" Type="http://schemas.openxmlformats.org/officeDocument/2006/relationships/hyperlink" Target="https://pbs.twimg.com/media/EGcUlnsWwAMT7df.jpg" TargetMode="External"/><Relationship Id="rId692" Type="http://schemas.openxmlformats.org/officeDocument/2006/relationships/hyperlink" Target="https://pbs.twimg.com/media/EGcTAYhW4AEc6uV.jpg" TargetMode="External"/><Relationship Id="rId2166" Type="http://schemas.openxmlformats.org/officeDocument/2006/relationships/hyperlink" Target="https://pbs.twimg.com/media/EGb01JxWoAEOMjX.jpg" TargetMode="External"/><Relationship Id="rId2373" Type="http://schemas.openxmlformats.org/officeDocument/2006/relationships/hyperlink" Target="https://www.egeyonhaber.com/trafik-cezalari-cep-yakiyor-hizi-50yi-gecen-aracin-plakasina-ceza-gonderiliyor/" TargetMode="External"/><Relationship Id="rId2580" Type="http://schemas.openxmlformats.org/officeDocument/2006/relationships/hyperlink" Target="https://pbs.twimg.com/media/EGbp_-1XoAAXwQA.jpg" TargetMode="External"/><Relationship Id="rId3217" Type="http://schemas.openxmlformats.org/officeDocument/2006/relationships/hyperlink" Target="http://www.moreoptionsinc.com/" TargetMode="External"/><Relationship Id="rId3424" Type="http://schemas.openxmlformats.org/officeDocument/2006/relationships/hyperlink" Target="http://www.karakuloglu.com.tr/" TargetMode="External"/><Relationship Id="rId3631" Type="http://schemas.openxmlformats.org/officeDocument/2006/relationships/hyperlink" Target="http://pic.twitter.com/ZoNVaXjtOL" TargetMode="External"/><Relationship Id="rId138" Type="http://schemas.openxmlformats.org/officeDocument/2006/relationships/hyperlink" Target="https://twitter.com/mmalgerokk/status/1181935960952639496" TargetMode="External"/><Relationship Id="rId345" Type="http://schemas.openxmlformats.org/officeDocument/2006/relationships/hyperlink" Target="http://www.haberturk.com/" TargetMode="External"/><Relationship Id="rId552" Type="http://schemas.openxmlformats.org/officeDocument/2006/relationships/hyperlink" Target="https://twitter.com/RTErdogan/status/1181920482964250624" TargetMode="External"/><Relationship Id="rId1182" Type="http://schemas.openxmlformats.org/officeDocument/2006/relationships/hyperlink" Target="http://www.bjk.com.tr/" TargetMode="External"/><Relationship Id="rId2026" Type="http://schemas.openxmlformats.org/officeDocument/2006/relationships/hyperlink" Target="https://instagram.com/mustafaicipek1?igshid=vmyo35k8w1ey" TargetMode="External"/><Relationship Id="rId2233" Type="http://schemas.openxmlformats.org/officeDocument/2006/relationships/hyperlink" Target="http://instagram.com/serbazmustafa" TargetMode="External"/><Relationship Id="rId2440" Type="http://schemas.openxmlformats.org/officeDocument/2006/relationships/hyperlink" Target="http://pic.twitter.com/C8qVneVeiq" TargetMode="External"/><Relationship Id="rId205" Type="http://schemas.openxmlformats.org/officeDocument/2006/relationships/hyperlink" Target="http://pic.twitter.com/SAC4jEyNyP" TargetMode="External"/><Relationship Id="rId412" Type="http://schemas.openxmlformats.org/officeDocument/2006/relationships/hyperlink" Target="https://youtu.be/yS4ojx7Om6o" TargetMode="External"/><Relationship Id="rId1042" Type="http://schemas.openxmlformats.org/officeDocument/2006/relationships/hyperlink" Target="https://pbs.twimg.com/media/EGcG8T0WsAAGvY1.jpg" TargetMode="External"/><Relationship Id="rId2300" Type="http://schemas.openxmlformats.org/officeDocument/2006/relationships/hyperlink" Target="http://www.kuruvetemiz.com/" TargetMode="External"/><Relationship Id="rId4198" Type="http://schemas.openxmlformats.org/officeDocument/2006/relationships/hyperlink" Target="http://pic.twitter.com/Eivb2xy7uO" TargetMode="External"/><Relationship Id="rId1999" Type="http://schemas.openxmlformats.org/officeDocument/2006/relationships/hyperlink" Target="http://www.youtube.com/watch?v=6Be9kENo0vk" TargetMode="External"/><Relationship Id="rId4058" Type="http://schemas.openxmlformats.org/officeDocument/2006/relationships/hyperlink" Target="https://pbs.twimg.com/media/EGbRVU0WwAAh4ZM.jpg" TargetMode="External"/><Relationship Id="rId4265" Type="http://schemas.openxmlformats.org/officeDocument/2006/relationships/hyperlink" Target="https://pbs.twimg.com/media/EGbOo1lXYAAYy0G.jpg" TargetMode="External"/><Relationship Id="rId4472" Type="http://schemas.openxmlformats.org/officeDocument/2006/relationships/hyperlink" Target="https://pbs.twimg.com/media/EGbMTNTWkAECPqX.jpg" TargetMode="External"/><Relationship Id="rId1859" Type="http://schemas.openxmlformats.org/officeDocument/2006/relationships/hyperlink" Target="https://instagram.com/sistemimkitlendiaga?igshid=1hn649zi19rdc" TargetMode="External"/><Relationship Id="rId3074" Type="http://schemas.openxmlformats.org/officeDocument/2006/relationships/hyperlink" Target="http://www.atam.gov.tr/" TargetMode="External"/><Relationship Id="rId4125" Type="http://schemas.openxmlformats.org/officeDocument/2006/relationships/hyperlink" Target="http://instagram.com/hendem.blog" TargetMode="External"/><Relationship Id="rId1719" Type="http://schemas.openxmlformats.org/officeDocument/2006/relationships/hyperlink" Target="https://pbs.twimg.com/media/EGcLqeGWoAAhNCy.jpg" TargetMode="External"/><Relationship Id="rId1926" Type="http://schemas.openxmlformats.org/officeDocument/2006/relationships/hyperlink" Target="https://pbs.twimg.com/media/EGb60MgWsAAEiFN.jpg" TargetMode="External"/><Relationship Id="rId3281" Type="http://schemas.openxmlformats.org/officeDocument/2006/relationships/hyperlink" Target="https://pbs.twimg.com/media/EGbcg4LXkAAciJo.jpg" TargetMode="External"/><Relationship Id="rId4332" Type="http://schemas.openxmlformats.org/officeDocument/2006/relationships/hyperlink" Target="http://instagram.com/ekrem_alp3" TargetMode="External"/><Relationship Id="rId2090" Type="http://schemas.openxmlformats.org/officeDocument/2006/relationships/hyperlink" Target="http://www.superhaber.tv/" TargetMode="External"/><Relationship Id="rId3141" Type="http://schemas.openxmlformats.org/officeDocument/2006/relationships/hyperlink" Target="https://pbs.twimg.com/media/EGa3LWnXUAUeXp2.jpg" TargetMode="External"/><Relationship Id="rId3001" Type="http://schemas.openxmlformats.org/officeDocument/2006/relationships/hyperlink" Target="http://pic.twitter.com/K6bITyP4Kq" TargetMode="External"/><Relationship Id="rId3958" Type="http://schemas.openxmlformats.org/officeDocument/2006/relationships/hyperlink" Target="https://pbs.twimg.com/media/EGbSsLRXUAAU4s2.jpg" TargetMode="External"/><Relationship Id="rId879" Type="http://schemas.openxmlformats.org/officeDocument/2006/relationships/hyperlink" Target="https://twitter.com/kvindeforening/status/1181897831688343552" TargetMode="External"/><Relationship Id="rId2767" Type="http://schemas.openxmlformats.org/officeDocument/2006/relationships/hyperlink" Target="https://pbs.twimg.com/media/EGblhYhW4AEHkza.jpg" TargetMode="External"/><Relationship Id="rId739" Type="http://schemas.openxmlformats.org/officeDocument/2006/relationships/hyperlink" Target="https://pbs.twimg.com/media/EGcSnwdX0AAQX8l.jpg" TargetMode="External"/><Relationship Id="rId1369" Type="http://schemas.openxmlformats.org/officeDocument/2006/relationships/hyperlink" Target="http://www.sosyalansmedya.com/" TargetMode="External"/><Relationship Id="rId1576" Type="http://schemas.openxmlformats.org/officeDocument/2006/relationships/hyperlink" Target="https://pbs.twimg.com/media/EGcMXzPXYAEw-GL.jpg" TargetMode="External"/><Relationship Id="rId2974" Type="http://schemas.openxmlformats.org/officeDocument/2006/relationships/hyperlink" Target="https://pbs.twimg.com/media/EGbhzxpWsAA1Lr6.jpg" TargetMode="External"/><Relationship Id="rId3818" Type="http://schemas.openxmlformats.org/officeDocument/2006/relationships/hyperlink" Target="https://twitter.com/turan1530/status/1181854226231812096" TargetMode="External"/><Relationship Id="rId946" Type="http://schemas.openxmlformats.org/officeDocument/2006/relationships/hyperlink" Target="https://pbs.twimg.com/media/EGcRQbpX0AEEddY.jpg" TargetMode="External"/><Relationship Id="rId1229" Type="http://schemas.openxmlformats.org/officeDocument/2006/relationships/hyperlink" Target="https://pbs.twimg.com/media/EGcOwg1W4AAf2hi.jpg" TargetMode="External"/><Relationship Id="rId1783" Type="http://schemas.openxmlformats.org/officeDocument/2006/relationships/hyperlink" Target="https://twitter.com/alikeskin_tr/status/1181876599542685697" TargetMode="External"/><Relationship Id="rId1990" Type="http://schemas.openxmlformats.org/officeDocument/2006/relationships/hyperlink" Target="https://www.youtube.com/c/bilim101" TargetMode="External"/><Relationship Id="rId2627" Type="http://schemas.openxmlformats.org/officeDocument/2006/relationships/hyperlink" Target="https://pbs.twimg.com/media/EGbo_cdXYAYkl4U.jpg" TargetMode="External"/><Relationship Id="rId2834" Type="http://schemas.openxmlformats.org/officeDocument/2006/relationships/hyperlink" Target="https://twitter.com/furkanduyguu/status/1181505147496796160" TargetMode="External"/><Relationship Id="rId75" Type="http://schemas.openxmlformats.org/officeDocument/2006/relationships/hyperlink" Target="https://twitter.com/malikejder_/status/1181939525393829888" TargetMode="External"/><Relationship Id="rId806" Type="http://schemas.openxmlformats.org/officeDocument/2006/relationships/hyperlink" Target="https://pbs.twimg.com/media/EGcSL9LW4AAUcNK.jpg" TargetMode="External"/><Relationship Id="rId1436" Type="http://schemas.openxmlformats.org/officeDocument/2006/relationships/hyperlink" Target="https://pbs.twimg.com/media/EGcNCTbWkAAP5sH.jpg" TargetMode="External"/><Relationship Id="rId1643" Type="http://schemas.openxmlformats.org/officeDocument/2006/relationships/hyperlink" Target="http://www.facebook.com/EdaOren" TargetMode="External"/><Relationship Id="rId1850" Type="http://schemas.openxmlformats.org/officeDocument/2006/relationships/hyperlink" Target="https://pbs.twimg.com/media/EGb8h8qWwAAnuww.jpg" TargetMode="External"/><Relationship Id="rId2901" Type="http://schemas.openxmlformats.org/officeDocument/2006/relationships/hyperlink" Target="http://galatasaray.org/" TargetMode="External"/><Relationship Id="rId1503" Type="http://schemas.openxmlformats.org/officeDocument/2006/relationships/hyperlink" Target="http://pic.twitter.com/AHV0z0c8mC" TargetMode="External"/><Relationship Id="rId1710" Type="http://schemas.openxmlformats.org/officeDocument/2006/relationships/hyperlink" Target="https://pbs.twimg.com/media/EGcLqwYXkAE_DTi.jpg" TargetMode="External"/><Relationship Id="rId3468" Type="http://schemas.openxmlformats.org/officeDocument/2006/relationships/hyperlink" Target="https://pbs.twimg.com/media/EGbZiVbXoAAtm38.jpg" TargetMode="External"/><Relationship Id="rId3675" Type="http://schemas.openxmlformats.org/officeDocument/2006/relationships/hyperlink" Target="http://www.kepezsifa.com/" TargetMode="External"/><Relationship Id="rId3882" Type="http://schemas.openxmlformats.org/officeDocument/2006/relationships/hyperlink" Target="http://pic.twitter.com/iyD9AR9bCZ" TargetMode="External"/><Relationship Id="rId4519" Type="http://schemas.openxmlformats.org/officeDocument/2006/relationships/hyperlink" Target="http://pic.twitter.com/CwziALV5i9" TargetMode="External"/><Relationship Id="rId389" Type="http://schemas.openxmlformats.org/officeDocument/2006/relationships/hyperlink" Target="http://www.sakinca.com/" TargetMode="External"/><Relationship Id="rId596" Type="http://schemas.openxmlformats.org/officeDocument/2006/relationships/hyperlink" Target="https://pbs.twimg.com/media/EGcTnvJWkAEJgED.jpg" TargetMode="External"/><Relationship Id="rId2277" Type="http://schemas.openxmlformats.org/officeDocument/2006/relationships/hyperlink" Target="https://pbs.twimg.com/media/EGbyFfWX0AED4rE.jpg" TargetMode="External"/><Relationship Id="rId2484" Type="http://schemas.openxmlformats.org/officeDocument/2006/relationships/hyperlink" Target="https://www.haberinsiyatif.com/firatin-dogusu-icin-geri-sayim-basladi/" TargetMode="External"/><Relationship Id="rId2691" Type="http://schemas.openxmlformats.org/officeDocument/2006/relationships/hyperlink" Target="https://www.youtube.com/channel/UCvOm50Z-02VeEEN4_Mn_nBg?view_as=subscriber" TargetMode="External"/><Relationship Id="rId3328" Type="http://schemas.openxmlformats.org/officeDocument/2006/relationships/hyperlink" Target="https://pbs.twimg.com/media/EGbbqI_WoAAVfsw.jpg" TargetMode="External"/><Relationship Id="rId3535" Type="http://schemas.openxmlformats.org/officeDocument/2006/relationships/hyperlink" Target="https://www.instagram.com/hakansengonul52/" TargetMode="External"/><Relationship Id="rId3742" Type="http://schemas.openxmlformats.org/officeDocument/2006/relationships/hyperlink" Target="https://pbs.twimg.com/media/EGbVW5tXoAAkYI0.jpg" TargetMode="External"/><Relationship Id="rId249" Type="http://schemas.openxmlformats.org/officeDocument/2006/relationships/hyperlink" Target="https://pbs.twimg.com/media/EGcWztiXUAAvlIl.jpg" TargetMode="External"/><Relationship Id="rId456" Type="http://schemas.openxmlformats.org/officeDocument/2006/relationships/hyperlink" Target="http://pic.twitter.com/RIh3X8JGJc" TargetMode="External"/><Relationship Id="rId663" Type="http://schemas.openxmlformats.org/officeDocument/2006/relationships/hyperlink" Target="http://facebook.com/mttbsakarya" TargetMode="External"/><Relationship Id="rId870" Type="http://schemas.openxmlformats.org/officeDocument/2006/relationships/hyperlink" Target="https://twitter.com/MHP_Bilgi/status/1181932180756451333" TargetMode="External"/><Relationship Id="rId1086" Type="http://schemas.openxmlformats.org/officeDocument/2006/relationships/hyperlink" Target="http://pic.twitter.com/aFVkuiSiJF" TargetMode="External"/><Relationship Id="rId1293" Type="http://schemas.openxmlformats.org/officeDocument/2006/relationships/hyperlink" Target="https://pbs.twimg.com/media/EGcOIqcXYAECpRn.jpg" TargetMode="External"/><Relationship Id="rId2137" Type="http://schemas.openxmlformats.org/officeDocument/2006/relationships/hyperlink" Target="http://pic.twitter.com/wrizuj4C3K" TargetMode="External"/><Relationship Id="rId2344" Type="http://schemas.openxmlformats.org/officeDocument/2006/relationships/hyperlink" Target="https://pbs.twimg.com/media/EGbv6JjXUAAHEUO.jpg" TargetMode="External"/><Relationship Id="rId2551" Type="http://schemas.openxmlformats.org/officeDocument/2006/relationships/hyperlink" Target="http://instagram.com/atasagiroglu" TargetMode="External"/><Relationship Id="rId109" Type="http://schemas.openxmlformats.org/officeDocument/2006/relationships/hyperlink" Target="http://pic.twitter.com/u0fRa0ptu9" TargetMode="External"/><Relationship Id="rId316" Type="http://schemas.openxmlformats.org/officeDocument/2006/relationships/hyperlink" Target="https://pbs.twimg.com/media/EGcWFugWwAIuMkA.jpg" TargetMode="External"/><Relationship Id="rId523" Type="http://schemas.openxmlformats.org/officeDocument/2006/relationships/hyperlink" Target="https://pbs.twimg.com/media/EGcUT6zX0AIQtIx.jpg" TargetMode="External"/><Relationship Id="rId1153" Type="http://schemas.openxmlformats.org/officeDocument/2006/relationships/hyperlink" Target="https://qoshe.com/yazar/elif-nisa/2490925" TargetMode="External"/><Relationship Id="rId2204" Type="http://schemas.openxmlformats.org/officeDocument/2006/relationships/hyperlink" Target="https://www.instagram.com/kasimpsali_onur/" TargetMode="External"/><Relationship Id="rId3602" Type="http://schemas.openxmlformats.org/officeDocument/2006/relationships/hyperlink" Target="http://pic.twitter.com/pvYxDWjCDe" TargetMode="External"/><Relationship Id="rId730" Type="http://schemas.openxmlformats.org/officeDocument/2006/relationships/hyperlink" Target="https://twitter.com/fenerbahce/status/1181927957377540097" TargetMode="External"/><Relationship Id="rId1013" Type="http://schemas.openxmlformats.org/officeDocument/2006/relationships/hyperlink" Target="http://instagram.com/mustaka" TargetMode="External"/><Relationship Id="rId1360" Type="http://schemas.openxmlformats.org/officeDocument/2006/relationships/hyperlink" Target="http://pic.twitter.com/cTF82OUMza" TargetMode="External"/><Relationship Id="rId2411" Type="http://schemas.openxmlformats.org/officeDocument/2006/relationships/hyperlink" Target="https://pbs.twimg.com/media/EGbuQAoXkAQwd_j.jpg" TargetMode="External"/><Relationship Id="rId4169" Type="http://schemas.openxmlformats.org/officeDocument/2006/relationships/hyperlink" Target="http://instagram.com/cerennnr" TargetMode="External"/><Relationship Id="rId1220" Type="http://schemas.openxmlformats.org/officeDocument/2006/relationships/hyperlink" Target="http://pic.twitter.com/Y7OMpvO48l" TargetMode="External"/><Relationship Id="rId4376" Type="http://schemas.openxmlformats.org/officeDocument/2006/relationships/hyperlink" Target="https://pbs.twimg.com/media/EGbNeuCWsAEvnNp.jpg" TargetMode="External"/><Relationship Id="rId3185" Type="http://schemas.openxmlformats.org/officeDocument/2006/relationships/hyperlink" Target="http://pic.twitter.com/XO5sOXzKXp" TargetMode="External"/><Relationship Id="rId3392" Type="http://schemas.openxmlformats.org/officeDocument/2006/relationships/hyperlink" Target="https://pbs.twimg.com/media/EGbal5PXUAEY9TS.jpg" TargetMode="External"/><Relationship Id="rId4029" Type="http://schemas.openxmlformats.org/officeDocument/2006/relationships/hyperlink" Target="https://pbs.twimg.com/media/EGbRrAEWsAIukJ3.jpg" TargetMode="External"/><Relationship Id="rId4236" Type="http://schemas.openxmlformats.org/officeDocument/2006/relationships/hyperlink" Target="https://pbs.twimg.com/media/EGbPD28WwAAsvnQ.jpg" TargetMode="External"/><Relationship Id="rId4443" Type="http://schemas.openxmlformats.org/officeDocument/2006/relationships/hyperlink" Target="https://pbs.twimg.com/media/EGbMmIKX0AEjVSB.jpg" TargetMode="External"/><Relationship Id="rId3045" Type="http://schemas.openxmlformats.org/officeDocument/2006/relationships/hyperlink" Target="https://pbs.twimg.com/media/EGbgi4AWsAYYtlW.jpg" TargetMode="External"/><Relationship Id="rId3252" Type="http://schemas.openxmlformats.org/officeDocument/2006/relationships/hyperlink" Target="https://www.facebook.com/aysegul.develi.1" TargetMode="External"/><Relationship Id="rId4303" Type="http://schemas.openxmlformats.org/officeDocument/2006/relationships/hyperlink" Target="https://pbs.twimg.com/media/EGbOPjXWsAU6aql.jpg" TargetMode="External"/><Relationship Id="rId4510" Type="http://schemas.openxmlformats.org/officeDocument/2006/relationships/hyperlink" Target="http://pic.twitter.com/p3T2zPqIhy" TargetMode="External"/><Relationship Id="rId173" Type="http://schemas.openxmlformats.org/officeDocument/2006/relationships/hyperlink" Target="https://pbs.twimg.com/media/EGcXjSrX0AEVbm3.jpg" TargetMode="External"/><Relationship Id="rId380" Type="http://schemas.openxmlformats.org/officeDocument/2006/relationships/hyperlink" Target="https://pbs.twimg.com/media/EGcVm0QXkAIoFUp.jpg" TargetMode="External"/><Relationship Id="rId2061" Type="http://schemas.openxmlformats.org/officeDocument/2006/relationships/hyperlink" Target="https://www.callsedon.com/" TargetMode="External"/><Relationship Id="rId3112" Type="http://schemas.openxmlformats.org/officeDocument/2006/relationships/hyperlink" Target="https://pbs.twimg.com/media/EGbfTg0XoAA6Hd1.jpg" TargetMode="External"/><Relationship Id="rId240" Type="http://schemas.openxmlformats.org/officeDocument/2006/relationships/hyperlink" Target="https://pbs.twimg.com/media/EGcW501XYAAag6j.jpg" TargetMode="External"/><Relationship Id="rId100" Type="http://schemas.openxmlformats.org/officeDocument/2006/relationships/hyperlink" Target="https://pbs.twimg.com/media/EGcZGpMXoAUvu-4.jpg" TargetMode="External"/><Relationship Id="rId2878" Type="http://schemas.openxmlformats.org/officeDocument/2006/relationships/hyperlink" Target="http://19.org/tr/la/" TargetMode="External"/><Relationship Id="rId3929" Type="http://schemas.openxmlformats.org/officeDocument/2006/relationships/hyperlink" Target="http://instagram.com/sedaknsu" TargetMode="External"/><Relationship Id="rId4093" Type="http://schemas.openxmlformats.org/officeDocument/2006/relationships/hyperlink" Target="https://pbs.twimg.com/media/EGbQkZqXoAETqm0.jpg" TargetMode="External"/><Relationship Id="rId1687" Type="http://schemas.openxmlformats.org/officeDocument/2006/relationships/hyperlink" Target="https://twitter.com/rterdogan/status/1181919804619407360?s=21" TargetMode="External"/><Relationship Id="rId1894" Type="http://schemas.openxmlformats.org/officeDocument/2006/relationships/hyperlink" Target="https://pbs.twimg.com/media/EGb7eogX0AA_o0A.jpg" TargetMode="External"/><Relationship Id="rId2738" Type="http://schemas.openxmlformats.org/officeDocument/2006/relationships/hyperlink" Target="https://pbs.twimg.com/media/D5vwG4IWAAAkvW_.jpg" TargetMode="External"/><Relationship Id="rId2945" Type="http://schemas.openxmlformats.org/officeDocument/2006/relationships/hyperlink" Target="https://pbs.twimg.com/media/EGbiO_vXYAARA3R.jpg" TargetMode="External"/><Relationship Id="rId917" Type="http://schemas.openxmlformats.org/officeDocument/2006/relationships/hyperlink" Target="https://pbs.twimg.com/media/EGcRZIRXoAACJBr.jpg" TargetMode="External"/><Relationship Id="rId1547" Type="http://schemas.openxmlformats.org/officeDocument/2006/relationships/hyperlink" Target="https://pbs.twimg.com/media/EGcMeKRXoAIfpHa.jpg" TargetMode="External"/><Relationship Id="rId1754" Type="http://schemas.openxmlformats.org/officeDocument/2006/relationships/hyperlink" Target="http://instagram.com/mustafakemaldvl" TargetMode="External"/><Relationship Id="rId1961" Type="http://schemas.openxmlformats.org/officeDocument/2006/relationships/hyperlink" Target="https://twitter.com/SajjadHQamar/status/1158880246738956289" TargetMode="External"/><Relationship Id="rId2805" Type="http://schemas.openxmlformats.org/officeDocument/2006/relationships/hyperlink" Target="http://www.diyabetix.com/" TargetMode="External"/><Relationship Id="rId4160" Type="http://schemas.openxmlformats.org/officeDocument/2006/relationships/hyperlink" Target="https://pbs.twimg.com/media/EGbP0WVXoAAw6BK.jpg" TargetMode="External"/><Relationship Id="rId46" Type="http://schemas.openxmlformats.org/officeDocument/2006/relationships/hyperlink" Target="http://www.akgazete.com.tr/dunya/son-dakika-operasyon-basladi-trumptan-abd-ordusuna-ypg-talimati/20334" TargetMode="External"/><Relationship Id="rId1407" Type="http://schemas.openxmlformats.org/officeDocument/2006/relationships/hyperlink" Target="http://pic.twitter.com/nlPYAlioxt" TargetMode="External"/><Relationship Id="rId1614" Type="http://schemas.openxmlformats.org/officeDocument/2006/relationships/hyperlink" Target="https://pbs.twimg.com/media/EGcMO3xW4AAdbpk.jpg" TargetMode="External"/><Relationship Id="rId1821" Type="http://schemas.openxmlformats.org/officeDocument/2006/relationships/hyperlink" Target="https://pbs.twimg.com/media/EGb9faQXYAA1yK7.jpg" TargetMode="External"/><Relationship Id="rId4020" Type="http://schemas.openxmlformats.org/officeDocument/2006/relationships/hyperlink" Target="https://pbs.twimg.com/media/EGbRy0PW4AEnRen.jpg" TargetMode="External"/><Relationship Id="rId3579" Type="http://schemas.openxmlformats.org/officeDocument/2006/relationships/hyperlink" Target="https://pbs.twimg.com/media/EGbX3UwWoAAnBBW.jpg" TargetMode="External"/><Relationship Id="rId3786" Type="http://schemas.openxmlformats.org/officeDocument/2006/relationships/hyperlink" Target="https://pbs.twimg.com/media/EGbU30qWsAUvTG8.jpg" TargetMode="External"/><Relationship Id="rId2388" Type="http://schemas.openxmlformats.org/officeDocument/2006/relationships/hyperlink" Target="https://twitter.com/Mustafa63160074/status/1181817517821612032" TargetMode="External"/><Relationship Id="rId2595" Type="http://schemas.openxmlformats.org/officeDocument/2006/relationships/hyperlink" Target="http://facebook.com/PROAK2" TargetMode="External"/><Relationship Id="rId3439" Type="http://schemas.openxmlformats.org/officeDocument/2006/relationships/hyperlink" Target="https://pbs.twimg.com/media/EGbZ6q6W4AEJ-bN.jpg" TargetMode="External"/><Relationship Id="rId3993" Type="http://schemas.openxmlformats.org/officeDocument/2006/relationships/hyperlink" Target="https://www.instagram.com/ebrar_kayali/" TargetMode="External"/><Relationship Id="rId567" Type="http://schemas.openxmlformats.org/officeDocument/2006/relationships/hyperlink" Target="https://pbs.twimg.com/media/EGcT5ueWoAAdBXn.jpg" TargetMode="External"/><Relationship Id="rId1197" Type="http://schemas.openxmlformats.org/officeDocument/2006/relationships/hyperlink" Target="https://www.instagram.com/burakyagnlar/" TargetMode="External"/><Relationship Id="rId2248" Type="http://schemas.openxmlformats.org/officeDocument/2006/relationships/hyperlink" Target="http://pic.twitter.com/VGIMqywzhd" TargetMode="External"/><Relationship Id="rId3646" Type="http://schemas.openxmlformats.org/officeDocument/2006/relationships/hyperlink" Target="http://pic.twitter.com/EStB9d6ljr" TargetMode="External"/><Relationship Id="rId3853" Type="http://schemas.openxmlformats.org/officeDocument/2006/relationships/hyperlink" Target="https://twitter.com/AbdulaAsanovski/status/1181470838479941632" TargetMode="External"/><Relationship Id="rId774" Type="http://schemas.openxmlformats.org/officeDocument/2006/relationships/hyperlink" Target="https://twitter.com/dalierzincanli/status/1181877982132129792" TargetMode="External"/><Relationship Id="rId981" Type="http://schemas.openxmlformats.org/officeDocument/2006/relationships/hyperlink" Target="https://pbs.twimg.com/media/EGcQ7o9XoAATOE2.jpg" TargetMode="External"/><Relationship Id="rId1057" Type="http://schemas.openxmlformats.org/officeDocument/2006/relationships/hyperlink" Target="http://t.me/kuant" TargetMode="External"/><Relationship Id="rId2455" Type="http://schemas.openxmlformats.org/officeDocument/2006/relationships/hyperlink" Target="http://moose.&#9829;/" TargetMode="External"/><Relationship Id="rId2662" Type="http://schemas.openxmlformats.org/officeDocument/2006/relationships/hyperlink" Target="http://pic.twitter.com/kE63CdEOSf" TargetMode="External"/><Relationship Id="rId3506" Type="http://schemas.openxmlformats.org/officeDocument/2006/relationships/hyperlink" Target="https://pbs.twimg.com/media/EGbY976W4AAAnQi.jpg" TargetMode="External"/><Relationship Id="rId3713" Type="http://schemas.openxmlformats.org/officeDocument/2006/relationships/hyperlink" Target="http://pic.twitter.com/5LPrRQBCKc" TargetMode="External"/><Relationship Id="rId3920" Type="http://schemas.openxmlformats.org/officeDocument/2006/relationships/hyperlink" Target="http://www.mismed.org.tr/" TargetMode="External"/><Relationship Id="rId427" Type="http://schemas.openxmlformats.org/officeDocument/2006/relationships/hyperlink" Target="http://pic.twitter.com/WCwIvfmmTU" TargetMode="External"/><Relationship Id="rId634" Type="http://schemas.openxmlformats.org/officeDocument/2006/relationships/hyperlink" Target="https://www.youtube.com/channel/UCwpWBIkQtEHm26TB25uKaNw" TargetMode="External"/><Relationship Id="rId841" Type="http://schemas.openxmlformats.org/officeDocument/2006/relationships/hyperlink" Target="https://pbs.twimg.com/media/EGcR-pMXkAEfqh4.jpg" TargetMode="External"/><Relationship Id="rId1264" Type="http://schemas.openxmlformats.org/officeDocument/2006/relationships/hyperlink" Target="http://pic.twitter.com/DfMxJ8z7m5" TargetMode="External"/><Relationship Id="rId1471" Type="http://schemas.openxmlformats.org/officeDocument/2006/relationships/hyperlink" Target="https://pbs.twimg.com/media/EGcM32sW4AADyCI.jpg" TargetMode="External"/><Relationship Id="rId2108" Type="http://schemas.openxmlformats.org/officeDocument/2006/relationships/hyperlink" Target="http://www.atmacasm.com/" TargetMode="External"/><Relationship Id="rId2315" Type="http://schemas.openxmlformats.org/officeDocument/2006/relationships/hyperlink" Target="https://pbs.twimg.com/media/EGbwqRjXkAEqbzP.jpg" TargetMode="External"/><Relationship Id="rId2522" Type="http://schemas.openxmlformats.org/officeDocument/2006/relationships/hyperlink" Target="https://pbs.twimg.com/media/EGbrrTwXUAEQxcv.jpg" TargetMode="External"/><Relationship Id="rId701" Type="http://schemas.openxmlformats.org/officeDocument/2006/relationships/hyperlink" Target="https://pbs.twimg.com/media/EGcS9NwWkAAMj6r.jpg" TargetMode="External"/><Relationship Id="rId1124" Type="http://schemas.openxmlformats.org/officeDocument/2006/relationships/hyperlink" Target="https://pbs.twimg.com/media/EGcPyOmXUAA58H-.jpg" TargetMode="External"/><Relationship Id="rId1331" Type="http://schemas.openxmlformats.org/officeDocument/2006/relationships/hyperlink" Target="https://pbs.twimg.com/media/EGcN4SFWwAII-Lk.jpg" TargetMode="External"/><Relationship Id="rId4487" Type="http://schemas.openxmlformats.org/officeDocument/2006/relationships/hyperlink" Target="https://pbs.twimg.com/media/EGbMK1lXoAADQ5S.jpg" TargetMode="External"/><Relationship Id="rId3089" Type="http://schemas.openxmlformats.org/officeDocument/2006/relationships/hyperlink" Target="http://instagram.com/rmzncaliskann" TargetMode="External"/><Relationship Id="rId3296" Type="http://schemas.openxmlformats.org/officeDocument/2006/relationships/hyperlink" Target="https://pbs.twimg.com/media/EGbcRdhWwAAJKxO.jpg" TargetMode="External"/><Relationship Id="rId4347" Type="http://schemas.openxmlformats.org/officeDocument/2006/relationships/hyperlink" Target="https://bildirdim.com/" TargetMode="External"/><Relationship Id="rId3156" Type="http://schemas.openxmlformats.org/officeDocument/2006/relationships/hyperlink" Target="https://twitter.com/aybers/status/1181864711836639232" TargetMode="External"/><Relationship Id="rId3363" Type="http://schemas.openxmlformats.org/officeDocument/2006/relationships/hyperlink" Target="https://pbs.twimg.com/media/EGbbE54XoAABR5h.jpg" TargetMode="External"/><Relationship Id="rId4207" Type="http://schemas.openxmlformats.org/officeDocument/2006/relationships/hyperlink" Target="https://twitter.com/ravenn444/status/1181852412673495040" TargetMode="External"/><Relationship Id="rId4414" Type="http://schemas.openxmlformats.org/officeDocument/2006/relationships/hyperlink" Target="https://pbs.twimg.com/media/EGbNCN-WkAANEy8.jpg" TargetMode="External"/><Relationship Id="rId284" Type="http://schemas.openxmlformats.org/officeDocument/2006/relationships/hyperlink" Target="http://pic.twitter.com/pnHqUjWDxa" TargetMode="External"/><Relationship Id="rId491" Type="http://schemas.openxmlformats.org/officeDocument/2006/relationships/hyperlink" Target="http://pic.twitter.com/mFKMmxJpve" TargetMode="External"/><Relationship Id="rId2172" Type="http://schemas.openxmlformats.org/officeDocument/2006/relationships/hyperlink" Target="https://pbs.twimg.com/media/EGb0pQVW4AAXZJZ.jpg" TargetMode="External"/><Relationship Id="rId3016" Type="http://schemas.openxmlformats.org/officeDocument/2006/relationships/hyperlink" Target="https://twitter.com/genclikbirligi/status/1181865812992413696" TargetMode="External"/><Relationship Id="rId3223" Type="http://schemas.openxmlformats.org/officeDocument/2006/relationships/hyperlink" Target="https://twitter.com/turkpolisitc/status/1181873274290089984" TargetMode="External"/><Relationship Id="rId3570" Type="http://schemas.openxmlformats.org/officeDocument/2006/relationships/hyperlink" Target="https://twitter.com/duygusalsehpa/status/1181858341754155008" TargetMode="External"/><Relationship Id="rId144" Type="http://schemas.openxmlformats.org/officeDocument/2006/relationships/hyperlink" Target="http://www.instagram.com/selamihaktan" TargetMode="External"/><Relationship Id="rId3430" Type="http://schemas.openxmlformats.org/officeDocument/2006/relationships/hyperlink" Target="http://pic.twitter.com/lxdnHuAJ9w" TargetMode="External"/><Relationship Id="rId351" Type="http://schemas.openxmlformats.org/officeDocument/2006/relationships/hyperlink" Target="https://pbs.twimg.com/media/EGcUAhJWkAEIaNq.jpg" TargetMode="External"/><Relationship Id="rId2032" Type="http://schemas.openxmlformats.org/officeDocument/2006/relationships/hyperlink" Target="http://pic.twitter.com/5B3YxK0ijn" TargetMode="External"/><Relationship Id="rId2989" Type="http://schemas.openxmlformats.org/officeDocument/2006/relationships/hyperlink" Target="https://www.instagram.com/gokhaneroglu__/" TargetMode="External"/><Relationship Id="rId211" Type="http://schemas.openxmlformats.org/officeDocument/2006/relationships/hyperlink" Target="https://pbs.twimg.com/media/EGcXF2AWoAAR3eN.jpg" TargetMode="External"/><Relationship Id="rId1798" Type="http://schemas.openxmlformats.org/officeDocument/2006/relationships/hyperlink" Target="https://pbs.twimg.com/media/EGb-IszWoAA1sbs.jpg" TargetMode="External"/><Relationship Id="rId2849" Type="http://schemas.openxmlformats.org/officeDocument/2006/relationships/hyperlink" Target="http://instagram.com/guccukaga_1907" TargetMode="External"/><Relationship Id="rId1658" Type="http://schemas.openxmlformats.org/officeDocument/2006/relationships/hyperlink" Target="https://pbs.twimg.com/media/EGcL48rW4AAvktx.jpg" TargetMode="External"/><Relationship Id="rId1865" Type="http://schemas.openxmlformats.org/officeDocument/2006/relationships/hyperlink" Target="https://pbs.twimg.com/media/EGb76BKXoAAwAsL.jpg" TargetMode="External"/><Relationship Id="rId2709" Type="http://schemas.openxmlformats.org/officeDocument/2006/relationships/hyperlink" Target="https://twitter.com/i/status/1181562362844897280" TargetMode="External"/><Relationship Id="rId4064" Type="http://schemas.openxmlformats.org/officeDocument/2006/relationships/hyperlink" Target="https://pbs.twimg.com/media/EGbROalXkAEsmKp.jpg" TargetMode="External"/><Relationship Id="rId4271" Type="http://schemas.openxmlformats.org/officeDocument/2006/relationships/hyperlink" Target="http://pic.twitter.com/6IFrYo2XgS" TargetMode="External"/><Relationship Id="rId1518" Type="http://schemas.openxmlformats.org/officeDocument/2006/relationships/hyperlink" Target="https://www.aljazeera.com/news/2019/10/turkey-syria-border-latest-updates-191008131745495.html" TargetMode="External"/><Relationship Id="rId2916" Type="http://schemas.openxmlformats.org/officeDocument/2006/relationships/hyperlink" Target="http://pic.twitter.com/qtbRivKGWd" TargetMode="External"/><Relationship Id="rId3080" Type="http://schemas.openxmlformats.org/officeDocument/2006/relationships/hyperlink" Target="https://pbs.twimg.com/media/EGbfyYCX0AEZL3O.jpg" TargetMode="External"/><Relationship Id="rId4131" Type="http://schemas.openxmlformats.org/officeDocument/2006/relationships/hyperlink" Target="https://twitter.com/TTAgrup/status/1181832166659039232" TargetMode="External"/><Relationship Id="rId1725" Type="http://schemas.openxmlformats.org/officeDocument/2006/relationships/hyperlink" Target="https://pbs.twimg.com/media/EGcLoGeXUAEFXXQ.jpg" TargetMode="External"/><Relationship Id="rId1932" Type="http://schemas.openxmlformats.org/officeDocument/2006/relationships/hyperlink" Target="https://pbs.twimg.com/media/EGb6yDcXoAAHJtv.jpg" TargetMode="External"/><Relationship Id="rId17" Type="http://schemas.openxmlformats.org/officeDocument/2006/relationships/hyperlink" Target="https://pbs.twimg.com/media/EGca_zbXkAASz5x.jpg" TargetMode="External"/><Relationship Id="rId3897" Type="http://schemas.openxmlformats.org/officeDocument/2006/relationships/hyperlink" Target="https://pbs.twimg.com/media/EGbTfJOWsAAw8-9.jpg" TargetMode="External"/><Relationship Id="rId2499" Type="http://schemas.openxmlformats.org/officeDocument/2006/relationships/hyperlink" Target="https://pbs.twimg.com/media/EGbsQioWwAA_V8m.jpg" TargetMode="External"/><Relationship Id="rId3757" Type="http://schemas.openxmlformats.org/officeDocument/2006/relationships/hyperlink" Target="http://www.almanyadasirket.com/" TargetMode="External"/><Relationship Id="rId3964" Type="http://schemas.openxmlformats.org/officeDocument/2006/relationships/hyperlink" Target="http://instagram.com/metin_apaydin07" TargetMode="External"/><Relationship Id="rId1" Type="http://schemas.openxmlformats.org/officeDocument/2006/relationships/hyperlink" Target="https://twitter.com/HDPgenelmerkezi/status/1181936116229902336" TargetMode="External"/><Relationship Id="rId678" Type="http://schemas.openxmlformats.org/officeDocument/2006/relationships/hyperlink" Target="http://www.instagram.com/nurgulcstnn" TargetMode="External"/><Relationship Id="rId885" Type="http://schemas.openxmlformats.org/officeDocument/2006/relationships/hyperlink" Target="https://pbs.twimg.com/media/EGcRserWwAMskNF.jpg" TargetMode="External"/><Relationship Id="rId2359" Type="http://schemas.openxmlformats.org/officeDocument/2006/relationships/hyperlink" Target="https://pbs.twimg.com/media/EGbvfIGXUAAfbi6.png" TargetMode="External"/><Relationship Id="rId2566" Type="http://schemas.openxmlformats.org/officeDocument/2006/relationships/hyperlink" Target="http://instagram.com/ertugrulkose1" TargetMode="External"/><Relationship Id="rId2773" Type="http://schemas.openxmlformats.org/officeDocument/2006/relationships/hyperlink" Target="https://pbs.twimg.com/media/EGXOythW4AQqYSd.jpg" TargetMode="External"/><Relationship Id="rId2980" Type="http://schemas.openxmlformats.org/officeDocument/2006/relationships/hyperlink" Target="https://pbs.twimg.com/media/EGbhuzGXYAAHATb.jpg" TargetMode="External"/><Relationship Id="rId3617" Type="http://schemas.openxmlformats.org/officeDocument/2006/relationships/hyperlink" Target="https://pbs.twimg.com/media/EGbXPgOXkAAWzfV.jpg" TargetMode="External"/><Relationship Id="rId3824" Type="http://schemas.openxmlformats.org/officeDocument/2006/relationships/hyperlink" Target="https://pbs.twimg.com/media/EGbURvuXUAAZslo.jpg" TargetMode="External"/><Relationship Id="rId538" Type="http://schemas.openxmlformats.org/officeDocument/2006/relationships/hyperlink" Target="http://instagram.com/alpeerrkaplan" TargetMode="External"/><Relationship Id="rId745" Type="http://schemas.openxmlformats.org/officeDocument/2006/relationships/hyperlink" Target="https://pbs.twimg.com/media/EGcSk_ZXUAEybTd.jpg" TargetMode="External"/><Relationship Id="rId952" Type="http://schemas.openxmlformats.org/officeDocument/2006/relationships/hyperlink" Target="https://pbs.twimg.com/media/EGcRKmMX0AEntnx.jpg" TargetMode="External"/><Relationship Id="rId1168" Type="http://schemas.openxmlformats.org/officeDocument/2006/relationships/hyperlink" Target="https://pbs.twimg.com/media/EGcPTjUXkAAqk1Z.jpg" TargetMode="External"/><Relationship Id="rId1375" Type="http://schemas.openxmlformats.org/officeDocument/2006/relationships/hyperlink" Target="https://pbs.twimg.com/media/EGcNc4kXkAAlLrA.jpg" TargetMode="External"/><Relationship Id="rId1582" Type="http://schemas.openxmlformats.org/officeDocument/2006/relationships/hyperlink" Target="https://pbs.twimg.com/media/EGcMXVsWkAUnK-y.jpg" TargetMode="External"/><Relationship Id="rId2219" Type="http://schemas.openxmlformats.org/officeDocument/2006/relationships/hyperlink" Target="https://pbs.twimg.com/media/EGbzfkrWoAAOks7.jpg" TargetMode="External"/><Relationship Id="rId2426" Type="http://schemas.openxmlformats.org/officeDocument/2006/relationships/hyperlink" Target="https://youtu.be/3vVuyMfYJJ4" TargetMode="External"/><Relationship Id="rId2633" Type="http://schemas.openxmlformats.org/officeDocument/2006/relationships/hyperlink" Target="https://pbs.twimg.com/media/EGbo4MDXYAA2d56.jpg" TargetMode="External"/><Relationship Id="rId81" Type="http://schemas.openxmlformats.org/officeDocument/2006/relationships/hyperlink" Target="https://yokyok.com/" TargetMode="External"/><Relationship Id="rId605" Type="http://schemas.openxmlformats.org/officeDocument/2006/relationships/hyperlink" Target="http://pic.twitter.com/MM8jmKIbNg" TargetMode="External"/><Relationship Id="rId812" Type="http://schemas.openxmlformats.org/officeDocument/2006/relationships/hyperlink" Target="http://ortadogugazetesi.com/" TargetMode="External"/><Relationship Id="rId1028" Type="http://schemas.openxmlformats.org/officeDocument/2006/relationships/hyperlink" Target="https://pbs.twimg.com/media/EGcQmcAWwAIDR58.jpg" TargetMode="External"/><Relationship Id="rId1235" Type="http://schemas.openxmlformats.org/officeDocument/2006/relationships/hyperlink" Target="https://pbs.twimg.com/media/EGcOrtzXoAECnF8.jpg" TargetMode="External"/><Relationship Id="rId1442" Type="http://schemas.openxmlformats.org/officeDocument/2006/relationships/hyperlink" Target="http://instagram.com/emre_baseer" TargetMode="External"/><Relationship Id="rId2840" Type="http://schemas.openxmlformats.org/officeDocument/2006/relationships/hyperlink" Target="https://pbs.twimg.com/media/EGbj_-NXkAATaGr.jpg" TargetMode="External"/><Relationship Id="rId1302" Type="http://schemas.openxmlformats.org/officeDocument/2006/relationships/hyperlink" Target="http://www.turkticaret.net/" TargetMode="External"/><Relationship Id="rId2700" Type="http://schemas.openxmlformats.org/officeDocument/2006/relationships/hyperlink" Target="http://www.mediasgod.com/" TargetMode="External"/><Relationship Id="rId4458" Type="http://schemas.openxmlformats.org/officeDocument/2006/relationships/hyperlink" Target="https://pbs.twimg.com/media/EGbMZ5cWsAE7pTk.jpg" TargetMode="External"/><Relationship Id="rId3267" Type="http://schemas.openxmlformats.org/officeDocument/2006/relationships/hyperlink" Target="http://www.bilgeci.blog.com/" TargetMode="External"/><Relationship Id="rId188" Type="http://schemas.openxmlformats.org/officeDocument/2006/relationships/hyperlink" Target="https://pbs.twimg.com/media/EGcXXexWoAAA7GI.jpg" TargetMode="External"/><Relationship Id="rId395" Type="http://schemas.openxmlformats.org/officeDocument/2006/relationships/hyperlink" Target="https://pbs.twimg.com/media/EGcVdbkWoAQulya.jpg" TargetMode="External"/><Relationship Id="rId2076" Type="http://schemas.openxmlformats.org/officeDocument/2006/relationships/hyperlink" Target="https://pbs.twimg.com/media/CzqSRDbWQAATkP4.jpg" TargetMode="External"/><Relationship Id="rId3474" Type="http://schemas.openxmlformats.org/officeDocument/2006/relationships/hyperlink" Target="http://instagram.com/emirdevri" TargetMode="External"/><Relationship Id="rId3681" Type="http://schemas.openxmlformats.org/officeDocument/2006/relationships/hyperlink" Target="https://pbs.twimg.com/media/EGbWIQPXoAE50OH.jpg" TargetMode="External"/><Relationship Id="rId4318" Type="http://schemas.openxmlformats.org/officeDocument/2006/relationships/hyperlink" Target="http://www.gazetembayrakli.com/eski-bakan-ak-parti-den-istifa-etti/14648/" TargetMode="External"/><Relationship Id="rId4525" Type="http://schemas.openxmlformats.org/officeDocument/2006/relationships/hyperlink" Target="https://pbs.twimg.com/media/EGbLqPLX0AA5wXx.jpg" TargetMode="External"/><Relationship Id="rId2283" Type="http://schemas.openxmlformats.org/officeDocument/2006/relationships/hyperlink" Target="https://pbs.twimg.com/media/EGa0LsjW4AMa0UL.jpg" TargetMode="External"/><Relationship Id="rId2490" Type="http://schemas.openxmlformats.org/officeDocument/2006/relationships/hyperlink" Target="https://pbs.twimg.com/media/EGbsa3LXkAEyZ1u.jpg" TargetMode="External"/><Relationship Id="rId3127" Type="http://schemas.openxmlformats.org/officeDocument/2006/relationships/hyperlink" Target="http://pic.twitter.com/cJvedeL8RG" TargetMode="External"/><Relationship Id="rId3334" Type="http://schemas.openxmlformats.org/officeDocument/2006/relationships/hyperlink" Target="https://pbs.twimg.com/media/EGbbln2XkAA7xqQ.jpg" TargetMode="External"/><Relationship Id="rId3541" Type="http://schemas.openxmlformats.org/officeDocument/2006/relationships/hyperlink" Target="https://pbs.twimg.com/media/EGbYYYuXYAAllo4.jpg" TargetMode="External"/><Relationship Id="rId255" Type="http://schemas.openxmlformats.org/officeDocument/2006/relationships/hyperlink" Target="https://pbs.twimg.com/media/EGcNsKIXYAETgWc.jpg" TargetMode="External"/><Relationship Id="rId462" Type="http://schemas.openxmlformats.org/officeDocument/2006/relationships/hyperlink" Target="https://twitter.com/tasdemir_cemile/status/1181879182185373696" TargetMode="External"/><Relationship Id="rId1092" Type="http://schemas.openxmlformats.org/officeDocument/2006/relationships/hyperlink" Target="http://pic.twitter.com/BL8gdTgl7Y" TargetMode="External"/><Relationship Id="rId2143" Type="http://schemas.openxmlformats.org/officeDocument/2006/relationships/hyperlink" Target="https://pbs.twimg.com/media/EGb1bm-WsAE_Efk.jpg" TargetMode="External"/><Relationship Id="rId2350" Type="http://schemas.openxmlformats.org/officeDocument/2006/relationships/hyperlink" Target="https://pbs.twimg.com/media/EGbvrmeXoAUzVki.jpg" TargetMode="External"/><Relationship Id="rId3401" Type="http://schemas.openxmlformats.org/officeDocument/2006/relationships/hyperlink" Target="https://www.instagram.com/buraktekcan9/" TargetMode="External"/><Relationship Id="rId115" Type="http://schemas.openxmlformats.org/officeDocument/2006/relationships/hyperlink" Target="http://mihr.com/" TargetMode="External"/><Relationship Id="rId322" Type="http://schemas.openxmlformats.org/officeDocument/2006/relationships/hyperlink" Target="https://www.lalibre.be/international/asie/detruire-le-corridor-terroriste-erdogan-annonce-le-lancement-de-son-operation-militaire-en-syrie-5d9ddd309978e22374c65f58" TargetMode="External"/><Relationship Id="rId2003" Type="http://schemas.openxmlformats.org/officeDocument/2006/relationships/hyperlink" Target="https://pbs.twimg.com/media/EGb4udKXUAA5z_z.jpg" TargetMode="External"/><Relationship Id="rId2210" Type="http://schemas.openxmlformats.org/officeDocument/2006/relationships/hyperlink" Target="http://makaleler.engindinc.com/" TargetMode="External"/><Relationship Id="rId4175" Type="http://schemas.openxmlformats.org/officeDocument/2006/relationships/hyperlink" Target="https://pbs.twimg.com/media/EGbPmHWWoAAE9wy.jpg" TargetMode="External"/><Relationship Id="rId4382" Type="http://schemas.openxmlformats.org/officeDocument/2006/relationships/hyperlink" Target="http://www.instagram.com/serdaratiici" TargetMode="External"/><Relationship Id="rId1769" Type="http://schemas.openxmlformats.org/officeDocument/2006/relationships/hyperlink" Target="https://pbs.twimg.com/media/EGb-8NHXUAYlKxj.jpg" TargetMode="External"/><Relationship Id="rId1976" Type="http://schemas.openxmlformats.org/officeDocument/2006/relationships/hyperlink" Target="https://pbs.twimg.com/media/EGb5TdxWwAA9Ofs.jpg" TargetMode="External"/><Relationship Id="rId3191" Type="http://schemas.openxmlformats.org/officeDocument/2006/relationships/hyperlink" Target="http://pic.twitter.com/W3sLyJHqkP" TargetMode="External"/><Relationship Id="rId4035" Type="http://schemas.openxmlformats.org/officeDocument/2006/relationships/hyperlink" Target="https://pbs.twimg.com/media/EGbRk4AWoAExScI.jpg" TargetMode="External"/><Relationship Id="rId4242" Type="http://schemas.openxmlformats.org/officeDocument/2006/relationships/hyperlink" Target="https://instagram.com/gezeennkisii?igshid=ykdmmnv61pro" TargetMode="External"/><Relationship Id="rId1629" Type="http://schemas.openxmlformats.org/officeDocument/2006/relationships/hyperlink" Target="http://linkedin.com/in/iman-abdi-jama-250b0abb" TargetMode="External"/><Relationship Id="rId1836" Type="http://schemas.openxmlformats.org/officeDocument/2006/relationships/hyperlink" Target="https://pbs.twimg.com/media/EGb88BxXUAEueOI.jpg" TargetMode="External"/><Relationship Id="rId1903" Type="http://schemas.openxmlformats.org/officeDocument/2006/relationships/hyperlink" Target="https://pbs.twimg.com/media/EGb7Sh_W4AAE3vu.jpg" TargetMode="External"/><Relationship Id="rId3051" Type="http://schemas.openxmlformats.org/officeDocument/2006/relationships/hyperlink" Target="http://pic.twitter.com/rzuYmSlkZx" TargetMode="External"/><Relationship Id="rId4102" Type="http://schemas.openxmlformats.org/officeDocument/2006/relationships/hyperlink" Target="https://pbs.twimg.com/media/EGbPUTZXUAAMKhq.jpg" TargetMode="External"/><Relationship Id="rId3868" Type="http://schemas.openxmlformats.org/officeDocument/2006/relationships/hyperlink" Target="https://pbs.twimg.com/media/EGbT1uFWoAA0QU7.jpg" TargetMode="External"/><Relationship Id="rId789" Type="http://schemas.openxmlformats.org/officeDocument/2006/relationships/hyperlink" Target="http://pic.twitter.com/Of5w4UY8YX" TargetMode="External"/><Relationship Id="rId996" Type="http://schemas.openxmlformats.org/officeDocument/2006/relationships/hyperlink" Target="https://pbs.twimg.com/media/EGcQ09HWsAULJYN.jpg" TargetMode="External"/><Relationship Id="rId2677" Type="http://schemas.openxmlformats.org/officeDocument/2006/relationships/hyperlink" Target="http://www.okyanusum.com/" TargetMode="External"/><Relationship Id="rId2884" Type="http://schemas.openxmlformats.org/officeDocument/2006/relationships/hyperlink" Target="https://twitter.com/themarginale/status/1181533907453394944" TargetMode="External"/><Relationship Id="rId3728" Type="http://schemas.openxmlformats.org/officeDocument/2006/relationships/hyperlink" Target="https://pbs.twimg.com/media/EGbVj0QXoAAu3te.jpg" TargetMode="External"/><Relationship Id="rId649" Type="http://schemas.openxmlformats.org/officeDocument/2006/relationships/hyperlink" Target="http://instagram.com/rehzen" TargetMode="External"/><Relationship Id="rId856" Type="http://schemas.openxmlformats.org/officeDocument/2006/relationships/hyperlink" Target="https://pbs.twimg.com/media/EGcR6HyWkAE5D9m.jpg" TargetMode="External"/><Relationship Id="rId1279" Type="http://schemas.openxmlformats.org/officeDocument/2006/relationships/hyperlink" Target="https://pbs.twimg.com/media/EGcOPExWwAAXoHw.jpg" TargetMode="External"/><Relationship Id="rId1486" Type="http://schemas.openxmlformats.org/officeDocument/2006/relationships/hyperlink" Target="https://pbs.twimg.com/media/EGcIriVXkAARwHH.jpg" TargetMode="External"/><Relationship Id="rId2537" Type="http://schemas.openxmlformats.org/officeDocument/2006/relationships/hyperlink" Target="http://instagram.com/onurturkdal" TargetMode="External"/><Relationship Id="rId3935" Type="http://schemas.openxmlformats.org/officeDocument/2006/relationships/hyperlink" Target="https://pbs.twimg.com/media/EGbS94QWkAcucz-.jpg" TargetMode="External"/><Relationship Id="rId509" Type="http://schemas.openxmlformats.org/officeDocument/2006/relationships/hyperlink" Target="https://pbs.twimg.com/media/EGcUaYgXUAAcOJK.jpg" TargetMode="External"/><Relationship Id="rId1139" Type="http://schemas.openxmlformats.org/officeDocument/2006/relationships/hyperlink" Target="http://web.tv/" TargetMode="External"/><Relationship Id="rId1346" Type="http://schemas.openxmlformats.org/officeDocument/2006/relationships/hyperlink" Target="https://pbs.twimg.com/media/EGcNui0XYAE3LZr.jpg" TargetMode="External"/><Relationship Id="rId1693" Type="http://schemas.openxmlformats.org/officeDocument/2006/relationships/hyperlink" Target="https://pbs.twimg.com/media/EGcLxASWsAwfd25.jpg" TargetMode="External"/><Relationship Id="rId2744" Type="http://schemas.openxmlformats.org/officeDocument/2006/relationships/hyperlink" Target="http://instagram.com/aydinkocak" TargetMode="External"/><Relationship Id="rId2951" Type="http://schemas.openxmlformats.org/officeDocument/2006/relationships/hyperlink" Target="https://pbs.twimg.com/media/EGbiLnLWkAEOdDy.jpg" TargetMode="External"/><Relationship Id="rId716" Type="http://schemas.openxmlformats.org/officeDocument/2006/relationships/hyperlink" Target="https://twitter.com/gazeteortadogu/status/1181933403853205506" TargetMode="External"/><Relationship Id="rId923" Type="http://schemas.openxmlformats.org/officeDocument/2006/relationships/hyperlink" Target="https://pbs.twimg.com/media/EGcRX5pXUAA45V9.jpg" TargetMode="External"/><Relationship Id="rId1553" Type="http://schemas.openxmlformats.org/officeDocument/2006/relationships/hyperlink" Target="https://pbs.twimg.com/media/EGcMdjVWoAEWtOu.jpg" TargetMode="External"/><Relationship Id="rId1760" Type="http://schemas.openxmlformats.org/officeDocument/2006/relationships/hyperlink" Target="https://pbs.twimg.com/media/EGb_IXKWkAAiKl7.jpg" TargetMode="External"/><Relationship Id="rId2604" Type="http://schemas.openxmlformats.org/officeDocument/2006/relationships/hyperlink" Target="http://pic.twitter.com/brIWMt3NfW" TargetMode="External"/><Relationship Id="rId2811" Type="http://schemas.openxmlformats.org/officeDocument/2006/relationships/hyperlink" Target="http://facebook.com/ugrckr" TargetMode="External"/><Relationship Id="rId52" Type="http://schemas.openxmlformats.org/officeDocument/2006/relationships/hyperlink" Target="https://pbs.twimg.com/media/EGcaJyTWoAIAXJ3.jpg" TargetMode="External"/><Relationship Id="rId1206" Type="http://schemas.openxmlformats.org/officeDocument/2006/relationships/hyperlink" Target="https://twitter.com/RTErdogan/status/1181919804619407360" TargetMode="External"/><Relationship Id="rId1413" Type="http://schemas.openxmlformats.org/officeDocument/2006/relationships/hyperlink" Target="http://www.canradyo.net/" TargetMode="External"/><Relationship Id="rId1620" Type="http://schemas.openxmlformats.org/officeDocument/2006/relationships/hyperlink" Target="https://pbs.twimg.com/media/EGcMKUjWwAE03KV.jpg" TargetMode="External"/><Relationship Id="rId3378" Type="http://schemas.openxmlformats.org/officeDocument/2006/relationships/hyperlink" Target="http://pic.twitter.com/CpxvOBoed4" TargetMode="External"/><Relationship Id="rId3585" Type="http://schemas.openxmlformats.org/officeDocument/2006/relationships/hyperlink" Target="https://pbs.twimg.com/media/EGbXr5VXYAA-G6c.jpg" TargetMode="External"/><Relationship Id="rId3792" Type="http://schemas.openxmlformats.org/officeDocument/2006/relationships/hyperlink" Target="https://pbs.twimg.com/media/EGbUxg1X0AE60tJ.jpg" TargetMode="External"/><Relationship Id="rId4429" Type="http://schemas.openxmlformats.org/officeDocument/2006/relationships/hyperlink" Target="https://pbs.twimg.com/media/EGbMx40W4AAnvPi.jpg" TargetMode="External"/><Relationship Id="rId299" Type="http://schemas.openxmlformats.org/officeDocument/2006/relationships/hyperlink" Target="https://twitter.com/fenerbahce/status/1181927957377540097" TargetMode="External"/><Relationship Id="rId2187" Type="http://schemas.openxmlformats.org/officeDocument/2006/relationships/hyperlink" Target="http://pic.twitter.com/euRG8c4Wdd" TargetMode="External"/><Relationship Id="rId2394" Type="http://schemas.openxmlformats.org/officeDocument/2006/relationships/hyperlink" Target="https://pbs.twimg.com/media/EGbutkjX0AUxnPk.jpg" TargetMode="External"/><Relationship Id="rId3238" Type="http://schemas.openxmlformats.org/officeDocument/2006/relationships/hyperlink" Target="https://pbs.twimg.com/media/EGbdNI_WwAA2weH.jpg" TargetMode="External"/><Relationship Id="rId3445" Type="http://schemas.openxmlformats.org/officeDocument/2006/relationships/hyperlink" Target="https://pbs.twimg.com/media/EGbZ2LxXYAAK1zE.jpg" TargetMode="External"/><Relationship Id="rId3652" Type="http://schemas.openxmlformats.org/officeDocument/2006/relationships/hyperlink" Target="https://pbs.twimg.com/media/EGbWmASWkAATB4k.jpg" TargetMode="External"/><Relationship Id="rId159" Type="http://schemas.openxmlformats.org/officeDocument/2006/relationships/hyperlink" Target="https://pbs.twimg.com/media/EGcX4Q9X0AEEIjO.jpg" TargetMode="External"/><Relationship Id="rId366" Type="http://schemas.openxmlformats.org/officeDocument/2006/relationships/hyperlink" Target="https://m.facebook.com/home.php?rand=1837608572&amp;refsrc=https%3A%2F%2Fm.facebook.com%2Ferealp5905&amp;ref" TargetMode="External"/><Relationship Id="rId573" Type="http://schemas.openxmlformats.org/officeDocument/2006/relationships/hyperlink" Target="https://pbs.twimg.com/media/EGcT1bxXYAAOvvC.jpg" TargetMode="External"/><Relationship Id="rId780" Type="http://schemas.openxmlformats.org/officeDocument/2006/relationships/hyperlink" Target="https://pbs.twimg.com/media/EGcSVmKWwAAvGG_.jpg" TargetMode="External"/><Relationship Id="rId2047" Type="http://schemas.openxmlformats.org/officeDocument/2006/relationships/hyperlink" Target="https://pbs.twimg.com/media/EGb3yFiWoAAaCbE.jpg" TargetMode="External"/><Relationship Id="rId2254" Type="http://schemas.openxmlformats.org/officeDocument/2006/relationships/hyperlink" Target="https://pbs.twimg.com/media/EGbyxYOX0AEz8BC.jpg" TargetMode="External"/><Relationship Id="rId2461" Type="http://schemas.openxmlformats.org/officeDocument/2006/relationships/hyperlink" Target="https://pbs.twimg.com/media/D9WxRa6X4AAN0yB.jpg" TargetMode="External"/><Relationship Id="rId3305" Type="http://schemas.openxmlformats.org/officeDocument/2006/relationships/hyperlink" Target="https://pbs.twimg.com/media/EGbcHGXWwAAZh-k.jpg" TargetMode="External"/><Relationship Id="rId3512" Type="http://schemas.openxmlformats.org/officeDocument/2006/relationships/hyperlink" Target="https://pbs.twimg.com/media/EGbYtvwXUAAROw8.jpg" TargetMode="External"/><Relationship Id="rId226" Type="http://schemas.openxmlformats.org/officeDocument/2006/relationships/hyperlink" Target="https://pbs.twimg.com/media/EGcW_RPXYAAMAmu.jpg" TargetMode="External"/><Relationship Id="rId433" Type="http://schemas.openxmlformats.org/officeDocument/2006/relationships/hyperlink" Target="https://www.egm.gov.tr/sayfalar/ihbar.aspx" TargetMode="External"/><Relationship Id="rId1063" Type="http://schemas.openxmlformats.org/officeDocument/2006/relationships/hyperlink" Target="http://mttb.org/" TargetMode="External"/><Relationship Id="rId1270" Type="http://schemas.openxmlformats.org/officeDocument/2006/relationships/hyperlink" Target="http://pic.twitter.com/gqEiD46Ez2" TargetMode="External"/><Relationship Id="rId2114" Type="http://schemas.openxmlformats.org/officeDocument/2006/relationships/hyperlink" Target="https://pbs.twimg.com/media/EGb2K_rWwAAPO4f.jpg" TargetMode="External"/><Relationship Id="rId640" Type="http://schemas.openxmlformats.org/officeDocument/2006/relationships/hyperlink" Target="https://pbs.twimg.com/media/EGcTSAuXUAASLrZ.jpg" TargetMode="External"/><Relationship Id="rId2321" Type="http://schemas.openxmlformats.org/officeDocument/2006/relationships/hyperlink" Target="http://pic.twitter.com/NUINlwvjpz" TargetMode="External"/><Relationship Id="rId4079" Type="http://schemas.openxmlformats.org/officeDocument/2006/relationships/hyperlink" Target="https://pbs.twimg.com/media/EGbQ9CHWoAAnv8I.jpg" TargetMode="External"/><Relationship Id="rId4286" Type="http://schemas.openxmlformats.org/officeDocument/2006/relationships/hyperlink" Target="https://twitter.com/julidefzr/status/1181856484315017217" TargetMode="External"/><Relationship Id="rId500" Type="http://schemas.openxmlformats.org/officeDocument/2006/relationships/hyperlink" Target="http://bjk.com.tr/" TargetMode="External"/><Relationship Id="rId1130" Type="http://schemas.openxmlformats.org/officeDocument/2006/relationships/hyperlink" Target="http://www.karabukturkocagi.com/" TargetMode="External"/><Relationship Id="rId4493" Type="http://schemas.openxmlformats.org/officeDocument/2006/relationships/hyperlink" Target="https://www.guhertas.com/" TargetMode="External"/><Relationship Id="rId1947" Type="http://schemas.openxmlformats.org/officeDocument/2006/relationships/hyperlink" Target="https://pbs.twimg.com/media/EGb6IxKXoAEJfwe.jpg" TargetMode="External"/><Relationship Id="rId3095" Type="http://schemas.openxmlformats.org/officeDocument/2006/relationships/hyperlink" Target="https://pbs.twimg.com/media/EGbfj9HWoAIxMPu.jpg" TargetMode="External"/><Relationship Id="rId4146" Type="http://schemas.openxmlformats.org/officeDocument/2006/relationships/hyperlink" Target="https://pbs.twimg.com/media/EGbP_V1XoAAkq1i.jpg" TargetMode="External"/><Relationship Id="rId4353" Type="http://schemas.openxmlformats.org/officeDocument/2006/relationships/hyperlink" Target="https://pbs.twimg.com/media/EGbNtG4XoAAak7I.jpg" TargetMode="External"/><Relationship Id="rId1807" Type="http://schemas.openxmlformats.org/officeDocument/2006/relationships/hyperlink" Target="http://instagram.com/rumeysasevnc" TargetMode="External"/><Relationship Id="rId3162" Type="http://schemas.openxmlformats.org/officeDocument/2006/relationships/hyperlink" Target="https://pbs.twimg.com/media/EGbeiuQXoAARxRE.jpg" TargetMode="External"/><Relationship Id="rId4006" Type="http://schemas.openxmlformats.org/officeDocument/2006/relationships/hyperlink" Target="http://pic.twitter.com/xNOaNJRUtb" TargetMode="External"/><Relationship Id="rId4213" Type="http://schemas.openxmlformats.org/officeDocument/2006/relationships/hyperlink" Target="https://pbs.twimg.com/media/EGbPOYCX0AIZE42.jpg" TargetMode="External"/><Relationship Id="rId4420" Type="http://schemas.openxmlformats.org/officeDocument/2006/relationships/hyperlink" Target="http://pic.twitter.com/5s00YSG6dG" TargetMode="External"/><Relationship Id="rId290" Type="http://schemas.openxmlformats.org/officeDocument/2006/relationships/hyperlink" Target="https://instagram.com/ahmetdurmu/" TargetMode="External"/><Relationship Id="rId3022" Type="http://schemas.openxmlformats.org/officeDocument/2006/relationships/hyperlink" Target="https://pbs.twimg.com/media/EGbg52MW4AA0Dbr.jpg" TargetMode="External"/><Relationship Id="rId150" Type="http://schemas.openxmlformats.org/officeDocument/2006/relationships/hyperlink" Target="https://pbs.twimg.com/media/EGcYCJKW4AEuSa0.jpg" TargetMode="External"/><Relationship Id="rId3979" Type="http://schemas.openxmlformats.org/officeDocument/2006/relationships/hyperlink" Target="http://pic.twitter.com/7LSV2pPYb4" TargetMode="External"/><Relationship Id="rId2788" Type="http://schemas.openxmlformats.org/officeDocument/2006/relationships/hyperlink" Target="http://pic.twitter.com/mwdvcfEZoc" TargetMode="External"/><Relationship Id="rId2995" Type="http://schemas.openxmlformats.org/officeDocument/2006/relationships/hyperlink" Target="https://pbs.twimg.com/media/EGLwNEIWoAA-MaL.jpg" TargetMode="External"/><Relationship Id="rId3839" Type="http://schemas.openxmlformats.org/officeDocument/2006/relationships/hyperlink" Target="https://www.youtube.com/watch?v=mWnAqdW76GY" TargetMode="External"/><Relationship Id="rId967" Type="http://schemas.openxmlformats.org/officeDocument/2006/relationships/hyperlink" Target="https://pbs.twimg.com/media/EGcRFbmWkAAnT9v.jpg" TargetMode="External"/><Relationship Id="rId1597" Type="http://schemas.openxmlformats.org/officeDocument/2006/relationships/hyperlink" Target="https://twitter.com/" TargetMode="External"/><Relationship Id="rId2648" Type="http://schemas.openxmlformats.org/officeDocument/2006/relationships/hyperlink" Target="http://pic.twitter.com/BQOea6jWFW" TargetMode="External"/><Relationship Id="rId2855" Type="http://schemas.openxmlformats.org/officeDocument/2006/relationships/hyperlink" Target="https://pbs.twimg.com/media/EGbjlayWwAE9Doh.jpg" TargetMode="External"/><Relationship Id="rId3906" Type="http://schemas.openxmlformats.org/officeDocument/2006/relationships/hyperlink" Target="https://pbs.twimg.com/media/EGbTVxoXkAAW8dV.jpg" TargetMode="External"/><Relationship Id="rId96" Type="http://schemas.openxmlformats.org/officeDocument/2006/relationships/hyperlink" Target="https://pbs.twimg.com/media/EGcZOKuXoAQ8klW.jpg" TargetMode="External"/><Relationship Id="rId827" Type="http://schemas.openxmlformats.org/officeDocument/2006/relationships/hyperlink" Target="https://pbs.twimg.com/media/EGcSFIYXUAI3qfs.jpg" TargetMode="External"/><Relationship Id="rId1457" Type="http://schemas.openxmlformats.org/officeDocument/2006/relationships/hyperlink" Target="https://pbs.twimg.com/media/EGcM7NfXYAIsSwd.jpg" TargetMode="External"/><Relationship Id="rId1664" Type="http://schemas.openxmlformats.org/officeDocument/2006/relationships/hyperlink" Target="https://www.wmal.net/diyet/askeri-diyet-nedir-ise-yariyor-mu-h17345.html" TargetMode="External"/><Relationship Id="rId1871" Type="http://schemas.openxmlformats.org/officeDocument/2006/relationships/hyperlink" Target="https://twitter.com/eskibirmuhtar/status/1181830089085992960" TargetMode="External"/><Relationship Id="rId2508" Type="http://schemas.openxmlformats.org/officeDocument/2006/relationships/hyperlink" Target="https://ift.tt/2OuvgrT" TargetMode="External"/><Relationship Id="rId2715" Type="http://schemas.openxmlformats.org/officeDocument/2006/relationships/hyperlink" Target="https://pbs.twimg.com/media/D8chv3JWwAULBGx.jpg" TargetMode="External"/><Relationship Id="rId2922" Type="http://schemas.openxmlformats.org/officeDocument/2006/relationships/hyperlink" Target="https://pbs.twimg.com/media/EGbf29YXYAAeFfZ.jpg" TargetMode="External"/><Relationship Id="rId4070" Type="http://schemas.openxmlformats.org/officeDocument/2006/relationships/hyperlink" Target="https://pbs.twimg.com/media/EGbRGgmW4AA8Jgs.jpg" TargetMode="External"/><Relationship Id="rId1317" Type="http://schemas.openxmlformats.org/officeDocument/2006/relationships/hyperlink" Target="https://pbs.twimg.com/media/EGcN_1xXoAYMI_0.jpg" TargetMode="External"/><Relationship Id="rId1524" Type="http://schemas.openxmlformats.org/officeDocument/2006/relationships/hyperlink" Target="https://pbs.twimg.com/media/EGcMm0EWoAAV46Q.jpg" TargetMode="External"/><Relationship Id="rId1731" Type="http://schemas.openxmlformats.org/officeDocument/2006/relationships/hyperlink" Target="http://instagram.com/eliiftopuz" TargetMode="External"/><Relationship Id="rId23" Type="http://schemas.openxmlformats.org/officeDocument/2006/relationships/hyperlink" Target="https://pbs.twimg.com/media/EGca3meXkAQ3YS0.jpg" TargetMode="External"/><Relationship Id="rId3489" Type="http://schemas.openxmlformats.org/officeDocument/2006/relationships/hyperlink" Target="https://pbs.twimg.com/media/EGbZPQXXUAAg-PC.jpg" TargetMode="External"/><Relationship Id="rId3696" Type="http://schemas.openxmlformats.org/officeDocument/2006/relationships/hyperlink" Target="http://cambodia.org/" TargetMode="External"/><Relationship Id="rId2298" Type="http://schemas.openxmlformats.org/officeDocument/2006/relationships/hyperlink" Target="https://pbs.twimg.com/media/EGbxdq4XkAIYTUx.jpg" TargetMode="External"/><Relationship Id="rId3349" Type="http://schemas.openxmlformats.org/officeDocument/2006/relationships/hyperlink" Target="https://pbs.twimg.com/media/EGbbXZnX0AAs9eH.jpg" TargetMode="External"/><Relationship Id="rId3556" Type="http://schemas.openxmlformats.org/officeDocument/2006/relationships/hyperlink" Target="http://yazbee.com/ada" TargetMode="External"/><Relationship Id="rId477" Type="http://schemas.openxmlformats.org/officeDocument/2006/relationships/hyperlink" Target="https://twitter.com/uzunabdurrahman/status/1181924647622922240" TargetMode="External"/><Relationship Id="rId684" Type="http://schemas.openxmlformats.org/officeDocument/2006/relationships/hyperlink" Target="https://pbs.twimg.com/media/EGcTFovWwAAjH4E.jpg" TargetMode="External"/><Relationship Id="rId2158" Type="http://schemas.openxmlformats.org/officeDocument/2006/relationships/hyperlink" Target="https://pbs.twimg.com/media/EGb0-I2WkAAm49U.jpg" TargetMode="External"/><Relationship Id="rId2365" Type="http://schemas.openxmlformats.org/officeDocument/2006/relationships/hyperlink" Target="https://pbs.twimg.com/media/EGbvgoGXoAAwgXh.jpg" TargetMode="External"/><Relationship Id="rId3209" Type="http://schemas.openxmlformats.org/officeDocument/2006/relationships/hyperlink" Target="http://biogrenci.tumblr.com/" TargetMode="External"/><Relationship Id="rId3763" Type="http://schemas.openxmlformats.org/officeDocument/2006/relationships/hyperlink" Target="http://www.avrupatvcenter.com/" TargetMode="External"/><Relationship Id="rId3970" Type="http://schemas.openxmlformats.org/officeDocument/2006/relationships/hyperlink" Target="https://www.parlarfidan.com/" TargetMode="External"/><Relationship Id="rId337" Type="http://schemas.openxmlformats.org/officeDocument/2006/relationships/hyperlink" Target="https://pbs.twimg.com/media/EGcV-ddX0AIJTdj.jpg" TargetMode="External"/><Relationship Id="rId891" Type="http://schemas.openxmlformats.org/officeDocument/2006/relationships/hyperlink" Target="https://pbs.twimg.com/media/EGcRoCyXUAAI9b3.jpg" TargetMode="External"/><Relationship Id="rId2018" Type="http://schemas.openxmlformats.org/officeDocument/2006/relationships/hyperlink" Target="https://www.rasitgokhansucu.com/cikmis-ehliyet-sorulari/" TargetMode="External"/><Relationship Id="rId2572" Type="http://schemas.openxmlformats.org/officeDocument/2006/relationships/hyperlink" Target="https://pbs.twimg.com/media/EGbqIPEWsAAepta.jpg" TargetMode="External"/><Relationship Id="rId3416" Type="http://schemas.openxmlformats.org/officeDocument/2006/relationships/hyperlink" Target="https://pbs.twimg.com/media/EGbaOUgWkAAjoOl.jpg" TargetMode="External"/><Relationship Id="rId3623" Type="http://schemas.openxmlformats.org/officeDocument/2006/relationships/hyperlink" Target="https://pbs.twimg.com/media/EGbXLJtWkAEiIx4.jpg" TargetMode="External"/><Relationship Id="rId3830" Type="http://schemas.openxmlformats.org/officeDocument/2006/relationships/hyperlink" Target="https://instagram.com/VolkanBeysir" TargetMode="External"/><Relationship Id="rId544" Type="http://schemas.openxmlformats.org/officeDocument/2006/relationships/hyperlink" Target="https://pbs.twimg.com/media/EGcUDvUWwAU6EDt.jpg" TargetMode="External"/><Relationship Id="rId751" Type="http://schemas.openxmlformats.org/officeDocument/2006/relationships/hyperlink" Target="https://pbs.twimg.com/media/EGcSc3GXkAEKzgJ.jpg" TargetMode="External"/><Relationship Id="rId1174" Type="http://schemas.openxmlformats.org/officeDocument/2006/relationships/hyperlink" Target="http://www.tgb.gen.tr/" TargetMode="External"/><Relationship Id="rId1381" Type="http://schemas.openxmlformats.org/officeDocument/2006/relationships/hyperlink" Target="https://pbs.twimg.com/media/EGcNbykW4AAR6J4.jpg" TargetMode="External"/><Relationship Id="rId2225" Type="http://schemas.openxmlformats.org/officeDocument/2006/relationships/hyperlink" Target="https://pbs.twimg.com/media/EGbzUaOWwAEfQ7b.jpg" TargetMode="External"/><Relationship Id="rId2432" Type="http://schemas.openxmlformats.org/officeDocument/2006/relationships/hyperlink" Target="http://t&#252;rkg&#252;n.com/" TargetMode="External"/><Relationship Id="rId404" Type="http://schemas.openxmlformats.org/officeDocument/2006/relationships/hyperlink" Target="https://pbs.twimg.com/media/EGcVXIcXYAAHkgM.jpg" TargetMode="External"/><Relationship Id="rId611" Type="http://schemas.openxmlformats.org/officeDocument/2006/relationships/hyperlink" Target="https://www.bbc.co.uk/news/world-middle-east-49983357" TargetMode="External"/><Relationship Id="rId1034" Type="http://schemas.openxmlformats.org/officeDocument/2006/relationships/hyperlink" Target="https://pbs.twimg.com/media/EGcQjLUW4AAk4xH.jpg" TargetMode="External"/><Relationship Id="rId1241" Type="http://schemas.openxmlformats.org/officeDocument/2006/relationships/hyperlink" Target="https://pbs.twimg.com/media/EGcOotHWsAEMsAY.jpg" TargetMode="External"/><Relationship Id="rId4397" Type="http://schemas.openxmlformats.org/officeDocument/2006/relationships/hyperlink" Target="https://pbs.twimg.com/media/EGbNMkNXoAArSKj.jpg" TargetMode="External"/><Relationship Id="rId1101" Type="http://schemas.openxmlformats.org/officeDocument/2006/relationships/hyperlink" Target="https://ankarahavadis.net/" TargetMode="External"/><Relationship Id="rId4257" Type="http://schemas.openxmlformats.org/officeDocument/2006/relationships/hyperlink" Target="https://pbs.twimg.com/media/EGbOyNwXYAAv2bX.jpg" TargetMode="External"/><Relationship Id="rId4464" Type="http://schemas.openxmlformats.org/officeDocument/2006/relationships/hyperlink" Target="https://pbs.twimg.com/media/EGbMXzDX0AcluBb.jpg" TargetMode="External"/><Relationship Id="rId3066" Type="http://schemas.openxmlformats.org/officeDocument/2006/relationships/hyperlink" Target="http://inzayn.com/" TargetMode="External"/><Relationship Id="rId3273" Type="http://schemas.openxmlformats.org/officeDocument/2006/relationships/hyperlink" Target="https://pbs.twimg.com/media/EGbcnHYWwAAlNqP.jpg" TargetMode="External"/><Relationship Id="rId3480" Type="http://schemas.openxmlformats.org/officeDocument/2006/relationships/hyperlink" Target="https://pbs.twimg.com/media/EGbZYOWWsAAW6cS.jpg" TargetMode="External"/><Relationship Id="rId4117" Type="http://schemas.openxmlformats.org/officeDocument/2006/relationships/hyperlink" Target="https://pbs.twimg.com/media/EGbQTyHW4AIXvmd.jpg" TargetMode="External"/><Relationship Id="rId4324" Type="http://schemas.openxmlformats.org/officeDocument/2006/relationships/hyperlink" Target="https://pbs.twimg.com/media/EGbOBHWXYAAkktp.jpg" TargetMode="External"/><Relationship Id="rId194" Type="http://schemas.openxmlformats.org/officeDocument/2006/relationships/hyperlink" Target="https://pbs.twimg.com/media/EGcXRT8WoAIlARI.jpg" TargetMode="External"/><Relationship Id="rId1918" Type="http://schemas.openxmlformats.org/officeDocument/2006/relationships/hyperlink" Target="http://ipsizmedya.com/" TargetMode="External"/><Relationship Id="rId2082" Type="http://schemas.openxmlformats.org/officeDocument/2006/relationships/hyperlink" Target="https://www.facebook.com/arslan.tugtegin" TargetMode="External"/><Relationship Id="rId3133" Type="http://schemas.openxmlformats.org/officeDocument/2006/relationships/hyperlink" Target="https://pbs.twimg.com/media/EGbfA1aWsAAtVAI.jpg" TargetMode="External"/><Relationship Id="rId261" Type="http://schemas.openxmlformats.org/officeDocument/2006/relationships/hyperlink" Target="https://pbs.twimg.com/media/EGcWtGMX0AIcnsb.jpg" TargetMode="External"/><Relationship Id="rId3340" Type="http://schemas.openxmlformats.org/officeDocument/2006/relationships/hyperlink" Target="https://instagram.com/mehmetiregur?utm_source=ig_profile_share&amp;igshid=877vtpn01yqw" TargetMode="External"/><Relationship Id="rId2899" Type="http://schemas.openxmlformats.org/officeDocument/2006/relationships/hyperlink" Target="https://pbs.twimg.com/media/EGbi9ISW4AA0MhR.jpg" TargetMode="External"/><Relationship Id="rId3200" Type="http://schemas.openxmlformats.org/officeDocument/2006/relationships/hyperlink" Target="https://pbs.twimg.com/media/EGbeF-4XYAA_TKk.jpg" TargetMode="External"/><Relationship Id="rId121" Type="http://schemas.openxmlformats.org/officeDocument/2006/relationships/hyperlink" Target="http://instagr.am/darkwebhaber" TargetMode="External"/><Relationship Id="rId2759" Type="http://schemas.openxmlformats.org/officeDocument/2006/relationships/hyperlink" Target="http://pic.twitter.com/C4DgvRs1x5" TargetMode="External"/><Relationship Id="rId2966" Type="http://schemas.openxmlformats.org/officeDocument/2006/relationships/hyperlink" Target="http://www.ozturklerinsaatsan.com/" TargetMode="External"/><Relationship Id="rId938" Type="http://schemas.openxmlformats.org/officeDocument/2006/relationships/hyperlink" Target="http://pic.twitter.com/ohLetetOjK" TargetMode="External"/><Relationship Id="rId1568" Type="http://schemas.openxmlformats.org/officeDocument/2006/relationships/hyperlink" Target="https://pbs.twimg.com/media/EGcMZLlXoAY9BAr.jpg" TargetMode="External"/><Relationship Id="rId1775" Type="http://schemas.openxmlformats.org/officeDocument/2006/relationships/hyperlink" Target="https://pbs.twimg.com/media/EGb-0ikWoAAxs4e.jpg" TargetMode="External"/><Relationship Id="rId2619" Type="http://schemas.openxmlformats.org/officeDocument/2006/relationships/hyperlink" Target="https://pbs.twimg.com/media/EGbpS99WwAAUrbp.jpg" TargetMode="External"/><Relationship Id="rId2826" Type="http://schemas.openxmlformats.org/officeDocument/2006/relationships/hyperlink" Target="https://pbs.twimg.com/media/EGbkP4FXUAEGfmH.jpg" TargetMode="External"/><Relationship Id="rId4181" Type="http://schemas.openxmlformats.org/officeDocument/2006/relationships/hyperlink" Target="https://pbs.twimg.com/media/EGbPg6lX0AA-Z9m.jpg" TargetMode="External"/><Relationship Id="rId67" Type="http://schemas.openxmlformats.org/officeDocument/2006/relationships/hyperlink" Target="https://pbs.twimg.com/media/EGcZ5BrWkAAgXna.jpg" TargetMode="External"/><Relationship Id="rId1428" Type="http://schemas.openxmlformats.org/officeDocument/2006/relationships/hyperlink" Target="http://instagram.com/" TargetMode="External"/><Relationship Id="rId1635" Type="http://schemas.openxmlformats.org/officeDocument/2006/relationships/hyperlink" Target="http://instagram.com/tarklc/" TargetMode="External"/><Relationship Id="rId1982" Type="http://schemas.openxmlformats.org/officeDocument/2006/relationships/hyperlink" Target="https://pbs.twimg.com/media/EGb5NYZW4AErDi0.jpg" TargetMode="External"/><Relationship Id="rId4041" Type="http://schemas.openxmlformats.org/officeDocument/2006/relationships/hyperlink" Target="http://instagram.com/Cnk.vrl" TargetMode="External"/><Relationship Id="rId1842" Type="http://schemas.openxmlformats.org/officeDocument/2006/relationships/hyperlink" Target="https://pbs.twimg.com/media/EGb81pjXUAAEe9J.jpg" TargetMode="External"/><Relationship Id="rId1702" Type="http://schemas.openxmlformats.org/officeDocument/2006/relationships/hyperlink" Target="https://twitter.com/rterdogan/status/1181924014157156357" TargetMode="External"/><Relationship Id="rId3667" Type="http://schemas.openxmlformats.org/officeDocument/2006/relationships/hyperlink" Target="http://www.ogrenciyesat.com/" TargetMode="External"/><Relationship Id="rId3874" Type="http://schemas.openxmlformats.org/officeDocument/2006/relationships/hyperlink" Target="https://twitter.com/ttahaber/status/1181849068064182278" TargetMode="External"/><Relationship Id="rId588" Type="http://schemas.openxmlformats.org/officeDocument/2006/relationships/hyperlink" Target="https://pbs.twimg.com/media/EGcTu7yW4AAdnTU.jpg" TargetMode="External"/><Relationship Id="rId795" Type="http://schemas.openxmlformats.org/officeDocument/2006/relationships/hyperlink" Target="https://www.bbc.co.uk/news/world-middle-east-49983357" TargetMode="External"/><Relationship Id="rId2269" Type="http://schemas.openxmlformats.org/officeDocument/2006/relationships/hyperlink" Target="https://curiouscat.me/Yoggum7?t=1568561750" TargetMode="External"/><Relationship Id="rId2476" Type="http://schemas.openxmlformats.org/officeDocument/2006/relationships/hyperlink" Target="https://pbs.twimg.com/media/EGbsoz6XUAArVD0.jpg" TargetMode="External"/><Relationship Id="rId2683" Type="http://schemas.openxmlformats.org/officeDocument/2006/relationships/hyperlink" Target="https://pbs.twimg.com/media/EGbnxywXUAAFYC-.jpg" TargetMode="External"/><Relationship Id="rId2890" Type="http://schemas.openxmlformats.org/officeDocument/2006/relationships/hyperlink" Target="https://twitter.com/TheLaikYobaz/status/1181637727068069888" TargetMode="External"/><Relationship Id="rId3527" Type="http://schemas.openxmlformats.org/officeDocument/2006/relationships/hyperlink" Target="https://pbs.twimg.com/media/EGbYkZuX0AAgUFz.jpg" TargetMode="External"/><Relationship Id="rId3734" Type="http://schemas.openxmlformats.org/officeDocument/2006/relationships/hyperlink" Target="http://instagram.com/hdpkkteroru8" TargetMode="External"/><Relationship Id="rId3941" Type="http://schemas.openxmlformats.org/officeDocument/2006/relationships/hyperlink" Target="https://pbs.twimg.com/media/EGbS7NCWoAArc9G.jpg" TargetMode="External"/><Relationship Id="rId448" Type="http://schemas.openxmlformats.org/officeDocument/2006/relationships/hyperlink" Target="https://pbs.twimg.com/media/EGcU5hpWsAELaHU.jpg" TargetMode="External"/><Relationship Id="rId655" Type="http://schemas.openxmlformats.org/officeDocument/2006/relationships/hyperlink" Target="https://www.ortadogugazetesi.com/" TargetMode="External"/><Relationship Id="rId862" Type="http://schemas.openxmlformats.org/officeDocument/2006/relationships/hyperlink" Target="https://pbs.twimg.com/media/EGcR17rXUAAkSgh.jpg" TargetMode="External"/><Relationship Id="rId1078" Type="http://schemas.openxmlformats.org/officeDocument/2006/relationships/hyperlink" Target="http://pic.twitter.com/xxwnFn3nRg" TargetMode="External"/><Relationship Id="rId1285" Type="http://schemas.openxmlformats.org/officeDocument/2006/relationships/hyperlink" Target="https://pbs.twimg.com/media/EGcOLKyW4AABxiC.png" TargetMode="External"/><Relationship Id="rId1492" Type="http://schemas.openxmlformats.org/officeDocument/2006/relationships/hyperlink" Target="https://pbs.twimg.com/media/EGcMxDXW4AUEVbv.jpg" TargetMode="External"/><Relationship Id="rId2129" Type="http://schemas.openxmlformats.org/officeDocument/2006/relationships/hyperlink" Target="https://pbs.twimg.com/media/EGb1y_hW4AAz9v_.jpg" TargetMode="External"/><Relationship Id="rId2336" Type="http://schemas.openxmlformats.org/officeDocument/2006/relationships/hyperlink" Target="https://www.instagram.com/omeragdogan" TargetMode="External"/><Relationship Id="rId2543" Type="http://schemas.openxmlformats.org/officeDocument/2006/relationships/hyperlink" Target="https://pbs.twimg.com/media/D2Kweg8WoAAJ1cS.jpg" TargetMode="External"/><Relationship Id="rId2750" Type="http://schemas.openxmlformats.org/officeDocument/2006/relationships/hyperlink" Target="https://pbs.twimg.com/media/EGbmFBaXUAEeJOO.jpg" TargetMode="External"/><Relationship Id="rId3801" Type="http://schemas.openxmlformats.org/officeDocument/2006/relationships/hyperlink" Target="https://pbs.twimg.com/media/EGbUoMZWoAAOMLE.jpg" TargetMode="External"/><Relationship Id="rId308" Type="http://schemas.openxmlformats.org/officeDocument/2006/relationships/hyperlink" Target="https://www.instagram.com/salih.saribass/" TargetMode="External"/><Relationship Id="rId515" Type="http://schemas.openxmlformats.org/officeDocument/2006/relationships/hyperlink" Target="https://pbs.twimg.com/media/EGcUWF4WoAA_S1a.jpg" TargetMode="External"/><Relationship Id="rId722" Type="http://schemas.openxmlformats.org/officeDocument/2006/relationships/hyperlink" Target="http://pic.twitter.com/SjKbc9MFvD" TargetMode="External"/><Relationship Id="rId1145" Type="http://schemas.openxmlformats.org/officeDocument/2006/relationships/hyperlink" Target="https://pbs.twimg.com/media/EGcPk_6XkAAIW0d.jpg" TargetMode="External"/><Relationship Id="rId1352" Type="http://schemas.openxmlformats.org/officeDocument/2006/relationships/hyperlink" Target="https://pbs.twimg.com/media/EGcNkIAWsAEXUd7.jpg" TargetMode="External"/><Relationship Id="rId2403" Type="http://schemas.openxmlformats.org/officeDocument/2006/relationships/hyperlink" Target="http://ahmetaligok.wordpress.com/" TargetMode="External"/><Relationship Id="rId1005" Type="http://schemas.openxmlformats.org/officeDocument/2006/relationships/hyperlink" Target="https://pbs.twimg.com/media/EGcQvR_XoAEUL74.jpg" TargetMode="External"/><Relationship Id="rId1212" Type="http://schemas.openxmlformats.org/officeDocument/2006/relationships/hyperlink" Target="https://pbs.twimg.com/media/EGcO68vWoAEPR5q.jpg" TargetMode="External"/><Relationship Id="rId2610" Type="http://schemas.openxmlformats.org/officeDocument/2006/relationships/hyperlink" Target="http://havais.org.tr/" TargetMode="External"/><Relationship Id="rId4368" Type="http://schemas.openxmlformats.org/officeDocument/2006/relationships/hyperlink" Target="https://pbs.twimg.com/media/EGbNmI0XUAAVrAL.jpg" TargetMode="External"/><Relationship Id="rId3177" Type="http://schemas.openxmlformats.org/officeDocument/2006/relationships/hyperlink" Target="http://pic.twitter.com/roUTnitv0C" TargetMode="External"/><Relationship Id="rId4228" Type="http://schemas.openxmlformats.org/officeDocument/2006/relationships/hyperlink" Target="https://pbs.twimg.com/media/EGbPG7-XYAEtNXn.jpg" TargetMode="External"/><Relationship Id="rId3037" Type="http://schemas.openxmlformats.org/officeDocument/2006/relationships/hyperlink" Target="https://pbs.twimg.com/media/EGbgs3pXkAAc5Tw.jpg" TargetMode="External"/><Relationship Id="rId3384" Type="http://schemas.openxmlformats.org/officeDocument/2006/relationships/hyperlink" Target="https://pbs.twimg.com/media/EGa3LWnXUAUeXp2.jpg" TargetMode="External"/><Relationship Id="rId3591" Type="http://schemas.openxmlformats.org/officeDocument/2006/relationships/hyperlink" Target="https://tarihereelbak.blogspot.com.tr/" TargetMode="External"/><Relationship Id="rId4435" Type="http://schemas.openxmlformats.org/officeDocument/2006/relationships/hyperlink" Target="http://www.openwaterturkey.com/" TargetMode="External"/><Relationship Id="rId2193" Type="http://schemas.openxmlformats.org/officeDocument/2006/relationships/hyperlink" Target="https://pbs.twimg.com/media/EGb0FcpWkAAY07f.jpg" TargetMode="External"/><Relationship Id="rId3244" Type="http://schemas.openxmlformats.org/officeDocument/2006/relationships/hyperlink" Target="http://pic.twitter.com/iyD9AR9bCZ" TargetMode="External"/><Relationship Id="rId3451" Type="http://schemas.openxmlformats.org/officeDocument/2006/relationships/hyperlink" Target="http://www.noktabursa.com.tr/" TargetMode="External"/><Relationship Id="rId4502" Type="http://schemas.openxmlformats.org/officeDocument/2006/relationships/hyperlink" Target="https://pbs.twimg.com/media/EGbL7R_WwAAx_C3.jpg" TargetMode="External"/><Relationship Id="rId165" Type="http://schemas.openxmlformats.org/officeDocument/2006/relationships/hyperlink" Target="https://pbs.twimg.com/media/EGcXuMEWsAE2Y3X.jpg" TargetMode="External"/><Relationship Id="rId372" Type="http://schemas.openxmlformats.org/officeDocument/2006/relationships/hyperlink" Target="https://pbs.twimg.com/media/EGcVs1_XUAQLV1c.jpg" TargetMode="External"/><Relationship Id="rId2053" Type="http://schemas.openxmlformats.org/officeDocument/2006/relationships/hyperlink" Target="http://pic.twitter.com/96fgMB7qOJ" TargetMode="External"/><Relationship Id="rId2260" Type="http://schemas.openxmlformats.org/officeDocument/2006/relationships/hyperlink" Target="https://pbs.twimg.com/media/EGbylrwX0AAm_bI.jpg" TargetMode="External"/><Relationship Id="rId3104" Type="http://schemas.openxmlformats.org/officeDocument/2006/relationships/hyperlink" Target="https://pbs.twimg.com/media/EGbfXzGWsAA-GAp.jpg" TargetMode="External"/><Relationship Id="rId3311" Type="http://schemas.openxmlformats.org/officeDocument/2006/relationships/hyperlink" Target="http://pic.twitter.com/pLHcBpaug5" TargetMode="External"/><Relationship Id="rId232" Type="http://schemas.openxmlformats.org/officeDocument/2006/relationships/hyperlink" Target="https://pbs.twimg.com/media/EGcW9uQWsAAwYWR.jpg" TargetMode="External"/><Relationship Id="rId2120" Type="http://schemas.openxmlformats.org/officeDocument/2006/relationships/hyperlink" Target="http://pic.twitter.com/5TAieTRgoe" TargetMode="External"/><Relationship Id="rId1679" Type="http://schemas.openxmlformats.org/officeDocument/2006/relationships/hyperlink" Target="https://twitter.com/cephevatan/status/1177690663124717569" TargetMode="External"/><Relationship Id="rId4085" Type="http://schemas.openxmlformats.org/officeDocument/2006/relationships/hyperlink" Target="http://instagram.com/orhan97_/?hl=tr" TargetMode="External"/><Relationship Id="rId4292" Type="http://schemas.openxmlformats.org/officeDocument/2006/relationships/hyperlink" Target="https://pbs.twimg.com/media/EGbOW7pWsAAoXep.jpg" TargetMode="External"/><Relationship Id="rId1886" Type="http://schemas.openxmlformats.org/officeDocument/2006/relationships/hyperlink" Target="https://pbs.twimg.com/media/EGb7nUBWsAAIzlR.png" TargetMode="External"/><Relationship Id="rId2937" Type="http://schemas.openxmlformats.org/officeDocument/2006/relationships/hyperlink" Target="http://pic.twitter.com/OZcLcmwE1I" TargetMode="External"/><Relationship Id="rId4152" Type="http://schemas.openxmlformats.org/officeDocument/2006/relationships/hyperlink" Target="https://instagram.com/muhammedbzkir" TargetMode="External"/><Relationship Id="rId909" Type="http://schemas.openxmlformats.org/officeDocument/2006/relationships/hyperlink" Target="https://pbs.twimg.com/media/EGcRghmWwAMip9k.jpg" TargetMode="External"/><Relationship Id="rId1539" Type="http://schemas.openxmlformats.org/officeDocument/2006/relationships/hyperlink" Target="http://instagram.com/mecpr38" TargetMode="External"/><Relationship Id="rId1746" Type="http://schemas.openxmlformats.org/officeDocument/2006/relationships/hyperlink" Target="https://pbs.twimg.com/media/EGb_hvxXoAEpMlB.jpg" TargetMode="External"/><Relationship Id="rId1953" Type="http://schemas.openxmlformats.org/officeDocument/2006/relationships/hyperlink" Target="https://pbs.twimg.com/media/EGb5w0tW4AITJ9q.jpg" TargetMode="External"/><Relationship Id="rId38" Type="http://schemas.openxmlformats.org/officeDocument/2006/relationships/hyperlink" Target="https://pbs.twimg.com/media/EGcaijZX0AAfFWt.jpg" TargetMode="External"/><Relationship Id="rId1606" Type="http://schemas.openxmlformats.org/officeDocument/2006/relationships/hyperlink" Target="https://pbs.twimg.com/media/EGcMRSuXYAE0pq_.jpg" TargetMode="External"/><Relationship Id="rId1813" Type="http://schemas.openxmlformats.org/officeDocument/2006/relationships/hyperlink" Target="https://pbs.twimg.com/media/EGb9wLwXkAECmLw.jpg" TargetMode="External"/><Relationship Id="rId4012" Type="http://schemas.openxmlformats.org/officeDocument/2006/relationships/hyperlink" Target="https://pbs.twimg.com/media/EGbR2xZXYAA36bN.jpg" TargetMode="External"/><Relationship Id="rId3778" Type="http://schemas.openxmlformats.org/officeDocument/2006/relationships/hyperlink" Target="https://pbs.twimg.com/media/EGbU7imX0AEqE5Y.jpg" TargetMode="External"/><Relationship Id="rId3985" Type="http://schemas.openxmlformats.org/officeDocument/2006/relationships/hyperlink" Target="https://pbs.twimg.com/media/EGbSLJ1WoAI5w9s.jpg" TargetMode="External"/><Relationship Id="rId699" Type="http://schemas.openxmlformats.org/officeDocument/2006/relationships/hyperlink" Target="https://pbs.twimg.com/media/EGcS-IGXYAMS5XB.jpg" TargetMode="External"/><Relationship Id="rId2587" Type="http://schemas.openxmlformats.org/officeDocument/2006/relationships/hyperlink" Target="http://pic.twitter.com/iyD9AR9bCZ" TargetMode="External"/><Relationship Id="rId2794" Type="http://schemas.openxmlformats.org/officeDocument/2006/relationships/hyperlink" Target="https://pbs.twimg.com/media/EGbkyf5XkAAjOx4.jpg" TargetMode="External"/><Relationship Id="rId3638" Type="http://schemas.openxmlformats.org/officeDocument/2006/relationships/hyperlink" Target="http://pic.twitter.com/9KwC6LnDr9" TargetMode="External"/><Relationship Id="rId3845" Type="http://schemas.openxmlformats.org/officeDocument/2006/relationships/hyperlink" Target="https://www.instagram.com/alp_arslan17" TargetMode="External"/><Relationship Id="rId559" Type="http://schemas.openxmlformats.org/officeDocument/2006/relationships/hyperlink" Target="http://www.facebook.de/tgbkoeln" TargetMode="External"/><Relationship Id="rId766" Type="http://schemas.openxmlformats.org/officeDocument/2006/relationships/hyperlink" Target="https://pbs.twimg.com/media/EGcSfO4WoAA2BGi.jpg" TargetMode="External"/><Relationship Id="rId1189" Type="http://schemas.openxmlformats.org/officeDocument/2006/relationships/hyperlink" Target="http://bihavadis.com/" TargetMode="External"/><Relationship Id="rId1396" Type="http://schemas.openxmlformats.org/officeDocument/2006/relationships/hyperlink" Target="https://pbs.twimg.com/media/EGcNWdeXYAEx7xs.jpg" TargetMode="External"/><Relationship Id="rId2447" Type="http://schemas.openxmlformats.org/officeDocument/2006/relationships/hyperlink" Target="https://pbs.twimg.com/media/EGbth3JWsAUnU5R.jpg" TargetMode="External"/><Relationship Id="rId419" Type="http://schemas.openxmlformats.org/officeDocument/2006/relationships/hyperlink" Target="https://pbs.twimg.com/media/EGcVJAKXYAAYjdI.jpg" TargetMode="External"/><Relationship Id="rId626" Type="http://schemas.openxmlformats.org/officeDocument/2006/relationships/hyperlink" Target="https://www.guney24.com/haber/sanatci-ve-yazarlardan-operasyona-tepki/" TargetMode="External"/><Relationship Id="rId973" Type="http://schemas.openxmlformats.org/officeDocument/2006/relationships/hyperlink" Target="https://pbs.twimg.com/media/EGcRBPvXUAAByhr.jpg" TargetMode="External"/><Relationship Id="rId1049" Type="http://schemas.openxmlformats.org/officeDocument/2006/relationships/hyperlink" Target="https://pbs.twimg.com/media/EGcQdRBWkAAKIup.jpg" TargetMode="External"/><Relationship Id="rId1256" Type="http://schemas.openxmlformats.org/officeDocument/2006/relationships/hyperlink" Target="https://twitter.com/Ebsofuoglu/status/1181928531217063936" TargetMode="External"/><Relationship Id="rId2307" Type="http://schemas.openxmlformats.org/officeDocument/2006/relationships/hyperlink" Target="https://twitter.com/ameddicleT/status/1181888468684808192" TargetMode="External"/><Relationship Id="rId2654" Type="http://schemas.openxmlformats.org/officeDocument/2006/relationships/hyperlink" Target="https://pbs.twimg.com/media/EGboNcmWsAAYVD7.jpg" TargetMode="External"/><Relationship Id="rId2861" Type="http://schemas.openxmlformats.org/officeDocument/2006/relationships/hyperlink" Target="https://pbs.twimg.com/media/EGbjmFYWoAEnb81.jpg" TargetMode="External"/><Relationship Id="rId3705" Type="http://schemas.openxmlformats.org/officeDocument/2006/relationships/hyperlink" Target="http://pic.twitter.com/StErGvXs0B" TargetMode="External"/><Relationship Id="rId3912" Type="http://schemas.openxmlformats.org/officeDocument/2006/relationships/hyperlink" Target="https://instagram.com/prohiberre" TargetMode="External"/><Relationship Id="rId833" Type="http://schemas.openxmlformats.org/officeDocument/2006/relationships/hyperlink" Target="http://www.sile.bel.tr/" TargetMode="External"/><Relationship Id="rId1116" Type="http://schemas.openxmlformats.org/officeDocument/2006/relationships/hyperlink" Target="https://pbs.twimg.com/media/EGcP4O_WsAEroSW.jpg" TargetMode="External"/><Relationship Id="rId1463" Type="http://schemas.openxmlformats.org/officeDocument/2006/relationships/hyperlink" Target="http://mhp.org.tr/" TargetMode="External"/><Relationship Id="rId1670" Type="http://schemas.openxmlformats.org/officeDocument/2006/relationships/hyperlink" Target="http://instagram.com/k_hancerrr" TargetMode="External"/><Relationship Id="rId2514" Type="http://schemas.openxmlformats.org/officeDocument/2006/relationships/hyperlink" Target="https://pbs.twimg.com/media/EGbr3XHWsAE8bvl.jpg" TargetMode="External"/><Relationship Id="rId2721" Type="http://schemas.openxmlformats.org/officeDocument/2006/relationships/hyperlink" Target="https://www.youtube.com/playlist?list=PLYWQ5A94953bbWezi-0tAMoyZGc1O68Ux&amp;di" TargetMode="External"/><Relationship Id="rId900" Type="http://schemas.openxmlformats.org/officeDocument/2006/relationships/hyperlink" Target="http://pic.twitter.com/nB0T5xZvoV" TargetMode="External"/><Relationship Id="rId1323" Type="http://schemas.openxmlformats.org/officeDocument/2006/relationships/hyperlink" Target="https://www.instagram.com/ferhat_turan61/" TargetMode="External"/><Relationship Id="rId1530" Type="http://schemas.openxmlformats.org/officeDocument/2006/relationships/hyperlink" Target="http://sosyalmanset.com/" TargetMode="External"/><Relationship Id="rId4479" Type="http://schemas.openxmlformats.org/officeDocument/2006/relationships/hyperlink" Target="https://yabancifilmonerilerim.blogspot.com/2019/09/seksizm-film-listesi.html" TargetMode="External"/><Relationship Id="rId3288" Type="http://schemas.openxmlformats.org/officeDocument/2006/relationships/hyperlink" Target="http://forum.ozelkuvvetler.net/" TargetMode="External"/><Relationship Id="rId3495" Type="http://schemas.openxmlformats.org/officeDocument/2006/relationships/hyperlink" Target="http://www.minvalnews.com/2019/10/08/ara-tatillerde-ek-ders-ucreti-alinacak-mi/" TargetMode="External"/><Relationship Id="rId4339" Type="http://schemas.openxmlformats.org/officeDocument/2006/relationships/hyperlink" Target="https://pbs.twimg.com/media/EGbN2W-XYAEeCCM.jpg" TargetMode="External"/><Relationship Id="rId2097" Type="http://schemas.openxmlformats.org/officeDocument/2006/relationships/hyperlink" Target="http://www.durushaber.com.tr/" TargetMode="External"/><Relationship Id="rId3148" Type="http://schemas.openxmlformats.org/officeDocument/2006/relationships/hyperlink" Target="https://pbs.twimg.com/media/EGbetaIXUAAAD6h.jpg" TargetMode="External"/><Relationship Id="rId3355" Type="http://schemas.openxmlformats.org/officeDocument/2006/relationships/hyperlink" Target="https://pbs.twimg.com/media/EGbbRcEW4AEGWX6.jpg" TargetMode="External"/><Relationship Id="rId3562" Type="http://schemas.openxmlformats.org/officeDocument/2006/relationships/hyperlink" Target="http://instagram.com/ttagrup" TargetMode="External"/><Relationship Id="rId4406" Type="http://schemas.openxmlformats.org/officeDocument/2006/relationships/hyperlink" Target="http://pic.twitter.com/SuaQla8DC1" TargetMode="External"/><Relationship Id="rId276" Type="http://schemas.openxmlformats.org/officeDocument/2006/relationships/hyperlink" Target="http://instagram.com/suatbsky" TargetMode="External"/><Relationship Id="rId483" Type="http://schemas.openxmlformats.org/officeDocument/2006/relationships/hyperlink" Target="https://pbs.twimg.com/media/EGcUoobWwAAcjvF.jpg" TargetMode="External"/><Relationship Id="rId690" Type="http://schemas.openxmlformats.org/officeDocument/2006/relationships/hyperlink" Target="http://pic.twitter.com/rHXoRoF20X" TargetMode="External"/><Relationship Id="rId2164" Type="http://schemas.openxmlformats.org/officeDocument/2006/relationships/hyperlink" Target="https://pbs.twimg.com/media/EGb03TPXYAM0LKN.jpg" TargetMode="External"/><Relationship Id="rId2371" Type="http://schemas.openxmlformats.org/officeDocument/2006/relationships/hyperlink" Target="https://facebook.com/profile.php?id=100003209052221" TargetMode="External"/><Relationship Id="rId3008" Type="http://schemas.openxmlformats.org/officeDocument/2006/relationships/hyperlink" Target="http://pic.twitter.com/Ojj1EImHlY" TargetMode="External"/><Relationship Id="rId3215" Type="http://schemas.openxmlformats.org/officeDocument/2006/relationships/hyperlink" Target="https://pbs.twimg.com/media/EGbdrGyWsAEnLeq.jpg" TargetMode="External"/><Relationship Id="rId3422" Type="http://schemas.openxmlformats.org/officeDocument/2006/relationships/hyperlink" Target="https://pbs.twimg.com/media/D6CD3nkW0AAoFq2.jpg" TargetMode="External"/><Relationship Id="rId136" Type="http://schemas.openxmlformats.org/officeDocument/2006/relationships/hyperlink" Target="http://pic.twitter.com/c2JYajaGsY" TargetMode="External"/><Relationship Id="rId343" Type="http://schemas.openxmlformats.org/officeDocument/2006/relationships/hyperlink" Target="https://www.haberturk.com/son-dakika-cumhurbaskani-erdogan-dan-harekat-aciklamasi-2529427" TargetMode="External"/><Relationship Id="rId550" Type="http://schemas.openxmlformats.org/officeDocument/2006/relationships/hyperlink" Target="https://pbs.twimg.com/media/EGcUB1pXUAEaSgF.png" TargetMode="External"/><Relationship Id="rId1180" Type="http://schemas.openxmlformats.org/officeDocument/2006/relationships/hyperlink" Target="https://twitter.com/TSKGnkur/status/1181566115996196865" TargetMode="External"/><Relationship Id="rId2024" Type="http://schemas.openxmlformats.org/officeDocument/2006/relationships/hyperlink" Target="https://youtu.be/7UXIiGLKT0Q" TargetMode="External"/><Relationship Id="rId2231" Type="http://schemas.openxmlformats.org/officeDocument/2006/relationships/hyperlink" Target="http://instagram.com/asmtgvnn" TargetMode="External"/><Relationship Id="rId203" Type="http://schemas.openxmlformats.org/officeDocument/2006/relationships/hyperlink" Target="https://pbs.twimg.com/media/EGcXNArWkAA9hMV.jpg" TargetMode="External"/><Relationship Id="rId1040" Type="http://schemas.openxmlformats.org/officeDocument/2006/relationships/hyperlink" Target="https://pbs.twimg.com/media/EGcQfstW4AAD9Ot.jpg" TargetMode="External"/><Relationship Id="rId4196" Type="http://schemas.openxmlformats.org/officeDocument/2006/relationships/hyperlink" Target="https://www.yenidevir.com.tr/" TargetMode="External"/><Relationship Id="rId410" Type="http://schemas.openxmlformats.org/officeDocument/2006/relationships/hyperlink" Target="https://pbs.twimg.com/media/EGcVTI7XoAUxGQ4.jpg" TargetMode="External"/><Relationship Id="rId1997" Type="http://schemas.openxmlformats.org/officeDocument/2006/relationships/hyperlink" Target="https://pbs.twimg.com/media/EGb4yUkW4AAI9x9.jpg" TargetMode="External"/><Relationship Id="rId4056" Type="http://schemas.openxmlformats.org/officeDocument/2006/relationships/hyperlink" Target="http://pic.twitter.com/A0PJLxFDul" TargetMode="External"/><Relationship Id="rId1857" Type="http://schemas.openxmlformats.org/officeDocument/2006/relationships/hyperlink" Target="https://pbs.twimg.com/media/D5bbQyqWkAE8fn_.jpg" TargetMode="External"/><Relationship Id="rId2908" Type="http://schemas.openxmlformats.org/officeDocument/2006/relationships/hyperlink" Target="https://pbs.twimg.com/media/EGbiylLXoAAAkex.jpg" TargetMode="External"/><Relationship Id="rId4263" Type="http://schemas.openxmlformats.org/officeDocument/2006/relationships/hyperlink" Target="https://pbs.twimg.com/media/EGbOqvtWsAAhvc6.jpg" TargetMode="External"/><Relationship Id="rId4470" Type="http://schemas.openxmlformats.org/officeDocument/2006/relationships/hyperlink" Target="https://pbs.twimg.com/media/EGbMUehXoAAzcFh.jpg" TargetMode="External"/><Relationship Id="rId1717" Type="http://schemas.openxmlformats.org/officeDocument/2006/relationships/hyperlink" Target="https://twitter.com/hdpdemirtas/status/559790305294430210" TargetMode="External"/><Relationship Id="rId1924" Type="http://schemas.openxmlformats.org/officeDocument/2006/relationships/hyperlink" Target="http://www.metinkarakaya.com/" TargetMode="External"/><Relationship Id="rId3072" Type="http://schemas.openxmlformats.org/officeDocument/2006/relationships/hyperlink" Target="https://pbs.twimg.com/media/EGbf8aKWoAA-5mE.jpg" TargetMode="External"/><Relationship Id="rId4123" Type="http://schemas.openxmlformats.org/officeDocument/2006/relationships/hyperlink" Target="https://pbs.twimg.com/media/EGXWAtSX0AAs3MJ.jpg" TargetMode="External"/><Relationship Id="rId4330" Type="http://schemas.openxmlformats.org/officeDocument/2006/relationships/hyperlink" Target="https://pbs.twimg.com/media/EGbN8ygW4AEFtmg.jpg" TargetMode="External"/><Relationship Id="rId3889" Type="http://schemas.openxmlformats.org/officeDocument/2006/relationships/hyperlink" Target="http://kanalfinans.com/" TargetMode="External"/><Relationship Id="rId2698" Type="http://schemas.openxmlformats.org/officeDocument/2006/relationships/hyperlink" Target="https://pbs.twimg.com/media/EGbnVzyWsAA2xmw.jpg" TargetMode="External"/><Relationship Id="rId3749" Type="http://schemas.openxmlformats.org/officeDocument/2006/relationships/hyperlink" Target="https://twitter.com/ttagrup/status/1181829264490029056" TargetMode="External"/><Relationship Id="rId3956" Type="http://schemas.openxmlformats.org/officeDocument/2006/relationships/hyperlink" Target="https://pbs.twimg.com/media/EGbSt7sXoAACNmh.jpg" TargetMode="External"/><Relationship Id="rId877" Type="http://schemas.openxmlformats.org/officeDocument/2006/relationships/hyperlink" Target="https://pbs.twimg.com/media/EGcRxiYXoAAKiCY.jpg" TargetMode="External"/><Relationship Id="rId2558" Type="http://schemas.openxmlformats.org/officeDocument/2006/relationships/hyperlink" Target="https://pbs.twimg.com/media/EGbqd_cWkAA5FJT.jpg" TargetMode="External"/><Relationship Id="rId2765" Type="http://schemas.openxmlformats.org/officeDocument/2006/relationships/hyperlink" Target="https://pbs.twimg.com/media/EGblpyGW4AAJzCc.jpg" TargetMode="External"/><Relationship Id="rId2972" Type="http://schemas.openxmlformats.org/officeDocument/2006/relationships/hyperlink" Target="https://pbs.twimg.com/media/EGbh1bTWwAIb4Bl.jpg" TargetMode="External"/><Relationship Id="rId3609" Type="http://schemas.openxmlformats.org/officeDocument/2006/relationships/hyperlink" Target="http://www.cukurovabarisgazetesi.net/mobil/koseyazisi.php?id=3992" TargetMode="External"/><Relationship Id="rId3816" Type="http://schemas.openxmlformats.org/officeDocument/2006/relationships/hyperlink" Target="https://pbs.twimg.com/media/EGbUcdsX0AAlkD7.jpg" TargetMode="External"/><Relationship Id="rId737" Type="http://schemas.openxmlformats.org/officeDocument/2006/relationships/hyperlink" Target="https://pbs.twimg.com/media/EGcSo6BW4AAxH1N.jpg" TargetMode="External"/><Relationship Id="rId944" Type="http://schemas.openxmlformats.org/officeDocument/2006/relationships/hyperlink" Target="http://www.redo-t.com/" TargetMode="External"/><Relationship Id="rId1367" Type="http://schemas.openxmlformats.org/officeDocument/2006/relationships/hyperlink" Target="http://pic.twitter.com/ckyuNTaMnp" TargetMode="External"/><Relationship Id="rId1574" Type="http://schemas.openxmlformats.org/officeDocument/2006/relationships/hyperlink" Target="http://www.yasamgazetesi.com.tr/" TargetMode="External"/><Relationship Id="rId1781" Type="http://schemas.openxmlformats.org/officeDocument/2006/relationships/hyperlink" Target="https://pbs.twimg.com/media/EGb-mo1XoAEheJX.jpg" TargetMode="External"/><Relationship Id="rId2418" Type="http://schemas.openxmlformats.org/officeDocument/2006/relationships/hyperlink" Target="https://pbs.twimg.com/media/EGbuBz-X0AI6paY.png" TargetMode="External"/><Relationship Id="rId2625" Type="http://schemas.openxmlformats.org/officeDocument/2006/relationships/hyperlink" Target="https://pbs.twimg.com/media/EGbpElOWoAQUNgt.jpg" TargetMode="External"/><Relationship Id="rId2832" Type="http://schemas.openxmlformats.org/officeDocument/2006/relationships/hyperlink" Target="https://twitter.com/kitapcumlelerii/status/1181256458610118659" TargetMode="External"/><Relationship Id="rId73" Type="http://schemas.openxmlformats.org/officeDocument/2006/relationships/hyperlink" Target="https://pbs.twimg.com/media/EGcZuAHWwAACISM.jpg" TargetMode="External"/><Relationship Id="rId804" Type="http://schemas.openxmlformats.org/officeDocument/2006/relationships/hyperlink" Target="https://instagram.com/hzlkadraj" TargetMode="External"/><Relationship Id="rId1227" Type="http://schemas.openxmlformats.org/officeDocument/2006/relationships/hyperlink" Target="http://www.sehitkamil.bel.tr/" TargetMode="External"/><Relationship Id="rId1434" Type="http://schemas.openxmlformats.org/officeDocument/2006/relationships/hyperlink" Target="https://pbs.twimg.com/media/EGcNDaDXkAEPkob.jpg" TargetMode="External"/><Relationship Id="rId1641" Type="http://schemas.openxmlformats.org/officeDocument/2006/relationships/hyperlink" Target="http://instagram.com/bumuhamet" TargetMode="External"/><Relationship Id="rId1501" Type="http://schemas.openxmlformats.org/officeDocument/2006/relationships/hyperlink" Target="https://pbs.twimg.com/media/EGcMvWHXkAAHwq1.jpg" TargetMode="External"/><Relationship Id="rId3399" Type="http://schemas.openxmlformats.org/officeDocument/2006/relationships/hyperlink" Target="https://pbs.twimg.com/media/EGbajcRW4AArY6Q.jpg" TargetMode="External"/><Relationship Id="rId3259" Type="http://schemas.openxmlformats.org/officeDocument/2006/relationships/hyperlink" Target="https://pbs.twimg.com/media/EGbdATRXkAAhwoU.jpg" TargetMode="External"/><Relationship Id="rId3466" Type="http://schemas.openxmlformats.org/officeDocument/2006/relationships/hyperlink" Target="http://pic.twitter.com/ZfZUPZ60ic" TargetMode="External"/><Relationship Id="rId4517" Type="http://schemas.openxmlformats.org/officeDocument/2006/relationships/hyperlink" Target="https://pbs.twimg.com/media/EGbLxVFWwAAiS4d.jpg" TargetMode="External"/><Relationship Id="rId387" Type="http://schemas.openxmlformats.org/officeDocument/2006/relationships/hyperlink" Target="https://pbs.twimg.com/media/EGcVhAtWsAUpwJW.jpg" TargetMode="External"/><Relationship Id="rId594" Type="http://schemas.openxmlformats.org/officeDocument/2006/relationships/hyperlink" Target="https://pbs.twimg.com/media/EGcTpbPXkAA5kyT.jpg" TargetMode="External"/><Relationship Id="rId2068" Type="http://schemas.openxmlformats.org/officeDocument/2006/relationships/hyperlink" Target="https://pbs.twimg.com/media/EGb3Zh-XkAAiBCI.jpg" TargetMode="External"/><Relationship Id="rId2275" Type="http://schemas.openxmlformats.org/officeDocument/2006/relationships/hyperlink" Target="https://pbs.twimg.com/media/EGbyGc4WoAkGkqw.jpg" TargetMode="External"/><Relationship Id="rId3119" Type="http://schemas.openxmlformats.org/officeDocument/2006/relationships/hyperlink" Target="http://instagram.com/kadirdgnnn" TargetMode="External"/><Relationship Id="rId3326" Type="http://schemas.openxmlformats.org/officeDocument/2006/relationships/hyperlink" Target="https://twitter.com/blt0155/status/1181863536202530817" TargetMode="External"/><Relationship Id="rId3673" Type="http://schemas.openxmlformats.org/officeDocument/2006/relationships/hyperlink" Target="http://instagram.com/huseyinbas_" TargetMode="External"/><Relationship Id="rId3880" Type="http://schemas.openxmlformats.org/officeDocument/2006/relationships/hyperlink" Target="https://pbs.twimg.com/media/EGbTvxPXUAAVD4v.jpg" TargetMode="External"/><Relationship Id="rId247" Type="http://schemas.openxmlformats.org/officeDocument/2006/relationships/hyperlink" Target="http://pic.twitter.com/LjZPjhEd0e" TargetMode="External"/><Relationship Id="rId1084" Type="http://schemas.openxmlformats.org/officeDocument/2006/relationships/hyperlink" Target="https://pbs.twimg.com/media/EGcQIbGXoAUotnC.jpg" TargetMode="External"/><Relationship Id="rId2482" Type="http://schemas.openxmlformats.org/officeDocument/2006/relationships/hyperlink" Target="https://pbs.twimg.com/media/EGVKO1wWsAEgq8H.jpg" TargetMode="External"/><Relationship Id="rId3533" Type="http://schemas.openxmlformats.org/officeDocument/2006/relationships/hyperlink" Target="https://pbs.twimg.com/media/EGbYiizXkAAoeMr.jpg" TargetMode="External"/><Relationship Id="rId3740" Type="http://schemas.openxmlformats.org/officeDocument/2006/relationships/hyperlink" Target="https://pbs.twimg.com/media/EGbVZp0WkAA-jNr.jpg" TargetMode="External"/><Relationship Id="rId107" Type="http://schemas.openxmlformats.org/officeDocument/2006/relationships/hyperlink" Target="https://www.pscp.tv/w/cG3nBjQxODEyNzd8MU1ZR05QTkFFWnZ4dyw5yz1vwObSL96j6fCM_ngwaUXxjf3ohks3kFJNwnUH" TargetMode="External"/><Relationship Id="rId454" Type="http://schemas.openxmlformats.org/officeDocument/2006/relationships/hyperlink" Target="https://pbs.twimg.com/media/EGcU2LgXoAA0vZw.jpg" TargetMode="External"/><Relationship Id="rId661" Type="http://schemas.openxmlformats.org/officeDocument/2006/relationships/hyperlink" Target="https://pbs.twimg.com/media/EGcTMlXX0AAan-_.jpg" TargetMode="External"/><Relationship Id="rId1291" Type="http://schemas.openxmlformats.org/officeDocument/2006/relationships/hyperlink" Target="https://pbs.twimg.com/media/EGcOIo0XkAIEO7_.jpg" TargetMode="External"/><Relationship Id="rId2135" Type="http://schemas.openxmlformats.org/officeDocument/2006/relationships/hyperlink" Target="https://pbs.twimg.com/media/EGb1nshWkAMWu88.jpg" TargetMode="External"/><Relationship Id="rId2342" Type="http://schemas.openxmlformats.org/officeDocument/2006/relationships/hyperlink" Target="https://pbs.twimg.com/media/EGbwDnFWwAEx9HW.jpg" TargetMode="External"/><Relationship Id="rId3600" Type="http://schemas.openxmlformats.org/officeDocument/2006/relationships/hyperlink" Target="http://kerimcandan.blogspot.com/" TargetMode="External"/><Relationship Id="rId314" Type="http://schemas.openxmlformats.org/officeDocument/2006/relationships/hyperlink" Target="https://reut.rs/2MpTGQx" TargetMode="External"/><Relationship Id="rId521" Type="http://schemas.openxmlformats.org/officeDocument/2006/relationships/hyperlink" Target="http://pic.twitter.com/JaYFsR9YEQ" TargetMode="External"/><Relationship Id="rId1151" Type="http://schemas.openxmlformats.org/officeDocument/2006/relationships/hyperlink" Target="http://www.yarisdergisi.com/" TargetMode="External"/><Relationship Id="rId2202" Type="http://schemas.openxmlformats.org/officeDocument/2006/relationships/hyperlink" Target="https://pbs.twimg.com/media/EGbz3_7WwAEZDzT.jpg" TargetMode="External"/><Relationship Id="rId1011" Type="http://schemas.openxmlformats.org/officeDocument/2006/relationships/hyperlink" Target="https://pbs.twimg.com/media/EGcQtl4XYAAHO5s.jpg" TargetMode="External"/><Relationship Id="rId1968" Type="http://schemas.openxmlformats.org/officeDocument/2006/relationships/hyperlink" Target="http://pic.twitter.com/4zLuZwYDuo" TargetMode="External"/><Relationship Id="rId4167" Type="http://schemas.openxmlformats.org/officeDocument/2006/relationships/hyperlink" Target="https://www.dr.com.tr/Yazar/tolga-akpinar/s=199359" TargetMode="External"/><Relationship Id="rId4374" Type="http://schemas.openxmlformats.org/officeDocument/2006/relationships/hyperlink" Target="https://pbs.twimg.com/media/EGbNewsWoAYMTbB.jpg" TargetMode="External"/><Relationship Id="rId3183" Type="http://schemas.openxmlformats.org/officeDocument/2006/relationships/hyperlink" Target="http://www.instagram.com/abdurrahimelri" TargetMode="External"/><Relationship Id="rId3390" Type="http://schemas.openxmlformats.org/officeDocument/2006/relationships/hyperlink" Target="https://pbs.twimg.com/media/EGbatLuWwAElNQP.jpg" TargetMode="External"/><Relationship Id="rId4027" Type="http://schemas.openxmlformats.org/officeDocument/2006/relationships/hyperlink" Target="https://pbs.twimg.com/media/EGbRsRoWsAApNsI.jpg" TargetMode="External"/><Relationship Id="rId4234" Type="http://schemas.openxmlformats.org/officeDocument/2006/relationships/hyperlink" Target="https://pbs.twimg.com/media/EGbPFEcXYAAcoUH.jpg" TargetMode="External"/><Relationship Id="rId4441" Type="http://schemas.openxmlformats.org/officeDocument/2006/relationships/hyperlink" Target="https://pbs.twimg.com/media/EGaJX4WX0AAvwkO.jpg" TargetMode="External"/><Relationship Id="rId1828" Type="http://schemas.openxmlformats.org/officeDocument/2006/relationships/hyperlink" Target="http://pic.twitter.com/j9V4zHAL1Q" TargetMode="External"/><Relationship Id="rId3043" Type="http://schemas.openxmlformats.org/officeDocument/2006/relationships/hyperlink" Target="https://www.instagram.com/sukrucanaydogdu/" TargetMode="External"/><Relationship Id="rId3250" Type="http://schemas.openxmlformats.org/officeDocument/2006/relationships/hyperlink" Target="http://pic.twitter.com/sEnoaDTuUb" TargetMode="External"/><Relationship Id="rId171" Type="http://schemas.openxmlformats.org/officeDocument/2006/relationships/hyperlink" Target="https://pbs.twimg.com/media/EGcXktRWsAIBNYZ.jpg" TargetMode="External"/><Relationship Id="rId4301" Type="http://schemas.openxmlformats.org/officeDocument/2006/relationships/hyperlink" Target="http://www.instagram.com/ahmt_oncll" TargetMode="External"/><Relationship Id="rId3110" Type="http://schemas.openxmlformats.org/officeDocument/2006/relationships/hyperlink" Target="https://pbs.twimg.com/media/EGbfT9NXoAA_B6n.jpg" TargetMode="External"/><Relationship Id="rId988" Type="http://schemas.openxmlformats.org/officeDocument/2006/relationships/hyperlink" Target="https://pbs.twimg.com/media/EGcQ2YPWoAAQ9ZP.jpg" TargetMode="External"/><Relationship Id="rId2669" Type="http://schemas.openxmlformats.org/officeDocument/2006/relationships/hyperlink" Target="https://twitter.com/slmhktn/status/1181876891000754177" TargetMode="External"/><Relationship Id="rId2876" Type="http://schemas.openxmlformats.org/officeDocument/2006/relationships/hyperlink" Target="http://pic.twitter.com/SuaQla8DC1" TargetMode="External"/><Relationship Id="rId3927" Type="http://schemas.openxmlformats.org/officeDocument/2006/relationships/hyperlink" Target="https://pbs.twimg.com/media/EGbTFp4WsAEHI1q.jpg" TargetMode="External"/><Relationship Id="rId848" Type="http://schemas.openxmlformats.org/officeDocument/2006/relationships/hyperlink" Target="https://pbs.twimg.com/media/EGULPHZXYAA8WCG.jpg" TargetMode="External"/><Relationship Id="rId1478" Type="http://schemas.openxmlformats.org/officeDocument/2006/relationships/hyperlink" Target="http://www.canlioku.com/" TargetMode="External"/><Relationship Id="rId1685" Type="http://schemas.openxmlformats.org/officeDocument/2006/relationships/hyperlink" Target="https://pbs.twimg.com/media/EGcL0dgXoAAYMGj.jpg" TargetMode="External"/><Relationship Id="rId1892" Type="http://schemas.openxmlformats.org/officeDocument/2006/relationships/hyperlink" Target="https://pbs.twimg.com/media/EGb7ghBWsAAXeD_.jpg" TargetMode="External"/><Relationship Id="rId2529" Type="http://schemas.openxmlformats.org/officeDocument/2006/relationships/hyperlink" Target="https://pbs.twimg.com/media/EGbroAGW4AE9SuI.jpg" TargetMode="External"/><Relationship Id="rId2736" Type="http://schemas.openxmlformats.org/officeDocument/2006/relationships/hyperlink" Target="https://pbs.twimg.com/media/EGbmTstXkAEyuWL.jpg" TargetMode="External"/><Relationship Id="rId4091" Type="http://schemas.openxmlformats.org/officeDocument/2006/relationships/hyperlink" Target="https://twitter.com/TTAgrup/status/1181829264490029056" TargetMode="External"/><Relationship Id="rId708" Type="http://schemas.openxmlformats.org/officeDocument/2006/relationships/hyperlink" Target="https://www.milligazete.com.tr/haber/3187723/son-dakika-baris-pinari-harekati-basladi" TargetMode="External"/><Relationship Id="rId915" Type="http://schemas.openxmlformats.org/officeDocument/2006/relationships/hyperlink" Target="https://youtu.be/mijHAWa-2V4" TargetMode="External"/><Relationship Id="rId1338" Type="http://schemas.openxmlformats.org/officeDocument/2006/relationships/hyperlink" Target="http://instagram.com/caghancolak" TargetMode="External"/><Relationship Id="rId1545" Type="http://schemas.openxmlformats.org/officeDocument/2006/relationships/hyperlink" Target="http://cemalozturk.com.tr/" TargetMode="External"/><Relationship Id="rId2943" Type="http://schemas.openxmlformats.org/officeDocument/2006/relationships/hyperlink" Target="https://instagram.com/hadimul_islam1?igshid=808wswoxehbb" TargetMode="External"/><Relationship Id="rId1405" Type="http://schemas.openxmlformats.org/officeDocument/2006/relationships/hyperlink" Target="http://www.nuvaz.com.tr/" TargetMode="External"/><Relationship Id="rId1752" Type="http://schemas.openxmlformats.org/officeDocument/2006/relationships/hyperlink" Target="https://pbs.twimg.com/media/EGb_V4FWoAU157w.jpg" TargetMode="External"/><Relationship Id="rId2803" Type="http://schemas.openxmlformats.org/officeDocument/2006/relationships/hyperlink" Target="http://pic.twitter.com/Qpqyqfdc2A" TargetMode="External"/><Relationship Id="rId44" Type="http://schemas.openxmlformats.org/officeDocument/2006/relationships/hyperlink" Target="https://pbs.twimg.com/media/EGcaRfbWsAIzSHB.jpg" TargetMode="External"/><Relationship Id="rId1612" Type="http://schemas.openxmlformats.org/officeDocument/2006/relationships/hyperlink" Target="https://pbs.twimg.com/media/EGcMOsYXUAAmiS-.jpg" TargetMode="External"/><Relationship Id="rId498" Type="http://schemas.openxmlformats.org/officeDocument/2006/relationships/hyperlink" Target="https://pbs.twimg.com/media/EGcUer6X0AEdKih.jpg" TargetMode="External"/><Relationship Id="rId2179" Type="http://schemas.openxmlformats.org/officeDocument/2006/relationships/hyperlink" Target="https://pbs.twimg.com/media/EGb0gpGXoAA4Ln5.jpg" TargetMode="External"/><Relationship Id="rId3577" Type="http://schemas.openxmlformats.org/officeDocument/2006/relationships/hyperlink" Target="https://pbs.twimg.com/media/EGbX2FdWkAEaZV4.jpg" TargetMode="External"/><Relationship Id="rId3784" Type="http://schemas.openxmlformats.org/officeDocument/2006/relationships/hyperlink" Target="https://pbs.twimg.com/media/EGbU4cQW4AIE6RB.jpg" TargetMode="External"/><Relationship Id="rId3991" Type="http://schemas.openxmlformats.org/officeDocument/2006/relationships/hyperlink" Target="https://pbs.twimg.com/media/EGbSFbpXoAEImWA.jpg" TargetMode="External"/><Relationship Id="rId2386" Type="http://schemas.openxmlformats.org/officeDocument/2006/relationships/hyperlink" Target="https://youtu.be/acEr29JtDsU" TargetMode="External"/><Relationship Id="rId2593" Type="http://schemas.openxmlformats.org/officeDocument/2006/relationships/hyperlink" Target="http://pic.twitter.com/CsaA4Aep51" TargetMode="External"/><Relationship Id="rId3437" Type="http://schemas.openxmlformats.org/officeDocument/2006/relationships/hyperlink" Target="https://pbs.twimg.com/media/EGbZ-88WkAAa12s.jpg" TargetMode="External"/><Relationship Id="rId3644" Type="http://schemas.openxmlformats.org/officeDocument/2006/relationships/hyperlink" Target="https://pbs.twimg.com/media/EGbW0bQX0AECtD8.jpg" TargetMode="External"/><Relationship Id="rId3851" Type="http://schemas.openxmlformats.org/officeDocument/2006/relationships/hyperlink" Target="https://www.youtube.com/c/SAVUNANADAMM" TargetMode="External"/><Relationship Id="rId358" Type="http://schemas.openxmlformats.org/officeDocument/2006/relationships/hyperlink" Target="https://www.aa.com.tr/tr/vg/video-galeri/baris-pinari-harekati-basladi" TargetMode="External"/><Relationship Id="rId565" Type="http://schemas.openxmlformats.org/officeDocument/2006/relationships/hyperlink" Target="http://besuzzi.com/" TargetMode="External"/><Relationship Id="rId772" Type="http://schemas.openxmlformats.org/officeDocument/2006/relationships/hyperlink" Target="https://www.youtube.com/watch?v=NgR4mzftYdE" TargetMode="External"/><Relationship Id="rId1195" Type="http://schemas.openxmlformats.org/officeDocument/2006/relationships/hyperlink" Target="http://ruhwer.blogcu.com/" TargetMode="External"/><Relationship Id="rId2039" Type="http://schemas.openxmlformats.org/officeDocument/2006/relationships/hyperlink" Target="https://pbs.twimg.com/media/EGb39U_WkAAJXjm.jpg" TargetMode="External"/><Relationship Id="rId2246" Type="http://schemas.openxmlformats.org/officeDocument/2006/relationships/hyperlink" Target="https://pbs.twimg.com/media/EGby7RvXkAUFh1e.jpg" TargetMode="External"/><Relationship Id="rId2453" Type="http://schemas.openxmlformats.org/officeDocument/2006/relationships/hyperlink" Target="http://pic.twitter.com/NT0Wflk3Zx" TargetMode="External"/><Relationship Id="rId2660" Type="http://schemas.openxmlformats.org/officeDocument/2006/relationships/hyperlink" Target="https://pbs.twimg.com/media/EGWVbInX0AAf_k4.jpg" TargetMode="External"/><Relationship Id="rId3504" Type="http://schemas.openxmlformats.org/officeDocument/2006/relationships/hyperlink" Target="https://instagram.com/ebruyavuuuz" TargetMode="External"/><Relationship Id="rId3711" Type="http://schemas.openxmlformats.org/officeDocument/2006/relationships/hyperlink" Target="http://pic.twitter.com/dvwPRktHDC" TargetMode="External"/><Relationship Id="rId218" Type="http://schemas.openxmlformats.org/officeDocument/2006/relationships/hyperlink" Target="https://pbs.twimg.com/media/EGcW41wWwAEPi_9.jpg" TargetMode="External"/><Relationship Id="rId425" Type="http://schemas.openxmlformats.org/officeDocument/2006/relationships/hyperlink" Target="http://www.instagram.com/gokhanaltay04" TargetMode="External"/><Relationship Id="rId632" Type="http://schemas.openxmlformats.org/officeDocument/2006/relationships/hyperlink" Target="https://twitter.com/realDonaldTrump/status/1181905659568283648" TargetMode="External"/><Relationship Id="rId1055" Type="http://schemas.openxmlformats.org/officeDocument/2006/relationships/hyperlink" Target="https://pbs.twimg.com/media/EGcQaRFWsAEwGZF.jpg" TargetMode="External"/><Relationship Id="rId1262" Type="http://schemas.openxmlformats.org/officeDocument/2006/relationships/hyperlink" Target="https://pbs.twimg.com/media/EGcOZLkXkAAcFVa.jpg" TargetMode="External"/><Relationship Id="rId2106" Type="http://schemas.openxmlformats.org/officeDocument/2006/relationships/hyperlink" Target="https://twitter.com/oart7218/status/1181902308868853761" TargetMode="External"/><Relationship Id="rId2313" Type="http://schemas.openxmlformats.org/officeDocument/2006/relationships/hyperlink" Target="https://pbs.twimg.com/media/EGbwrckXYAA8s9D.jpg" TargetMode="External"/><Relationship Id="rId2520" Type="http://schemas.openxmlformats.org/officeDocument/2006/relationships/hyperlink" Target="https://pbs.twimg.com/media/EGbrteIXUAALi9r.jpg" TargetMode="External"/><Relationship Id="rId1122" Type="http://schemas.openxmlformats.org/officeDocument/2006/relationships/hyperlink" Target="http://www.squidapp.co/au" TargetMode="External"/><Relationship Id="rId4278" Type="http://schemas.openxmlformats.org/officeDocument/2006/relationships/hyperlink" Target="https://pbs.twimg.com/media/EGbOh0rX0AAjROs.jpg" TargetMode="External"/><Relationship Id="rId4485" Type="http://schemas.openxmlformats.org/officeDocument/2006/relationships/hyperlink" Target="http://www.acikistihbarat.com/" TargetMode="External"/><Relationship Id="rId3087" Type="http://schemas.openxmlformats.org/officeDocument/2006/relationships/hyperlink" Target="https://pbs.twimg.com/media/EGbfucaX0AACrX6.jpg" TargetMode="External"/><Relationship Id="rId3294" Type="http://schemas.openxmlformats.org/officeDocument/2006/relationships/hyperlink" Target="https://pbs.twimg.com/media/EGbcVhvXoAAsO7v.jpg" TargetMode="External"/><Relationship Id="rId4138" Type="http://schemas.openxmlformats.org/officeDocument/2006/relationships/hyperlink" Target="https://pbs.twimg.com/media/EGbQBrUX0AAw3Kc.jpg" TargetMode="External"/><Relationship Id="rId4345" Type="http://schemas.openxmlformats.org/officeDocument/2006/relationships/hyperlink" Target="https://instagram.com/rapndrugs?igshid=laudcq57rq2l" TargetMode="External"/><Relationship Id="rId1939" Type="http://schemas.openxmlformats.org/officeDocument/2006/relationships/hyperlink" Target="http://pic.twitter.com/Fhjj5Bepfr" TargetMode="External"/><Relationship Id="rId3154" Type="http://schemas.openxmlformats.org/officeDocument/2006/relationships/hyperlink" Target="https://pbs.twimg.com/media/EGbengeXoAAx0ch.jpg" TargetMode="External"/><Relationship Id="rId3361" Type="http://schemas.openxmlformats.org/officeDocument/2006/relationships/hyperlink" Target="https://pbs.twimg.com/media/EGbbJ7mWoAEm80P.jpg" TargetMode="External"/><Relationship Id="rId4205" Type="http://schemas.openxmlformats.org/officeDocument/2006/relationships/hyperlink" Target="https://pbs.twimg.com/media/EGbPUPUXUAAx4fh.jpg" TargetMode="External"/><Relationship Id="rId4412" Type="http://schemas.openxmlformats.org/officeDocument/2006/relationships/hyperlink" Target="https://pbs.twimg.com/media/EGbNCBMWsAEcedi.jpg" TargetMode="External"/><Relationship Id="rId282" Type="http://schemas.openxmlformats.org/officeDocument/2006/relationships/hyperlink" Target="https://twitter.com/eskibirmuhtar/status/1181830089085992960" TargetMode="External"/><Relationship Id="rId2170" Type="http://schemas.openxmlformats.org/officeDocument/2006/relationships/hyperlink" Target="http://instagram.com/abdulmuttalip.pilatin" TargetMode="External"/><Relationship Id="rId3014" Type="http://schemas.openxmlformats.org/officeDocument/2006/relationships/hyperlink" Target="https://pbs.twimg.com/media/EGbhFThWoAAWndZ.jpg" TargetMode="External"/><Relationship Id="rId3221" Type="http://schemas.openxmlformats.org/officeDocument/2006/relationships/hyperlink" Target="http://linkedin.com/in/musasaka" TargetMode="External"/><Relationship Id="rId8" Type="http://schemas.openxmlformats.org/officeDocument/2006/relationships/hyperlink" Target="https://pbs.twimg.com/media/EGcbQ_GWoAAWYiP.jpg" TargetMode="External"/><Relationship Id="rId142" Type="http://schemas.openxmlformats.org/officeDocument/2006/relationships/hyperlink" Target="https://pbs.twimg.com/media/EGcYHK1W4AIQiIi.jpg" TargetMode="External"/><Relationship Id="rId2030" Type="http://schemas.openxmlformats.org/officeDocument/2006/relationships/hyperlink" Target="http://pic.twitter.com/FAafeTdR5f" TargetMode="External"/><Relationship Id="rId2987" Type="http://schemas.openxmlformats.org/officeDocument/2006/relationships/hyperlink" Target="https://pbs.twimg.com/media/EGbhjn4W4AEPn8q.jpg" TargetMode="External"/><Relationship Id="rId959" Type="http://schemas.openxmlformats.org/officeDocument/2006/relationships/hyperlink" Target="https://pbs.twimg.com/media/EGcRIV0XYAE5QRz.jpg" TargetMode="External"/><Relationship Id="rId1589" Type="http://schemas.openxmlformats.org/officeDocument/2006/relationships/hyperlink" Target="https://pbs.twimg.com/media/EGcMUlNWoAApJlS.jpg" TargetMode="External"/><Relationship Id="rId1449" Type="http://schemas.openxmlformats.org/officeDocument/2006/relationships/hyperlink" Target="https://pbs.twimg.com/media/EGcM-JeWoAADhID.jpg" TargetMode="External"/><Relationship Id="rId1796" Type="http://schemas.openxmlformats.org/officeDocument/2006/relationships/hyperlink" Target="https://twitter.com/" TargetMode="External"/><Relationship Id="rId2847" Type="http://schemas.openxmlformats.org/officeDocument/2006/relationships/hyperlink" Target="https://pbs.twimg.com/media/EGa0LsjW4AMa0UL.jpg" TargetMode="External"/><Relationship Id="rId4062" Type="http://schemas.openxmlformats.org/officeDocument/2006/relationships/hyperlink" Target="https://pbs.twimg.com/media/EGbRTNKX0AASiG_.jpg" TargetMode="External"/><Relationship Id="rId88" Type="http://schemas.openxmlformats.org/officeDocument/2006/relationships/hyperlink" Target="http://pic.twitter.com/Z53Attc7oo" TargetMode="External"/><Relationship Id="rId819" Type="http://schemas.openxmlformats.org/officeDocument/2006/relationships/hyperlink" Target="https://pbs.twimg.com/media/EGcSHJdW4AAm7Za.jpg" TargetMode="External"/><Relationship Id="rId1656" Type="http://schemas.openxmlformats.org/officeDocument/2006/relationships/hyperlink" Target="https://pbs.twimg.com/media/EGcL8GfWkAAhZlw.jpg" TargetMode="External"/><Relationship Id="rId1863" Type="http://schemas.openxmlformats.org/officeDocument/2006/relationships/hyperlink" Target="https://pbs.twimg.com/media/DFfzqZNWsAEdjNq.jpg" TargetMode="External"/><Relationship Id="rId2707" Type="http://schemas.openxmlformats.org/officeDocument/2006/relationships/hyperlink" Target="https://medium.com/@mstfsarky" TargetMode="External"/><Relationship Id="rId2914" Type="http://schemas.openxmlformats.org/officeDocument/2006/relationships/hyperlink" Target="https://twitter.com/sedatsurr/status/1181158205164007425" TargetMode="External"/><Relationship Id="rId1309" Type="http://schemas.openxmlformats.org/officeDocument/2006/relationships/hyperlink" Target="http://pic.twitter.com/T8LjPXk6X6" TargetMode="External"/><Relationship Id="rId1516" Type="http://schemas.openxmlformats.org/officeDocument/2006/relationships/hyperlink" Target="http://instagram.com/veysellali/" TargetMode="External"/><Relationship Id="rId1723" Type="http://schemas.openxmlformats.org/officeDocument/2006/relationships/hyperlink" Target="https://pbs.twimg.com/media/EGcLpfvXUAM6BWI.jpg" TargetMode="External"/><Relationship Id="rId1930" Type="http://schemas.openxmlformats.org/officeDocument/2006/relationships/hyperlink" Target="https://www.youtube.com/watch?v=wNDRb1f03sA" TargetMode="External"/><Relationship Id="rId15" Type="http://schemas.openxmlformats.org/officeDocument/2006/relationships/hyperlink" Target="https://pbs.twimg.com/media/EGcbBoYXkAA1aY3.jpg" TargetMode="External"/><Relationship Id="rId3688" Type="http://schemas.openxmlformats.org/officeDocument/2006/relationships/hyperlink" Target="https://open.spotify.com/user/l0rd%E2%82%A90ld%E2%82%ACm0rt?si=vu1WNWc9TiGDqL33-q7oew" TargetMode="External"/><Relationship Id="rId3895" Type="http://schemas.openxmlformats.org/officeDocument/2006/relationships/hyperlink" Target="https://twitter.com/Enes_inci1/status/1181864209107361794" TargetMode="External"/><Relationship Id="rId2497" Type="http://schemas.openxmlformats.org/officeDocument/2006/relationships/hyperlink" Target="https://pbs.twimg.com/media/EGbsVqSXkAE38Ek.jpg" TargetMode="External"/><Relationship Id="rId3548" Type="http://schemas.openxmlformats.org/officeDocument/2006/relationships/hyperlink" Target="https://pbs.twimg.com/media/EGbYUKoWsAAcNYO.jpg" TargetMode="External"/><Relationship Id="rId3755" Type="http://schemas.openxmlformats.org/officeDocument/2006/relationships/hyperlink" Target="https://pbs.twimg.com/media/EGbVOw-XoAA-JxC.jpg" TargetMode="External"/><Relationship Id="rId469" Type="http://schemas.openxmlformats.org/officeDocument/2006/relationships/hyperlink" Target="https://siyahcizgi.wordpress.com/" TargetMode="External"/><Relationship Id="rId676" Type="http://schemas.openxmlformats.org/officeDocument/2006/relationships/hyperlink" Target="https://pbs.twimg.com/media/EGcRaBNWwAAMNqD.jpg" TargetMode="External"/><Relationship Id="rId883" Type="http://schemas.openxmlformats.org/officeDocument/2006/relationships/hyperlink" Target="https://pbs.twimg.com/media/EGcRvj7WwAEdL_T.jpg" TargetMode="External"/><Relationship Id="rId1099" Type="http://schemas.openxmlformats.org/officeDocument/2006/relationships/hyperlink" Target="https://pbs.twimg.com/media/EGcQCgRXoAYbkO_.jpg" TargetMode="External"/><Relationship Id="rId2357" Type="http://schemas.openxmlformats.org/officeDocument/2006/relationships/hyperlink" Target="https://twitter.com/snnyldz41/status/1181855905849196546" TargetMode="External"/><Relationship Id="rId2564" Type="http://schemas.openxmlformats.org/officeDocument/2006/relationships/hyperlink" Target="http://geopoliticalcyprus.org/" TargetMode="External"/><Relationship Id="rId3408" Type="http://schemas.openxmlformats.org/officeDocument/2006/relationships/hyperlink" Target="https://pbs.twimg.com/media/EGbaYAWX0AAFnL1.jpg" TargetMode="External"/><Relationship Id="rId3615" Type="http://schemas.openxmlformats.org/officeDocument/2006/relationships/hyperlink" Target="https://pbs.twimg.com/media/EGbXPgCWoAAGVyi.jpg" TargetMode="External"/><Relationship Id="rId3962" Type="http://schemas.openxmlformats.org/officeDocument/2006/relationships/hyperlink" Target="http://pic.twitter.com/CLKyHSD9eY" TargetMode="External"/><Relationship Id="rId329" Type="http://schemas.openxmlformats.org/officeDocument/2006/relationships/hyperlink" Target="https://pbs.twimg.com/media/EGcWB8QX0AEAlx6.jpg" TargetMode="External"/><Relationship Id="rId536" Type="http://schemas.openxmlformats.org/officeDocument/2006/relationships/hyperlink" Target="https://pbs.twimg.com/media/EGcUHQPWoAE3YZ9.jpg" TargetMode="External"/><Relationship Id="rId1166" Type="http://schemas.openxmlformats.org/officeDocument/2006/relationships/hyperlink" Target="https://pbs.twimg.com/media/EGcPUEAXYAAkplT.jpg" TargetMode="External"/><Relationship Id="rId1373" Type="http://schemas.openxmlformats.org/officeDocument/2006/relationships/hyperlink" Target="https://pbs.twimg.com/media/EGcNfGCXUAAzwRz.jpg" TargetMode="External"/><Relationship Id="rId2217" Type="http://schemas.openxmlformats.org/officeDocument/2006/relationships/hyperlink" Target="https://pbs.twimg.com/media/EGbzmszXYAAP8Cx.jpg" TargetMode="External"/><Relationship Id="rId2771" Type="http://schemas.openxmlformats.org/officeDocument/2006/relationships/hyperlink" Target="https://pbs.twimg.com/media/EGblW9HW4AAyfPr.jpg" TargetMode="External"/><Relationship Id="rId3822" Type="http://schemas.openxmlformats.org/officeDocument/2006/relationships/hyperlink" Target="https://pbs.twimg.com/media/EGbUacBXYAA5nzG.jpg" TargetMode="External"/><Relationship Id="rId743" Type="http://schemas.openxmlformats.org/officeDocument/2006/relationships/hyperlink" Target="http://pic.twitter.com/K5XSOBO9jN" TargetMode="External"/><Relationship Id="rId950" Type="http://schemas.openxmlformats.org/officeDocument/2006/relationships/hyperlink" Target="https://twitter.com/" TargetMode="External"/><Relationship Id="rId1026" Type="http://schemas.openxmlformats.org/officeDocument/2006/relationships/hyperlink" Target="https://www.vinemedium.com.au/" TargetMode="External"/><Relationship Id="rId1580" Type="http://schemas.openxmlformats.org/officeDocument/2006/relationships/hyperlink" Target="https://pbs.twimg.com/media/EGcMXv3XkAA_dlt.jpg" TargetMode="External"/><Relationship Id="rId2424" Type="http://schemas.openxmlformats.org/officeDocument/2006/relationships/hyperlink" Target="https://pbs.twimg.com/media/D8pNX1YW4AAyIaT.jpg" TargetMode="External"/><Relationship Id="rId2631" Type="http://schemas.openxmlformats.org/officeDocument/2006/relationships/hyperlink" Target="http://instagram.com/hazerhnn/" TargetMode="External"/><Relationship Id="rId4389" Type="http://schemas.openxmlformats.org/officeDocument/2006/relationships/hyperlink" Target="https://pbs.twimg.com/media/EGbNV6hWoAEAVNH.png" TargetMode="External"/><Relationship Id="rId603" Type="http://schemas.openxmlformats.org/officeDocument/2006/relationships/hyperlink" Target="http://pic.twitter.com/ZmDaBdDWvO" TargetMode="External"/><Relationship Id="rId810" Type="http://schemas.openxmlformats.org/officeDocument/2006/relationships/hyperlink" Target="https://pbs.twimg.com/media/EGcSKiGXkAE2xDW.jpg" TargetMode="External"/><Relationship Id="rId1233" Type="http://schemas.openxmlformats.org/officeDocument/2006/relationships/hyperlink" Target="http://instagram.com/bsahin_" TargetMode="External"/><Relationship Id="rId1440" Type="http://schemas.openxmlformats.org/officeDocument/2006/relationships/hyperlink" Target="https://twitter.com/ttagrup/status/1181921951943680000" TargetMode="External"/><Relationship Id="rId1300" Type="http://schemas.openxmlformats.org/officeDocument/2006/relationships/hyperlink" Target="http://turkticaret.net/" TargetMode="External"/><Relationship Id="rId3198" Type="http://schemas.openxmlformats.org/officeDocument/2006/relationships/hyperlink" Target="http://vaktimuhabbet.com/" TargetMode="External"/><Relationship Id="rId4249" Type="http://schemas.openxmlformats.org/officeDocument/2006/relationships/hyperlink" Target="https://pbs.twimg.com/media/EGbO4_0XUAA4KfJ.jpg" TargetMode="External"/><Relationship Id="rId4456" Type="http://schemas.openxmlformats.org/officeDocument/2006/relationships/hyperlink" Target="https://pbs.twimg.com/media/EGbMQcyXUAE_NlK.jpg" TargetMode="External"/><Relationship Id="rId3058" Type="http://schemas.openxmlformats.org/officeDocument/2006/relationships/hyperlink" Target="https://pbs.twimg.com/media/EGbgWlRWkAELsIF.jpg" TargetMode="External"/><Relationship Id="rId3265" Type="http://schemas.openxmlformats.org/officeDocument/2006/relationships/hyperlink" Target="https://pbs.twimg.com/media/EGbN37eXYAAmQzk.jpg" TargetMode="External"/><Relationship Id="rId3472" Type="http://schemas.openxmlformats.org/officeDocument/2006/relationships/hyperlink" Target="http://pic.twitter.com/W3sLyJHqkP" TargetMode="External"/><Relationship Id="rId4109" Type="http://schemas.openxmlformats.org/officeDocument/2006/relationships/hyperlink" Target="https://www.el-aziz.com/tr/gundem/detail/1331" TargetMode="External"/><Relationship Id="rId4316" Type="http://schemas.openxmlformats.org/officeDocument/2006/relationships/hyperlink" Target="https://pbs.twimg.com/media/EGbODedWkAYba85.jpg" TargetMode="External"/><Relationship Id="rId4523" Type="http://schemas.openxmlformats.org/officeDocument/2006/relationships/hyperlink" Target="https://pbs.twimg.com/media/EGbLsDNXUAU6g4s.jpg" TargetMode="External"/><Relationship Id="rId186" Type="http://schemas.openxmlformats.org/officeDocument/2006/relationships/hyperlink" Target="https://sakinca.com/haber/18632/milli-savunma-bakanligindan-harekat-aciklamasi.html" TargetMode="External"/><Relationship Id="rId393" Type="http://schemas.openxmlformats.org/officeDocument/2006/relationships/hyperlink" Target="https://www.instagram.com/emreu00" TargetMode="External"/><Relationship Id="rId2074" Type="http://schemas.openxmlformats.org/officeDocument/2006/relationships/hyperlink" Target="http://soundcloud.com/altefdortpodcast" TargetMode="External"/><Relationship Id="rId2281" Type="http://schemas.openxmlformats.org/officeDocument/2006/relationships/hyperlink" Target="https://pbs.twimg.com/media/EGbx51kW4AALds8.jpg" TargetMode="External"/><Relationship Id="rId3125" Type="http://schemas.openxmlformats.org/officeDocument/2006/relationships/hyperlink" Target="https://twitter.com/TTAgrup/status/1181829264490029056" TargetMode="External"/><Relationship Id="rId3332" Type="http://schemas.openxmlformats.org/officeDocument/2006/relationships/hyperlink" Target="http://instagram.com/_hkazz" TargetMode="External"/><Relationship Id="rId253" Type="http://schemas.openxmlformats.org/officeDocument/2006/relationships/hyperlink" Target="https://pbs.twimg.com/media/EGcWw89WoAA-J_O.jpg" TargetMode="External"/><Relationship Id="rId460" Type="http://schemas.openxmlformats.org/officeDocument/2006/relationships/hyperlink" Target="https://pbs.twimg.com/media/EGcUwxpWoAoM8iN.jpg" TargetMode="External"/><Relationship Id="rId1090" Type="http://schemas.openxmlformats.org/officeDocument/2006/relationships/hyperlink" Target="https://pbs.twimg.com/media/EGcQFvvWsAEVgTw.jpg" TargetMode="External"/><Relationship Id="rId2141" Type="http://schemas.openxmlformats.org/officeDocument/2006/relationships/hyperlink" Target="http://www.unoistanbul.com/" TargetMode="External"/><Relationship Id="rId113" Type="http://schemas.openxmlformats.org/officeDocument/2006/relationships/hyperlink" Target="http://www.alikemaltatlibal.com.tr/" TargetMode="External"/><Relationship Id="rId320" Type="http://schemas.openxmlformats.org/officeDocument/2006/relationships/hyperlink" Target="http://instagram.com/berkay.kabalar" TargetMode="External"/><Relationship Id="rId2001" Type="http://schemas.openxmlformats.org/officeDocument/2006/relationships/hyperlink" Target="https://www.instagram.com/seymenunall" TargetMode="External"/><Relationship Id="rId2958" Type="http://schemas.openxmlformats.org/officeDocument/2006/relationships/hyperlink" Target="https://pbs.twimg.com/media/EGbiEWgXkAAiM9M.jpg" TargetMode="External"/><Relationship Id="rId1767" Type="http://schemas.openxmlformats.org/officeDocument/2006/relationships/hyperlink" Target="https://pbs.twimg.com/media/EGb-9t_WoAIbeAL.png" TargetMode="External"/><Relationship Id="rId1974" Type="http://schemas.openxmlformats.org/officeDocument/2006/relationships/hyperlink" Target="https://pbs.twimg.com/media/EGb5U0WXkAEDbKb.jpg" TargetMode="External"/><Relationship Id="rId2818" Type="http://schemas.openxmlformats.org/officeDocument/2006/relationships/hyperlink" Target="https://pbs.twimg.com/media/EGbkYb3WkAA2auJ.jpg" TargetMode="External"/><Relationship Id="rId4173" Type="http://schemas.openxmlformats.org/officeDocument/2006/relationships/hyperlink" Target="https://pbs.twimg.com/media/EGbPonRW4AE9fSO.jpg" TargetMode="External"/><Relationship Id="rId4380" Type="http://schemas.openxmlformats.org/officeDocument/2006/relationships/hyperlink" Target="https://pbs.twimg.com/media/EGbNcVNXUAIh4d4.png" TargetMode="External"/><Relationship Id="rId59" Type="http://schemas.openxmlformats.org/officeDocument/2006/relationships/hyperlink" Target="https://pbs.twimg.com/media/EGcaAe4XkAAmel5.jpg" TargetMode="External"/><Relationship Id="rId1627" Type="http://schemas.openxmlformats.org/officeDocument/2006/relationships/hyperlink" Target="https://www.youtube.com/channel/UCUCktphEW1RAT-2nynMpREg" TargetMode="External"/><Relationship Id="rId1834" Type="http://schemas.openxmlformats.org/officeDocument/2006/relationships/hyperlink" Target="https://pbs.twimg.com/media/EGb8ztGWwAAiPgw.jpg" TargetMode="External"/><Relationship Id="rId4033" Type="http://schemas.openxmlformats.org/officeDocument/2006/relationships/hyperlink" Target="https://pbs.twimg.com/media/EGbRlrqXYAAD5XW.jpg" TargetMode="External"/><Relationship Id="rId4240" Type="http://schemas.openxmlformats.org/officeDocument/2006/relationships/hyperlink" Target="https://pbs.twimg.com/media/EGbPCCAWoAASIG_.jpg" TargetMode="External"/><Relationship Id="rId3799" Type="http://schemas.openxmlformats.org/officeDocument/2006/relationships/hyperlink" Target="https://pbs.twimg.com/media/EGbFKtKWkAAgpD4.jpg" TargetMode="External"/><Relationship Id="rId4100" Type="http://schemas.openxmlformats.org/officeDocument/2006/relationships/hyperlink" Target="http://pic.twitter.com/luljwAXcud" TargetMode="External"/><Relationship Id="rId1901" Type="http://schemas.openxmlformats.org/officeDocument/2006/relationships/hyperlink" Target="https://www.youtube.com/hakikatinizinde" TargetMode="External"/><Relationship Id="rId3659" Type="http://schemas.openxmlformats.org/officeDocument/2006/relationships/hyperlink" Target="https://pbs.twimg.com/media/EGbWdXRXoAEEI3o.jpg" TargetMode="External"/><Relationship Id="rId3866" Type="http://schemas.openxmlformats.org/officeDocument/2006/relationships/hyperlink" Target="https://twitter.com/GunesAk__/status/1181863282480680960" TargetMode="External"/><Relationship Id="rId787" Type="http://schemas.openxmlformats.org/officeDocument/2006/relationships/hyperlink" Target="https://images.app.goo.gl/HNX5PAXcwxyQ1A549" TargetMode="External"/><Relationship Id="rId994" Type="http://schemas.openxmlformats.org/officeDocument/2006/relationships/hyperlink" Target="https://threader.app/conversation/1181859084267659264/LVwbY3nKdA" TargetMode="External"/><Relationship Id="rId2468" Type="http://schemas.openxmlformats.org/officeDocument/2006/relationships/hyperlink" Target="https://pbs.twimg.com/media/EGbs0rTW4AAQYhJ.jpg" TargetMode="External"/><Relationship Id="rId2675" Type="http://schemas.openxmlformats.org/officeDocument/2006/relationships/hyperlink" Target="https://www.dailysabah.com/war-on-terror/2019/10/09/turkeys-preps-deployments-for-syria-operation-continues-akar-says" TargetMode="External"/><Relationship Id="rId2882" Type="http://schemas.openxmlformats.org/officeDocument/2006/relationships/hyperlink" Target="http://www.instagram.com/alikuz35" TargetMode="External"/><Relationship Id="rId3519" Type="http://schemas.openxmlformats.org/officeDocument/2006/relationships/hyperlink" Target="https://pbs.twimg.com/media/EGbYo99WsAEJ6nE.jpg" TargetMode="External"/><Relationship Id="rId3726" Type="http://schemas.openxmlformats.org/officeDocument/2006/relationships/hyperlink" Target="http://pic.twitter.com/9tAEVmcnoe" TargetMode="External"/><Relationship Id="rId3933" Type="http://schemas.openxmlformats.org/officeDocument/2006/relationships/hyperlink" Target="http://instagram.com/ahmttns" TargetMode="External"/><Relationship Id="rId647" Type="http://schemas.openxmlformats.org/officeDocument/2006/relationships/hyperlink" Target="https://pbs.twimg.com/media/EGcTQUrWsAMefzX.jpg" TargetMode="External"/><Relationship Id="rId854" Type="http://schemas.openxmlformats.org/officeDocument/2006/relationships/hyperlink" Target="http://www.gorkemkobay.com.tr/" TargetMode="External"/><Relationship Id="rId1277" Type="http://schemas.openxmlformats.org/officeDocument/2006/relationships/hyperlink" Target="https://pbs.twimg.com/media/EGcKgD9WkAcz8pt.jpg" TargetMode="External"/><Relationship Id="rId1484" Type="http://schemas.openxmlformats.org/officeDocument/2006/relationships/hyperlink" Target="https://pbs.twimg.com/media/EGcM1c6XkAASBhB.jpg" TargetMode="External"/><Relationship Id="rId1691" Type="http://schemas.openxmlformats.org/officeDocument/2006/relationships/hyperlink" Target="http://instagram.com/samedkavak" TargetMode="External"/><Relationship Id="rId2328" Type="http://schemas.openxmlformats.org/officeDocument/2006/relationships/hyperlink" Target="http://pic.twitter.com/GlMx4IgGHP" TargetMode="External"/><Relationship Id="rId2535" Type="http://schemas.openxmlformats.org/officeDocument/2006/relationships/hyperlink" Target="https://pbs.twimg.com/media/EGbrgICWsAI1g7g.png" TargetMode="External"/><Relationship Id="rId2742" Type="http://schemas.openxmlformats.org/officeDocument/2006/relationships/hyperlink" Target="https://pbs.twimg.com/media/EGbmOYJXUAA9VKD.jpg" TargetMode="External"/><Relationship Id="rId507" Type="http://schemas.openxmlformats.org/officeDocument/2006/relationships/hyperlink" Target="http://www.akparti.com.tr/" TargetMode="External"/><Relationship Id="rId714" Type="http://schemas.openxmlformats.org/officeDocument/2006/relationships/hyperlink" Target="https://pbs.twimg.com/media/EGcS0YlWkAUQvmy.jpg" TargetMode="External"/><Relationship Id="rId921" Type="http://schemas.openxmlformats.org/officeDocument/2006/relationships/hyperlink" Target="https://youtu.be/mijHAWa-2V4" TargetMode="External"/><Relationship Id="rId1137" Type="http://schemas.openxmlformats.org/officeDocument/2006/relationships/hyperlink" Target="http://web.tv/" TargetMode="External"/><Relationship Id="rId1344" Type="http://schemas.openxmlformats.org/officeDocument/2006/relationships/hyperlink" Target="https://pbs.twimg.com/media/EGcNwH3XkAoBflB.jpg" TargetMode="External"/><Relationship Id="rId1551" Type="http://schemas.openxmlformats.org/officeDocument/2006/relationships/hyperlink" Target="http://www.hurkanakkuzu.com/" TargetMode="External"/><Relationship Id="rId2602" Type="http://schemas.openxmlformats.org/officeDocument/2006/relationships/hyperlink" Target="https://pbs.twimg.com/media/EGbpmogX0AAHImE.jpg" TargetMode="External"/><Relationship Id="rId50" Type="http://schemas.openxmlformats.org/officeDocument/2006/relationships/hyperlink" Target="https://pbs.twimg.com/media/EGcaKK7W4AYYBzZ.jpg" TargetMode="External"/><Relationship Id="rId1204" Type="http://schemas.openxmlformats.org/officeDocument/2006/relationships/hyperlink" Target="https://pbs.twimg.com/media/EGcO-uKXkAEQKhe.jpg" TargetMode="External"/><Relationship Id="rId1411" Type="http://schemas.openxmlformats.org/officeDocument/2006/relationships/hyperlink" Target="https://instagram.com/salgarburak" TargetMode="External"/><Relationship Id="rId3169" Type="http://schemas.openxmlformats.org/officeDocument/2006/relationships/hyperlink" Target="https://pbs.twimg.com/media/EGbeda6WkAAYFHZ.jpg" TargetMode="External"/><Relationship Id="rId3376" Type="http://schemas.openxmlformats.org/officeDocument/2006/relationships/hyperlink" Target="https://twitter.com/KadirMisiroglu/status/1065279021175459841" TargetMode="External"/><Relationship Id="rId3583" Type="http://schemas.openxmlformats.org/officeDocument/2006/relationships/hyperlink" Target="http://instagram.com/alierdnnn" TargetMode="External"/><Relationship Id="rId4427" Type="http://schemas.openxmlformats.org/officeDocument/2006/relationships/hyperlink" Target="http://www.instagram.com/insanperest/" TargetMode="External"/><Relationship Id="rId297" Type="http://schemas.openxmlformats.org/officeDocument/2006/relationships/hyperlink" Target="https://www.youtube.com/yusufta%C5%9F" TargetMode="External"/><Relationship Id="rId2185" Type="http://schemas.openxmlformats.org/officeDocument/2006/relationships/hyperlink" Target="https://pbs.twimg.com/media/EGb0ONrXoAU6AVB.jpg" TargetMode="External"/><Relationship Id="rId2392" Type="http://schemas.openxmlformats.org/officeDocument/2006/relationships/hyperlink" Target="https://pbs.twimg.com/media/EGbuwNuXoAAnSHu.jpg" TargetMode="External"/><Relationship Id="rId3029" Type="http://schemas.openxmlformats.org/officeDocument/2006/relationships/hyperlink" Target="https://pbs.twimg.com/media/EGbg1foXoAARG6C.jpg" TargetMode="External"/><Relationship Id="rId3236" Type="http://schemas.openxmlformats.org/officeDocument/2006/relationships/hyperlink" Target="https://pbs.twimg.com/media/EGbdSk4W4AEUxaf.jpg" TargetMode="External"/><Relationship Id="rId3790" Type="http://schemas.openxmlformats.org/officeDocument/2006/relationships/hyperlink" Target="https://twitter.com/taylieli/status/1181858877119311872" TargetMode="External"/><Relationship Id="rId157" Type="http://schemas.openxmlformats.org/officeDocument/2006/relationships/hyperlink" Target="https://pbs.twimg.com/media/EGcX69sX0Ag7XS9.jpg" TargetMode="External"/><Relationship Id="rId364" Type="http://schemas.openxmlformats.org/officeDocument/2006/relationships/hyperlink" Target="http://pic.twitter.com/bMslvgMLfl" TargetMode="External"/><Relationship Id="rId2045" Type="http://schemas.openxmlformats.org/officeDocument/2006/relationships/hyperlink" Target="https://pbs.twimg.com/media/EGb25n5XUAA6kU8.jpg" TargetMode="External"/><Relationship Id="rId3443" Type="http://schemas.openxmlformats.org/officeDocument/2006/relationships/hyperlink" Target="http://pic.twitter.com/1NeB9viJ2F" TargetMode="External"/><Relationship Id="rId3650" Type="http://schemas.openxmlformats.org/officeDocument/2006/relationships/hyperlink" Target="https://pbs.twimg.com/media/EGbWn-KXYAEZngg.jpg" TargetMode="External"/><Relationship Id="rId571" Type="http://schemas.openxmlformats.org/officeDocument/2006/relationships/hyperlink" Target="https://youtu.be/XubMlmTLpWE" TargetMode="External"/><Relationship Id="rId2252" Type="http://schemas.openxmlformats.org/officeDocument/2006/relationships/hyperlink" Target="https://pbs.twimg.com/media/EGby0RHXkAAunkZ.jpg" TargetMode="External"/><Relationship Id="rId3303" Type="http://schemas.openxmlformats.org/officeDocument/2006/relationships/hyperlink" Target="https://pbs.twimg.com/media/EGbcKA4XkAAk4EP.jpg" TargetMode="External"/><Relationship Id="rId3510" Type="http://schemas.openxmlformats.org/officeDocument/2006/relationships/hyperlink" Target="https://pbs.twimg.com/media/EGbYzttWwAEiaHQ.jpg" TargetMode="External"/><Relationship Id="rId224" Type="http://schemas.openxmlformats.org/officeDocument/2006/relationships/hyperlink" Target="https://pbs.twimg.com/media/EGcW_2oWsAE9ZG9.jpg" TargetMode="External"/><Relationship Id="rId431" Type="http://schemas.openxmlformats.org/officeDocument/2006/relationships/hyperlink" Target="https://pbs.twimg.com/media/EGcVBeOXoAYKEHS.jpg" TargetMode="External"/><Relationship Id="rId1061" Type="http://schemas.openxmlformats.org/officeDocument/2006/relationships/hyperlink" Target="https://pbs.twimg.com/media/EGcQU0XXoAAc7Hw.jpg" TargetMode="External"/><Relationship Id="rId2112" Type="http://schemas.openxmlformats.org/officeDocument/2006/relationships/hyperlink" Target="http://pic.twitter.com/QNLIXknZEN" TargetMode="External"/><Relationship Id="rId1878" Type="http://schemas.openxmlformats.org/officeDocument/2006/relationships/hyperlink" Target="https://pbs.twimg.com/media/EGb7uGlWsAA86-S.jpg" TargetMode="External"/><Relationship Id="rId2929" Type="http://schemas.openxmlformats.org/officeDocument/2006/relationships/hyperlink" Target="https://twitter.com/tskgnkur/status/1181566115996196865" TargetMode="External"/><Relationship Id="rId4077" Type="http://schemas.openxmlformats.org/officeDocument/2006/relationships/hyperlink" Target="https://pbs.twimg.com/media/EGbRBcoXoAAXRy0.jpg" TargetMode="External"/><Relationship Id="rId4284" Type="http://schemas.openxmlformats.org/officeDocument/2006/relationships/hyperlink" Target="https://pbs.twimg.com/media/EGbObUtWkAAKDTN.jpg" TargetMode="External"/><Relationship Id="rId4491" Type="http://schemas.openxmlformats.org/officeDocument/2006/relationships/hyperlink" Target="http://abdurrahmanuzun.com/" TargetMode="External"/><Relationship Id="rId1738" Type="http://schemas.openxmlformats.org/officeDocument/2006/relationships/hyperlink" Target="https://www.instagram.com/zehractinkaya" TargetMode="External"/><Relationship Id="rId3093" Type="http://schemas.openxmlformats.org/officeDocument/2006/relationships/hyperlink" Target="https://guvensozluk.com/yazar/free-ottoman_1114" TargetMode="External"/><Relationship Id="rId4144" Type="http://schemas.openxmlformats.org/officeDocument/2006/relationships/hyperlink" Target="https://pbs.twimg.com/media/EGbP_8jXYAEr65g.jpg" TargetMode="External"/><Relationship Id="rId4351" Type="http://schemas.openxmlformats.org/officeDocument/2006/relationships/hyperlink" Target="http://instagram.com/tugceozden" TargetMode="External"/><Relationship Id="rId1945" Type="http://schemas.openxmlformats.org/officeDocument/2006/relationships/hyperlink" Target="https://pbs.twimg.com/media/EGb6Ku_WsAc9Bsh.jpg" TargetMode="External"/><Relationship Id="rId3160" Type="http://schemas.openxmlformats.org/officeDocument/2006/relationships/hyperlink" Target="https://pbs.twimg.com/media/EGbekJwW4AI8ksU.jpg" TargetMode="External"/><Relationship Id="rId4004" Type="http://schemas.openxmlformats.org/officeDocument/2006/relationships/hyperlink" Target="https://pbs.twimg.com/media/EGbR8XaWkAA9nGJ.jpg" TargetMode="External"/><Relationship Id="rId4211" Type="http://schemas.openxmlformats.org/officeDocument/2006/relationships/hyperlink" Target="http://instagram.com/wollky52" TargetMode="External"/><Relationship Id="rId1805" Type="http://schemas.openxmlformats.org/officeDocument/2006/relationships/hyperlink" Target="http://pic.twitter.com/ntXUPZ1yEE" TargetMode="External"/><Relationship Id="rId3020" Type="http://schemas.openxmlformats.org/officeDocument/2006/relationships/hyperlink" Target="https://pbs.twimg.com/media/EGbg9ZBWwAIqcjb.jpg" TargetMode="External"/><Relationship Id="rId3977" Type="http://schemas.openxmlformats.org/officeDocument/2006/relationships/hyperlink" Target="http://kerimozarslan.com.tr/" TargetMode="External"/><Relationship Id="rId898" Type="http://schemas.openxmlformats.org/officeDocument/2006/relationships/hyperlink" Target="https://twitter.com/dw_turkce/status/1181925819402346497" TargetMode="External"/><Relationship Id="rId2579" Type="http://schemas.openxmlformats.org/officeDocument/2006/relationships/hyperlink" Target="http://instagram.com/aysseollmez/" TargetMode="External"/><Relationship Id="rId2786" Type="http://schemas.openxmlformats.org/officeDocument/2006/relationships/hyperlink" Target="https://twitter.com/ttagrup/status/1181829264490029056" TargetMode="External"/><Relationship Id="rId2993" Type="http://schemas.openxmlformats.org/officeDocument/2006/relationships/hyperlink" Target="https://pbs.twimg.com/media/EGbhf-TWkAEYiOv.jpg" TargetMode="External"/><Relationship Id="rId3837" Type="http://schemas.openxmlformats.org/officeDocument/2006/relationships/hyperlink" Target="https://pbs.twimg.com/media/EGbUK0qX0AEA2rZ.jpg" TargetMode="External"/><Relationship Id="rId758" Type="http://schemas.openxmlformats.org/officeDocument/2006/relationships/hyperlink" Target="https://pbs.twimg.com/media/EGcQN9iWoAA7iSf.jpg" TargetMode="External"/><Relationship Id="rId965" Type="http://schemas.openxmlformats.org/officeDocument/2006/relationships/hyperlink" Target="https://pbs.twimg.com/media/EGcRFzfXkAQ3RY0.jpg" TargetMode="External"/><Relationship Id="rId1388" Type="http://schemas.openxmlformats.org/officeDocument/2006/relationships/hyperlink" Target="https://pbs.twimg.com/media/EGcNVuOX0AA0nXz.jpg" TargetMode="External"/><Relationship Id="rId1595" Type="http://schemas.openxmlformats.org/officeDocument/2006/relationships/hyperlink" Target="http://instagram.com/umutgulderen" TargetMode="External"/><Relationship Id="rId2439" Type="http://schemas.openxmlformats.org/officeDocument/2006/relationships/hyperlink" Target="https://pbs.twimg.com/media/EGbtoVAXYAAOZ5D.jpg" TargetMode="External"/><Relationship Id="rId2646" Type="http://schemas.openxmlformats.org/officeDocument/2006/relationships/hyperlink" Target="http://instagram.com/yavruozturkemrah" TargetMode="External"/><Relationship Id="rId2853" Type="http://schemas.openxmlformats.org/officeDocument/2006/relationships/hyperlink" Target="https://pbs.twimg.com/media/CthZDcBWEAAb3mP.jpg" TargetMode="External"/><Relationship Id="rId3904" Type="http://schemas.openxmlformats.org/officeDocument/2006/relationships/hyperlink" Target="https://pbs.twimg.com/media/EGbGadyXkAA96Dr.jpg" TargetMode="External"/><Relationship Id="rId94" Type="http://schemas.openxmlformats.org/officeDocument/2006/relationships/hyperlink" Target="https://twitter.com/ArgesArmanc/status/1181933166354948096" TargetMode="External"/><Relationship Id="rId618" Type="http://schemas.openxmlformats.org/officeDocument/2006/relationships/hyperlink" Target="http://instagram.com/enes.inci" TargetMode="External"/><Relationship Id="rId825" Type="http://schemas.openxmlformats.org/officeDocument/2006/relationships/hyperlink" Target="https://youtu.be/mijHAWa-2V4" TargetMode="External"/><Relationship Id="rId1248" Type="http://schemas.openxmlformats.org/officeDocument/2006/relationships/hyperlink" Target="http://www.cubbeliahmethoca.tv/" TargetMode="External"/><Relationship Id="rId1455" Type="http://schemas.openxmlformats.org/officeDocument/2006/relationships/hyperlink" Target="https://pbs.twimg.com/media/EGcM83hWwAEKrd-.jpg" TargetMode="External"/><Relationship Id="rId1662" Type="http://schemas.openxmlformats.org/officeDocument/2006/relationships/hyperlink" Target="http://www.mavikocaeli.com.tr/" TargetMode="External"/><Relationship Id="rId2506" Type="http://schemas.openxmlformats.org/officeDocument/2006/relationships/hyperlink" Target="http://pic.twitter.com/eXVwXYgULs" TargetMode="External"/><Relationship Id="rId1108" Type="http://schemas.openxmlformats.org/officeDocument/2006/relationships/hyperlink" Target="https://pbs.twimg.com/media/EGcP7qsXkAI-K8y.jpg" TargetMode="External"/><Relationship Id="rId1315" Type="http://schemas.openxmlformats.org/officeDocument/2006/relationships/hyperlink" Target="https://pbs.twimg.com/media/EGcOAFjWkAI6WPR.jpg" TargetMode="External"/><Relationship Id="rId2713" Type="http://schemas.openxmlformats.org/officeDocument/2006/relationships/hyperlink" Target="https://pbs.twimg.com/media/EGbm30wXoAA6t8j.jpg" TargetMode="External"/><Relationship Id="rId2920" Type="http://schemas.openxmlformats.org/officeDocument/2006/relationships/hyperlink" Target="http://pic.twitter.com/3X0Hbw9ClL" TargetMode="External"/><Relationship Id="rId1522" Type="http://schemas.openxmlformats.org/officeDocument/2006/relationships/hyperlink" Target="https://pbs.twimg.com/media/EGcMmxZWkAEizLJ.jpg" TargetMode="External"/><Relationship Id="rId21" Type="http://schemas.openxmlformats.org/officeDocument/2006/relationships/hyperlink" Target="https://pbs.twimg.com/media/EGcaLyRXoAAV4j7.png" TargetMode="External"/><Relationship Id="rId2089" Type="http://schemas.openxmlformats.org/officeDocument/2006/relationships/hyperlink" Target="https://npasyria.com/en/blog.php?id_blog=976&amp;sub_blog=10&amp;name_blog=The+Arab+League+condemns+and+rejects+any+Turkish+incursion+into+Syrian+territories" TargetMode="External"/><Relationship Id="rId3487" Type="http://schemas.openxmlformats.org/officeDocument/2006/relationships/hyperlink" Target="https://pbs.twimg.com/media/EGbZMieWsAEYNqK.jpg" TargetMode="External"/><Relationship Id="rId3694" Type="http://schemas.openxmlformats.org/officeDocument/2006/relationships/hyperlink" Target="https://pbs.twimg.com/media/D5tGg2dX4AAlXmf.jpg" TargetMode="External"/><Relationship Id="rId2296" Type="http://schemas.openxmlformats.org/officeDocument/2006/relationships/hyperlink" Target="https://pbs.twimg.com/media/EGbxexMWkAA8WE_.jpg" TargetMode="External"/><Relationship Id="rId3347" Type="http://schemas.openxmlformats.org/officeDocument/2006/relationships/hyperlink" Target="https://pbs.twimg.com/media/EGbbbRMX0AAI7ab.jpg" TargetMode="External"/><Relationship Id="rId3554" Type="http://schemas.openxmlformats.org/officeDocument/2006/relationships/hyperlink" Target="https://twitter.com/serdalcanbolat/status/1181864540209852416" TargetMode="External"/><Relationship Id="rId3761" Type="http://schemas.openxmlformats.org/officeDocument/2006/relationships/hyperlink" Target="https://pbs.twimg.com/media/D2KwefFXcAAxl8v.jpg" TargetMode="External"/><Relationship Id="rId268" Type="http://schemas.openxmlformats.org/officeDocument/2006/relationships/hyperlink" Target="http://pic.twitter.com/Dnl5pKTx5K" TargetMode="External"/><Relationship Id="rId475" Type="http://schemas.openxmlformats.org/officeDocument/2006/relationships/hyperlink" Target="https://pbs.twimg.com/media/EGcUrWyXUAMu_o4.jpg" TargetMode="External"/><Relationship Id="rId682" Type="http://schemas.openxmlformats.org/officeDocument/2006/relationships/hyperlink" Target="https://pbs.twimg.com/media/EGcTFyEXYAACLn4.jpg" TargetMode="External"/><Relationship Id="rId2156" Type="http://schemas.openxmlformats.org/officeDocument/2006/relationships/hyperlink" Target="http://pic.twitter.com/S4nFBEIT8l" TargetMode="External"/><Relationship Id="rId2363" Type="http://schemas.openxmlformats.org/officeDocument/2006/relationships/hyperlink" Target="http://instagram.com/alpvahitalp" TargetMode="External"/><Relationship Id="rId2570" Type="http://schemas.openxmlformats.org/officeDocument/2006/relationships/hyperlink" Target="https://pbs.twimg.com/media/EGbqPiqXYAEWhE4.jpg" TargetMode="External"/><Relationship Id="rId3207" Type="http://schemas.openxmlformats.org/officeDocument/2006/relationships/hyperlink" Target="http://pic.twitter.com/a4QtJI59Cp" TargetMode="External"/><Relationship Id="rId3414" Type="http://schemas.openxmlformats.org/officeDocument/2006/relationships/hyperlink" Target="https://twitter.com/SanatliTweetler" TargetMode="External"/><Relationship Id="rId3621" Type="http://schemas.openxmlformats.org/officeDocument/2006/relationships/hyperlink" Target="https://github.com/alperakbulak/" TargetMode="External"/><Relationship Id="rId128" Type="http://schemas.openxmlformats.org/officeDocument/2006/relationships/hyperlink" Target="http://aczmendi.tv/" TargetMode="External"/><Relationship Id="rId335" Type="http://schemas.openxmlformats.org/officeDocument/2006/relationships/hyperlink" Target="http://instagram.com/desisarap/" TargetMode="External"/><Relationship Id="rId542" Type="http://schemas.openxmlformats.org/officeDocument/2006/relationships/hyperlink" Target="https://pbs.twimg.com/media/EGcUHfeXYAIJuVQ.jpg" TargetMode="External"/><Relationship Id="rId1172" Type="http://schemas.openxmlformats.org/officeDocument/2006/relationships/hyperlink" Target="https://pbs.twimg.com/media/EGcPRFJWwAAUOoa.jpg" TargetMode="External"/><Relationship Id="rId2016" Type="http://schemas.openxmlformats.org/officeDocument/2006/relationships/hyperlink" Target="http://pic.twitter.com/yukgXyTeYE" TargetMode="External"/><Relationship Id="rId2223" Type="http://schemas.openxmlformats.org/officeDocument/2006/relationships/hyperlink" Target="http://instagram.com/halukvarolbambur" TargetMode="External"/><Relationship Id="rId2430" Type="http://schemas.openxmlformats.org/officeDocument/2006/relationships/hyperlink" Target="http://pic.twitter.com/gW96ZYCqx3" TargetMode="External"/><Relationship Id="rId402" Type="http://schemas.openxmlformats.org/officeDocument/2006/relationships/hyperlink" Target="http://www.vatantek.net/" TargetMode="External"/><Relationship Id="rId1032" Type="http://schemas.openxmlformats.org/officeDocument/2006/relationships/hyperlink" Target="https://pbs.twimg.com/media/EGcQj68WwAU4n_V.jpg" TargetMode="External"/><Relationship Id="rId4188" Type="http://schemas.openxmlformats.org/officeDocument/2006/relationships/hyperlink" Target="http://instegram.com/ciigdemcoskun" TargetMode="External"/><Relationship Id="rId4395" Type="http://schemas.openxmlformats.org/officeDocument/2006/relationships/hyperlink" Target="http://dimtv.tv/canliyayin" TargetMode="External"/><Relationship Id="rId1989" Type="http://schemas.openxmlformats.org/officeDocument/2006/relationships/hyperlink" Target="http://pic.twitter.com/klRs51Zxn8" TargetMode="External"/><Relationship Id="rId4048" Type="http://schemas.openxmlformats.org/officeDocument/2006/relationships/hyperlink" Target="http://pic.twitter.com/DXBvOCpqnb" TargetMode="External"/><Relationship Id="rId4255" Type="http://schemas.openxmlformats.org/officeDocument/2006/relationships/hyperlink" Target="https://pbs.twimg.com/media/EGbO0IGXUAEoMHn.jpg" TargetMode="External"/><Relationship Id="rId1849" Type="http://schemas.openxmlformats.org/officeDocument/2006/relationships/hyperlink" Target="https://pbs.twimg.com/media/DSZIuFKWAAU9SNm.jpg" TargetMode="External"/><Relationship Id="rId3064" Type="http://schemas.openxmlformats.org/officeDocument/2006/relationships/hyperlink" Target="http://www.kadirberber.com.tr/" TargetMode="External"/><Relationship Id="rId4462" Type="http://schemas.openxmlformats.org/officeDocument/2006/relationships/hyperlink" Target="https://pbs.twimg.com/media/EGa0LsjW4AMa0UL.jpg" TargetMode="External"/><Relationship Id="rId192" Type="http://schemas.openxmlformats.org/officeDocument/2006/relationships/hyperlink" Target="http://www.kurdistan24.net/" TargetMode="External"/><Relationship Id="rId1709" Type="http://schemas.openxmlformats.org/officeDocument/2006/relationships/hyperlink" Target="https://pbs.twimg.com/media/EGcLs8JXoAA22tB.jpg" TargetMode="External"/><Relationship Id="rId1916" Type="http://schemas.openxmlformats.org/officeDocument/2006/relationships/hyperlink" Target="https://youtu.be/Llk9lGqBVY8" TargetMode="External"/><Relationship Id="rId3271" Type="http://schemas.openxmlformats.org/officeDocument/2006/relationships/hyperlink" Target="http://pic.twitter.com/CPnuzfNn4X" TargetMode="External"/><Relationship Id="rId4115" Type="http://schemas.openxmlformats.org/officeDocument/2006/relationships/hyperlink" Target="https://pbs.twimg.com/media/EGbQVjRW4AAIxTX.jpg" TargetMode="External"/><Relationship Id="rId4322" Type="http://schemas.openxmlformats.org/officeDocument/2006/relationships/hyperlink" Target="https://pbs.twimg.com/media/EGbOEIAWsAYRqSD.jpg" TargetMode="External"/><Relationship Id="rId2080" Type="http://schemas.openxmlformats.org/officeDocument/2006/relationships/hyperlink" Target="https://www.youtube.com/channel/UC0XxohTXaBwfKicZmHCeYXA" TargetMode="External"/><Relationship Id="rId3131" Type="http://schemas.openxmlformats.org/officeDocument/2006/relationships/hyperlink" Target="https://pbs.twimg.com/media/EGbfDBAXoAI9UTw.jpg" TargetMode="External"/><Relationship Id="rId2897" Type="http://schemas.openxmlformats.org/officeDocument/2006/relationships/hyperlink" Target="https://pbs.twimg.com/media/EGbQ0vTXYAAVesi.jpg" TargetMode="External"/><Relationship Id="rId3948" Type="http://schemas.openxmlformats.org/officeDocument/2006/relationships/hyperlink" Target="https://pbs.twimg.com/media/EGbSztfX0AEo4tJ.jpg" TargetMode="External"/><Relationship Id="rId869" Type="http://schemas.openxmlformats.org/officeDocument/2006/relationships/hyperlink" Target="https://pbs.twimg.com/media/EGcNsKIXYAETgWc.jpg" TargetMode="External"/><Relationship Id="rId1499" Type="http://schemas.openxmlformats.org/officeDocument/2006/relationships/hyperlink" Target="http://tgb.gen.tr/" TargetMode="External"/><Relationship Id="rId729" Type="http://schemas.openxmlformats.org/officeDocument/2006/relationships/hyperlink" Target="https://pbs.twimg.com/media/EGcStjOW4AMDuN_.jpg" TargetMode="External"/><Relationship Id="rId1359" Type="http://schemas.openxmlformats.org/officeDocument/2006/relationships/hyperlink" Target="https://pbs.twimg.com/media/EGcNiXYXYAQKTY2.jpg" TargetMode="External"/><Relationship Id="rId2757" Type="http://schemas.openxmlformats.org/officeDocument/2006/relationships/hyperlink" Target="https://pbs.twimg.com/media/EGbl7u9WoAI7-XR.jpg" TargetMode="External"/><Relationship Id="rId2964" Type="http://schemas.openxmlformats.org/officeDocument/2006/relationships/hyperlink" Target="https://pbs.twimg.com/media/EGbiBT0WsAE7uFC.jpg" TargetMode="External"/><Relationship Id="rId3808" Type="http://schemas.openxmlformats.org/officeDocument/2006/relationships/hyperlink" Target="https://pbs.twimg.com/media/EGbUj9FWoAMQVkp.jpg" TargetMode="External"/><Relationship Id="rId936" Type="http://schemas.openxmlformats.org/officeDocument/2006/relationships/hyperlink" Target="https://pbs.twimg.com/media/EGcRUr6WsAAzWUm.jpg" TargetMode="External"/><Relationship Id="rId1219" Type="http://schemas.openxmlformats.org/officeDocument/2006/relationships/hyperlink" Target="https://pbs.twimg.com/media/EGcO2HRWsAAm2f6.jpg" TargetMode="External"/><Relationship Id="rId1566" Type="http://schemas.openxmlformats.org/officeDocument/2006/relationships/hyperlink" Target="https://pbs.twimg.com/media/EGcMaH3XkAESVqE.jpg" TargetMode="External"/><Relationship Id="rId1773" Type="http://schemas.openxmlformats.org/officeDocument/2006/relationships/hyperlink" Target="https://pbs.twimg.com/media/EGb-2E5WoAUyGu8.jpg" TargetMode="External"/><Relationship Id="rId1980" Type="http://schemas.openxmlformats.org/officeDocument/2006/relationships/hyperlink" Target="http://pic.twitter.com/T3FQIoe3p6" TargetMode="External"/><Relationship Id="rId2617" Type="http://schemas.openxmlformats.org/officeDocument/2006/relationships/hyperlink" Target="http://pic.twitter.com/6qs9cVM0It" TargetMode="External"/><Relationship Id="rId2824" Type="http://schemas.openxmlformats.org/officeDocument/2006/relationships/hyperlink" Target="https://pbs.twimg.com/media/EGbkRoWX0AAGKrh.jpg" TargetMode="External"/><Relationship Id="rId65" Type="http://schemas.openxmlformats.org/officeDocument/2006/relationships/hyperlink" Target="http://www.akpartisakarya.com/" TargetMode="External"/><Relationship Id="rId1426" Type="http://schemas.openxmlformats.org/officeDocument/2006/relationships/hyperlink" Target="https://pbs.twimg.com/media/EGcNIUdWkAEyVtN.jpg" TargetMode="External"/><Relationship Id="rId1633" Type="http://schemas.openxmlformats.org/officeDocument/2006/relationships/hyperlink" Target="http://instagram.com/erkinserver" TargetMode="External"/><Relationship Id="rId1840" Type="http://schemas.openxmlformats.org/officeDocument/2006/relationships/hyperlink" Target="https://pbs.twimg.com/media/EGb83IZWsAETWS3.jpg" TargetMode="External"/><Relationship Id="rId1700" Type="http://schemas.openxmlformats.org/officeDocument/2006/relationships/hyperlink" Target="http://www.instagram.com/niyazi_gurgen" TargetMode="External"/><Relationship Id="rId3598" Type="http://schemas.openxmlformats.org/officeDocument/2006/relationships/hyperlink" Target="http://pic.twitter.com/hJdEKUvDnD" TargetMode="External"/><Relationship Id="rId3458" Type="http://schemas.openxmlformats.org/officeDocument/2006/relationships/hyperlink" Target="http://pic.twitter.com/4zLuZwYDuo" TargetMode="External"/><Relationship Id="rId3665" Type="http://schemas.openxmlformats.org/officeDocument/2006/relationships/hyperlink" Target="https://www.instagram.com/c.osmanagaoglu/?hl=tr" TargetMode="External"/><Relationship Id="rId3872" Type="http://schemas.openxmlformats.org/officeDocument/2006/relationships/hyperlink" Target="http://pic.twitter.com/zYlVmA4M0j" TargetMode="External"/><Relationship Id="rId4509" Type="http://schemas.openxmlformats.org/officeDocument/2006/relationships/hyperlink" Target="http://s.cn/" TargetMode="External"/><Relationship Id="rId379" Type="http://schemas.openxmlformats.org/officeDocument/2006/relationships/hyperlink" Target="http://www.oddsmeter.com/" TargetMode="External"/><Relationship Id="rId586" Type="http://schemas.openxmlformats.org/officeDocument/2006/relationships/hyperlink" Target="https://twitter.com/tobiaschneider/status/1181165965809262597" TargetMode="External"/><Relationship Id="rId793" Type="http://schemas.openxmlformats.org/officeDocument/2006/relationships/hyperlink" Target="http://pic.twitter.com/KEXWj3fiNZ" TargetMode="External"/><Relationship Id="rId2267" Type="http://schemas.openxmlformats.org/officeDocument/2006/relationships/hyperlink" Target="https://pbs.twimg.com/media/EGbyQ-IWsAE6qcE.jpg" TargetMode="External"/><Relationship Id="rId2474" Type="http://schemas.openxmlformats.org/officeDocument/2006/relationships/hyperlink" Target="https://pbs.twimg.com/media/EGbst05W4AAK_U_.jpg" TargetMode="External"/><Relationship Id="rId2681" Type="http://schemas.openxmlformats.org/officeDocument/2006/relationships/hyperlink" Target="http://pic.twitter.com/bGpznlDP3P" TargetMode="External"/><Relationship Id="rId3318" Type="http://schemas.openxmlformats.org/officeDocument/2006/relationships/hyperlink" Target="https://twitter.com/clsknagustsbcgi/status/1181828668399788032" TargetMode="External"/><Relationship Id="rId3525" Type="http://schemas.openxmlformats.org/officeDocument/2006/relationships/hyperlink" Target="https://pbs.twimg.com/media/EGbL33LXYAAVrbM.jpg" TargetMode="External"/><Relationship Id="rId239" Type="http://schemas.openxmlformats.org/officeDocument/2006/relationships/hyperlink" Target="http://www.turkhackteam.org/" TargetMode="External"/><Relationship Id="rId446" Type="http://schemas.openxmlformats.org/officeDocument/2006/relationships/hyperlink" Target="https://pbs.twimg.com/media/EGcU7QUXYAE-FyK.jpg" TargetMode="External"/><Relationship Id="rId653" Type="http://schemas.openxmlformats.org/officeDocument/2006/relationships/hyperlink" Target="https://twitter.com/gazeteortadogu/status/1181933403853205506" TargetMode="External"/><Relationship Id="rId1076" Type="http://schemas.openxmlformats.org/officeDocument/2006/relationships/hyperlink" Target="https://pbs.twimg.com/media/EGcP4vOXoAE4b45.jpg" TargetMode="External"/><Relationship Id="rId1283" Type="http://schemas.openxmlformats.org/officeDocument/2006/relationships/hyperlink" Target="https://pbs.twimg.com/media/EGcONJJXkAEojQE.jpg" TargetMode="External"/><Relationship Id="rId1490" Type="http://schemas.openxmlformats.org/officeDocument/2006/relationships/hyperlink" Target="https://pbs.twimg.com/media/EGcMxkXWkAAr9BC.jpg" TargetMode="External"/><Relationship Id="rId2127" Type="http://schemas.openxmlformats.org/officeDocument/2006/relationships/hyperlink" Target="http://pic.twitter.com/H8HNmPUVZr" TargetMode="External"/><Relationship Id="rId2334" Type="http://schemas.openxmlformats.org/officeDocument/2006/relationships/hyperlink" Target="http://pic.twitter.com/eXVwXYgULs" TargetMode="External"/><Relationship Id="rId3732" Type="http://schemas.openxmlformats.org/officeDocument/2006/relationships/hyperlink" Target="https://pbs.twimg.com/media/EGbVh8FWkAAFm-t.jpg" TargetMode="External"/><Relationship Id="rId306" Type="http://schemas.openxmlformats.org/officeDocument/2006/relationships/hyperlink" Target="https://pbs.twimg.com/media/EGcWMmCXoAIGF_s.jpg" TargetMode="External"/><Relationship Id="rId860" Type="http://schemas.openxmlformats.org/officeDocument/2006/relationships/hyperlink" Target="https://instagram.com/recepsahin19" TargetMode="External"/><Relationship Id="rId1143" Type="http://schemas.openxmlformats.org/officeDocument/2006/relationships/hyperlink" Target="https://pbs.twimg.com/media/EGcNNLAWoAAvXMz.jpg" TargetMode="External"/><Relationship Id="rId2541" Type="http://schemas.openxmlformats.org/officeDocument/2006/relationships/hyperlink" Target="https://pbs.twimg.com/media/EGbrV_5W4AASS7r.jpg" TargetMode="External"/><Relationship Id="rId4299" Type="http://schemas.openxmlformats.org/officeDocument/2006/relationships/hyperlink" Target="http://pic.twitter.com/aZii6BcXsl" TargetMode="External"/><Relationship Id="rId513" Type="http://schemas.openxmlformats.org/officeDocument/2006/relationships/hyperlink" Target="http://www.fenerbahce.org/" TargetMode="External"/><Relationship Id="rId720" Type="http://schemas.openxmlformats.org/officeDocument/2006/relationships/hyperlink" Target="http://pic.twitter.com/gqwn9i1Fzm" TargetMode="External"/><Relationship Id="rId1350" Type="http://schemas.openxmlformats.org/officeDocument/2006/relationships/hyperlink" Target="http://pic.twitter.com/mLTWo7YzPM" TargetMode="External"/><Relationship Id="rId2401" Type="http://schemas.openxmlformats.org/officeDocument/2006/relationships/hyperlink" Target="https://pbs.twimg.com/media/EGbWCwOWwAERqEN.jpg" TargetMode="External"/><Relationship Id="rId4159" Type="http://schemas.openxmlformats.org/officeDocument/2006/relationships/hyperlink" Target="https://pbs.twimg.com/media/EGbP0uRXUAUty8l.jpg" TargetMode="External"/><Relationship Id="rId1003" Type="http://schemas.openxmlformats.org/officeDocument/2006/relationships/hyperlink" Target="https://twitter.com/RTErdogan/status/1181919804619407360" TargetMode="External"/><Relationship Id="rId1210" Type="http://schemas.openxmlformats.org/officeDocument/2006/relationships/hyperlink" Target="https://twitter.com/bureauofeconomy/status/1181919918331219968" TargetMode="External"/><Relationship Id="rId4366" Type="http://schemas.openxmlformats.org/officeDocument/2006/relationships/hyperlink" Target="https://pbs.twimg.com/media/EGbNplDWsAAq8Fy.jpg" TargetMode="External"/><Relationship Id="rId3175" Type="http://schemas.openxmlformats.org/officeDocument/2006/relationships/hyperlink" Target="https://pbs.twimg.com/media/EGbebVnX0AA6pPx.jpg" TargetMode="External"/><Relationship Id="rId3382" Type="http://schemas.openxmlformats.org/officeDocument/2006/relationships/hyperlink" Target="http://www.saraykoy.gov.tr/" TargetMode="External"/><Relationship Id="rId4019" Type="http://schemas.openxmlformats.org/officeDocument/2006/relationships/hyperlink" Target="https://youtu.be/GMT4aQ_Hzd0" TargetMode="External"/><Relationship Id="rId4226" Type="http://schemas.openxmlformats.org/officeDocument/2006/relationships/hyperlink" Target="https://twitter.com/kockar2626/status/1181330042703491074?s=19" TargetMode="External"/><Relationship Id="rId4433" Type="http://schemas.openxmlformats.org/officeDocument/2006/relationships/hyperlink" Target="https://pbs.twimg.com/media/EGbMvGFWwAEVBge.jpg" TargetMode="External"/><Relationship Id="rId2191" Type="http://schemas.openxmlformats.org/officeDocument/2006/relationships/hyperlink" Target="https://pbs.twimg.com/media/EGb0F7GW4AEUSh1.jpg" TargetMode="External"/><Relationship Id="rId3035" Type="http://schemas.openxmlformats.org/officeDocument/2006/relationships/hyperlink" Target="https://www.instagram.com/muhammettapis/" TargetMode="External"/><Relationship Id="rId3242" Type="http://schemas.openxmlformats.org/officeDocument/2006/relationships/hyperlink" Target="http://instagram.com/mustafaturkmen__" TargetMode="External"/><Relationship Id="rId4500" Type="http://schemas.openxmlformats.org/officeDocument/2006/relationships/hyperlink" Target="https://www.youtube.com/channel/UCTIoPBaWRC7Gzn7a4XN570Q?view_as=subscriber" TargetMode="External"/><Relationship Id="rId163" Type="http://schemas.openxmlformats.org/officeDocument/2006/relationships/hyperlink" Target="https://pbs.twimg.com/media/EGcXzijXYAAq_uE.jpg" TargetMode="External"/><Relationship Id="rId370" Type="http://schemas.openxmlformats.org/officeDocument/2006/relationships/hyperlink" Target="https://suecetasci.wordpress.com/" TargetMode="External"/><Relationship Id="rId2051" Type="http://schemas.openxmlformats.org/officeDocument/2006/relationships/hyperlink" Target="https://pbs.twimg.com/media/EGb3sxsWoAEOPh6.jpg" TargetMode="External"/><Relationship Id="rId3102" Type="http://schemas.openxmlformats.org/officeDocument/2006/relationships/hyperlink" Target="http://instagram.com/yesimtatarank" TargetMode="External"/><Relationship Id="rId230" Type="http://schemas.openxmlformats.org/officeDocument/2006/relationships/hyperlink" Target="https://pbs.twimg.com/media/EGcW71-W4AAfxct.jpg" TargetMode="External"/><Relationship Id="rId2868" Type="http://schemas.openxmlformats.org/officeDocument/2006/relationships/hyperlink" Target="https://pbs.twimg.com/media/EGbjXqiXUAArzWf.jpg" TargetMode="External"/><Relationship Id="rId3919" Type="http://schemas.openxmlformats.org/officeDocument/2006/relationships/hyperlink" Target="https://pbs.twimg.com/media/EGbTJFZWwAAionc.jpg" TargetMode="External"/><Relationship Id="rId4083" Type="http://schemas.openxmlformats.org/officeDocument/2006/relationships/hyperlink" Target="https://pbs.twimg.com/media/EGbQ0h8WwAAtsFw.jpg" TargetMode="External"/><Relationship Id="rId1677" Type="http://schemas.openxmlformats.org/officeDocument/2006/relationships/hyperlink" Target="https://www.youtube.com/channel/UCiRUKVdWdPCGKhoVF0bwF9w" TargetMode="External"/><Relationship Id="rId1884" Type="http://schemas.openxmlformats.org/officeDocument/2006/relationships/hyperlink" Target="https://pbs.twimg.com/media/EGb7oZhXoAA1ujh.jpg" TargetMode="External"/><Relationship Id="rId2728" Type="http://schemas.openxmlformats.org/officeDocument/2006/relationships/hyperlink" Target="https://pbs.twimg.com/media/D2KwefFXcAAxl8v.jpg" TargetMode="External"/><Relationship Id="rId2935" Type="http://schemas.openxmlformats.org/officeDocument/2006/relationships/hyperlink" Target="https://pbs.twimg.com/media/EGbiYNNWwAAChr_.jpg" TargetMode="External"/><Relationship Id="rId4290" Type="http://schemas.openxmlformats.org/officeDocument/2006/relationships/hyperlink" Target="https://pbs.twimg.com/media/EGa6QzzXUAAyBQM.jpg" TargetMode="External"/><Relationship Id="rId907" Type="http://schemas.openxmlformats.org/officeDocument/2006/relationships/hyperlink" Target="https://pbs.twimg.com/media/EGcRhmfWwAABI3O.jpg" TargetMode="External"/><Relationship Id="rId1537" Type="http://schemas.openxmlformats.org/officeDocument/2006/relationships/hyperlink" Target="http://www.akkentgroup.com.tr/" TargetMode="External"/><Relationship Id="rId1744" Type="http://schemas.openxmlformats.org/officeDocument/2006/relationships/hyperlink" Target="https://youtu.be/OFdlTzovEg4" TargetMode="External"/><Relationship Id="rId1951" Type="http://schemas.openxmlformats.org/officeDocument/2006/relationships/hyperlink" Target="https://www.twitch.tv/cqrstv" TargetMode="External"/><Relationship Id="rId4150" Type="http://schemas.openxmlformats.org/officeDocument/2006/relationships/hyperlink" Target="https://pbs.twimg.com/media/EGbP-ZQX0AAuwC9.jpg" TargetMode="External"/><Relationship Id="rId36" Type="http://schemas.openxmlformats.org/officeDocument/2006/relationships/hyperlink" Target="https://www.instagram.com/umutsykan" TargetMode="External"/><Relationship Id="rId1604" Type="http://schemas.openxmlformats.org/officeDocument/2006/relationships/hyperlink" Target="https://pbs.twimg.com/media/EGcMRvZX0AA9ggw.jpg" TargetMode="External"/><Relationship Id="rId4010" Type="http://schemas.openxmlformats.org/officeDocument/2006/relationships/hyperlink" Target="https://pbs.twimg.com/media/EGbR46TXYAEVQq1.jpg" TargetMode="External"/><Relationship Id="rId1811" Type="http://schemas.openxmlformats.org/officeDocument/2006/relationships/hyperlink" Target="https://pbs.twimg.com/media/D2KwefGXgAACWK6.jpg" TargetMode="External"/><Relationship Id="rId3569" Type="http://schemas.openxmlformats.org/officeDocument/2006/relationships/hyperlink" Target="https://pbs.twimg.com/media/EGbX6iRW4AM5Akl.jpg" TargetMode="External"/><Relationship Id="rId697" Type="http://schemas.openxmlformats.org/officeDocument/2006/relationships/hyperlink" Target="https://www.instagram.com/onurturul/?hl=tr" TargetMode="External"/><Relationship Id="rId2378" Type="http://schemas.openxmlformats.org/officeDocument/2006/relationships/hyperlink" Target="http://www.instagram.com/furkancoskun.58" TargetMode="External"/><Relationship Id="rId3429" Type="http://schemas.openxmlformats.org/officeDocument/2006/relationships/hyperlink" Target="https://pbs.twimg.com/media/EGbaDfCWkAAzQXy.jpg" TargetMode="External"/><Relationship Id="rId3776" Type="http://schemas.openxmlformats.org/officeDocument/2006/relationships/hyperlink" Target="https://pbs.twimg.com/media/EGbU85lWkAM2p6h.jpg" TargetMode="External"/><Relationship Id="rId3983" Type="http://schemas.openxmlformats.org/officeDocument/2006/relationships/hyperlink" Target="http://pic.twitter.com/c1y2IjTTnG" TargetMode="External"/><Relationship Id="rId1187" Type="http://schemas.openxmlformats.org/officeDocument/2006/relationships/hyperlink" Target="https://twitter.com/tskgnkur/status/1181566115996196865" TargetMode="External"/><Relationship Id="rId2585" Type="http://schemas.openxmlformats.org/officeDocument/2006/relationships/hyperlink" Target="https://pbs.twimg.com/media/EGbp5eeXUAI8OHq.jpg" TargetMode="External"/><Relationship Id="rId2792" Type="http://schemas.openxmlformats.org/officeDocument/2006/relationships/hyperlink" Target="https://pbs.twimg.com/media/EGbk05FW4AEu2cv.jpg" TargetMode="External"/><Relationship Id="rId3636" Type="http://schemas.openxmlformats.org/officeDocument/2006/relationships/hyperlink" Target="https://pbs.twimg.com/media/EGbW44NWwAEu0Zf.jpg" TargetMode="External"/><Relationship Id="rId3843" Type="http://schemas.openxmlformats.org/officeDocument/2006/relationships/hyperlink" Target="http://www.artihaber27.com/" TargetMode="External"/><Relationship Id="rId557" Type="http://schemas.openxmlformats.org/officeDocument/2006/relationships/hyperlink" Target="http://instagram.com/Basagut" TargetMode="External"/><Relationship Id="rId764" Type="http://schemas.openxmlformats.org/officeDocument/2006/relationships/hyperlink" Target="https://pbs.twimg.com/media/EGcSf50XkAEUNFZ.jpg" TargetMode="External"/><Relationship Id="rId971" Type="http://schemas.openxmlformats.org/officeDocument/2006/relationships/hyperlink" Target="https://pbs.twimg.com/media/EGcRDkwW4AAsD_W.jpg" TargetMode="External"/><Relationship Id="rId1394" Type="http://schemas.openxmlformats.org/officeDocument/2006/relationships/hyperlink" Target="http://www.idealistkalemler.com/" TargetMode="External"/><Relationship Id="rId2238" Type="http://schemas.openxmlformats.org/officeDocument/2006/relationships/hyperlink" Target="https://pbs.twimg.com/media/EGbzCHvWoAAIhxb.jpg" TargetMode="External"/><Relationship Id="rId2445" Type="http://schemas.openxmlformats.org/officeDocument/2006/relationships/hyperlink" Target="http://pic.twitter.com/QIabKxwttr" TargetMode="External"/><Relationship Id="rId2652" Type="http://schemas.openxmlformats.org/officeDocument/2006/relationships/hyperlink" Target="https://pbs.twimg.com/media/EGboPKqXYAASIfe.jpg" TargetMode="External"/><Relationship Id="rId3703" Type="http://schemas.openxmlformats.org/officeDocument/2006/relationships/hyperlink" Target="http://pic.twitter.com/vKXciQYina" TargetMode="External"/><Relationship Id="rId3910" Type="http://schemas.openxmlformats.org/officeDocument/2006/relationships/hyperlink" Target="http://pic.twitter.com/8Mw1bsNcSK" TargetMode="External"/><Relationship Id="rId417" Type="http://schemas.openxmlformats.org/officeDocument/2006/relationships/hyperlink" Target="https://pbs.twimg.com/media/EGcVNVAX0AERtwv.jpg" TargetMode="External"/><Relationship Id="rId624" Type="http://schemas.openxmlformats.org/officeDocument/2006/relationships/hyperlink" Target="https://pbs.twimg.com/media/EGcTYdxXoAEg__l.jpg" TargetMode="External"/><Relationship Id="rId831" Type="http://schemas.openxmlformats.org/officeDocument/2006/relationships/hyperlink" Target="http://instagram.com/akkayabatu" TargetMode="External"/><Relationship Id="rId1047" Type="http://schemas.openxmlformats.org/officeDocument/2006/relationships/hyperlink" Target="https://instagram.com/mezknnnn" TargetMode="External"/><Relationship Id="rId1254" Type="http://schemas.openxmlformats.org/officeDocument/2006/relationships/hyperlink" Target="https://pbs.twimg.com/media/EGcOg2_XYAA4v8b.jpg" TargetMode="External"/><Relationship Id="rId1461" Type="http://schemas.openxmlformats.org/officeDocument/2006/relationships/hyperlink" Target="https://pbs.twimg.com/media/EGcM582W4AAzs6I.jpg" TargetMode="External"/><Relationship Id="rId2305" Type="http://schemas.openxmlformats.org/officeDocument/2006/relationships/hyperlink" Target="https://pbs.twimg.com/media/EGbxRKCXUAEdUvW.jpg" TargetMode="External"/><Relationship Id="rId2512" Type="http://schemas.openxmlformats.org/officeDocument/2006/relationships/hyperlink" Target="https://pbs.twimg.com/media/EGbr9dIWwAAm9Pg.jpg" TargetMode="External"/><Relationship Id="rId1114" Type="http://schemas.openxmlformats.org/officeDocument/2006/relationships/hyperlink" Target="http://pic.twitter.com/uAByVzdmEx" TargetMode="External"/><Relationship Id="rId1321" Type="http://schemas.openxmlformats.org/officeDocument/2006/relationships/hyperlink" Target="http://pic.twitter.com/C3D2XgAyiJ" TargetMode="External"/><Relationship Id="rId4477" Type="http://schemas.openxmlformats.org/officeDocument/2006/relationships/hyperlink" Target="https://pbs.twimg.com/media/EGbMQfWWkAA7s0W.jpg" TargetMode="External"/><Relationship Id="rId3079" Type="http://schemas.openxmlformats.org/officeDocument/2006/relationships/hyperlink" Target="http://pic.twitter.com/9F1v6xaaca" TargetMode="External"/><Relationship Id="rId3286" Type="http://schemas.openxmlformats.org/officeDocument/2006/relationships/hyperlink" Target="https://m.facebook.com/orhanakpinarcom?ref=bookmarks" TargetMode="External"/><Relationship Id="rId3493" Type="http://schemas.openxmlformats.org/officeDocument/2006/relationships/hyperlink" Target="http://instagram.com/ismailalay53" TargetMode="External"/><Relationship Id="rId4337" Type="http://schemas.openxmlformats.org/officeDocument/2006/relationships/hyperlink" Target="https://pbs.twimg.com/media/EGbN3a_WoAApgiL.jpg" TargetMode="External"/><Relationship Id="rId2095" Type="http://schemas.openxmlformats.org/officeDocument/2006/relationships/hyperlink" Target="http://feeds.soundcloud.com/users/soundcloud:users:619355622/sounds.rss" TargetMode="External"/><Relationship Id="rId3146" Type="http://schemas.openxmlformats.org/officeDocument/2006/relationships/hyperlink" Target="https://pbs.twimg.com/media/EGbeyVDXYAAFqtJ.jpg" TargetMode="External"/><Relationship Id="rId3353" Type="http://schemas.openxmlformats.org/officeDocument/2006/relationships/hyperlink" Target="https://pbs.twimg.com/media/EGbbShtXkAEJevD.jpg" TargetMode="External"/><Relationship Id="rId274" Type="http://schemas.openxmlformats.org/officeDocument/2006/relationships/hyperlink" Target="http://pic.twitter.com/cE1BAg8UY7" TargetMode="External"/><Relationship Id="rId481" Type="http://schemas.openxmlformats.org/officeDocument/2006/relationships/hyperlink" Target="https://pbs.twimg.com/media/EGcUqI7WoAErQm1.jpg" TargetMode="External"/><Relationship Id="rId2162" Type="http://schemas.openxmlformats.org/officeDocument/2006/relationships/hyperlink" Target="https://pbs.twimg.com/media/EGb042AWsAAuFmy.jpg" TargetMode="External"/><Relationship Id="rId3006" Type="http://schemas.openxmlformats.org/officeDocument/2006/relationships/hyperlink" Target="https://www.youtube.com/c/EsistBigbin" TargetMode="External"/><Relationship Id="rId3560" Type="http://schemas.openxmlformats.org/officeDocument/2006/relationships/hyperlink" Target="https://pbs.twimg.com/media/EGbYLAbX0AAk0bJ.jpg" TargetMode="External"/><Relationship Id="rId4404" Type="http://schemas.openxmlformats.org/officeDocument/2006/relationships/hyperlink" Target="http://www.art&#305;kkapal&#305;y&#305;z.com.tr/" TargetMode="External"/><Relationship Id="rId134" Type="http://schemas.openxmlformats.org/officeDocument/2006/relationships/hyperlink" Target="https://pbs.twimg.com/media/EGcYV6ZWkAAwcsC.jpg" TargetMode="External"/><Relationship Id="rId3213" Type="http://schemas.openxmlformats.org/officeDocument/2006/relationships/hyperlink" Target="http://mihr.com/" TargetMode="External"/><Relationship Id="rId3420" Type="http://schemas.openxmlformats.org/officeDocument/2006/relationships/hyperlink" Target="http://www.gencrefah.com/" TargetMode="External"/><Relationship Id="rId341" Type="http://schemas.openxmlformats.org/officeDocument/2006/relationships/hyperlink" Target="http://www.bayrampasa.gov.tr/" TargetMode="External"/><Relationship Id="rId2022" Type="http://schemas.openxmlformats.org/officeDocument/2006/relationships/hyperlink" Target="https://pbs.twimg.com/media/EGb4Rg_W4AAJ49L.jpg" TargetMode="External"/><Relationship Id="rId2979" Type="http://schemas.openxmlformats.org/officeDocument/2006/relationships/hyperlink" Target="https://pbs.twimg.com/media/EGbhu-_WsAYVFrC.jpg" TargetMode="External"/><Relationship Id="rId201" Type="http://schemas.openxmlformats.org/officeDocument/2006/relationships/hyperlink" Target="https://pbs.twimg.com/media/EGcXMuDXYAIxExG.jpg" TargetMode="External"/><Relationship Id="rId1788" Type="http://schemas.openxmlformats.org/officeDocument/2006/relationships/hyperlink" Target="https://pbs.twimg.com/media/EGb-bk1X0AAkO13.jpg" TargetMode="External"/><Relationship Id="rId1995" Type="http://schemas.openxmlformats.org/officeDocument/2006/relationships/hyperlink" Target="https://pbs.twimg.com/media/EGb40zWWsAAw2H5.png" TargetMode="External"/><Relationship Id="rId2839" Type="http://schemas.openxmlformats.org/officeDocument/2006/relationships/hyperlink" Target="http://www.fenerbah&#231;e.com.tr/" TargetMode="External"/><Relationship Id="rId4194" Type="http://schemas.openxmlformats.org/officeDocument/2006/relationships/hyperlink" Target="http://pic.twitter.com/evIYGHGF64" TargetMode="External"/><Relationship Id="rId1648" Type="http://schemas.openxmlformats.org/officeDocument/2006/relationships/hyperlink" Target="https://youtu.be/Sdw7eaCSzhg" TargetMode="External"/><Relationship Id="rId4054" Type="http://schemas.openxmlformats.org/officeDocument/2006/relationships/hyperlink" Target="http://www.avrasyamuhasebe.com/" TargetMode="External"/><Relationship Id="rId4261" Type="http://schemas.openxmlformats.org/officeDocument/2006/relationships/hyperlink" Target="https://pbs.twimg.com/media/EGbOtcNXkAE6_Y2.jpg" TargetMode="External"/><Relationship Id="rId1508" Type="http://schemas.openxmlformats.org/officeDocument/2006/relationships/hyperlink" Target="https://pbs.twimg.com/media/EGcMswWWsAcHxuu.jpg" TargetMode="External"/><Relationship Id="rId1855" Type="http://schemas.openxmlformats.org/officeDocument/2006/relationships/hyperlink" Target="https://pbs.twimg.com/media/EGb8XzzXYAAZCTl.jpg" TargetMode="External"/><Relationship Id="rId2906" Type="http://schemas.openxmlformats.org/officeDocument/2006/relationships/hyperlink" Target="https://pbs.twimg.com/media/EGbi4GrXoAIT2aC.jpg" TargetMode="External"/><Relationship Id="rId3070" Type="http://schemas.openxmlformats.org/officeDocument/2006/relationships/hyperlink" Target="https://pbs.twimg.com/media/EGbgAyhXkAATl5L.jpg" TargetMode="External"/><Relationship Id="rId4121" Type="http://schemas.openxmlformats.org/officeDocument/2006/relationships/hyperlink" Target="http://instagram.com/oguzhanncaylak" TargetMode="External"/><Relationship Id="rId1715" Type="http://schemas.openxmlformats.org/officeDocument/2006/relationships/hyperlink" Target="https://pbs.twimg.com/media/EGcLq4gWwAAWebr.jpg" TargetMode="External"/><Relationship Id="rId1922" Type="http://schemas.openxmlformats.org/officeDocument/2006/relationships/hyperlink" Target="https://pbs.twimg.com/media/EGb65UBWsAA7ARG.jpg" TargetMode="External"/><Relationship Id="rId3887" Type="http://schemas.openxmlformats.org/officeDocument/2006/relationships/hyperlink" Target="https://pbs.twimg.com/media/EGbTpjYWsAAiTxQ.jpg" TargetMode="External"/><Relationship Id="rId2489" Type="http://schemas.openxmlformats.org/officeDocument/2006/relationships/hyperlink" Target="https://pbs.twimg.com/media/D9X5ulJWkAItSB0.jpg" TargetMode="External"/><Relationship Id="rId2696" Type="http://schemas.openxmlformats.org/officeDocument/2006/relationships/hyperlink" Target="https://pbs.twimg.com/media/EGbnXPHW4AEoeaF.jpg" TargetMode="External"/><Relationship Id="rId3747" Type="http://schemas.openxmlformats.org/officeDocument/2006/relationships/hyperlink" Target="https://pbs.twimg.com/media/EGbVSymWkAA8DBS.jpg" TargetMode="External"/><Relationship Id="rId3954" Type="http://schemas.openxmlformats.org/officeDocument/2006/relationships/hyperlink" Target="https://pbs.twimg.com/media/EGbSuvkXkAAOIP-.jpg" TargetMode="External"/><Relationship Id="rId668" Type="http://schemas.openxmlformats.org/officeDocument/2006/relationships/hyperlink" Target="http://www.mehriata.com/" TargetMode="External"/><Relationship Id="rId875" Type="http://schemas.openxmlformats.org/officeDocument/2006/relationships/hyperlink" Target="http://senelyediyildiz.com.tr/" TargetMode="External"/><Relationship Id="rId1298" Type="http://schemas.openxmlformats.org/officeDocument/2006/relationships/hyperlink" Target="https://www.instagram.com/onurgmuss/" TargetMode="External"/><Relationship Id="rId2349" Type="http://schemas.openxmlformats.org/officeDocument/2006/relationships/hyperlink" Target="https://pbs.twimg.com/media/EGbvwz4X0AErtxo.jpg" TargetMode="External"/><Relationship Id="rId2556" Type="http://schemas.openxmlformats.org/officeDocument/2006/relationships/hyperlink" Target="https://pbs.twimg.com/media/EGbqpWZXYAEJzyA.jpg" TargetMode="External"/><Relationship Id="rId2763" Type="http://schemas.openxmlformats.org/officeDocument/2006/relationships/hyperlink" Target="https://pbs.twimg.com/media/EGblscaWkAIT4AE.jpg" TargetMode="External"/><Relationship Id="rId2970" Type="http://schemas.openxmlformats.org/officeDocument/2006/relationships/hyperlink" Target="https://pbs.twimg.com/media/EGTCx6IXoAYdQsH.jpg" TargetMode="External"/><Relationship Id="rId3607" Type="http://schemas.openxmlformats.org/officeDocument/2006/relationships/hyperlink" Target="https://pbs.twimg.com/media/EGbXUxsW4AAXxwY.jpg" TargetMode="External"/><Relationship Id="rId3814" Type="http://schemas.openxmlformats.org/officeDocument/2006/relationships/hyperlink" Target="https://pbs.twimg.com/media/EGbUeIzW4AETGZr.jpg" TargetMode="External"/><Relationship Id="rId528" Type="http://schemas.openxmlformats.org/officeDocument/2006/relationships/hyperlink" Target="https://pbs.twimg.com/media/EGcUQlUXkAIGFpN.jpg" TargetMode="External"/><Relationship Id="rId735" Type="http://schemas.openxmlformats.org/officeDocument/2006/relationships/hyperlink" Target="http://instagram.com/drmusasahin28" TargetMode="External"/><Relationship Id="rId942" Type="http://schemas.openxmlformats.org/officeDocument/2006/relationships/hyperlink" Target="http://pic.twitter.com/Oh68DuOJ9O" TargetMode="External"/><Relationship Id="rId1158" Type="http://schemas.openxmlformats.org/officeDocument/2006/relationships/hyperlink" Target="http://pic.twitter.com/QpqIYiDdt0" TargetMode="External"/><Relationship Id="rId1365" Type="http://schemas.openxmlformats.org/officeDocument/2006/relationships/hyperlink" Target="https://pbs.twimg.com/media/EGcNgRVWkAAAG46.jpg" TargetMode="External"/><Relationship Id="rId1572" Type="http://schemas.openxmlformats.org/officeDocument/2006/relationships/hyperlink" Target="http://www.yasamgazetesi.com.tr/siyaset/baris-pinari-harekati-basladi-h210891.html" TargetMode="External"/><Relationship Id="rId2209" Type="http://schemas.openxmlformats.org/officeDocument/2006/relationships/hyperlink" Target="https://pbs.twimg.com/media/EGbzytEXoAApxwC.jpg" TargetMode="External"/><Relationship Id="rId2416" Type="http://schemas.openxmlformats.org/officeDocument/2006/relationships/hyperlink" Target="https://pbs.twimg.com/media/EGbuMcBWkAEhxZZ.jpg" TargetMode="External"/><Relationship Id="rId2623" Type="http://schemas.openxmlformats.org/officeDocument/2006/relationships/hyperlink" Target="http://pic.twitter.com/NUINlwvjpz" TargetMode="External"/><Relationship Id="rId1018" Type="http://schemas.openxmlformats.org/officeDocument/2006/relationships/hyperlink" Target="https://pbs.twimg.com/media/EGcQrWIWsAUXBuY.jpg" TargetMode="External"/><Relationship Id="rId1225" Type="http://schemas.openxmlformats.org/officeDocument/2006/relationships/hyperlink" Target="https://pbs.twimg.com/media/EGcOzigWoAA2lkO.jpg" TargetMode="External"/><Relationship Id="rId1432" Type="http://schemas.openxmlformats.org/officeDocument/2006/relationships/hyperlink" Target="https://pbs.twimg.com/media/EGcNEavWsAEFMdl.jpg" TargetMode="External"/><Relationship Id="rId2830" Type="http://schemas.openxmlformats.org/officeDocument/2006/relationships/hyperlink" Target="https://trdeprem.wixsite.com/depremss" TargetMode="External"/><Relationship Id="rId71" Type="http://schemas.openxmlformats.org/officeDocument/2006/relationships/hyperlink" Target="https://pbs.twimg.com/media/EGcPpSqWsAAoIV_.jpg" TargetMode="External"/><Relationship Id="rId802" Type="http://schemas.openxmlformats.org/officeDocument/2006/relationships/hyperlink" Target="https://pbs.twimg.com/media/EGcSMdBWwAAgCOE.jpg" TargetMode="External"/><Relationship Id="rId3397" Type="http://schemas.openxmlformats.org/officeDocument/2006/relationships/hyperlink" Target="https://pbs.twimg.com/media/EGbajmrXkAADvPo.jpg" TargetMode="External"/><Relationship Id="rId4448" Type="http://schemas.openxmlformats.org/officeDocument/2006/relationships/hyperlink" Target="https://pbs.twimg.com/media/EGbMf1lX0AAt1Xe.jpg" TargetMode="External"/><Relationship Id="rId178" Type="http://schemas.openxmlformats.org/officeDocument/2006/relationships/hyperlink" Target="https://pbs.twimg.com/media/EGcXe-tXkAA0qRH.jpg" TargetMode="External"/><Relationship Id="rId3257" Type="http://schemas.openxmlformats.org/officeDocument/2006/relationships/hyperlink" Target="https://www.youtube.com/channel/UCrozceKCH_-qJQ6ahZ_qpgg" TargetMode="External"/><Relationship Id="rId3464" Type="http://schemas.openxmlformats.org/officeDocument/2006/relationships/hyperlink" Target="http://ctle.klu.edu.tr/" TargetMode="External"/><Relationship Id="rId3671" Type="http://schemas.openxmlformats.org/officeDocument/2006/relationships/hyperlink" Target="https://pbs.twimg.com/media/EGbWQbpXkAAjcZQ.jpg" TargetMode="External"/><Relationship Id="rId4308" Type="http://schemas.openxmlformats.org/officeDocument/2006/relationships/hyperlink" Target="http://www.gecekondu.org.tr/" TargetMode="External"/><Relationship Id="rId4515" Type="http://schemas.openxmlformats.org/officeDocument/2006/relationships/hyperlink" Target="https://pbs.twimg.com/media/EGbJr2AWwAAwcVi.jpg" TargetMode="External"/><Relationship Id="rId385" Type="http://schemas.openxmlformats.org/officeDocument/2006/relationships/hyperlink" Target="https://pbs.twimg.com/media/EGcViR4XkAIdcFC.jpg" TargetMode="External"/><Relationship Id="rId592" Type="http://schemas.openxmlformats.org/officeDocument/2006/relationships/hyperlink" Target="https://pbs.twimg.com/media/EGcTtUHWoAI0MGZ.jpg" TargetMode="External"/><Relationship Id="rId2066" Type="http://schemas.openxmlformats.org/officeDocument/2006/relationships/hyperlink" Target="https://pbs.twimg.com/media/EGYNyxoXkAAeKmj.jpg" TargetMode="External"/><Relationship Id="rId2273" Type="http://schemas.openxmlformats.org/officeDocument/2006/relationships/hyperlink" Target="http://pic.twitter.com/rfzjzhqdyA" TargetMode="External"/><Relationship Id="rId2480" Type="http://schemas.openxmlformats.org/officeDocument/2006/relationships/hyperlink" Target="http://pic.twitter.com/91McTEC0jt" TargetMode="External"/><Relationship Id="rId3117" Type="http://schemas.openxmlformats.org/officeDocument/2006/relationships/hyperlink" Target="https://pbs.twimg.com/media/EGbfOXKXoAEiwO_.jpg" TargetMode="External"/><Relationship Id="rId3324" Type="http://schemas.openxmlformats.org/officeDocument/2006/relationships/hyperlink" Target="https://pbs.twimg.com/media/EGbbsiVWkAANIC5.jpg" TargetMode="External"/><Relationship Id="rId3531" Type="http://schemas.openxmlformats.org/officeDocument/2006/relationships/hyperlink" Target="https://pbs.twimg.com/media/EGbYihkX0AAbYZ0.jpg" TargetMode="External"/><Relationship Id="rId245" Type="http://schemas.openxmlformats.org/officeDocument/2006/relationships/hyperlink" Target="https://pbs.twimg.com/media/EGcW3nZX0AA5yVq.jpg" TargetMode="External"/><Relationship Id="rId452" Type="http://schemas.openxmlformats.org/officeDocument/2006/relationships/hyperlink" Target="https://pbs.twimg.com/media/EGcU27iXoAA_7De.jpg" TargetMode="External"/><Relationship Id="rId1082" Type="http://schemas.openxmlformats.org/officeDocument/2006/relationships/hyperlink" Target="https://pbs.twimg.com/media/EGcQAW0XUAIKOpy.jpg" TargetMode="External"/><Relationship Id="rId2133" Type="http://schemas.openxmlformats.org/officeDocument/2006/relationships/hyperlink" Target="https://pbs.twimg.com/media/EGb1qtmW4AAIPdb.jpg" TargetMode="External"/><Relationship Id="rId2340" Type="http://schemas.openxmlformats.org/officeDocument/2006/relationships/hyperlink" Target="http://pic.twitter.com/bLSLCfTYZu" TargetMode="External"/><Relationship Id="rId105" Type="http://schemas.openxmlformats.org/officeDocument/2006/relationships/hyperlink" Target="https://pbs.twimg.com/media/EGcY9d8XYAAwhes.jpg" TargetMode="External"/><Relationship Id="rId312" Type="http://schemas.openxmlformats.org/officeDocument/2006/relationships/hyperlink" Target="http://instagram.com/emregumusbass" TargetMode="External"/><Relationship Id="rId2200" Type="http://schemas.openxmlformats.org/officeDocument/2006/relationships/hyperlink" Target="https://www.instagram.com/Mhmttkeskinn/" TargetMode="External"/><Relationship Id="rId4098" Type="http://schemas.openxmlformats.org/officeDocument/2006/relationships/hyperlink" Target="https://pbs.twimg.com/media/EGbQfELX0AAX29v.jpg" TargetMode="External"/><Relationship Id="rId1899" Type="http://schemas.openxmlformats.org/officeDocument/2006/relationships/hyperlink" Target="http://ipsizmedya.com/" TargetMode="External"/><Relationship Id="rId4165" Type="http://schemas.openxmlformats.org/officeDocument/2006/relationships/hyperlink" Target="https://pbs.twimg.com/media/EGbKvCyW4AAgBzf.jpg" TargetMode="External"/><Relationship Id="rId4372" Type="http://schemas.openxmlformats.org/officeDocument/2006/relationships/hyperlink" Target="https://pbs.twimg.com/media/EGbNh0nX0AAi-p1.jpg" TargetMode="External"/><Relationship Id="rId1759" Type="http://schemas.openxmlformats.org/officeDocument/2006/relationships/hyperlink" Target="https://pbs.twimg.com/media/EGb_I4wW4AQEXRI.jpg" TargetMode="External"/><Relationship Id="rId1966" Type="http://schemas.openxmlformats.org/officeDocument/2006/relationships/hyperlink" Target="https://pbs.twimg.com/media/EGb5pjZW4AEu9kC.jpg" TargetMode="External"/><Relationship Id="rId3181" Type="http://schemas.openxmlformats.org/officeDocument/2006/relationships/hyperlink" Target="https://twitter.com/ertan080808/status/1181875176214028290" TargetMode="External"/><Relationship Id="rId4025" Type="http://schemas.openxmlformats.org/officeDocument/2006/relationships/hyperlink" Target="https://pbs.twimg.com/media/EGbRpmJWkAALjED.jpg" TargetMode="External"/><Relationship Id="rId1619" Type="http://schemas.openxmlformats.org/officeDocument/2006/relationships/hyperlink" Target="https://m.facebook.com/yomraakgenclik/" TargetMode="External"/><Relationship Id="rId1826" Type="http://schemas.openxmlformats.org/officeDocument/2006/relationships/hyperlink" Target="http://www.metinkulunk.org/" TargetMode="External"/><Relationship Id="rId4232" Type="http://schemas.openxmlformats.org/officeDocument/2006/relationships/hyperlink" Target="https://pbs.twimg.com/media/EGbPFeaXYAAmOnN.jpg" TargetMode="External"/><Relationship Id="rId3041" Type="http://schemas.openxmlformats.org/officeDocument/2006/relationships/hyperlink" Target="https://pbs.twimg.com/media/EGbgpewXYAIopQ-.jpg" TargetMode="External"/><Relationship Id="rId3998" Type="http://schemas.openxmlformats.org/officeDocument/2006/relationships/hyperlink" Target="http://www.emsportsplus.com/" TargetMode="External"/><Relationship Id="rId3858" Type="http://schemas.openxmlformats.org/officeDocument/2006/relationships/hyperlink" Target="http://twiends.com/eczaci_nilgun" TargetMode="External"/><Relationship Id="rId779" Type="http://schemas.openxmlformats.org/officeDocument/2006/relationships/hyperlink" Target="https://pbs.twimg.com/media/EGcSbgcWoAMnku6.jpg" TargetMode="External"/><Relationship Id="rId986" Type="http://schemas.openxmlformats.org/officeDocument/2006/relationships/hyperlink" Target="https://pbs.twimg.com/media/EGcQ6I1WkAI5-yT.jpg" TargetMode="External"/><Relationship Id="rId2667" Type="http://schemas.openxmlformats.org/officeDocument/2006/relationships/hyperlink" Target="http://pic.twitter.com/anJprxJxeq" TargetMode="External"/><Relationship Id="rId3718" Type="http://schemas.openxmlformats.org/officeDocument/2006/relationships/hyperlink" Target="https://www.instagram.com/halil.tayfur/" TargetMode="External"/><Relationship Id="rId639" Type="http://schemas.openxmlformats.org/officeDocument/2006/relationships/hyperlink" Target="https://www.instagram.com/ciifciimtn/" TargetMode="External"/><Relationship Id="rId1269" Type="http://schemas.openxmlformats.org/officeDocument/2006/relationships/hyperlink" Target="https://pbs.twimg.com/media/EGcOWbuXYAAgQla.jpg" TargetMode="External"/><Relationship Id="rId1476" Type="http://schemas.openxmlformats.org/officeDocument/2006/relationships/hyperlink" Target="https://pbs.twimg.com/media/EGcM4CHXYAACsqi.jpg" TargetMode="External"/><Relationship Id="rId2874" Type="http://schemas.openxmlformats.org/officeDocument/2006/relationships/hyperlink" Target="https://instagram.com/medine_mekke.tr" TargetMode="External"/><Relationship Id="rId3925" Type="http://schemas.openxmlformats.org/officeDocument/2006/relationships/hyperlink" Target="https://pbs.twimg.com/media/EGbTFxjX0AAxO2D.jpg" TargetMode="External"/><Relationship Id="rId846" Type="http://schemas.openxmlformats.org/officeDocument/2006/relationships/hyperlink" Target="https://www.instagram.com/umitkurt.61/" TargetMode="External"/><Relationship Id="rId1129" Type="http://schemas.openxmlformats.org/officeDocument/2006/relationships/hyperlink" Target="http://pic.twitter.com/ThLBwDsA5N" TargetMode="External"/><Relationship Id="rId1683" Type="http://schemas.openxmlformats.org/officeDocument/2006/relationships/hyperlink" Target="http://www.mustafaozlu.com/" TargetMode="External"/><Relationship Id="rId1890" Type="http://schemas.openxmlformats.org/officeDocument/2006/relationships/hyperlink" Target="https://pbs.twimg.com/media/EGb7jpDWwAA1WAl.jpg" TargetMode="External"/><Relationship Id="rId2527" Type="http://schemas.openxmlformats.org/officeDocument/2006/relationships/hyperlink" Target="https://pbs.twimg.com/media/EGbrn66XkAAspIx.jpg" TargetMode="External"/><Relationship Id="rId2734" Type="http://schemas.openxmlformats.org/officeDocument/2006/relationships/hyperlink" Target="http://yazbee.com/" TargetMode="External"/><Relationship Id="rId2941" Type="http://schemas.openxmlformats.org/officeDocument/2006/relationships/hyperlink" Target="http://bit.ly/2UO4Xhb" TargetMode="External"/><Relationship Id="rId706" Type="http://schemas.openxmlformats.org/officeDocument/2006/relationships/hyperlink" Target="https://pbs.twimg.com/media/EGcS1_RWwAAYqzc.jpg" TargetMode="External"/><Relationship Id="rId913" Type="http://schemas.openxmlformats.org/officeDocument/2006/relationships/hyperlink" Target="http://www.youtube.com/pseux" TargetMode="External"/><Relationship Id="rId1336" Type="http://schemas.openxmlformats.org/officeDocument/2006/relationships/hyperlink" Target="https://pbs.twimg.com/media/EGcN1XTXkAEmQyj.jpg" TargetMode="External"/><Relationship Id="rId1543" Type="http://schemas.openxmlformats.org/officeDocument/2006/relationships/hyperlink" Target="https://pbs.twimg.com/media/EGcMfo2XoAE9hMS.jpg" TargetMode="External"/><Relationship Id="rId1750" Type="http://schemas.openxmlformats.org/officeDocument/2006/relationships/hyperlink" Target="https://pbs.twimg.com/media/EGb_Wz0XkAAlmm1.jpg" TargetMode="External"/><Relationship Id="rId2801" Type="http://schemas.openxmlformats.org/officeDocument/2006/relationships/hyperlink" Target="https://twitter.com/sedatsurr/status/1181169648064192512" TargetMode="External"/><Relationship Id="rId42" Type="http://schemas.openxmlformats.org/officeDocument/2006/relationships/hyperlink" Target="https://curiouscat.me/personachae" TargetMode="External"/><Relationship Id="rId1403" Type="http://schemas.openxmlformats.org/officeDocument/2006/relationships/hyperlink" Target="https://pbs.twimg.com/media/EGcNR4VXoAEA90l.jpg" TargetMode="External"/><Relationship Id="rId1610" Type="http://schemas.openxmlformats.org/officeDocument/2006/relationships/hyperlink" Target="https://pbs.twimg.com/media/EGcMPPkXoAI3srG.jpg" TargetMode="External"/><Relationship Id="rId3368" Type="http://schemas.openxmlformats.org/officeDocument/2006/relationships/hyperlink" Target="https://pbs.twimg.com/media/EGbbDA4WsAA99I4.jpg" TargetMode="External"/><Relationship Id="rId3575" Type="http://schemas.openxmlformats.org/officeDocument/2006/relationships/hyperlink" Target="http://pic.twitter.com/a7fYpfQ23Z" TargetMode="External"/><Relationship Id="rId3782" Type="http://schemas.openxmlformats.org/officeDocument/2006/relationships/hyperlink" Target="http://pic.twitter.com/Fl43WurLz1" TargetMode="External"/><Relationship Id="rId4419" Type="http://schemas.openxmlformats.org/officeDocument/2006/relationships/hyperlink" Target="https://pbs.twimg.com/media/EGbM8qwXUAUSdIi.jpg" TargetMode="External"/><Relationship Id="rId289" Type="http://schemas.openxmlformats.org/officeDocument/2006/relationships/hyperlink" Target="https://pbs.twimg.com/media/EGcWZRuXYAAX0tQ.jpg" TargetMode="External"/><Relationship Id="rId496" Type="http://schemas.openxmlformats.org/officeDocument/2006/relationships/hyperlink" Target="http://tr.bionik-dental.info/" TargetMode="External"/><Relationship Id="rId2177" Type="http://schemas.openxmlformats.org/officeDocument/2006/relationships/hyperlink" Target="http://pic.twitter.com/kceY0vmNsC" TargetMode="External"/><Relationship Id="rId2384" Type="http://schemas.openxmlformats.org/officeDocument/2006/relationships/hyperlink" Target="https://bit.ly/2B118MB" TargetMode="External"/><Relationship Id="rId2591" Type="http://schemas.openxmlformats.org/officeDocument/2006/relationships/hyperlink" Target="https://kokludegisim.net/" TargetMode="External"/><Relationship Id="rId3228" Type="http://schemas.openxmlformats.org/officeDocument/2006/relationships/hyperlink" Target="https://pbs.twimg.com/media/EGbddGgX0AABTbA.jpg" TargetMode="External"/><Relationship Id="rId3435" Type="http://schemas.openxmlformats.org/officeDocument/2006/relationships/hyperlink" Target="http://pic.twitter.com/3xhHAExJLh" TargetMode="External"/><Relationship Id="rId3642" Type="http://schemas.openxmlformats.org/officeDocument/2006/relationships/hyperlink" Target="https://pbs.twimg.com/media/EGbW3blWkAIbwrQ.jpg" TargetMode="External"/><Relationship Id="rId149" Type="http://schemas.openxmlformats.org/officeDocument/2006/relationships/hyperlink" Target="http://www.fikirturu.com/" TargetMode="External"/><Relationship Id="rId356" Type="http://schemas.openxmlformats.org/officeDocument/2006/relationships/hyperlink" Target="https://pbs.twimg.com/media/EGcUAhJWkAEIaNq.jpg" TargetMode="External"/><Relationship Id="rId563" Type="http://schemas.openxmlformats.org/officeDocument/2006/relationships/hyperlink" Target="http://yokoylebirsey.com/" TargetMode="External"/><Relationship Id="rId770" Type="http://schemas.openxmlformats.org/officeDocument/2006/relationships/hyperlink" Target="https://pbs.twimg.com/media/EGcSeBeWwAA6kSy.jpg" TargetMode="External"/><Relationship Id="rId1193" Type="http://schemas.openxmlformats.org/officeDocument/2006/relationships/hyperlink" Target="https://twitter.com/Louis_Tomlinson/status/120620074301267968" TargetMode="External"/><Relationship Id="rId2037" Type="http://schemas.openxmlformats.org/officeDocument/2006/relationships/hyperlink" Target="http://pic.twitter.com/qtbRivKGWd" TargetMode="External"/><Relationship Id="rId2244" Type="http://schemas.openxmlformats.org/officeDocument/2006/relationships/hyperlink" Target="http://www.ustakademi.com/" TargetMode="External"/><Relationship Id="rId2451" Type="http://schemas.openxmlformats.org/officeDocument/2006/relationships/hyperlink" Target="https://www.youtube.com/watch?v=wN2kq2pM3uo" TargetMode="External"/><Relationship Id="rId216" Type="http://schemas.openxmlformats.org/officeDocument/2006/relationships/hyperlink" Target="https://pbs.twimg.com/media/EGcXEXXWkAAPU0X.jpg" TargetMode="External"/><Relationship Id="rId423" Type="http://schemas.openxmlformats.org/officeDocument/2006/relationships/hyperlink" Target="https://pbs.twimg.com/media/EGcVIAgWkAARK11.jpg" TargetMode="External"/><Relationship Id="rId1053" Type="http://schemas.openxmlformats.org/officeDocument/2006/relationships/hyperlink" Target="https://pbs.twimg.com/media/EGcQaOgWsAA3owd.jpg" TargetMode="External"/><Relationship Id="rId1260" Type="http://schemas.openxmlformats.org/officeDocument/2006/relationships/hyperlink" Target="https://pbs.twimg.com/media/EGcOakQWkAQViz3.jpg" TargetMode="External"/><Relationship Id="rId2104" Type="http://schemas.openxmlformats.org/officeDocument/2006/relationships/hyperlink" Target="https://twitter.com/bizadanaliyik/status/931495332428607488" TargetMode="External"/><Relationship Id="rId3502" Type="http://schemas.openxmlformats.org/officeDocument/2006/relationships/hyperlink" Target="http://www.facebook.com/pisko06" TargetMode="External"/><Relationship Id="rId630" Type="http://schemas.openxmlformats.org/officeDocument/2006/relationships/hyperlink" Target="https://twitter.com/1parcatuhaftik/status/1181934462294204416" TargetMode="External"/><Relationship Id="rId2311" Type="http://schemas.openxmlformats.org/officeDocument/2006/relationships/hyperlink" Target="http://pic.twitter.com/OLRWCQvbxn" TargetMode="External"/><Relationship Id="rId4069" Type="http://schemas.openxmlformats.org/officeDocument/2006/relationships/hyperlink" Target="https://pbs.twimg.com/media/EGbRHnQWoAI8KaP.jpg" TargetMode="External"/><Relationship Id="rId1120" Type="http://schemas.openxmlformats.org/officeDocument/2006/relationships/hyperlink" Target="https://pbs.twimg.com/media/EGcP0JNWwAI5JCL.jpg" TargetMode="External"/><Relationship Id="rId4276" Type="http://schemas.openxmlformats.org/officeDocument/2006/relationships/hyperlink" Target="https://pbs.twimg.com/media/EGbOfbXXUAAxk_5.jpg" TargetMode="External"/><Relationship Id="rId4483" Type="http://schemas.openxmlformats.org/officeDocument/2006/relationships/hyperlink" Target="https://pbs.twimg.com/media/EGbML7nXYAA8JG_.jpg" TargetMode="External"/><Relationship Id="rId1937" Type="http://schemas.openxmlformats.org/officeDocument/2006/relationships/hyperlink" Target="https://www.instagram.com/onr.tkl/" TargetMode="External"/><Relationship Id="rId3085" Type="http://schemas.openxmlformats.org/officeDocument/2006/relationships/hyperlink" Target="https://pbs.twimg.com/media/EGbfvslWoAAKmUC.jpg" TargetMode="External"/><Relationship Id="rId3292" Type="http://schemas.openxmlformats.org/officeDocument/2006/relationships/hyperlink" Target="https://pbs.twimg.com/media/EGa18Z1WsAAYSci.jpg" TargetMode="External"/><Relationship Id="rId4136" Type="http://schemas.openxmlformats.org/officeDocument/2006/relationships/hyperlink" Target="http://instagram.com/ysn.akpnr32/" TargetMode="External"/><Relationship Id="rId4343" Type="http://schemas.openxmlformats.org/officeDocument/2006/relationships/hyperlink" Target="https://www.kanalmaras.com/guncel/buyuk-harekat-basliyor-turk-askeri-firat-in-dogusuna-girmeye-h67071.html" TargetMode="External"/><Relationship Id="rId3152" Type="http://schemas.openxmlformats.org/officeDocument/2006/relationships/hyperlink" Target="https://www.dw.com/en/kashmir-pakistani-authorities-block-protesters-at-india-pakistan-border/a-50722811" TargetMode="External"/><Relationship Id="rId4203" Type="http://schemas.openxmlformats.org/officeDocument/2006/relationships/hyperlink" Target="https://www.instagram.com/bekrskrya/" TargetMode="External"/><Relationship Id="rId4410" Type="http://schemas.openxmlformats.org/officeDocument/2006/relationships/hyperlink" Target="https://pbs.twimg.com/media/EGbNDTCWwAAzMom.jpg" TargetMode="External"/><Relationship Id="rId280" Type="http://schemas.openxmlformats.org/officeDocument/2006/relationships/hyperlink" Target="https://pbs.twimg.com/media/EGcNqAIW4AAJM_m.jpg" TargetMode="External"/><Relationship Id="rId3012" Type="http://schemas.openxmlformats.org/officeDocument/2006/relationships/hyperlink" Target="http://pic.twitter.com/DaW3V75pDy" TargetMode="External"/><Relationship Id="rId140" Type="http://schemas.openxmlformats.org/officeDocument/2006/relationships/hyperlink" Target="https://pbs.twimg.com/media/EGcYI3IXYAAFoke.jpg" TargetMode="External"/><Relationship Id="rId3969" Type="http://schemas.openxmlformats.org/officeDocument/2006/relationships/hyperlink" Target="https://pbs.twimg.com/media/EGbSbqFX0AE_OSv.jpg" TargetMode="External"/><Relationship Id="rId6" Type="http://schemas.openxmlformats.org/officeDocument/2006/relationships/hyperlink" Target="http://birparcatuhaftik.com/" TargetMode="External"/><Relationship Id="rId2778" Type="http://schemas.openxmlformats.org/officeDocument/2006/relationships/hyperlink" Target="https://pbs.twimg.com/media/EGblKORWwAEhqPg.jpg" TargetMode="External"/><Relationship Id="rId2985" Type="http://schemas.openxmlformats.org/officeDocument/2006/relationships/hyperlink" Target="https://www.instagram.com/ismail.derelioglu/" TargetMode="External"/><Relationship Id="rId3829" Type="http://schemas.openxmlformats.org/officeDocument/2006/relationships/hyperlink" Target="http://pic.twitter.com/pybZxcciBp" TargetMode="External"/><Relationship Id="rId957" Type="http://schemas.openxmlformats.org/officeDocument/2006/relationships/hyperlink" Target="http://pic.twitter.com/qd0x1d02K8" TargetMode="External"/><Relationship Id="rId1587" Type="http://schemas.openxmlformats.org/officeDocument/2006/relationships/hyperlink" Target="https://pbs.twimg.com/media/EGcMV84XYAEiqUw.jpg" TargetMode="External"/><Relationship Id="rId1794" Type="http://schemas.openxmlformats.org/officeDocument/2006/relationships/hyperlink" Target="https://www.youtube.com/watch?v=mWnAqdW76GY" TargetMode="External"/><Relationship Id="rId2638" Type="http://schemas.openxmlformats.org/officeDocument/2006/relationships/hyperlink" Target="https://pbs.twimg.com/media/EGbou1rWwAE3Y0B.jpg" TargetMode="External"/><Relationship Id="rId2845" Type="http://schemas.openxmlformats.org/officeDocument/2006/relationships/hyperlink" Target="https://pbs.twimg.com/media/EGbj1dCXYAAzXvB.jpg" TargetMode="External"/><Relationship Id="rId86" Type="http://schemas.openxmlformats.org/officeDocument/2006/relationships/hyperlink" Target="http://www.cansizhatira.com/" TargetMode="External"/><Relationship Id="rId817" Type="http://schemas.openxmlformats.org/officeDocument/2006/relationships/hyperlink" Target="http://instagram.com/mrmuco/" TargetMode="External"/><Relationship Id="rId1447" Type="http://schemas.openxmlformats.org/officeDocument/2006/relationships/hyperlink" Target="https://pbs.twimg.com/media/EGcM_WRWsAQmL96.jpg" TargetMode="External"/><Relationship Id="rId1654" Type="http://schemas.openxmlformats.org/officeDocument/2006/relationships/hyperlink" Target="https://pbs.twimg.com/media/EGcL3n2WoAEMPS7.jpg" TargetMode="External"/><Relationship Id="rId1861" Type="http://schemas.openxmlformats.org/officeDocument/2006/relationships/hyperlink" Target="https://pbs.twimg.com/media/EGb8EtKWoAArmZU.jpg" TargetMode="External"/><Relationship Id="rId2705" Type="http://schemas.openxmlformats.org/officeDocument/2006/relationships/hyperlink" Target="https://pbs.twimg.com/media/EGbnRkEXYAAuLXz.jpg" TargetMode="External"/><Relationship Id="rId2912" Type="http://schemas.openxmlformats.org/officeDocument/2006/relationships/hyperlink" Target="https://wenisebabieskidsfashions.weebly.com/" TargetMode="External"/><Relationship Id="rId4060" Type="http://schemas.openxmlformats.org/officeDocument/2006/relationships/hyperlink" Target="https://pbs.twimg.com/media/EGbRQv9WwAE7U1K.jpg" TargetMode="External"/><Relationship Id="rId1307" Type="http://schemas.openxmlformats.org/officeDocument/2006/relationships/hyperlink" Target="https://www.okurdergisi.com/" TargetMode="External"/><Relationship Id="rId1514" Type="http://schemas.openxmlformats.org/officeDocument/2006/relationships/hyperlink" Target="http://www.psikolojidanismanim.wordpress.com/" TargetMode="External"/><Relationship Id="rId1721" Type="http://schemas.openxmlformats.org/officeDocument/2006/relationships/hyperlink" Target="http://instagram.com/ftmadgr" TargetMode="External"/><Relationship Id="rId13" Type="http://schemas.openxmlformats.org/officeDocument/2006/relationships/hyperlink" Target="https://pbs.twimg.com/media/EGbMH8-WwAATKqC.jpg" TargetMode="External"/><Relationship Id="rId3479" Type="http://schemas.openxmlformats.org/officeDocument/2006/relationships/hyperlink" Target="https://pbs.twimg.com/media/EGbZY14XUAYIsMZ.jpg" TargetMode="External"/><Relationship Id="rId3686" Type="http://schemas.openxmlformats.org/officeDocument/2006/relationships/hyperlink" Target="https://www.instagram.com/sefaylldrm0/" TargetMode="External"/><Relationship Id="rId2288" Type="http://schemas.openxmlformats.org/officeDocument/2006/relationships/hyperlink" Target="https://instagram.com/tunaozdalga2" TargetMode="External"/><Relationship Id="rId2495" Type="http://schemas.openxmlformats.org/officeDocument/2006/relationships/hyperlink" Target="http://pic.twitter.com/EusiK35xGM" TargetMode="External"/><Relationship Id="rId3339" Type="http://schemas.openxmlformats.org/officeDocument/2006/relationships/hyperlink" Target="https://pbs.twimg.com/media/EGbbglDWkAAxmj0.jpg" TargetMode="External"/><Relationship Id="rId3893" Type="http://schemas.openxmlformats.org/officeDocument/2006/relationships/hyperlink" Target="http://instagram.com/ozdemirr_52" TargetMode="External"/><Relationship Id="rId467" Type="http://schemas.openxmlformats.org/officeDocument/2006/relationships/hyperlink" Target="https://pbs.twimg.com/media/EGcUuAOWkAY2Vvq.jpg" TargetMode="External"/><Relationship Id="rId1097" Type="http://schemas.openxmlformats.org/officeDocument/2006/relationships/hyperlink" Target="https://pbs.twimg.com/media/EGcQE2XWsAAJJI6.jpg" TargetMode="External"/><Relationship Id="rId2148" Type="http://schemas.openxmlformats.org/officeDocument/2006/relationships/hyperlink" Target="https://mucahiddelioglu.com.tr/" TargetMode="External"/><Relationship Id="rId3546" Type="http://schemas.openxmlformats.org/officeDocument/2006/relationships/hyperlink" Target="https://suleyman-demirel.academia.edu/celalCanbirdi" TargetMode="External"/><Relationship Id="rId3753" Type="http://schemas.openxmlformats.org/officeDocument/2006/relationships/hyperlink" Target="https://pbs.twimg.com/media/EGbVQB2W4AAK6BG.jpg" TargetMode="External"/><Relationship Id="rId3960" Type="http://schemas.openxmlformats.org/officeDocument/2006/relationships/hyperlink" Target="https://pbs.twimg.com/media/EGbSlM2WoAAz4Y2.jpg" TargetMode="External"/><Relationship Id="rId674" Type="http://schemas.openxmlformats.org/officeDocument/2006/relationships/hyperlink" Target="https://twitter.com/RTErdogan/status/1181919804619407360" TargetMode="External"/><Relationship Id="rId881" Type="http://schemas.openxmlformats.org/officeDocument/2006/relationships/hyperlink" Target="https://youtu.be/mijHAWa-2V4" TargetMode="External"/><Relationship Id="rId2355" Type="http://schemas.openxmlformats.org/officeDocument/2006/relationships/hyperlink" Target="https://youtu.be/WthpuQKN3Ho" TargetMode="External"/><Relationship Id="rId2562" Type="http://schemas.openxmlformats.org/officeDocument/2006/relationships/hyperlink" Target="http://instagram.com/ugoldagi" TargetMode="External"/><Relationship Id="rId3406" Type="http://schemas.openxmlformats.org/officeDocument/2006/relationships/hyperlink" Target="http://www.aljazeera.com.tr/haber/israil-abd-gemisini-kasten-vurdu" TargetMode="External"/><Relationship Id="rId3613" Type="http://schemas.openxmlformats.org/officeDocument/2006/relationships/hyperlink" Target="https://www.instagram.com/genco_unltrk/" TargetMode="External"/><Relationship Id="rId3820" Type="http://schemas.openxmlformats.org/officeDocument/2006/relationships/hyperlink" Target="https://pbs.twimg.com/media/EGbUa31X0AALvRf.jpg" TargetMode="External"/><Relationship Id="rId327" Type="http://schemas.openxmlformats.org/officeDocument/2006/relationships/hyperlink" Target="https://pbs.twimg.com/media/EGcWEGtXoAAleY2.jpg" TargetMode="External"/><Relationship Id="rId534" Type="http://schemas.openxmlformats.org/officeDocument/2006/relationships/hyperlink" Target="https://pbs.twimg.com/media/EGcULgmXUAExDmL.jpg" TargetMode="External"/><Relationship Id="rId741" Type="http://schemas.openxmlformats.org/officeDocument/2006/relationships/hyperlink" Target="https://twitter.com/alikeskin_tr/status/1181928704030707712?s=21" TargetMode="External"/><Relationship Id="rId1164" Type="http://schemas.openxmlformats.org/officeDocument/2006/relationships/hyperlink" Target="https://pbs.twimg.com/media/EGcPV8QXkAohIA8.jpg" TargetMode="External"/><Relationship Id="rId1371" Type="http://schemas.openxmlformats.org/officeDocument/2006/relationships/hyperlink" Target="https://pbs.twimg.com/media/EGcNfgUW4AA9FuH.jpg" TargetMode="External"/><Relationship Id="rId2008" Type="http://schemas.openxmlformats.org/officeDocument/2006/relationships/hyperlink" Target="https://pbs.twimg.com/media/EGb4j5fX0AcdHYz.jpg" TargetMode="External"/><Relationship Id="rId2215" Type="http://schemas.openxmlformats.org/officeDocument/2006/relationships/hyperlink" Target="http://pic.twitter.com/bTf6k40zx9" TargetMode="External"/><Relationship Id="rId2422" Type="http://schemas.openxmlformats.org/officeDocument/2006/relationships/hyperlink" Target="https://pbs.twimg.com/media/EGbuBzTUYAAJKFz.jpg" TargetMode="External"/><Relationship Id="rId601" Type="http://schemas.openxmlformats.org/officeDocument/2006/relationships/hyperlink" Target="https://npistanbul.com/eriskin-psikiyatri/bipolar-bozukluk" TargetMode="External"/><Relationship Id="rId1024" Type="http://schemas.openxmlformats.org/officeDocument/2006/relationships/hyperlink" Target="https://twitter.com/nur_i_ziya/status/1181924986090598407" TargetMode="External"/><Relationship Id="rId1231" Type="http://schemas.openxmlformats.org/officeDocument/2006/relationships/hyperlink" Target="http://www.turkishinsaat.net/" TargetMode="External"/><Relationship Id="rId4387" Type="http://schemas.openxmlformats.org/officeDocument/2006/relationships/hyperlink" Target="https://pbs.twimg.com/media/EGbNY_dWkAEkGBQ.jpg" TargetMode="External"/><Relationship Id="rId3196" Type="http://schemas.openxmlformats.org/officeDocument/2006/relationships/hyperlink" Target="http://www.aktasgrup.net/" TargetMode="External"/><Relationship Id="rId4247" Type="http://schemas.openxmlformats.org/officeDocument/2006/relationships/hyperlink" Target="https://www.a24.com.tr/hulusi-akardan-askeri-operasyon-aciklamasi-haberi-40160719h.html?h=50" TargetMode="External"/><Relationship Id="rId4454" Type="http://schemas.openxmlformats.org/officeDocument/2006/relationships/hyperlink" Target="https://pbs.twimg.com/media/EGbMatYW4AARdtk.jpg" TargetMode="External"/><Relationship Id="rId3056" Type="http://schemas.openxmlformats.org/officeDocument/2006/relationships/hyperlink" Target="https://pbs.twimg.com/media/EGbgYQCXkAAMZZp.jpg" TargetMode="External"/><Relationship Id="rId3263" Type="http://schemas.openxmlformats.org/officeDocument/2006/relationships/hyperlink" Target="https://pbs.twimg.com/media/EGbcx4UXUAAiZ3F.jpg" TargetMode="External"/><Relationship Id="rId3470" Type="http://schemas.openxmlformats.org/officeDocument/2006/relationships/hyperlink" Target="https://pbs.twimg.com/media/EGbZiArXUAEKtFW.jpg" TargetMode="External"/><Relationship Id="rId4107" Type="http://schemas.openxmlformats.org/officeDocument/2006/relationships/hyperlink" Target="http://pic.twitter.com/lkOTEb2DV1" TargetMode="External"/><Relationship Id="rId4314" Type="http://schemas.openxmlformats.org/officeDocument/2006/relationships/hyperlink" Target="https://pbs.twimg.com/media/EGbOGyAWkAAWy8O.jpg" TargetMode="External"/><Relationship Id="rId184" Type="http://schemas.openxmlformats.org/officeDocument/2006/relationships/hyperlink" Target="https://www.facebook.com/VatanBayrak2353/" TargetMode="External"/><Relationship Id="rId391" Type="http://schemas.openxmlformats.org/officeDocument/2006/relationships/hyperlink" Target="https://pbs.twimg.com/media/EGcVefXXoAMBURk.jpg" TargetMode="External"/><Relationship Id="rId1908" Type="http://schemas.openxmlformats.org/officeDocument/2006/relationships/hyperlink" Target="https://pbs.twimg.com/media/EGb7IywW4AAM1G3.jpg" TargetMode="External"/><Relationship Id="rId2072" Type="http://schemas.openxmlformats.org/officeDocument/2006/relationships/hyperlink" Target="https://www.instagram.com/ertugrulataseven/" TargetMode="External"/><Relationship Id="rId3123" Type="http://schemas.openxmlformats.org/officeDocument/2006/relationships/hyperlink" Target="http://pic.twitter.com/0mzcR5abq3" TargetMode="External"/><Relationship Id="rId4521" Type="http://schemas.openxmlformats.org/officeDocument/2006/relationships/hyperlink" Target="https://pbs.twimg.com/media/EGbLtUdW4AAI5fC.jpg" TargetMode="External"/><Relationship Id="rId251" Type="http://schemas.openxmlformats.org/officeDocument/2006/relationships/hyperlink" Target="https://pbs.twimg.com/media/EGcWxy3XUAE6CP2.jpg" TargetMode="External"/><Relationship Id="rId3330" Type="http://schemas.openxmlformats.org/officeDocument/2006/relationships/hyperlink" Target="https://twitter.com/duygusalsehpa/status/1181858341754155008" TargetMode="External"/><Relationship Id="rId2889" Type="http://schemas.openxmlformats.org/officeDocument/2006/relationships/hyperlink" Target="https://pbs.twimg.com/media/EGbjE-8XkAAFrnF.jpg" TargetMode="External"/><Relationship Id="rId111" Type="http://schemas.openxmlformats.org/officeDocument/2006/relationships/hyperlink" Target="https://pbs.twimg.com/media/EGcYy-FXYAE69nY.jpg" TargetMode="External"/><Relationship Id="rId1698" Type="http://schemas.openxmlformats.org/officeDocument/2006/relationships/hyperlink" Target="https://www.instagram.com/muhammedcky" TargetMode="External"/><Relationship Id="rId2749" Type="http://schemas.openxmlformats.org/officeDocument/2006/relationships/hyperlink" Target="https://pbs.twimg.com/media/EGbmF9bXUAAsmg2.jpg" TargetMode="External"/><Relationship Id="rId2956" Type="http://schemas.openxmlformats.org/officeDocument/2006/relationships/hyperlink" Target="https://pbs.twimg.com/media/EGbiE6gWsAAzAvU.jpg" TargetMode="External"/><Relationship Id="rId928" Type="http://schemas.openxmlformats.org/officeDocument/2006/relationships/hyperlink" Target="https://pbs.twimg.com/media/EGcRW04XoAAsyJJ.jpg" TargetMode="External"/><Relationship Id="rId1558" Type="http://schemas.openxmlformats.org/officeDocument/2006/relationships/hyperlink" Target="https://pbs.twimg.com/media/EGcMbnNXUAA2Mep.jpg" TargetMode="External"/><Relationship Id="rId1765" Type="http://schemas.openxmlformats.org/officeDocument/2006/relationships/hyperlink" Target="https://twitter.com/adkiu/status/1181879028816453632" TargetMode="External"/><Relationship Id="rId2609" Type="http://schemas.openxmlformats.org/officeDocument/2006/relationships/hyperlink" Target="http://pic.twitter.com/4RVxd38L6f" TargetMode="External"/><Relationship Id="rId4171" Type="http://schemas.openxmlformats.org/officeDocument/2006/relationships/hyperlink" Target="https://pbs.twimg.com/media/EGbPoLwXoAEiqT2.jpg" TargetMode="External"/><Relationship Id="rId57" Type="http://schemas.openxmlformats.org/officeDocument/2006/relationships/hyperlink" Target="https://pbs.twimg.com/media/EGcaAtSXoAMOdaf.jpg" TargetMode="External"/><Relationship Id="rId1418" Type="http://schemas.openxmlformats.org/officeDocument/2006/relationships/hyperlink" Target="https://pbs.twimg.com/media/EGcNLo0XYAAq0-j.jpg" TargetMode="External"/><Relationship Id="rId1972" Type="http://schemas.openxmlformats.org/officeDocument/2006/relationships/hyperlink" Target="https://pbs.twimg.com/media/EGb5c9sWkAAljMk.jpg" TargetMode="External"/><Relationship Id="rId2816" Type="http://schemas.openxmlformats.org/officeDocument/2006/relationships/hyperlink" Target="https://pbs.twimg.com/media/EGbkLHxWoAAhnTZ.jpg" TargetMode="External"/><Relationship Id="rId4031" Type="http://schemas.openxmlformats.org/officeDocument/2006/relationships/hyperlink" Target="https://pbs.twimg.com/media/EGbRpbPWwAAEQDY.jpg" TargetMode="External"/><Relationship Id="rId1625" Type="http://schemas.openxmlformats.org/officeDocument/2006/relationships/hyperlink" Target="https://pbs.twimg.com/media/EGcMJlaWoAAVuRM.jpg" TargetMode="External"/><Relationship Id="rId1832" Type="http://schemas.openxmlformats.org/officeDocument/2006/relationships/hyperlink" Target="https://pbs.twimg.com/media/EGb9DtMXoAE00uG.jpg" TargetMode="External"/><Relationship Id="rId3797" Type="http://schemas.openxmlformats.org/officeDocument/2006/relationships/hyperlink" Target="https://pbs.twimg.com/media/EGbUtFTWsAEBkkf.jpg" TargetMode="External"/><Relationship Id="rId2399" Type="http://schemas.openxmlformats.org/officeDocument/2006/relationships/hyperlink" Target="https://pbs.twimg.com/media/D9VgNNpW4AEc3x-.jpg" TargetMode="External"/><Relationship Id="rId3657" Type="http://schemas.openxmlformats.org/officeDocument/2006/relationships/hyperlink" Target="https://pbs.twimg.com/media/EGbWfUaWoAAT3pi.jpg" TargetMode="External"/><Relationship Id="rId3864" Type="http://schemas.openxmlformats.org/officeDocument/2006/relationships/hyperlink" Target="https://pbs.twimg.com/media/EGbT3kYXYAAz38V.jpg" TargetMode="External"/><Relationship Id="rId578" Type="http://schemas.openxmlformats.org/officeDocument/2006/relationships/hyperlink" Target="https://pbs.twimg.com/media/EGcTDbnWkAEyAXA.jpg" TargetMode="External"/><Relationship Id="rId785" Type="http://schemas.openxmlformats.org/officeDocument/2006/relationships/hyperlink" Target="https://pbs.twimg.com/media/EGcSVJBXYAA_Vtr.jpg" TargetMode="External"/><Relationship Id="rId992" Type="http://schemas.openxmlformats.org/officeDocument/2006/relationships/hyperlink" Target="http://pic.twitter.com/Hsc36Eoqib" TargetMode="External"/><Relationship Id="rId2259" Type="http://schemas.openxmlformats.org/officeDocument/2006/relationships/hyperlink" Target="https://www.urfahaberleri.com/" TargetMode="External"/><Relationship Id="rId2466" Type="http://schemas.openxmlformats.org/officeDocument/2006/relationships/hyperlink" Target="https://pbs.twimg.com/media/EGbs5AHXYAEyZe2.jpg" TargetMode="External"/><Relationship Id="rId2673" Type="http://schemas.openxmlformats.org/officeDocument/2006/relationships/hyperlink" Target="http://pic.twitter.com/GBJN5xkRtA" TargetMode="External"/><Relationship Id="rId2880" Type="http://schemas.openxmlformats.org/officeDocument/2006/relationships/hyperlink" Target="https://youtu.be/krLndxL5las" TargetMode="External"/><Relationship Id="rId3517" Type="http://schemas.openxmlformats.org/officeDocument/2006/relationships/hyperlink" Target="https://instagram.com/mustafatpkroglu?igshid=mrj1n7zp98g9" TargetMode="External"/><Relationship Id="rId3724" Type="http://schemas.openxmlformats.org/officeDocument/2006/relationships/hyperlink" Target="https://pbs.twimg.com/media/EGbVlDyWwAAZxxh.jpg" TargetMode="External"/><Relationship Id="rId3931" Type="http://schemas.openxmlformats.org/officeDocument/2006/relationships/hyperlink" Target="https://pbs.twimg.com/media/EGbTDlGWkAAKyUl.jpg" TargetMode="External"/><Relationship Id="rId438" Type="http://schemas.openxmlformats.org/officeDocument/2006/relationships/hyperlink" Target="http://youtu.be/Cgrl1h7eJUk" TargetMode="External"/><Relationship Id="rId645" Type="http://schemas.openxmlformats.org/officeDocument/2006/relationships/hyperlink" Target="https://twitter.com/BolgeGercekleri/status/1181934092486664192" TargetMode="External"/><Relationship Id="rId852" Type="http://schemas.openxmlformats.org/officeDocument/2006/relationships/hyperlink" Target="https://pbs.twimg.com/media/EGcR674XoAc88U_.jpg" TargetMode="External"/><Relationship Id="rId1068" Type="http://schemas.openxmlformats.org/officeDocument/2006/relationships/hyperlink" Target="https://pbs.twimg.com/media/EGcQPhUWwAIYuZW.jpg" TargetMode="External"/><Relationship Id="rId1275" Type="http://schemas.openxmlformats.org/officeDocument/2006/relationships/hyperlink" Target="https://pbs.twimg.com/media/EGcOSPQXkAACcql.jpg" TargetMode="External"/><Relationship Id="rId1482" Type="http://schemas.openxmlformats.org/officeDocument/2006/relationships/hyperlink" Target="https://www.facebook.com/yemrede" TargetMode="External"/><Relationship Id="rId2119" Type="http://schemas.openxmlformats.org/officeDocument/2006/relationships/hyperlink" Target="http://pic.twitter.com/N168dsQcth" TargetMode="External"/><Relationship Id="rId2326" Type="http://schemas.openxmlformats.org/officeDocument/2006/relationships/hyperlink" Target="https://pbs.twimg.com/media/EGbwcyNXkAA4RHA.jpg" TargetMode="External"/><Relationship Id="rId2533" Type="http://schemas.openxmlformats.org/officeDocument/2006/relationships/hyperlink" Target="https://pbs.twimg.com/media/EGbrlrHXYAAe1ya.jpg" TargetMode="External"/><Relationship Id="rId2740" Type="http://schemas.openxmlformats.org/officeDocument/2006/relationships/hyperlink" Target="https://www.facebook.com/hkalyoncu91" TargetMode="External"/><Relationship Id="rId505" Type="http://schemas.openxmlformats.org/officeDocument/2006/relationships/hyperlink" Target="https://pbs.twimg.com/media/EGcUbolW4AIudQa.jpg" TargetMode="External"/><Relationship Id="rId712" Type="http://schemas.openxmlformats.org/officeDocument/2006/relationships/hyperlink" Target="https://pbs.twimg.com/media/EGcS08UXoAIIqH1.jpg" TargetMode="External"/><Relationship Id="rId1135" Type="http://schemas.openxmlformats.org/officeDocument/2006/relationships/hyperlink" Target="https://pbs.twimg.com/media/EGcPnWAWkAA1SMz.jpg" TargetMode="External"/><Relationship Id="rId1342" Type="http://schemas.openxmlformats.org/officeDocument/2006/relationships/hyperlink" Target="http://pic.twitter.com/gGPfHpA2ZG" TargetMode="External"/><Relationship Id="rId4498" Type="http://schemas.openxmlformats.org/officeDocument/2006/relationships/hyperlink" Target="http://pic.twitter.com/Pf5Bp8Xptp" TargetMode="External"/><Relationship Id="rId1202" Type="http://schemas.openxmlformats.org/officeDocument/2006/relationships/hyperlink" Target="http://pic.twitter.com/YujtLhi8V9" TargetMode="External"/><Relationship Id="rId2600" Type="http://schemas.openxmlformats.org/officeDocument/2006/relationships/hyperlink" Target="https://pbs.twimg.com/media/EGbpqmwWsAEFMbk.jpg" TargetMode="External"/><Relationship Id="rId4358" Type="http://schemas.openxmlformats.org/officeDocument/2006/relationships/hyperlink" Target="https://www.web24it.com/contact-us/" TargetMode="External"/><Relationship Id="rId3167" Type="http://schemas.openxmlformats.org/officeDocument/2006/relationships/hyperlink" Target="http://instagram.com/bayandegil.kadin" TargetMode="External"/><Relationship Id="rId295" Type="http://schemas.openxmlformats.org/officeDocument/2006/relationships/hyperlink" Target="https://pbs.twimg.com/media/EGcWRK8WwAAeviq.jpg" TargetMode="External"/><Relationship Id="rId3374" Type="http://schemas.openxmlformats.org/officeDocument/2006/relationships/hyperlink" Target="http://pic.twitter.com/SlrJ3rUUd6" TargetMode="External"/><Relationship Id="rId3581" Type="http://schemas.openxmlformats.org/officeDocument/2006/relationships/hyperlink" Target="https://pbs.twimg.com/media/EGbXxDUWwAAmBEe.jpg" TargetMode="External"/><Relationship Id="rId4218" Type="http://schemas.openxmlformats.org/officeDocument/2006/relationships/hyperlink" Target="https://pbs.twimg.com/media/EGbPKzzWsAAmUGz.jpg" TargetMode="External"/><Relationship Id="rId4425" Type="http://schemas.openxmlformats.org/officeDocument/2006/relationships/hyperlink" Target="https://www.youtube.com/channel/UCQ151BlYrsa8WXv3UB29Y5w" TargetMode="External"/><Relationship Id="rId2183" Type="http://schemas.openxmlformats.org/officeDocument/2006/relationships/hyperlink" Target="https://pbs.twimg.com/media/EGb0XCoXkAAYkil.jpg" TargetMode="External"/><Relationship Id="rId2390" Type="http://schemas.openxmlformats.org/officeDocument/2006/relationships/hyperlink" Target="https://twitter.com/trabzonspor/status/1181451561559572480" TargetMode="External"/><Relationship Id="rId3027" Type="http://schemas.openxmlformats.org/officeDocument/2006/relationships/hyperlink" Target="http://pic.twitter.com/Itgun1PrkM" TargetMode="External"/><Relationship Id="rId3234" Type="http://schemas.openxmlformats.org/officeDocument/2006/relationships/hyperlink" Target="https://pbs.twimg.com/media/EGbdV29XkAABY7N.jpg" TargetMode="External"/><Relationship Id="rId3441" Type="http://schemas.openxmlformats.org/officeDocument/2006/relationships/hyperlink" Target="https://pbs.twimg.com/media/EGbZ4i8XUAABws4.jpg" TargetMode="External"/><Relationship Id="rId155" Type="http://schemas.openxmlformats.org/officeDocument/2006/relationships/hyperlink" Target="http://pic.twitter.com/Z16dYS85xw" TargetMode="External"/><Relationship Id="rId362" Type="http://schemas.openxmlformats.org/officeDocument/2006/relationships/hyperlink" Target="http://google.com.tr/" TargetMode="External"/><Relationship Id="rId2043" Type="http://schemas.openxmlformats.org/officeDocument/2006/relationships/hyperlink" Target="http://instagram.com/akcojr" TargetMode="External"/><Relationship Id="rId2250" Type="http://schemas.openxmlformats.org/officeDocument/2006/relationships/hyperlink" Target="https://pbs.twimg.com/media/EGby6xyWoAEWHl4.jpg" TargetMode="External"/><Relationship Id="rId3301" Type="http://schemas.openxmlformats.org/officeDocument/2006/relationships/hyperlink" Target="https://pbs.twimg.com/media/EGbcLB_XUAAbmdv.jpg" TargetMode="External"/><Relationship Id="rId222" Type="http://schemas.openxmlformats.org/officeDocument/2006/relationships/hyperlink" Target="http://instagram.com/tugrul.bekar24" TargetMode="External"/><Relationship Id="rId2110" Type="http://schemas.openxmlformats.org/officeDocument/2006/relationships/hyperlink" Target="https://pbs.twimg.com/media/EGb2PDhWwAEXA1-.jpg" TargetMode="External"/><Relationship Id="rId4075" Type="http://schemas.openxmlformats.org/officeDocument/2006/relationships/hyperlink" Target="https://pbs.twimg.com/media/EGbREVqX0AAfMYm.jpg" TargetMode="External"/><Relationship Id="rId4282" Type="http://schemas.openxmlformats.org/officeDocument/2006/relationships/hyperlink" Target="https://pbs.twimg.com/media/EGbOehyWwAEXM9l.jpg" TargetMode="External"/><Relationship Id="rId1669" Type="http://schemas.openxmlformats.org/officeDocument/2006/relationships/hyperlink" Target="https://twitter.com/rterdogan/status/1181924014157156357" TargetMode="External"/><Relationship Id="rId1876" Type="http://schemas.openxmlformats.org/officeDocument/2006/relationships/hyperlink" Target="https://pbs.twimg.com/media/EGb7wUkXUAAZ2m5.jpg" TargetMode="External"/><Relationship Id="rId2927" Type="http://schemas.openxmlformats.org/officeDocument/2006/relationships/hyperlink" Target="https://pbs.twimg.com/media/EGbic3XXYAAcub2.jpg" TargetMode="External"/><Relationship Id="rId3091" Type="http://schemas.openxmlformats.org/officeDocument/2006/relationships/hyperlink" Target="http://pic.twitter.com/6qvVMd0JDF" TargetMode="External"/><Relationship Id="rId4142" Type="http://schemas.openxmlformats.org/officeDocument/2006/relationships/hyperlink" Target="http://instagram.com/bulentcukur" TargetMode="External"/><Relationship Id="rId1529" Type="http://schemas.openxmlformats.org/officeDocument/2006/relationships/hyperlink" Target="https://pbs.twimg.com/media/EGcMkHPX0AI-1uw.jpg" TargetMode="External"/><Relationship Id="rId1736" Type="http://schemas.openxmlformats.org/officeDocument/2006/relationships/hyperlink" Target="https://twitter.com/aybers/status/1181864711836639232" TargetMode="External"/><Relationship Id="rId1943" Type="http://schemas.openxmlformats.org/officeDocument/2006/relationships/hyperlink" Target="https://twitter.com/yavuzhankartal/status/1181679753092304896" TargetMode="External"/><Relationship Id="rId28" Type="http://schemas.openxmlformats.org/officeDocument/2006/relationships/hyperlink" Target="http://pic.twitter.com/EGqhFqiTLx" TargetMode="External"/><Relationship Id="rId1803" Type="http://schemas.openxmlformats.org/officeDocument/2006/relationships/hyperlink" Target="https://pbs.twimg.com/media/EGb-GHNXoAAyXPh.jpg" TargetMode="External"/><Relationship Id="rId4002" Type="http://schemas.openxmlformats.org/officeDocument/2006/relationships/hyperlink" Target="http://pic.twitter.com/geVUW3shkA" TargetMode="External"/><Relationship Id="rId3768" Type="http://schemas.openxmlformats.org/officeDocument/2006/relationships/hyperlink" Target="https://pbs.twimg.com/media/EGbVGPOXoAASJoK.jpg" TargetMode="External"/><Relationship Id="rId3975" Type="http://schemas.openxmlformats.org/officeDocument/2006/relationships/hyperlink" Target="https://pbs.twimg.com/media/EGbSUFIXoAcdTtW.jpg" TargetMode="External"/><Relationship Id="rId689" Type="http://schemas.openxmlformats.org/officeDocument/2006/relationships/hyperlink" Target="https://www.instagram.com/omerdagdeviren/?hl=tr" TargetMode="External"/><Relationship Id="rId896" Type="http://schemas.openxmlformats.org/officeDocument/2006/relationships/hyperlink" Target="https://instagram.com/turkhabermerkezi?igshid=1k15wcfup7qrh" TargetMode="External"/><Relationship Id="rId2577" Type="http://schemas.openxmlformats.org/officeDocument/2006/relationships/hyperlink" Target="https://pbs.twimg.com/media/EGbqEnOW4AAnKjM.jpg" TargetMode="External"/><Relationship Id="rId2784" Type="http://schemas.openxmlformats.org/officeDocument/2006/relationships/hyperlink" Target="https://www.instagram.com/u.krkyl/" TargetMode="External"/><Relationship Id="rId3628" Type="http://schemas.openxmlformats.org/officeDocument/2006/relationships/hyperlink" Target="https://pbs.twimg.com/media/EGbXCRmXYAEJILT.jpg" TargetMode="External"/><Relationship Id="rId549" Type="http://schemas.openxmlformats.org/officeDocument/2006/relationships/hyperlink" Target="https://afganhaber.com/" TargetMode="External"/><Relationship Id="rId756" Type="http://schemas.openxmlformats.org/officeDocument/2006/relationships/hyperlink" Target="https://pbs.twimg.com/media/EGcIU3mXYAIlCiu.jpg" TargetMode="External"/><Relationship Id="rId1179" Type="http://schemas.openxmlformats.org/officeDocument/2006/relationships/hyperlink" Target="http://blog.milliyet.com.tr/kazimozatak" TargetMode="External"/><Relationship Id="rId1386" Type="http://schemas.openxmlformats.org/officeDocument/2006/relationships/hyperlink" Target="https://pbs.twimg.com/media/EGcNX_wX0AUE5PZ.jpg" TargetMode="External"/><Relationship Id="rId1593" Type="http://schemas.openxmlformats.org/officeDocument/2006/relationships/hyperlink" Target="https://pbs.twimg.com/media/EGcMULWWwAAV1dB.jpg" TargetMode="External"/><Relationship Id="rId2437" Type="http://schemas.openxmlformats.org/officeDocument/2006/relationships/hyperlink" Target="http://pic.twitter.com/8yng4RKF2F" TargetMode="External"/><Relationship Id="rId2991" Type="http://schemas.openxmlformats.org/officeDocument/2006/relationships/hyperlink" Target="https://pbs.twimg.com/media/EGXSbARWkAET3qy.jpg" TargetMode="External"/><Relationship Id="rId3835" Type="http://schemas.openxmlformats.org/officeDocument/2006/relationships/hyperlink" Target="http://www.fifa.com/" TargetMode="External"/><Relationship Id="rId409" Type="http://schemas.openxmlformats.org/officeDocument/2006/relationships/hyperlink" Target="http://pic.twitter.com/RQlBTQAzXw" TargetMode="External"/><Relationship Id="rId963" Type="http://schemas.openxmlformats.org/officeDocument/2006/relationships/hyperlink" Target="http://pic.twitter.com/4HQz8p162x" TargetMode="External"/><Relationship Id="rId1039" Type="http://schemas.openxmlformats.org/officeDocument/2006/relationships/hyperlink" Target="https://pbs.twimg.com/media/EGcQf0rWwAUwWf4.jpg" TargetMode="External"/><Relationship Id="rId1246" Type="http://schemas.openxmlformats.org/officeDocument/2006/relationships/hyperlink" Target="http://bojanm-libero.blogspot.com/" TargetMode="External"/><Relationship Id="rId2644" Type="http://schemas.openxmlformats.org/officeDocument/2006/relationships/hyperlink" Target="http://pic.twitter.com/DcZ05bXxJw" TargetMode="External"/><Relationship Id="rId2851" Type="http://schemas.openxmlformats.org/officeDocument/2006/relationships/hyperlink" Target="https://twitter.com/06melihgokcek/status/1181740541266010112" TargetMode="External"/><Relationship Id="rId3902" Type="http://schemas.openxmlformats.org/officeDocument/2006/relationships/hyperlink" Target="https://pbs.twimg.com/media/EGbTZKeXUAI1Tw4.jpg" TargetMode="External"/><Relationship Id="rId92" Type="http://schemas.openxmlformats.org/officeDocument/2006/relationships/hyperlink" Target="https://www.takvim.com.tr/" TargetMode="External"/><Relationship Id="rId616" Type="http://schemas.openxmlformats.org/officeDocument/2006/relationships/hyperlink" Target="https://pbs.twimg.com/media/EGcTUD4WsAAXzBF.jpg" TargetMode="External"/><Relationship Id="rId823" Type="http://schemas.openxmlformats.org/officeDocument/2006/relationships/hyperlink" Target="https://pbs.twimg.com/media/EGcSHGaXkAAr3R6.jpg" TargetMode="External"/><Relationship Id="rId1453" Type="http://schemas.openxmlformats.org/officeDocument/2006/relationships/hyperlink" Target="http://instagram.com/zeynepdem08/" TargetMode="External"/><Relationship Id="rId1660" Type="http://schemas.openxmlformats.org/officeDocument/2006/relationships/hyperlink" Target="https://pbs.twimg.com/media/EGcL7VYXUAUqsDV.jpg" TargetMode="External"/><Relationship Id="rId2504" Type="http://schemas.openxmlformats.org/officeDocument/2006/relationships/hyperlink" Target="https://pbs.twimg.com/media/EGbsFL2WwAAqDHl.jpg" TargetMode="External"/><Relationship Id="rId2711" Type="http://schemas.openxmlformats.org/officeDocument/2006/relationships/hyperlink" Target="https://pbs.twimg.com/media/EGbnAQ8WsAAW2VY.jpg" TargetMode="External"/><Relationship Id="rId1106" Type="http://schemas.openxmlformats.org/officeDocument/2006/relationships/hyperlink" Target="https://twitter.com/TurkmenElleri/status/1180157692226281472" TargetMode="External"/><Relationship Id="rId1313" Type="http://schemas.openxmlformats.org/officeDocument/2006/relationships/hyperlink" Target="http://pic.twitter.com/rF0FcqFrwq" TargetMode="External"/><Relationship Id="rId1520" Type="http://schemas.openxmlformats.org/officeDocument/2006/relationships/hyperlink" Target="https://pbs.twimg.com/media/EGcMofwXkAM-zEq.jpg" TargetMode="External"/><Relationship Id="rId4469" Type="http://schemas.openxmlformats.org/officeDocument/2006/relationships/hyperlink" Target="http://instagram.com/mkaraahan" TargetMode="External"/><Relationship Id="rId3278" Type="http://schemas.openxmlformats.org/officeDocument/2006/relationships/hyperlink" Target="https://twitter.com/baskomutan1071" TargetMode="External"/><Relationship Id="rId3485" Type="http://schemas.openxmlformats.org/officeDocument/2006/relationships/hyperlink" Target="http://pic.twitter.com/41rQyAbKag" TargetMode="External"/><Relationship Id="rId3692" Type="http://schemas.openxmlformats.org/officeDocument/2006/relationships/hyperlink" Target="https://pbs.twimg.com/media/EGbWCIlWkAA_p9s.jpg" TargetMode="External"/><Relationship Id="rId4329" Type="http://schemas.openxmlformats.org/officeDocument/2006/relationships/hyperlink" Target="http://instagram.com/adyu.medya" TargetMode="External"/><Relationship Id="rId199" Type="http://schemas.openxmlformats.org/officeDocument/2006/relationships/hyperlink" Target="http://pic.twitter.com/bnPn0nAfFT" TargetMode="External"/><Relationship Id="rId2087" Type="http://schemas.openxmlformats.org/officeDocument/2006/relationships/hyperlink" Target="https://pbs.twimg.com/media/D98DKf3XUAAhRKy.jpg" TargetMode="External"/><Relationship Id="rId2294" Type="http://schemas.openxmlformats.org/officeDocument/2006/relationships/hyperlink" Target="http://pic.twitter.com/XeXg9fGH7B" TargetMode="External"/><Relationship Id="rId3138" Type="http://schemas.openxmlformats.org/officeDocument/2006/relationships/hyperlink" Target="http://instagram.com/gencoglutv" TargetMode="External"/><Relationship Id="rId3345" Type="http://schemas.openxmlformats.org/officeDocument/2006/relationships/hyperlink" Target="https://pbs.twimg.com/media/EGbbbpFWoAAcaoU.jpg" TargetMode="External"/><Relationship Id="rId3552" Type="http://schemas.openxmlformats.org/officeDocument/2006/relationships/hyperlink" Target="https://www.funnygame.info/" TargetMode="External"/><Relationship Id="rId266" Type="http://schemas.openxmlformats.org/officeDocument/2006/relationships/hyperlink" Target="https://pbs.twimg.com/media/EGcWnddW4AcKfcA.jpg" TargetMode="External"/><Relationship Id="rId473" Type="http://schemas.openxmlformats.org/officeDocument/2006/relationships/hyperlink" Target="http://www.instagram.com/konyasosyalll/" TargetMode="External"/><Relationship Id="rId680" Type="http://schemas.openxmlformats.org/officeDocument/2006/relationships/hyperlink" Target="https://pbs.twimg.com/media/EGcTGzHWsAA4w5z.jpg" TargetMode="External"/><Relationship Id="rId2154" Type="http://schemas.openxmlformats.org/officeDocument/2006/relationships/hyperlink" Target="http://pic.twitter.com/5C23KHSgXD" TargetMode="External"/><Relationship Id="rId2361" Type="http://schemas.openxmlformats.org/officeDocument/2006/relationships/hyperlink" Target="https://pbs.twimg.com/media/EGbvhtBX0AYzTUb.jpg" TargetMode="External"/><Relationship Id="rId3205" Type="http://schemas.openxmlformats.org/officeDocument/2006/relationships/hyperlink" Target="http://instagram.com/kcmn_zeynep" TargetMode="External"/><Relationship Id="rId3412" Type="http://schemas.openxmlformats.org/officeDocument/2006/relationships/hyperlink" Target="https://pbs.twimg.com/media/EGbaUBgWsAcZZnk.jpg" TargetMode="External"/><Relationship Id="rId126" Type="http://schemas.openxmlformats.org/officeDocument/2006/relationships/hyperlink" Target="http://pic.twitter.com/qtbRivKGWd" TargetMode="External"/><Relationship Id="rId333" Type="http://schemas.openxmlformats.org/officeDocument/2006/relationships/hyperlink" Target="https://pbs.twimg.com/media/EGcVwzQX0AMOJ9z.jpg" TargetMode="External"/><Relationship Id="rId540" Type="http://schemas.openxmlformats.org/officeDocument/2006/relationships/hyperlink" Target="https://www.instagram.com/salihbaykalosmanoglu/" TargetMode="External"/><Relationship Id="rId1170" Type="http://schemas.openxmlformats.org/officeDocument/2006/relationships/hyperlink" Target="https://pbs.twimg.com/media/EGcPQ4fX0AAwHbj.jpg" TargetMode="External"/><Relationship Id="rId2014" Type="http://schemas.openxmlformats.org/officeDocument/2006/relationships/hyperlink" Target="https://pbs.twimg.com/media/EGb4cTLXYAEzKE2.jpg" TargetMode="External"/><Relationship Id="rId2221" Type="http://schemas.openxmlformats.org/officeDocument/2006/relationships/hyperlink" Target="https://www.facebook.com/turkislam27" TargetMode="External"/><Relationship Id="rId1030" Type="http://schemas.openxmlformats.org/officeDocument/2006/relationships/hyperlink" Target="http://pic.twitter.com/opJQdI58LW" TargetMode="External"/><Relationship Id="rId4186" Type="http://schemas.openxmlformats.org/officeDocument/2006/relationships/hyperlink" Target="https://pbs.twimg.com/media/EGbPfzEXYAAcjVF.jpg" TargetMode="External"/><Relationship Id="rId400" Type="http://schemas.openxmlformats.org/officeDocument/2006/relationships/hyperlink" Target="https://twitter.com/Deven_Intel/status/1181935132451753984" TargetMode="External"/><Relationship Id="rId1987" Type="http://schemas.openxmlformats.org/officeDocument/2006/relationships/hyperlink" Target="https://pbs.twimg.com/media/EGb5FCcXkAAhI0A.jpg" TargetMode="External"/><Relationship Id="rId4393" Type="http://schemas.openxmlformats.org/officeDocument/2006/relationships/hyperlink" Target="https://pbs.twimg.com/media/EGbNRLLX0AAeE-q.jpg" TargetMode="External"/><Relationship Id="rId1847" Type="http://schemas.openxmlformats.org/officeDocument/2006/relationships/hyperlink" Target="https://pbs.twimg.com/media/EGb0VySXoAAl41S.jpg" TargetMode="External"/><Relationship Id="rId4046" Type="http://schemas.openxmlformats.org/officeDocument/2006/relationships/hyperlink" Target="http://instagram.com/canturkegilmez" TargetMode="External"/><Relationship Id="rId4253" Type="http://schemas.openxmlformats.org/officeDocument/2006/relationships/hyperlink" Target="http://talebe.org/" TargetMode="External"/><Relationship Id="rId4460" Type="http://schemas.openxmlformats.org/officeDocument/2006/relationships/hyperlink" Target="http://instagram.com/berkayarkoc" TargetMode="External"/><Relationship Id="rId1707" Type="http://schemas.openxmlformats.org/officeDocument/2006/relationships/hyperlink" Target="https://pbs.twimg.com/media/EGcLskQXUAUii5u.jpg" TargetMode="External"/><Relationship Id="rId3062" Type="http://schemas.openxmlformats.org/officeDocument/2006/relationships/hyperlink" Target="https://pbs.twimg.com/media/EGbgHSjXkAEQPfR.jpg" TargetMode="External"/><Relationship Id="rId4113" Type="http://schemas.openxmlformats.org/officeDocument/2006/relationships/hyperlink" Target="https://pbs.twimg.com/media/EGbQWJGW4AAT8Tg.jpg" TargetMode="External"/><Relationship Id="rId4320" Type="http://schemas.openxmlformats.org/officeDocument/2006/relationships/hyperlink" Target="http://www.gazetembayrakli.com/" TargetMode="External"/><Relationship Id="rId190" Type="http://schemas.openxmlformats.org/officeDocument/2006/relationships/hyperlink" Target="https://pbs.twimg.com/media/EGcJLR9XYAAkKF1.jpg" TargetMode="External"/><Relationship Id="rId1914" Type="http://schemas.openxmlformats.org/officeDocument/2006/relationships/hyperlink" Target="https://pbs.twimg.com/media/EGb7AxWXkAA8EDT.jpg" TargetMode="External"/><Relationship Id="rId3879" Type="http://schemas.openxmlformats.org/officeDocument/2006/relationships/hyperlink" Target="https://twitter.com/kaankural/status/16867365789" TargetMode="External"/><Relationship Id="rId2688" Type="http://schemas.openxmlformats.org/officeDocument/2006/relationships/hyperlink" Target="https://pbs.twimg.com/media/EGbnhmrWoAEkBjv.jpg" TargetMode="External"/><Relationship Id="rId2895" Type="http://schemas.openxmlformats.org/officeDocument/2006/relationships/hyperlink" Target="http://pic.twitter.com/9CZ8QQ7fk2" TargetMode="External"/><Relationship Id="rId3739" Type="http://schemas.openxmlformats.org/officeDocument/2006/relationships/hyperlink" Target="https://pbs.twimg.com/media/EGbVajuWkAAdYgt.jpg" TargetMode="External"/><Relationship Id="rId3946" Type="http://schemas.openxmlformats.org/officeDocument/2006/relationships/hyperlink" Target="https://twitter.com/elmeru41_baba/status/1181861317902241792" TargetMode="External"/><Relationship Id="rId867" Type="http://schemas.openxmlformats.org/officeDocument/2006/relationships/hyperlink" Target="http://pic.twitter.com/Vu0Xtv1wkl" TargetMode="External"/><Relationship Id="rId1497" Type="http://schemas.openxmlformats.org/officeDocument/2006/relationships/hyperlink" Target="https://twitter.com/omaxsah/status/1181927095955578885" TargetMode="External"/><Relationship Id="rId2548" Type="http://schemas.openxmlformats.org/officeDocument/2006/relationships/hyperlink" Target="https://pbs.twimg.com/media/EGbq8hmW4AEoxa4.jpg" TargetMode="External"/><Relationship Id="rId2755" Type="http://schemas.openxmlformats.org/officeDocument/2006/relationships/hyperlink" Target="https://pbs.twimg.com/media/EGbl-gFXYAAmKCB.jpg" TargetMode="External"/><Relationship Id="rId2962" Type="http://schemas.openxmlformats.org/officeDocument/2006/relationships/hyperlink" Target="https://pbs.twimg.com/media/EGbiEWBWwAEDCiW.jpg" TargetMode="External"/><Relationship Id="rId3806" Type="http://schemas.openxmlformats.org/officeDocument/2006/relationships/hyperlink" Target="https://pbs.twimg.com/media/EGbUkv0WkAAqEar.jpg" TargetMode="External"/><Relationship Id="rId727" Type="http://schemas.openxmlformats.org/officeDocument/2006/relationships/hyperlink" Target="https://pbs.twimg.com/media/EGcStxJX0AAm4a_.jpg" TargetMode="External"/><Relationship Id="rId934" Type="http://schemas.openxmlformats.org/officeDocument/2006/relationships/hyperlink" Target="https://pbs.twimg.com/media/EGcRU9PX0AMwjsW.jpg" TargetMode="External"/><Relationship Id="rId1357" Type="http://schemas.openxmlformats.org/officeDocument/2006/relationships/hyperlink" Target="http://pic.twitter.com/GIFvcINSkh" TargetMode="External"/><Relationship Id="rId1564" Type="http://schemas.openxmlformats.org/officeDocument/2006/relationships/hyperlink" Target="https://yazbee.com/omaxsah" TargetMode="External"/><Relationship Id="rId1771" Type="http://schemas.openxmlformats.org/officeDocument/2006/relationships/hyperlink" Target="https://pbs.twimg.com/media/EGb-4OfXYAAwZMV.jpg" TargetMode="External"/><Relationship Id="rId2408" Type="http://schemas.openxmlformats.org/officeDocument/2006/relationships/hyperlink" Target="https://pbs.twimg.com/media/EGbuS-yW4AALMOW.jpg" TargetMode="External"/><Relationship Id="rId2615" Type="http://schemas.openxmlformats.org/officeDocument/2006/relationships/hyperlink" Target="https://pbs.twimg.com/media/EGbpa8_XYAAK_bo.jpg" TargetMode="External"/><Relationship Id="rId2822" Type="http://schemas.openxmlformats.org/officeDocument/2006/relationships/hyperlink" Target="http://pic.twitter.com/AAIR4VSMre" TargetMode="External"/><Relationship Id="rId63" Type="http://schemas.openxmlformats.org/officeDocument/2006/relationships/hyperlink" Target="https://www.instagram.com/kursat.bozkurt66/" TargetMode="External"/><Relationship Id="rId1217" Type="http://schemas.openxmlformats.org/officeDocument/2006/relationships/hyperlink" Target="https://pbs.twimg.com/media/EGcO2xdXoAArfFm.jpg" TargetMode="External"/><Relationship Id="rId1424" Type="http://schemas.openxmlformats.org/officeDocument/2006/relationships/hyperlink" Target="https://pbs.twimg.com/media/EGcNJK1XUAEqScy.jpg" TargetMode="External"/><Relationship Id="rId1631" Type="http://schemas.openxmlformats.org/officeDocument/2006/relationships/hyperlink" Target="https://twitter.com/RTErdogan/status/1181919804619407360" TargetMode="External"/><Relationship Id="rId3389" Type="http://schemas.openxmlformats.org/officeDocument/2006/relationships/hyperlink" Target="https://pbs.twimg.com/media/EGbawkyWwAAde96.jpg" TargetMode="External"/><Relationship Id="rId3596" Type="http://schemas.openxmlformats.org/officeDocument/2006/relationships/hyperlink" Target="https://pbs.twimg.com/media/EGbXfemXoAACe6h.jpg" TargetMode="External"/><Relationship Id="rId2198" Type="http://schemas.openxmlformats.org/officeDocument/2006/relationships/hyperlink" Target="https://www.instagram.com/kmlekz" TargetMode="External"/><Relationship Id="rId3249" Type="http://schemas.openxmlformats.org/officeDocument/2006/relationships/hyperlink" Target="https://twitter.com/YolumuzVatan/status/1181852198638166016" TargetMode="External"/><Relationship Id="rId3456" Type="http://schemas.openxmlformats.org/officeDocument/2006/relationships/hyperlink" Target="https://pbs.twimg.com/media/D8pN1DdXsAAd9sT.jpg" TargetMode="External"/><Relationship Id="rId377" Type="http://schemas.openxmlformats.org/officeDocument/2006/relationships/hyperlink" Target="https://pbs.twimg.com/media/EGcVnDPWoAA4Mkp.jpg" TargetMode="External"/><Relationship Id="rId584" Type="http://schemas.openxmlformats.org/officeDocument/2006/relationships/hyperlink" Target="https://pbs.twimg.com/media/EGcTxAWX0AELlD1.jpg" TargetMode="External"/><Relationship Id="rId2058" Type="http://schemas.openxmlformats.org/officeDocument/2006/relationships/hyperlink" Target="https://pbs.twimg.com/media/EGb3lRQWoAAWUA9.jpg" TargetMode="External"/><Relationship Id="rId2265" Type="http://schemas.openxmlformats.org/officeDocument/2006/relationships/hyperlink" Target="https://pbs.twimg.com/media/EGbyUtsW4AAB9qq.jpg" TargetMode="External"/><Relationship Id="rId3109" Type="http://schemas.openxmlformats.org/officeDocument/2006/relationships/hyperlink" Target="https://pbs.twimg.com/media/EGbfVLPW4AArzAy.jpg" TargetMode="External"/><Relationship Id="rId3663" Type="http://schemas.openxmlformats.org/officeDocument/2006/relationships/hyperlink" Target="https://curiouscat.me/seokjinsatans?t=1562796193" TargetMode="External"/><Relationship Id="rId3870" Type="http://schemas.openxmlformats.org/officeDocument/2006/relationships/hyperlink" Target="https://pbs.twimg.com/media/EGbT0vPXkAYKD8a.jpg" TargetMode="External"/><Relationship Id="rId4507" Type="http://schemas.openxmlformats.org/officeDocument/2006/relationships/hyperlink" Target="https://pbs.twimg.com/media/EGbL3rzWoAclodD.jpg" TargetMode="External"/><Relationship Id="rId237" Type="http://schemas.openxmlformats.org/officeDocument/2006/relationships/hyperlink" Target="http://pic.twitter.com/XdLd4UZsrn" TargetMode="External"/><Relationship Id="rId791" Type="http://schemas.openxmlformats.org/officeDocument/2006/relationships/hyperlink" Target="https://pbs.twimg.com/media/EGcSRy2WsAAJIWq.jpg" TargetMode="External"/><Relationship Id="rId1074" Type="http://schemas.openxmlformats.org/officeDocument/2006/relationships/hyperlink" Target="https://www.haber365.com.tr/" TargetMode="External"/><Relationship Id="rId2472" Type="http://schemas.openxmlformats.org/officeDocument/2006/relationships/hyperlink" Target="http://pic.twitter.com/deKXTaEDiV" TargetMode="External"/><Relationship Id="rId3316" Type="http://schemas.openxmlformats.org/officeDocument/2006/relationships/hyperlink" Target="https://pbs.twimg.com/media/EGbb19aXUAEQXGK.jpg" TargetMode="External"/><Relationship Id="rId3523" Type="http://schemas.openxmlformats.org/officeDocument/2006/relationships/hyperlink" Target="https://pbs.twimg.com/media/EGbYloyXkAAOiGL.jpg" TargetMode="External"/><Relationship Id="rId3730" Type="http://schemas.openxmlformats.org/officeDocument/2006/relationships/hyperlink" Target="https://pbs.twimg.com/media/EGbVinVXkAAMkhu.jpg" TargetMode="External"/><Relationship Id="rId444" Type="http://schemas.openxmlformats.org/officeDocument/2006/relationships/hyperlink" Target="https://pbs.twimg.com/media/EGcUv4XXoAAeVtY.jpg" TargetMode="External"/><Relationship Id="rId651" Type="http://schemas.openxmlformats.org/officeDocument/2006/relationships/hyperlink" Target="https://www.zeit.de/politik/ausland/2019-10/nordsyrien-tuerkei-beginnt-offensive-gegen-kurden" TargetMode="External"/><Relationship Id="rId1281" Type="http://schemas.openxmlformats.org/officeDocument/2006/relationships/hyperlink" Target="https://pbs.twimg.com/media/EGcOO8_WwAAsyoZ.jpg" TargetMode="External"/><Relationship Id="rId2125" Type="http://schemas.openxmlformats.org/officeDocument/2006/relationships/hyperlink" Target="http://pic.twitter.com/SuaQla8DC1" TargetMode="External"/><Relationship Id="rId2332" Type="http://schemas.openxmlformats.org/officeDocument/2006/relationships/hyperlink" Target="https://pbs.twimg.com/media/D46ZalgW0AEbLYP.jpg" TargetMode="External"/><Relationship Id="rId304" Type="http://schemas.openxmlformats.org/officeDocument/2006/relationships/hyperlink" Target="https://www.facebook.com/harryslaststand/" TargetMode="External"/><Relationship Id="rId511" Type="http://schemas.openxmlformats.org/officeDocument/2006/relationships/hyperlink" Target="https://pbs.twimg.com/media/EGcUZbMXYAEj-pK.jpg" TargetMode="External"/><Relationship Id="rId1141" Type="http://schemas.openxmlformats.org/officeDocument/2006/relationships/hyperlink" Target="http://instagram.com/Kubilay_ykrk" TargetMode="External"/><Relationship Id="rId4297" Type="http://schemas.openxmlformats.org/officeDocument/2006/relationships/hyperlink" Target="http://pic.twitter.com/Z9G9cejO6x" TargetMode="External"/><Relationship Id="rId1001" Type="http://schemas.openxmlformats.org/officeDocument/2006/relationships/hyperlink" Target="https://pbs.twimg.com/media/EGcQrYyWkAAFkOD.jpg" TargetMode="External"/><Relationship Id="rId4157" Type="http://schemas.openxmlformats.org/officeDocument/2006/relationships/hyperlink" Target="https://pbs.twimg.com/media/EGXDQFjX0AA7a5w.jpg" TargetMode="External"/><Relationship Id="rId4364" Type="http://schemas.openxmlformats.org/officeDocument/2006/relationships/hyperlink" Target="http://pic.twitter.com/fq77lh9zHe" TargetMode="External"/><Relationship Id="rId1958" Type="http://schemas.openxmlformats.org/officeDocument/2006/relationships/hyperlink" Target="https://pbs.twimg.com/media/EGb508fWoAEaICH.jpg" TargetMode="External"/><Relationship Id="rId3173" Type="http://schemas.openxmlformats.org/officeDocument/2006/relationships/hyperlink" Target="https://pbs.twimg.com/media/EGbeciDXYAA5PNC.jpg" TargetMode="External"/><Relationship Id="rId3380" Type="http://schemas.openxmlformats.org/officeDocument/2006/relationships/hyperlink" Target="http://pic.twitter.com/I6al9XN2H5" TargetMode="External"/><Relationship Id="rId4017" Type="http://schemas.openxmlformats.org/officeDocument/2006/relationships/hyperlink" Target="https://pbs.twimg.com/media/EGbRzljX0AEKird.jpg" TargetMode="External"/><Relationship Id="rId4224" Type="http://schemas.openxmlformats.org/officeDocument/2006/relationships/hyperlink" Target="http://www.edebiyatdefteri.com/index.asp?istek=sair_siirleri&amp;sair=38039" TargetMode="External"/><Relationship Id="rId4431" Type="http://schemas.openxmlformats.org/officeDocument/2006/relationships/hyperlink" Target="https://pbs.twimg.com/media/EGbMvbQXoAAgAGj.jpg" TargetMode="External"/><Relationship Id="rId1818" Type="http://schemas.openxmlformats.org/officeDocument/2006/relationships/hyperlink" Target="https://pbs.twimg.com/media/EGb9lMUXkAAycNc.jpg" TargetMode="External"/><Relationship Id="rId3033" Type="http://schemas.openxmlformats.org/officeDocument/2006/relationships/hyperlink" Target="https://pbs.twimg.com/media/EGbgxkkXUAAyJwU.jpg" TargetMode="External"/><Relationship Id="rId3240" Type="http://schemas.openxmlformats.org/officeDocument/2006/relationships/hyperlink" Target="http://www.abdulselamgulec.com/" TargetMode="External"/><Relationship Id="rId161" Type="http://schemas.openxmlformats.org/officeDocument/2006/relationships/hyperlink" Target="http://pic.twitter.com/oIVGcDbNeP" TargetMode="External"/><Relationship Id="rId2799" Type="http://schemas.openxmlformats.org/officeDocument/2006/relationships/hyperlink" Target="https://twitter.com/RojavaNetwork/status/1181874488679505921?s=20" TargetMode="External"/><Relationship Id="rId3100" Type="http://schemas.openxmlformats.org/officeDocument/2006/relationships/hyperlink" Target="http://pic.twitter.com/PnKUl3Rz9d" TargetMode="External"/><Relationship Id="rId978" Type="http://schemas.openxmlformats.org/officeDocument/2006/relationships/hyperlink" Target="http://pic.twitter.com/h19LxIlKna" TargetMode="External"/><Relationship Id="rId2659" Type="http://schemas.openxmlformats.org/officeDocument/2006/relationships/hyperlink" Target="https://twitter.com/yasiremres/status/1181514785596293120" TargetMode="External"/><Relationship Id="rId2866" Type="http://schemas.openxmlformats.org/officeDocument/2006/relationships/hyperlink" Target="https://pbs.twimg.com/media/D46Zb_eW0AAqI7R.jpg" TargetMode="External"/><Relationship Id="rId3917" Type="http://schemas.openxmlformats.org/officeDocument/2006/relationships/hyperlink" Target="https://pbs.twimg.com/media/EGbTMHpWkAAKITe.jpg" TargetMode="External"/><Relationship Id="rId838" Type="http://schemas.openxmlformats.org/officeDocument/2006/relationships/hyperlink" Target="https://pbs.twimg.com/media/EGcR_oZXkAIUnEN.jpg" TargetMode="External"/><Relationship Id="rId1468" Type="http://schemas.openxmlformats.org/officeDocument/2006/relationships/hyperlink" Target="http://instagram.com/okangaraj" TargetMode="External"/><Relationship Id="rId1675" Type="http://schemas.openxmlformats.org/officeDocument/2006/relationships/hyperlink" Target="https://es.rt.com/72eq" TargetMode="External"/><Relationship Id="rId1882" Type="http://schemas.openxmlformats.org/officeDocument/2006/relationships/hyperlink" Target="https://pbs.twimg.com/media/EGb7qp1XoAEaO9n.jpg" TargetMode="External"/><Relationship Id="rId2519" Type="http://schemas.openxmlformats.org/officeDocument/2006/relationships/hyperlink" Target="https://pbs.twimg.com/media/EGbrvSHWwAAa5b9.jpg" TargetMode="External"/><Relationship Id="rId2726" Type="http://schemas.openxmlformats.org/officeDocument/2006/relationships/hyperlink" Target="https://pbs.twimg.com/media/EGbmnA1XUAE20Vg.jpg" TargetMode="External"/><Relationship Id="rId4081" Type="http://schemas.openxmlformats.org/officeDocument/2006/relationships/hyperlink" Target="https://pbs.twimg.com/media/EEBMtfbW4AE4oNi.jpg" TargetMode="External"/><Relationship Id="rId1328" Type="http://schemas.openxmlformats.org/officeDocument/2006/relationships/hyperlink" Target="http://pic.twitter.com/RPJBDUbcAJ" TargetMode="External"/><Relationship Id="rId1535" Type="http://schemas.openxmlformats.org/officeDocument/2006/relationships/hyperlink" Target="https://pbs.twimg.com/media/EGcMhX2WoAAe4_f.jpg" TargetMode="External"/><Relationship Id="rId2933" Type="http://schemas.openxmlformats.org/officeDocument/2006/relationships/hyperlink" Target="https://pbs.twimg.com/media/EGbiYhhWwAAzR8z.jpg" TargetMode="External"/><Relationship Id="rId905" Type="http://schemas.openxmlformats.org/officeDocument/2006/relationships/hyperlink" Target="https://pbs.twimg.com/media/EGcRiglXoAEX8uZ.jpg" TargetMode="External"/><Relationship Id="rId1742" Type="http://schemas.openxmlformats.org/officeDocument/2006/relationships/hyperlink" Target="http://pic.twitter.com/XA7jdahj96" TargetMode="External"/><Relationship Id="rId34" Type="http://schemas.openxmlformats.org/officeDocument/2006/relationships/hyperlink" Target="https://instagram.com/halil_sldz?igshid=m8nxsf56n9qe" TargetMode="External"/><Relationship Id="rId1602" Type="http://schemas.openxmlformats.org/officeDocument/2006/relationships/hyperlink" Target="https://pbs.twimg.com/media/EGcMRg6WoAIXKMU.jpg" TargetMode="External"/><Relationship Id="rId3567" Type="http://schemas.openxmlformats.org/officeDocument/2006/relationships/hyperlink" Target="http://pic.twitter.com/W23Szju4kU" TargetMode="External"/><Relationship Id="rId3774" Type="http://schemas.openxmlformats.org/officeDocument/2006/relationships/hyperlink" Target="https://pbs.twimg.com/media/EGbU97HXkAIuhvY.jpg" TargetMode="External"/><Relationship Id="rId3981" Type="http://schemas.openxmlformats.org/officeDocument/2006/relationships/hyperlink" Target="https://twitter.com/oguzhan_tolak/status/1181419155628666880" TargetMode="External"/><Relationship Id="rId488" Type="http://schemas.openxmlformats.org/officeDocument/2006/relationships/hyperlink" Target="https://pbs.twimg.com/media/EGcUlxMWwAUIvsv.jpg" TargetMode="External"/><Relationship Id="rId695" Type="http://schemas.openxmlformats.org/officeDocument/2006/relationships/hyperlink" Target="https://pbs.twimg.com/media/EGcS_-WW4AYUcPK.jpg" TargetMode="External"/><Relationship Id="rId2169" Type="http://schemas.openxmlformats.org/officeDocument/2006/relationships/hyperlink" Target="http://pic.twitter.com/MIRsDd77sA" TargetMode="External"/><Relationship Id="rId2376" Type="http://schemas.openxmlformats.org/officeDocument/2006/relationships/hyperlink" Target="https://pbs.twimg.com/media/EGbvQXJWsAQAUJl.jpg" TargetMode="External"/><Relationship Id="rId2583" Type="http://schemas.openxmlformats.org/officeDocument/2006/relationships/hyperlink" Target="https://pbs.twimg.com/media/EGbp5ZnXYAEb5E9.jpg" TargetMode="External"/><Relationship Id="rId2790" Type="http://schemas.openxmlformats.org/officeDocument/2006/relationships/hyperlink" Target="http://pic.twitter.com/kE63CdEOSf" TargetMode="External"/><Relationship Id="rId3427" Type="http://schemas.openxmlformats.org/officeDocument/2006/relationships/hyperlink" Target="http://pic.twitter.com/Tb5kZt3z4p" TargetMode="External"/><Relationship Id="rId3634" Type="http://schemas.openxmlformats.org/officeDocument/2006/relationships/hyperlink" Target="https://pbs.twimg.com/media/D5g2ylZXsAo0Xm1.jpg" TargetMode="External"/><Relationship Id="rId3841" Type="http://schemas.openxmlformats.org/officeDocument/2006/relationships/hyperlink" Target="https://pbs.twimg.com/media/EGbUCQ8XoAA9B9A.jpg" TargetMode="External"/><Relationship Id="rId348" Type="http://schemas.openxmlformats.org/officeDocument/2006/relationships/hyperlink" Target="http://pic.twitter.com/Dhw5VBxbf0" TargetMode="External"/><Relationship Id="rId555" Type="http://schemas.openxmlformats.org/officeDocument/2006/relationships/hyperlink" Target="http://pic.twitter.com/K5XSOBO9jN" TargetMode="External"/><Relationship Id="rId762" Type="http://schemas.openxmlformats.org/officeDocument/2006/relationships/hyperlink" Target="https://twitter.com/aybers/status/1181864711836639232" TargetMode="External"/><Relationship Id="rId1185" Type="http://schemas.openxmlformats.org/officeDocument/2006/relationships/hyperlink" Target="https://pbs.twimg.com/media/EGcPGIsXYAI1iXD.jpg" TargetMode="External"/><Relationship Id="rId1392" Type="http://schemas.openxmlformats.org/officeDocument/2006/relationships/hyperlink" Target="https://pbs.twimg.com/media/EGcNX9eXoAEzDAv.jpg" TargetMode="External"/><Relationship Id="rId2029" Type="http://schemas.openxmlformats.org/officeDocument/2006/relationships/hyperlink" Target="https://www.fiverr.com/mrhraju/design-eyecatching-youtube-thumbnail-within-24-hours" TargetMode="External"/><Relationship Id="rId2236" Type="http://schemas.openxmlformats.org/officeDocument/2006/relationships/hyperlink" Target="https://pbs.twimg.com/media/EGbzGraX0AAJJeF.jpg" TargetMode="External"/><Relationship Id="rId2443" Type="http://schemas.openxmlformats.org/officeDocument/2006/relationships/hyperlink" Target="https://twitter.com/gergerliogluof/status/1181832279997501440" TargetMode="External"/><Relationship Id="rId2650" Type="http://schemas.openxmlformats.org/officeDocument/2006/relationships/hyperlink" Target="http://pic.twitter.com/E1QeywzEZd" TargetMode="External"/><Relationship Id="rId3701" Type="http://schemas.openxmlformats.org/officeDocument/2006/relationships/hyperlink" Target="https://pbs.twimg.com/media/EGbV76tWsAAApCc.jpg" TargetMode="External"/><Relationship Id="rId208" Type="http://schemas.openxmlformats.org/officeDocument/2006/relationships/hyperlink" Target="http://pic.twitter.com/pLHcBpaug5" TargetMode="External"/><Relationship Id="rId415" Type="http://schemas.openxmlformats.org/officeDocument/2006/relationships/hyperlink" Target="https://pbs.twimg.com/media/EGcVN4IXUAAm7af.jpg" TargetMode="External"/><Relationship Id="rId622" Type="http://schemas.openxmlformats.org/officeDocument/2006/relationships/hyperlink" Target="https://pbs.twimg.com/media/EGcTbYsWoAAlgTQ.jpg" TargetMode="External"/><Relationship Id="rId1045" Type="http://schemas.openxmlformats.org/officeDocument/2006/relationships/hyperlink" Target="https://pbs.twimg.com/media/EGcQdd5WsAA55ZJ.jpg" TargetMode="External"/><Relationship Id="rId1252" Type="http://schemas.openxmlformats.org/officeDocument/2006/relationships/hyperlink" Target="http://hisseanaliz.net/" TargetMode="External"/><Relationship Id="rId2303" Type="http://schemas.openxmlformats.org/officeDocument/2006/relationships/hyperlink" Target="http://pic.twitter.com/JAwo1krZSU" TargetMode="External"/><Relationship Id="rId2510" Type="http://schemas.openxmlformats.org/officeDocument/2006/relationships/hyperlink" Target="https://pbs.twimg.com/media/BmBQrZZIgAA3m5k.jpg" TargetMode="External"/><Relationship Id="rId1112" Type="http://schemas.openxmlformats.org/officeDocument/2006/relationships/hyperlink" Target="https://pbs.twimg.com/media/EGcP6Q8XUAAOOfb.jpg" TargetMode="External"/><Relationship Id="rId4268" Type="http://schemas.openxmlformats.org/officeDocument/2006/relationships/hyperlink" Target="https://pbs.twimg.com/media/EGbOmEVXYAArYvl.jpg" TargetMode="External"/><Relationship Id="rId4475" Type="http://schemas.openxmlformats.org/officeDocument/2006/relationships/hyperlink" Target="https://pbs.twimg.com/media/EGbBDz0WwAAwFwS.jpg" TargetMode="External"/><Relationship Id="rId3077" Type="http://schemas.openxmlformats.org/officeDocument/2006/relationships/hyperlink" Target="https://pbs.twimg.com/media/EGbfmVyWoAA_Pet.jpg" TargetMode="External"/><Relationship Id="rId3284" Type="http://schemas.openxmlformats.org/officeDocument/2006/relationships/hyperlink" Target="https://ift.tt/2mX7B89" TargetMode="External"/><Relationship Id="rId4128" Type="http://schemas.openxmlformats.org/officeDocument/2006/relationships/hyperlink" Target="https://bit.ly/2VfE5oZ" TargetMode="External"/><Relationship Id="rId1929" Type="http://schemas.openxmlformats.org/officeDocument/2006/relationships/hyperlink" Target="https://pbs.twimg.com/media/D5vvseUWAAAx8QL.jpg" TargetMode="External"/><Relationship Id="rId2093" Type="http://schemas.openxmlformats.org/officeDocument/2006/relationships/hyperlink" Target="https://pbs.twimg.com/media/EGbefs3XUAAOKOU.jpg" TargetMode="External"/><Relationship Id="rId3491" Type="http://schemas.openxmlformats.org/officeDocument/2006/relationships/hyperlink" Target="https://pbs.twimg.com/media/EGbZK-_WwAEo5MK.jpg" TargetMode="External"/><Relationship Id="rId4335" Type="http://schemas.openxmlformats.org/officeDocument/2006/relationships/hyperlink" Target="https://pbs.twimg.com/media/EGbN37eXYAAmQzk.jpg" TargetMode="External"/><Relationship Id="rId3144" Type="http://schemas.openxmlformats.org/officeDocument/2006/relationships/hyperlink" Target="https://pbs.twimg.com/media/EGbe0ODWsAAsAVE.jpg" TargetMode="External"/><Relationship Id="rId3351" Type="http://schemas.openxmlformats.org/officeDocument/2006/relationships/hyperlink" Target="http://pic.twitter.com/BmSu8maxET" TargetMode="External"/><Relationship Id="rId4402" Type="http://schemas.openxmlformats.org/officeDocument/2006/relationships/hyperlink" Target="http://www.kolemans.wordpress.com/" TargetMode="External"/><Relationship Id="rId272" Type="http://schemas.openxmlformats.org/officeDocument/2006/relationships/hyperlink" Target="https://twitter.com/aybers/status/1181864711836639232" TargetMode="External"/><Relationship Id="rId2160" Type="http://schemas.openxmlformats.org/officeDocument/2006/relationships/hyperlink" Target="http://www.haberler12.com/" TargetMode="External"/><Relationship Id="rId3004" Type="http://schemas.openxmlformats.org/officeDocument/2006/relationships/hyperlink" Target="https://www.muhammetkaplan.com/" TargetMode="External"/><Relationship Id="rId3211" Type="http://schemas.openxmlformats.org/officeDocument/2006/relationships/hyperlink" Target="https://www.youtube.com/channel/UCKffDvvPfm--GZbVq0MyLEA" TargetMode="External"/><Relationship Id="rId132" Type="http://schemas.openxmlformats.org/officeDocument/2006/relationships/hyperlink" Target="https://pbs.twimg.com/media/EGcYWfqWkAE3uNq.jpg" TargetMode="External"/><Relationship Id="rId2020" Type="http://schemas.openxmlformats.org/officeDocument/2006/relationships/hyperlink" Target="https://pbs.twimg.com/media/EGb4VrAXoAI57tO.jpg" TargetMode="External"/><Relationship Id="rId1579" Type="http://schemas.openxmlformats.org/officeDocument/2006/relationships/hyperlink" Target="https://pbs.twimg.com/media/EGcMXzDWwAIsrH1.jpg" TargetMode="External"/><Relationship Id="rId2977" Type="http://schemas.openxmlformats.org/officeDocument/2006/relationships/hyperlink" Target="https://www.instagram.com/p/B3ZOvb9n2Nd/?igshid=1pep9igdrb1lo" TargetMode="External"/><Relationship Id="rId4192" Type="http://schemas.openxmlformats.org/officeDocument/2006/relationships/hyperlink" Target="https://pbs.twimg.com/media/EGbPcRUXUAAJBnT.jpg" TargetMode="External"/><Relationship Id="rId949" Type="http://schemas.openxmlformats.org/officeDocument/2006/relationships/hyperlink" Target="http://www.speakeragency.com.tr/murat-sagman" TargetMode="External"/><Relationship Id="rId1786" Type="http://schemas.openxmlformats.org/officeDocument/2006/relationships/hyperlink" Target="https://pbs.twimg.com/media/Cx-TlEgWQAEuw0g.jpg" TargetMode="External"/><Relationship Id="rId1993" Type="http://schemas.openxmlformats.org/officeDocument/2006/relationships/hyperlink" Target="https://pbs.twimg.com/media/EGb41oyWwAA4ZFR.jpg" TargetMode="External"/><Relationship Id="rId2837" Type="http://schemas.openxmlformats.org/officeDocument/2006/relationships/hyperlink" Target="https://pbs.twimg.com/media/EGbkEy6WkAMFHbJ.jpg" TargetMode="External"/><Relationship Id="rId4052" Type="http://schemas.openxmlformats.org/officeDocument/2006/relationships/hyperlink" Target="https://pbs.twimg.com/media/EGbRZZYWoAADkfE.jpg" TargetMode="External"/><Relationship Id="rId78" Type="http://schemas.openxmlformats.org/officeDocument/2006/relationships/hyperlink" Target="http://www.turkmenelicephesi.com/" TargetMode="External"/><Relationship Id="rId809" Type="http://schemas.openxmlformats.org/officeDocument/2006/relationships/hyperlink" Target="http://pic.twitter.com/y3YsNV2ejC" TargetMode="External"/><Relationship Id="rId1439" Type="http://schemas.openxmlformats.org/officeDocument/2006/relationships/hyperlink" Target="https://pbs.twimg.com/media/EGbMH8-WwAATKqC.jpg" TargetMode="External"/><Relationship Id="rId1646" Type="http://schemas.openxmlformats.org/officeDocument/2006/relationships/hyperlink" Target="http://www.instagram.com/ortaasyadunyasi" TargetMode="External"/><Relationship Id="rId1853" Type="http://schemas.openxmlformats.org/officeDocument/2006/relationships/hyperlink" Target="http://enibul.com/" TargetMode="External"/><Relationship Id="rId2904" Type="http://schemas.openxmlformats.org/officeDocument/2006/relationships/hyperlink" Target="https://twitter.com/Turan1530/status/1181854226231812096" TargetMode="External"/><Relationship Id="rId1506" Type="http://schemas.openxmlformats.org/officeDocument/2006/relationships/hyperlink" Target="https://pbs.twimg.com/media/EGcMttrWsAABrg-.jpg" TargetMode="External"/><Relationship Id="rId1713" Type="http://schemas.openxmlformats.org/officeDocument/2006/relationships/hyperlink" Target="https://pbs.twimg.com/media/EGcLqqsWwAAuoD8.jpg" TargetMode="External"/><Relationship Id="rId1920" Type="http://schemas.openxmlformats.org/officeDocument/2006/relationships/hyperlink" Target="https://ift.tt/320HcFL" TargetMode="External"/><Relationship Id="rId3678" Type="http://schemas.openxmlformats.org/officeDocument/2006/relationships/hyperlink" Target="http://instagram.com/ahmt.akdgn" TargetMode="External"/><Relationship Id="rId3885" Type="http://schemas.openxmlformats.org/officeDocument/2006/relationships/hyperlink" Target="https://pbs.twimg.com/media/EGbTr1qWkAE7eZS.jpg" TargetMode="External"/><Relationship Id="rId599" Type="http://schemas.openxmlformats.org/officeDocument/2006/relationships/hyperlink" Target="https://youtu.be/DioSvZzDBkQ" TargetMode="External"/><Relationship Id="rId2487" Type="http://schemas.openxmlformats.org/officeDocument/2006/relationships/hyperlink" Target="https://pbs.twimg.com/media/EGVnvTOWsAEQloN.jpg" TargetMode="External"/><Relationship Id="rId2694" Type="http://schemas.openxmlformats.org/officeDocument/2006/relationships/hyperlink" Target="https://pbs.twimg.com/media/D455tetXoAAAmO4.jpg" TargetMode="External"/><Relationship Id="rId3538" Type="http://schemas.openxmlformats.org/officeDocument/2006/relationships/hyperlink" Target="https://pbs.twimg.com/media/EGbYbI7XoAEO-gm.jpg" TargetMode="External"/><Relationship Id="rId3745" Type="http://schemas.openxmlformats.org/officeDocument/2006/relationships/hyperlink" Target="https://pbs.twimg.com/media/EGbVWEQXoAAcLOC.jpg" TargetMode="External"/><Relationship Id="rId459" Type="http://schemas.openxmlformats.org/officeDocument/2006/relationships/hyperlink" Target="https://pbs.twimg.com/media/EGcUx4nX0AABa1D.jpg" TargetMode="External"/><Relationship Id="rId666" Type="http://schemas.openxmlformats.org/officeDocument/2006/relationships/hyperlink" Target="https://pbs.twimg.com/media/EGcTF5_WoAIBjKg.jpg" TargetMode="External"/><Relationship Id="rId873" Type="http://schemas.openxmlformats.org/officeDocument/2006/relationships/hyperlink" Target="https://pbs.twimg.com/media/EGcRylGWsAAJlQa.jpg" TargetMode="External"/><Relationship Id="rId1089" Type="http://schemas.openxmlformats.org/officeDocument/2006/relationships/hyperlink" Target="http://instagram.com/saitylmz.elbay" TargetMode="External"/><Relationship Id="rId1296" Type="http://schemas.openxmlformats.org/officeDocument/2006/relationships/hyperlink" Target="https://pbs.twimg.com/media/EGcOHVWX0AEtTTQ.jpg" TargetMode="External"/><Relationship Id="rId2347" Type="http://schemas.openxmlformats.org/officeDocument/2006/relationships/hyperlink" Target="https://pbs.twimg.com/media/EGbv1eZXkAY8baU.jpg" TargetMode="External"/><Relationship Id="rId2554" Type="http://schemas.openxmlformats.org/officeDocument/2006/relationships/hyperlink" Target="http://instagram.com/seckinoztrk" TargetMode="External"/><Relationship Id="rId3952" Type="http://schemas.openxmlformats.org/officeDocument/2006/relationships/hyperlink" Target="https://pbs.twimg.com/media/EGbSvGGXkAIyZ0O.jpg" TargetMode="External"/><Relationship Id="rId319" Type="http://schemas.openxmlformats.org/officeDocument/2006/relationships/hyperlink" Target="http://pic.twitter.com/Fiap9muNyn" TargetMode="External"/><Relationship Id="rId526" Type="http://schemas.openxmlformats.org/officeDocument/2006/relationships/hyperlink" Target="http://pic.twitter.com/lsOlurAuol" TargetMode="External"/><Relationship Id="rId1156" Type="http://schemas.openxmlformats.org/officeDocument/2006/relationships/hyperlink" Target="https://pbs.twimg.com/media/EGcPfSjWwAE3uaV.jpg" TargetMode="External"/><Relationship Id="rId1363" Type="http://schemas.openxmlformats.org/officeDocument/2006/relationships/hyperlink" Target="http://kommunia.blog/" TargetMode="External"/><Relationship Id="rId2207" Type="http://schemas.openxmlformats.org/officeDocument/2006/relationships/hyperlink" Target="http://yarenozelegitim.com/" TargetMode="External"/><Relationship Id="rId2761" Type="http://schemas.openxmlformats.org/officeDocument/2006/relationships/hyperlink" Target="https://pbs.twimg.com/media/EGblxitXkAAwZ2S.jpg" TargetMode="External"/><Relationship Id="rId3605" Type="http://schemas.openxmlformats.org/officeDocument/2006/relationships/hyperlink" Target="http://pic.twitter.com/P4SstWnnUR" TargetMode="External"/><Relationship Id="rId3812" Type="http://schemas.openxmlformats.org/officeDocument/2006/relationships/hyperlink" Target="https://pbs.twimg.com/media/EGbUho_XYAAa5cn.jpg" TargetMode="External"/><Relationship Id="rId733" Type="http://schemas.openxmlformats.org/officeDocument/2006/relationships/hyperlink" Target="http://pic.twitter.com/D2CETr3vCj" TargetMode="External"/><Relationship Id="rId940" Type="http://schemas.openxmlformats.org/officeDocument/2006/relationships/hyperlink" Target="https://pbs.twimg.com/media/EGcRUG8XoAIsfdU.jpg" TargetMode="External"/><Relationship Id="rId1016" Type="http://schemas.openxmlformats.org/officeDocument/2006/relationships/hyperlink" Target="https://pbs.twimg.com/media/EGcQrt8XoAEh3V6.jpg" TargetMode="External"/><Relationship Id="rId1570" Type="http://schemas.openxmlformats.org/officeDocument/2006/relationships/hyperlink" Target="https://pbs.twimg.com/media/EGcMY2AWwAAWQqf.jpg" TargetMode="External"/><Relationship Id="rId2414" Type="http://schemas.openxmlformats.org/officeDocument/2006/relationships/hyperlink" Target="https://www.instagram.com/tasa" TargetMode="External"/><Relationship Id="rId2621" Type="http://schemas.openxmlformats.org/officeDocument/2006/relationships/hyperlink" Target="https://pbs.twimg.com/media/EGbpJKGXUAEPBB5.jpg" TargetMode="External"/><Relationship Id="rId800" Type="http://schemas.openxmlformats.org/officeDocument/2006/relationships/hyperlink" Target="https://twitter.com/FatihMfosmanog/status/1181925281046679552" TargetMode="External"/><Relationship Id="rId1223" Type="http://schemas.openxmlformats.org/officeDocument/2006/relationships/hyperlink" Target="https://pbs.twimg.com/media/EGcO2NRW4AEDXbm.jpg" TargetMode="External"/><Relationship Id="rId1430" Type="http://schemas.openxmlformats.org/officeDocument/2006/relationships/hyperlink" Target="http://pic.twitter.com/2RgZlbYYgl" TargetMode="External"/><Relationship Id="rId4379" Type="http://schemas.openxmlformats.org/officeDocument/2006/relationships/hyperlink" Target="https://pbs.twimg.com/media/EGbNdk2XkAAZjte.jpg" TargetMode="External"/><Relationship Id="rId3188" Type="http://schemas.openxmlformats.org/officeDocument/2006/relationships/hyperlink" Target="https://pbs.twimg.com/media/EGbeOXpWoAASsGi.jpg" TargetMode="External"/><Relationship Id="rId3395" Type="http://schemas.openxmlformats.org/officeDocument/2006/relationships/hyperlink" Target="http://pic.twitter.com/6PjUO7XPH3" TargetMode="External"/><Relationship Id="rId4239" Type="http://schemas.openxmlformats.org/officeDocument/2006/relationships/hyperlink" Target="http://pic.twitter.com/JCrtD0eRLL" TargetMode="External"/><Relationship Id="rId4446" Type="http://schemas.openxmlformats.org/officeDocument/2006/relationships/hyperlink" Target="https://pbs.twimg.com/media/EGbMhZtXkAAZJW8.jpg" TargetMode="External"/><Relationship Id="rId3048" Type="http://schemas.openxmlformats.org/officeDocument/2006/relationships/hyperlink" Target="http://pic.twitter.com/e0w8f44tmT" TargetMode="External"/><Relationship Id="rId3255" Type="http://schemas.openxmlformats.org/officeDocument/2006/relationships/hyperlink" Target="https://pbs.twimg.com/media/EGbdCQtXUAEgXKg.jpg" TargetMode="External"/><Relationship Id="rId3462" Type="http://schemas.openxmlformats.org/officeDocument/2006/relationships/hyperlink" Target="https://pbs.twimg.com/media/EGbZmw5W4AAAcYg.jpg" TargetMode="External"/><Relationship Id="rId4306" Type="http://schemas.openxmlformats.org/officeDocument/2006/relationships/hyperlink" Target="https://ift.tt/2ICmd4e" TargetMode="External"/><Relationship Id="rId4513" Type="http://schemas.openxmlformats.org/officeDocument/2006/relationships/hyperlink" Target="https://pbs.twimg.com/media/EGbLyuzW4AA-pi-.jpg" TargetMode="External"/><Relationship Id="rId176" Type="http://schemas.openxmlformats.org/officeDocument/2006/relationships/hyperlink" Target="https://www.patreon.com/emilysfolkart" TargetMode="External"/><Relationship Id="rId383" Type="http://schemas.openxmlformats.org/officeDocument/2006/relationships/hyperlink" Target="http://slikouronlife.co.za/artist/3694" TargetMode="External"/><Relationship Id="rId590" Type="http://schemas.openxmlformats.org/officeDocument/2006/relationships/hyperlink" Target="http://instagram.com/hamzatansarikaya" TargetMode="External"/><Relationship Id="rId2064" Type="http://schemas.openxmlformats.org/officeDocument/2006/relationships/hyperlink" Target="https://pbs.twimg.com/media/EGb3fbFX0AAT7qn.jpg" TargetMode="External"/><Relationship Id="rId2271" Type="http://schemas.openxmlformats.org/officeDocument/2006/relationships/hyperlink" Target="https://pbs.twimg.com/media/EGbyMcTWwAEMdp1.jpg" TargetMode="External"/><Relationship Id="rId3115" Type="http://schemas.openxmlformats.org/officeDocument/2006/relationships/hyperlink" Target="https://pbs.twimg.com/media/EGbfSMVW4AAFEGK.jpg" TargetMode="External"/><Relationship Id="rId3322" Type="http://schemas.openxmlformats.org/officeDocument/2006/relationships/hyperlink" Target="https://twitter.com/suleymansoylu/status/1181865225353596929" TargetMode="External"/><Relationship Id="rId243" Type="http://schemas.openxmlformats.org/officeDocument/2006/relationships/hyperlink" Target="http://pic.twitter.com/Dd7TMIwtUd" TargetMode="External"/><Relationship Id="rId450" Type="http://schemas.openxmlformats.org/officeDocument/2006/relationships/hyperlink" Target="https://www.facebook.com/MttbSivas/" TargetMode="External"/><Relationship Id="rId1080" Type="http://schemas.openxmlformats.org/officeDocument/2006/relationships/hyperlink" Target="https://www.instagram.com/omer.can.keskin27/" TargetMode="External"/><Relationship Id="rId2131" Type="http://schemas.openxmlformats.org/officeDocument/2006/relationships/hyperlink" Target="https://pbs.twimg.com/media/EGb1tyeWwAA3e5V.jpg" TargetMode="External"/><Relationship Id="rId103" Type="http://schemas.openxmlformats.org/officeDocument/2006/relationships/hyperlink" Target="https://www.instagram.com/akgencliksavurr" TargetMode="External"/><Relationship Id="rId310" Type="http://schemas.openxmlformats.org/officeDocument/2006/relationships/hyperlink" Target="https://pbs.twimg.com/media/EGcWKbDX0AEERF_.jpg" TargetMode="External"/><Relationship Id="rId4096" Type="http://schemas.openxmlformats.org/officeDocument/2006/relationships/hyperlink" Target="https://pbs.twimg.com/media/EGbQhZ8XkAAyM4j.jpg" TargetMode="External"/><Relationship Id="rId1897" Type="http://schemas.openxmlformats.org/officeDocument/2006/relationships/hyperlink" Target="https://youtu.be/Llk9lGqBVY8" TargetMode="External"/><Relationship Id="rId2948" Type="http://schemas.openxmlformats.org/officeDocument/2006/relationships/hyperlink" Target="https://pbs.twimg.com/media/EGbiN4nX0AE7v_H.jpg" TargetMode="External"/><Relationship Id="rId1757" Type="http://schemas.openxmlformats.org/officeDocument/2006/relationships/hyperlink" Target="http://www.fenerbahce.org/" TargetMode="External"/><Relationship Id="rId1964" Type="http://schemas.openxmlformats.org/officeDocument/2006/relationships/hyperlink" Target="https://twitter.com/DavasihAK/status/1181864551404494848" TargetMode="External"/><Relationship Id="rId2808" Type="http://schemas.openxmlformats.org/officeDocument/2006/relationships/hyperlink" Target="http://pic.twitter.com/aeMT2KHKxY" TargetMode="External"/><Relationship Id="rId4163" Type="http://schemas.openxmlformats.org/officeDocument/2006/relationships/hyperlink" Target="https://pbs.twimg.com/media/EGbPxP7XoAEJGbo.jpg" TargetMode="External"/><Relationship Id="rId4370" Type="http://schemas.openxmlformats.org/officeDocument/2006/relationships/hyperlink" Target="http://pic.twitter.com/71HeNVQH7P" TargetMode="External"/><Relationship Id="rId49" Type="http://schemas.openxmlformats.org/officeDocument/2006/relationships/hyperlink" Target="https://pbs.twimg.com/media/EGcaN-jWwAA9mfV.jpg" TargetMode="External"/><Relationship Id="rId1617" Type="http://schemas.openxmlformats.org/officeDocument/2006/relationships/hyperlink" Target="http://youtube.com/c/KanalNetizmSeymaSen" TargetMode="External"/><Relationship Id="rId1824" Type="http://schemas.openxmlformats.org/officeDocument/2006/relationships/hyperlink" Target="https://www.bilgisefi.net/mor-lahana-tursusu/" TargetMode="External"/><Relationship Id="rId4023" Type="http://schemas.openxmlformats.org/officeDocument/2006/relationships/hyperlink" Target="https://pbs.twimg.com/media/EGbRufnXoAAG599.jpg" TargetMode="External"/><Relationship Id="rId4230" Type="http://schemas.openxmlformats.org/officeDocument/2006/relationships/hyperlink" Target="https://pbs.twimg.com/media/EGbPGwSW4AA-p-8.jpg" TargetMode="External"/><Relationship Id="rId3789" Type="http://schemas.openxmlformats.org/officeDocument/2006/relationships/hyperlink" Target="https://wikileaks.org/plusd/cables/06DAMASCUS5399_a.html" TargetMode="External"/><Relationship Id="rId2598" Type="http://schemas.openxmlformats.org/officeDocument/2006/relationships/hyperlink" Target="https://pbs.twimg.com/media/EGbpvUkWwAEP4vZ.jpg" TargetMode="External"/><Relationship Id="rId3996" Type="http://schemas.openxmlformats.org/officeDocument/2006/relationships/hyperlink" Target="https://pbs.twimg.com/media/EGbSB8ZWwAA-RhD.jpg" TargetMode="External"/><Relationship Id="rId3649" Type="http://schemas.openxmlformats.org/officeDocument/2006/relationships/hyperlink" Target="http://pic.twitter.com/0ltfu8iKvF" TargetMode="External"/><Relationship Id="rId3856" Type="http://schemas.openxmlformats.org/officeDocument/2006/relationships/hyperlink" Target="http://pic.twitter.com/0TBSkrXiTI" TargetMode="External"/><Relationship Id="rId777" Type="http://schemas.openxmlformats.org/officeDocument/2006/relationships/hyperlink" Target="http://www.kalyonmedya.com.tr/" TargetMode="External"/><Relationship Id="rId984" Type="http://schemas.openxmlformats.org/officeDocument/2006/relationships/hyperlink" Target="http://pic.twitter.com/tP02h2sRHZ" TargetMode="External"/><Relationship Id="rId2458" Type="http://schemas.openxmlformats.org/officeDocument/2006/relationships/hyperlink" Target="http://pic.twitter.com/CfImkA35BE" TargetMode="External"/><Relationship Id="rId2665" Type="http://schemas.openxmlformats.org/officeDocument/2006/relationships/hyperlink" Target="http://pic.twitter.com/I7uYSFH8d7" TargetMode="External"/><Relationship Id="rId2872" Type="http://schemas.openxmlformats.org/officeDocument/2006/relationships/hyperlink" Target="https://pbs.twimg.com/media/EGbjT1-XoAAtg-d.jpg" TargetMode="External"/><Relationship Id="rId3509" Type="http://schemas.openxmlformats.org/officeDocument/2006/relationships/hyperlink" Target="http://instagram.com/_emineklnc" TargetMode="External"/><Relationship Id="rId3716" Type="http://schemas.openxmlformats.org/officeDocument/2006/relationships/hyperlink" Target="https://pbs.twimg.com/media/EGbVrRXXYAUeTnI.jpg" TargetMode="External"/><Relationship Id="rId3923" Type="http://schemas.openxmlformats.org/officeDocument/2006/relationships/hyperlink" Target="http://www.gozlemgazetesi.com/" TargetMode="External"/><Relationship Id="rId637" Type="http://schemas.openxmlformats.org/officeDocument/2006/relationships/hyperlink" Target="https://pbs.twimg.com/media/EGcTUm8WkAYRb-H.jpg" TargetMode="External"/><Relationship Id="rId844" Type="http://schemas.openxmlformats.org/officeDocument/2006/relationships/hyperlink" Target="https://pbs.twimg.com/media/EGcR8e9X0AE04Dj.jpg" TargetMode="External"/><Relationship Id="rId1267" Type="http://schemas.openxmlformats.org/officeDocument/2006/relationships/hyperlink" Target="https://pbs.twimg.com/media/EGcOW7nWoAA9UM8.jpg" TargetMode="External"/><Relationship Id="rId1474" Type="http://schemas.openxmlformats.org/officeDocument/2006/relationships/hyperlink" Target="http://www.instagram.com/furkanhoskun" TargetMode="External"/><Relationship Id="rId1681" Type="http://schemas.openxmlformats.org/officeDocument/2006/relationships/hyperlink" Target="https://pbs.twimg.com/media/EGcL1yTX0AAKp4v.jpg" TargetMode="External"/><Relationship Id="rId2318" Type="http://schemas.openxmlformats.org/officeDocument/2006/relationships/hyperlink" Target="http://pic.twitter.com/nt4498j63l" TargetMode="External"/><Relationship Id="rId2525" Type="http://schemas.openxmlformats.org/officeDocument/2006/relationships/hyperlink" Target="https://pbs.twimg.com/media/EGbrqEkWkAABDL_.jpg" TargetMode="External"/><Relationship Id="rId2732" Type="http://schemas.openxmlformats.org/officeDocument/2006/relationships/hyperlink" Target="http://instagram.com/atillakaplann" TargetMode="External"/><Relationship Id="rId704" Type="http://schemas.openxmlformats.org/officeDocument/2006/relationships/hyperlink" Target="https://pbs.twimg.com/media/EGcS7J9W4AEwvBb.jpg" TargetMode="External"/><Relationship Id="rId911" Type="http://schemas.openxmlformats.org/officeDocument/2006/relationships/hyperlink" Target="https://pbs.twimg.com/media/EGcRfvcXYAElEw2.jpg" TargetMode="External"/><Relationship Id="rId1127" Type="http://schemas.openxmlformats.org/officeDocument/2006/relationships/hyperlink" Target="https://pbs.twimg.com/media/EGcPw4jXkAIctVp.jpg" TargetMode="External"/><Relationship Id="rId1334" Type="http://schemas.openxmlformats.org/officeDocument/2006/relationships/hyperlink" Target="https://twitter.com/TTAgrup/status/1181928265797308416" TargetMode="External"/><Relationship Id="rId1541" Type="http://schemas.openxmlformats.org/officeDocument/2006/relationships/hyperlink" Target="https://pbs.twimg.com/media/EGcMdwlXYAE9hpQ.jpg" TargetMode="External"/><Relationship Id="rId40" Type="http://schemas.openxmlformats.org/officeDocument/2006/relationships/hyperlink" Target="https://pbs.twimg.com/media/EGcackMW4AApWoU.jpg" TargetMode="External"/><Relationship Id="rId1401" Type="http://schemas.openxmlformats.org/officeDocument/2006/relationships/hyperlink" Target="https://pbs.twimg.com/media/EGcNUYOXYAAwSvb.jpg" TargetMode="External"/><Relationship Id="rId3299" Type="http://schemas.openxmlformats.org/officeDocument/2006/relationships/hyperlink" Target="https://pbs.twimg.com/media/EGbcQFTWwAEYy-5.jpg" TargetMode="External"/><Relationship Id="rId3159" Type="http://schemas.openxmlformats.org/officeDocument/2006/relationships/hyperlink" Target="http://bit.ly/33hVMZH" TargetMode="External"/><Relationship Id="rId3366" Type="http://schemas.openxmlformats.org/officeDocument/2006/relationships/hyperlink" Target="http://instagram.com/yasinasci1" TargetMode="External"/><Relationship Id="rId3573" Type="http://schemas.openxmlformats.org/officeDocument/2006/relationships/hyperlink" Target="https://pbs.twimg.com/media/EGbX6gYWkAERN2a.jpg" TargetMode="External"/><Relationship Id="rId4417" Type="http://schemas.openxmlformats.org/officeDocument/2006/relationships/hyperlink" Target="https://pbs.twimg.com/media/EGbM-pnW4AAp8ot.jpg" TargetMode="External"/><Relationship Id="rId287" Type="http://schemas.openxmlformats.org/officeDocument/2006/relationships/hyperlink" Target="https://pbs.twimg.com/media/EGcWakdWsAE0W7-.jpg" TargetMode="External"/><Relationship Id="rId494" Type="http://schemas.openxmlformats.org/officeDocument/2006/relationships/hyperlink" Target="https://pbs.twimg.com/media/EGcUjS5X0AA_He7.jpg" TargetMode="External"/><Relationship Id="rId2175" Type="http://schemas.openxmlformats.org/officeDocument/2006/relationships/hyperlink" Target="https://pbs.twimg.com/media/EGb0oHwWwAMv9Oy.jpg" TargetMode="External"/><Relationship Id="rId2382" Type="http://schemas.openxmlformats.org/officeDocument/2006/relationships/hyperlink" Target="https://pbs.twimg.com/media/EGbvG2GWwAAW_c6.jpg" TargetMode="External"/><Relationship Id="rId3019" Type="http://schemas.openxmlformats.org/officeDocument/2006/relationships/hyperlink" Target="http://pic.twitter.com/jsHZsBypeP" TargetMode="External"/><Relationship Id="rId3226" Type="http://schemas.openxmlformats.org/officeDocument/2006/relationships/hyperlink" Target="http://pic.twitter.com/bK7GAKx7Yf" TargetMode="External"/><Relationship Id="rId3780" Type="http://schemas.openxmlformats.org/officeDocument/2006/relationships/hyperlink" Target="http://pic.twitter.com/bOecOlosvx" TargetMode="External"/><Relationship Id="rId147" Type="http://schemas.openxmlformats.org/officeDocument/2006/relationships/hyperlink" Target="https://pbs.twimg.com/media/EGcYDWoX0AExbKf.jpg" TargetMode="External"/><Relationship Id="rId354" Type="http://schemas.openxmlformats.org/officeDocument/2006/relationships/hyperlink" Target="https://twitter.com/PisayPi/status/1181935310759968770" TargetMode="External"/><Relationship Id="rId1191" Type="http://schemas.openxmlformats.org/officeDocument/2006/relationships/hyperlink" Target="https://pbs.twimg.com/media/EGcPG0eXUAAQqqQ.jpg" TargetMode="External"/><Relationship Id="rId2035" Type="http://schemas.openxmlformats.org/officeDocument/2006/relationships/hyperlink" Target="https://pbs.twimg.com/media/EGb4IWUWoAE84QX.jpg" TargetMode="External"/><Relationship Id="rId3433" Type="http://schemas.openxmlformats.org/officeDocument/2006/relationships/hyperlink" Target="http://www.haberolay.net/" TargetMode="External"/><Relationship Id="rId3640" Type="http://schemas.openxmlformats.org/officeDocument/2006/relationships/hyperlink" Target="https://pbs.twimg.com/media/EGbW3wdXYAE_Rt8.jpg" TargetMode="External"/><Relationship Id="rId561" Type="http://schemas.openxmlformats.org/officeDocument/2006/relationships/hyperlink" Target="http://www.instagram.com/hamz7naser" TargetMode="External"/><Relationship Id="rId2242" Type="http://schemas.openxmlformats.org/officeDocument/2006/relationships/hyperlink" Target="http://pic.twitter.com/zmTcj0amjy" TargetMode="External"/><Relationship Id="rId3500" Type="http://schemas.openxmlformats.org/officeDocument/2006/relationships/hyperlink" Target="https://twitter.com/genclikbirligi/status/1181865812992413696" TargetMode="External"/><Relationship Id="rId214" Type="http://schemas.openxmlformats.org/officeDocument/2006/relationships/hyperlink" Target="http://pic.twitter.com/MnY4NeuFp4" TargetMode="External"/><Relationship Id="rId421" Type="http://schemas.openxmlformats.org/officeDocument/2006/relationships/hyperlink" Target="https://twitter.com/yahyaihsani/status/1181617282692386817" TargetMode="External"/><Relationship Id="rId1051" Type="http://schemas.openxmlformats.org/officeDocument/2006/relationships/hyperlink" Target="https://www.facebook.com/erenkaradas" TargetMode="External"/><Relationship Id="rId2102" Type="http://schemas.openxmlformats.org/officeDocument/2006/relationships/hyperlink" Target="https://pbs.twimg.com/media/EGb2ahSX0AIVBYI.jpg" TargetMode="External"/><Relationship Id="rId1868" Type="http://schemas.openxmlformats.org/officeDocument/2006/relationships/hyperlink" Target="https://youtu.be/qlbZKRJxvxM" TargetMode="External"/><Relationship Id="rId4067" Type="http://schemas.openxmlformats.org/officeDocument/2006/relationships/hyperlink" Target="https://pbs.twimg.com/media/EGbRJc8WoAEM24T.jpg" TargetMode="External"/><Relationship Id="rId4274" Type="http://schemas.openxmlformats.org/officeDocument/2006/relationships/hyperlink" Target="https://instagram.com/imranaleyna" TargetMode="External"/><Relationship Id="rId4481" Type="http://schemas.openxmlformats.org/officeDocument/2006/relationships/hyperlink" Target="https://pbs.twimg.com/media/EGbMNMeWkAAfAqP.jpg" TargetMode="External"/><Relationship Id="rId2919" Type="http://schemas.openxmlformats.org/officeDocument/2006/relationships/hyperlink" Target="https://pbs.twimg.com/media/EGbifaWW4AEOeWK.jpg" TargetMode="External"/><Relationship Id="rId3083" Type="http://schemas.openxmlformats.org/officeDocument/2006/relationships/hyperlink" Target="http://pic.twitter.com/S4nFBEIT8l" TargetMode="External"/><Relationship Id="rId3290" Type="http://schemas.openxmlformats.org/officeDocument/2006/relationships/hyperlink" Target="https://twitter.com/elifkislakci/status/1181873376719179776" TargetMode="External"/><Relationship Id="rId4134" Type="http://schemas.openxmlformats.org/officeDocument/2006/relationships/hyperlink" Target="https://pbs.twimg.com/media/EGbQESPW4AAPXjE.jpg" TargetMode="External"/><Relationship Id="rId4341" Type="http://schemas.openxmlformats.org/officeDocument/2006/relationships/hyperlink" Target="https://pbs.twimg.com/media/EGbNzQ9XkAAtRo0.jpg" TargetMode="External"/><Relationship Id="rId1728" Type="http://schemas.openxmlformats.org/officeDocument/2006/relationships/hyperlink" Target="https://pbs.twimg.com/media/EGcLoUqWkActfXC.jpg" TargetMode="External"/><Relationship Id="rId1935" Type="http://schemas.openxmlformats.org/officeDocument/2006/relationships/hyperlink" Target="http://www.kadinveotesi.com/" TargetMode="External"/><Relationship Id="rId3150" Type="http://schemas.openxmlformats.org/officeDocument/2006/relationships/hyperlink" Target="https://pbs.twimg.com/media/EGbeplRXUAAmdve.jpg" TargetMode="External"/><Relationship Id="rId4201" Type="http://schemas.openxmlformats.org/officeDocument/2006/relationships/hyperlink" Target="http://www.instagram.com/ohaacokiyilaa" TargetMode="External"/><Relationship Id="rId3010" Type="http://schemas.openxmlformats.org/officeDocument/2006/relationships/hyperlink" Target="https://twitter.com/LindseyGrahamSC/status/1181610139092226049" TargetMode="External"/><Relationship Id="rId3967" Type="http://schemas.openxmlformats.org/officeDocument/2006/relationships/hyperlink" Target="http://pic.twitter.com/H789KMbDmA" TargetMode="External"/><Relationship Id="rId4" Type="http://schemas.openxmlformats.org/officeDocument/2006/relationships/hyperlink" Target="http://izmirilkhaber.com/" TargetMode="External"/><Relationship Id="rId888" Type="http://schemas.openxmlformats.org/officeDocument/2006/relationships/hyperlink" Target="https://pbs.twimg.com/media/EGcRqfkWoAECik7.jpg" TargetMode="External"/><Relationship Id="rId2569" Type="http://schemas.openxmlformats.org/officeDocument/2006/relationships/hyperlink" Target="https://pbs.twimg.com/media/EGbbas9WkAAYhYU.jpg" TargetMode="External"/><Relationship Id="rId2776" Type="http://schemas.openxmlformats.org/officeDocument/2006/relationships/hyperlink" Target="https://pbs.twimg.com/media/EGblOuoWkAEjnLI.jpg" TargetMode="External"/><Relationship Id="rId2983" Type="http://schemas.openxmlformats.org/officeDocument/2006/relationships/hyperlink" Target="http://instagram.com/sencerdcan" TargetMode="External"/><Relationship Id="rId3827" Type="http://schemas.openxmlformats.org/officeDocument/2006/relationships/hyperlink" Target="http://www.instagram.com/keremozturk61" TargetMode="External"/><Relationship Id="rId748" Type="http://schemas.openxmlformats.org/officeDocument/2006/relationships/hyperlink" Target="https://pbs.twimg.com/media/EGcSjjMXoAA9aga.jpg" TargetMode="External"/><Relationship Id="rId955" Type="http://schemas.openxmlformats.org/officeDocument/2006/relationships/hyperlink" Target="http://instagram.com/elifnurkaya.a" TargetMode="External"/><Relationship Id="rId1378" Type="http://schemas.openxmlformats.org/officeDocument/2006/relationships/hyperlink" Target="http://www.batuhanasut.com/" TargetMode="External"/><Relationship Id="rId1585" Type="http://schemas.openxmlformats.org/officeDocument/2006/relationships/hyperlink" Target="http://internethaber.com/" TargetMode="External"/><Relationship Id="rId1792" Type="http://schemas.openxmlformats.org/officeDocument/2006/relationships/hyperlink" Target="https://pbs.twimg.com/media/EGb-QT8X0AAXaJp.jpg" TargetMode="External"/><Relationship Id="rId2429" Type="http://schemas.openxmlformats.org/officeDocument/2006/relationships/hyperlink" Target="https://pbs.twimg.com/media/EGbt68_W4AA22Dd.jpg" TargetMode="External"/><Relationship Id="rId2636" Type="http://schemas.openxmlformats.org/officeDocument/2006/relationships/hyperlink" Target="http://pic.twitter.com/AskUTra3LK" TargetMode="External"/><Relationship Id="rId2843" Type="http://schemas.openxmlformats.org/officeDocument/2006/relationships/hyperlink" Target="https://pbs.twimg.com/media/EGbj3MgWwAQhcXI.jpg" TargetMode="External"/><Relationship Id="rId84" Type="http://schemas.openxmlformats.org/officeDocument/2006/relationships/hyperlink" Target="https://pbs.twimg.com/media/EGcZaySXoAE8Nq7.jpg" TargetMode="External"/><Relationship Id="rId608" Type="http://schemas.openxmlformats.org/officeDocument/2006/relationships/hyperlink" Target="https://twitter.com/AP/status/1181922377673924608" TargetMode="External"/><Relationship Id="rId815" Type="http://schemas.openxmlformats.org/officeDocument/2006/relationships/hyperlink" Target="https://www.youtube.com/channel/UCd3nZpObRwHap_s0bT_mpDw" TargetMode="External"/><Relationship Id="rId1238" Type="http://schemas.openxmlformats.org/officeDocument/2006/relationships/hyperlink" Target="https://pbs.twimg.com/media/EGcOpXxWkAA7r4r.jpg" TargetMode="External"/><Relationship Id="rId1445" Type="http://schemas.openxmlformats.org/officeDocument/2006/relationships/hyperlink" Target="http://www.mehdimnaouar.com/" TargetMode="External"/><Relationship Id="rId1652" Type="http://schemas.openxmlformats.org/officeDocument/2006/relationships/hyperlink" Target="https://pbs.twimg.com/media/EGcL-EEXoAAnbfz.jpg" TargetMode="External"/><Relationship Id="rId1305" Type="http://schemas.openxmlformats.org/officeDocument/2006/relationships/hyperlink" Target="https://pbs.twimg.com/media/EGcODlqWwAA6d_n.jpg" TargetMode="External"/><Relationship Id="rId2703" Type="http://schemas.openxmlformats.org/officeDocument/2006/relationships/hyperlink" Target="https://pbs.twimg.com/media/EGbnSmDWwAAuIAt.jpg" TargetMode="External"/><Relationship Id="rId2910" Type="http://schemas.openxmlformats.org/officeDocument/2006/relationships/hyperlink" Target="https://twitter.com/alikeskin_tr/status/1181876599542685697" TargetMode="External"/><Relationship Id="rId1512" Type="http://schemas.openxmlformats.org/officeDocument/2006/relationships/hyperlink" Target="https://pbs.twimg.com/media/EGcMdwGWoAAh2CY.png" TargetMode="External"/><Relationship Id="rId11" Type="http://schemas.openxmlformats.org/officeDocument/2006/relationships/hyperlink" Target="https://pbs.twimg.com/media/EGcbHymX0AAVpVU.jpg" TargetMode="External"/><Relationship Id="rId398" Type="http://schemas.openxmlformats.org/officeDocument/2006/relationships/hyperlink" Target="http://kalyongrup.com/" TargetMode="External"/><Relationship Id="rId2079" Type="http://schemas.openxmlformats.org/officeDocument/2006/relationships/hyperlink" Target="https://www.instagram.com/p/B3ZZVYmoVny/?igshid=1gi9hwwrmku6j" TargetMode="External"/><Relationship Id="rId3477" Type="http://schemas.openxmlformats.org/officeDocument/2006/relationships/hyperlink" Target="https://pbs.twimg.com/media/EGbZdWQXUAANz2e.jpg" TargetMode="External"/><Relationship Id="rId3684" Type="http://schemas.openxmlformats.org/officeDocument/2006/relationships/hyperlink" Target="https://www.instagram.com/berkindurgut/" TargetMode="External"/><Relationship Id="rId3891" Type="http://schemas.openxmlformats.org/officeDocument/2006/relationships/hyperlink" Target="http://pic.twitter.com/x7glxukqEl" TargetMode="External"/><Relationship Id="rId2286" Type="http://schemas.openxmlformats.org/officeDocument/2006/relationships/hyperlink" Target="http://pic.twitter.com/rHXoRoF20X" TargetMode="External"/><Relationship Id="rId2493" Type="http://schemas.openxmlformats.org/officeDocument/2006/relationships/hyperlink" Target="https://pbs.twimg.com/media/EGbsaFCXUAAuTg3.jpg" TargetMode="External"/><Relationship Id="rId3337" Type="http://schemas.openxmlformats.org/officeDocument/2006/relationships/hyperlink" Target="https://pbs.twimg.com/media/DZcSafLX4AAkFrf.jpg" TargetMode="External"/><Relationship Id="rId3544" Type="http://schemas.openxmlformats.org/officeDocument/2006/relationships/hyperlink" Target="https://pbs.twimg.com/media/EGbYW4QXUAAtv97.jpg" TargetMode="External"/><Relationship Id="rId3751" Type="http://schemas.openxmlformats.org/officeDocument/2006/relationships/hyperlink" Target="http://instagram.com/mr.kilicccc" TargetMode="External"/><Relationship Id="rId258" Type="http://schemas.openxmlformats.org/officeDocument/2006/relationships/hyperlink" Target="https://pbs.twimg.com/media/EGcNNLAWoAAvXMz.jpg" TargetMode="External"/><Relationship Id="rId465" Type="http://schemas.openxmlformats.org/officeDocument/2006/relationships/hyperlink" Target="https://pbs.twimg.com/media/EGcUuoUXkAE7JgD.jpg" TargetMode="External"/><Relationship Id="rId672" Type="http://schemas.openxmlformats.org/officeDocument/2006/relationships/hyperlink" Target="https://pbs.twimg.com/media/EGcTIB5U4AAmqBA.jpg" TargetMode="External"/><Relationship Id="rId1095" Type="http://schemas.openxmlformats.org/officeDocument/2006/relationships/hyperlink" Target="http://www.turmakokullari.k12.tr/" TargetMode="External"/><Relationship Id="rId2146" Type="http://schemas.openxmlformats.org/officeDocument/2006/relationships/hyperlink" Target="https://pbs.twimg.com/media/EGb1P6dWsAIFLjr.jpg" TargetMode="External"/><Relationship Id="rId2353" Type="http://schemas.openxmlformats.org/officeDocument/2006/relationships/hyperlink" Target="https://pbs.twimg.com/media/EGbvp3MXYAElv0e.jpg" TargetMode="External"/><Relationship Id="rId2560" Type="http://schemas.openxmlformats.org/officeDocument/2006/relationships/hyperlink" Target="http://angehlo.wixsite.com/valentinherr" TargetMode="External"/><Relationship Id="rId3404" Type="http://schemas.openxmlformats.org/officeDocument/2006/relationships/hyperlink" Target="http://instagram.com/okulhusnu" TargetMode="External"/><Relationship Id="rId3611" Type="http://schemas.openxmlformats.org/officeDocument/2006/relationships/hyperlink" Target="http://www.kurtuluskilinc.com/" TargetMode="External"/><Relationship Id="rId118" Type="http://schemas.openxmlformats.org/officeDocument/2006/relationships/hyperlink" Target="https://pbs.twimg.com/media/EGbCA85WkAEgcP0.jpg" TargetMode="External"/><Relationship Id="rId325" Type="http://schemas.openxmlformats.org/officeDocument/2006/relationships/hyperlink" Target="https://pbs.twimg.com/media/EGcUAhJWkAEIaNq.jpg" TargetMode="External"/><Relationship Id="rId532" Type="http://schemas.openxmlformats.org/officeDocument/2006/relationships/hyperlink" Target="https://instagram.com/rasimoktar/" TargetMode="External"/><Relationship Id="rId1162" Type="http://schemas.openxmlformats.org/officeDocument/2006/relationships/hyperlink" Target="https://twitter.com/hiyibildiren/status/1181928705431674881" TargetMode="External"/><Relationship Id="rId2006" Type="http://schemas.openxmlformats.org/officeDocument/2006/relationships/hyperlink" Target="https://pbs.twimg.com/media/EGb4lsEXkAExfzC.jpg" TargetMode="External"/><Relationship Id="rId2213" Type="http://schemas.openxmlformats.org/officeDocument/2006/relationships/hyperlink" Target="https://pbs.twimg.com/media/EGbzorsWkAYXnIH.jpg" TargetMode="External"/><Relationship Id="rId2420" Type="http://schemas.openxmlformats.org/officeDocument/2006/relationships/hyperlink" Target="https://pbs.twimg.com/media/EGbuGm5WsAA0KG9.jpg" TargetMode="External"/><Relationship Id="rId1022" Type="http://schemas.openxmlformats.org/officeDocument/2006/relationships/hyperlink" Target="https://pbs.twimg.com/media/EGcQprMWsAEPCFc.jpg" TargetMode="External"/><Relationship Id="rId4178" Type="http://schemas.openxmlformats.org/officeDocument/2006/relationships/hyperlink" Target="http://www.vnrc.us/" TargetMode="External"/><Relationship Id="rId4385" Type="http://schemas.openxmlformats.org/officeDocument/2006/relationships/hyperlink" Target="https://pbs.twimg.com/media/EGbNbSQWwAAmLGt.jpg" TargetMode="External"/><Relationship Id="rId1979" Type="http://schemas.openxmlformats.org/officeDocument/2006/relationships/hyperlink" Target="https://ift.tt/321tqCP" TargetMode="External"/><Relationship Id="rId3194" Type="http://schemas.openxmlformats.org/officeDocument/2006/relationships/hyperlink" Target="https://www.instagram.com/onurr.cetinn/" TargetMode="External"/><Relationship Id="rId4038" Type="http://schemas.openxmlformats.org/officeDocument/2006/relationships/hyperlink" Target="https://pbs.twimg.com/media/EGbRil8XYAAhQz8.jpg" TargetMode="External"/><Relationship Id="rId4245" Type="http://schemas.openxmlformats.org/officeDocument/2006/relationships/hyperlink" Target="https://pbs.twimg.com/media/EGbO7HxXYAA7AOz.jpg" TargetMode="External"/><Relationship Id="rId1839" Type="http://schemas.openxmlformats.org/officeDocument/2006/relationships/hyperlink" Target="https://www.twitter.com/MehmetMermutlu" TargetMode="External"/><Relationship Id="rId3054" Type="http://schemas.openxmlformats.org/officeDocument/2006/relationships/hyperlink" Target="https://pbs.twimg.com/media/EGbgZLgWwAIq_FU.jpg" TargetMode="External"/><Relationship Id="rId4452" Type="http://schemas.openxmlformats.org/officeDocument/2006/relationships/hyperlink" Target="https://pbs.twimg.com/media/EGbMbs0W4AAnEnL.jpg" TargetMode="External"/><Relationship Id="rId182" Type="http://schemas.openxmlformats.org/officeDocument/2006/relationships/hyperlink" Target="https://pbs.twimg.com/media/EGcXbQ2XkAIexYk.jpg" TargetMode="External"/><Relationship Id="rId1906" Type="http://schemas.openxmlformats.org/officeDocument/2006/relationships/hyperlink" Target="https://pbs.twimg.com/media/EGb7KkqX0AEDlK2.jpg" TargetMode="External"/><Relationship Id="rId3261" Type="http://schemas.openxmlformats.org/officeDocument/2006/relationships/hyperlink" Target="https://pbs.twimg.com/media/EGbc0KAXoAAvHVs.jpg" TargetMode="External"/><Relationship Id="rId4105" Type="http://schemas.openxmlformats.org/officeDocument/2006/relationships/hyperlink" Target="https://pbs.twimg.com/media/EGbQa-rWkAApX7F.jpg" TargetMode="External"/><Relationship Id="rId4312" Type="http://schemas.openxmlformats.org/officeDocument/2006/relationships/hyperlink" Target="https://pbs.twimg.com/media/EGbKvCyW4AAgBzf.jpg" TargetMode="External"/><Relationship Id="rId2070" Type="http://schemas.openxmlformats.org/officeDocument/2006/relationships/hyperlink" Target="https://pbs.twimg.com/media/EGb3VjBWwAA0V_m.jpg" TargetMode="External"/><Relationship Id="rId3121" Type="http://schemas.openxmlformats.org/officeDocument/2006/relationships/hyperlink" Target="https://pbs.twimg.com/media/EGbfLzrX0AMUfF4.jpg" TargetMode="External"/><Relationship Id="rId999" Type="http://schemas.openxmlformats.org/officeDocument/2006/relationships/hyperlink" Target="https://twitter.com/lloyd_rm/status/1181927934489239555" TargetMode="External"/><Relationship Id="rId2887" Type="http://schemas.openxmlformats.org/officeDocument/2006/relationships/hyperlink" Target="http://www.instagram.com/huseyin.melikzade" TargetMode="External"/><Relationship Id="rId859" Type="http://schemas.openxmlformats.org/officeDocument/2006/relationships/hyperlink" Target="http://pic.twitter.com/HegjeFAOnN" TargetMode="External"/><Relationship Id="rId1489" Type="http://schemas.openxmlformats.org/officeDocument/2006/relationships/hyperlink" Target="https://pbs.twimg.com/media/EGcMyXZX0AEYCgV.jpg" TargetMode="External"/><Relationship Id="rId1696" Type="http://schemas.openxmlformats.org/officeDocument/2006/relationships/hyperlink" Target="https://pbs.twimg.com/media/EGcLBtfWoAYCbyH.jpg" TargetMode="External"/><Relationship Id="rId3938" Type="http://schemas.openxmlformats.org/officeDocument/2006/relationships/hyperlink" Target="https://pbs.twimg.com/media/EGbS8VAWsAACMh9.jpg" TargetMode="External"/><Relationship Id="rId1349" Type="http://schemas.openxmlformats.org/officeDocument/2006/relationships/hyperlink" Target="https://youtu.be/lWA2pjMjpBs" TargetMode="External"/><Relationship Id="rId2747" Type="http://schemas.openxmlformats.org/officeDocument/2006/relationships/hyperlink" Target="http://malatyasportif.com/" TargetMode="External"/><Relationship Id="rId2954" Type="http://schemas.openxmlformats.org/officeDocument/2006/relationships/hyperlink" Target="http://pic.twitter.com/KUYXzlijqt" TargetMode="External"/><Relationship Id="rId719" Type="http://schemas.openxmlformats.org/officeDocument/2006/relationships/hyperlink" Target="https://pbs.twimg.com/media/EGcSyQIW4AA8VVr.jpg" TargetMode="External"/><Relationship Id="rId926" Type="http://schemas.openxmlformats.org/officeDocument/2006/relationships/hyperlink" Target="https://pbs.twimg.com/media/EGcRWypXoAE_2bv.jpg" TargetMode="External"/><Relationship Id="rId1556" Type="http://schemas.openxmlformats.org/officeDocument/2006/relationships/hyperlink" Target="https://pbs.twimg.com/media/EGcMdGYXUAAwt-1.jpg" TargetMode="External"/><Relationship Id="rId1763" Type="http://schemas.openxmlformats.org/officeDocument/2006/relationships/hyperlink" Target="https://pbs.twimg.com/media/D5jl1pVX4AAaP73.jpg" TargetMode="External"/><Relationship Id="rId1970" Type="http://schemas.openxmlformats.org/officeDocument/2006/relationships/hyperlink" Target="https://www.instagram.com/semaakhrmn" TargetMode="External"/><Relationship Id="rId2607" Type="http://schemas.openxmlformats.org/officeDocument/2006/relationships/hyperlink" Target="https://www.instagram.com/p/BJGq8tfDmCBUXQhGbUC-U0GKx5jLqjsZrCVypk0/" TargetMode="External"/><Relationship Id="rId2814" Type="http://schemas.openxmlformats.org/officeDocument/2006/relationships/hyperlink" Target="http://pic.twitter.com/d90KXzvbTd" TargetMode="External"/><Relationship Id="rId55" Type="http://schemas.openxmlformats.org/officeDocument/2006/relationships/hyperlink" Target="https://pbs.twimg.com/media/EGcaDmGXoAIGh54.jpg" TargetMode="External"/><Relationship Id="rId1209" Type="http://schemas.openxmlformats.org/officeDocument/2006/relationships/hyperlink" Target="http://www.libraemlak.com/" TargetMode="External"/><Relationship Id="rId1416" Type="http://schemas.openxmlformats.org/officeDocument/2006/relationships/hyperlink" Target="https://pbs.twimg.com/media/EGcNMdXWkAEiQNf.jpg" TargetMode="External"/><Relationship Id="rId1623" Type="http://schemas.openxmlformats.org/officeDocument/2006/relationships/hyperlink" Target="https://pbs.twimg.com/media/EGcMKTjXoAEN87q.jpg" TargetMode="External"/><Relationship Id="rId1830" Type="http://schemas.openxmlformats.org/officeDocument/2006/relationships/hyperlink" Target="http://pic.twitter.com/dVXz0z6k7Y" TargetMode="External"/><Relationship Id="rId3588" Type="http://schemas.openxmlformats.org/officeDocument/2006/relationships/hyperlink" Target="http://itu.edu.tr/" TargetMode="External"/><Relationship Id="rId3795" Type="http://schemas.openxmlformats.org/officeDocument/2006/relationships/hyperlink" Target="https://pbs.twimg.com/media/EGbUwUCWwAAZ0dS.jpg" TargetMode="External"/><Relationship Id="rId2397" Type="http://schemas.openxmlformats.org/officeDocument/2006/relationships/hyperlink" Target="https://www.takvim.com.tr/Yazarlar/ergundiler/2019/10/09/dogru-adres" TargetMode="External"/><Relationship Id="rId3448" Type="http://schemas.openxmlformats.org/officeDocument/2006/relationships/hyperlink" Target="https://pbs.twimg.com/media/EGbZ2DBXYAE4VqR.jpg" TargetMode="External"/><Relationship Id="rId3655" Type="http://schemas.openxmlformats.org/officeDocument/2006/relationships/hyperlink" Target="https://pbs.twimg.com/media/EGbWjuOXoAE-uzr.jpg" TargetMode="External"/><Relationship Id="rId3862" Type="http://schemas.openxmlformats.org/officeDocument/2006/relationships/hyperlink" Target="https://youtu.be/i0y4iUos1BQ" TargetMode="External"/><Relationship Id="rId369" Type="http://schemas.openxmlformats.org/officeDocument/2006/relationships/hyperlink" Target="http://pic.twitter.com/0VvRCyUFdo" TargetMode="External"/><Relationship Id="rId576" Type="http://schemas.openxmlformats.org/officeDocument/2006/relationships/hyperlink" Target="http://pic.twitter.com/qvCvthxLce" TargetMode="External"/><Relationship Id="rId783" Type="http://schemas.openxmlformats.org/officeDocument/2006/relationships/hyperlink" Target="http://www.instagram.com/gkhangk.23" TargetMode="External"/><Relationship Id="rId990" Type="http://schemas.openxmlformats.org/officeDocument/2006/relationships/hyperlink" Target="https://pbs.twimg.com/media/EGcQ3YyWoAUVuc9.jpg" TargetMode="External"/><Relationship Id="rId2257" Type="http://schemas.openxmlformats.org/officeDocument/2006/relationships/hyperlink" Target="https://pbs.twimg.com/media/EGbyoe8WwAAxDGO.jpg" TargetMode="External"/><Relationship Id="rId2464" Type="http://schemas.openxmlformats.org/officeDocument/2006/relationships/hyperlink" Target="http://www.instagram.com/benfurkansteel/" TargetMode="External"/><Relationship Id="rId2671" Type="http://schemas.openxmlformats.org/officeDocument/2006/relationships/hyperlink" Target="https://pbs.twimg.com/media/EGbn9xpWwAADznI.jpg" TargetMode="External"/><Relationship Id="rId3308" Type="http://schemas.openxmlformats.org/officeDocument/2006/relationships/hyperlink" Target="https://pbs.twimg.com/media/EGbcCjBXYAEl-i2.jpg" TargetMode="External"/><Relationship Id="rId3515" Type="http://schemas.openxmlformats.org/officeDocument/2006/relationships/hyperlink" Target="https://pbs.twimg.com/media/EGbYqufWoAE3IRZ.jpg" TargetMode="External"/><Relationship Id="rId229" Type="http://schemas.openxmlformats.org/officeDocument/2006/relationships/hyperlink" Target="https://pbs.twimg.com/media/EGcW-xmXkAERi54.jpg" TargetMode="External"/><Relationship Id="rId436" Type="http://schemas.openxmlformats.org/officeDocument/2006/relationships/hyperlink" Target="https://pbs.twimg.com/media/EGcVADmXYAIMsSI.jpg" TargetMode="External"/><Relationship Id="rId643" Type="http://schemas.openxmlformats.org/officeDocument/2006/relationships/hyperlink" Target="http://instagram.com/tarikcolakk" TargetMode="External"/><Relationship Id="rId1066" Type="http://schemas.openxmlformats.org/officeDocument/2006/relationships/hyperlink" Target="https://pbs.twimg.com/media/EGcQSZJWoAIkiPl.jpg" TargetMode="External"/><Relationship Id="rId1273" Type="http://schemas.openxmlformats.org/officeDocument/2006/relationships/hyperlink" Target="https://pbs.twimg.com/media/EGcN_IlXYAEg6OV.jpg" TargetMode="External"/><Relationship Id="rId1480" Type="http://schemas.openxmlformats.org/officeDocument/2006/relationships/hyperlink" Target="https://pbs.twimg.com/media/EGcM27uXkAEbUaU.jpg" TargetMode="External"/><Relationship Id="rId2117" Type="http://schemas.openxmlformats.org/officeDocument/2006/relationships/hyperlink" Target="https://pbs.twimg.com/media/EGb2IvpXoAAWqxn.jpg" TargetMode="External"/><Relationship Id="rId2324" Type="http://schemas.openxmlformats.org/officeDocument/2006/relationships/hyperlink" Target="https://pbs.twimg.com/media/D9WyUT4WkAISU8I.jpg" TargetMode="External"/><Relationship Id="rId3722" Type="http://schemas.openxmlformats.org/officeDocument/2006/relationships/hyperlink" Target="https://pbs.twimg.com/media/EGbVmI1X0AAFqs4.jpg" TargetMode="External"/><Relationship Id="rId850" Type="http://schemas.openxmlformats.org/officeDocument/2006/relationships/hyperlink" Target="http://pic.twitter.com/D0IL71GovE" TargetMode="External"/><Relationship Id="rId1133" Type="http://schemas.openxmlformats.org/officeDocument/2006/relationships/hyperlink" Target="https://pbs.twimg.com/media/EGcPoP6XYAA1us8.jpg" TargetMode="External"/><Relationship Id="rId2531" Type="http://schemas.openxmlformats.org/officeDocument/2006/relationships/hyperlink" Target="https://pbs.twimg.com/media/EGbrl2fXUAExX-3.jpg" TargetMode="External"/><Relationship Id="rId4289" Type="http://schemas.openxmlformats.org/officeDocument/2006/relationships/hyperlink" Target="https://twitter.com/batuhangcr/status/1181836754770366464" TargetMode="External"/><Relationship Id="rId503" Type="http://schemas.openxmlformats.org/officeDocument/2006/relationships/hyperlink" Target="https://pbs.twimg.com/media/EGcUa27X0AAFLZp.jpg" TargetMode="External"/><Relationship Id="rId710" Type="http://schemas.openxmlformats.org/officeDocument/2006/relationships/hyperlink" Target="https://www.facebook.com/abdullah.birisi.75685" TargetMode="External"/><Relationship Id="rId1340" Type="http://schemas.openxmlformats.org/officeDocument/2006/relationships/hyperlink" Target="https://pbs.twimg.com/media/EGcNyuvWoAAGnuC.jpg" TargetMode="External"/><Relationship Id="rId3098" Type="http://schemas.openxmlformats.org/officeDocument/2006/relationships/hyperlink" Target="http://pic.twitter.com/jQCbTZjIbV" TargetMode="External"/><Relationship Id="rId4496" Type="http://schemas.openxmlformats.org/officeDocument/2006/relationships/hyperlink" Target="https://pbs.twimg.com/media/EGbMEzEXYAEIPrm.jpg" TargetMode="External"/><Relationship Id="rId1200" Type="http://schemas.openxmlformats.org/officeDocument/2006/relationships/hyperlink" Target="https://pbs.twimg.com/media/EGcPCPLWwAEqIgu.jpg" TargetMode="External"/><Relationship Id="rId4149" Type="http://schemas.openxmlformats.org/officeDocument/2006/relationships/hyperlink" Target="https://www.facebook.com/alinuraktas70/videos/2414965538586056/" TargetMode="External"/><Relationship Id="rId4356" Type="http://schemas.openxmlformats.org/officeDocument/2006/relationships/hyperlink" Target="http://pic.twitter.com/2KDZKMFu0V" TargetMode="External"/><Relationship Id="rId3165" Type="http://schemas.openxmlformats.org/officeDocument/2006/relationships/hyperlink" Target="https://pbs.twimg.com/media/EGbefs3XUAAOKOU.jpg" TargetMode="External"/><Relationship Id="rId3372" Type="http://schemas.openxmlformats.org/officeDocument/2006/relationships/hyperlink" Target="https://pbs.twimg.com/media/EGba-2FXoAESFmM.jpg" TargetMode="External"/><Relationship Id="rId4009" Type="http://schemas.openxmlformats.org/officeDocument/2006/relationships/hyperlink" Target="https://pbs.twimg.com/media/EGbR7A-WoAABMos.jpg" TargetMode="External"/><Relationship Id="rId4216" Type="http://schemas.openxmlformats.org/officeDocument/2006/relationships/hyperlink" Target="https://pbs.twimg.com/media/EGbPMJXXYAAvrBB.jpg" TargetMode="External"/><Relationship Id="rId4423" Type="http://schemas.openxmlformats.org/officeDocument/2006/relationships/hyperlink" Target="https://pbs.twimg.com/media/EGbM2SDWwAYDsFR.jpg" TargetMode="External"/><Relationship Id="rId293" Type="http://schemas.openxmlformats.org/officeDocument/2006/relationships/hyperlink" Target="https://pbs.twimg.com/media/EGcWQ6JWkAM4ErN.jpg" TargetMode="External"/><Relationship Id="rId2181" Type="http://schemas.openxmlformats.org/officeDocument/2006/relationships/hyperlink" Target="https://pbs.twimg.com/media/EGb0c33XkAEhhz_.jpg" TargetMode="External"/><Relationship Id="rId3025" Type="http://schemas.openxmlformats.org/officeDocument/2006/relationships/hyperlink" Target="http://instagram.com/tasdemir.cemile" TargetMode="External"/><Relationship Id="rId3232" Type="http://schemas.openxmlformats.org/officeDocument/2006/relationships/hyperlink" Target="https://pbs.twimg.com/media/EGbdYuJX0AATesc.jpg" TargetMode="External"/><Relationship Id="rId153" Type="http://schemas.openxmlformats.org/officeDocument/2006/relationships/hyperlink" Target="http://pic.twitter.com/ySW0ly8bZh" TargetMode="External"/><Relationship Id="rId360" Type="http://schemas.openxmlformats.org/officeDocument/2006/relationships/hyperlink" Target="http://www.iha.com.tr/" TargetMode="External"/><Relationship Id="rId2041" Type="http://schemas.openxmlformats.org/officeDocument/2006/relationships/hyperlink" Target="https://twitter.com/ravenn444/status/1181852412673495040" TargetMode="External"/><Relationship Id="rId220" Type="http://schemas.openxmlformats.org/officeDocument/2006/relationships/hyperlink" Target="http://www.bayramaydin.com/" TargetMode="External"/><Relationship Id="rId2998" Type="http://schemas.openxmlformats.org/officeDocument/2006/relationships/hyperlink" Target="https://pbs.twimg.com/media/EGbhWSgXoAAdamX.jpg" TargetMode="External"/><Relationship Id="rId2858" Type="http://schemas.openxmlformats.org/officeDocument/2006/relationships/hyperlink" Target="https://pbs.twimg.com/media/EGbjmtYWoAEq29S.jpg" TargetMode="External"/><Relationship Id="rId3909" Type="http://schemas.openxmlformats.org/officeDocument/2006/relationships/hyperlink" Target="http://instagram.com/abdullahhozbekk" TargetMode="External"/><Relationship Id="rId4073" Type="http://schemas.openxmlformats.org/officeDocument/2006/relationships/hyperlink" Target="https://pbs.twimg.com/media/EGbRCsWWwAAwOgL.jpg" TargetMode="External"/><Relationship Id="rId99" Type="http://schemas.openxmlformats.org/officeDocument/2006/relationships/hyperlink" Target="https://pbs.twimg.com/media/EGcZGbAWwAEufUX.jpg" TargetMode="External"/><Relationship Id="rId1667" Type="http://schemas.openxmlformats.org/officeDocument/2006/relationships/hyperlink" Target="https://pbs.twimg.com/media/EGcL5SGWwAcNUH3.jpg" TargetMode="External"/><Relationship Id="rId1874" Type="http://schemas.openxmlformats.org/officeDocument/2006/relationships/hyperlink" Target="http://pic.twitter.com/eXVwXYgULs" TargetMode="External"/><Relationship Id="rId2718" Type="http://schemas.openxmlformats.org/officeDocument/2006/relationships/hyperlink" Target="https://pbs.twimg.com/media/EGbm0GVWwAATYJX.jpg" TargetMode="External"/><Relationship Id="rId2925" Type="http://schemas.openxmlformats.org/officeDocument/2006/relationships/hyperlink" Target="http://osmanliocaklari1453.com/" TargetMode="External"/><Relationship Id="rId4280" Type="http://schemas.openxmlformats.org/officeDocument/2006/relationships/hyperlink" Target="http://pic.twitter.com/o4tKKNnt2t" TargetMode="External"/><Relationship Id="rId1527" Type="http://schemas.openxmlformats.org/officeDocument/2006/relationships/hyperlink" Target="http://pic.twitter.com/hmsuOKSyYV" TargetMode="External"/><Relationship Id="rId1734" Type="http://schemas.openxmlformats.org/officeDocument/2006/relationships/hyperlink" Target="https://pbs.twimg.com/media/D0EesKUWsAEmbK0.jpg" TargetMode="External"/><Relationship Id="rId1941" Type="http://schemas.openxmlformats.org/officeDocument/2006/relationships/hyperlink" Target="http://pic.twitter.com/ptENw1KUri" TargetMode="External"/><Relationship Id="rId4140" Type="http://schemas.openxmlformats.org/officeDocument/2006/relationships/hyperlink" Target="https://twitter.com/Turan1530/status/1181854226231812096" TargetMode="External"/><Relationship Id="rId26" Type="http://schemas.openxmlformats.org/officeDocument/2006/relationships/hyperlink" Target="http://www.instagram.com/sumeyrakutsall" TargetMode="External"/><Relationship Id="rId3699" Type="http://schemas.openxmlformats.org/officeDocument/2006/relationships/hyperlink" Target="http://instagram.com/halimm7" TargetMode="External"/><Relationship Id="rId4000" Type="http://schemas.openxmlformats.org/officeDocument/2006/relationships/hyperlink" Target="https://pbs.twimg.com/media/EGbR_2oX0AADUYJ.jpg" TargetMode="External"/><Relationship Id="rId1801" Type="http://schemas.openxmlformats.org/officeDocument/2006/relationships/hyperlink" Target="https://www.thesun.co.uk/news/10088178/turkey-kurdish-bases-explosion-syria-border-troops/" TargetMode="External"/><Relationship Id="rId3559" Type="http://schemas.openxmlformats.org/officeDocument/2006/relationships/hyperlink" Target="https://pbs.twimg.com/media/EGbYLnOXYAAAUkZ.jpg" TargetMode="External"/><Relationship Id="rId687" Type="http://schemas.openxmlformats.org/officeDocument/2006/relationships/hyperlink" Target="http://pic.twitter.com/JBiH4mVZHp" TargetMode="External"/><Relationship Id="rId2368" Type="http://schemas.openxmlformats.org/officeDocument/2006/relationships/hyperlink" Target="https://pbs.twimg.com/media/EGbvfEOW4AUOef8.jpg" TargetMode="External"/><Relationship Id="rId3766" Type="http://schemas.openxmlformats.org/officeDocument/2006/relationships/hyperlink" Target="https://pbs.twimg.com/media/EGbVJoRW4AAfSga.jpg" TargetMode="External"/><Relationship Id="rId3973" Type="http://schemas.openxmlformats.org/officeDocument/2006/relationships/hyperlink" Target="http://www.socibox.com/" TargetMode="External"/><Relationship Id="rId894" Type="http://schemas.openxmlformats.org/officeDocument/2006/relationships/hyperlink" Target="https://www.instagram.com/umutun/" TargetMode="External"/><Relationship Id="rId1177" Type="http://schemas.openxmlformats.org/officeDocument/2006/relationships/hyperlink" Target="http://yazbee.com/ademkcn99" TargetMode="External"/><Relationship Id="rId2575" Type="http://schemas.openxmlformats.org/officeDocument/2006/relationships/hyperlink" Target="https://pbs.twimg.com/media/Dk-qFtaXcAAMFZW.jpg" TargetMode="External"/><Relationship Id="rId2782" Type="http://schemas.openxmlformats.org/officeDocument/2006/relationships/hyperlink" Target="https://pbs.twimg.com/media/Dsyyf9OXcAAl5qW.jpg" TargetMode="External"/><Relationship Id="rId3419" Type="http://schemas.openxmlformats.org/officeDocument/2006/relationships/hyperlink" Target="https://pbs.twimg.com/media/EGbaLF9X0AETdbd.jpg" TargetMode="External"/><Relationship Id="rId3626" Type="http://schemas.openxmlformats.org/officeDocument/2006/relationships/hyperlink" Target="https://pbs.twimg.com/media/EGbXF8BWsAAD8VA.jpg" TargetMode="External"/><Relationship Id="rId3833" Type="http://schemas.openxmlformats.org/officeDocument/2006/relationships/hyperlink" Target="https://pbs.twimg.com/media/EGbURrwWoAAX_K8.jpg" TargetMode="External"/><Relationship Id="rId547" Type="http://schemas.openxmlformats.org/officeDocument/2006/relationships/hyperlink" Target="https://afganhaber.com/4395/" TargetMode="External"/><Relationship Id="rId754" Type="http://schemas.openxmlformats.org/officeDocument/2006/relationships/hyperlink" Target="https://kulhane.wordpress.com/" TargetMode="External"/><Relationship Id="rId961" Type="http://schemas.openxmlformats.org/officeDocument/2006/relationships/hyperlink" Target="https://pbs.twimg.com/media/EGcRH2XXUAARjqw.jpg" TargetMode="External"/><Relationship Id="rId1384" Type="http://schemas.openxmlformats.org/officeDocument/2006/relationships/hyperlink" Target="https://pbs.twimg.com/media/EGcNbUIWwAElWWv.jpg" TargetMode="External"/><Relationship Id="rId1591" Type="http://schemas.openxmlformats.org/officeDocument/2006/relationships/hyperlink" Target="http://instagram.com/omerfarkbasbug" TargetMode="External"/><Relationship Id="rId2228" Type="http://schemas.openxmlformats.org/officeDocument/2006/relationships/hyperlink" Target="https://pbs.twimg.com/media/EGbzRfqXoAAZGAj.jpg" TargetMode="External"/><Relationship Id="rId2435" Type="http://schemas.openxmlformats.org/officeDocument/2006/relationships/hyperlink" Target="http://pic.twitter.com/xcvkOUTAAZ" TargetMode="External"/><Relationship Id="rId2642" Type="http://schemas.openxmlformats.org/officeDocument/2006/relationships/hyperlink" Target="http://www.dizifilmdergisi.com/" TargetMode="External"/><Relationship Id="rId3900" Type="http://schemas.openxmlformats.org/officeDocument/2006/relationships/hyperlink" Target="https://pbs.twimg.com/media/EGbTb0mXkAE1Rki.jpg" TargetMode="External"/><Relationship Id="rId90" Type="http://schemas.openxmlformats.org/officeDocument/2006/relationships/hyperlink" Target="https://www.instagram.com/metocumhur" TargetMode="External"/><Relationship Id="rId407" Type="http://schemas.openxmlformats.org/officeDocument/2006/relationships/hyperlink" Target="https://pbs.twimg.com/media/EGcVUZbWoAAw1g3.jpg" TargetMode="External"/><Relationship Id="rId614" Type="http://schemas.openxmlformats.org/officeDocument/2006/relationships/hyperlink" Target="https://twitter.com/tcsavunma/status/1181562362844897280" TargetMode="External"/><Relationship Id="rId821" Type="http://schemas.openxmlformats.org/officeDocument/2006/relationships/hyperlink" Target="https://pbs.twimg.com/media/EGcSHymXoAEOCmH.jpg" TargetMode="External"/><Relationship Id="rId1037" Type="http://schemas.openxmlformats.org/officeDocument/2006/relationships/hyperlink" Target="https://pbs.twimg.com/media/EGcQgW-XUAcuTbL.jpg" TargetMode="External"/><Relationship Id="rId1244" Type="http://schemas.openxmlformats.org/officeDocument/2006/relationships/hyperlink" Target="https://pbs.twimg.com/media/EGcOnXyWwAAGnxh.jpg" TargetMode="External"/><Relationship Id="rId1451" Type="http://schemas.openxmlformats.org/officeDocument/2006/relationships/hyperlink" Target="https://pbs.twimg.com/media/EGcM9WYWwAAFy-f.jpg" TargetMode="External"/><Relationship Id="rId2502" Type="http://schemas.openxmlformats.org/officeDocument/2006/relationships/hyperlink" Target="https://pbs.twimg.com/media/EGbsLSRXoAAeabn.jpg" TargetMode="External"/><Relationship Id="rId1104" Type="http://schemas.openxmlformats.org/officeDocument/2006/relationships/hyperlink" Target="https://pbs.twimg.com/media/EGcP_z_XUAAlqua.jpg" TargetMode="External"/><Relationship Id="rId1311" Type="http://schemas.openxmlformats.org/officeDocument/2006/relationships/hyperlink" Target="https://pbs.twimg.com/media/EGcOCdyWkAE-o3f.jpg" TargetMode="External"/><Relationship Id="rId4467" Type="http://schemas.openxmlformats.org/officeDocument/2006/relationships/hyperlink" Target="http://pic.twitter.com/eXVwXYgULs" TargetMode="External"/><Relationship Id="rId3069" Type="http://schemas.openxmlformats.org/officeDocument/2006/relationships/hyperlink" Target="http://www.ulupolimer.com.tr/" TargetMode="External"/><Relationship Id="rId3276" Type="http://schemas.openxmlformats.org/officeDocument/2006/relationships/hyperlink" Target="https://pbs.twimg.com/media/EGbciVmWwAEWCDs.jpg" TargetMode="External"/><Relationship Id="rId3483" Type="http://schemas.openxmlformats.org/officeDocument/2006/relationships/hyperlink" Target="https://pbs.twimg.com/media/EGbZWQUWkAA7Rj1.jpg" TargetMode="External"/><Relationship Id="rId3690" Type="http://schemas.openxmlformats.org/officeDocument/2006/relationships/hyperlink" Target="https://pbs.twimg.com/media/EGbWCnXX0AAGgVg.jpg" TargetMode="External"/><Relationship Id="rId4327" Type="http://schemas.openxmlformats.org/officeDocument/2006/relationships/hyperlink" Target="https://pbs.twimg.com/media/EGbN_3-WkAA_Qmz.jpg" TargetMode="External"/><Relationship Id="rId197" Type="http://schemas.openxmlformats.org/officeDocument/2006/relationships/hyperlink" Target="http://pic.twitter.com/GPoH3fXZFI" TargetMode="External"/><Relationship Id="rId2085" Type="http://schemas.openxmlformats.org/officeDocument/2006/relationships/hyperlink" Target="https://pbs.twimg.com/media/EGb226HWkAEKzkW.jpg" TargetMode="External"/><Relationship Id="rId2292" Type="http://schemas.openxmlformats.org/officeDocument/2006/relationships/hyperlink" Target="http://pic.twitter.com/pAIM9404WK" TargetMode="External"/><Relationship Id="rId3136" Type="http://schemas.openxmlformats.org/officeDocument/2006/relationships/hyperlink" Target="https://pbs.twimg.com/media/EGbe8tEWoAEsS6W.jpg" TargetMode="External"/><Relationship Id="rId3343" Type="http://schemas.openxmlformats.org/officeDocument/2006/relationships/hyperlink" Target="http://www.mustafaodabas.com/" TargetMode="External"/><Relationship Id="rId264" Type="http://schemas.openxmlformats.org/officeDocument/2006/relationships/hyperlink" Target="https://pbs.twimg.com/media/EGcWofsXkAAT7VT.jpg" TargetMode="External"/><Relationship Id="rId471" Type="http://schemas.openxmlformats.org/officeDocument/2006/relationships/hyperlink" Target="https://pbs.twimg.com/media/EGcUtD3XkAAGNy2.jpg" TargetMode="External"/><Relationship Id="rId2152" Type="http://schemas.openxmlformats.org/officeDocument/2006/relationships/hyperlink" Target="https://pbs.twimg.com/media/EGb1K9mWwAIsJmh.jpg" TargetMode="External"/><Relationship Id="rId3550" Type="http://schemas.openxmlformats.org/officeDocument/2006/relationships/hyperlink" Target="https://arabtechno7.blogspot.com/2019/10/borderlands-3.html" TargetMode="External"/><Relationship Id="rId124" Type="http://schemas.openxmlformats.org/officeDocument/2006/relationships/hyperlink" Target="https://pbs.twimg.com/media/EGcYa7tXUAwKNaT.jpg" TargetMode="External"/><Relationship Id="rId3203" Type="http://schemas.openxmlformats.org/officeDocument/2006/relationships/hyperlink" Target="https://twitter.com/" TargetMode="External"/><Relationship Id="rId3410" Type="http://schemas.openxmlformats.org/officeDocument/2006/relationships/hyperlink" Target="https://pbs.twimg.com/media/EGbaVmIWkAEdtla.jpg" TargetMode="External"/><Relationship Id="rId331" Type="http://schemas.openxmlformats.org/officeDocument/2006/relationships/hyperlink" Target="https://instagram.com/turgayyesilkaya?igshid=kgf39l4cr468" TargetMode="External"/><Relationship Id="rId2012" Type="http://schemas.openxmlformats.org/officeDocument/2006/relationships/hyperlink" Target="http://instagram.com/dogukannekinci" TargetMode="External"/><Relationship Id="rId2969" Type="http://schemas.openxmlformats.org/officeDocument/2006/relationships/hyperlink" Target="https://twitter.com/bisimit/status/1181283262897033216" TargetMode="External"/><Relationship Id="rId1778" Type="http://schemas.openxmlformats.org/officeDocument/2006/relationships/hyperlink" Target="https://www.youtube.com/channel/UCzXEcOykGc_-u1SRwA7i_Pg" TargetMode="External"/><Relationship Id="rId1985" Type="http://schemas.openxmlformats.org/officeDocument/2006/relationships/hyperlink" Target="http://pic.twitter.com/0bZaaPfATx" TargetMode="External"/><Relationship Id="rId2829" Type="http://schemas.openxmlformats.org/officeDocument/2006/relationships/hyperlink" Target="https://pbs.twimg.com/media/EGbjUfQXoAASAUg.png" TargetMode="External"/><Relationship Id="rId4184" Type="http://schemas.openxmlformats.org/officeDocument/2006/relationships/hyperlink" Target="https://pbs.twimg.com/media/EGbPhIVXYAMhMMR.jpg" TargetMode="External"/><Relationship Id="rId4391" Type="http://schemas.openxmlformats.org/officeDocument/2006/relationships/hyperlink" Target="http://dm.bozuk.com/" TargetMode="External"/><Relationship Id="rId1638" Type="http://schemas.openxmlformats.org/officeDocument/2006/relationships/hyperlink" Target="https://pbs.twimg.com/media/EGcMCi4XkAM6oMa.jpg" TargetMode="External"/><Relationship Id="rId4044" Type="http://schemas.openxmlformats.org/officeDocument/2006/relationships/hyperlink" Target="https://pbs.twimg.com/media/EGbRfRVXkAAHi-P.jpg" TargetMode="External"/><Relationship Id="rId4251" Type="http://schemas.openxmlformats.org/officeDocument/2006/relationships/hyperlink" Target="https://pbs.twimg.com/media/EGbO2oiW4AAET6v.jpg" TargetMode="External"/><Relationship Id="rId1845" Type="http://schemas.openxmlformats.org/officeDocument/2006/relationships/hyperlink" Target="https://pbs.twimg.com/media/EGb8xEDWsAA58OL.jpg" TargetMode="External"/><Relationship Id="rId3060" Type="http://schemas.openxmlformats.org/officeDocument/2006/relationships/hyperlink" Target="https://pbs.twimg.com/media/EGbgOfIX0AIGO4S.jpg" TargetMode="External"/><Relationship Id="rId4111" Type="http://schemas.openxmlformats.org/officeDocument/2006/relationships/hyperlink" Target="http://bit.ly/2ns6rBO" TargetMode="External"/><Relationship Id="rId1705" Type="http://schemas.openxmlformats.org/officeDocument/2006/relationships/hyperlink" Target="https://twitter.com/RTErdogan/status/1181919804619407360" TargetMode="External"/><Relationship Id="rId1912" Type="http://schemas.openxmlformats.org/officeDocument/2006/relationships/hyperlink" Target="http://pic.twitter.com/rCGmRLeFLQ" TargetMode="External"/><Relationship Id="rId3877" Type="http://schemas.openxmlformats.org/officeDocument/2006/relationships/hyperlink" Target="https://youtu.be/NQ54fKDZEiE" TargetMode="External"/><Relationship Id="rId798" Type="http://schemas.openxmlformats.org/officeDocument/2006/relationships/hyperlink" Target="http://bakirkoy.chpistanbul.org.tr/" TargetMode="External"/><Relationship Id="rId2479" Type="http://schemas.openxmlformats.org/officeDocument/2006/relationships/hyperlink" Target="https://emreakkaya.com.tr/" TargetMode="External"/><Relationship Id="rId2686" Type="http://schemas.openxmlformats.org/officeDocument/2006/relationships/hyperlink" Target="http://pic.twitter.com/AmwH1YwOVi" TargetMode="External"/><Relationship Id="rId2893" Type="http://schemas.openxmlformats.org/officeDocument/2006/relationships/hyperlink" Target="https://pbs.twimg.com/media/EGbjEgRXUAEuHkv.jpg" TargetMode="External"/><Relationship Id="rId3737" Type="http://schemas.openxmlformats.org/officeDocument/2006/relationships/hyperlink" Target="https://pbs.twimg.com/media/EGbVeGyXYAAZTpp.jpg" TargetMode="External"/><Relationship Id="rId3944" Type="http://schemas.openxmlformats.org/officeDocument/2006/relationships/hyperlink" Target="https://pbs.twimg.com/media/EGbS07aW4AAiDGz.jpg" TargetMode="External"/><Relationship Id="rId658" Type="http://schemas.openxmlformats.org/officeDocument/2006/relationships/hyperlink" Target="https://pbs.twimg.com/media/EGcTNXuWkAAifGT.jpg" TargetMode="External"/><Relationship Id="rId865" Type="http://schemas.openxmlformats.org/officeDocument/2006/relationships/hyperlink" Target="https://pbs.twimg.com/media/EGcR1yfXYAAjQzD.jpg" TargetMode="External"/><Relationship Id="rId1288" Type="http://schemas.openxmlformats.org/officeDocument/2006/relationships/hyperlink" Target="https://pbs.twimg.com/media/EGcOLolWwAAk1Gw.jpg" TargetMode="External"/><Relationship Id="rId1495" Type="http://schemas.openxmlformats.org/officeDocument/2006/relationships/hyperlink" Target="https://pbs.twimg.com/media/EGYxWh8W4AAzc1B.jpg" TargetMode="External"/><Relationship Id="rId2339" Type="http://schemas.openxmlformats.org/officeDocument/2006/relationships/hyperlink" Target="http://www.medyaege.com.tr/" TargetMode="External"/><Relationship Id="rId2546" Type="http://schemas.openxmlformats.org/officeDocument/2006/relationships/hyperlink" Target="https://ift.tt/2prHqY3" TargetMode="External"/><Relationship Id="rId2753" Type="http://schemas.openxmlformats.org/officeDocument/2006/relationships/hyperlink" Target="http://instagram.com/eyyupguven" TargetMode="External"/><Relationship Id="rId2960" Type="http://schemas.openxmlformats.org/officeDocument/2006/relationships/hyperlink" Target="https://azbuz.org/haberler/abd-muslumanlara-yapilan-zulumden-dolayi-cinli-yetkililerin-vizelerine-kisitlama-getirdi/" TargetMode="External"/><Relationship Id="rId3804" Type="http://schemas.openxmlformats.org/officeDocument/2006/relationships/hyperlink" Target="https://pbs.twimg.com/media/EGbUnMuX0AApNdn.jpg" TargetMode="External"/><Relationship Id="rId518" Type="http://schemas.openxmlformats.org/officeDocument/2006/relationships/hyperlink" Target="https://m.twitch.tv/jayshush/profile" TargetMode="External"/><Relationship Id="rId725" Type="http://schemas.openxmlformats.org/officeDocument/2006/relationships/hyperlink" Target="http://www.instagram.com/bjksokak" TargetMode="External"/><Relationship Id="rId932" Type="http://schemas.openxmlformats.org/officeDocument/2006/relationships/hyperlink" Target="https://pbs.twimg.com/media/EGcRId6WoAASjaI.jpg" TargetMode="External"/><Relationship Id="rId1148" Type="http://schemas.openxmlformats.org/officeDocument/2006/relationships/hyperlink" Target="https://pbs.twimg.com/media/EGcPjVJWkAA4nSU.jpg" TargetMode="External"/><Relationship Id="rId1355" Type="http://schemas.openxmlformats.org/officeDocument/2006/relationships/hyperlink" Target="http://tgb.gen.tr/" TargetMode="External"/><Relationship Id="rId1562" Type="http://schemas.openxmlformats.org/officeDocument/2006/relationships/hyperlink" Target="https://pbs.twimg.com/media/EGcMbE5WwAAbKMZ.jpg" TargetMode="External"/><Relationship Id="rId2406" Type="http://schemas.openxmlformats.org/officeDocument/2006/relationships/hyperlink" Target="https://pbs.twimg.com/media/EGbuTzvWkAAeFVe.png" TargetMode="External"/><Relationship Id="rId2613" Type="http://schemas.openxmlformats.org/officeDocument/2006/relationships/hyperlink" Target="https://pbs.twimg.com/media/EGbpaTFXkAAHRoZ.jpg" TargetMode="External"/><Relationship Id="rId1008" Type="http://schemas.openxmlformats.org/officeDocument/2006/relationships/hyperlink" Target="https://instagram.com/esra.kilicaslan?igshid=1gn5adpar5d5a" TargetMode="External"/><Relationship Id="rId1215" Type="http://schemas.openxmlformats.org/officeDocument/2006/relationships/hyperlink" Target="https://www.vinyl.com.tr/" TargetMode="External"/><Relationship Id="rId1422" Type="http://schemas.openxmlformats.org/officeDocument/2006/relationships/hyperlink" Target="https://pbs.twimg.com/media/EGcNKbaXoAAsFuk.jpg" TargetMode="External"/><Relationship Id="rId2820" Type="http://schemas.openxmlformats.org/officeDocument/2006/relationships/hyperlink" Target="http://iyilikhediyesi.com/" TargetMode="External"/><Relationship Id="rId61" Type="http://schemas.openxmlformats.org/officeDocument/2006/relationships/hyperlink" Target="https://pbs.twimg.com/media/EGcZ_JxWwAAHPMF.jpg" TargetMode="External"/><Relationship Id="rId3387" Type="http://schemas.openxmlformats.org/officeDocument/2006/relationships/hyperlink" Target="https://pbs.twimg.com/media/EGbaweyXkAAx_pP.jpg" TargetMode="External"/><Relationship Id="rId2196" Type="http://schemas.openxmlformats.org/officeDocument/2006/relationships/hyperlink" Target="https://pbs.twimg.com/media/EGbz-9pW4AANcSo.jpg" TargetMode="External"/><Relationship Id="rId3594" Type="http://schemas.openxmlformats.org/officeDocument/2006/relationships/hyperlink" Target="http://pic.twitter.com/pvYxDWjCDe" TargetMode="External"/><Relationship Id="rId4438" Type="http://schemas.openxmlformats.org/officeDocument/2006/relationships/hyperlink" Target="https://twitter.com/tcsavunma/status/1181562362844897280" TargetMode="External"/><Relationship Id="rId168" Type="http://schemas.openxmlformats.org/officeDocument/2006/relationships/hyperlink" Target="https://pbs.twimg.com/media/EGcXlV_WsAEirUI.jpg" TargetMode="External"/><Relationship Id="rId3247" Type="http://schemas.openxmlformats.org/officeDocument/2006/relationships/hyperlink" Target="https://pbs.twimg.com/media/EGbdIDzXUAA5KZv.jpg" TargetMode="External"/><Relationship Id="rId3454" Type="http://schemas.openxmlformats.org/officeDocument/2006/relationships/hyperlink" Target="https://pbs.twimg.com/media/EGbZsaKWwAAvToC.jpg" TargetMode="External"/><Relationship Id="rId3661" Type="http://schemas.openxmlformats.org/officeDocument/2006/relationships/hyperlink" Target="https://pbs.twimg.com/media/D95OEc1X4AE_3z5.jpg" TargetMode="External"/><Relationship Id="rId4505" Type="http://schemas.openxmlformats.org/officeDocument/2006/relationships/hyperlink" Target="https://pbs.twimg.com/media/EGbL4ymWoAABzt0.jpg" TargetMode="External"/><Relationship Id="rId375" Type="http://schemas.openxmlformats.org/officeDocument/2006/relationships/hyperlink" Target="http://pic.twitter.com/Xd2ZQd5TTo" TargetMode="External"/><Relationship Id="rId582" Type="http://schemas.openxmlformats.org/officeDocument/2006/relationships/hyperlink" Target="https://pbs.twimg.com/media/EGcTw_3WoAEWEws.jpg" TargetMode="External"/><Relationship Id="rId2056" Type="http://schemas.openxmlformats.org/officeDocument/2006/relationships/hyperlink" Target="http://pic.twitter.com/wXhUzLqs1n" TargetMode="External"/><Relationship Id="rId2263" Type="http://schemas.openxmlformats.org/officeDocument/2006/relationships/hyperlink" Target="https://pbs.twimg.com/media/EGbyYeTXUAAkG9s.jpg" TargetMode="External"/><Relationship Id="rId2470" Type="http://schemas.openxmlformats.org/officeDocument/2006/relationships/hyperlink" Target="https://pbs.twimg.com/media/EGbs0GKXkAA3WIx.jpg" TargetMode="External"/><Relationship Id="rId3107" Type="http://schemas.openxmlformats.org/officeDocument/2006/relationships/hyperlink" Target="https://pbs.twimg.com/media/EGbfWlcX0AA0qOG.jpg" TargetMode="External"/><Relationship Id="rId3314" Type="http://schemas.openxmlformats.org/officeDocument/2006/relationships/hyperlink" Target="https://pbs.twimg.com/media/EGbb28NWoAAkhtu.jpg" TargetMode="External"/><Relationship Id="rId3521" Type="http://schemas.openxmlformats.org/officeDocument/2006/relationships/hyperlink" Target="http://pic.twitter.com/1Der4Tigwo" TargetMode="External"/><Relationship Id="rId235" Type="http://schemas.openxmlformats.org/officeDocument/2006/relationships/hyperlink" Target="http://www.scopemarkets.co.ke/" TargetMode="External"/><Relationship Id="rId442" Type="http://schemas.openxmlformats.org/officeDocument/2006/relationships/hyperlink" Target="https://pbs.twimg.com/media/EGcU7P5XkAAyn6a.jpg" TargetMode="External"/><Relationship Id="rId1072" Type="http://schemas.openxmlformats.org/officeDocument/2006/relationships/hyperlink" Target="http://www.erzurumspor.net/" TargetMode="External"/><Relationship Id="rId2123" Type="http://schemas.openxmlformats.org/officeDocument/2006/relationships/hyperlink" Target="http://pic.twitter.com/4qiqKpyCHO" TargetMode="External"/><Relationship Id="rId2330" Type="http://schemas.openxmlformats.org/officeDocument/2006/relationships/hyperlink" Target="http://www.youtube.com/MachinaHattab" TargetMode="External"/><Relationship Id="rId302" Type="http://schemas.openxmlformats.org/officeDocument/2006/relationships/hyperlink" Target="https://pbs.twimg.com/media/EGcWPA0XYAIAFos.jpg" TargetMode="External"/><Relationship Id="rId4088" Type="http://schemas.openxmlformats.org/officeDocument/2006/relationships/hyperlink" Target="http://pic.twitter.com/fKh0Xfhvdx" TargetMode="External"/><Relationship Id="rId4295" Type="http://schemas.openxmlformats.org/officeDocument/2006/relationships/hyperlink" Target="https://twitter.com/musabickioglu/status/1181854493958381569" TargetMode="External"/><Relationship Id="rId1889" Type="http://schemas.openxmlformats.org/officeDocument/2006/relationships/hyperlink" Target="https://pbs.twimg.com/media/EGb7j5cXkAEVZ1C.jpg" TargetMode="External"/><Relationship Id="rId4155" Type="http://schemas.openxmlformats.org/officeDocument/2006/relationships/hyperlink" Target="http://boykot.forums-free.com/" TargetMode="External"/><Relationship Id="rId4362" Type="http://schemas.openxmlformats.org/officeDocument/2006/relationships/hyperlink" Target="https://pbs.twimg.com/media/EGbNqndWwAAJXVx.jpg" TargetMode="External"/><Relationship Id="rId1749" Type="http://schemas.openxmlformats.org/officeDocument/2006/relationships/hyperlink" Target="http://www.medyaveri.com/" TargetMode="External"/><Relationship Id="rId1956" Type="http://schemas.openxmlformats.org/officeDocument/2006/relationships/hyperlink" Target="https://www.kocaelitv.com.tr/haber-turk-ordusu-gundemde-sharpturkisharmy-46699.html" TargetMode="External"/><Relationship Id="rId3171" Type="http://schemas.openxmlformats.org/officeDocument/2006/relationships/hyperlink" Target="https://pbs.twimg.com/media/EGbedHkWoAAhgwt.jpg" TargetMode="External"/><Relationship Id="rId4015" Type="http://schemas.openxmlformats.org/officeDocument/2006/relationships/hyperlink" Target="https://twitter.com/kasdergm/status/1181853997017321472" TargetMode="External"/><Relationship Id="rId1609" Type="http://schemas.openxmlformats.org/officeDocument/2006/relationships/hyperlink" Target="http://www.instagram.com/cikobruno" TargetMode="External"/><Relationship Id="rId1816" Type="http://schemas.openxmlformats.org/officeDocument/2006/relationships/hyperlink" Target="http://pic.twitter.com/pQrbO5QgyM" TargetMode="External"/><Relationship Id="rId4222" Type="http://schemas.openxmlformats.org/officeDocument/2006/relationships/hyperlink" Target="https://pbs.twimg.com/media/EGbPMNUWoAEjsue.jpg" TargetMode="External"/><Relationship Id="rId3031" Type="http://schemas.openxmlformats.org/officeDocument/2006/relationships/hyperlink" Target="https://twitter.com/aybers/status/1181864711836639232" TargetMode="External"/><Relationship Id="rId3988" Type="http://schemas.openxmlformats.org/officeDocument/2006/relationships/hyperlink" Target="http://vsco.co/betbdk" TargetMode="External"/><Relationship Id="rId2797" Type="http://schemas.openxmlformats.org/officeDocument/2006/relationships/hyperlink" Target="https://pbs.twimg.com/media/EGbkv1kWoAAHpgY.jpg" TargetMode="External"/><Relationship Id="rId3848" Type="http://schemas.openxmlformats.org/officeDocument/2006/relationships/hyperlink" Target="https://youtu.be/um0fe5yRji4" TargetMode="External"/><Relationship Id="rId769" Type="http://schemas.openxmlformats.org/officeDocument/2006/relationships/hyperlink" Target="https://pbs.twimg.com/media/EGcSe5WXoAEskyR.jpg" TargetMode="External"/><Relationship Id="rId976" Type="http://schemas.openxmlformats.org/officeDocument/2006/relationships/hyperlink" Target="https://pbs.twimg.com/media/EGcRAE9WsAANf7n.jpg" TargetMode="External"/><Relationship Id="rId1399" Type="http://schemas.openxmlformats.org/officeDocument/2006/relationships/hyperlink" Target="https://pbs.twimg.com/media/EGcNUrsXoAAJ2vp.jpg" TargetMode="External"/><Relationship Id="rId2657" Type="http://schemas.openxmlformats.org/officeDocument/2006/relationships/hyperlink" Target="https://pbs.twimg.com/media/DtHY4gyWkAANeqR.jpg" TargetMode="External"/><Relationship Id="rId629" Type="http://schemas.openxmlformats.org/officeDocument/2006/relationships/hyperlink" Target="https://pbs.twimg.com/media/EGcTWchWsAEWmJd.jpg" TargetMode="External"/><Relationship Id="rId1259" Type="http://schemas.openxmlformats.org/officeDocument/2006/relationships/hyperlink" Target="https://twitter.com/RTErdogan/status/1181919804619407360" TargetMode="External"/><Relationship Id="rId1466" Type="http://schemas.openxmlformats.org/officeDocument/2006/relationships/hyperlink" Target="https://twitter.com/mirlk?s=09" TargetMode="External"/><Relationship Id="rId2864" Type="http://schemas.openxmlformats.org/officeDocument/2006/relationships/hyperlink" Target="https://pbs.twimg.com/media/EGbjg4AXoAIH2NJ.jpg" TargetMode="External"/><Relationship Id="rId3708" Type="http://schemas.openxmlformats.org/officeDocument/2006/relationships/hyperlink" Target="https://pbs.twimg.com/media/EGbV1QcXoAAJx-o.jpg" TargetMode="External"/><Relationship Id="rId3915" Type="http://schemas.openxmlformats.org/officeDocument/2006/relationships/hyperlink" Target="https://pbs.twimg.com/media/EGbTP0rXYAAj19P.jpg" TargetMode="External"/><Relationship Id="rId836" Type="http://schemas.openxmlformats.org/officeDocument/2006/relationships/hyperlink" Target="https://pbs.twimg.com/media/EGcR8U9X0AIzpNk.jpg" TargetMode="External"/><Relationship Id="rId1119" Type="http://schemas.openxmlformats.org/officeDocument/2006/relationships/hyperlink" Target="http://instagram.com/mucahitoguk" TargetMode="External"/><Relationship Id="rId1673" Type="http://schemas.openxmlformats.org/officeDocument/2006/relationships/hyperlink" Target="https://kafakalem.com/elektrik-dagitim-firmanizi-degistirebilir-ucuz-kampanyalardan-yararlanabilirsiniz/7017/" TargetMode="External"/><Relationship Id="rId1880" Type="http://schemas.openxmlformats.org/officeDocument/2006/relationships/hyperlink" Target="https://pbs.twimg.com/media/EGb7qoxXkAI5x8o.jpg" TargetMode="External"/><Relationship Id="rId2517" Type="http://schemas.openxmlformats.org/officeDocument/2006/relationships/hyperlink" Target="https://pbs.twimg.com/media/EGbr0ZWXkAAlH1k.jpg" TargetMode="External"/><Relationship Id="rId2724" Type="http://schemas.openxmlformats.org/officeDocument/2006/relationships/hyperlink" Target="http://www.facebook.com/volkan.gurturk.1" TargetMode="External"/><Relationship Id="rId2931" Type="http://schemas.openxmlformats.org/officeDocument/2006/relationships/hyperlink" Target="https://pbs.twimg.com/media/EGbiZ4rWsAA_uRd.jpg" TargetMode="External"/><Relationship Id="rId903" Type="http://schemas.openxmlformats.org/officeDocument/2006/relationships/hyperlink" Target="https://www.facebook.com/profile.php?id=100009897033263" TargetMode="External"/><Relationship Id="rId1326" Type="http://schemas.openxmlformats.org/officeDocument/2006/relationships/hyperlink" Target="https://twitter.com/bjk1903_tr/status/1181928120028471296" TargetMode="External"/><Relationship Id="rId1533" Type="http://schemas.openxmlformats.org/officeDocument/2006/relationships/hyperlink" Target="https://www.sosyalmanset.com/" TargetMode="External"/><Relationship Id="rId1740" Type="http://schemas.openxmlformats.org/officeDocument/2006/relationships/hyperlink" Target="http://instagram.com/arzpol571" TargetMode="External"/><Relationship Id="rId32" Type="http://schemas.openxmlformats.org/officeDocument/2006/relationships/hyperlink" Target="http://beklemeyapmaticari.com/" TargetMode="External"/><Relationship Id="rId1600" Type="http://schemas.openxmlformats.org/officeDocument/2006/relationships/hyperlink" Target="http://www.ayrintilihaber.com.tr/" TargetMode="External"/><Relationship Id="rId3498" Type="http://schemas.openxmlformats.org/officeDocument/2006/relationships/hyperlink" Target="http://www.iyilikhediyesi.com/" TargetMode="External"/><Relationship Id="rId3358" Type="http://schemas.openxmlformats.org/officeDocument/2006/relationships/hyperlink" Target="https://pbs.twimg.com/media/EGbbOM6XUAAFDN6.jpg" TargetMode="External"/><Relationship Id="rId3565" Type="http://schemas.openxmlformats.org/officeDocument/2006/relationships/hyperlink" Target="https://pbs.twimg.com/media/EGbYG6ZWwAEsgBA.jpg" TargetMode="External"/><Relationship Id="rId3772" Type="http://schemas.openxmlformats.org/officeDocument/2006/relationships/hyperlink" Target="https://pbs.twimg.com/media/EGbU-v5XYAA_X7S.jpg" TargetMode="External"/><Relationship Id="rId4409" Type="http://schemas.openxmlformats.org/officeDocument/2006/relationships/hyperlink" Target="https://pbs.twimg.com/media/EGbNE9vXYAAUjES.jpg" TargetMode="External"/><Relationship Id="rId279" Type="http://schemas.openxmlformats.org/officeDocument/2006/relationships/hyperlink" Target="http://pic.twitter.com/QBaIoYFifZ" TargetMode="External"/><Relationship Id="rId486" Type="http://schemas.openxmlformats.org/officeDocument/2006/relationships/hyperlink" Target="http://pic.twitter.com/peJMOmiv26" TargetMode="External"/><Relationship Id="rId693" Type="http://schemas.openxmlformats.org/officeDocument/2006/relationships/hyperlink" Target="https://www.theguardian.com/world/2019/oct/09/turkey-launches-military-operation-in-northern-syria-erdogan" TargetMode="External"/><Relationship Id="rId2167" Type="http://schemas.openxmlformats.org/officeDocument/2006/relationships/hyperlink" Target="https://pbs.twimg.com/media/EGb00qgXkAAsdUW.jpg" TargetMode="External"/><Relationship Id="rId2374" Type="http://schemas.openxmlformats.org/officeDocument/2006/relationships/hyperlink" Target="http://egeyonhaber.com/" TargetMode="External"/><Relationship Id="rId2581" Type="http://schemas.openxmlformats.org/officeDocument/2006/relationships/hyperlink" Target="https://pbs.twimg.com/media/EGbp-V8W4AEPj2s.jpg" TargetMode="External"/><Relationship Id="rId3218" Type="http://schemas.openxmlformats.org/officeDocument/2006/relationships/hyperlink" Target="https://pbs.twimg.com/media/EGbdluuXYAM59bT.jpg" TargetMode="External"/><Relationship Id="rId3425" Type="http://schemas.openxmlformats.org/officeDocument/2006/relationships/hyperlink" Target="http://instagram.com/dilosumkya" TargetMode="External"/><Relationship Id="rId3632" Type="http://schemas.openxmlformats.org/officeDocument/2006/relationships/hyperlink" Target="https://pbs.twimg.com/media/EGbXApBWoAAgxSb.jpg" TargetMode="External"/><Relationship Id="rId139" Type="http://schemas.openxmlformats.org/officeDocument/2006/relationships/hyperlink" Target="https://pbs.twimg.com/media/EGcYNkZXYAEMyLW.jpg" TargetMode="External"/><Relationship Id="rId346" Type="http://schemas.openxmlformats.org/officeDocument/2006/relationships/hyperlink" Target="https://pbs.twimg.com/media/EGcV8kXWkAYEdot.jpg" TargetMode="External"/><Relationship Id="rId553" Type="http://schemas.openxmlformats.org/officeDocument/2006/relationships/hyperlink" Target="https://m.ensonhaber.com/camilerde-fetih-suresi-okunacak.html" TargetMode="External"/><Relationship Id="rId760" Type="http://schemas.openxmlformats.org/officeDocument/2006/relationships/hyperlink" Target="https://pbs.twimg.com/media/EGcSgtOXkAAo6ta.jpg" TargetMode="External"/><Relationship Id="rId1183" Type="http://schemas.openxmlformats.org/officeDocument/2006/relationships/hyperlink" Target="https://pbs.twimg.com/media/EGcPKgrWoAAfmiI.jpg" TargetMode="External"/><Relationship Id="rId1390" Type="http://schemas.openxmlformats.org/officeDocument/2006/relationships/hyperlink" Target="https://pbs.twimg.com/media/EGcNYJrX0AABci6.jpg" TargetMode="External"/><Relationship Id="rId2027" Type="http://schemas.openxmlformats.org/officeDocument/2006/relationships/hyperlink" Target="http://bit.ly/2nHWY9A" TargetMode="External"/><Relationship Id="rId2234" Type="http://schemas.openxmlformats.org/officeDocument/2006/relationships/hyperlink" Target="http://www.cumhuriyet.com.tr/haber/turkiye/1619276/AKP_li_Unal__Kadirova_nin_hayatini_kaybettigi_gun_bassavci_yardimcisini_evine_cagirmis.html" TargetMode="External"/><Relationship Id="rId2441" Type="http://schemas.openxmlformats.org/officeDocument/2006/relationships/hyperlink" Target="http://ozelharekattv.com/" TargetMode="External"/><Relationship Id="rId206" Type="http://schemas.openxmlformats.org/officeDocument/2006/relationships/hyperlink" Target="https://pbs.twimg.com/media/EGcXLMrXYAENwY0.jpg" TargetMode="External"/><Relationship Id="rId413" Type="http://schemas.openxmlformats.org/officeDocument/2006/relationships/hyperlink" Target="https://www.bbc.com/news/world-middle-east-49978567" TargetMode="External"/><Relationship Id="rId1043" Type="http://schemas.openxmlformats.org/officeDocument/2006/relationships/hyperlink" Target="https://twitter.com/TTAgrup/status/1181925194979512320" TargetMode="External"/><Relationship Id="rId4199" Type="http://schemas.openxmlformats.org/officeDocument/2006/relationships/hyperlink" Target="https://pbs.twimg.com/media/EGbPV_lX0AAw35P.jpg" TargetMode="External"/><Relationship Id="rId620" Type="http://schemas.openxmlformats.org/officeDocument/2006/relationships/hyperlink" Target="http://instagram.com/misvakcaps" TargetMode="External"/><Relationship Id="rId1250" Type="http://schemas.openxmlformats.org/officeDocument/2006/relationships/hyperlink" Target="https://pbs.twimg.com/media/EGcOhRcWsAECjn4.jpg" TargetMode="External"/><Relationship Id="rId2301" Type="http://schemas.openxmlformats.org/officeDocument/2006/relationships/hyperlink" Target="http://aslantaslive.wordpress.com/" TargetMode="External"/><Relationship Id="rId4059" Type="http://schemas.openxmlformats.org/officeDocument/2006/relationships/hyperlink" Target="http://pic.twitter.com/gik4kCDYM4" TargetMode="External"/><Relationship Id="rId1110" Type="http://schemas.openxmlformats.org/officeDocument/2006/relationships/hyperlink" Target="https://pbs.twimg.com/media/EGcP4VcX0AEzyZm.jpg" TargetMode="External"/><Relationship Id="rId4266" Type="http://schemas.openxmlformats.org/officeDocument/2006/relationships/hyperlink" Target="https://pbs.twimg.com/media/EGbOp4fWwAMDj5e.jpg" TargetMode="External"/><Relationship Id="rId4473" Type="http://schemas.openxmlformats.org/officeDocument/2006/relationships/hyperlink" Target="https://www.linkedin.com/in/ali-altuntepe-763479104/" TargetMode="External"/><Relationship Id="rId1927" Type="http://schemas.openxmlformats.org/officeDocument/2006/relationships/hyperlink" Target="https://pbs.twimg.com/media/EGb60Z1X0AASPN8.png" TargetMode="External"/><Relationship Id="rId3075" Type="http://schemas.openxmlformats.org/officeDocument/2006/relationships/hyperlink" Target="https://youtu.be/rhTW0j_g-XQ" TargetMode="External"/><Relationship Id="rId3282" Type="http://schemas.openxmlformats.org/officeDocument/2006/relationships/hyperlink" Target="https://pbs.twimg.com/media/EGbcefoW4AAc1eP.jpg" TargetMode="External"/><Relationship Id="rId4126" Type="http://schemas.openxmlformats.org/officeDocument/2006/relationships/hyperlink" Target="https://pbs.twimg.com/media/EGbQLX4XoAAWbvg.jpg" TargetMode="External"/><Relationship Id="rId4333" Type="http://schemas.openxmlformats.org/officeDocument/2006/relationships/hyperlink" Target="https://pbs.twimg.com/media/EGbN4qqWkAA5JYS.jpg" TargetMode="External"/><Relationship Id="rId2091" Type="http://schemas.openxmlformats.org/officeDocument/2006/relationships/hyperlink" Target="https://pbs.twimg.com/media/EGb2qPFWoAAKXIU.jpg" TargetMode="External"/><Relationship Id="rId3142" Type="http://schemas.openxmlformats.org/officeDocument/2006/relationships/hyperlink" Target="https://pbs.twimg.com/media/EGbe4aIXYAAbf9Y.jpg" TargetMode="External"/><Relationship Id="rId4400" Type="http://schemas.openxmlformats.org/officeDocument/2006/relationships/hyperlink" Target="https://pbs.twimg.com/media/EGbNKzzWkAAv0i8.jpg" TargetMode="External"/><Relationship Id="rId270" Type="http://schemas.openxmlformats.org/officeDocument/2006/relationships/hyperlink" Target="https://twitter.com/1parcatuhaftik/status/1181936293581864960" TargetMode="External"/><Relationship Id="rId3002" Type="http://schemas.openxmlformats.org/officeDocument/2006/relationships/hyperlink" Target="https://pbs.twimg.com/media/EGbhNqtXkAA-bp1.jpg" TargetMode="External"/><Relationship Id="rId130" Type="http://schemas.openxmlformats.org/officeDocument/2006/relationships/hyperlink" Target="https://pbs.twimg.com/media/EGcYYbGXUAQVkjD.jpg" TargetMode="External"/><Relationship Id="rId3959" Type="http://schemas.openxmlformats.org/officeDocument/2006/relationships/hyperlink" Target="https://pbs.twimg.com/media/EGbSpydWwAAu-tW.jpg" TargetMode="External"/><Relationship Id="rId2768" Type="http://schemas.openxmlformats.org/officeDocument/2006/relationships/hyperlink" Target="https://pbs.twimg.com/media/EGble-MXoAE54WM.jpg" TargetMode="External"/><Relationship Id="rId2975" Type="http://schemas.openxmlformats.org/officeDocument/2006/relationships/hyperlink" Target="http://pic.twitter.com/t1OYw0aUjh" TargetMode="External"/><Relationship Id="rId3819" Type="http://schemas.openxmlformats.org/officeDocument/2006/relationships/hyperlink" Target="http://pic.twitter.com/SuaQla8DC1" TargetMode="External"/><Relationship Id="rId947" Type="http://schemas.openxmlformats.org/officeDocument/2006/relationships/hyperlink" Target="https://pbs.twimg.com/media/EGcRNTfXkAAef1f.jpg" TargetMode="External"/><Relationship Id="rId1577" Type="http://schemas.openxmlformats.org/officeDocument/2006/relationships/hyperlink" Target="https://pbs.twimg.com/media/EGcMX_pXkAAOQq_.jpg" TargetMode="External"/><Relationship Id="rId1784" Type="http://schemas.openxmlformats.org/officeDocument/2006/relationships/hyperlink" Target="https://pbs.twimg.com/media/EGbefs3XUAAOKOU.jpg" TargetMode="External"/><Relationship Id="rId1991" Type="http://schemas.openxmlformats.org/officeDocument/2006/relationships/hyperlink" Target="https://pbs.twimg.com/media/EGb45SHW4AADZMf.jpg" TargetMode="External"/><Relationship Id="rId2628" Type="http://schemas.openxmlformats.org/officeDocument/2006/relationships/hyperlink" Target="http://pic.twitter.com/LdyVfKVXf8" TargetMode="External"/><Relationship Id="rId2835" Type="http://schemas.openxmlformats.org/officeDocument/2006/relationships/hyperlink" Target="http://pic.twitter.com/eg1UTTcZMp" TargetMode="External"/><Relationship Id="rId4190" Type="http://schemas.openxmlformats.org/officeDocument/2006/relationships/hyperlink" Target="https://pbs.twimg.com/media/EGbPdxjXUAAL6ee.jpg" TargetMode="External"/><Relationship Id="rId76" Type="http://schemas.openxmlformats.org/officeDocument/2006/relationships/hyperlink" Target="https://pbs.twimg.com/media/EGcXt-VXUAEmgT2.jpg" TargetMode="External"/><Relationship Id="rId807" Type="http://schemas.openxmlformats.org/officeDocument/2006/relationships/hyperlink" Target="http://topazhane.blogspot.com.tr/" TargetMode="External"/><Relationship Id="rId1437" Type="http://schemas.openxmlformats.org/officeDocument/2006/relationships/hyperlink" Target="https://pbs.twimg.com/media/EGcKyApXYAAg_v_.jpg" TargetMode="External"/><Relationship Id="rId1644" Type="http://schemas.openxmlformats.org/officeDocument/2006/relationships/hyperlink" Target="https://pbs.twimg.com/media/EGcMBK7WoAAmhB3.jpg" TargetMode="External"/><Relationship Id="rId1851" Type="http://schemas.openxmlformats.org/officeDocument/2006/relationships/hyperlink" Target="https://pbs.twimg.com/media/EGb8eCXWkAUBGb8.jpg" TargetMode="External"/><Relationship Id="rId2902" Type="http://schemas.openxmlformats.org/officeDocument/2006/relationships/hyperlink" Target="https://pbs.twimg.com/media/EGbi79pXUAEETHg.jpg" TargetMode="External"/><Relationship Id="rId4050" Type="http://schemas.openxmlformats.org/officeDocument/2006/relationships/hyperlink" Target="https://www.linkedin.com/in/samira-ahmed-gazi-101965b1/" TargetMode="External"/><Relationship Id="rId1504" Type="http://schemas.openxmlformats.org/officeDocument/2006/relationships/hyperlink" Target="http://pic.twitter.com/jB9j9IimwW" TargetMode="External"/><Relationship Id="rId1711" Type="http://schemas.openxmlformats.org/officeDocument/2006/relationships/hyperlink" Target="https://pbs.twimg.com/media/EGcLsxMXUAA-UF4.jpg" TargetMode="External"/><Relationship Id="rId3469" Type="http://schemas.openxmlformats.org/officeDocument/2006/relationships/hyperlink" Target="http://instagram.com/tiryakimen" TargetMode="External"/><Relationship Id="rId3676" Type="http://schemas.openxmlformats.org/officeDocument/2006/relationships/hyperlink" Target="http://pic.twitter.com/lSDZgqZMFx" TargetMode="External"/><Relationship Id="rId597" Type="http://schemas.openxmlformats.org/officeDocument/2006/relationships/hyperlink" Target="http://pic.twitter.com/lZ8A0hI8ah" TargetMode="External"/><Relationship Id="rId2278" Type="http://schemas.openxmlformats.org/officeDocument/2006/relationships/hyperlink" Target="https://pbs.twimg.com/media/EGbyEa0WsAExsNc.jpg" TargetMode="External"/><Relationship Id="rId2485" Type="http://schemas.openxmlformats.org/officeDocument/2006/relationships/hyperlink" Target="https://pbs.twimg.com/media/EGbsep5WsAA-5aY.jpg" TargetMode="External"/><Relationship Id="rId3329" Type="http://schemas.openxmlformats.org/officeDocument/2006/relationships/hyperlink" Target="https://pbs.twimg.com/media/EGbbo3KXYAAI7fh.jpg" TargetMode="External"/><Relationship Id="rId3883" Type="http://schemas.openxmlformats.org/officeDocument/2006/relationships/hyperlink" Target="http://www.cuneytpolat.com/" TargetMode="External"/><Relationship Id="rId457" Type="http://schemas.openxmlformats.org/officeDocument/2006/relationships/hyperlink" Target="http://www.imna.ir/" TargetMode="External"/><Relationship Id="rId1087" Type="http://schemas.openxmlformats.org/officeDocument/2006/relationships/hyperlink" Target="http://instagram.com/erenylmz16" TargetMode="External"/><Relationship Id="rId1294" Type="http://schemas.openxmlformats.org/officeDocument/2006/relationships/hyperlink" Target="https://stars.osr.org/Vwm650901" TargetMode="External"/><Relationship Id="rId2138" Type="http://schemas.openxmlformats.org/officeDocument/2006/relationships/hyperlink" Target="http://pic.twitter.com/RSKVvhoRrs" TargetMode="External"/><Relationship Id="rId2692" Type="http://schemas.openxmlformats.org/officeDocument/2006/relationships/hyperlink" Target="https://youtu.be/kaaLmsOfBEQ" TargetMode="External"/><Relationship Id="rId3536" Type="http://schemas.openxmlformats.org/officeDocument/2006/relationships/hyperlink" Target="https://pbs.twimg.com/media/EGbYgM-X0AA6H3L.jpg" TargetMode="External"/><Relationship Id="rId3743" Type="http://schemas.openxmlformats.org/officeDocument/2006/relationships/hyperlink" Target="https://pbs.twimg.com/media/EGbVXBKXUAEtbks.jpg" TargetMode="External"/><Relationship Id="rId3950" Type="http://schemas.openxmlformats.org/officeDocument/2006/relationships/hyperlink" Target="https://pbs.twimg.com/media/EGbSx3KXUAArT1M.jpg" TargetMode="External"/><Relationship Id="rId664" Type="http://schemas.openxmlformats.org/officeDocument/2006/relationships/hyperlink" Target="https://pbs.twimg.com/media/EGcTLRgWwAAfjrC.jpg" TargetMode="External"/><Relationship Id="rId871" Type="http://schemas.openxmlformats.org/officeDocument/2006/relationships/hyperlink" Target="https://pbs.twimg.com/media/EGcQ8-3WkAIJFbK.jpg" TargetMode="External"/><Relationship Id="rId2345" Type="http://schemas.openxmlformats.org/officeDocument/2006/relationships/hyperlink" Target="https://pbs.twimg.com/media/EGbv6TgXYAAz1Kg.jpg" TargetMode="External"/><Relationship Id="rId2552" Type="http://schemas.openxmlformats.org/officeDocument/2006/relationships/hyperlink" Target="https://pbs.twimg.com/media/EGbq32SWoAACfYS.jpg" TargetMode="External"/><Relationship Id="rId3603" Type="http://schemas.openxmlformats.org/officeDocument/2006/relationships/hyperlink" Target="https://pbs.twimg.com/media/D6bylS8X4AA4Lgg.jpg" TargetMode="External"/><Relationship Id="rId3810" Type="http://schemas.openxmlformats.org/officeDocument/2006/relationships/hyperlink" Target="https://pbs.twimg.com/media/EGbUjRnW4AELHAD.jpg" TargetMode="External"/><Relationship Id="rId317" Type="http://schemas.openxmlformats.org/officeDocument/2006/relationships/hyperlink" Target="http://instagram.com/omerbirincii" TargetMode="External"/><Relationship Id="rId524" Type="http://schemas.openxmlformats.org/officeDocument/2006/relationships/hyperlink" Target="https://pbs.twimg.com/media/EGcUR2nXUAEnnWb.jpg" TargetMode="External"/><Relationship Id="rId731" Type="http://schemas.openxmlformats.org/officeDocument/2006/relationships/hyperlink" Target="https://pbs.twimg.com/media/EGcNNLAWoAAvXMz.jpg" TargetMode="External"/><Relationship Id="rId1154" Type="http://schemas.openxmlformats.org/officeDocument/2006/relationships/hyperlink" Target="https://pbs.twimg.com/media/EGcPgIWXUAE_KkK.jpg" TargetMode="External"/><Relationship Id="rId1361" Type="http://schemas.openxmlformats.org/officeDocument/2006/relationships/hyperlink" Target="https://pbs.twimg.com/media/EGcNh7wWkAAU7_7.jpg" TargetMode="External"/><Relationship Id="rId2205" Type="http://schemas.openxmlformats.org/officeDocument/2006/relationships/hyperlink" Target="https://pbs.twimg.com/media/EGbzzgMWoAEOFhq.jpg" TargetMode="External"/><Relationship Id="rId2412" Type="http://schemas.openxmlformats.org/officeDocument/2006/relationships/hyperlink" Target="http://pic.twitter.com/ITX7RIbiIH" TargetMode="External"/><Relationship Id="rId1014" Type="http://schemas.openxmlformats.org/officeDocument/2006/relationships/hyperlink" Target="http://pic.twitter.com/ZVioAEuBwj" TargetMode="External"/><Relationship Id="rId1221" Type="http://schemas.openxmlformats.org/officeDocument/2006/relationships/hyperlink" Target="http://tsk.tr/" TargetMode="External"/><Relationship Id="rId4377" Type="http://schemas.openxmlformats.org/officeDocument/2006/relationships/hyperlink" Target="http://www.francenews24.fr/" TargetMode="External"/><Relationship Id="rId3186" Type="http://schemas.openxmlformats.org/officeDocument/2006/relationships/hyperlink" Target="https://pbs.twimg.com/media/EGbeP9MWoAAo-Md.jpg" TargetMode="External"/><Relationship Id="rId3393" Type="http://schemas.openxmlformats.org/officeDocument/2006/relationships/hyperlink" Target="https://pbs.twimg.com/media/EGbakv4WwAATvtj.jpg" TargetMode="External"/><Relationship Id="rId4237" Type="http://schemas.openxmlformats.org/officeDocument/2006/relationships/hyperlink" Target="http://instagram.com/ka.emre" TargetMode="External"/><Relationship Id="rId4444" Type="http://schemas.openxmlformats.org/officeDocument/2006/relationships/hyperlink" Target="http://www.youtube.com/taizhougames" TargetMode="External"/><Relationship Id="rId3046" Type="http://schemas.openxmlformats.org/officeDocument/2006/relationships/hyperlink" Target="https://pbs.twimg.com/media/EGbgjWoWoAAh9h-.jpg" TargetMode="External"/><Relationship Id="rId3253" Type="http://schemas.openxmlformats.org/officeDocument/2006/relationships/hyperlink" Target="https://pbs.twimg.com/media/EGbdEFtWkAAKLND.jpg" TargetMode="External"/><Relationship Id="rId3460" Type="http://schemas.openxmlformats.org/officeDocument/2006/relationships/hyperlink" Target="https://pbs.twimg.com/media/EGbZnMdX0AEhnkv.jpg" TargetMode="External"/><Relationship Id="rId4304" Type="http://schemas.openxmlformats.org/officeDocument/2006/relationships/hyperlink" Target="https://pbs.twimg.com/media/EGbOOQ1WkAIfuiF.jpg" TargetMode="External"/><Relationship Id="rId174" Type="http://schemas.openxmlformats.org/officeDocument/2006/relationships/hyperlink" Target="http://www.f5haber.com/" TargetMode="External"/><Relationship Id="rId381" Type="http://schemas.openxmlformats.org/officeDocument/2006/relationships/hyperlink" Target="https://pbs.twimg.com/media/EGcVlSrXUAEfHoi.jpg" TargetMode="External"/><Relationship Id="rId2062" Type="http://schemas.openxmlformats.org/officeDocument/2006/relationships/hyperlink" Target="http://pic.twitter.com/yaDNwRzzDy" TargetMode="External"/><Relationship Id="rId3113" Type="http://schemas.openxmlformats.org/officeDocument/2006/relationships/hyperlink" Target="https://twitter.com/elanur1717/status/1181855434237284352" TargetMode="External"/><Relationship Id="rId4511" Type="http://schemas.openxmlformats.org/officeDocument/2006/relationships/hyperlink" Target="https://pbs.twimg.com/media/EGbL08kWwAAdwoU.jpg" TargetMode="External"/><Relationship Id="rId241" Type="http://schemas.openxmlformats.org/officeDocument/2006/relationships/hyperlink" Target="https://pbs.twimg.com/media/EGcW5MtXUAIFpx3.jpg" TargetMode="External"/><Relationship Id="rId3320" Type="http://schemas.openxmlformats.org/officeDocument/2006/relationships/hyperlink" Target="http://www.instagram.com/gokberkaya/" TargetMode="External"/><Relationship Id="rId2879" Type="http://schemas.openxmlformats.org/officeDocument/2006/relationships/hyperlink" Target="https://instagram.com/karaaoguzhan" TargetMode="External"/><Relationship Id="rId101" Type="http://schemas.openxmlformats.org/officeDocument/2006/relationships/hyperlink" Target="http://instagram.com/o_durmuss" TargetMode="External"/><Relationship Id="rId1688" Type="http://schemas.openxmlformats.org/officeDocument/2006/relationships/hyperlink" Target="https://pbs.twimg.com/media/EGcLx9oXYAEohQ1.jpg" TargetMode="External"/><Relationship Id="rId1895" Type="http://schemas.openxmlformats.org/officeDocument/2006/relationships/hyperlink" Target="https://pbs.twimg.com/media/EGb7e4YWkAUtELs.jpg" TargetMode="External"/><Relationship Id="rId2739" Type="http://schemas.openxmlformats.org/officeDocument/2006/relationships/hyperlink" Target="https://youtu.be/QIxH3HeRDEY" TargetMode="External"/><Relationship Id="rId2946" Type="http://schemas.openxmlformats.org/officeDocument/2006/relationships/hyperlink" Target="http://www.serriyevakf&#305;.com.tr/" TargetMode="External"/><Relationship Id="rId4094" Type="http://schemas.openxmlformats.org/officeDocument/2006/relationships/hyperlink" Target="https://pbs.twimg.com/media/EGbQlJpWkAAeS-6.jpg" TargetMode="External"/><Relationship Id="rId918" Type="http://schemas.openxmlformats.org/officeDocument/2006/relationships/hyperlink" Target="https://pbs.twimg.com/media/EGcRYgaXUAAWHMa.jpg" TargetMode="External"/><Relationship Id="rId1548" Type="http://schemas.openxmlformats.org/officeDocument/2006/relationships/hyperlink" Target="https://pbs.twimg.com/media/EGcMeASW4AAztBo.jpg" TargetMode="External"/><Relationship Id="rId1755" Type="http://schemas.openxmlformats.org/officeDocument/2006/relationships/hyperlink" Target="https://pbs.twimg.com/media/EGb_NJLX0AAfc9b.jpg" TargetMode="External"/><Relationship Id="rId4161" Type="http://schemas.openxmlformats.org/officeDocument/2006/relationships/hyperlink" Target="https://pbs.twimg.com/media/EGbPzleWkAEone-.jpg" TargetMode="External"/><Relationship Id="rId1408" Type="http://schemas.openxmlformats.org/officeDocument/2006/relationships/hyperlink" Target="https://pbs.twimg.com/media/EGcNQGRWwAEUz0q.jpg" TargetMode="External"/><Relationship Id="rId1962" Type="http://schemas.openxmlformats.org/officeDocument/2006/relationships/hyperlink" Target="http://pic.twitter.com/v2Q3ZK2TKw" TargetMode="External"/><Relationship Id="rId2806" Type="http://schemas.openxmlformats.org/officeDocument/2006/relationships/hyperlink" Target="https://pbs.twimg.com/media/EGbksRyXkAArmgs.jpg" TargetMode="External"/><Relationship Id="rId4021" Type="http://schemas.openxmlformats.org/officeDocument/2006/relationships/hyperlink" Target="https://twitter.com/kaankural/status/16867365789" TargetMode="External"/><Relationship Id="rId47" Type="http://schemas.openxmlformats.org/officeDocument/2006/relationships/hyperlink" Target="https://pbs.twimg.com/media/EGcaPDHWwAA7hdI.jpg" TargetMode="External"/><Relationship Id="rId1615" Type="http://schemas.openxmlformats.org/officeDocument/2006/relationships/hyperlink" Target="https://pbs.twimg.com/media/EGcMM55X0AA1TQa.jpg" TargetMode="External"/><Relationship Id="rId1822" Type="http://schemas.openxmlformats.org/officeDocument/2006/relationships/hyperlink" Target="https://pbs.twimg.com/media/EGb9ZMGWsAIJikM.jpg" TargetMode="External"/><Relationship Id="rId3787" Type="http://schemas.openxmlformats.org/officeDocument/2006/relationships/hyperlink" Target="https://www.instagram.com/hakankarakc/?hl=tr" TargetMode="External"/><Relationship Id="rId3994" Type="http://schemas.openxmlformats.org/officeDocument/2006/relationships/hyperlink" Target="https://pbs.twimg.com/media/EGbSEVCWwAEj4my.jpg" TargetMode="External"/><Relationship Id="rId2389" Type="http://schemas.openxmlformats.org/officeDocument/2006/relationships/hyperlink" Target="https://pbs.twimg.com/media/EGaowcbWwAERJRF.jpg" TargetMode="External"/><Relationship Id="rId2596" Type="http://schemas.openxmlformats.org/officeDocument/2006/relationships/hyperlink" Target="https://pbs.twimg.com/media/EGbpyYcW4AAseur.jpg" TargetMode="External"/><Relationship Id="rId3647" Type="http://schemas.openxmlformats.org/officeDocument/2006/relationships/hyperlink" Target="https://pbs.twimg.com/media/EGbWx54XkAAQGE3.jpg" TargetMode="External"/><Relationship Id="rId3854" Type="http://schemas.openxmlformats.org/officeDocument/2006/relationships/hyperlink" Target="https://pbs.twimg.com/media/EGbT7QdWwAEKGHy.jpg" TargetMode="External"/><Relationship Id="rId568" Type="http://schemas.openxmlformats.org/officeDocument/2006/relationships/hyperlink" Target="http://pic.twitter.com/wCfRMkpcEb" TargetMode="External"/><Relationship Id="rId775" Type="http://schemas.openxmlformats.org/officeDocument/2006/relationships/hyperlink" Target="http://pic.twitter.com/S4nFBEIT8l" TargetMode="External"/><Relationship Id="rId982" Type="http://schemas.openxmlformats.org/officeDocument/2006/relationships/hyperlink" Target="https://pbs.twimg.com/media/EGcQ7TlX0AEZ-Ua.jpg" TargetMode="External"/><Relationship Id="rId1198" Type="http://schemas.openxmlformats.org/officeDocument/2006/relationships/hyperlink" Target="https://pbs.twimg.com/media/EGcPEi9XoAAjpP0.jpg" TargetMode="External"/><Relationship Id="rId2249" Type="http://schemas.openxmlformats.org/officeDocument/2006/relationships/hyperlink" Target="http://urfadanhaber.com/" TargetMode="External"/><Relationship Id="rId2456" Type="http://schemas.openxmlformats.org/officeDocument/2006/relationships/hyperlink" Target="http://internetsitesi.ist.net.com.tr/" TargetMode="External"/><Relationship Id="rId2663" Type="http://schemas.openxmlformats.org/officeDocument/2006/relationships/hyperlink" Target="https://pbs.twimg.com/media/EGboFnYXkAIbFFg.jpg" TargetMode="External"/><Relationship Id="rId2870" Type="http://schemas.openxmlformats.org/officeDocument/2006/relationships/hyperlink" Target="https://instagram.com/reistalha75?igshid=egdh0dxqbxow" TargetMode="External"/><Relationship Id="rId3507" Type="http://schemas.openxmlformats.org/officeDocument/2006/relationships/hyperlink" Target="http://pic.twitter.com/H9GMyM9VC3" TargetMode="External"/><Relationship Id="rId3714" Type="http://schemas.openxmlformats.org/officeDocument/2006/relationships/hyperlink" Target="https://pbs.twimg.com/media/EGbVuWaWsAAdpKE.jpg" TargetMode="External"/><Relationship Id="rId3921" Type="http://schemas.openxmlformats.org/officeDocument/2006/relationships/hyperlink" Target="http://is.gd/qPVvUP" TargetMode="External"/><Relationship Id="rId428" Type="http://schemas.openxmlformats.org/officeDocument/2006/relationships/hyperlink" Target="https://www.youtube.com/watch?v=qib7qcInOZQ" TargetMode="External"/><Relationship Id="rId635" Type="http://schemas.openxmlformats.org/officeDocument/2006/relationships/hyperlink" Target="https://pbs.twimg.com/media/EGcTU14W4AIyW-y.jpg" TargetMode="External"/><Relationship Id="rId842" Type="http://schemas.openxmlformats.org/officeDocument/2006/relationships/hyperlink" Target="https://pbs.twimg.com/media/EGcR9UyWoAAB4m4.jpg" TargetMode="External"/><Relationship Id="rId1058" Type="http://schemas.openxmlformats.org/officeDocument/2006/relationships/hyperlink" Target="https://pbs.twimg.com/media/EGcQV1JWkAEXmNx.jpg" TargetMode="External"/><Relationship Id="rId1265" Type="http://schemas.openxmlformats.org/officeDocument/2006/relationships/hyperlink" Target="https://pbs.twimg.com/media/EGcOZK7X0AAC12o.jpg" TargetMode="External"/><Relationship Id="rId1472" Type="http://schemas.openxmlformats.org/officeDocument/2006/relationships/hyperlink" Target="http://instagram.com/umuravar" TargetMode="External"/><Relationship Id="rId2109" Type="http://schemas.openxmlformats.org/officeDocument/2006/relationships/hyperlink" Target="https://pbs.twimg.com/media/EGb2RvcXkAItUT1.jpg" TargetMode="External"/><Relationship Id="rId2316" Type="http://schemas.openxmlformats.org/officeDocument/2006/relationships/hyperlink" Target="https://pbs.twimg.com/media/EGbwqZ-WkAASgG0.jpg" TargetMode="External"/><Relationship Id="rId2523" Type="http://schemas.openxmlformats.org/officeDocument/2006/relationships/hyperlink" Target="https://pbs.twimg.com/media/EGbrgXYWwAIQhuf.jpg" TargetMode="External"/><Relationship Id="rId2730" Type="http://schemas.openxmlformats.org/officeDocument/2006/relationships/hyperlink" Target="http://pic.twitter.com/h5A6G6WnF4" TargetMode="External"/><Relationship Id="rId702" Type="http://schemas.openxmlformats.org/officeDocument/2006/relationships/hyperlink" Target="https://pbs.twimg.com/media/EGcS68YXYAItNSz.jpg" TargetMode="External"/><Relationship Id="rId1125" Type="http://schemas.openxmlformats.org/officeDocument/2006/relationships/hyperlink" Target="http://pic.twitter.com/AIC6AQXfmv" TargetMode="External"/><Relationship Id="rId1332" Type="http://schemas.openxmlformats.org/officeDocument/2006/relationships/hyperlink" Target="https://twitter.com/yeniden_bas_la/status/1181927258732339200" TargetMode="External"/><Relationship Id="rId4488" Type="http://schemas.openxmlformats.org/officeDocument/2006/relationships/hyperlink" Target="http://www.seyahatgezi.com/" TargetMode="External"/><Relationship Id="rId3297" Type="http://schemas.openxmlformats.org/officeDocument/2006/relationships/hyperlink" Target="https://pbs.twimg.com/media/EGbcR3PWwAYWrA8.jpg" TargetMode="External"/><Relationship Id="rId4348" Type="http://schemas.openxmlformats.org/officeDocument/2006/relationships/hyperlink" Target="https://pbs.twimg.com/media/EGbNvk4WwAEhgXv.jpg" TargetMode="External"/><Relationship Id="rId3157" Type="http://schemas.openxmlformats.org/officeDocument/2006/relationships/hyperlink" Target="http://pic.twitter.com/iyD9AR9bCZ" TargetMode="External"/><Relationship Id="rId285" Type="http://schemas.openxmlformats.org/officeDocument/2006/relationships/hyperlink" Target="http://instagram.com/miskeceli1" TargetMode="External"/><Relationship Id="rId3364" Type="http://schemas.openxmlformats.org/officeDocument/2006/relationships/hyperlink" Target="https://pbs.twimg.com/media/EGbbE0DXkAAM9s1.jpg" TargetMode="External"/><Relationship Id="rId3571" Type="http://schemas.openxmlformats.org/officeDocument/2006/relationships/hyperlink" Target="https://pbs.twimg.com/media/EGbN37eXYAAmQzk.jpg" TargetMode="External"/><Relationship Id="rId4208" Type="http://schemas.openxmlformats.org/officeDocument/2006/relationships/hyperlink" Target="https://pbs.twimg.com/media/EGbIejVWsAAfECb.jpg" TargetMode="External"/><Relationship Id="rId4415" Type="http://schemas.openxmlformats.org/officeDocument/2006/relationships/hyperlink" Target="http://pic.twitter.com/1mFX4hv77T" TargetMode="External"/><Relationship Id="rId492" Type="http://schemas.openxmlformats.org/officeDocument/2006/relationships/hyperlink" Target="https://open.spotify.com/user/11142184149?si=GRvGv2xfQPi8q6PASAwBUQ" TargetMode="External"/><Relationship Id="rId2173" Type="http://schemas.openxmlformats.org/officeDocument/2006/relationships/hyperlink" Target="https://twitter.com/bisimit/status/1181283262897033216" TargetMode="External"/><Relationship Id="rId2380" Type="http://schemas.openxmlformats.org/officeDocument/2006/relationships/hyperlink" Target="https://twitter.com/saidercan/status/1181850282789081091" TargetMode="External"/><Relationship Id="rId3017" Type="http://schemas.openxmlformats.org/officeDocument/2006/relationships/hyperlink" Target="http://pic.twitter.com/fT1gfdcqmV" TargetMode="External"/><Relationship Id="rId3224" Type="http://schemas.openxmlformats.org/officeDocument/2006/relationships/hyperlink" Target="https://pbs.twimg.com/media/EGbdfgbXoAAcZ0p.jpg" TargetMode="External"/><Relationship Id="rId3431" Type="http://schemas.openxmlformats.org/officeDocument/2006/relationships/hyperlink" Target="https://pbs.twimg.com/media/EGbaDEyXUAAekgT.jpg" TargetMode="External"/><Relationship Id="rId145" Type="http://schemas.openxmlformats.org/officeDocument/2006/relationships/hyperlink" Target="https://twitter.com/dalierzincanli/status/1181877982132129792" TargetMode="External"/><Relationship Id="rId352" Type="http://schemas.openxmlformats.org/officeDocument/2006/relationships/hyperlink" Target="https://pbs.twimg.com/media/EGcVz0BWwAEdGQN.jpg" TargetMode="External"/><Relationship Id="rId2033" Type="http://schemas.openxmlformats.org/officeDocument/2006/relationships/hyperlink" Target="https://www.instagram.com/laciseytan/" TargetMode="External"/><Relationship Id="rId2240" Type="http://schemas.openxmlformats.org/officeDocument/2006/relationships/hyperlink" Target="https://pbs.twimg.com/media/EGbzB3aW4AIpUc2.jpg" TargetMode="External"/><Relationship Id="rId212" Type="http://schemas.openxmlformats.org/officeDocument/2006/relationships/hyperlink" Target="https://pbs.twimg.com/media/EGcXFmjWoAE2H0b.jpg" TargetMode="External"/><Relationship Id="rId1799" Type="http://schemas.openxmlformats.org/officeDocument/2006/relationships/hyperlink" Target="https://youtu.be/I513l7Pzu0M" TargetMode="External"/><Relationship Id="rId2100" Type="http://schemas.openxmlformats.org/officeDocument/2006/relationships/hyperlink" Target="http://pic.twitter.com/eTa3X0Hji8" TargetMode="External"/><Relationship Id="rId4065" Type="http://schemas.openxmlformats.org/officeDocument/2006/relationships/hyperlink" Target="https://pbs.twimg.com/media/EGbRLPsWoAALVks.jpg" TargetMode="External"/><Relationship Id="rId4272" Type="http://schemas.openxmlformats.org/officeDocument/2006/relationships/hyperlink" Target="https://pbs.twimg.com/media/EGbOjbnWoAENn5V.jpg" TargetMode="External"/><Relationship Id="rId1659" Type="http://schemas.openxmlformats.org/officeDocument/2006/relationships/hyperlink" Target="https://pbs.twimg.com/media/EGcL7sEWsAAaM2P.jpg" TargetMode="External"/><Relationship Id="rId1866" Type="http://schemas.openxmlformats.org/officeDocument/2006/relationships/hyperlink" Target="http://instagram.com/kocadestan/" TargetMode="External"/><Relationship Id="rId2917" Type="http://schemas.openxmlformats.org/officeDocument/2006/relationships/hyperlink" Target="http://instagram.com/seldasoyer_" TargetMode="External"/><Relationship Id="rId3081" Type="http://schemas.openxmlformats.org/officeDocument/2006/relationships/hyperlink" Target="https://twitter.com/TTAgrup/status/1181829264490029056" TargetMode="External"/><Relationship Id="rId4132" Type="http://schemas.openxmlformats.org/officeDocument/2006/relationships/hyperlink" Target="https://pbs.twimg.com/media/EGa2FqVWwAE3T8w.jpg" TargetMode="External"/><Relationship Id="rId1519" Type="http://schemas.openxmlformats.org/officeDocument/2006/relationships/hyperlink" Target="http://www.makemeaware.com/" TargetMode="External"/><Relationship Id="rId1726" Type="http://schemas.openxmlformats.org/officeDocument/2006/relationships/hyperlink" Target="https://pbs.twimg.com/media/EGcLoWSX0AIOjAL.jpg" TargetMode="External"/><Relationship Id="rId1933" Type="http://schemas.openxmlformats.org/officeDocument/2006/relationships/hyperlink" Target="https://ift.tt/2AHa0al" TargetMode="External"/><Relationship Id="rId18" Type="http://schemas.openxmlformats.org/officeDocument/2006/relationships/hyperlink" Target="https://pbs.twimg.com/media/EGca_bMX0AITbBr.jpg" TargetMode="External"/><Relationship Id="rId3898" Type="http://schemas.openxmlformats.org/officeDocument/2006/relationships/hyperlink" Target="https://pbs.twimg.com/media/EGa0LsjW4AMa0UL.jpg" TargetMode="External"/><Relationship Id="rId3758" Type="http://schemas.openxmlformats.org/officeDocument/2006/relationships/hyperlink" Target="https://pbs.twimg.com/media/EGbVOr9WoAAlB_J.jpg" TargetMode="External"/><Relationship Id="rId3965" Type="http://schemas.openxmlformats.org/officeDocument/2006/relationships/hyperlink" Target="https://pbs.twimg.com/media/EGbSiO1WoAA_4wa.jpg" TargetMode="External"/><Relationship Id="rId679" Type="http://schemas.openxmlformats.org/officeDocument/2006/relationships/hyperlink" Target="http://pic.twitter.com/Wwfc9QhwhH" TargetMode="External"/><Relationship Id="rId886" Type="http://schemas.openxmlformats.org/officeDocument/2006/relationships/hyperlink" Target="https://pbs.twimg.com/media/EGcRrvSXYAAFg0a.jpg" TargetMode="External"/><Relationship Id="rId2567" Type="http://schemas.openxmlformats.org/officeDocument/2006/relationships/hyperlink" Target="https://pbs.twimg.com/media/EGbqTOoWoAA84GP.png" TargetMode="External"/><Relationship Id="rId2774" Type="http://schemas.openxmlformats.org/officeDocument/2006/relationships/hyperlink" Target="https://pbs.twimg.com/media/EGblTPZXkAA-UHQ.jpg" TargetMode="External"/><Relationship Id="rId3618" Type="http://schemas.openxmlformats.org/officeDocument/2006/relationships/hyperlink" Target="https://www.instagram.com/tekisilikmecnun/" TargetMode="External"/><Relationship Id="rId2" Type="http://schemas.openxmlformats.org/officeDocument/2006/relationships/hyperlink" Target="http://pic.twitter.com/Fiap9muNyn" TargetMode="External"/><Relationship Id="rId539" Type="http://schemas.openxmlformats.org/officeDocument/2006/relationships/hyperlink" Target="https://pbs.twimg.com/media/EGcUKRnXYAABPxu.jpg" TargetMode="External"/><Relationship Id="rId746" Type="http://schemas.openxmlformats.org/officeDocument/2006/relationships/hyperlink" Target="https://pbs.twimg.com/media/EGcSkGqWkAER6P6.jpg" TargetMode="External"/><Relationship Id="rId1169" Type="http://schemas.openxmlformats.org/officeDocument/2006/relationships/hyperlink" Target="https://www.linkedin.com/in/mehmetkrts25" TargetMode="External"/><Relationship Id="rId1376" Type="http://schemas.openxmlformats.org/officeDocument/2006/relationships/hyperlink" Target="http://instagram.com/oktaycolakoglu_" TargetMode="External"/><Relationship Id="rId1583" Type="http://schemas.openxmlformats.org/officeDocument/2006/relationships/hyperlink" Target="https://www.wmal.net/magazin/sen-anlat-karadeniz-de-bu-aksam-firtinalar-kopacak-h17346.html" TargetMode="External"/><Relationship Id="rId2427" Type="http://schemas.openxmlformats.org/officeDocument/2006/relationships/hyperlink" Target="http://pic.twitter.com/kf8vsgSwUw" TargetMode="External"/><Relationship Id="rId2981" Type="http://schemas.openxmlformats.org/officeDocument/2006/relationships/hyperlink" Target="https://twitter.com/tskgnkur/status/1181566115996196865" TargetMode="External"/><Relationship Id="rId3825" Type="http://schemas.openxmlformats.org/officeDocument/2006/relationships/hyperlink" Target="http://huseyinsanverdi.com.tr/" TargetMode="External"/><Relationship Id="rId953" Type="http://schemas.openxmlformats.org/officeDocument/2006/relationships/hyperlink" Target="http://instagram.com/ttugcealbayrak" TargetMode="External"/><Relationship Id="rId1029" Type="http://schemas.openxmlformats.org/officeDocument/2006/relationships/hyperlink" Target="https://pbs.twimg.com/media/EGcQlqOWoAUj40Y.jpg" TargetMode="External"/><Relationship Id="rId1236" Type="http://schemas.openxmlformats.org/officeDocument/2006/relationships/hyperlink" Target="https://pbs.twimg.com/media/EGcOpseXUAElvB2.jpg" TargetMode="External"/><Relationship Id="rId1790" Type="http://schemas.openxmlformats.org/officeDocument/2006/relationships/hyperlink" Target="https://pbs.twimg.com/media/EGb-TTEWkAAUZmU.jpg" TargetMode="External"/><Relationship Id="rId2634" Type="http://schemas.openxmlformats.org/officeDocument/2006/relationships/hyperlink" Target="https://pbs.twimg.com/media/EGbo36fWoAAaGZF.jpg" TargetMode="External"/><Relationship Id="rId2841" Type="http://schemas.openxmlformats.org/officeDocument/2006/relationships/hyperlink" Target="https://pbs.twimg.com/media/EGbj_8gXoAAWa6q.jpg" TargetMode="External"/><Relationship Id="rId82" Type="http://schemas.openxmlformats.org/officeDocument/2006/relationships/hyperlink" Target="http://pic.twitter.com/RB28xT7XGT" TargetMode="External"/><Relationship Id="rId606" Type="http://schemas.openxmlformats.org/officeDocument/2006/relationships/hyperlink" Target="https://twitter.com/Besiktas/status/1181933510195630081" TargetMode="External"/><Relationship Id="rId813" Type="http://schemas.openxmlformats.org/officeDocument/2006/relationships/hyperlink" Target="https://youtu.be/CEuTNForbF4" TargetMode="External"/><Relationship Id="rId1443" Type="http://schemas.openxmlformats.org/officeDocument/2006/relationships/hyperlink" Target="https://pbs.twimg.com/media/EGcNAqaXYAE2sjP.jpg" TargetMode="External"/><Relationship Id="rId1650" Type="http://schemas.openxmlformats.org/officeDocument/2006/relationships/hyperlink" Target="https://pbs.twimg.com/media/EGcL9S7W4AE7xmv.jpg" TargetMode="External"/><Relationship Id="rId2701" Type="http://schemas.openxmlformats.org/officeDocument/2006/relationships/hyperlink" Target="https://pbs.twimg.com/media/EGbnUslW4AA9N5r.jpg" TargetMode="External"/><Relationship Id="rId1303" Type="http://schemas.openxmlformats.org/officeDocument/2006/relationships/hyperlink" Target="https://pbs.twimg.com/media/EGcOEWSWwAEhkXy.jpg" TargetMode="External"/><Relationship Id="rId1510" Type="http://schemas.openxmlformats.org/officeDocument/2006/relationships/hyperlink" Target="http://instagram.com/av.ismaildamat" TargetMode="External"/><Relationship Id="rId4459" Type="http://schemas.openxmlformats.org/officeDocument/2006/relationships/hyperlink" Target="https://pbs.twimg.com/media/EGbMZOaX0AAwx1g.jpg" TargetMode="External"/><Relationship Id="rId3268" Type="http://schemas.openxmlformats.org/officeDocument/2006/relationships/hyperlink" Target="https://pbs.twimg.com/media/EGbcw7OWsAArYhL.jpg" TargetMode="External"/><Relationship Id="rId3475" Type="http://schemas.openxmlformats.org/officeDocument/2006/relationships/hyperlink" Target="https://pbs.twimg.com/media/EGbZgZmXkAIbq9O.jpg" TargetMode="External"/><Relationship Id="rId3682" Type="http://schemas.openxmlformats.org/officeDocument/2006/relationships/hyperlink" Target="https://pbs.twimg.com/media/EGbWG_FWkAAkK4j.jpg" TargetMode="External"/><Relationship Id="rId4319" Type="http://schemas.openxmlformats.org/officeDocument/2006/relationships/hyperlink" Target="https://pbs.twimg.com/media/EGbOFPwWkAAS5vJ.jpg" TargetMode="External"/><Relationship Id="rId4526" Type="http://schemas.openxmlformats.org/officeDocument/2006/relationships/table" Target="../tables/table1.xml"/><Relationship Id="rId189" Type="http://schemas.openxmlformats.org/officeDocument/2006/relationships/hyperlink" Target="https://twitter.com/bureauofeconomy/status/1181923532336447489" TargetMode="External"/><Relationship Id="rId396" Type="http://schemas.openxmlformats.org/officeDocument/2006/relationships/hyperlink" Target="https://twitter.com/HDPgenelmerkezi/status/1181936116229902336" TargetMode="External"/><Relationship Id="rId2077" Type="http://schemas.openxmlformats.org/officeDocument/2006/relationships/hyperlink" Target="https://ift.tt/2ASHYJ0" TargetMode="External"/><Relationship Id="rId2284" Type="http://schemas.openxmlformats.org/officeDocument/2006/relationships/hyperlink" Target="http://www.nezihoktar.net/" TargetMode="External"/><Relationship Id="rId2491" Type="http://schemas.openxmlformats.org/officeDocument/2006/relationships/hyperlink" Target="https://pbs.twimg.com/media/EGbsZmeXkAAEJtC.jpg" TargetMode="External"/><Relationship Id="rId3128" Type="http://schemas.openxmlformats.org/officeDocument/2006/relationships/hyperlink" Target="https://pbs.twimg.com/media/EGbfFFzWsAAkr9p.jpg" TargetMode="External"/><Relationship Id="rId3335" Type="http://schemas.openxmlformats.org/officeDocument/2006/relationships/hyperlink" Target="https://pbs.twimg.com/media/EGbbkFLX0AEdncB.jpg" TargetMode="External"/><Relationship Id="rId3542" Type="http://schemas.openxmlformats.org/officeDocument/2006/relationships/hyperlink" Target="https://pbs.twimg.com/media/D2YF0NLWoAArbB1.jpg" TargetMode="External"/><Relationship Id="rId256" Type="http://schemas.openxmlformats.org/officeDocument/2006/relationships/hyperlink" Target="http://www.pruvadis.com/" TargetMode="External"/><Relationship Id="rId463" Type="http://schemas.openxmlformats.org/officeDocument/2006/relationships/hyperlink" Target="http://pic.twitter.com/ek9GOSBk4T" TargetMode="External"/><Relationship Id="rId670" Type="http://schemas.openxmlformats.org/officeDocument/2006/relationships/hyperlink" Target="http://elektrohobim.com/" TargetMode="External"/><Relationship Id="rId1093" Type="http://schemas.openxmlformats.org/officeDocument/2006/relationships/hyperlink" Target="https://www.mehmetcik.org.tr/bagis" TargetMode="External"/><Relationship Id="rId2144" Type="http://schemas.openxmlformats.org/officeDocument/2006/relationships/hyperlink" Target="https://pbs.twimg.com/media/D8hqf_yWwAADKZC.jpg" TargetMode="External"/><Relationship Id="rId2351" Type="http://schemas.openxmlformats.org/officeDocument/2006/relationships/hyperlink" Target="https://pbs.twimg.com/media/EGbvqg0W4AA0Q_9.jpg" TargetMode="External"/><Relationship Id="rId3402" Type="http://schemas.openxmlformats.org/officeDocument/2006/relationships/hyperlink" Target="https://pbs.twimg.com/media/EGbaepiWkAAI4OQ.jpg" TargetMode="External"/><Relationship Id="rId116" Type="http://schemas.openxmlformats.org/officeDocument/2006/relationships/hyperlink" Target="https://pbs.twimg.com/media/EGcYodVXYAAo0hY.jpg" TargetMode="External"/><Relationship Id="rId323" Type="http://schemas.openxmlformats.org/officeDocument/2006/relationships/hyperlink" Target="http://instagram.com/petrodom/" TargetMode="External"/><Relationship Id="rId530" Type="http://schemas.openxmlformats.org/officeDocument/2006/relationships/hyperlink" Target="https://pbs.twimg.com/media/EGcUOnCWkAEUo1Q.jpg" TargetMode="External"/><Relationship Id="rId1160" Type="http://schemas.openxmlformats.org/officeDocument/2006/relationships/hyperlink" Target="https://pbs.twimg.com/media/EGcPXhtXkAANQ2l.jpg" TargetMode="External"/><Relationship Id="rId2004" Type="http://schemas.openxmlformats.org/officeDocument/2006/relationships/hyperlink" Target="https://pbs.twimg.com/media/EGb4qXUXYAE5R5e.jpg" TargetMode="External"/><Relationship Id="rId2211" Type="http://schemas.openxmlformats.org/officeDocument/2006/relationships/hyperlink" Target="http://pic.twitter.com/R5hrFWnvV5" TargetMode="External"/><Relationship Id="rId4176" Type="http://schemas.openxmlformats.org/officeDocument/2006/relationships/hyperlink" Target="http://pic.twitter.com/22RvBK9X4s" TargetMode="External"/><Relationship Id="rId1020" Type="http://schemas.openxmlformats.org/officeDocument/2006/relationships/hyperlink" Target="https://pbs.twimg.com/media/EGcQqUeX0AAvo44.jpg" TargetMode="External"/><Relationship Id="rId1977" Type="http://schemas.openxmlformats.org/officeDocument/2006/relationships/hyperlink" Target="https://twitter.com/diyap_aga/status/1181866964676939776" TargetMode="External"/><Relationship Id="rId4383" Type="http://schemas.openxmlformats.org/officeDocument/2006/relationships/hyperlink" Target="https://pbs.twimg.com/media/EGbNc-ZXoAAVAGR.jpg" TargetMode="External"/><Relationship Id="rId1837" Type="http://schemas.openxmlformats.org/officeDocument/2006/relationships/hyperlink" Target="http://hazarkarakoy.com/" TargetMode="External"/><Relationship Id="rId3192" Type="http://schemas.openxmlformats.org/officeDocument/2006/relationships/hyperlink" Target="https://pbs.twimg.com/media/EGbeKHOXoAADA0n.jpg" TargetMode="External"/><Relationship Id="rId4036" Type="http://schemas.openxmlformats.org/officeDocument/2006/relationships/hyperlink" Target="https://pbs.twimg.com/media/EGbRk3rWwAABe8P.jpg" TargetMode="External"/><Relationship Id="rId4243" Type="http://schemas.openxmlformats.org/officeDocument/2006/relationships/hyperlink" Target="https://pbs.twimg.com/media/EGbO-w6WsAAX2Xw.jpg" TargetMode="External"/><Relationship Id="rId4450" Type="http://schemas.openxmlformats.org/officeDocument/2006/relationships/hyperlink" Target="https://www.diplomatikstrateji.com/baris-pinari-harekati-son-durum-raporu/" TargetMode="External"/><Relationship Id="rId3052" Type="http://schemas.openxmlformats.org/officeDocument/2006/relationships/hyperlink" Target="http://facebook.com/TugayOzayAsan" TargetMode="External"/><Relationship Id="rId4103" Type="http://schemas.openxmlformats.org/officeDocument/2006/relationships/hyperlink" Target="https://pbs.twimg.com/media/EGbQbOFXUAEdEf0.jpg" TargetMode="External"/><Relationship Id="rId4310" Type="http://schemas.openxmlformats.org/officeDocument/2006/relationships/hyperlink" Target="https://pbs.twimg.com/media/EGbOJW_W4AAr_gv.jpg" TargetMode="External"/><Relationship Id="rId180" Type="http://schemas.openxmlformats.org/officeDocument/2006/relationships/hyperlink" Target="https://www.instagram.com/p/B3Zpk_ZF34y/?igshid=ete5hhs7ff2y" TargetMode="External"/><Relationship Id="rId1904" Type="http://schemas.openxmlformats.org/officeDocument/2006/relationships/hyperlink" Target="https://pbs.twimg.com/media/EGb7QqnWsAET2_y.jpg" TargetMode="External"/><Relationship Id="rId3869" Type="http://schemas.openxmlformats.org/officeDocument/2006/relationships/hyperlink" Target="https://tekke.online/" TargetMode="External"/><Relationship Id="rId997" Type="http://schemas.openxmlformats.org/officeDocument/2006/relationships/hyperlink" Target="https://pbs.twimg.com/media/EGcQ0FDX0AAZq6k.jpg" TargetMode="External"/><Relationship Id="rId2678" Type="http://schemas.openxmlformats.org/officeDocument/2006/relationships/hyperlink" Target="https://pbs.twimg.com/media/EGbn6fkWsAA6QsI.jpg" TargetMode="External"/><Relationship Id="rId2885" Type="http://schemas.openxmlformats.org/officeDocument/2006/relationships/hyperlink" Target="http://pic.twitter.com/3Gx2C5j4D6" TargetMode="External"/><Relationship Id="rId3729" Type="http://schemas.openxmlformats.org/officeDocument/2006/relationships/hyperlink" Target="https://pbs.twimg.com/media/EGbVjq0W4AAePM1.jpg" TargetMode="External"/><Relationship Id="rId3936" Type="http://schemas.openxmlformats.org/officeDocument/2006/relationships/hyperlink" Target="http://www.instagram.com/seyyidiparlak" TargetMode="External"/><Relationship Id="rId857" Type="http://schemas.openxmlformats.org/officeDocument/2006/relationships/hyperlink" Target="https://pbs.twimg.com/media/EGcR5WuX0AIsjIP.jpg" TargetMode="External"/><Relationship Id="rId1487" Type="http://schemas.openxmlformats.org/officeDocument/2006/relationships/hyperlink" Target="http://www.sinanogan.com/" TargetMode="External"/><Relationship Id="rId1694" Type="http://schemas.openxmlformats.org/officeDocument/2006/relationships/hyperlink" Target="http://www.kotyorafk.com/" TargetMode="External"/><Relationship Id="rId2538" Type="http://schemas.openxmlformats.org/officeDocument/2006/relationships/hyperlink" Target="http://habersehitgazi.com/" TargetMode="External"/><Relationship Id="rId2745" Type="http://schemas.openxmlformats.org/officeDocument/2006/relationships/hyperlink" Target="https://pbs.twimg.com/media/EGbmLICX0AEP_--.jpg" TargetMode="External"/><Relationship Id="rId2952" Type="http://schemas.openxmlformats.org/officeDocument/2006/relationships/hyperlink" Target="http://instagram.com/hakanock/" TargetMode="External"/><Relationship Id="rId717" Type="http://schemas.openxmlformats.org/officeDocument/2006/relationships/hyperlink" Target="http://pic.twitter.com/BsAC8w33PA" TargetMode="External"/><Relationship Id="rId924" Type="http://schemas.openxmlformats.org/officeDocument/2006/relationships/hyperlink" Target="https://pbs.twimg.com/media/EGcRYCNXUAEjM8p.jpg" TargetMode="External"/><Relationship Id="rId1347" Type="http://schemas.openxmlformats.org/officeDocument/2006/relationships/hyperlink" Target="https://pbs.twimg.com/media/EGcNuvEXkAEQ4du.jpg" TargetMode="External"/><Relationship Id="rId1554" Type="http://schemas.openxmlformats.org/officeDocument/2006/relationships/hyperlink" Target="http://milat.com.tr/" TargetMode="External"/><Relationship Id="rId1761" Type="http://schemas.openxmlformats.org/officeDocument/2006/relationships/hyperlink" Target="https://pbs.twimg.com/media/EGb_FcjXUAEkc50.jpg" TargetMode="External"/><Relationship Id="rId2605" Type="http://schemas.openxmlformats.org/officeDocument/2006/relationships/hyperlink" Target="https://pbs.twimg.com/media/EGbpjMXWkAAib0Z.jpg" TargetMode="External"/><Relationship Id="rId2812" Type="http://schemas.openxmlformats.org/officeDocument/2006/relationships/hyperlink" Target="https://pbs.twimg.com/media/EGbkh1tXoAAHcJJ.jpg" TargetMode="External"/><Relationship Id="rId53" Type="http://schemas.openxmlformats.org/officeDocument/2006/relationships/hyperlink" Target="http://www.kamubiz.com/profil/3/mehmet-dagli" TargetMode="External"/><Relationship Id="rId1207" Type="http://schemas.openxmlformats.org/officeDocument/2006/relationships/hyperlink" Target="http://pic.twitter.com/2ohnsLSyqo" TargetMode="External"/><Relationship Id="rId1414" Type="http://schemas.openxmlformats.org/officeDocument/2006/relationships/hyperlink" Target="https://curiouscat.me/calicopilots" TargetMode="External"/><Relationship Id="rId1621" Type="http://schemas.openxmlformats.org/officeDocument/2006/relationships/hyperlink" Target="http://instagram.com/berattunali" TargetMode="External"/><Relationship Id="rId3379" Type="http://schemas.openxmlformats.org/officeDocument/2006/relationships/hyperlink" Target="https://twitter.com/tcsavunma/status/1181562362844897280" TargetMode="External"/><Relationship Id="rId3586" Type="http://schemas.openxmlformats.org/officeDocument/2006/relationships/hyperlink" Target="http://www.kahyahusamettin.com/" TargetMode="External"/><Relationship Id="rId3793" Type="http://schemas.openxmlformats.org/officeDocument/2006/relationships/hyperlink" Target="http://instagram.com/maekmekci00" TargetMode="External"/><Relationship Id="rId2188" Type="http://schemas.openxmlformats.org/officeDocument/2006/relationships/hyperlink" Target="https://pbs.twimg.com/media/EGb0LYOWoAAEg-7.jpg" TargetMode="External"/><Relationship Id="rId2395" Type="http://schemas.openxmlformats.org/officeDocument/2006/relationships/hyperlink" Target="https://pbs.twimg.com/media/EGburfFWkAAV01e.jpg" TargetMode="External"/><Relationship Id="rId3239" Type="http://schemas.openxmlformats.org/officeDocument/2006/relationships/hyperlink" Target="https://youtu.be/6DmaWWeGnjU" TargetMode="External"/><Relationship Id="rId3446" Type="http://schemas.openxmlformats.org/officeDocument/2006/relationships/hyperlink" Target="https://pbs.twimg.com/media/EGbZ1wgWkAAAsPd.jpg" TargetMode="External"/><Relationship Id="rId367" Type="http://schemas.openxmlformats.org/officeDocument/2006/relationships/hyperlink" Target="https://pbs.twimg.com/media/EGcVt6DWsAUIYMt.jpg" TargetMode="External"/><Relationship Id="rId574" Type="http://schemas.openxmlformats.org/officeDocument/2006/relationships/hyperlink" Target="https://pbs.twimg.com/media/EGcT1cLXYAAopR7.jpg" TargetMode="External"/><Relationship Id="rId2048" Type="http://schemas.openxmlformats.org/officeDocument/2006/relationships/hyperlink" Target="http://instagram.com/oguzhanaje" TargetMode="External"/><Relationship Id="rId2255" Type="http://schemas.openxmlformats.org/officeDocument/2006/relationships/hyperlink" Target="https://pbs.twimg.com/media/EGbywqsW4AIXLzl.jpg" TargetMode="External"/><Relationship Id="rId3653" Type="http://schemas.openxmlformats.org/officeDocument/2006/relationships/hyperlink" Target="https://twitter.com/slmhktn/status/1181355105037307904" TargetMode="External"/><Relationship Id="rId3860" Type="http://schemas.openxmlformats.org/officeDocument/2006/relationships/hyperlink" Target="http://pic.twitter.com/13XQFrTwce" TargetMode="External"/><Relationship Id="rId227" Type="http://schemas.openxmlformats.org/officeDocument/2006/relationships/hyperlink" Target="https://pbs.twimg.com/media/EGcW_CjWoAAlB0b.jpg" TargetMode="External"/><Relationship Id="rId781" Type="http://schemas.openxmlformats.org/officeDocument/2006/relationships/hyperlink" Target="https://pbs.twimg.com/media/EGcSWKaXYAAYHQq.jpg" TargetMode="External"/><Relationship Id="rId2462" Type="http://schemas.openxmlformats.org/officeDocument/2006/relationships/hyperlink" Target="https://pbs.twimg.com/media/EGbsrtaX0AINOoc.jpg" TargetMode="External"/><Relationship Id="rId3306" Type="http://schemas.openxmlformats.org/officeDocument/2006/relationships/hyperlink" Target="https://pbs.twimg.com/media/EGbcD9-X0AMf6ec.jpg" TargetMode="External"/><Relationship Id="rId3513" Type="http://schemas.openxmlformats.org/officeDocument/2006/relationships/hyperlink" Target="http://www.ankailahigrubu.com/" TargetMode="External"/><Relationship Id="rId3720" Type="http://schemas.openxmlformats.org/officeDocument/2006/relationships/hyperlink" Target="https://pbs.twimg.com/media/EGbVnEcWoAA8QUJ.jpg" TargetMode="External"/><Relationship Id="rId434" Type="http://schemas.openxmlformats.org/officeDocument/2006/relationships/hyperlink" Target="http://pic.twitter.com/kSI8QuMjOy" TargetMode="External"/><Relationship Id="rId641" Type="http://schemas.openxmlformats.org/officeDocument/2006/relationships/hyperlink" Target="https://www.instagram.com/fatihsarhasan/" TargetMode="External"/><Relationship Id="rId1064" Type="http://schemas.openxmlformats.org/officeDocument/2006/relationships/hyperlink" Target="https://pbs.twimg.com/media/EGcQTU3WwAAvcAz.jpg" TargetMode="External"/><Relationship Id="rId1271" Type="http://schemas.openxmlformats.org/officeDocument/2006/relationships/hyperlink" Target="http://www.besfenkoleji.k12.tr/" TargetMode="External"/><Relationship Id="rId2115" Type="http://schemas.openxmlformats.org/officeDocument/2006/relationships/hyperlink" Target="http://www.instagram.com/emrecantopuz/" TargetMode="External"/><Relationship Id="rId2322" Type="http://schemas.openxmlformats.org/officeDocument/2006/relationships/hyperlink" Target="http://pic.twitter.com/6UhFCfr8eg" TargetMode="External"/><Relationship Id="rId501" Type="http://schemas.openxmlformats.org/officeDocument/2006/relationships/hyperlink" Target="http://instagram.com/ulkuygz" TargetMode="External"/><Relationship Id="rId1131" Type="http://schemas.openxmlformats.org/officeDocument/2006/relationships/hyperlink" Target="https://pbs.twimg.com/media/EGcPuYqXkAAtIWF.jpg" TargetMode="External"/><Relationship Id="rId4287" Type="http://schemas.openxmlformats.org/officeDocument/2006/relationships/hyperlink" Target="https://pbs.twimg.com/media/EGbMNNEXUAAqye8.jpg" TargetMode="External"/><Relationship Id="rId4494" Type="http://schemas.openxmlformats.org/officeDocument/2006/relationships/hyperlink" Target="http://anitsayac.com/" TargetMode="External"/><Relationship Id="rId3096" Type="http://schemas.openxmlformats.org/officeDocument/2006/relationships/hyperlink" Target="http://pic.twitter.com/oPnoklBQoB" TargetMode="External"/><Relationship Id="rId4147" Type="http://schemas.openxmlformats.org/officeDocument/2006/relationships/hyperlink" Target="http://instagram.com/burakkaracasulu" TargetMode="External"/><Relationship Id="rId4354" Type="http://schemas.openxmlformats.org/officeDocument/2006/relationships/hyperlink" Target="https://twitter.com/YolumuzVatan/status/1181852198638166016" TargetMode="External"/><Relationship Id="rId1948" Type="http://schemas.openxmlformats.org/officeDocument/2006/relationships/hyperlink" Target="http://pic.twitter.com/yifDU3ecph" TargetMode="External"/><Relationship Id="rId3163" Type="http://schemas.openxmlformats.org/officeDocument/2006/relationships/hyperlink" Target="http://www.youtube.com/user/yolmedya" TargetMode="External"/><Relationship Id="rId3370" Type="http://schemas.openxmlformats.org/officeDocument/2006/relationships/hyperlink" Target="https://pbs.twimg.com/media/EGLzj5NXoAU7YGm.jpg" TargetMode="External"/><Relationship Id="rId4007" Type="http://schemas.openxmlformats.org/officeDocument/2006/relationships/hyperlink" Target="https://twitter.com/nogods0nlyallah/status/1181827297336320000" TargetMode="External"/><Relationship Id="rId4214" Type="http://schemas.openxmlformats.org/officeDocument/2006/relationships/hyperlink" Target="http://instagram.com/burakkazaanc" TargetMode="External"/><Relationship Id="rId4421" Type="http://schemas.openxmlformats.org/officeDocument/2006/relationships/hyperlink" Target="http://www.akpartisanliurfa.org.tr/" TargetMode="External"/><Relationship Id="rId291" Type="http://schemas.openxmlformats.org/officeDocument/2006/relationships/hyperlink" Target="https://pbs.twimg.com/media/EGcWZMSXoAUdl-w.jpg" TargetMode="External"/><Relationship Id="rId1808" Type="http://schemas.openxmlformats.org/officeDocument/2006/relationships/hyperlink" Target="http://pic.twitter.com/unCngScLxD" TargetMode="External"/><Relationship Id="rId3023" Type="http://schemas.openxmlformats.org/officeDocument/2006/relationships/hyperlink" Target="http://pic.twitter.com/pYv6s0vhCw" TargetMode="External"/><Relationship Id="rId151" Type="http://schemas.openxmlformats.org/officeDocument/2006/relationships/hyperlink" Target="http://pic.twitter.com/umUY8z2Cyc" TargetMode="External"/><Relationship Id="rId3230" Type="http://schemas.openxmlformats.org/officeDocument/2006/relationships/hyperlink" Target="https://pbs.twimg.com/media/EGbdZWqXYAEI5uF.jpg" TargetMode="External"/><Relationship Id="rId2789" Type="http://schemas.openxmlformats.org/officeDocument/2006/relationships/hyperlink" Target="https://www.instagram.com/sahin.bingol/" TargetMode="External"/><Relationship Id="rId2996" Type="http://schemas.openxmlformats.org/officeDocument/2006/relationships/hyperlink" Target="https://tr.m.0wikipedia.org/wiki/Tengri" TargetMode="External"/><Relationship Id="rId968" Type="http://schemas.openxmlformats.org/officeDocument/2006/relationships/hyperlink" Target="https://twitter.com/1parcatuhaftik/status/1181925093615837184" TargetMode="External"/><Relationship Id="rId1598" Type="http://schemas.openxmlformats.org/officeDocument/2006/relationships/hyperlink" Target="http://instagram.com/calisknmstf" TargetMode="External"/><Relationship Id="rId2649" Type="http://schemas.openxmlformats.org/officeDocument/2006/relationships/hyperlink" Target="https://pbs.twimg.com/media/EGboZ-xXYAIY-lv.jpg" TargetMode="External"/><Relationship Id="rId2856" Type="http://schemas.openxmlformats.org/officeDocument/2006/relationships/hyperlink" Target="https://pbs.twimg.com/media/EGbjm6UX0AEXefd.jpg" TargetMode="External"/><Relationship Id="rId3907" Type="http://schemas.openxmlformats.org/officeDocument/2006/relationships/hyperlink" Target="http://www.instagram.com/emindemirhan61" TargetMode="External"/><Relationship Id="rId97" Type="http://schemas.openxmlformats.org/officeDocument/2006/relationships/hyperlink" Target="http://pic.twitter.com/gT76pxx9s3" TargetMode="External"/><Relationship Id="rId828" Type="http://schemas.openxmlformats.org/officeDocument/2006/relationships/hyperlink" Target="https://pbs.twimg.com/media/EGcSFLMXUAIGQGR.jpg" TargetMode="External"/><Relationship Id="rId1458" Type="http://schemas.openxmlformats.org/officeDocument/2006/relationships/hyperlink" Target="https://pbs.twimg.com/media/EGcM6D0XkAIAI2S.jpg" TargetMode="External"/><Relationship Id="rId1665" Type="http://schemas.openxmlformats.org/officeDocument/2006/relationships/hyperlink" Target="https://pbs.twimg.com/media/EGcL6O5WwAE96-o.jpg" TargetMode="External"/><Relationship Id="rId1872" Type="http://schemas.openxmlformats.org/officeDocument/2006/relationships/hyperlink" Target="https://pbs.twimg.com/media/EGa0LsjW4AMa0UL.jpg" TargetMode="External"/><Relationship Id="rId2509" Type="http://schemas.openxmlformats.org/officeDocument/2006/relationships/hyperlink" Target="https://pbs.twimg.com/media/EGbsDu_XUAA4-En.jpg" TargetMode="External"/><Relationship Id="rId2716" Type="http://schemas.openxmlformats.org/officeDocument/2006/relationships/hyperlink" Target="https://pbs.twimg.com/media/EGbm0IuX0AAOnvE.jpg" TargetMode="External"/><Relationship Id="rId4071" Type="http://schemas.openxmlformats.org/officeDocument/2006/relationships/hyperlink" Target="https://www.facebook.com/ibrahim.arslantas.921" TargetMode="External"/><Relationship Id="rId1318" Type="http://schemas.openxmlformats.org/officeDocument/2006/relationships/hyperlink" Target="https://pbs.twimg.com/media/EGcN_kLXoAAsqe0.jpg" TargetMode="External"/><Relationship Id="rId1525" Type="http://schemas.openxmlformats.org/officeDocument/2006/relationships/hyperlink" Target="http://www.instagram.com/maylmz43" TargetMode="External"/><Relationship Id="rId2923" Type="http://schemas.openxmlformats.org/officeDocument/2006/relationships/hyperlink" Target="http://pic.twitter.com/PUpj4OoCoZ" TargetMode="External"/><Relationship Id="rId1732" Type="http://schemas.openxmlformats.org/officeDocument/2006/relationships/hyperlink" Target="https://www.pakistan.com.pk/" TargetMode="External"/><Relationship Id="rId24" Type="http://schemas.openxmlformats.org/officeDocument/2006/relationships/hyperlink" Target="http://instagram.com/gizlidosya06" TargetMode="External"/><Relationship Id="rId2299" Type="http://schemas.openxmlformats.org/officeDocument/2006/relationships/hyperlink" Target="http://gozehurdacilik.com/" TargetMode="External"/><Relationship Id="rId3697" Type="http://schemas.openxmlformats.org/officeDocument/2006/relationships/hyperlink" Target="https://pbs.twimg.com/media/EGbWA5jWkAAbk0Y.jpg" TargetMode="External"/><Relationship Id="rId3557" Type="http://schemas.openxmlformats.org/officeDocument/2006/relationships/hyperlink" Target="https://pbs.twimg.com/media/EGbYNK3XUAAi4R3.jpg" TargetMode="External"/><Relationship Id="rId3764" Type="http://schemas.openxmlformats.org/officeDocument/2006/relationships/hyperlink" Target="https://pbs.twimg.com/media/EGbVJ5NX0AAcZVH.jpg" TargetMode="External"/><Relationship Id="rId3971" Type="http://schemas.openxmlformats.org/officeDocument/2006/relationships/hyperlink" Target="https://pbs.twimg.com/media/EGbSaryWwAAwNFE.jpg" TargetMode="External"/><Relationship Id="rId478" Type="http://schemas.openxmlformats.org/officeDocument/2006/relationships/hyperlink" Target="http://pic.twitter.com/OoJyLaTVSV" TargetMode="External"/><Relationship Id="rId685" Type="http://schemas.openxmlformats.org/officeDocument/2006/relationships/hyperlink" Target="https://pbs.twimg.com/media/EGcTEhRXoAANPzm.jpg" TargetMode="External"/><Relationship Id="rId892" Type="http://schemas.openxmlformats.org/officeDocument/2006/relationships/hyperlink" Target="http://www.elazigonline.com/" TargetMode="External"/><Relationship Id="rId2159" Type="http://schemas.openxmlformats.org/officeDocument/2006/relationships/hyperlink" Target="https://haberler11.com/palm-akilli-telefon-ozellikleri-ve-fiyati/" TargetMode="External"/><Relationship Id="rId2366" Type="http://schemas.openxmlformats.org/officeDocument/2006/relationships/hyperlink" Target="https://pbs.twimg.com/media/EGbvfiPWwAEmtRk.jpg" TargetMode="External"/><Relationship Id="rId2573" Type="http://schemas.openxmlformats.org/officeDocument/2006/relationships/hyperlink" Target="https://pbs.twimg.com/media/EGbqGkKWkAAcvLU.jpg" TargetMode="External"/><Relationship Id="rId2780" Type="http://schemas.openxmlformats.org/officeDocument/2006/relationships/hyperlink" Target="https://pbs.twimg.com/media/EGblJJVX0AE-z4m.jpg" TargetMode="External"/><Relationship Id="rId3417" Type="http://schemas.openxmlformats.org/officeDocument/2006/relationships/hyperlink" Target="http://www.mehmet.layikel.com/" TargetMode="External"/><Relationship Id="rId3624" Type="http://schemas.openxmlformats.org/officeDocument/2006/relationships/hyperlink" Target="https://www.instagram.com/erenyildiz.z/" TargetMode="External"/><Relationship Id="rId3831" Type="http://schemas.openxmlformats.org/officeDocument/2006/relationships/hyperlink" Target="http://nesliati.com/" TargetMode="External"/><Relationship Id="rId338" Type="http://schemas.openxmlformats.org/officeDocument/2006/relationships/hyperlink" Target="https://pbs.twimg.com/media/EGcV-xSXUAMzuJt.jpg" TargetMode="External"/><Relationship Id="rId545" Type="http://schemas.openxmlformats.org/officeDocument/2006/relationships/hyperlink" Target="https://pbs.twimg.com/media/EGcUDcxWkAECNBa.jpg" TargetMode="External"/><Relationship Id="rId752" Type="http://schemas.openxmlformats.org/officeDocument/2006/relationships/hyperlink" Target="https://pbs.twimg.com/media/EGcShSpWoAItoCy.jpg" TargetMode="External"/><Relationship Id="rId1175" Type="http://schemas.openxmlformats.org/officeDocument/2006/relationships/hyperlink" Target="https://twitter.com/" TargetMode="External"/><Relationship Id="rId1382" Type="http://schemas.openxmlformats.org/officeDocument/2006/relationships/hyperlink" Target="http://instagram.com/yusufdemirss" TargetMode="External"/><Relationship Id="rId2019" Type="http://schemas.openxmlformats.org/officeDocument/2006/relationships/hyperlink" Target="https://www.rasitgokhansucu.com.tr/" TargetMode="External"/><Relationship Id="rId2226" Type="http://schemas.openxmlformats.org/officeDocument/2006/relationships/hyperlink" Target="https://bit.ly/2MoRVDq" TargetMode="External"/><Relationship Id="rId2433" Type="http://schemas.openxmlformats.org/officeDocument/2006/relationships/hyperlink" Target="https://pbs.twimg.com/media/D5jozVlWAAIWXF0.jpg" TargetMode="External"/><Relationship Id="rId2640" Type="http://schemas.openxmlformats.org/officeDocument/2006/relationships/hyperlink" Target="https://www.instagram.com/ahmetcandmrkp" TargetMode="External"/><Relationship Id="rId405" Type="http://schemas.openxmlformats.org/officeDocument/2006/relationships/hyperlink" Target="https://pbs.twimg.com/media/EGcVWqIX0AIa3Pr.jpg" TargetMode="External"/><Relationship Id="rId612" Type="http://schemas.openxmlformats.org/officeDocument/2006/relationships/hyperlink" Target="http://www.7fluidoz.com/" TargetMode="External"/><Relationship Id="rId1035" Type="http://schemas.openxmlformats.org/officeDocument/2006/relationships/hyperlink" Target="https://pbs.twimg.com/media/EGcQiJLXUAAs0vn.jpg" TargetMode="External"/><Relationship Id="rId1242" Type="http://schemas.openxmlformats.org/officeDocument/2006/relationships/hyperlink" Target="https://www.instagram.com/hamzza.ozzel/" TargetMode="External"/><Relationship Id="rId2500" Type="http://schemas.openxmlformats.org/officeDocument/2006/relationships/hyperlink" Target="http://pic.twitter.com/b0a1rDBnvL" TargetMode="External"/><Relationship Id="rId4398" Type="http://schemas.openxmlformats.org/officeDocument/2006/relationships/hyperlink" Target="https://koinmedya.com/2019/10/09/en-buyuk-8-kripto-borsa-cuzdanindaki-bitcoin-miktari-dudak-ucuklatiyor/amp/" TargetMode="External"/><Relationship Id="rId1102" Type="http://schemas.openxmlformats.org/officeDocument/2006/relationships/hyperlink" Target="https://pbs.twimg.com/media/EGcQA5_WoAE7QCk.jpg" TargetMode="External"/><Relationship Id="rId4258" Type="http://schemas.openxmlformats.org/officeDocument/2006/relationships/hyperlink" Target="https://pbs.twimg.com/media/EGbOwMTW4AEzPt7.jpg" TargetMode="External"/><Relationship Id="rId4465" Type="http://schemas.openxmlformats.org/officeDocument/2006/relationships/hyperlink" Target="https://pbs.twimg.com/media/EGbMXDbXUAAY1Oz.jpg" TargetMode="External"/><Relationship Id="rId3067" Type="http://schemas.openxmlformats.org/officeDocument/2006/relationships/hyperlink" Target="https://twitter.com/saidercan/status/1181850282789081091" TargetMode="External"/><Relationship Id="rId3274" Type="http://schemas.openxmlformats.org/officeDocument/2006/relationships/hyperlink" Target="http://instagram.com/oruccoskuner" TargetMode="External"/><Relationship Id="rId4118" Type="http://schemas.openxmlformats.org/officeDocument/2006/relationships/hyperlink" Target="http://instagram.com/_thehtc" TargetMode="External"/><Relationship Id="rId195" Type="http://schemas.openxmlformats.org/officeDocument/2006/relationships/hyperlink" Target="http://fikirkazani.com/author/fadime-cetinkaya/" TargetMode="External"/><Relationship Id="rId1919" Type="http://schemas.openxmlformats.org/officeDocument/2006/relationships/hyperlink" Target="https://pbs.twimg.com/media/EGb66uyWsAI5JvZ.jpg" TargetMode="External"/><Relationship Id="rId3481" Type="http://schemas.openxmlformats.org/officeDocument/2006/relationships/hyperlink" Target="https://pbs.twimg.com/media/D5g2ylZXsAo0Xm1.jpg" TargetMode="External"/><Relationship Id="rId4325" Type="http://schemas.openxmlformats.org/officeDocument/2006/relationships/hyperlink" Target="http://pic.twitter.com/6gm8SCzlTe" TargetMode="External"/><Relationship Id="rId2083" Type="http://schemas.openxmlformats.org/officeDocument/2006/relationships/hyperlink" Target="https://pbs.twimg.com/media/EGb24F4WkAAFWfe.jpg" TargetMode="External"/><Relationship Id="rId2290" Type="http://schemas.openxmlformats.org/officeDocument/2006/relationships/hyperlink" Target="https://www.instagram.com/m_tandogann/" TargetMode="External"/><Relationship Id="rId3134" Type="http://schemas.openxmlformats.org/officeDocument/2006/relationships/hyperlink" Target="https://pbs.twimg.com/media/EGbe-_YXYAE_0qm.jpg" TargetMode="External"/><Relationship Id="rId3341" Type="http://schemas.openxmlformats.org/officeDocument/2006/relationships/hyperlink" Target="https://www.facebook.com/Turk.polisi.155/" TargetMode="External"/><Relationship Id="rId262" Type="http://schemas.openxmlformats.org/officeDocument/2006/relationships/hyperlink" Target="https://pbs.twimg.com/media/EGcWqlRX0AAZpFG.jpg" TargetMode="External"/><Relationship Id="rId2150" Type="http://schemas.openxmlformats.org/officeDocument/2006/relationships/hyperlink" Target="http://www.mahmutgediz.com/" TargetMode="External"/><Relationship Id="rId3201" Type="http://schemas.openxmlformats.org/officeDocument/2006/relationships/hyperlink" Target="http://instagram.com/cengiz_arman_" TargetMode="External"/><Relationship Id="rId122" Type="http://schemas.openxmlformats.org/officeDocument/2006/relationships/hyperlink" Target="https://pbs.twimg.com/media/EGcYd9HWkAAnKie.jpg" TargetMode="External"/><Relationship Id="rId2010" Type="http://schemas.openxmlformats.org/officeDocument/2006/relationships/hyperlink" Target="http://www.instagram.com/selcuk.seralp" TargetMode="External"/><Relationship Id="rId1569" Type="http://schemas.openxmlformats.org/officeDocument/2006/relationships/hyperlink" Target="http://instagram.com/0murkara" TargetMode="External"/><Relationship Id="rId2967" Type="http://schemas.openxmlformats.org/officeDocument/2006/relationships/hyperlink" Target="http://pic.twitter.com/o2KwAn8nSf" TargetMode="External"/><Relationship Id="rId4182" Type="http://schemas.openxmlformats.org/officeDocument/2006/relationships/hyperlink" Target="https://pbs.twimg.com/media/EGbPhBzWoAEzXsp.jpg" TargetMode="External"/><Relationship Id="rId939" Type="http://schemas.openxmlformats.org/officeDocument/2006/relationships/hyperlink" Target="https://www.youtube.com/channel/UCQ24mr_41rVY8AfR3VZxiyw" TargetMode="External"/><Relationship Id="rId1776" Type="http://schemas.openxmlformats.org/officeDocument/2006/relationships/hyperlink" Target="http://instagram.com/islmysf" TargetMode="External"/><Relationship Id="rId1983" Type="http://schemas.openxmlformats.org/officeDocument/2006/relationships/hyperlink" Target="https://pbs.twimg.com/media/EGb5J6ZWkAAPWB3.jpg" TargetMode="External"/><Relationship Id="rId2827" Type="http://schemas.openxmlformats.org/officeDocument/2006/relationships/hyperlink" Target="https://pbs.twimg.com/media/EGbkNVmXoAEvtDz.jpg" TargetMode="External"/><Relationship Id="rId4042" Type="http://schemas.openxmlformats.org/officeDocument/2006/relationships/hyperlink" Target="https://pbs.twimg.com/media/EGbRhUWX0AA6Vtu.jpg" TargetMode="External"/><Relationship Id="rId68" Type="http://schemas.openxmlformats.org/officeDocument/2006/relationships/hyperlink" Target="https://play.google.com/store/apps/details?id=mecekasoft.com.rustale" TargetMode="External"/><Relationship Id="rId1429" Type="http://schemas.openxmlformats.org/officeDocument/2006/relationships/hyperlink" Target="https://pbs.twimg.com/media/EGcNEo6WkAAEr7o.jpg" TargetMode="External"/><Relationship Id="rId1636" Type="http://schemas.openxmlformats.org/officeDocument/2006/relationships/hyperlink" Target="https://pbs.twimg.com/media/EGcMFwbX0AADauf.jpg" TargetMode="External"/><Relationship Id="rId1843" Type="http://schemas.openxmlformats.org/officeDocument/2006/relationships/hyperlink" Target="https://pbs.twimg.com/media/C2sEMG3WIAEzvMt.jpg" TargetMode="External"/><Relationship Id="rId1703" Type="http://schemas.openxmlformats.org/officeDocument/2006/relationships/hyperlink" Target="http://about.me/thierrydebels" TargetMode="External"/><Relationship Id="rId1910" Type="http://schemas.openxmlformats.org/officeDocument/2006/relationships/hyperlink" Target="http://pic.twitter.com/oCCdj7vtwG" TargetMode="External"/><Relationship Id="rId3668" Type="http://schemas.openxmlformats.org/officeDocument/2006/relationships/hyperlink" Target="https://pbs.twimg.com/media/EGbWVngWwAAXkdn.jpg" TargetMode="External"/><Relationship Id="rId3875" Type="http://schemas.openxmlformats.org/officeDocument/2006/relationships/hyperlink" Target="https://pbs.twimg.com/media/EGbFczFXUAEyJCB.jpg" TargetMode="External"/><Relationship Id="rId589" Type="http://schemas.openxmlformats.org/officeDocument/2006/relationships/hyperlink" Target="https://pbs.twimg.com/media/EGcTuqFWoAAeH82.jpg" TargetMode="External"/><Relationship Id="rId796" Type="http://schemas.openxmlformats.org/officeDocument/2006/relationships/hyperlink" Target="http://rhea-silvia.com/" TargetMode="External"/><Relationship Id="rId2477" Type="http://schemas.openxmlformats.org/officeDocument/2006/relationships/hyperlink" Target="http://pic.twitter.com/k3mUNpjQbj" TargetMode="External"/><Relationship Id="rId2684" Type="http://schemas.openxmlformats.org/officeDocument/2006/relationships/hyperlink" Target="https://pbs.twimg.com/media/EGbnlunWwAE2EK7.jpg" TargetMode="External"/><Relationship Id="rId3528" Type="http://schemas.openxmlformats.org/officeDocument/2006/relationships/hyperlink" Target="https://pbs.twimg.com/media/EGbYggUXkAEe87b.jpg" TargetMode="External"/><Relationship Id="rId3735" Type="http://schemas.openxmlformats.org/officeDocument/2006/relationships/hyperlink" Target="http://pic.twitter.com/GXtgmlSyJD" TargetMode="External"/><Relationship Id="rId449" Type="http://schemas.openxmlformats.org/officeDocument/2006/relationships/hyperlink" Target="https://pbs.twimg.com/media/EGcU5NEXkAAjDmC.jpg" TargetMode="External"/><Relationship Id="rId656" Type="http://schemas.openxmlformats.org/officeDocument/2006/relationships/hyperlink" Target="http://instagram.com/ceemdagli/" TargetMode="External"/><Relationship Id="rId863" Type="http://schemas.openxmlformats.org/officeDocument/2006/relationships/hyperlink" Target="http://pic.twitter.com/N6LsEEKAYo" TargetMode="External"/><Relationship Id="rId1079" Type="http://schemas.openxmlformats.org/officeDocument/2006/relationships/hyperlink" Target="https://pbs.twimg.com/media/EGcQNJ0X0AAEvw4.jpg" TargetMode="External"/><Relationship Id="rId1286" Type="http://schemas.openxmlformats.org/officeDocument/2006/relationships/hyperlink" Target="https://savunmasanayist.com/" TargetMode="External"/><Relationship Id="rId1493" Type="http://schemas.openxmlformats.org/officeDocument/2006/relationships/hyperlink" Target="https://pbs.twimg.com/media/EGcMwlFXUAAZNB7.jpg" TargetMode="External"/><Relationship Id="rId2337" Type="http://schemas.openxmlformats.org/officeDocument/2006/relationships/hyperlink" Target="https://www.medyaege.com.tr/kizina-iskence-eden-adam-tutuklandi-124562h.htm" TargetMode="External"/><Relationship Id="rId2544" Type="http://schemas.openxmlformats.org/officeDocument/2006/relationships/hyperlink" Target="https://pbs.twimg.com/media/EGbrHB7W4AEMuSH.jpg" TargetMode="External"/><Relationship Id="rId2891" Type="http://schemas.openxmlformats.org/officeDocument/2006/relationships/hyperlink" Target="http://pic.twitter.com/8c4Xsey6zo" TargetMode="External"/><Relationship Id="rId3942" Type="http://schemas.openxmlformats.org/officeDocument/2006/relationships/hyperlink" Target="https://pbs.twimg.com/media/EGbS47WWkAAYTXx.jpg" TargetMode="External"/><Relationship Id="rId309" Type="http://schemas.openxmlformats.org/officeDocument/2006/relationships/hyperlink" Target="https://pbs.twimg.com/media/EGcWKBlXYAI13xU.jpg" TargetMode="External"/><Relationship Id="rId516" Type="http://schemas.openxmlformats.org/officeDocument/2006/relationships/hyperlink" Target="http://www.etkireklamcilik.com/" TargetMode="External"/><Relationship Id="rId1146" Type="http://schemas.openxmlformats.org/officeDocument/2006/relationships/hyperlink" Target="https://www.instagram.com/dmrtpes/" TargetMode="External"/><Relationship Id="rId2751" Type="http://schemas.openxmlformats.org/officeDocument/2006/relationships/hyperlink" Target="http://instagram.com/tespitolog_" TargetMode="External"/><Relationship Id="rId3802" Type="http://schemas.openxmlformats.org/officeDocument/2006/relationships/hyperlink" Target="https://pbs.twimg.com/media/EGbUmBZXUAAH7Eq.jpg" TargetMode="External"/><Relationship Id="rId723" Type="http://schemas.openxmlformats.org/officeDocument/2006/relationships/hyperlink" Target="https://twitter.com/ForeksTurkey/status/1181889946065481728" TargetMode="External"/><Relationship Id="rId930" Type="http://schemas.openxmlformats.org/officeDocument/2006/relationships/hyperlink" Target="https://pbs.twimg.com/media/EGcRWdVW4AAK2P0.jpg" TargetMode="External"/><Relationship Id="rId1006" Type="http://schemas.openxmlformats.org/officeDocument/2006/relationships/hyperlink" Target="https://instagram.com/veyseltopraakk?igshid=1no4ztijo67z3" TargetMode="External"/><Relationship Id="rId1353" Type="http://schemas.openxmlformats.org/officeDocument/2006/relationships/hyperlink" Target="https://www.youtube.com/watch?v=pNuWTPNdMqs" TargetMode="External"/><Relationship Id="rId1560" Type="http://schemas.openxmlformats.org/officeDocument/2006/relationships/hyperlink" Target="https://pbs.twimg.com/media/EGcMbOZXYAIIYhH.jpg" TargetMode="External"/><Relationship Id="rId2404" Type="http://schemas.openxmlformats.org/officeDocument/2006/relationships/hyperlink" Target="http://pic.twitter.com/78GsP78PwZ" TargetMode="External"/><Relationship Id="rId2611" Type="http://schemas.openxmlformats.org/officeDocument/2006/relationships/hyperlink" Target="https://pbs.twimg.com/media/EGbpfMtX0AAr0VT.png" TargetMode="External"/><Relationship Id="rId1213" Type="http://schemas.openxmlformats.org/officeDocument/2006/relationships/hyperlink" Target="http://pic.twitter.com/S4sEmflaru" TargetMode="External"/><Relationship Id="rId1420" Type="http://schemas.openxmlformats.org/officeDocument/2006/relationships/hyperlink" Target="https://pbs.twimg.com/media/EGcNLQBXoAEnZWr.jpg" TargetMode="External"/><Relationship Id="rId4369" Type="http://schemas.openxmlformats.org/officeDocument/2006/relationships/hyperlink" Target="https://twitter.com/drbetulsayan/status/1181797208351485953" TargetMode="External"/><Relationship Id="rId3178" Type="http://schemas.openxmlformats.org/officeDocument/2006/relationships/hyperlink" Target="https://pbs.twimg.com/media/EGbeV8EWkAAvozC.jpg" TargetMode="External"/><Relationship Id="rId3385" Type="http://schemas.openxmlformats.org/officeDocument/2006/relationships/hyperlink" Target="https://pbs.twimg.com/media/EGbaztbXkAE_4jU.jpg" TargetMode="External"/><Relationship Id="rId3592" Type="http://schemas.openxmlformats.org/officeDocument/2006/relationships/hyperlink" Target="https://pbs.twimg.com/media/D9-NtWAXYAENlFC.jpg" TargetMode="External"/><Relationship Id="rId4229" Type="http://schemas.openxmlformats.org/officeDocument/2006/relationships/hyperlink" Target="http://j&#246;nt&#252;rk.net/hava-kuvvetlerinde-tarikatci-pilot-rahatsizligi-iste-halen-ucan-o-pilotlar" TargetMode="External"/><Relationship Id="rId4436" Type="http://schemas.openxmlformats.org/officeDocument/2006/relationships/hyperlink" Target="https://pbs.twimg.com/media/EGbMsukW4AAfe5h.jpg" TargetMode="External"/><Relationship Id="rId2194" Type="http://schemas.openxmlformats.org/officeDocument/2006/relationships/hyperlink" Target="https://pbs.twimg.com/media/EGb0FUnWkAAHd1H.jpg" TargetMode="External"/><Relationship Id="rId3038" Type="http://schemas.openxmlformats.org/officeDocument/2006/relationships/hyperlink" Target="https://pbs.twimg.com/media/EGbgrYqW4AAXwZr.jpg" TargetMode="External"/><Relationship Id="rId3245" Type="http://schemas.openxmlformats.org/officeDocument/2006/relationships/hyperlink" Target="http://instagram.com/gokanaydnn" TargetMode="External"/><Relationship Id="rId3452" Type="http://schemas.openxmlformats.org/officeDocument/2006/relationships/hyperlink" Target="https://pbs.twimg.com/media/D2Kweg8WoAAJ1cS.jpg" TargetMode="External"/><Relationship Id="rId4503" Type="http://schemas.openxmlformats.org/officeDocument/2006/relationships/hyperlink" Target="https://twitter.com/emralp__/status/1181831623484018688" TargetMode="External"/><Relationship Id="rId166" Type="http://schemas.openxmlformats.org/officeDocument/2006/relationships/hyperlink" Target="https://pbs.twimg.com/media/EGcXpLOWwAEXN2d.jpg" TargetMode="External"/><Relationship Id="rId373" Type="http://schemas.openxmlformats.org/officeDocument/2006/relationships/hyperlink" Target="http://pic.twitter.com/9gibn8yZQ0" TargetMode="External"/><Relationship Id="rId580" Type="http://schemas.openxmlformats.org/officeDocument/2006/relationships/hyperlink" Target="https://pbs.twimg.com/media/EGcTxjSXoAA_65U.jpg" TargetMode="External"/><Relationship Id="rId2054" Type="http://schemas.openxmlformats.org/officeDocument/2006/relationships/hyperlink" Target="https://pbs.twimg.com/media/EGb3p9eWkAIhXi2.jpg" TargetMode="External"/><Relationship Id="rId2261" Type="http://schemas.openxmlformats.org/officeDocument/2006/relationships/hyperlink" Target="https://pbs.twimg.com/media/EGbyk5SXYAIccYk.jpg" TargetMode="External"/><Relationship Id="rId3105" Type="http://schemas.openxmlformats.org/officeDocument/2006/relationships/hyperlink" Target="https://pbs.twimg.com/media/EGbfYBvXkAIl_Tx.jpg" TargetMode="External"/><Relationship Id="rId3312" Type="http://schemas.openxmlformats.org/officeDocument/2006/relationships/hyperlink" Target="https://pbs.twimg.com/media/EGbbxhNX0AAuloi.jpg" TargetMode="External"/><Relationship Id="rId233" Type="http://schemas.openxmlformats.org/officeDocument/2006/relationships/hyperlink" Target="https://pbs.twimg.com/media/EGcW769WsAEAfME.jpg" TargetMode="External"/><Relationship Id="rId440" Type="http://schemas.openxmlformats.org/officeDocument/2006/relationships/hyperlink" Target="https://twitter.com/themarginale/status/1181922112103211011" TargetMode="External"/><Relationship Id="rId1070" Type="http://schemas.openxmlformats.org/officeDocument/2006/relationships/hyperlink" Target="http://erzurumspor.net/" TargetMode="External"/><Relationship Id="rId2121" Type="http://schemas.openxmlformats.org/officeDocument/2006/relationships/hyperlink" Target="https://twitter.com/GndzAsi/status/1181901991515185152?s=19" TargetMode="External"/><Relationship Id="rId300" Type="http://schemas.openxmlformats.org/officeDocument/2006/relationships/hyperlink" Target="https://pbs.twimg.com/media/EGcNNLAWoAAvXMz.jpg" TargetMode="External"/><Relationship Id="rId4086" Type="http://schemas.openxmlformats.org/officeDocument/2006/relationships/hyperlink" Target="https://pbs.twimg.com/media/EGbQuuZWoAAtXDf.jpg" TargetMode="External"/><Relationship Id="rId1887" Type="http://schemas.openxmlformats.org/officeDocument/2006/relationships/hyperlink" Target="https://www.stratejikanaliz.com/" TargetMode="External"/><Relationship Id="rId2938" Type="http://schemas.openxmlformats.org/officeDocument/2006/relationships/hyperlink" Target="https://twitter.com/TurgayYESILKAYA/status/1181879981745561600" TargetMode="External"/><Relationship Id="rId4293" Type="http://schemas.openxmlformats.org/officeDocument/2006/relationships/hyperlink" Target="https://pbs.twimg.com/media/EGbOW91XYAAW1sa.jpg" TargetMode="External"/><Relationship Id="rId1747" Type="http://schemas.openxmlformats.org/officeDocument/2006/relationships/hyperlink" Target="http://pic.twitter.com/LnCJPRDF1o" TargetMode="External"/><Relationship Id="rId1954" Type="http://schemas.openxmlformats.org/officeDocument/2006/relationships/hyperlink" Target="https://pbs.twimg.com/media/EGb57rKXoAArz_H.jpg" TargetMode="External"/><Relationship Id="rId4153" Type="http://schemas.openxmlformats.org/officeDocument/2006/relationships/hyperlink" Target="https://pbs.twimg.com/media/EGbP9p1XUAI0euz.jpg" TargetMode="External"/><Relationship Id="rId4360" Type="http://schemas.openxmlformats.org/officeDocument/2006/relationships/hyperlink" Target="http://www.entornointeligente.com/" TargetMode="External"/><Relationship Id="rId39" Type="http://schemas.openxmlformats.org/officeDocument/2006/relationships/hyperlink" Target="https://twitter.com/MevlutCavusoglu/status/1181930991377686529?s=20" TargetMode="External"/><Relationship Id="rId1607" Type="http://schemas.openxmlformats.org/officeDocument/2006/relationships/hyperlink" Target="https://pbs.twimg.com/media/EGcMQpJXUAEj27x.jpg" TargetMode="External"/><Relationship Id="rId1814" Type="http://schemas.openxmlformats.org/officeDocument/2006/relationships/hyperlink" Target="https://www.instagram.com/kemalbolbolcu06/" TargetMode="External"/><Relationship Id="rId4013" Type="http://schemas.openxmlformats.org/officeDocument/2006/relationships/hyperlink" Target="http://instagram.com/berkayildiz1" TargetMode="External"/><Relationship Id="rId4220" Type="http://schemas.openxmlformats.org/officeDocument/2006/relationships/hyperlink" Target="https://www.siyasetcafe.com/" TargetMode="External"/><Relationship Id="rId3779" Type="http://schemas.openxmlformats.org/officeDocument/2006/relationships/hyperlink" Target="https://twitter.com/GunesAk__/status/1181863282480680960" TargetMode="External"/><Relationship Id="rId2588" Type="http://schemas.openxmlformats.org/officeDocument/2006/relationships/hyperlink" Target="https://www.instagram.com/meteduringa/" TargetMode="External"/><Relationship Id="rId3986" Type="http://schemas.openxmlformats.org/officeDocument/2006/relationships/hyperlink" Target="https://twitter.com/oba_war/status/1181837102855659526" TargetMode="External"/><Relationship Id="rId1397" Type="http://schemas.openxmlformats.org/officeDocument/2006/relationships/hyperlink" Target="https://pbs.twimg.com/media/EGcNT1sXoAAehGQ.jpg" TargetMode="External"/><Relationship Id="rId2795" Type="http://schemas.openxmlformats.org/officeDocument/2006/relationships/hyperlink" Target="https://twitter.com/realdonaldtrump/status/1181553630354259968" TargetMode="External"/><Relationship Id="rId3639" Type="http://schemas.openxmlformats.org/officeDocument/2006/relationships/hyperlink" Target="https://pbs.twimg.com/media/EGbW4kPWsAEHidl.jpg" TargetMode="External"/><Relationship Id="rId3846" Type="http://schemas.openxmlformats.org/officeDocument/2006/relationships/hyperlink" Target="https://pbs.twimg.com/media/EGbT8qEWoAAFvxk.jpg" TargetMode="External"/><Relationship Id="rId767" Type="http://schemas.openxmlformats.org/officeDocument/2006/relationships/hyperlink" Target="https://pbs.twimg.com/media/EGcSfc3XkAAwjMp.jpg" TargetMode="External"/><Relationship Id="rId974" Type="http://schemas.openxmlformats.org/officeDocument/2006/relationships/hyperlink" Target="https://twitter.com/rterdogan/status/1181921311846735872" TargetMode="External"/><Relationship Id="rId2448" Type="http://schemas.openxmlformats.org/officeDocument/2006/relationships/hyperlink" Target="https://pbs.twimg.com/media/EGbteXsXkAAAWKZ.jpg" TargetMode="External"/><Relationship Id="rId2655" Type="http://schemas.openxmlformats.org/officeDocument/2006/relationships/hyperlink" Target="http://instagram.com/batuhanatacaglar/" TargetMode="External"/><Relationship Id="rId2862" Type="http://schemas.openxmlformats.org/officeDocument/2006/relationships/hyperlink" Target="https://pbs.twimg.com/media/EGbjkyjWkAAOyQK.jpg" TargetMode="External"/><Relationship Id="rId3706" Type="http://schemas.openxmlformats.org/officeDocument/2006/relationships/hyperlink" Target="https://twitter.com/_berkaysaglam/status/1181508333477548035" TargetMode="External"/><Relationship Id="rId3913" Type="http://schemas.openxmlformats.org/officeDocument/2006/relationships/hyperlink" Target="https://pbs.twimg.com/media/EGbTQ_MXUAAL_d8.jpg" TargetMode="External"/><Relationship Id="rId627" Type="http://schemas.openxmlformats.org/officeDocument/2006/relationships/hyperlink" Target="https://pbs.twimg.com/media/EGcTXO2WkAEPStV.jpg" TargetMode="External"/><Relationship Id="rId834" Type="http://schemas.openxmlformats.org/officeDocument/2006/relationships/hyperlink" Target="http://almon.co/39lk" TargetMode="External"/><Relationship Id="rId1257" Type="http://schemas.openxmlformats.org/officeDocument/2006/relationships/hyperlink" Target="https://pbs.twimg.com/media/EGcNusdWoAAKaD5.jpg" TargetMode="External"/><Relationship Id="rId1464" Type="http://schemas.openxmlformats.org/officeDocument/2006/relationships/hyperlink" Target="https://pbs.twimg.com/media/EGcM4zgWsAErto5.jpg" TargetMode="External"/><Relationship Id="rId1671" Type="http://schemas.openxmlformats.org/officeDocument/2006/relationships/hyperlink" Target="https://pbs.twimg.com/media/EGcL4CkWoAEDl-0.jpg" TargetMode="External"/><Relationship Id="rId2308" Type="http://schemas.openxmlformats.org/officeDocument/2006/relationships/hyperlink" Target="https://pbs.twimg.com/media/EGbxD94X0AA9pFy.jpg" TargetMode="External"/><Relationship Id="rId2515" Type="http://schemas.openxmlformats.org/officeDocument/2006/relationships/hyperlink" Target="http://pic.twitter.com/JUuemkE31n" TargetMode="External"/><Relationship Id="rId2722" Type="http://schemas.openxmlformats.org/officeDocument/2006/relationships/hyperlink" Target="https://pbs.twimg.com/media/D5bbaA8XsAEe1D4.jpg" TargetMode="External"/><Relationship Id="rId901" Type="http://schemas.openxmlformats.org/officeDocument/2006/relationships/hyperlink" Target="http://instagram.com/izzetethem" TargetMode="External"/><Relationship Id="rId1117" Type="http://schemas.openxmlformats.org/officeDocument/2006/relationships/hyperlink" Target="https://pbs.twimg.com/media/EGcPjVJWkAA4nSU.jpg" TargetMode="External"/><Relationship Id="rId1324" Type="http://schemas.openxmlformats.org/officeDocument/2006/relationships/hyperlink" Target="https://pbs.twimg.com/media/EGcN8YiXUAAJyNR.jpg" TargetMode="External"/><Relationship Id="rId1531" Type="http://schemas.openxmlformats.org/officeDocument/2006/relationships/hyperlink" Target="https://www.sosyalmanset.com/cnn-turk-muhabirinin-ceylanpinarda-yaptigi-yayin-sirasinda-patlama-oldu-4267v.htm" TargetMode="External"/><Relationship Id="rId30" Type="http://schemas.openxmlformats.org/officeDocument/2006/relationships/hyperlink" Target="https://www.turkiye.gov.tr/" TargetMode="External"/><Relationship Id="rId3289" Type="http://schemas.openxmlformats.org/officeDocument/2006/relationships/hyperlink" Target="https://mostar.tech/" TargetMode="External"/><Relationship Id="rId3496" Type="http://schemas.openxmlformats.org/officeDocument/2006/relationships/hyperlink" Target="http://minvalnews.com/" TargetMode="External"/><Relationship Id="rId2098" Type="http://schemas.openxmlformats.org/officeDocument/2006/relationships/hyperlink" Target="https://pbs.twimg.com/media/EGb2h68WoAImrRu.jpg" TargetMode="External"/><Relationship Id="rId3149" Type="http://schemas.openxmlformats.org/officeDocument/2006/relationships/hyperlink" Target="https://pbs.twimg.com/media/EGbetJgW4AAekJj.jpg" TargetMode="External"/><Relationship Id="rId3356" Type="http://schemas.openxmlformats.org/officeDocument/2006/relationships/hyperlink" Target="https://pbs.twimg.com/media/EGbbQTxWwAEsWm1.jpg" TargetMode="External"/><Relationship Id="rId3563" Type="http://schemas.openxmlformats.org/officeDocument/2006/relationships/hyperlink" Target="https://pbs.twimg.com/media/EGbYGqBWkAEVQtj.jpg" TargetMode="External"/><Relationship Id="rId4407" Type="http://schemas.openxmlformats.org/officeDocument/2006/relationships/hyperlink" Target="https://pbs.twimg.com/media/EGbNGfHW4AEIvhP.jpg" TargetMode="External"/><Relationship Id="rId277" Type="http://schemas.openxmlformats.org/officeDocument/2006/relationships/hyperlink" Target="https://pbs.twimg.com/media/EGcWi3FXYAApa_g.jpg" TargetMode="External"/><Relationship Id="rId484" Type="http://schemas.openxmlformats.org/officeDocument/2006/relationships/hyperlink" Target="https://instagram.com/demetpolatt/" TargetMode="External"/><Relationship Id="rId2165" Type="http://schemas.openxmlformats.org/officeDocument/2006/relationships/hyperlink" Target="https://pbs.twimg.com/media/EGb002LXYAEuMzH.jpg" TargetMode="External"/><Relationship Id="rId3009" Type="http://schemas.openxmlformats.org/officeDocument/2006/relationships/hyperlink" Target="https://www.youtube.com/channel/UCxDGmXM5xWEh5qqbHQmontA" TargetMode="External"/><Relationship Id="rId3216" Type="http://schemas.openxmlformats.org/officeDocument/2006/relationships/hyperlink" Target="https://pbs.twimg.com/media/EGa0WUqXYAABGZl.jpg" TargetMode="External"/><Relationship Id="rId3770" Type="http://schemas.openxmlformats.org/officeDocument/2006/relationships/hyperlink" Target="https://pbs.twimg.com/media/EGbVCx3XoAAhNNy.jpg" TargetMode="External"/><Relationship Id="rId137" Type="http://schemas.openxmlformats.org/officeDocument/2006/relationships/hyperlink" Target="https://www.instagram.com/" TargetMode="External"/><Relationship Id="rId344" Type="http://schemas.openxmlformats.org/officeDocument/2006/relationships/hyperlink" Target="https://pbs.twimg.com/media/EGcV9teXYAM6_0Q.jpg" TargetMode="External"/><Relationship Id="rId691" Type="http://schemas.openxmlformats.org/officeDocument/2006/relationships/hyperlink" Target="https://twitter.com/mevlutcavusoglu/status/1181930991377686529" TargetMode="External"/><Relationship Id="rId2025" Type="http://schemas.openxmlformats.org/officeDocument/2006/relationships/hyperlink" Target="https://pbs.twimg.com/media/EGb4RZgX0AANbCi.jpg" TargetMode="External"/><Relationship Id="rId2372" Type="http://schemas.openxmlformats.org/officeDocument/2006/relationships/hyperlink" Target="http://egeyonhaber.com/" TargetMode="External"/><Relationship Id="rId3423" Type="http://schemas.openxmlformats.org/officeDocument/2006/relationships/hyperlink" Target="https://pbs.twimg.com/media/EGbaJdNWkAEI9PJ.jpg" TargetMode="External"/><Relationship Id="rId3630" Type="http://schemas.openxmlformats.org/officeDocument/2006/relationships/hyperlink" Target="http://instagram.com/mesudegurbilek" TargetMode="External"/><Relationship Id="rId551" Type="http://schemas.openxmlformats.org/officeDocument/2006/relationships/hyperlink" Target="http://www.marcocesario.it/" TargetMode="External"/><Relationship Id="rId1181" Type="http://schemas.openxmlformats.org/officeDocument/2006/relationships/hyperlink" Target="http://pic.twitter.com/pLHcBpaug5" TargetMode="External"/><Relationship Id="rId2232" Type="http://schemas.openxmlformats.org/officeDocument/2006/relationships/hyperlink" Target="http://www.americansportstr.com/" TargetMode="External"/><Relationship Id="rId204" Type="http://schemas.openxmlformats.org/officeDocument/2006/relationships/hyperlink" Target="https://www.instagram.com/p/B3ZpdpRFhHR/?igshid=1i0tb9qyv2vyl" TargetMode="External"/><Relationship Id="rId411" Type="http://schemas.openxmlformats.org/officeDocument/2006/relationships/hyperlink" Target="https://pbs.twimg.com/media/EGcVR1tXYAcojU-.jpg" TargetMode="External"/><Relationship Id="rId1041" Type="http://schemas.openxmlformats.org/officeDocument/2006/relationships/hyperlink" Target="http://www.mirahmetoglu.com/" TargetMode="External"/><Relationship Id="rId1998" Type="http://schemas.openxmlformats.org/officeDocument/2006/relationships/hyperlink" Target="https://pbs.twimg.com/media/EGb4yhJXUAA0hGk.jpg" TargetMode="External"/><Relationship Id="rId4197" Type="http://schemas.openxmlformats.org/officeDocument/2006/relationships/hyperlink" Target="https://pbs.twimg.com/media/EGbPYQTWwAMUmvh.jpg" TargetMode="External"/><Relationship Id="rId1858" Type="http://schemas.openxmlformats.org/officeDocument/2006/relationships/hyperlink" Target="https://pbs.twimg.com/media/EGb8THoW4AAQhni.jpg" TargetMode="External"/><Relationship Id="rId4057" Type="http://schemas.openxmlformats.org/officeDocument/2006/relationships/hyperlink" Target="https://pbs.twimg.com/media/EGbRWAQXUAA5aRW.jpg" TargetMode="External"/><Relationship Id="rId4264" Type="http://schemas.openxmlformats.org/officeDocument/2006/relationships/hyperlink" Target="https://pbs.twimg.com/media/EGbOqjvXkAAVGC1.jpg" TargetMode="External"/><Relationship Id="rId4471" Type="http://schemas.openxmlformats.org/officeDocument/2006/relationships/hyperlink" Target="https://pbs.twimg.com/media/EGbMUJTWkAUisT6.jpg" TargetMode="External"/><Relationship Id="rId2909" Type="http://schemas.openxmlformats.org/officeDocument/2006/relationships/hyperlink" Target="https://pbs.twimg.com/media/EGbizM-XUAAJgyc.jpg" TargetMode="External"/><Relationship Id="rId3073" Type="http://schemas.openxmlformats.org/officeDocument/2006/relationships/hyperlink" Target="http://pic.twitter.com/p1eYRHc9Nk" TargetMode="External"/><Relationship Id="rId3280" Type="http://schemas.openxmlformats.org/officeDocument/2006/relationships/hyperlink" Target="https://instagram.com/" TargetMode="External"/><Relationship Id="rId4124" Type="http://schemas.openxmlformats.org/officeDocument/2006/relationships/hyperlink" Target="https://pbs.twimg.com/media/EGbQLG1XYAAtxPL.jpg" TargetMode="External"/><Relationship Id="rId4331" Type="http://schemas.openxmlformats.org/officeDocument/2006/relationships/hyperlink" Target="https://youtu.be/OHsoWtFMwoc" TargetMode="External"/><Relationship Id="rId1718" Type="http://schemas.openxmlformats.org/officeDocument/2006/relationships/hyperlink" Target="https://pbs.twimg.com/media/EGcLqZVW4AAEscQ.jpg" TargetMode="External"/><Relationship Id="rId1925" Type="http://schemas.openxmlformats.org/officeDocument/2006/relationships/hyperlink" Target="https://pbs.twimg.com/media/EGb6ytbXkAI9CzH.jpg" TargetMode="External"/><Relationship Id="rId3140" Type="http://schemas.openxmlformats.org/officeDocument/2006/relationships/hyperlink" Target="https://twitter.com/1parcatuhaftik/status/1181833363520413696" TargetMode="External"/><Relationship Id="rId2699" Type="http://schemas.openxmlformats.org/officeDocument/2006/relationships/hyperlink" Target="http://instagram.com/ersinturan67" TargetMode="External"/><Relationship Id="rId3000" Type="http://schemas.openxmlformats.org/officeDocument/2006/relationships/hyperlink" Target="https://pbs.twimg.com/media/EGbhVhhXUAUSRME.jpg" TargetMode="External"/><Relationship Id="rId3957" Type="http://schemas.openxmlformats.org/officeDocument/2006/relationships/hyperlink" Target="https://pbs.twimg.com/media/EGbSsuQXoAM2Q9q.jpg" TargetMode="External"/><Relationship Id="rId878" Type="http://schemas.openxmlformats.org/officeDocument/2006/relationships/hyperlink" Target="http://turkoglu46.com/" TargetMode="External"/><Relationship Id="rId2559" Type="http://schemas.openxmlformats.org/officeDocument/2006/relationships/hyperlink" Target="https://pbs.twimg.com/media/EGbqekWWoAEPrio.jpg" TargetMode="External"/><Relationship Id="rId2766" Type="http://schemas.openxmlformats.org/officeDocument/2006/relationships/hyperlink" Target="https://pbs.twimg.com/media/Dflk-4xW0AEtj8H.jpg" TargetMode="External"/><Relationship Id="rId2973" Type="http://schemas.openxmlformats.org/officeDocument/2006/relationships/hyperlink" Target="https://pbs.twimg.com/media/EGbh0-rWwAAr2Qh.jpg" TargetMode="External"/><Relationship Id="rId3817" Type="http://schemas.openxmlformats.org/officeDocument/2006/relationships/hyperlink" Target="http://instagram.com/fhosalay" TargetMode="External"/><Relationship Id="rId738" Type="http://schemas.openxmlformats.org/officeDocument/2006/relationships/hyperlink" Target="https://pbs.twimg.com/media/EGcSn9wWoAAvp6_.jpg" TargetMode="External"/><Relationship Id="rId945" Type="http://schemas.openxmlformats.org/officeDocument/2006/relationships/hyperlink" Target="https://twitter.com/RTErdogan/status/1181919804619407360" TargetMode="External"/><Relationship Id="rId1368" Type="http://schemas.openxmlformats.org/officeDocument/2006/relationships/hyperlink" Target="http://pic.twitter.com/OU8h6oRFSJ" TargetMode="External"/><Relationship Id="rId1575" Type="http://schemas.openxmlformats.org/officeDocument/2006/relationships/hyperlink" Target="https://pbs.twimg.com/media/EGcMY6FWsAE2O5v.jpg" TargetMode="External"/><Relationship Id="rId1782" Type="http://schemas.openxmlformats.org/officeDocument/2006/relationships/hyperlink" Target="https://pbs.twimg.com/media/EGb-k__W4Ag8XgY.jpg" TargetMode="External"/><Relationship Id="rId2419" Type="http://schemas.openxmlformats.org/officeDocument/2006/relationships/hyperlink" Target="https://pbs.twimg.com/media/EGbuHUHXkAIEkd8.jpg" TargetMode="External"/><Relationship Id="rId2626" Type="http://schemas.openxmlformats.org/officeDocument/2006/relationships/hyperlink" Target="http://www.seslimakale.com.tr/" TargetMode="External"/><Relationship Id="rId2833" Type="http://schemas.openxmlformats.org/officeDocument/2006/relationships/hyperlink" Target="https://pbs.twimg.com/media/EGbkFa-WkAEAJyA.jpg" TargetMode="External"/><Relationship Id="rId74" Type="http://schemas.openxmlformats.org/officeDocument/2006/relationships/hyperlink" Target="https://pbs.twimg.com/media/EGcZqVFWoAAHybM.jpg" TargetMode="External"/><Relationship Id="rId805" Type="http://schemas.openxmlformats.org/officeDocument/2006/relationships/hyperlink" Target="https://pbs.twimg.com/media/EGcSMVZW4AIEM5d.jpg" TargetMode="External"/><Relationship Id="rId1228" Type="http://schemas.openxmlformats.org/officeDocument/2006/relationships/hyperlink" Target="https://youtube.com/ErdemYaman1" TargetMode="External"/><Relationship Id="rId1435" Type="http://schemas.openxmlformats.org/officeDocument/2006/relationships/hyperlink" Target="https://www.instagram.com/gcihangir61/?hl=tr" TargetMode="External"/><Relationship Id="rId1642" Type="http://schemas.openxmlformats.org/officeDocument/2006/relationships/hyperlink" Target="https://pbs.twimg.com/media/EGcMBOOXoAM9ABu.jpg" TargetMode="External"/><Relationship Id="rId2900" Type="http://schemas.openxmlformats.org/officeDocument/2006/relationships/hyperlink" Target="https://pbs.twimg.com/media/EGbi9ypWoAIFfWu.jpg" TargetMode="External"/><Relationship Id="rId1502" Type="http://schemas.openxmlformats.org/officeDocument/2006/relationships/hyperlink" Target="https://pbs.twimg.com/media/EGcMu9fWoAAYFkR.jpg" TargetMode="External"/><Relationship Id="rId388" Type="http://schemas.openxmlformats.org/officeDocument/2006/relationships/hyperlink" Target="https://youtu.be/mijHAWa-2V4" TargetMode="External"/><Relationship Id="rId2069" Type="http://schemas.openxmlformats.org/officeDocument/2006/relationships/hyperlink" Target="https://pbs.twimg.com/media/EGb3ZTjXoAE246B.jpg" TargetMode="External"/><Relationship Id="rId3467" Type="http://schemas.openxmlformats.org/officeDocument/2006/relationships/hyperlink" Target="http://www.hayattabesiktas.com/" TargetMode="External"/><Relationship Id="rId3674" Type="http://schemas.openxmlformats.org/officeDocument/2006/relationships/hyperlink" Target="https://pbs.twimg.com/media/EGbWMzqXkAAZP2K.jpg" TargetMode="External"/><Relationship Id="rId3881" Type="http://schemas.openxmlformats.org/officeDocument/2006/relationships/hyperlink" Target="http://instagram.com/emrebengli" TargetMode="External"/><Relationship Id="rId4518" Type="http://schemas.openxmlformats.org/officeDocument/2006/relationships/hyperlink" Target="https://pbs.twimg.com/media/EGbLwQMXkAExPVp.jpg" TargetMode="External"/><Relationship Id="rId595" Type="http://schemas.openxmlformats.org/officeDocument/2006/relationships/hyperlink" Target="https://www.youtube.com/channel/UCXbohUSOPGjrUp35sO0ar6Q" TargetMode="External"/><Relationship Id="rId2276" Type="http://schemas.openxmlformats.org/officeDocument/2006/relationships/hyperlink" Target="https://pbs.twimg.com/media/EGbyGLhWkAAK87a.jpg" TargetMode="External"/><Relationship Id="rId2483" Type="http://schemas.openxmlformats.org/officeDocument/2006/relationships/hyperlink" Target="http://pic.twitter.com/BW0mbf4NAS" TargetMode="External"/><Relationship Id="rId2690" Type="http://schemas.openxmlformats.org/officeDocument/2006/relationships/hyperlink" Target="https://pbs.twimg.com/media/EGbnbFpX0AAi6hr.jpg" TargetMode="External"/><Relationship Id="rId3327" Type="http://schemas.openxmlformats.org/officeDocument/2006/relationships/hyperlink" Target="https://pbs.twimg.com/media/EGbSnL1WsAAz2kH.jpg" TargetMode="External"/><Relationship Id="rId3534" Type="http://schemas.openxmlformats.org/officeDocument/2006/relationships/hyperlink" Target="http://pic.twitter.com/aITfl0984g" TargetMode="External"/><Relationship Id="rId3741" Type="http://schemas.openxmlformats.org/officeDocument/2006/relationships/hyperlink" Target="https://pbs.twimg.com/media/D6bv677WwAERsqC.jpg" TargetMode="External"/><Relationship Id="rId248" Type="http://schemas.openxmlformats.org/officeDocument/2006/relationships/hyperlink" Target="https://pbs.twimg.com/media/EGcW1y9XoAAYDaq.jpg" TargetMode="External"/><Relationship Id="rId455" Type="http://schemas.openxmlformats.org/officeDocument/2006/relationships/hyperlink" Target="http://www.smsener.com/" TargetMode="External"/><Relationship Id="rId662" Type="http://schemas.openxmlformats.org/officeDocument/2006/relationships/hyperlink" Target="https://pbs.twimg.com/media/EGcTL2vWwAMNo7m.jpg" TargetMode="External"/><Relationship Id="rId1085" Type="http://schemas.openxmlformats.org/officeDocument/2006/relationships/hyperlink" Target="https://twitter.com/UludagGolgesi/status/1102497645954772992" TargetMode="External"/><Relationship Id="rId1292" Type="http://schemas.openxmlformats.org/officeDocument/2006/relationships/hyperlink" Target="https://pbs.twimg.com/media/EGcOIdWWwAE952q.jpg" TargetMode="External"/><Relationship Id="rId2136" Type="http://schemas.openxmlformats.org/officeDocument/2006/relationships/hyperlink" Target="https://pbs.twimg.com/media/EGb1kmDX0AEVimg.jpg" TargetMode="External"/><Relationship Id="rId2343" Type="http://schemas.openxmlformats.org/officeDocument/2006/relationships/hyperlink" Target="https://pbs.twimg.com/media/EGbwCDRWoAA2IkY.jpg" TargetMode="External"/><Relationship Id="rId2550" Type="http://schemas.openxmlformats.org/officeDocument/2006/relationships/hyperlink" Target="https://pbs.twimg.com/media/EGbq5zMXkAAN6-5.jpg" TargetMode="External"/><Relationship Id="rId3601" Type="http://schemas.openxmlformats.org/officeDocument/2006/relationships/hyperlink" Target="https://twitter.com/NPA_SY/status/1181867750400114689" TargetMode="External"/><Relationship Id="rId108" Type="http://schemas.openxmlformats.org/officeDocument/2006/relationships/hyperlink" Target="https://twitter.com/themarginale/status/1181939761168228353" TargetMode="External"/><Relationship Id="rId315" Type="http://schemas.openxmlformats.org/officeDocument/2006/relationships/hyperlink" Target="https://pbs.twimg.com/media/EGcWF0SXkAc4neb.jpg" TargetMode="External"/><Relationship Id="rId522" Type="http://schemas.openxmlformats.org/officeDocument/2006/relationships/hyperlink" Target="http://instagram.com/lutfullah.albyrk" TargetMode="External"/><Relationship Id="rId1152" Type="http://schemas.openxmlformats.org/officeDocument/2006/relationships/hyperlink" Target="https://pbs.twimg.com/media/EGcPgo6W4AEQYRA.jpg" TargetMode="External"/><Relationship Id="rId2203" Type="http://schemas.openxmlformats.org/officeDocument/2006/relationships/hyperlink" Target="https://pbs.twimg.com/media/EGbz4FCW4AAO6oJ.jpg" TargetMode="External"/><Relationship Id="rId2410" Type="http://schemas.openxmlformats.org/officeDocument/2006/relationships/hyperlink" Target="https://pbs.twimg.com/media/EGbuRIlWwAAD5Gv.jpg" TargetMode="External"/><Relationship Id="rId1012" Type="http://schemas.openxmlformats.org/officeDocument/2006/relationships/hyperlink" Target="https://pbs.twimg.com/media/EGcQpkbWkAEHmtz.jpg" TargetMode="External"/><Relationship Id="rId4168" Type="http://schemas.openxmlformats.org/officeDocument/2006/relationships/hyperlink" Target="https://pbs.twimg.com/media/EGbPsE3W4AALIg_.jpg" TargetMode="External"/><Relationship Id="rId4375" Type="http://schemas.openxmlformats.org/officeDocument/2006/relationships/hyperlink" Target="http://pic.twitter.com/1g7doGlaTV" TargetMode="External"/><Relationship Id="rId1969" Type="http://schemas.openxmlformats.org/officeDocument/2006/relationships/hyperlink" Target="https://drive.google.com/drive/folders/15UJA2jamhIcS_XqIf1aL2JwIxAzGTOFV?usp=sharing" TargetMode="External"/><Relationship Id="rId3184" Type="http://schemas.openxmlformats.org/officeDocument/2006/relationships/hyperlink" Target="https://www.detailhaber.com/e-albay-birol-yoruk-96y.htm" TargetMode="External"/><Relationship Id="rId4028" Type="http://schemas.openxmlformats.org/officeDocument/2006/relationships/hyperlink" Target="https://pbs.twimg.com/media/EGbRrEMWwAAcdGu.jpg" TargetMode="External"/><Relationship Id="rId4235" Type="http://schemas.openxmlformats.org/officeDocument/2006/relationships/hyperlink" Target="https://youtu.be/PxzsffCot0U" TargetMode="External"/><Relationship Id="rId1829" Type="http://schemas.openxmlformats.org/officeDocument/2006/relationships/hyperlink" Target="https://pbs.twimg.com/media/EGb9NV0WkAUaE2X.jpg" TargetMode="External"/><Relationship Id="rId3391" Type="http://schemas.openxmlformats.org/officeDocument/2006/relationships/hyperlink" Target="https://pbs.twimg.com/media/EGban7-XYAEYT-z.jpg" TargetMode="External"/><Relationship Id="rId4442" Type="http://schemas.openxmlformats.org/officeDocument/2006/relationships/hyperlink" Target="http://pic.twitter.com/tMadPmfzyr" TargetMode="External"/><Relationship Id="rId3044" Type="http://schemas.openxmlformats.org/officeDocument/2006/relationships/hyperlink" Target="https://pbs.twimg.com/media/EGbgl2JXkAIaQAS.jpg" TargetMode="External"/><Relationship Id="rId3251" Type="http://schemas.openxmlformats.org/officeDocument/2006/relationships/hyperlink" Target="https://pbs.twimg.com/media/EGbdFvvWwAEiOrS.jpg" TargetMode="External"/><Relationship Id="rId4302" Type="http://schemas.openxmlformats.org/officeDocument/2006/relationships/hyperlink" Target="https://pbs.twimg.com/media/EGbORNlWwAAcfag.jpg" TargetMode="External"/><Relationship Id="rId172" Type="http://schemas.openxmlformats.org/officeDocument/2006/relationships/hyperlink" Target="http://www.berwaz.com.kw/" TargetMode="External"/><Relationship Id="rId2060" Type="http://schemas.openxmlformats.org/officeDocument/2006/relationships/hyperlink" Target="https://callsedon.com/kizina-iskence-yapan-baba-hakkinda-karar-verildi/" TargetMode="External"/><Relationship Id="rId3111" Type="http://schemas.openxmlformats.org/officeDocument/2006/relationships/hyperlink" Target="https://pbs.twimg.com/media/EGbfUCUW4AEzseA.jpg" TargetMode="External"/><Relationship Id="rId989" Type="http://schemas.openxmlformats.org/officeDocument/2006/relationships/hyperlink" Target="http://akpartikecioren.org/" TargetMode="External"/><Relationship Id="rId2877" Type="http://schemas.openxmlformats.org/officeDocument/2006/relationships/hyperlink" Target="https://pbs.twimg.com/media/EGbjSGrW4AEiAvu.jpg" TargetMode="External"/><Relationship Id="rId849" Type="http://schemas.openxmlformats.org/officeDocument/2006/relationships/hyperlink" Target="http://www.bbk.ac.uk/politics/our-staff/academic/dionyssis-dimitrakopoulos" TargetMode="External"/><Relationship Id="rId1479" Type="http://schemas.openxmlformats.org/officeDocument/2006/relationships/hyperlink" Target="https://pbs.twimg.com/media/EGcM2yLWoAEjjmW.jpg" TargetMode="External"/><Relationship Id="rId1686" Type="http://schemas.openxmlformats.org/officeDocument/2006/relationships/hyperlink" Target="http://www.turkcedusunenadam.com/" TargetMode="External"/><Relationship Id="rId3928" Type="http://schemas.openxmlformats.org/officeDocument/2006/relationships/hyperlink" Target="https://pbs.twimg.com/media/EGbTEIOXoAE5ELq.jpg" TargetMode="External"/><Relationship Id="rId4092" Type="http://schemas.openxmlformats.org/officeDocument/2006/relationships/hyperlink" Target="http://pic.twitter.com/eXVwXYgULs" TargetMode="External"/><Relationship Id="rId1339" Type="http://schemas.openxmlformats.org/officeDocument/2006/relationships/hyperlink" Target="https://pbs.twimg.com/media/EGcNzaBWoAU2O-b.jpg" TargetMode="External"/><Relationship Id="rId1893" Type="http://schemas.openxmlformats.org/officeDocument/2006/relationships/hyperlink" Target="https://pbs.twimg.com/media/EGb7e0fWsAEac22.png" TargetMode="External"/><Relationship Id="rId2737" Type="http://schemas.openxmlformats.org/officeDocument/2006/relationships/hyperlink" Target="http://pic.twitter.com/Pyb07KfxgK" TargetMode="External"/><Relationship Id="rId2944" Type="http://schemas.openxmlformats.org/officeDocument/2006/relationships/hyperlink" Target="https://pbs.twimg.com/media/EGbiPX4WwAAoOnA.jpg" TargetMode="External"/><Relationship Id="rId709" Type="http://schemas.openxmlformats.org/officeDocument/2006/relationships/hyperlink" Target="https://pbs.twimg.com/media/EGcS2CpXkAA3axP.jpg" TargetMode="External"/><Relationship Id="rId916" Type="http://schemas.openxmlformats.org/officeDocument/2006/relationships/hyperlink" Target="https://pbs.twimg.com/media/EGcRZvnX0AE8CRx.jpg" TargetMode="External"/><Relationship Id="rId1546" Type="http://schemas.openxmlformats.org/officeDocument/2006/relationships/hyperlink" Target="https://pbs.twimg.com/media/EGcMdesXYAABhA3.jpg" TargetMode="External"/><Relationship Id="rId1753" Type="http://schemas.openxmlformats.org/officeDocument/2006/relationships/hyperlink" Target="http://www.partisizler.com/" TargetMode="External"/><Relationship Id="rId1960" Type="http://schemas.openxmlformats.org/officeDocument/2006/relationships/hyperlink" Target="https://pbs.twimg.com/media/EGb5xrHW4AAodw4.jpg" TargetMode="External"/><Relationship Id="rId2804" Type="http://schemas.openxmlformats.org/officeDocument/2006/relationships/hyperlink" Target="https://twitter.com/akbilge1071" TargetMode="External"/><Relationship Id="rId45" Type="http://schemas.openxmlformats.org/officeDocument/2006/relationships/hyperlink" Target="http://instagram.com/orrhangazii" TargetMode="External"/><Relationship Id="rId1406" Type="http://schemas.openxmlformats.org/officeDocument/2006/relationships/hyperlink" Target="https://pbs.twimg.com/media/EGcNQ7vX0AAbIcs.jpg" TargetMode="External"/><Relationship Id="rId1613" Type="http://schemas.openxmlformats.org/officeDocument/2006/relationships/hyperlink" Target="https://pbs.twimg.com/media/EGcMOyZXkAEK680.jpg" TargetMode="External"/><Relationship Id="rId1820" Type="http://schemas.openxmlformats.org/officeDocument/2006/relationships/hyperlink" Target="http://www.mustafayasar.net/" TargetMode="External"/><Relationship Id="rId3578" Type="http://schemas.openxmlformats.org/officeDocument/2006/relationships/hyperlink" Target="https://pbs.twimg.com/media/EGbX3oZW4AASubx.jpg" TargetMode="External"/><Relationship Id="rId3785" Type="http://schemas.openxmlformats.org/officeDocument/2006/relationships/hyperlink" Target="https://pbs.twimg.com/media/EGbUzXZXkAEkuaL.jpg" TargetMode="External"/><Relationship Id="rId3992" Type="http://schemas.openxmlformats.org/officeDocument/2006/relationships/hyperlink" Target="https://pbs.twimg.com/media/EGbSEhZWwAAwJJv.jpg" TargetMode="External"/><Relationship Id="rId499" Type="http://schemas.openxmlformats.org/officeDocument/2006/relationships/hyperlink" Target="http://pic.twitter.com/YHMRH9NY62" TargetMode="External"/><Relationship Id="rId2387" Type="http://schemas.openxmlformats.org/officeDocument/2006/relationships/hyperlink" Target="https://pbs.twimg.com/media/EGbu-LaWoAI24uz.jpg" TargetMode="External"/><Relationship Id="rId2594" Type="http://schemas.openxmlformats.org/officeDocument/2006/relationships/hyperlink" Target="http://pic.twitter.com/Fs3thdesgz" TargetMode="External"/><Relationship Id="rId3438" Type="http://schemas.openxmlformats.org/officeDocument/2006/relationships/hyperlink" Target="http://dirilispostasi.com/ac-72-sabriisbilen.html" TargetMode="External"/><Relationship Id="rId3645" Type="http://schemas.openxmlformats.org/officeDocument/2006/relationships/hyperlink" Target="https://pbs.twimg.com/media/EGbW0EeXUAAiRSI.jpg" TargetMode="External"/><Relationship Id="rId3852" Type="http://schemas.openxmlformats.org/officeDocument/2006/relationships/hyperlink" Target="http://pic.twitter.com/fCCo0b8TyK" TargetMode="External"/><Relationship Id="rId359" Type="http://schemas.openxmlformats.org/officeDocument/2006/relationships/hyperlink" Target="https://pbs.twimg.com/media/EGcUT5VXUAYAiWG.jpg" TargetMode="External"/><Relationship Id="rId566" Type="http://schemas.openxmlformats.org/officeDocument/2006/relationships/hyperlink" Target="https://pbs.twimg.com/media/EGcT6pxXkAg8LTq.jpg" TargetMode="External"/><Relationship Id="rId773" Type="http://schemas.openxmlformats.org/officeDocument/2006/relationships/hyperlink" Target="https://pbs.twimg.com/media/EGcSdGOW4AAp8G_.jpg" TargetMode="External"/><Relationship Id="rId1196" Type="http://schemas.openxmlformats.org/officeDocument/2006/relationships/hyperlink" Target="https://pbs.twimg.com/media/EGcPC6sXUAAeDA1.jpg" TargetMode="External"/><Relationship Id="rId2247" Type="http://schemas.openxmlformats.org/officeDocument/2006/relationships/hyperlink" Target="https://urfadanhaber.com/sinirda-hareketlilik-basladi/" TargetMode="External"/><Relationship Id="rId2454" Type="http://schemas.openxmlformats.org/officeDocument/2006/relationships/hyperlink" Target="http://pic.twitter.com/P1hNJDWiml" TargetMode="External"/><Relationship Id="rId3505" Type="http://schemas.openxmlformats.org/officeDocument/2006/relationships/hyperlink" Target="https://pbs.twimg.com/media/EGbY-n3WwAAr6ZE.jpg" TargetMode="External"/><Relationship Id="rId219" Type="http://schemas.openxmlformats.org/officeDocument/2006/relationships/hyperlink" Target="http://www.fdemetsari.com/" TargetMode="External"/><Relationship Id="rId426" Type="http://schemas.openxmlformats.org/officeDocument/2006/relationships/hyperlink" Target="https://twitter.com/EmrAlp__/status/1181831623484018688" TargetMode="External"/><Relationship Id="rId633" Type="http://schemas.openxmlformats.org/officeDocument/2006/relationships/hyperlink" Target="https://youtu.be/zNHXJ2G4w1s" TargetMode="External"/><Relationship Id="rId980" Type="http://schemas.openxmlformats.org/officeDocument/2006/relationships/hyperlink" Target="https://pbs.twimg.com/media/EGcQ8h3WoAEmGe4.jpg" TargetMode="External"/><Relationship Id="rId1056" Type="http://schemas.openxmlformats.org/officeDocument/2006/relationships/hyperlink" Target="http://www.labsociale.it/" TargetMode="External"/><Relationship Id="rId1263" Type="http://schemas.openxmlformats.org/officeDocument/2006/relationships/hyperlink" Target="http://pic.twitter.com/bEVX0nj0pI" TargetMode="External"/><Relationship Id="rId2107" Type="http://schemas.openxmlformats.org/officeDocument/2006/relationships/hyperlink" Target="http://pic.twitter.com/4qiqKpyCHO" TargetMode="External"/><Relationship Id="rId2314" Type="http://schemas.openxmlformats.org/officeDocument/2006/relationships/hyperlink" Target="https://pbs.twimg.com/media/EGbwpzqWoAcWBeV.jpg" TargetMode="External"/><Relationship Id="rId2661" Type="http://schemas.openxmlformats.org/officeDocument/2006/relationships/hyperlink" Target="https://twitter.com/genclikbirligi/status/1181883579250483201" TargetMode="External"/><Relationship Id="rId3712" Type="http://schemas.openxmlformats.org/officeDocument/2006/relationships/hyperlink" Target="https://pbs.twimg.com/media/EGbVwa0WkAECdKH.jpg" TargetMode="External"/><Relationship Id="rId840" Type="http://schemas.openxmlformats.org/officeDocument/2006/relationships/hyperlink" Target="https://pbs.twimg.com/media/EGcR_BuXYAASBFm.jpg" TargetMode="External"/><Relationship Id="rId1470" Type="http://schemas.openxmlformats.org/officeDocument/2006/relationships/hyperlink" Target="http://www.facebook.com/RefikGulAdana" TargetMode="External"/><Relationship Id="rId2521" Type="http://schemas.openxmlformats.org/officeDocument/2006/relationships/hyperlink" Target="https://pbs.twimg.com/media/EGbrtJ0W4AEG92n.jpg" TargetMode="External"/><Relationship Id="rId4279" Type="http://schemas.openxmlformats.org/officeDocument/2006/relationships/hyperlink" Target="http://www.haberturkkan.com/" TargetMode="External"/><Relationship Id="rId700" Type="http://schemas.openxmlformats.org/officeDocument/2006/relationships/hyperlink" Target="http://instagram.com/merthanyaman" TargetMode="External"/><Relationship Id="rId1123" Type="http://schemas.openxmlformats.org/officeDocument/2006/relationships/hyperlink" Target="https://pbs.twimg.com/media/EGcPyKbWsAcd9ar.jpg" TargetMode="External"/><Relationship Id="rId1330" Type="http://schemas.openxmlformats.org/officeDocument/2006/relationships/hyperlink" Target="http://instagram.com/selimcanseref" TargetMode="External"/><Relationship Id="rId3088" Type="http://schemas.openxmlformats.org/officeDocument/2006/relationships/hyperlink" Target="http://instagram.com/" TargetMode="External"/><Relationship Id="rId4486" Type="http://schemas.openxmlformats.org/officeDocument/2006/relationships/hyperlink" Target="https://pbs.twimg.com/media/EGbMLYwXUAAh7pU.jpg" TargetMode="External"/><Relationship Id="rId3295" Type="http://schemas.openxmlformats.org/officeDocument/2006/relationships/hyperlink" Target="https://pbs.twimg.com/media/EGbcUy7XUAEmKPD.jpg" TargetMode="External"/><Relationship Id="rId4139" Type="http://schemas.openxmlformats.org/officeDocument/2006/relationships/hyperlink" Target="https://pbs.twimg.com/media/EGbQA8AWkAANMln.jpg" TargetMode="External"/><Relationship Id="rId4346" Type="http://schemas.openxmlformats.org/officeDocument/2006/relationships/hyperlink" Target="https://pbs.twimg.com/media/EGbNwzpXYAAQcs1.jpg" TargetMode="External"/><Relationship Id="rId3155" Type="http://schemas.openxmlformats.org/officeDocument/2006/relationships/hyperlink" Target="https://pbs.twimg.com/media/EGbek3lX0AAxcc_.jpg" TargetMode="External"/><Relationship Id="rId3362" Type="http://schemas.openxmlformats.org/officeDocument/2006/relationships/hyperlink" Target="https://pbs.twimg.com/media/EGbbI0nWoAAe0K7.jpg" TargetMode="External"/><Relationship Id="rId4206" Type="http://schemas.openxmlformats.org/officeDocument/2006/relationships/hyperlink" Target="https://pbs.twimg.com/media/EGbPTR1WoAE5pmB.jpg" TargetMode="External"/><Relationship Id="rId4413" Type="http://schemas.openxmlformats.org/officeDocument/2006/relationships/hyperlink" Target="http://www.sonsuzark.com/search/label/Derya%20Beyaz" TargetMode="External"/><Relationship Id="rId283" Type="http://schemas.openxmlformats.org/officeDocument/2006/relationships/hyperlink" Target="https://pbs.twimg.com/media/EGa0LsjW4AMa0UL.jpg" TargetMode="External"/><Relationship Id="rId490" Type="http://schemas.openxmlformats.org/officeDocument/2006/relationships/hyperlink" Target="https://pbs.twimg.com/media/EGcRd0sW4AAXkKS.jpg" TargetMode="External"/><Relationship Id="rId2171" Type="http://schemas.openxmlformats.org/officeDocument/2006/relationships/hyperlink" Target="https://pbs.twimg.com/media/EGb0qQTXUAEfGKW.jpg" TargetMode="External"/><Relationship Id="rId3015" Type="http://schemas.openxmlformats.org/officeDocument/2006/relationships/hyperlink" Target="https://pbs.twimg.com/media/EGbhEvEWoAEt4vG.jpg" TargetMode="External"/><Relationship Id="rId3222" Type="http://schemas.openxmlformats.org/officeDocument/2006/relationships/hyperlink" Target="http://pic.twitter.com/5jquDAqlDX" TargetMode="External"/><Relationship Id="rId143" Type="http://schemas.openxmlformats.org/officeDocument/2006/relationships/hyperlink" Target="http://pic.twitter.com/WoRe3XQflU" TargetMode="External"/><Relationship Id="rId350" Type="http://schemas.openxmlformats.org/officeDocument/2006/relationships/hyperlink" Target="https://pbs.twimg.com/media/EGcV05MWsAU7hEo.jpg" TargetMode="External"/><Relationship Id="rId2031" Type="http://schemas.openxmlformats.org/officeDocument/2006/relationships/hyperlink" Target="http://pic.twitter.com/9Xf8OiqkSD" TargetMode="External"/><Relationship Id="rId9" Type="http://schemas.openxmlformats.org/officeDocument/2006/relationships/hyperlink" Target="http://www.instagram.com/turgayaltay" TargetMode="External"/><Relationship Id="rId210" Type="http://schemas.openxmlformats.org/officeDocument/2006/relationships/hyperlink" Target="https://pbs.twimg.com/media/EGcXGNSXoAEja9F.jpg" TargetMode="External"/><Relationship Id="rId2988" Type="http://schemas.openxmlformats.org/officeDocument/2006/relationships/hyperlink" Target="http://instagram.com/c.ankay23" TargetMode="External"/><Relationship Id="rId1797" Type="http://schemas.openxmlformats.org/officeDocument/2006/relationships/hyperlink" Target="https://pbs.twimg.com/media/EGb-M5vXoAEt2yq.jpg" TargetMode="External"/><Relationship Id="rId2848" Type="http://schemas.openxmlformats.org/officeDocument/2006/relationships/hyperlink" Target="https://pbs.twimg.com/media/EGbjzF9W4AEL9XA.jpg" TargetMode="External"/><Relationship Id="rId89" Type="http://schemas.openxmlformats.org/officeDocument/2006/relationships/hyperlink" Target="https://pbs.twimg.com/media/EGcZRrqXYAAb1zA.jpg" TargetMode="External"/><Relationship Id="rId1657" Type="http://schemas.openxmlformats.org/officeDocument/2006/relationships/hyperlink" Target="https://instagram.com/harungund52?igshid=1mch975j62l6k" TargetMode="External"/><Relationship Id="rId1864" Type="http://schemas.openxmlformats.org/officeDocument/2006/relationships/hyperlink" Target="http://mehmettahmazoglu.com/" TargetMode="External"/><Relationship Id="rId2708" Type="http://schemas.openxmlformats.org/officeDocument/2006/relationships/hyperlink" Target="http://instagram.com/narcikaralp" TargetMode="External"/><Relationship Id="rId2915" Type="http://schemas.openxmlformats.org/officeDocument/2006/relationships/hyperlink" Target="http://pic.twitter.com/RYkHc4Ur8G" TargetMode="External"/><Relationship Id="rId4063" Type="http://schemas.openxmlformats.org/officeDocument/2006/relationships/hyperlink" Target="https://pbs.twimg.com/media/EGbRTKJXYAEWRZy.jpg" TargetMode="External"/><Relationship Id="rId4270" Type="http://schemas.openxmlformats.org/officeDocument/2006/relationships/hyperlink" Target="https://pbs.twimg.com/media/EGbOl7-XYAAw7X8.jpg" TargetMode="External"/><Relationship Id="rId1517" Type="http://schemas.openxmlformats.org/officeDocument/2006/relationships/hyperlink" Target="https://pbs.twimg.com/media/EGcMpyBW4AEjud8.jpg" TargetMode="External"/><Relationship Id="rId1724" Type="http://schemas.openxmlformats.org/officeDocument/2006/relationships/hyperlink" Target="http://muhammetbalta.net/" TargetMode="External"/><Relationship Id="rId4130" Type="http://schemas.openxmlformats.org/officeDocument/2006/relationships/hyperlink" Target="https://pbs.twimg.com/media/EGbQIZaWwAE8QkP.jpg" TargetMode="External"/><Relationship Id="rId16" Type="http://schemas.openxmlformats.org/officeDocument/2006/relationships/hyperlink" Target="https://www.instagram.com/ilgincbilgilerkitabi/" TargetMode="External"/><Relationship Id="rId1931" Type="http://schemas.openxmlformats.org/officeDocument/2006/relationships/hyperlink" Target="https://www.youtube.com/muhalifkarargah" TargetMode="External"/><Relationship Id="rId3689" Type="http://schemas.openxmlformats.org/officeDocument/2006/relationships/hyperlink" Target="https://pbs.twimg.com/media/EGbWDW9WoAAFR2O.jpg" TargetMode="External"/><Relationship Id="rId3896" Type="http://schemas.openxmlformats.org/officeDocument/2006/relationships/hyperlink" Target="https://pbs.twimg.com/media/EGbTOAeX0AAuvmb.jpg" TargetMode="External"/><Relationship Id="rId2498" Type="http://schemas.openxmlformats.org/officeDocument/2006/relationships/hyperlink" Target="https://www.instagram.com/p/B3ZT9FiBdrrwROlSHZ74q7vpYOCFdgQ8CyBjDI0/?igshid=nxwrf5tajagi" TargetMode="External"/><Relationship Id="rId3549" Type="http://schemas.openxmlformats.org/officeDocument/2006/relationships/hyperlink" Target="https://pbs.twimg.com/media/EGbYUHvWkAE-JhD.jpg" TargetMode="External"/><Relationship Id="rId677" Type="http://schemas.openxmlformats.org/officeDocument/2006/relationships/hyperlink" Target="https://pbs.twimg.com/media/EGcP9aHW4AAoXVS.jpg" TargetMode="External"/><Relationship Id="rId2358" Type="http://schemas.openxmlformats.org/officeDocument/2006/relationships/hyperlink" Target="http://pic.twitter.com/2DHRuLd0oU" TargetMode="External"/><Relationship Id="rId3756" Type="http://schemas.openxmlformats.org/officeDocument/2006/relationships/hyperlink" Target="https://pbs.twimg.com/media/EGbVOrPXkAE7gAK.jpg" TargetMode="External"/><Relationship Id="rId3963" Type="http://schemas.openxmlformats.org/officeDocument/2006/relationships/hyperlink" Target="http://pic.twitter.com/56uoASUiW0" TargetMode="External"/><Relationship Id="rId884" Type="http://schemas.openxmlformats.org/officeDocument/2006/relationships/hyperlink" Target="https://pbs.twimg.com/media/EGcRsygX0AADfy7.jpg" TargetMode="External"/><Relationship Id="rId2565" Type="http://schemas.openxmlformats.org/officeDocument/2006/relationships/hyperlink" Target="http://pic.twitter.com/adoAL6XS1f" TargetMode="External"/><Relationship Id="rId2772" Type="http://schemas.openxmlformats.org/officeDocument/2006/relationships/hyperlink" Target="https://twitter.com/zekibahce/status/1181577857111343104" TargetMode="External"/><Relationship Id="rId3409" Type="http://schemas.openxmlformats.org/officeDocument/2006/relationships/hyperlink" Target="https://pbs.twimg.com/media/D2KwefGXgAACWK6.jpg" TargetMode="External"/><Relationship Id="rId3616" Type="http://schemas.openxmlformats.org/officeDocument/2006/relationships/hyperlink" Target="https://pbs.twimg.com/media/EGbXQvqWwAA4Wm0.jpg" TargetMode="External"/><Relationship Id="rId3823" Type="http://schemas.openxmlformats.org/officeDocument/2006/relationships/hyperlink" Target="https://pbs.twimg.com/media/EAjn31NW4AECfVi.jpg" TargetMode="External"/><Relationship Id="rId537" Type="http://schemas.openxmlformats.org/officeDocument/2006/relationships/hyperlink" Target="https://pbs.twimg.com/media/EGcUKt2XYAAqvKx.jpg" TargetMode="External"/><Relationship Id="rId744" Type="http://schemas.openxmlformats.org/officeDocument/2006/relationships/hyperlink" Target="https://pbs.twimg.com/media/EGcSjvSXkAMkvQT.jpg" TargetMode="External"/><Relationship Id="rId951" Type="http://schemas.openxmlformats.org/officeDocument/2006/relationships/hyperlink" Target="https://pbs.twimg.com/media/EGcRME7WoAIIDue.jpg" TargetMode="External"/><Relationship Id="rId1167" Type="http://schemas.openxmlformats.org/officeDocument/2006/relationships/hyperlink" Target="https://se.linkedin.com/in/patrik-ask-ba0178110" TargetMode="External"/><Relationship Id="rId1374" Type="http://schemas.openxmlformats.org/officeDocument/2006/relationships/hyperlink" Target="https://pbs.twimg.com/media/EGbMH8-WwAATKqC.jpg" TargetMode="External"/><Relationship Id="rId1581" Type="http://schemas.openxmlformats.org/officeDocument/2006/relationships/hyperlink" Target="https://pbs.twimg.com/media/EGcMXpoW4AE9ItR.jpg" TargetMode="External"/><Relationship Id="rId2218" Type="http://schemas.openxmlformats.org/officeDocument/2006/relationships/hyperlink" Target="https://pbs.twimg.com/media/EGbzhfBWkAAwGIT.jpg" TargetMode="External"/><Relationship Id="rId2425" Type="http://schemas.openxmlformats.org/officeDocument/2006/relationships/hyperlink" Target="https://pbs.twimg.com/media/EGbt_FhWwAE4NSL.jpg" TargetMode="External"/><Relationship Id="rId2632" Type="http://schemas.openxmlformats.org/officeDocument/2006/relationships/hyperlink" Target="https://pbs.twimg.com/media/EGbo3aTXUAAoh8j.jpg" TargetMode="External"/><Relationship Id="rId80" Type="http://schemas.openxmlformats.org/officeDocument/2006/relationships/hyperlink" Target="https://instagram.com/erol.sapaloglu/" TargetMode="External"/><Relationship Id="rId604" Type="http://schemas.openxmlformats.org/officeDocument/2006/relationships/hyperlink" Target="https://pbs.twimg.com/media/EGcTmIWXUAAS0nr.jpg" TargetMode="External"/><Relationship Id="rId811" Type="http://schemas.openxmlformats.org/officeDocument/2006/relationships/hyperlink" Target="http://pic.twitter.com/BsAC8w33PA" TargetMode="External"/><Relationship Id="rId1027" Type="http://schemas.openxmlformats.org/officeDocument/2006/relationships/hyperlink" Target="https://pbs.twimg.com/media/EGcQnZFXoAAdaVS.jpg" TargetMode="External"/><Relationship Id="rId1234" Type="http://schemas.openxmlformats.org/officeDocument/2006/relationships/hyperlink" Target="https://pbs.twimg.com/media/EGcOuHFWsAAp0-A.jpg" TargetMode="External"/><Relationship Id="rId1441" Type="http://schemas.openxmlformats.org/officeDocument/2006/relationships/hyperlink" Target="https://pbs.twimg.com/media/EGcHv0WX0AANkha.jpg" TargetMode="External"/><Relationship Id="rId1301" Type="http://schemas.openxmlformats.org/officeDocument/2006/relationships/hyperlink" Target="https://pbs.twimg.com/media/EGcOFVoXUAAWwxU.jpg" TargetMode="External"/><Relationship Id="rId3199" Type="http://schemas.openxmlformats.org/officeDocument/2006/relationships/hyperlink" Target="http://pic.twitter.com/HJQbWWFHcd" TargetMode="External"/><Relationship Id="rId4457" Type="http://schemas.openxmlformats.org/officeDocument/2006/relationships/hyperlink" Target="https://pbs.twimg.com/media/EGbMZukW4AA9FV6.jpg" TargetMode="External"/><Relationship Id="rId3059" Type="http://schemas.openxmlformats.org/officeDocument/2006/relationships/hyperlink" Target="https://pbs.twimg.com/media/EGbfbAbWwAAvcEq.jpg" TargetMode="External"/><Relationship Id="rId3266" Type="http://schemas.openxmlformats.org/officeDocument/2006/relationships/hyperlink" Target="https://pbs.twimg.com/media/EGbWKzKWwAEGt7p.jpg" TargetMode="External"/><Relationship Id="rId3473" Type="http://schemas.openxmlformats.org/officeDocument/2006/relationships/hyperlink" Target="http://anitsayac.com/" TargetMode="External"/><Relationship Id="rId4317" Type="http://schemas.openxmlformats.org/officeDocument/2006/relationships/hyperlink" Target="http://gazetembayrakli.com/" TargetMode="External"/><Relationship Id="rId4524" Type="http://schemas.openxmlformats.org/officeDocument/2006/relationships/hyperlink" Target="https://pbs.twimg.com/media/EGbLqobW4AIJQX7.jpg" TargetMode="External"/><Relationship Id="rId187" Type="http://schemas.openxmlformats.org/officeDocument/2006/relationships/hyperlink" Target="https://sakinca.com/" TargetMode="External"/><Relationship Id="rId394" Type="http://schemas.openxmlformats.org/officeDocument/2006/relationships/hyperlink" Target="https://pbs.twimg.com/media/EGcVc5XWkAE9pBB.jpg" TargetMode="External"/><Relationship Id="rId2075" Type="http://schemas.openxmlformats.org/officeDocument/2006/relationships/hyperlink" Target="https://pbs.twimg.com/media/EGb3I97X0AAsW3T.jpg" TargetMode="External"/><Relationship Id="rId2282" Type="http://schemas.openxmlformats.org/officeDocument/2006/relationships/hyperlink" Target="https://twitter.com/eskibirmuhtar/status/1181830089085992960" TargetMode="External"/><Relationship Id="rId3126" Type="http://schemas.openxmlformats.org/officeDocument/2006/relationships/hyperlink" Target="http://pic.twitter.com/eXVwXYgULs" TargetMode="External"/><Relationship Id="rId3680" Type="http://schemas.openxmlformats.org/officeDocument/2006/relationships/hyperlink" Target="https://pbs.twimg.com/media/EGbWJiEWkAUJpAr.jpg" TargetMode="External"/><Relationship Id="rId254" Type="http://schemas.openxmlformats.org/officeDocument/2006/relationships/hyperlink" Target="https://twitter.com/tcbestepe/status/1181928485868232705" TargetMode="External"/><Relationship Id="rId1091" Type="http://schemas.openxmlformats.org/officeDocument/2006/relationships/hyperlink" Target="https://pbs.twimg.com/media/EGcQFSBX0AA7HVQ.jpg" TargetMode="External"/><Relationship Id="rId3333" Type="http://schemas.openxmlformats.org/officeDocument/2006/relationships/hyperlink" Target="http://pic.twitter.com/opxMmUrZJr" TargetMode="External"/><Relationship Id="rId3540" Type="http://schemas.openxmlformats.org/officeDocument/2006/relationships/hyperlink" Target="https://pbs.twimg.com/media/EGbYZPRXUAEV4PU.jpg" TargetMode="External"/><Relationship Id="rId114" Type="http://schemas.openxmlformats.org/officeDocument/2006/relationships/hyperlink" Target="http://pic.twitter.com/jopjWhSTyT" TargetMode="External"/><Relationship Id="rId461" Type="http://schemas.openxmlformats.org/officeDocument/2006/relationships/hyperlink" Target="http://pic.twitter.com/bQ54aGEL48" TargetMode="External"/><Relationship Id="rId2142" Type="http://schemas.openxmlformats.org/officeDocument/2006/relationships/hyperlink" Target="http://pic.twitter.com/IVeSnCJz38" TargetMode="External"/><Relationship Id="rId3400" Type="http://schemas.openxmlformats.org/officeDocument/2006/relationships/hyperlink" Target="https://pbs.twimg.com/media/EGbag5MWoAIisU_.jpg" TargetMode="External"/><Relationship Id="rId321" Type="http://schemas.openxmlformats.org/officeDocument/2006/relationships/hyperlink" Target="https://pbs.twimg.com/media/EGcWFAkXoAA6OzE.jpg" TargetMode="External"/><Relationship Id="rId2002" Type="http://schemas.openxmlformats.org/officeDocument/2006/relationships/hyperlink" Target="https://pbs.twimg.com/media/EGb4u9vXoAMvNNj.jpg" TargetMode="External"/><Relationship Id="rId2959" Type="http://schemas.openxmlformats.org/officeDocument/2006/relationships/hyperlink" Target="http://azbuz.org/" TargetMode="External"/><Relationship Id="rId1768" Type="http://schemas.openxmlformats.org/officeDocument/2006/relationships/hyperlink" Target="https://www.youtube.com/channel/UC8OP9lvImOKpZ_zDuql931Q?disable_polymer=true" TargetMode="External"/><Relationship Id="rId2819" Type="http://schemas.openxmlformats.org/officeDocument/2006/relationships/hyperlink" Target="https://pbs.twimg.com/media/EGbkX7LWoAAtLjl.jpg" TargetMode="External"/><Relationship Id="rId4174" Type="http://schemas.openxmlformats.org/officeDocument/2006/relationships/hyperlink" Target="https://pbs.twimg.com/media/EGbPntqXYAEE3mv.jpg" TargetMode="External"/><Relationship Id="rId4381" Type="http://schemas.openxmlformats.org/officeDocument/2006/relationships/hyperlink" Target="https://pbs.twimg.com/media/EGbNbwzW4AAFZ4O.jpg" TargetMode="External"/><Relationship Id="rId1628" Type="http://schemas.openxmlformats.org/officeDocument/2006/relationships/hyperlink" Target="https://pbs.twimg.com/media/EGcMH3dWwAAfZfl.jpg" TargetMode="External"/><Relationship Id="rId1975" Type="http://schemas.openxmlformats.org/officeDocument/2006/relationships/hyperlink" Target="https://pbs.twimg.com/media/EGb5UCxWkAUy5wT.jpg" TargetMode="External"/><Relationship Id="rId3190" Type="http://schemas.openxmlformats.org/officeDocument/2006/relationships/hyperlink" Target="https://twitter.com/trofr2/status/1181704755971870720" TargetMode="External"/><Relationship Id="rId4034" Type="http://schemas.openxmlformats.org/officeDocument/2006/relationships/hyperlink" Target="https://pbs.twimg.com/media/EGbRlX7WkAAuE_B.jpg" TargetMode="External"/><Relationship Id="rId4241" Type="http://schemas.openxmlformats.org/officeDocument/2006/relationships/hyperlink" Target="http://www.instagram.com/mr.enees" TargetMode="External"/><Relationship Id="rId1835" Type="http://schemas.openxmlformats.org/officeDocument/2006/relationships/hyperlink" Target="https://pbs.twimg.com/media/EGb8_fSXoAAKHg6.jpg" TargetMode="External"/><Relationship Id="rId3050" Type="http://schemas.openxmlformats.org/officeDocument/2006/relationships/hyperlink" Target="https://pbs.twimg.com/media/EGbgeLaXkAALKbB.jpg" TargetMode="External"/><Relationship Id="rId4101" Type="http://schemas.openxmlformats.org/officeDocument/2006/relationships/hyperlink" Target="https://twitter.com/" TargetMode="External"/><Relationship Id="rId1902" Type="http://schemas.openxmlformats.org/officeDocument/2006/relationships/hyperlink" Target="https://www.youtube.com/channel/UCB9VeccIu0Qsy6czgP3GeZQ" TargetMode="External"/><Relationship Id="rId3867" Type="http://schemas.openxmlformats.org/officeDocument/2006/relationships/hyperlink" Target="http://pic.twitter.com/bOecOlosvx" TargetMode="External"/><Relationship Id="rId788" Type="http://schemas.openxmlformats.org/officeDocument/2006/relationships/hyperlink" Target="https://pbs.twimg.com/media/EGcSTrwXUAAZi9C.jpg" TargetMode="External"/><Relationship Id="rId995" Type="http://schemas.openxmlformats.org/officeDocument/2006/relationships/hyperlink" Target="https://threader.app/" TargetMode="External"/><Relationship Id="rId2469" Type="http://schemas.openxmlformats.org/officeDocument/2006/relationships/hyperlink" Target="https://pbs.twimg.com/media/D46Zj-tW4AAIrOF.jpg" TargetMode="External"/><Relationship Id="rId2676" Type="http://schemas.openxmlformats.org/officeDocument/2006/relationships/hyperlink" Target="https://pbs.twimg.com/media/EGbn6qCWoAIxu44.jpg" TargetMode="External"/><Relationship Id="rId2883" Type="http://schemas.openxmlformats.org/officeDocument/2006/relationships/hyperlink" Target="https://pbs.twimg.com/media/EGbjM61XUAA6wAq.jpg" TargetMode="External"/><Relationship Id="rId3727" Type="http://schemas.openxmlformats.org/officeDocument/2006/relationships/hyperlink" Target="https://www.yenisafak.com/" TargetMode="External"/><Relationship Id="rId3934" Type="http://schemas.openxmlformats.org/officeDocument/2006/relationships/hyperlink" Target="http://pic.twitter.com/3URbUybQC4" TargetMode="External"/><Relationship Id="rId648" Type="http://schemas.openxmlformats.org/officeDocument/2006/relationships/hyperlink" Target="https://pbs.twimg.com/media/EGcTQROX0AUnkFy.jpg" TargetMode="External"/><Relationship Id="rId855" Type="http://schemas.openxmlformats.org/officeDocument/2006/relationships/hyperlink" Target="http://pic.twitter.com/cQzrS1ZHtk" TargetMode="External"/><Relationship Id="rId1278" Type="http://schemas.openxmlformats.org/officeDocument/2006/relationships/hyperlink" Target="http://www.researcherid.com/rid/C-1160-2011" TargetMode="External"/><Relationship Id="rId1485" Type="http://schemas.openxmlformats.org/officeDocument/2006/relationships/hyperlink" Target="https://twitter.com/SuriyeTurkleri/status/1181922976834506754?s=20" TargetMode="External"/><Relationship Id="rId1692" Type="http://schemas.openxmlformats.org/officeDocument/2006/relationships/hyperlink" Target="https://pbs.twimg.com/media/EGcLyF8X0AAbr11.jpg" TargetMode="External"/><Relationship Id="rId2329" Type="http://schemas.openxmlformats.org/officeDocument/2006/relationships/hyperlink" Target="https://youtu.be/wo3jMzaleAI" TargetMode="External"/><Relationship Id="rId2536" Type="http://schemas.openxmlformats.org/officeDocument/2006/relationships/hyperlink" Target="https://www.facebook.com/DuaTaNeLeRi/" TargetMode="External"/><Relationship Id="rId2743" Type="http://schemas.openxmlformats.org/officeDocument/2006/relationships/hyperlink" Target="https://pbs.twimg.com/media/EGbmNafXYAcykcp.jpg" TargetMode="External"/><Relationship Id="rId508" Type="http://schemas.openxmlformats.org/officeDocument/2006/relationships/hyperlink" Target="https://pbs.twimg.com/media/EGcUatJWkAEdmyt.jpg" TargetMode="External"/><Relationship Id="rId715" Type="http://schemas.openxmlformats.org/officeDocument/2006/relationships/hyperlink" Target="http://pic.twitter.com/W69UozHOP5" TargetMode="External"/><Relationship Id="rId922" Type="http://schemas.openxmlformats.org/officeDocument/2006/relationships/hyperlink" Target="http://www.sakinca.com/" TargetMode="External"/><Relationship Id="rId1138" Type="http://schemas.openxmlformats.org/officeDocument/2006/relationships/hyperlink" Target="https://pbs.twimg.com/media/EGcPm7TX0AI8jpI.jpg" TargetMode="External"/><Relationship Id="rId1345" Type="http://schemas.openxmlformats.org/officeDocument/2006/relationships/hyperlink" Target="https://pbs.twimg.com/media/EGcNvO_XUAAK9Jr.jpg" TargetMode="External"/><Relationship Id="rId1552" Type="http://schemas.openxmlformats.org/officeDocument/2006/relationships/hyperlink" Target="https://www.milatgazetesi.com/gundem/jetler-diyarbakirdan-baris-pinari-icin-havalaniyor/haber-219247" TargetMode="External"/><Relationship Id="rId2603" Type="http://schemas.openxmlformats.org/officeDocument/2006/relationships/hyperlink" Target="https://pbs.twimg.com/media/EGbpmmKX0AIzEsM.jpg" TargetMode="External"/><Relationship Id="rId2950" Type="http://schemas.openxmlformats.org/officeDocument/2006/relationships/hyperlink" Target="https://pbs.twimg.com/media/EGbiMD2WwAAmdDu.jpg" TargetMode="External"/><Relationship Id="rId1205" Type="http://schemas.openxmlformats.org/officeDocument/2006/relationships/hyperlink" Target="http://instagram.com/ertanaltun" TargetMode="External"/><Relationship Id="rId2810" Type="http://schemas.openxmlformats.org/officeDocument/2006/relationships/hyperlink" Target="http://facebook.com/ahmetsaylik" TargetMode="External"/><Relationship Id="rId51" Type="http://schemas.openxmlformats.org/officeDocument/2006/relationships/hyperlink" Target="https://www.facebook.com/EmniyetGM/photos/a.267321400059526/1592388124219507/?type=3&amp;theater" TargetMode="External"/><Relationship Id="rId1412" Type="http://schemas.openxmlformats.org/officeDocument/2006/relationships/hyperlink" Target="https://www.instagram.com/p/B3ZkeT0FwDK-AA0zSsjzlDuJVo0a29ijzVrZLk0/?igshid=16izk8diquarj" TargetMode="External"/><Relationship Id="rId3377" Type="http://schemas.openxmlformats.org/officeDocument/2006/relationships/hyperlink" Target="https://pbs.twimg.com/media/DsihnnhXQAA4Rl3.jpg" TargetMode="External"/><Relationship Id="rId298" Type="http://schemas.openxmlformats.org/officeDocument/2006/relationships/hyperlink" Target="http://pic.twitter.com/Vz3bCVxiWI" TargetMode="External"/><Relationship Id="rId3584" Type="http://schemas.openxmlformats.org/officeDocument/2006/relationships/hyperlink" Target="http://pic.twitter.com/5bGbx67PPr" TargetMode="External"/><Relationship Id="rId3791" Type="http://schemas.openxmlformats.org/officeDocument/2006/relationships/hyperlink" Target="https://pbs.twimg.com/media/EGbUyQWWkAMiHo8.jpg" TargetMode="External"/><Relationship Id="rId4428" Type="http://schemas.openxmlformats.org/officeDocument/2006/relationships/hyperlink" Target="https://pbs.twimg.com/media/EGbMxFrX0AAddh-.jpg" TargetMode="External"/><Relationship Id="rId158" Type="http://schemas.openxmlformats.org/officeDocument/2006/relationships/hyperlink" Target="https://pbs.twimg.com/media/EGcX5YiXUAAEvso.jpg" TargetMode="External"/><Relationship Id="rId2186" Type="http://schemas.openxmlformats.org/officeDocument/2006/relationships/hyperlink" Target="http://www.temizkarakalem.com/" TargetMode="External"/><Relationship Id="rId2393" Type="http://schemas.openxmlformats.org/officeDocument/2006/relationships/hyperlink" Target="http://pic.twitter.com/tOqsDT8g7a" TargetMode="External"/><Relationship Id="rId3237" Type="http://schemas.openxmlformats.org/officeDocument/2006/relationships/hyperlink" Target="http://pic.twitter.com/m6S6VXzOS5" TargetMode="External"/><Relationship Id="rId3444" Type="http://schemas.openxmlformats.org/officeDocument/2006/relationships/hyperlink" Target="https://pbs.twimg.com/media/EGbZ3juXUAA_8q5.jpg" TargetMode="External"/><Relationship Id="rId3651" Type="http://schemas.openxmlformats.org/officeDocument/2006/relationships/hyperlink" Target="https://pbs.twimg.com/media/EGbWne9XoAAgOW4.jpg" TargetMode="External"/><Relationship Id="rId365" Type="http://schemas.openxmlformats.org/officeDocument/2006/relationships/hyperlink" Target="https://pbs.twimg.com/media/EGcVuqTXoAA-XxR.jpg" TargetMode="External"/><Relationship Id="rId572" Type="http://schemas.openxmlformats.org/officeDocument/2006/relationships/hyperlink" Target="https://pbs.twimg.com/media/EGcT1A2XUAAZ8n4.jpg" TargetMode="External"/><Relationship Id="rId2046" Type="http://schemas.openxmlformats.org/officeDocument/2006/relationships/hyperlink" Target="https://pbs.twimg.com/media/EGb3zW1WoAA6GOP.jpg" TargetMode="External"/><Relationship Id="rId2253" Type="http://schemas.openxmlformats.org/officeDocument/2006/relationships/hyperlink" Target="http://pic.twitter.com/2sJpH1TAyh" TargetMode="External"/><Relationship Id="rId2460" Type="http://schemas.openxmlformats.org/officeDocument/2006/relationships/hyperlink" Target="http://pic.twitter.com/Xqbjvh2GhE" TargetMode="External"/><Relationship Id="rId3304" Type="http://schemas.openxmlformats.org/officeDocument/2006/relationships/hyperlink" Target="https://pbs.twimg.com/media/EGbcJozXYAAfpvS.jpg" TargetMode="External"/><Relationship Id="rId3511" Type="http://schemas.openxmlformats.org/officeDocument/2006/relationships/hyperlink" Target="https://pbs.twimg.com/media/EGbYsxmXUAE0O9M.jpg" TargetMode="External"/><Relationship Id="rId225" Type="http://schemas.openxmlformats.org/officeDocument/2006/relationships/hyperlink" Target="https://www.perde-mobilya-dekorasyon.com/" TargetMode="External"/><Relationship Id="rId432" Type="http://schemas.openxmlformats.org/officeDocument/2006/relationships/hyperlink" Target="http://instagram.com/mehmtrastkahrman" TargetMode="External"/><Relationship Id="rId1062" Type="http://schemas.openxmlformats.org/officeDocument/2006/relationships/hyperlink" Target="http://instagram.com/fubaris" TargetMode="External"/><Relationship Id="rId2113" Type="http://schemas.openxmlformats.org/officeDocument/2006/relationships/hyperlink" Target="https://pbs.twimg.com/media/EGb2KpOXkAA6lFr.jpg" TargetMode="External"/><Relationship Id="rId2320" Type="http://schemas.openxmlformats.org/officeDocument/2006/relationships/hyperlink" Target="https://twitter.com/Trabzonspor/status/1181451561559572480" TargetMode="External"/><Relationship Id="rId4078" Type="http://schemas.openxmlformats.org/officeDocument/2006/relationships/hyperlink" Target="https://pbs.twimg.com/media/EGbQ-MgWoAATicz.jpg" TargetMode="External"/><Relationship Id="rId4285" Type="http://schemas.openxmlformats.org/officeDocument/2006/relationships/hyperlink" Target="https://twitter.com/search?f=tweets&amp;vertical=default&amp;q=%23BedelliAskerlik&amp;src=tyah" TargetMode="External"/><Relationship Id="rId4492" Type="http://schemas.openxmlformats.org/officeDocument/2006/relationships/hyperlink" Target="http://pic.twitter.com/2Hu12J0CvW" TargetMode="External"/><Relationship Id="rId1879" Type="http://schemas.openxmlformats.org/officeDocument/2006/relationships/hyperlink" Target="http://pic.twitter.com/xpM3j3oZJQ" TargetMode="External"/><Relationship Id="rId3094" Type="http://schemas.openxmlformats.org/officeDocument/2006/relationships/hyperlink" Target="https://pbs.twimg.com/media/EGbflbGWoAATV45.jpg" TargetMode="External"/><Relationship Id="rId4145" Type="http://schemas.openxmlformats.org/officeDocument/2006/relationships/hyperlink" Target="http://fenerbah&#231;e.sk/" TargetMode="External"/><Relationship Id="rId1739" Type="http://schemas.openxmlformats.org/officeDocument/2006/relationships/hyperlink" Target="https://pbs.twimg.com/media/EGb_2vRXUAAkqML.jpg" TargetMode="External"/><Relationship Id="rId1946" Type="http://schemas.openxmlformats.org/officeDocument/2006/relationships/hyperlink" Target="http://pic.twitter.com/4N08TmrzT4" TargetMode="External"/><Relationship Id="rId4005" Type="http://schemas.openxmlformats.org/officeDocument/2006/relationships/hyperlink" Target="https://pbs.twimg.com/media/EGbR9XKWkAAwOss.jpg" TargetMode="External"/><Relationship Id="rId4352" Type="http://schemas.openxmlformats.org/officeDocument/2006/relationships/hyperlink" Target="https://pbs.twimg.com/media/EGbNtxuXkAArczd.jpg" TargetMode="External"/><Relationship Id="rId1806" Type="http://schemas.openxmlformats.org/officeDocument/2006/relationships/hyperlink" Target="https://pbs.twimg.com/media/EGb977xWoAEZAY5.jpg" TargetMode="External"/><Relationship Id="rId3161" Type="http://schemas.openxmlformats.org/officeDocument/2006/relationships/hyperlink" Target="http://www.facebook.com/YolTelevizyon/posts/2585050291515969" TargetMode="External"/><Relationship Id="rId4212" Type="http://schemas.openxmlformats.org/officeDocument/2006/relationships/hyperlink" Target="https://m.youtube.com/wolkytv" TargetMode="External"/><Relationship Id="rId3021" Type="http://schemas.openxmlformats.org/officeDocument/2006/relationships/hyperlink" Target="https://pbs.twimg.com/media/EGbg1_YXUAA9N_Z.jpg" TargetMode="External"/><Relationship Id="rId3978" Type="http://schemas.openxmlformats.org/officeDocument/2006/relationships/hyperlink" Target="http://pic.twitter.com/wQRcctGjy4" TargetMode="External"/><Relationship Id="rId899" Type="http://schemas.openxmlformats.org/officeDocument/2006/relationships/hyperlink" Target="https://pbs.twimg.com/media/EGcLRB5XYAAv86c.jpg" TargetMode="External"/><Relationship Id="rId2787" Type="http://schemas.openxmlformats.org/officeDocument/2006/relationships/hyperlink" Target="https://pbs.twimg.com/media/EGbk7i3XYAEeWHY.jpg" TargetMode="External"/><Relationship Id="rId3838" Type="http://schemas.openxmlformats.org/officeDocument/2006/relationships/hyperlink" Target="https://pbs.twimg.com/media/EGbUGldXoAANJN9.jpg" TargetMode="External"/><Relationship Id="rId759" Type="http://schemas.openxmlformats.org/officeDocument/2006/relationships/hyperlink" Target="https://www.youtube.com/channel/UC7qKRQL4rTwo0grmpVgsF_w" TargetMode="External"/><Relationship Id="rId966" Type="http://schemas.openxmlformats.org/officeDocument/2006/relationships/hyperlink" Target="http://www.instagram.com/tahirsimsek" TargetMode="External"/><Relationship Id="rId1389" Type="http://schemas.openxmlformats.org/officeDocument/2006/relationships/hyperlink" Target="http://akgercekler.com/" TargetMode="External"/><Relationship Id="rId1596" Type="http://schemas.openxmlformats.org/officeDocument/2006/relationships/hyperlink" Target="https://pbs.twimg.com/media/EGcMThZXoAAb36l.jpg" TargetMode="External"/><Relationship Id="rId2647" Type="http://schemas.openxmlformats.org/officeDocument/2006/relationships/hyperlink" Target="https://pbs.twimg.com/media/EGboawuXYAAD4H9.jpg" TargetMode="External"/><Relationship Id="rId2994" Type="http://schemas.openxmlformats.org/officeDocument/2006/relationships/hyperlink" Target="https://twitter.com/ulutanrim/status/1180770162435379202" TargetMode="External"/><Relationship Id="rId619" Type="http://schemas.openxmlformats.org/officeDocument/2006/relationships/hyperlink" Target="https://pbs.twimg.com/media/EGcTdxxX0AAz6we.jpg" TargetMode="External"/><Relationship Id="rId1249" Type="http://schemas.openxmlformats.org/officeDocument/2006/relationships/hyperlink" Target="https://pbs.twimg.com/media/EGcOimtXkAANvfl.jpg" TargetMode="External"/><Relationship Id="rId2854" Type="http://schemas.openxmlformats.org/officeDocument/2006/relationships/hyperlink" Target="https://pbs.twimg.com/media/EGbjoLuXkAAw18i.jpg" TargetMode="External"/><Relationship Id="rId3905" Type="http://schemas.openxmlformats.org/officeDocument/2006/relationships/hyperlink" Target="https://pbs.twimg.com/media/EGbTW_WWoAIzJpS.jpg" TargetMode="External"/><Relationship Id="rId95" Type="http://schemas.openxmlformats.org/officeDocument/2006/relationships/hyperlink" Target="http://pic.twitter.com/FrlTFMgF0h" TargetMode="External"/><Relationship Id="rId826" Type="http://schemas.openxmlformats.org/officeDocument/2006/relationships/hyperlink" Target="https://pbs.twimg.com/media/EGcSE6zWsAE6Lc6.jpg" TargetMode="External"/><Relationship Id="rId1109" Type="http://schemas.openxmlformats.org/officeDocument/2006/relationships/hyperlink" Target="https://twitter.com/rterdogan/status/1181924014157156357" TargetMode="External"/><Relationship Id="rId1456" Type="http://schemas.openxmlformats.org/officeDocument/2006/relationships/hyperlink" Target="https://pbs.twimg.com/media/EGcM7s7XkAUh2hL.jpg" TargetMode="External"/><Relationship Id="rId1663" Type="http://schemas.openxmlformats.org/officeDocument/2006/relationships/hyperlink" Target="https://pbs.twimg.com/media/EGcL6szXoAAzc9J.jpg" TargetMode="External"/><Relationship Id="rId1870" Type="http://schemas.openxmlformats.org/officeDocument/2006/relationships/hyperlink" Target="https://ift.tt/2MuMv9K" TargetMode="External"/><Relationship Id="rId2507" Type="http://schemas.openxmlformats.org/officeDocument/2006/relationships/hyperlink" Target="http://instagram.com/yc.kayaa" TargetMode="External"/><Relationship Id="rId2714" Type="http://schemas.openxmlformats.org/officeDocument/2006/relationships/hyperlink" Target="https://pbs.twimg.com/media/EGbm2rTW4AA07ub.jpg" TargetMode="External"/><Relationship Id="rId2921" Type="http://schemas.openxmlformats.org/officeDocument/2006/relationships/hyperlink" Target="https://twitter.com/RahmetSanl/status/1181878119755583488" TargetMode="External"/><Relationship Id="rId1316" Type="http://schemas.openxmlformats.org/officeDocument/2006/relationships/hyperlink" Target="http://www.samikoroglu.com/" TargetMode="External"/><Relationship Id="rId1523" Type="http://schemas.openxmlformats.org/officeDocument/2006/relationships/hyperlink" Target="http://www.facebook.com/suleymandundarofficial" TargetMode="External"/><Relationship Id="rId1730" Type="http://schemas.openxmlformats.org/officeDocument/2006/relationships/hyperlink" Target="https://pbs.twimg.com/media/EGcLnuvWoAAxJ_q.jpg" TargetMode="External"/><Relationship Id="rId22" Type="http://schemas.openxmlformats.org/officeDocument/2006/relationships/hyperlink" Target="http://pic.twitter.com/bB0QhV8m5C" TargetMode="External"/><Relationship Id="rId3488" Type="http://schemas.openxmlformats.org/officeDocument/2006/relationships/hyperlink" Target="https://pbs.twimg.com/media/EGbZPmDXYAAUZyk.jpg" TargetMode="External"/><Relationship Id="rId3695" Type="http://schemas.openxmlformats.org/officeDocument/2006/relationships/hyperlink" Target="https://pbs.twimg.com/media/EGbWBeFWwAEXh2u.jpg" TargetMode="External"/><Relationship Id="rId2297" Type="http://schemas.openxmlformats.org/officeDocument/2006/relationships/hyperlink" Target="http://akparti.org.tr/" TargetMode="External"/><Relationship Id="rId3348" Type="http://schemas.openxmlformats.org/officeDocument/2006/relationships/hyperlink" Target="http://instagram.com/esatdagiistan" TargetMode="External"/><Relationship Id="rId3555" Type="http://schemas.openxmlformats.org/officeDocument/2006/relationships/hyperlink" Target="http://pic.twitter.com/yN7bcK7UbL" TargetMode="External"/><Relationship Id="rId3762" Type="http://schemas.openxmlformats.org/officeDocument/2006/relationships/hyperlink" Target="https://youtu.be/XBYvZJoWBbQ" TargetMode="External"/><Relationship Id="rId269" Type="http://schemas.openxmlformats.org/officeDocument/2006/relationships/hyperlink" Target="https://pbs.twimg.com/media/EGcWRbDW4AAGn00.jpg" TargetMode="External"/><Relationship Id="rId476" Type="http://schemas.openxmlformats.org/officeDocument/2006/relationships/hyperlink" Target="http://www.instagram.com/cccemilcan/" TargetMode="External"/><Relationship Id="rId683" Type="http://schemas.openxmlformats.org/officeDocument/2006/relationships/hyperlink" Target="https://www.yenisafak.com/video-galeri/gundem/baris-pinari-harekati-basladi-vuralan-pkk-mevzilerinden-ilk-goruntuler-2198824" TargetMode="External"/><Relationship Id="rId890" Type="http://schemas.openxmlformats.org/officeDocument/2006/relationships/hyperlink" Target="https://pbs.twimg.com/media/EGcRpx-WsAAc3Tv.jpg" TargetMode="External"/><Relationship Id="rId2157" Type="http://schemas.openxmlformats.org/officeDocument/2006/relationships/hyperlink" Target="https://pbs.twimg.com/media/EGb0-SVWoA0HnCH.jpg" TargetMode="External"/><Relationship Id="rId2364" Type="http://schemas.openxmlformats.org/officeDocument/2006/relationships/hyperlink" Target="https://youtu.be/DxCKHTfQNw0" TargetMode="External"/><Relationship Id="rId2571" Type="http://schemas.openxmlformats.org/officeDocument/2006/relationships/hyperlink" Target="https://pbs.twimg.com/media/EGbqIpsXUAE_PyF.jpg" TargetMode="External"/><Relationship Id="rId3208" Type="http://schemas.openxmlformats.org/officeDocument/2006/relationships/hyperlink" Target="https://pbs.twimg.com/media/EGbd2iZXYAAGsYB.jpg" TargetMode="External"/><Relationship Id="rId3415" Type="http://schemas.openxmlformats.org/officeDocument/2006/relationships/hyperlink" Target="https://pbs.twimg.com/media/EGbaR5qWsAUZ0sL.jpg" TargetMode="External"/><Relationship Id="rId129" Type="http://schemas.openxmlformats.org/officeDocument/2006/relationships/hyperlink" Target="https://pbs.twimg.com/media/EGcYaIMWkAAevgF.jpg" TargetMode="External"/><Relationship Id="rId336" Type="http://schemas.openxmlformats.org/officeDocument/2006/relationships/hyperlink" Target="https://pbs.twimg.com/media/EGcWAGGXUAc7mQY.jpg" TargetMode="External"/><Relationship Id="rId543" Type="http://schemas.openxmlformats.org/officeDocument/2006/relationships/hyperlink" Target="https://pbs.twimg.com/media/EGcUAxsXYAA1m7V.jpg" TargetMode="External"/><Relationship Id="rId1173" Type="http://schemas.openxmlformats.org/officeDocument/2006/relationships/hyperlink" Target="https://pbs.twimg.com/media/EGcPPqOXoAAqbeZ.jpg" TargetMode="External"/><Relationship Id="rId1380" Type="http://schemas.openxmlformats.org/officeDocument/2006/relationships/hyperlink" Target="http://instagram.com/hasimmtekinn" TargetMode="External"/><Relationship Id="rId2017" Type="http://schemas.openxmlformats.org/officeDocument/2006/relationships/hyperlink" Target="http://soundcloud.com/tharealseyda" TargetMode="External"/><Relationship Id="rId2224" Type="http://schemas.openxmlformats.org/officeDocument/2006/relationships/hyperlink" Target="https://pbs.twimg.com/media/EGbzYiBXkAA5IuP.jpg" TargetMode="External"/><Relationship Id="rId3622" Type="http://schemas.openxmlformats.org/officeDocument/2006/relationships/hyperlink" Target="http://yetmez.biz/" TargetMode="External"/><Relationship Id="rId403" Type="http://schemas.openxmlformats.org/officeDocument/2006/relationships/hyperlink" Target="https://pbs.twimg.com/media/EGcVYTiW4AEb2RE.jpg" TargetMode="External"/><Relationship Id="rId750" Type="http://schemas.openxmlformats.org/officeDocument/2006/relationships/hyperlink" Target="http://teachforpeace.blogspot.com/" TargetMode="External"/><Relationship Id="rId1033" Type="http://schemas.openxmlformats.org/officeDocument/2006/relationships/hyperlink" Target="http://instagram.com/arslannn.eda" TargetMode="External"/><Relationship Id="rId2431" Type="http://schemas.openxmlformats.org/officeDocument/2006/relationships/hyperlink" Target="http://pic.twitter.com/PDdI8LXi1a" TargetMode="External"/><Relationship Id="rId4189" Type="http://schemas.openxmlformats.org/officeDocument/2006/relationships/hyperlink" Target="https://pbs.twimg.com/media/EGbPdtRXYAE_L1P.jpg" TargetMode="External"/><Relationship Id="rId610" Type="http://schemas.openxmlformats.org/officeDocument/2006/relationships/hyperlink" Target="http://www.google.com/" TargetMode="External"/><Relationship Id="rId1240" Type="http://schemas.openxmlformats.org/officeDocument/2006/relationships/hyperlink" Target="https://pbs.twimg.com/media/EGcOoqPXUAItROp.jpg" TargetMode="External"/><Relationship Id="rId4049" Type="http://schemas.openxmlformats.org/officeDocument/2006/relationships/hyperlink" Target="http://www.facebook.com/koral.1978" TargetMode="External"/><Relationship Id="rId4396" Type="http://schemas.openxmlformats.org/officeDocument/2006/relationships/hyperlink" Target="http://www.optimar.com.tr/" TargetMode="External"/><Relationship Id="rId1100" Type="http://schemas.openxmlformats.org/officeDocument/2006/relationships/hyperlink" Target="https://pbs.twimg.com/media/EGcQBhVX0AI9PGa.jpg" TargetMode="External"/><Relationship Id="rId4256" Type="http://schemas.openxmlformats.org/officeDocument/2006/relationships/hyperlink" Target="https://pbs.twimg.com/media/EGbOyQIWoAEihFA.jpg" TargetMode="External"/><Relationship Id="rId4463" Type="http://schemas.openxmlformats.org/officeDocument/2006/relationships/hyperlink" Target="https://pbs.twimg.com/media/EGbMY2-XYAErxot.jpg" TargetMode="External"/><Relationship Id="rId1917" Type="http://schemas.openxmlformats.org/officeDocument/2006/relationships/hyperlink" Target="https://pbs.twimg.com/media/EGb68U1WsAY1tPu.jpg" TargetMode="External"/><Relationship Id="rId3065" Type="http://schemas.openxmlformats.org/officeDocument/2006/relationships/hyperlink" Target="http://pic.twitter.com/8k7P5saprX" TargetMode="External"/><Relationship Id="rId3272" Type="http://schemas.openxmlformats.org/officeDocument/2006/relationships/hyperlink" Target="https://youtu.be/rhTW0j_g-XQ" TargetMode="External"/><Relationship Id="rId4116" Type="http://schemas.openxmlformats.org/officeDocument/2006/relationships/hyperlink" Target="https://pbs.twimg.com/media/EGbQVYBWkAEX-Gg.jpg" TargetMode="External"/><Relationship Id="rId4323" Type="http://schemas.openxmlformats.org/officeDocument/2006/relationships/hyperlink" Target="https://pbs.twimg.com/media/EGbOEH9W4AEAb_v.jpg" TargetMode="External"/><Relationship Id="rId193" Type="http://schemas.openxmlformats.org/officeDocument/2006/relationships/hyperlink" Target="http://gokalpozturk.com/" TargetMode="External"/><Relationship Id="rId2081" Type="http://schemas.openxmlformats.org/officeDocument/2006/relationships/hyperlink" Target="https://pbs.twimg.com/media/EGb28M6W4AA0hsk.jpg" TargetMode="External"/><Relationship Id="rId3132" Type="http://schemas.openxmlformats.org/officeDocument/2006/relationships/hyperlink" Target="http://pic.twitter.com/AmwH1YwOVi" TargetMode="External"/><Relationship Id="rId260" Type="http://schemas.openxmlformats.org/officeDocument/2006/relationships/hyperlink" Target="https://pbs.twimg.com/media/EGcWt8wXoAAfrDe.jpg" TargetMode="External"/><Relationship Id="rId120" Type="http://schemas.openxmlformats.org/officeDocument/2006/relationships/hyperlink" Target="https://pbs.twimg.com/media/EGcYfwjWwAAd1_o.jpg" TargetMode="External"/><Relationship Id="rId2898" Type="http://schemas.openxmlformats.org/officeDocument/2006/relationships/hyperlink" Target="https://pbs.twimg.com/media/EGbi9jiWoAAFWlW.jpg" TargetMode="External"/><Relationship Id="rId3949" Type="http://schemas.openxmlformats.org/officeDocument/2006/relationships/hyperlink" Target="https://pbs.twimg.com/media/EGbSyNPWkAAouV9.jpg" TargetMode="External"/><Relationship Id="rId2758" Type="http://schemas.openxmlformats.org/officeDocument/2006/relationships/hyperlink" Target="http://pic.twitter.com/evwlt1FUDY" TargetMode="External"/><Relationship Id="rId2965" Type="http://schemas.openxmlformats.org/officeDocument/2006/relationships/hyperlink" Target="https://pbs.twimg.com/media/EGbh9TYW4AAZ5F_.jpg" TargetMode="External"/><Relationship Id="rId3809" Type="http://schemas.openxmlformats.org/officeDocument/2006/relationships/hyperlink" Target="https://www.instagram.com/yavuzdalgic/" TargetMode="External"/><Relationship Id="rId937" Type="http://schemas.openxmlformats.org/officeDocument/2006/relationships/hyperlink" Target="http://instagram.com/0smandoganayy" TargetMode="External"/><Relationship Id="rId1567" Type="http://schemas.openxmlformats.org/officeDocument/2006/relationships/hyperlink" Target="https://pbs.twimg.com/media/EGcMZb3XUAE39HW.png" TargetMode="External"/><Relationship Id="rId1774" Type="http://schemas.openxmlformats.org/officeDocument/2006/relationships/hyperlink" Target="http://pic.twitter.com/rwOhqHgieC" TargetMode="External"/><Relationship Id="rId1981" Type="http://schemas.openxmlformats.org/officeDocument/2006/relationships/hyperlink" Target="http://www.aygoldkuyumculuk.com.tr/" TargetMode="External"/><Relationship Id="rId2618" Type="http://schemas.openxmlformats.org/officeDocument/2006/relationships/hyperlink" Target="https://www.instagram.com/ismail.secik/" TargetMode="External"/><Relationship Id="rId2825" Type="http://schemas.openxmlformats.org/officeDocument/2006/relationships/hyperlink" Target="https://pbs.twimg.com/media/EGbkNzaWoAAdnI5.jpg" TargetMode="External"/><Relationship Id="rId4180" Type="http://schemas.openxmlformats.org/officeDocument/2006/relationships/hyperlink" Target="https://pbs.twimg.com/media/EGbPh4IW4AAcsAD.jpg" TargetMode="External"/><Relationship Id="rId66" Type="http://schemas.openxmlformats.org/officeDocument/2006/relationships/hyperlink" Target="https://pbs.twimg.com/media/EGcZ5GxWwAAL8ex.jpg" TargetMode="External"/><Relationship Id="rId1427" Type="http://schemas.openxmlformats.org/officeDocument/2006/relationships/hyperlink" Target="http://instagram.com/fevziyildirim" TargetMode="External"/><Relationship Id="rId1634" Type="http://schemas.openxmlformats.org/officeDocument/2006/relationships/hyperlink" Target="https://pbs.twimg.com/media/EGcMFsIWsAEYyrA.jpg" TargetMode="External"/><Relationship Id="rId1841" Type="http://schemas.openxmlformats.org/officeDocument/2006/relationships/hyperlink" Target="https://www.instagram.com/kaankusaksiz" TargetMode="External"/><Relationship Id="rId4040" Type="http://schemas.openxmlformats.org/officeDocument/2006/relationships/hyperlink" Target="https://pbs.twimg.com/media/EGbRjRcXoAAUafE.jpg" TargetMode="External"/><Relationship Id="rId3599" Type="http://schemas.openxmlformats.org/officeDocument/2006/relationships/hyperlink" Target="https://pbs.twimg.com/media/EGbXceJX0AA09k9.jpg" TargetMode="External"/><Relationship Id="rId1701" Type="http://schemas.openxmlformats.org/officeDocument/2006/relationships/hyperlink" Target="http://instagram.com/okumushalit/" TargetMode="External"/><Relationship Id="rId3459" Type="http://schemas.openxmlformats.org/officeDocument/2006/relationships/hyperlink" Target="https://pbs.twimg.com/media/EGbL33LXYAAVrbM.jpg" TargetMode="External"/><Relationship Id="rId3666" Type="http://schemas.openxmlformats.org/officeDocument/2006/relationships/hyperlink" Target="https://pbs.twimg.com/media/EGbWVSeXUAAOfY5.jpg" TargetMode="External"/><Relationship Id="rId587" Type="http://schemas.openxmlformats.org/officeDocument/2006/relationships/hyperlink" Target="http://foundlr.com/" TargetMode="External"/><Relationship Id="rId2268" Type="http://schemas.openxmlformats.org/officeDocument/2006/relationships/hyperlink" Target="http://pic.twitter.com/vpynUidDjs" TargetMode="External"/><Relationship Id="rId3319" Type="http://schemas.openxmlformats.org/officeDocument/2006/relationships/hyperlink" Target="https://pbs.twimg.com/media/EGay52qXkAA2G4a.jpg" TargetMode="External"/><Relationship Id="rId3873" Type="http://schemas.openxmlformats.org/officeDocument/2006/relationships/hyperlink" Target="https://pbs.twimg.com/media/EGbTy98WoAAz0rN.jpg" TargetMode="External"/><Relationship Id="rId447" Type="http://schemas.openxmlformats.org/officeDocument/2006/relationships/hyperlink" Target="https://pbs.twimg.com/media/EGcU6a2X0AIwSTK.jpg" TargetMode="External"/><Relationship Id="rId794" Type="http://schemas.openxmlformats.org/officeDocument/2006/relationships/hyperlink" Target="http://instagram.com/esrasaglmm" TargetMode="External"/><Relationship Id="rId1077" Type="http://schemas.openxmlformats.org/officeDocument/2006/relationships/hyperlink" Target="https://pbs.twimg.com/media/EGcQOdtWkAAZiOD.jpg" TargetMode="External"/><Relationship Id="rId2128" Type="http://schemas.openxmlformats.org/officeDocument/2006/relationships/hyperlink" Target="https://pbs.twimg.com/media/D2YEM24W0AIUeo9.jpg" TargetMode="External"/><Relationship Id="rId2475" Type="http://schemas.openxmlformats.org/officeDocument/2006/relationships/hyperlink" Target="https://pbs.twimg.com/media/EGbstmpWkAA29vC.jpg" TargetMode="External"/><Relationship Id="rId2682" Type="http://schemas.openxmlformats.org/officeDocument/2006/relationships/hyperlink" Target="http://instagram.com/halilibrahimcambel" TargetMode="External"/><Relationship Id="rId3526" Type="http://schemas.openxmlformats.org/officeDocument/2006/relationships/hyperlink" Target="http://facebook.com/" TargetMode="External"/><Relationship Id="rId3733" Type="http://schemas.openxmlformats.org/officeDocument/2006/relationships/hyperlink" Target="http://pic.twitter.com/bCUdSqbasY" TargetMode="External"/><Relationship Id="rId3940" Type="http://schemas.openxmlformats.org/officeDocument/2006/relationships/hyperlink" Target="https://pbs.twimg.com/media/EGbL33LXYAAVrbM.jpg" TargetMode="External"/><Relationship Id="rId654" Type="http://schemas.openxmlformats.org/officeDocument/2006/relationships/hyperlink" Target="http://pic.twitter.com/BsAC8w33PA" TargetMode="External"/><Relationship Id="rId861" Type="http://schemas.openxmlformats.org/officeDocument/2006/relationships/hyperlink" Target="http://instagram.com/muhammedkrtrr" TargetMode="External"/><Relationship Id="rId1284" Type="http://schemas.openxmlformats.org/officeDocument/2006/relationships/hyperlink" Target="https://m.facebook.com/RadyoSevdaYelleri/?ref=bookmarks" TargetMode="External"/><Relationship Id="rId1491" Type="http://schemas.openxmlformats.org/officeDocument/2006/relationships/hyperlink" Target="https://www.binance.com/?ref=16807159" TargetMode="External"/><Relationship Id="rId2335" Type="http://schemas.openxmlformats.org/officeDocument/2006/relationships/hyperlink" Target="https://pbs.twimg.com/media/EGbwS0YW4AA2R6W.png" TargetMode="External"/><Relationship Id="rId2542" Type="http://schemas.openxmlformats.org/officeDocument/2006/relationships/hyperlink" Target="https://www.youtube.com/channel/UCEFub-9GfvZ7BeCI2thKtDg" TargetMode="External"/><Relationship Id="rId3800" Type="http://schemas.openxmlformats.org/officeDocument/2006/relationships/hyperlink" Target="http://instagram.com/melihesatacil" TargetMode="External"/><Relationship Id="rId307" Type="http://schemas.openxmlformats.org/officeDocument/2006/relationships/hyperlink" Target="https://pbs.twimg.com/media/EGcWL7RWsAANGNt.jpg" TargetMode="External"/><Relationship Id="rId514" Type="http://schemas.openxmlformats.org/officeDocument/2006/relationships/hyperlink" Target="https://pbs.twimg.com/media/EGcUWTHWwAAp8-9.jpg" TargetMode="External"/><Relationship Id="rId721" Type="http://schemas.openxmlformats.org/officeDocument/2006/relationships/hyperlink" Target="http://mattimuukkonen.puheenvuoro.uusisuomi.fi/" TargetMode="External"/><Relationship Id="rId1144" Type="http://schemas.openxmlformats.org/officeDocument/2006/relationships/hyperlink" Target="https://pbs.twimg.com/media/EGcPlFTXoAIpI8h.jpg" TargetMode="External"/><Relationship Id="rId1351" Type="http://schemas.openxmlformats.org/officeDocument/2006/relationships/hyperlink" Target="https://www.instagram.com/p/B3Zj5syh44L/?igshid=9eap7izh7q5f" TargetMode="External"/><Relationship Id="rId2402" Type="http://schemas.openxmlformats.org/officeDocument/2006/relationships/hyperlink" Target="http://pic.twitter.com/tFid3JvWHu" TargetMode="External"/><Relationship Id="rId1004" Type="http://schemas.openxmlformats.org/officeDocument/2006/relationships/hyperlink" Target="http://www.instagram.com/suatkse" TargetMode="External"/><Relationship Id="rId1211" Type="http://schemas.openxmlformats.org/officeDocument/2006/relationships/hyperlink" Target="http://instagram.com/drnecipdeniz" TargetMode="External"/><Relationship Id="rId4367" Type="http://schemas.openxmlformats.org/officeDocument/2006/relationships/hyperlink" Target="https://pbs.twimg.com/media/EGbNnarX0AE0DXC.jpg" TargetMode="External"/><Relationship Id="rId3176" Type="http://schemas.openxmlformats.org/officeDocument/2006/relationships/hyperlink" Target="https://pbs.twimg.com/media/EGbeawlWoAEPfDe.jpg" TargetMode="External"/><Relationship Id="rId3383" Type="http://schemas.openxmlformats.org/officeDocument/2006/relationships/hyperlink" Target="https://twitter.com/1parcatuhaftik/status/1181833363520413696" TargetMode="External"/><Relationship Id="rId3590" Type="http://schemas.openxmlformats.org/officeDocument/2006/relationships/hyperlink" Target="https://pbs.twimg.com/media/EGbXnVhXkAAFISv.jpg" TargetMode="External"/><Relationship Id="rId4227" Type="http://schemas.openxmlformats.org/officeDocument/2006/relationships/hyperlink" Target="https://pbs.twimg.com/media/EGTtaCxWkAEmCz6.jpg" TargetMode="External"/><Relationship Id="rId4434" Type="http://schemas.openxmlformats.org/officeDocument/2006/relationships/hyperlink" Target="https://pbs.twimg.com/media/EGbMuVPXkAEnn0T.jpg" TargetMode="External"/><Relationship Id="rId2192" Type="http://schemas.openxmlformats.org/officeDocument/2006/relationships/hyperlink" Target="https://pbs.twimg.com/media/EGb0FAvWkAEofqr.jpg" TargetMode="External"/><Relationship Id="rId3036" Type="http://schemas.openxmlformats.org/officeDocument/2006/relationships/hyperlink" Target="https://instagram.com/sedaterdm/" TargetMode="External"/><Relationship Id="rId3243" Type="http://schemas.openxmlformats.org/officeDocument/2006/relationships/hyperlink" Target="https://twitter.com/aybers/status/1181864711836639232" TargetMode="External"/><Relationship Id="rId164" Type="http://schemas.openxmlformats.org/officeDocument/2006/relationships/hyperlink" Target="http://www.kunenfes.com.tr/" TargetMode="External"/><Relationship Id="rId371" Type="http://schemas.openxmlformats.org/officeDocument/2006/relationships/hyperlink" Target="https://pbs.twimg.com/media/EGcVtUVW4AAfae3.jpg" TargetMode="External"/><Relationship Id="rId2052" Type="http://schemas.openxmlformats.org/officeDocument/2006/relationships/hyperlink" Target="https://pbs.twimg.com/media/EGb3sqhWsAETT_-.jpg" TargetMode="External"/><Relationship Id="rId3450" Type="http://schemas.openxmlformats.org/officeDocument/2006/relationships/hyperlink" Target="http://pic.twitter.com/KpIPHLX2k6" TargetMode="External"/><Relationship Id="rId4501" Type="http://schemas.openxmlformats.org/officeDocument/2006/relationships/hyperlink" Target="http://pic.twitter.com/0zcLPR2VnZ" TargetMode="External"/><Relationship Id="rId3103" Type="http://schemas.openxmlformats.org/officeDocument/2006/relationships/hyperlink" Target="https://pbs.twimg.com/media/EGbfYUIXYAAVa3r.jpg" TargetMode="External"/><Relationship Id="rId3310" Type="http://schemas.openxmlformats.org/officeDocument/2006/relationships/hyperlink" Target="https://twitter.com/TSKGnkur/status/1181566115996196865" TargetMode="External"/><Relationship Id="rId231" Type="http://schemas.openxmlformats.org/officeDocument/2006/relationships/hyperlink" Target="https://pbs.twimg.com/media/EGcW-LPWkAEi7ow.jpg" TargetMode="External"/><Relationship Id="rId2869" Type="http://schemas.openxmlformats.org/officeDocument/2006/relationships/hyperlink" Target="https://pbs.twimg.com/media/EGbjXIlXYAEkMmd.jpg" TargetMode="External"/><Relationship Id="rId1678" Type="http://schemas.openxmlformats.org/officeDocument/2006/relationships/hyperlink" Target="https://pbs.twimg.com/media/EGcL2yBWwAEa_gX.jpg" TargetMode="External"/><Relationship Id="rId1885" Type="http://schemas.openxmlformats.org/officeDocument/2006/relationships/hyperlink" Target="https://pbs.twimg.com/media/EGb7nPwWoAEkGpi.jpg" TargetMode="External"/><Relationship Id="rId2729" Type="http://schemas.openxmlformats.org/officeDocument/2006/relationships/hyperlink" Target="https://pbs.twimg.com/media/EGbmht2XUAAph3x.jpg" TargetMode="External"/><Relationship Id="rId2936" Type="http://schemas.openxmlformats.org/officeDocument/2006/relationships/hyperlink" Target="https://twitter.com/EdaKupakizi/status/1181494720733880327" TargetMode="External"/><Relationship Id="rId4084" Type="http://schemas.openxmlformats.org/officeDocument/2006/relationships/hyperlink" Target="https://pbs.twimg.com/media/EGbQyQ1XYAAowV3.jpg" TargetMode="External"/><Relationship Id="rId4291" Type="http://schemas.openxmlformats.org/officeDocument/2006/relationships/hyperlink" Target="https://pbs.twimg.com/media/EGbOXMPWkAAQLGU.jpg" TargetMode="External"/><Relationship Id="rId908" Type="http://schemas.openxmlformats.org/officeDocument/2006/relationships/hyperlink" Target="https://www.facebook.com/kingofartworld.93" TargetMode="External"/><Relationship Id="rId1538" Type="http://schemas.openxmlformats.org/officeDocument/2006/relationships/hyperlink" Target="https://pbs.twimg.com/media/EGcMgh3WwAATY0c.jpg" TargetMode="External"/><Relationship Id="rId4151" Type="http://schemas.openxmlformats.org/officeDocument/2006/relationships/hyperlink" Target="https://pbs.twimg.com/media/EGbP96OXUAAuZG3.jpg" TargetMode="External"/><Relationship Id="rId1745" Type="http://schemas.openxmlformats.org/officeDocument/2006/relationships/hyperlink" Target="https://www.instagram.com/mehmetsahin.6301/?hl=tr" TargetMode="External"/><Relationship Id="rId1952" Type="http://schemas.openxmlformats.org/officeDocument/2006/relationships/hyperlink" Target="https://pbs.twimg.com/media/EGb591LWoAAjniO.jpg" TargetMode="External"/><Relationship Id="rId4011" Type="http://schemas.openxmlformats.org/officeDocument/2006/relationships/hyperlink" Target="https://pbs.twimg.com/media/EGbR2t5WwAAvjF-.jpg" TargetMode="External"/><Relationship Id="rId37" Type="http://schemas.openxmlformats.org/officeDocument/2006/relationships/hyperlink" Target="https://pbs.twimg.com/media/EGcahyHWoAA79Ma.jpg" TargetMode="External"/><Relationship Id="rId1605" Type="http://schemas.openxmlformats.org/officeDocument/2006/relationships/hyperlink" Target="https://pbs.twimg.com/media/EGcMHBKWkAAhsAJ.jpg" TargetMode="External"/><Relationship Id="rId1812" Type="http://schemas.openxmlformats.org/officeDocument/2006/relationships/hyperlink" Target="https://yazbee.com/muhtesem" TargetMode="External"/><Relationship Id="rId3777" Type="http://schemas.openxmlformats.org/officeDocument/2006/relationships/hyperlink" Target="https://pbs.twimg.com/media/EGbU77UWwAAkDzU.jpg" TargetMode="External"/><Relationship Id="rId3984" Type="http://schemas.openxmlformats.org/officeDocument/2006/relationships/hyperlink" Target="http://instagram.com/toprakisaa" TargetMode="External"/><Relationship Id="rId698" Type="http://schemas.openxmlformats.org/officeDocument/2006/relationships/hyperlink" Target="https://pbs.twimg.com/media/EGcS_LiWwAAumEV.jpg" TargetMode="External"/><Relationship Id="rId2379" Type="http://schemas.openxmlformats.org/officeDocument/2006/relationships/hyperlink" Target="https://pbs.twimg.com/media/D6_gaDcWkAAW34-.jpg" TargetMode="External"/><Relationship Id="rId2586" Type="http://schemas.openxmlformats.org/officeDocument/2006/relationships/hyperlink" Target="https://twitter.com/aybers/status/1181864711836639232" TargetMode="External"/><Relationship Id="rId2793" Type="http://schemas.openxmlformats.org/officeDocument/2006/relationships/hyperlink" Target="http://facebook.com/turgut.arik" TargetMode="External"/><Relationship Id="rId3637" Type="http://schemas.openxmlformats.org/officeDocument/2006/relationships/hyperlink" Target="http://instagram.com/ecz.alicolak/" TargetMode="External"/><Relationship Id="rId3844" Type="http://schemas.openxmlformats.org/officeDocument/2006/relationships/hyperlink" Target="https://pbs.twimg.com/media/EGbT_0OXkAAAAjh.jpg" TargetMode="External"/><Relationship Id="rId558" Type="http://schemas.openxmlformats.org/officeDocument/2006/relationships/hyperlink" Target="https://pbs.twimg.com/media/EGcT_HOX0AQuEKX.jpg" TargetMode="External"/><Relationship Id="rId765" Type="http://schemas.openxmlformats.org/officeDocument/2006/relationships/hyperlink" Target="https://pbs.twimg.com/media/EGcSfllW4AAF27x.jpg" TargetMode="External"/><Relationship Id="rId972" Type="http://schemas.openxmlformats.org/officeDocument/2006/relationships/hyperlink" Target="https://youtu.be/UbmQMbQZViE" TargetMode="External"/><Relationship Id="rId1188" Type="http://schemas.openxmlformats.org/officeDocument/2006/relationships/hyperlink" Target="http://pic.twitter.com/pLHcBpaug5" TargetMode="External"/><Relationship Id="rId1395" Type="http://schemas.openxmlformats.org/officeDocument/2006/relationships/hyperlink" Target="https://pbs.twimg.com/media/EGcNVkcX0AElNFC.jpg" TargetMode="External"/><Relationship Id="rId2239" Type="http://schemas.openxmlformats.org/officeDocument/2006/relationships/hyperlink" Target="https://pbs.twimg.com/media/EGbzAfpXYAAPWRB.jpg" TargetMode="External"/><Relationship Id="rId2446" Type="http://schemas.openxmlformats.org/officeDocument/2006/relationships/hyperlink" Target="http://www.anitkabir.tsk.tr/" TargetMode="External"/><Relationship Id="rId2653" Type="http://schemas.openxmlformats.org/officeDocument/2006/relationships/hyperlink" Target="https://www.instagram.com/uzairch47/" TargetMode="External"/><Relationship Id="rId2860" Type="http://schemas.openxmlformats.org/officeDocument/2006/relationships/hyperlink" Target="https://trade.opskins.com/t/3410084/XaCIY1CD" TargetMode="External"/><Relationship Id="rId3704" Type="http://schemas.openxmlformats.org/officeDocument/2006/relationships/hyperlink" Target="http://www.akpartisanliurfa.org.tr/" TargetMode="External"/><Relationship Id="rId418" Type="http://schemas.openxmlformats.org/officeDocument/2006/relationships/hyperlink" Target="http://pic.twitter.com/VifIS5TkwK" TargetMode="External"/><Relationship Id="rId625" Type="http://schemas.openxmlformats.org/officeDocument/2006/relationships/hyperlink" Target="https://pbs.twimg.com/media/EGcTYk7WwAIet4f.jpg" TargetMode="External"/><Relationship Id="rId832" Type="http://schemas.openxmlformats.org/officeDocument/2006/relationships/hyperlink" Target="https://pbs.twimg.com/media/EGcSDy1WsAIYy4H.jpg" TargetMode="External"/><Relationship Id="rId1048" Type="http://schemas.openxmlformats.org/officeDocument/2006/relationships/hyperlink" Target="https://pbs.twimg.com/media/EGcQcOCX0AEv9Kb.jpg" TargetMode="External"/><Relationship Id="rId1255" Type="http://schemas.openxmlformats.org/officeDocument/2006/relationships/hyperlink" Target="https://pbs.twimg.com/media/EGcOgdzXoAIGbe7.jpg" TargetMode="External"/><Relationship Id="rId1462" Type="http://schemas.openxmlformats.org/officeDocument/2006/relationships/hyperlink" Target="https://pbs.twimg.com/media/EGcM5McX0AA3nBe.jpg" TargetMode="External"/><Relationship Id="rId2306" Type="http://schemas.openxmlformats.org/officeDocument/2006/relationships/hyperlink" Target="http://pic.twitter.com/9VWVcbZgIZ" TargetMode="External"/><Relationship Id="rId2513" Type="http://schemas.openxmlformats.org/officeDocument/2006/relationships/hyperlink" Target="http://pic.twitter.com/UC4PWKNZbG" TargetMode="External"/><Relationship Id="rId3911" Type="http://schemas.openxmlformats.org/officeDocument/2006/relationships/hyperlink" Target="https://pbs.twimg.com/media/EGbTTklXUAAcJxo.jpg" TargetMode="External"/><Relationship Id="rId1115" Type="http://schemas.openxmlformats.org/officeDocument/2006/relationships/hyperlink" Target="http://yazbee.com/@EnesAkenes" TargetMode="External"/><Relationship Id="rId1322" Type="http://schemas.openxmlformats.org/officeDocument/2006/relationships/hyperlink" Target="http://instagram.com/arlabdullh" TargetMode="External"/><Relationship Id="rId2720" Type="http://schemas.openxmlformats.org/officeDocument/2006/relationships/hyperlink" Target="https://pbs.twimg.com/media/EGbmypCWoAMzjYO.jpg" TargetMode="External"/><Relationship Id="rId4478" Type="http://schemas.openxmlformats.org/officeDocument/2006/relationships/hyperlink" Target="http://www.galatasaray.org/" TargetMode="External"/><Relationship Id="rId3287" Type="http://schemas.openxmlformats.org/officeDocument/2006/relationships/hyperlink" Target="https://pbs.twimg.com/media/EGbcYprXYAAnrht.jpg" TargetMode="External"/><Relationship Id="rId4338" Type="http://schemas.openxmlformats.org/officeDocument/2006/relationships/hyperlink" Target="http://www.ademaycan.com/" TargetMode="External"/><Relationship Id="rId2096" Type="http://schemas.openxmlformats.org/officeDocument/2006/relationships/hyperlink" Target="https://www.durushaber.com.tr/dunya/son-dakika-trumptan-bir-mesaj-daha-turkiye-kesinlikle-h37877.html" TargetMode="External"/><Relationship Id="rId3494" Type="http://schemas.openxmlformats.org/officeDocument/2006/relationships/hyperlink" Target="https://pbs.twimg.com/media/EGbZKAjWoAAvlDN.jpg" TargetMode="External"/><Relationship Id="rId3147" Type="http://schemas.openxmlformats.org/officeDocument/2006/relationships/hyperlink" Target="https://pbs.twimg.com/media/EGbex9EX0AA17a1.jpg" TargetMode="External"/><Relationship Id="rId3354" Type="http://schemas.openxmlformats.org/officeDocument/2006/relationships/hyperlink" Target="http://instagram.com/hunnlar" TargetMode="External"/><Relationship Id="rId3561" Type="http://schemas.openxmlformats.org/officeDocument/2006/relationships/hyperlink" Target="https://pbs.twimg.com/media/EGbYJ6eXYAAxXy1.jpg" TargetMode="External"/><Relationship Id="rId4405" Type="http://schemas.openxmlformats.org/officeDocument/2006/relationships/hyperlink" Target="https://twitter.com/turan1530/status/1181854226231812096" TargetMode="External"/><Relationship Id="rId275" Type="http://schemas.openxmlformats.org/officeDocument/2006/relationships/hyperlink" Target="https://pbs.twimg.com/media/EGcWlDjW4AMItkb.jpg" TargetMode="External"/><Relationship Id="rId482" Type="http://schemas.openxmlformats.org/officeDocument/2006/relationships/hyperlink" Target="https://pbs.twimg.com/media/EGcUp8-WoAAlizn.jpg" TargetMode="External"/><Relationship Id="rId2163" Type="http://schemas.openxmlformats.org/officeDocument/2006/relationships/hyperlink" Target="https://www.foxnews.com/world/turkish-troops-cross-into-syria-iran-launches-military-drill-near-turkish-border-reports" TargetMode="External"/><Relationship Id="rId2370" Type="http://schemas.openxmlformats.org/officeDocument/2006/relationships/hyperlink" Target="https://pbs.twimg.com/media/EGbvUAkWsAAL4Mb.jpg" TargetMode="External"/><Relationship Id="rId3007" Type="http://schemas.openxmlformats.org/officeDocument/2006/relationships/hyperlink" Target="https://twitter.com/YelizzKoray/status/1181668839903371265" TargetMode="External"/><Relationship Id="rId3214" Type="http://schemas.openxmlformats.org/officeDocument/2006/relationships/hyperlink" Target="https://pbs.twimg.com/media/EGbdr6IXYAAfkyW.jpg" TargetMode="External"/><Relationship Id="rId3421" Type="http://schemas.openxmlformats.org/officeDocument/2006/relationships/hyperlink" Target="https://pbs.twimg.com/media/EGbaKprWwAA8rg3.jpg" TargetMode="External"/><Relationship Id="rId135" Type="http://schemas.openxmlformats.org/officeDocument/2006/relationships/hyperlink" Target="https://pbs.twimg.com/media/EGcYR0SXYAAQt6o.jpg" TargetMode="External"/><Relationship Id="rId342" Type="http://schemas.openxmlformats.org/officeDocument/2006/relationships/hyperlink" Target="https://twitter.com/RTErdogan/status/1181919804619407360" TargetMode="External"/><Relationship Id="rId2023" Type="http://schemas.openxmlformats.org/officeDocument/2006/relationships/hyperlink" Target="http://www.serkankucuk.com.tr/" TargetMode="External"/><Relationship Id="rId2230" Type="http://schemas.openxmlformats.org/officeDocument/2006/relationships/hyperlink" Target="https://www.instagram.com/bordoberelilerr/?hl=tr" TargetMode="External"/><Relationship Id="rId202" Type="http://schemas.openxmlformats.org/officeDocument/2006/relationships/hyperlink" Target="https://instagram.com/nizamicedidhaber" TargetMode="External"/><Relationship Id="rId4195" Type="http://schemas.openxmlformats.org/officeDocument/2006/relationships/hyperlink" Target="http://pic.twitter.com/rYNf8HzISx" TargetMode="External"/><Relationship Id="rId1789" Type="http://schemas.openxmlformats.org/officeDocument/2006/relationships/hyperlink" Target="https://pbs.twimg.com/media/EGb-XJEXYAAoI3m.jpg" TargetMode="External"/><Relationship Id="rId1996" Type="http://schemas.openxmlformats.org/officeDocument/2006/relationships/hyperlink" Target="http://pic.twitter.com/pbulER0yBJ" TargetMode="External"/><Relationship Id="rId4055" Type="http://schemas.openxmlformats.org/officeDocument/2006/relationships/hyperlink" Target="https://pbs.twimg.com/media/EGbRT74WsAAlqNi.jpg" TargetMode="External"/><Relationship Id="rId4262" Type="http://schemas.openxmlformats.org/officeDocument/2006/relationships/hyperlink" Target="https://www.instagram.com/halilyahyagrer" TargetMode="External"/><Relationship Id="rId1649" Type="http://schemas.openxmlformats.org/officeDocument/2006/relationships/hyperlink" Target="http://pic.twitter.com/aVvqYROAdD" TargetMode="External"/><Relationship Id="rId1856" Type="http://schemas.openxmlformats.org/officeDocument/2006/relationships/hyperlink" Target="https://pbs.twimg.com/media/EGb8XBYW4AA7Ejd.jpg" TargetMode="External"/><Relationship Id="rId2907" Type="http://schemas.openxmlformats.org/officeDocument/2006/relationships/hyperlink" Target="http://pic.twitter.com/qguJOvW7OO" TargetMode="External"/><Relationship Id="rId3071" Type="http://schemas.openxmlformats.org/officeDocument/2006/relationships/hyperlink" Target="https://youtu.be/x8p4bVApqIU" TargetMode="External"/><Relationship Id="rId1509" Type="http://schemas.openxmlformats.org/officeDocument/2006/relationships/hyperlink" Target="http://curiouscat.me/wornlives" TargetMode="External"/><Relationship Id="rId1716" Type="http://schemas.openxmlformats.org/officeDocument/2006/relationships/hyperlink" Target="http://aleyadah.blogspot.com/" TargetMode="External"/><Relationship Id="rId1923" Type="http://schemas.openxmlformats.org/officeDocument/2006/relationships/hyperlink" Target="https://pbs.twimg.com/media/EGb64A9XkAAj_8M.jpg" TargetMode="External"/><Relationship Id="rId4122" Type="http://schemas.openxmlformats.org/officeDocument/2006/relationships/hyperlink" Target="https://twitter.com/tcsavunma/status/1181585790683484160" TargetMode="External"/><Relationship Id="rId3888" Type="http://schemas.openxmlformats.org/officeDocument/2006/relationships/hyperlink" Target="http://pic.twitter.com/UD20wZuXAM" TargetMode="External"/><Relationship Id="rId2697" Type="http://schemas.openxmlformats.org/officeDocument/2006/relationships/hyperlink" Target="https://instagram.com/omur.calk/" TargetMode="External"/><Relationship Id="rId3748" Type="http://schemas.openxmlformats.org/officeDocument/2006/relationships/hyperlink" Target="https://pbs.twimg.com/media/EGbVS2aXYAAMtOD.jpg" TargetMode="External"/><Relationship Id="rId669" Type="http://schemas.openxmlformats.org/officeDocument/2006/relationships/hyperlink" Target="https://pbs.twimg.com/media/EGcTIkfXoAIBBTa.jpg" TargetMode="External"/><Relationship Id="rId876" Type="http://schemas.openxmlformats.org/officeDocument/2006/relationships/hyperlink" Target="https://pbs.twimg.com/media/EGcRw7vXkAEO0r5.jpg" TargetMode="External"/><Relationship Id="rId1299" Type="http://schemas.openxmlformats.org/officeDocument/2006/relationships/hyperlink" Target="http://pic.twitter.com/eGc4Xa2Mvf" TargetMode="External"/><Relationship Id="rId2557" Type="http://schemas.openxmlformats.org/officeDocument/2006/relationships/hyperlink" Target="https://pbs.twimg.com/media/EGbqn1DXUAEM7uB.jpg" TargetMode="External"/><Relationship Id="rId3608" Type="http://schemas.openxmlformats.org/officeDocument/2006/relationships/hyperlink" Target="http://instagram.com/serverthrlr" TargetMode="External"/><Relationship Id="rId3955" Type="http://schemas.openxmlformats.org/officeDocument/2006/relationships/hyperlink" Target="http://pic.twitter.com/bvplbgQdeZ" TargetMode="External"/><Relationship Id="rId529" Type="http://schemas.openxmlformats.org/officeDocument/2006/relationships/hyperlink" Target="https://pbs.twimg.com/media/EGcUP9cWoAYgc8L.jpg" TargetMode="External"/><Relationship Id="rId736" Type="http://schemas.openxmlformats.org/officeDocument/2006/relationships/hyperlink" Target="https://pbs.twimg.com/media/EGcSom2W4AEDRLg.jpg" TargetMode="External"/><Relationship Id="rId1159" Type="http://schemas.openxmlformats.org/officeDocument/2006/relationships/hyperlink" Target="https://www.instagram.com/ersinbayraktr/" TargetMode="External"/><Relationship Id="rId1366" Type="http://schemas.openxmlformats.org/officeDocument/2006/relationships/hyperlink" Target="https://twitter.com/uefacom_de/status/1181888410350432256" TargetMode="External"/><Relationship Id="rId2417" Type="http://schemas.openxmlformats.org/officeDocument/2006/relationships/hyperlink" Target="https://pbs.twimg.com/media/EGbuLwsW4AUlxCm.jpg" TargetMode="External"/><Relationship Id="rId2764" Type="http://schemas.openxmlformats.org/officeDocument/2006/relationships/hyperlink" Target="https://pbs.twimg.com/media/EGblsPbXoAEyJdm.jpg" TargetMode="External"/><Relationship Id="rId2971" Type="http://schemas.openxmlformats.org/officeDocument/2006/relationships/hyperlink" Target="https://pbs.twimg.com/media/EGbh0jsWoAMTl6R.jpg" TargetMode="External"/><Relationship Id="rId3815" Type="http://schemas.openxmlformats.org/officeDocument/2006/relationships/hyperlink" Target="https://pbs.twimg.com/media/EGbUdQqWkAAEzvH.jpg" TargetMode="External"/><Relationship Id="rId943" Type="http://schemas.openxmlformats.org/officeDocument/2006/relationships/hyperlink" Target="http://www.instagram.com/mustafakvs96" TargetMode="External"/><Relationship Id="rId1019" Type="http://schemas.openxmlformats.org/officeDocument/2006/relationships/hyperlink" Target="http://www.sultanbeylihaber.com.tr/" TargetMode="External"/><Relationship Id="rId1573" Type="http://schemas.openxmlformats.org/officeDocument/2006/relationships/hyperlink" Target="http://pic.twitter.com/9PCNKD9pha" TargetMode="External"/><Relationship Id="rId1780" Type="http://schemas.openxmlformats.org/officeDocument/2006/relationships/hyperlink" Target="http://instagram.com/bulut_bey79" TargetMode="External"/><Relationship Id="rId2624" Type="http://schemas.openxmlformats.org/officeDocument/2006/relationships/hyperlink" Target="http://bit.ly/2p92x0U" TargetMode="External"/><Relationship Id="rId2831" Type="http://schemas.openxmlformats.org/officeDocument/2006/relationships/hyperlink" Target="http://pic.twitter.com/iNS88eGp29" TargetMode="External"/><Relationship Id="rId72" Type="http://schemas.openxmlformats.org/officeDocument/2006/relationships/hyperlink" Target="https://pbs.twimg.com/media/EGcZuE_XYAA5Pzx.jpg" TargetMode="External"/><Relationship Id="rId803" Type="http://schemas.openxmlformats.org/officeDocument/2006/relationships/hyperlink" Target="https://pbs.twimg.com/media/EGcSLpoXoAAsvZr.jpg" TargetMode="External"/><Relationship Id="rId1226" Type="http://schemas.openxmlformats.org/officeDocument/2006/relationships/hyperlink" Target="http://pic.twitter.com/TGp8gFfZ9S" TargetMode="External"/><Relationship Id="rId1433" Type="http://schemas.openxmlformats.org/officeDocument/2006/relationships/hyperlink" Target="https://pbs.twimg.com/media/EGcNDafW4AE9kyp.jpg" TargetMode="External"/><Relationship Id="rId1640" Type="http://schemas.openxmlformats.org/officeDocument/2006/relationships/hyperlink" Target="https://pbs.twimg.com/media/EGcMBw9XoAI1-g3.jpg" TargetMode="External"/><Relationship Id="rId1500" Type="http://schemas.openxmlformats.org/officeDocument/2006/relationships/hyperlink" Target="http://pic.twitter.com/BMaVHR671f" TargetMode="External"/><Relationship Id="rId3398" Type="http://schemas.openxmlformats.org/officeDocument/2006/relationships/hyperlink" Target="https://pbs.twimg.com/media/EGbai8HX0AAF4Nj.jpg" TargetMode="External"/><Relationship Id="rId4449" Type="http://schemas.openxmlformats.org/officeDocument/2006/relationships/hyperlink" Target="http://www.serdarsalman.com/" TargetMode="External"/><Relationship Id="rId3258" Type="http://schemas.openxmlformats.org/officeDocument/2006/relationships/hyperlink" Target="https://pbs.twimg.com/media/EGbdByeX0AA3SY2.jpg" TargetMode="External"/><Relationship Id="rId3465" Type="http://schemas.openxmlformats.org/officeDocument/2006/relationships/hyperlink" Target="http://pic.twitter.com/gOtDeNd1JG" TargetMode="External"/><Relationship Id="rId3672" Type="http://schemas.openxmlformats.org/officeDocument/2006/relationships/hyperlink" Target="http://pic.twitter.com/UQDW4OGseb" TargetMode="External"/><Relationship Id="rId4309" Type="http://schemas.openxmlformats.org/officeDocument/2006/relationships/hyperlink" Target="https://pbs.twimg.com/media/EGbOLHJWoAEBBFN.jpg" TargetMode="External"/><Relationship Id="rId4516" Type="http://schemas.openxmlformats.org/officeDocument/2006/relationships/hyperlink" Target="https://pbs.twimg.com/media/EGbLxAHX0AAUEKU.jpg" TargetMode="External"/><Relationship Id="rId179" Type="http://schemas.openxmlformats.org/officeDocument/2006/relationships/hyperlink" Target="http://instagram.com/tarikemreeksi" TargetMode="External"/><Relationship Id="rId386" Type="http://schemas.openxmlformats.org/officeDocument/2006/relationships/hyperlink" Target="https://pbs.twimg.com/media/EGcVhaxXYAIHr5I.jpg" TargetMode="External"/><Relationship Id="rId593" Type="http://schemas.openxmlformats.org/officeDocument/2006/relationships/hyperlink" Target="https://pbs.twimg.com/media/EGcTqp0XkAEEBW-.jpg" TargetMode="External"/><Relationship Id="rId2067" Type="http://schemas.openxmlformats.org/officeDocument/2006/relationships/hyperlink" Target="https://pbs.twimg.com/media/EGb3cmTXkAACYLq.jpg" TargetMode="External"/><Relationship Id="rId2274" Type="http://schemas.openxmlformats.org/officeDocument/2006/relationships/hyperlink" Target="https://pbs.twimg.com/media/EGbyHo2XUAENIj2.jpg" TargetMode="External"/><Relationship Id="rId2481" Type="http://schemas.openxmlformats.org/officeDocument/2006/relationships/hyperlink" Target="https://twitter.com/cavdaroglu61/status/1181432105798164480" TargetMode="External"/><Relationship Id="rId3118" Type="http://schemas.openxmlformats.org/officeDocument/2006/relationships/hyperlink" Target="https://m.facebook.com/profile.php?ref=bookmarks" TargetMode="External"/><Relationship Id="rId3325" Type="http://schemas.openxmlformats.org/officeDocument/2006/relationships/hyperlink" Target="https://pbs.twimg.com/media/EGbbqneWoAEO6Os.jpg" TargetMode="External"/><Relationship Id="rId3532" Type="http://schemas.openxmlformats.org/officeDocument/2006/relationships/hyperlink" Target="https://pbs.twimg.com/media/EGbYiZ9WsAAiAfu.jpg" TargetMode="External"/><Relationship Id="rId246" Type="http://schemas.openxmlformats.org/officeDocument/2006/relationships/hyperlink" Target="https://pbs.twimg.com/media/EGcW2nJX0AEzh_v.jpg" TargetMode="External"/><Relationship Id="rId453" Type="http://schemas.openxmlformats.org/officeDocument/2006/relationships/hyperlink" Target="https://pbs.twimg.com/media/EGcUAhJWkAEIaNq.jpg" TargetMode="External"/><Relationship Id="rId660" Type="http://schemas.openxmlformats.org/officeDocument/2006/relationships/hyperlink" Target="http://www.osmannuriakbulut.com/" TargetMode="External"/><Relationship Id="rId1083" Type="http://schemas.openxmlformats.org/officeDocument/2006/relationships/hyperlink" Target="http://instagram.com/sonlaikbukucu" TargetMode="External"/><Relationship Id="rId1290" Type="http://schemas.openxmlformats.org/officeDocument/2006/relationships/hyperlink" Target="https://twitter.com/spectatorindex/status/1181925661725745152" TargetMode="External"/><Relationship Id="rId2134" Type="http://schemas.openxmlformats.org/officeDocument/2006/relationships/hyperlink" Target="https://twitter.com/elmeru41_baba/status/1181900015645708293" TargetMode="External"/><Relationship Id="rId2341" Type="http://schemas.openxmlformats.org/officeDocument/2006/relationships/hyperlink" Target="https://instagram.com/munip_morali" TargetMode="External"/><Relationship Id="rId106" Type="http://schemas.openxmlformats.org/officeDocument/2006/relationships/hyperlink" Target="https://instagram.com/cagatay_ozdemirr?r=nametag" TargetMode="External"/><Relationship Id="rId313" Type="http://schemas.openxmlformats.org/officeDocument/2006/relationships/hyperlink" Target="http://pic.twitter.com/J1uMoG4BfI" TargetMode="External"/><Relationship Id="rId1150" Type="http://schemas.openxmlformats.org/officeDocument/2006/relationships/hyperlink" Target="https://pbs.twimg.com/media/EGcPiAmXoAAwORq.jpg" TargetMode="External"/><Relationship Id="rId4099" Type="http://schemas.openxmlformats.org/officeDocument/2006/relationships/hyperlink" Target="https://twitter.com/samedowski/status/1181860023783366656" TargetMode="External"/><Relationship Id="rId520" Type="http://schemas.openxmlformats.org/officeDocument/2006/relationships/hyperlink" Target="https://pbs.twimg.com/media/EGcUUTQXUAAxscI.jpg" TargetMode="External"/><Relationship Id="rId2201" Type="http://schemas.openxmlformats.org/officeDocument/2006/relationships/hyperlink" Target="https://pbs.twimg.com/media/EGbz72QWwAAHmXL.jpg" TargetMode="External"/><Relationship Id="rId1010" Type="http://schemas.openxmlformats.org/officeDocument/2006/relationships/hyperlink" Target="https://pbs.twimg.com/media/EGcQulBWoAAbORA.jpg" TargetMode="External"/><Relationship Id="rId1967" Type="http://schemas.openxmlformats.org/officeDocument/2006/relationships/hyperlink" Target="https://twitter.com/hiyibildiren/status/1181303306846646272" TargetMode="External"/><Relationship Id="rId4166" Type="http://schemas.openxmlformats.org/officeDocument/2006/relationships/hyperlink" Target="https://pbs.twimg.com/media/EGbPwzyXkAABnBo.jpg" TargetMode="External"/><Relationship Id="rId4373" Type="http://schemas.openxmlformats.org/officeDocument/2006/relationships/hyperlink" Target="https://pbs.twimg.com/media/EGbNg7bXUAAqDRf.jpg" TargetMode="External"/><Relationship Id="rId4026" Type="http://schemas.openxmlformats.org/officeDocument/2006/relationships/hyperlink" Target="https://pbs.twimg.com/media/EGbRtKbXkAE6SGT.jpg" TargetMode="External"/><Relationship Id="rId4440" Type="http://schemas.openxmlformats.org/officeDocument/2006/relationships/hyperlink" Target="https://twitter.com/Gazwaihind/status/1181783028298858497" TargetMode="External"/><Relationship Id="rId3042" Type="http://schemas.openxmlformats.org/officeDocument/2006/relationships/hyperlink" Target="https://pbs.twimg.com/media/EGbgmZoXoAMMySw.jpg" TargetMode="External"/><Relationship Id="rId3859" Type="http://schemas.openxmlformats.org/officeDocument/2006/relationships/hyperlink" Target="https://pbs.twimg.com/media/EGbT5crXYAEBY71.jpg" TargetMode="External"/><Relationship Id="rId2875" Type="http://schemas.openxmlformats.org/officeDocument/2006/relationships/hyperlink" Target="https://twitter.com/Turan1530/status/1181854226231812096" TargetMode="External"/><Relationship Id="rId3926" Type="http://schemas.openxmlformats.org/officeDocument/2006/relationships/hyperlink" Target="https://www.instagram.com/emrebaskaya" TargetMode="External"/><Relationship Id="rId847" Type="http://schemas.openxmlformats.org/officeDocument/2006/relationships/hyperlink" Target="https://twitter.com/colbertlateshow/status/1181363210596835328" TargetMode="External"/><Relationship Id="rId1477" Type="http://schemas.openxmlformats.org/officeDocument/2006/relationships/hyperlink" Target="https://pbs.twimg.com/media/EGcM4GRW4AEvg3q.jpg" TargetMode="External"/><Relationship Id="rId1891" Type="http://schemas.openxmlformats.org/officeDocument/2006/relationships/hyperlink" Target="https://pbs.twimg.com/media/EGb7hV_WwAIn-e3.jpg" TargetMode="External"/><Relationship Id="rId2528" Type="http://schemas.openxmlformats.org/officeDocument/2006/relationships/hyperlink" Target="https://www.youtube.com/c/tameracar88" TargetMode="External"/><Relationship Id="rId2942" Type="http://schemas.openxmlformats.org/officeDocument/2006/relationships/hyperlink" Target="https://pbs.twimg.com/media/EGbiP3XXUAAgUcP.jpg" TargetMode="External"/><Relationship Id="rId914" Type="http://schemas.openxmlformats.org/officeDocument/2006/relationships/hyperlink" Target="https://pbs.twimg.com/media/EGcRdaiWoAAmYU1.jpg" TargetMode="External"/><Relationship Id="rId1544" Type="http://schemas.openxmlformats.org/officeDocument/2006/relationships/hyperlink" Target="https://pbs.twimg.com/media/EGcMewjWwAAfCtb.jpg" TargetMode="External"/><Relationship Id="rId1611" Type="http://schemas.openxmlformats.org/officeDocument/2006/relationships/hyperlink" Target="https://pbs.twimg.com/media/EGcMO2lXoAAnrPQ.jpg" TargetMode="External"/><Relationship Id="rId3369" Type="http://schemas.openxmlformats.org/officeDocument/2006/relationships/hyperlink" Target="https://twitter.com/enisbozkurt1919/status/1180773856748986369" TargetMode="External"/><Relationship Id="rId2385" Type="http://schemas.openxmlformats.org/officeDocument/2006/relationships/hyperlink" Target="https://netbihal.com/yol-yapma-vaadini-yerine-getirmeyen-baskan-yollarda-suruklendi/" TargetMode="External"/><Relationship Id="rId3783" Type="http://schemas.openxmlformats.org/officeDocument/2006/relationships/hyperlink" Target="https://pbs.twimg.com/media/EGbU43HXUAAHHxw.jpg" TargetMode="External"/><Relationship Id="rId357" Type="http://schemas.openxmlformats.org/officeDocument/2006/relationships/hyperlink" Target="http://twitch.tv/aliicetinkaya" TargetMode="External"/><Relationship Id="rId2038" Type="http://schemas.openxmlformats.org/officeDocument/2006/relationships/hyperlink" Target="https://pbs.twimg.com/media/EGb4FTKXYAMby-A.jpg" TargetMode="External"/><Relationship Id="rId3436" Type="http://schemas.openxmlformats.org/officeDocument/2006/relationships/hyperlink" Target="https://pbs.twimg.com/media/D6_m5OmXYAARtEc.jpg" TargetMode="External"/><Relationship Id="rId3850" Type="http://schemas.openxmlformats.org/officeDocument/2006/relationships/hyperlink" Target="https://www.instagram.com/savunan_youtube/" TargetMode="External"/><Relationship Id="rId771" Type="http://schemas.openxmlformats.org/officeDocument/2006/relationships/hyperlink" Target="http://instagram.com/demetkarakulak" TargetMode="External"/><Relationship Id="rId2452" Type="http://schemas.openxmlformats.org/officeDocument/2006/relationships/hyperlink" Target="https://www.youtube.com/channel/UCBczKtQQZAEOqmzLmTq3NKw" TargetMode="External"/><Relationship Id="rId3503" Type="http://schemas.openxmlformats.org/officeDocument/2006/relationships/hyperlink" Target="http://pic.twitter.com/pTICDhtJa1" TargetMode="External"/><Relationship Id="rId424" Type="http://schemas.openxmlformats.org/officeDocument/2006/relationships/hyperlink" Target="https://pbs.twimg.com/media/EGcVHHNWkAEVzjM.jpg" TargetMode="External"/><Relationship Id="rId1054" Type="http://schemas.openxmlformats.org/officeDocument/2006/relationships/hyperlink" Target="https://pbs.twimg.com/media/EGcQZxkX0AAdJz_.jpg" TargetMode="External"/><Relationship Id="rId2105" Type="http://schemas.openxmlformats.org/officeDocument/2006/relationships/hyperlink" Target="http://pic.twitter.com/yjCMePfLrd" TargetMode="External"/><Relationship Id="rId1121" Type="http://schemas.openxmlformats.org/officeDocument/2006/relationships/hyperlink" Target="http://www.abc.net.au/news/2019-10-10/turkish-military-launches-attack-on-kurdish-positions-in-syria/11584084" TargetMode="External"/><Relationship Id="rId4277" Type="http://schemas.openxmlformats.org/officeDocument/2006/relationships/hyperlink" Target="http://temizliknasilyapilir.com/" TargetMode="External"/><Relationship Id="rId3293" Type="http://schemas.openxmlformats.org/officeDocument/2006/relationships/hyperlink" Target="https://pbs.twimg.com/media/EGbcVrQW4AARe3j.png" TargetMode="External"/><Relationship Id="rId4344" Type="http://schemas.openxmlformats.org/officeDocument/2006/relationships/hyperlink" Target="http://www.kanalmaras.com/" TargetMode="External"/><Relationship Id="rId1938" Type="http://schemas.openxmlformats.org/officeDocument/2006/relationships/hyperlink" Target="https://pbs.twimg.com/media/EGb6f66WoAYXy2t.jpg" TargetMode="External"/><Relationship Id="rId3360" Type="http://schemas.openxmlformats.org/officeDocument/2006/relationships/hyperlink" Target="https://pbs.twimg.com/media/EGbbNJjWoAQgaJ3.jpg" TargetMode="External"/><Relationship Id="rId281" Type="http://schemas.openxmlformats.org/officeDocument/2006/relationships/hyperlink" Target="https://pbs.twimg.com/media/EGcWfWzXkAEqLmU.jpg" TargetMode="External"/><Relationship Id="rId3013" Type="http://schemas.openxmlformats.org/officeDocument/2006/relationships/hyperlink" Target="https://pbs.twimg.com/media/EGbhH5yWoAAC7am.jpg" TargetMode="External"/><Relationship Id="rId4411" Type="http://schemas.openxmlformats.org/officeDocument/2006/relationships/hyperlink" Target="http://www.kadin2.com/" TargetMode="External"/><Relationship Id="rId2779" Type="http://schemas.openxmlformats.org/officeDocument/2006/relationships/hyperlink" Target="https://pbs.twimg.com/media/EGblJCQXoAE1h1c.jpg" TargetMode="External"/><Relationship Id="rId1795" Type="http://schemas.openxmlformats.org/officeDocument/2006/relationships/hyperlink" Target="https://www.instagram.com/erenakcayim/" TargetMode="External"/><Relationship Id="rId2846" Type="http://schemas.openxmlformats.org/officeDocument/2006/relationships/hyperlink" Target="https://twitter.com/eskibirmuhtar/status/1181830089085992960" TargetMode="External"/><Relationship Id="rId87" Type="http://schemas.openxmlformats.org/officeDocument/2006/relationships/hyperlink" Target="https://pbs.twimg.com/media/EGcZVJVW4AU82Vq.jpg" TargetMode="External"/><Relationship Id="rId818" Type="http://schemas.openxmlformats.org/officeDocument/2006/relationships/hyperlink" Target="http://pic.twitter.com/JjZCiiqJG4" TargetMode="External"/><Relationship Id="rId1448" Type="http://schemas.openxmlformats.org/officeDocument/2006/relationships/hyperlink" Target="http://pic.twitter.com/hANDUWhAvV" TargetMode="External"/><Relationship Id="rId1862" Type="http://schemas.openxmlformats.org/officeDocument/2006/relationships/hyperlink" Target="https://pbs.twimg.com/media/EGb8BPTXoAAvQa1.jpg" TargetMode="External"/><Relationship Id="rId2913" Type="http://schemas.openxmlformats.org/officeDocument/2006/relationships/hyperlink" Target="http://pic.twitter.com/5WWzUuV1Sj" TargetMode="External"/><Relationship Id="rId1515" Type="http://schemas.openxmlformats.org/officeDocument/2006/relationships/hyperlink" Target="https://pbs.twimg.com/media/EGcMph9X0AEsChS.jpg" TargetMode="External"/><Relationship Id="rId3687" Type="http://schemas.openxmlformats.org/officeDocument/2006/relationships/hyperlink" Target="https://twitter.com/realDonaldTrump/status/1181232249821388801" TargetMode="External"/><Relationship Id="rId2289" Type="http://schemas.openxmlformats.org/officeDocument/2006/relationships/hyperlink" Target="https://pbs.twimg.com/media/EGbxzHUU0AAr9cW.jpg" TargetMode="External"/><Relationship Id="rId3754" Type="http://schemas.openxmlformats.org/officeDocument/2006/relationships/hyperlink" Target="http://www.facebook.com/geleceginyazari" TargetMode="External"/><Relationship Id="rId675" Type="http://schemas.openxmlformats.org/officeDocument/2006/relationships/hyperlink" Target="https://twitter.com/RasimAri50/status/1181932575759241224" TargetMode="External"/><Relationship Id="rId2356" Type="http://schemas.openxmlformats.org/officeDocument/2006/relationships/hyperlink" Target="http://pic.twitter.com/TIVyom8MMe" TargetMode="External"/><Relationship Id="rId2770" Type="http://schemas.openxmlformats.org/officeDocument/2006/relationships/hyperlink" Target="http://www.akbaktesisleri.com/" TargetMode="External"/><Relationship Id="rId3407" Type="http://schemas.openxmlformats.org/officeDocument/2006/relationships/hyperlink" Target="http://www.google.com/" TargetMode="External"/><Relationship Id="rId3821" Type="http://schemas.openxmlformats.org/officeDocument/2006/relationships/hyperlink" Target="https://pbs.twimg.com/media/EGbUavwWoAA4LtS.jpg" TargetMode="External"/><Relationship Id="rId328" Type="http://schemas.openxmlformats.org/officeDocument/2006/relationships/hyperlink" Target="http://www.tamgaoyun.com/" TargetMode="External"/><Relationship Id="rId742" Type="http://schemas.openxmlformats.org/officeDocument/2006/relationships/hyperlink" Target="http://instagram.com/muhammet.gulsoy" TargetMode="External"/><Relationship Id="rId1372" Type="http://schemas.openxmlformats.org/officeDocument/2006/relationships/hyperlink" Target="http://instagram.com/aliceki" TargetMode="External"/><Relationship Id="rId2009" Type="http://schemas.openxmlformats.org/officeDocument/2006/relationships/hyperlink" Target="https://pbs.twimg.com/media/EGb4hjCXUAUUC5C.jpg" TargetMode="External"/><Relationship Id="rId2423" Type="http://schemas.openxmlformats.org/officeDocument/2006/relationships/hyperlink" Target="https://pbs.twimg.com/media/EGbuCrHWkAER6Jy.jpg" TargetMode="External"/><Relationship Id="rId1025" Type="http://schemas.openxmlformats.org/officeDocument/2006/relationships/hyperlink" Target="https://pbs.twimg.com/media/EGcKgD9WkAcz8pt.jpg" TargetMode="External"/><Relationship Id="rId3197" Type="http://schemas.openxmlformats.org/officeDocument/2006/relationships/hyperlink" Target="https://pbs.twimg.com/media/EGbeH22X0AE4xwj.jpg" TargetMode="External"/><Relationship Id="rId4248" Type="http://schemas.openxmlformats.org/officeDocument/2006/relationships/hyperlink" Target="http://www.a24.com.tr/" TargetMode="External"/><Relationship Id="rId185" Type="http://schemas.openxmlformats.org/officeDocument/2006/relationships/hyperlink" Target="https://pbs.twimg.com/media/EGcXZjhX0AM-ynj.jpg" TargetMode="External"/><Relationship Id="rId1909" Type="http://schemas.openxmlformats.org/officeDocument/2006/relationships/hyperlink" Target="https://pbs.twimg.com/media/EGb7F1DWoAANmXB.jpg" TargetMode="External"/><Relationship Id="rId3264" Type="http://schemas.openxmlformats.org/officeDocument/2006/relationships/hyperlink" Target="https://pbs.twimg.com/media/EGbcyfQXoAAlDoh.jpg" TargetMode="External"/><Relationship Id="rId4315" Type="http://schemas.openxmlformats.org/officeDocument/2006/relationships/hyperlink" Target="https://www.youtube.com/dermisim" TargetMode="External"/><Relationship Id="rId2280" Type="http://schemas.openxmlformats.org/officeDocument/2006/relationships/hyperlink" Target="https://pbs.twimg.com/media/EGbx2llWkAAU9jp.jpg" TargetMode="External"/><Relationship Id="rId3331" Type="http://schemas.openxmlformats.org/officeDocument/2006/relationships/hyperlink" Target="https://pbs.twimg.com/media/EGbN37eXYAAmQzk.jpg" TargetMode="External"/><Relationship Id="rId252" Type="http://schemas.openxmlformats.org/officeDocument/2006/relationships/hyperlink" Target="https://pbs.twimg.com/media/EGcWwcKWkAAEecu.jpg" TargetMode="External"/><Relationship Id="rId1699" Type="http://schemas.openxmlformats.org/officeDocument/2006/relationships/hyperlink" Target="https://pbs.twimg.com/media/EGcLwO5WwAE8iR6.jpg" TargetMode="External"/><Relationship Id="rId2000" Type="http://schemas.openxmlformats.org/officeDocument/2006/relationships/hyperlink" Target="https://pbs.twimg.com/media/EGb4wI5WkAAXdHB.jpg" TargetMode="External"/><Relationship Id="rId4172" Type="http://schemas.openxmlformats.org/officeDocument/2006/relationships/hyperlink" Target="https://www.instagram.com/cebecitamer/" TargetMode="External"/><Relationship Id="rId1766" Type="http://schemas.openxmlformats.org/officeDocument/2006/relationships/hyperlink" Target="https://pbs.twimg.com/media/EGbgqslWwAEx-ao.jpg" TargetMode="External"/><Relationship Id="rId2817" Type="http://schemas.openxmlformats.org/officeDocument/2006/relationships/hyperlink" Target="https://pbs.twimg.com/media/EGbkbR8W4AACNLp.jpg" TargetMode="External"/><Relationship Id="rId58" Type="http://schemas.openxmlformats.org/officeDocument/2006/relationships/hyperlink" Target="https://www.instagram.com/burakcnsysal/" TargetMode="External"/><Relationship Id="rId1419" Type="http://schemas.openxmlformats.org/officeDocument/2006/relationships/hyperlink" Target="https://www.instagram.com/fatiharbypn/" TargetMode="External"/><Relationship Id="rId1833" Type="http://schemas.openxmlformats.org/officeDocument/2006/relationships/hyperlink" Target="https://pbs.twimg.com/media/EGb9B1AW4AAki3W.jpg" TargetMode="External"/><Relationship Id="rId1900" Type="http://schemas.openxmlformats.org/officeDocument/2006/relationships/hyperlink" Target="https://pbs.twimg.com/media/EGb7U6OWwAEkdBW.jpg" TargetMode="External"/><Relationship Id="rId3658" Type="http://schemas.openxmlformats.org/officeDocument/2006/relationships/hyperlink" Target="http://pic.twitter.com/R8CxBDhNsj" TargetMode="External"/><Relationship Id="rId579" Type="http://schemas.openxmlformats.org/officeDocument/2006/relationships/hyperlink" Target="http://instagram.com/ufukcankorkmz" TargetMode="External"/><Relationship Id="rId993" Type="http://schemas.openxmlformats.org/officeDocument/2006/relationships/hyperlink" Target="https://www.facebook.com/TurkiyeHareket/?ref=bookmarks" TargetMode="External"/><Relationship Id="rId2674" Type="http://schemas.openxmlformats.org/officeDocument/2006/relationships/hyperlink" Target="https://www.holyspiritspeaks.org/special-topic/kingdom-has-descended-on-the-world/index.html" TargetMode="External"/><Relationship Id="rId646" Type="http://schemas.openxmlformats.org/officeDocument/2006/relationships/hyperlink" Target="https://instagram.com/kutludavax?utm_source=ig_profile_share&amp;igshid=1scsr6njlz5ix" TargetMode="External"/><Relationship Id="rId1276" Type="http://schemas.openxmlformats.org/officeDocument/2006/relationships/hyperlink" Target="https://twitter.com/nur_i_ziya/status/1181924986090598407" TargetMode="External"/><Relationship Id="rId2327" Type="http://schemas.openxmlformats.org/officeDocument/2006/relationships/hyperlink" Target="https://investingmorocco.com/" TargetMode="External"/><Relationship Id="rId3725" Type="http://schemas.openxmlformats.org/officeDocument/2006/relationships/hyperlink" Target="https://www.youtube.com/watch?v=KYug1UdNqaA" TargetMode="External"/><Relationship Id="rId1690" Type="http://schemas.openxmlformats.org/officeDocument/2006/relationships/hyperlink" Target="https://www.instagram.com/ertugrulozkny/" TargetMode="External"/><Relationship Id="rId2741" Type="http://schemas.openxmlformats.org/officeDocument/2006/relationships/hyperlink" Target="https://pbs.twimg.com/media/EGbmP6AXkAA84Ho.jpg" TargetMode="External"/><Relationship Id="rId713" Type="http://schemas.openxmlformats.org/officeDocument/2006/relationships/hyperlink" Target="https://youtu.be/lIPf2s0mDDE" TargetMode="External"/><Relationship Id="rId1343" Type="http://schemas.openxmlformats.org/officeDocument/2006/relationships/hyperlink" Target="http://pic.twitter.com/7evlvAo4Lv" TargetMode="External"/><Relationship Id="rId4499" Type="http://schemas.openxmlformats.org/officeDocument/2006/relationships/hyperlink" Target="https://pbs.twimg.com/media/EGbMBTBWkAAPfQx.jpg" TargetMode="External"/><Relationship Id="rId1410" Type="http://schemas.openxmlformats.org/officeDocument/2006/relationships/hyperlink" Target="https://pbs.twimg.com/media/EGcNO9VXoAA2lIt.jpg" TargetMode="External"/><Relationship Id="rId3168" Type="http://schemas.openxmlformats.org/officeDocument/2006/relationships/hyperlink" Target="http://pic.twitter.com/HOk7dp1iTD" TargetMode="External"/><Relationship Id="rId3582" Type="http://schemas.openxmlformats.org/officeDocument/2006/relationships/hyperlink" Target="https://pbs.twimg.com/media/EGbXxqfW4AAmg_j.jpg" TargetMode="External"/><Relationship Id="rId4219" Type="http://schemas.openxmlformats.org/officeDocument/2006/relationships/hyperlink" Target="https://www.siyasetcafe.com/firatin-dogusuna-harekat-basladi-56603h.htm" TargetMode="External"/><Relationship Id="rId2184" Type="http://schemas.openxmlformats.org/officeDocument/2006/relationships/hyperlink" Target="https://pbs.twimg.com/media/EGb0SLNWkAALF_6.jpg" TargetMode="External"/><Relationship Id="rId3235" Type="http://schemas.openxmlformats.org/officeDocument/2006/relationships/hyperlink" Target="https://pbs.twimg.com/media/EGbdUCXXYAAObha.jpg" TargetMode="External"/><Relationship Id="rId156" Type="http://schemas.openxmlformats.org/officeDocument/2006/relationships/hyperlink" Target="https://pbs.twimg.com/media/EGcX6xzXkAEkwzw.jpg" TargetMode="External"/><Relationship Id="rId570" Type="http://schemas.openxmlformats.org/officeDocument/2006/relationships/hyperlink" Target="https://pbs.twimg.com/media/EGcT1-LWoAEUUob.jpg" TargetMode="External"/><Relationship Id="rId2251" Type="http://schemas.openxmlformats.org/officeDocument/2006/relationships/hyperlink" Target="http://www.durucreative.com/" TargetMode="External"/><Relationship Id="rId3302" Type="http://schemas.openxmlformats.org/officeDocument/2006/relationships/hyperlink" Target="https://pbs.twimg.com/media/EGbcLWsWsAE-NU-.jpg" TargetMode="External"/><Relationship Id="rId223" Type="http://schemas.openxmlformats.org/officeDocument/2006/relationships/hyperlink" Target="https://pbs.twimg.com/media/EGcXAOOWsAAPbXi.jpg" TargetMode="External"/><Relationship Id="rId4076" Type="http://schemas.openxmlformats.org/officeDocument/2006/relationships/hyperlink" Target="https://pbs.twimg.com/media/EGbRBDEXoAECybA.jpg" TargetMode="External"/><Relationship Id="rId4490" Type="http://schemas.openxmlformats.org/officeDocument/2006/relationships/hyperlink" Target="https://pbs.twimg.com/media/EGbMH8-WwAATKqC.jpg" TargetMode="External"/><Relationship Id="rId1737" Type="http://schemas.openxmlformats.org/officeDocument/2006/relationships/hyperlink" Target="http://pic.twitter.com/iyD9AR9bCZ" TargetMode="External"/><Relationship Id="rId3092" Type="http://schemas.openxmlformats.org/officeDocument/2006/relationships/hyperlink" Target="https://pbs.twimg.com/media/EGbfmVyWoAA_Pet.jpg" TargetMode="External"/><Relationship Id="rId4143" Type="http://schemas.openxmlformats.org/officeDocument/2006/relationships/hyperlink" Target="https://pbs.twimg.com/media/EGbQAmnWoAEO-hx.jpg" TargetMode="External"/><Relationship Id="rId29" Type="http://schemas.openxmlformats.org/officeDocument/2006/relationships/hyperlink" Target="https://pbs.twimg.com/media/EGcapXAXUAAOCgV.jpg" TargetMode="External"/><Relationship Id="rId4210" Type="http://schemas.openxmlformats.org/officeDocument/2006/relationships/hyperlink" Target="https://pbs.twimg.com/media/EGbPRD_X0AEjygS.jpg" TargetMode="External"/><Relationship Id="rId1804" Type="http://schemas.openxmlformats.org/officeDocument/2006/relationships/hyperlink" Target="http://pic.twitter.com/guZwGQoIQm" TargetMode="External"/><Relationship Id="rId3976" Type="http://schemas.openxmlformats.org/officeDocument/2006/relationships/hyperlink" Target="https://pbs.twimg.com/media/EGbSVXfX0AA956c.jpg" TargetMode="External"/><Relationship Id="rId897" Type="http://schemas.openxmlformats.org/officeDocument/2006/relationships/hyperlink" Target="https://instagram.com/turkhabermerkezi?igshid=1k15wcfup7qrh" TargetMode="External"/><Relationship Id="rId2578" Type="http://schemas.openxmlformats.org/officeDocument/2006/relationships/hyperlink" Target="https://instagram.com/dusundurendeli" TargetMode="External"/><Relationship Id="rId2992" Type="http://schemas.openxmlformats.org/officeDocument/2006/relationships/hyperlink" Target="https://pbs.twimg.com/media/EGbhg-GWoAE1i6h.jpg" TargetMode="External"/><Relationship Id="rId3629" Type="http://schemas.openxmlformats.org/officeDocument/2006/relationships/hyperlink" Target="http://pic.twitter.com/lIXV1B28Za" TargetMode="External"/><Relationship Id="rId964" Type="http://schemas.openxmlformats.org/officeDocument/2006/relationships/hyperlink" Target="http://pic.twitter.com/raeunP0tAU" TargetMode="External"/><Relationship Id="rId1594" Type="http://schemas.openxmlformats.org/officeDocument/2006/relationships/hyperlink" Target="https://pbs.twimg.com/media/EGcMUAVXYAY9b8s.jpg" TargetMode="External"/><Relationship Id="rId2645" Type="http://schemas.openxmlformats.org/officeDocument/2006/relationships/hyperlink" Target="https://pbs.twimg.com/media/EGbodzbXkAAmaba.jpg" TargetMode="External"/><Relationship Id="rId617" Type="http://schemas.openxmlformats.org/officeDocument/2006/relationships/hyperlink" Target="https://twitter.com/1parcatuhaftik/status/1181934462294204416" TargetMode="External"/><Relationship Id="rId1247" Type="http://schemas.openxmlformats.org/officeDocument/2006/relationships/hyperlink" Target="http://pic.twitter.com/QL95tXr7MB" TargetMode="External"/><Relationship Id="rId1661" Type="http://schemas.openxmlformats.org/officeDocument/2006/relationships/hyperlink" Target="https://pbs.twimg.com/media/EGcL7ZTWoAMtGGJ.jpg" TargetMode="External"/><Relationship Id="rId2712" Type="http://schemas.openxmlformats.org/officeDocument/2006/relationships/hyperlink" Target="https://pbs.twimg.com/media/EGbm7mKWkAAzfqq.jpg" TargetMode="External"/><Relationship Id="rId1314" Type="http://schemas.openxmlformats.org/officeDocument/2006/relationships/hyperlink" Target="http://pic.twitter.com/r10wc6pzei" TargetMode="External"/><Relationship Id="rId3486" Type="http://schemas.openxmlformats.org/officeDocument/2006/relationships/hyperlink" Target="http://www.mustesnakozahan.com/" TargetMode="External"/><Relationship Id="rId20" Type="http://schemas.openxmlformats.org/officeDocument/2006/relationships/hyperlink" Target="https://pbs.twimg.com/media/EGca4qbXoAEpX4x.jpg" TargetMode="External"/><Relationship Id="rId2088" Type="http://schemas.openxmlformats.org/officeDocument/2006/relationships/hyperlink" Target="http://superhaber.tv/" TargetMode="External"/><Relationship Id="rId3139" Type="http://schemas.openxmlformats.org/officeDocument/2006/relationships/hyperlink" Target="https://pbs.twimg.com/media/EGbe5TIWsAAdqlI.png" TargetMode="External"/><Relationship Id="rId474" Type="http://schemas.openxmlformats.org/officeDocument/2006/relationships/hyperlink" Target="http://instagram.com/mehmetyiilmaz1" TargetMode="External"/><Relationship Id="rId2155" Type="http://schemas.openxmlformats.org/officeDocument/2006/relationships/hyperlink" Target="https://twitter.com/dalierzincanli/status/1181877982132129792" TargetMode="External"/><Relationship Id="rId3553" Type="http://schemas.openxmlformats.org/officeDocument/2006/relationships/hyperlink" Target="https://www.instagram.com/abdullahopa/" TargetMode="External"/><Relationship Id="rId127" Type="http://schemas.openxmlformats.org/officeDocument/2006/relationships/hyperlink" Target="https://pbs.twimg.com/media/EGcYap1XkAUGRAD.jpg" TargetMode="External"/><Relationship Id="rId3206" Type="http://schemas.openxmlformats.org/officeDocument/2006/relationships/hyperlink" Target="https://pbs.twimg.com/media/EGbd8-rWsAEdKzT.jpg" TargetMode="External"/><Relationship Id="rId3620" Type="http://schemas.openxmlformats.org/officeDocument/2006/relationships/hyperlink" Target="https://pbs.twimg.com/media/EGbXO99WoAEU2ro.png" TargetMode="External"/><Relationship Id="rId541" Type="http://schemas.openxmlformats.org/officeDocument/2006/relationships/hyperlink" Target="http://pic.twitter.com/t0WHTmZwPG" TargetMode="External"/><Relationship Id="rId1171" Type="http://schemas.openxmlformats.org/officeDocument/2006/relationships/hyperlink" Target="https://pbs.twimg.com/media/EGcPQVkW4AArVuW.jpg" TargetMode="External"/><Relationship Id="rId2222" Type="http://schemas.openxmlformats.org/officeDocument/2006/relationships/hyperlink" Target="https://pbs.twimg.com/media/D6EImISWAAIePfm.jpg" TargetMode="External"/><Relationship Id="rId1988" Type="http://schemas.openxmlformats.org/officeDocument/2006/relationships/hyperlink" Target="http://www.kobiyasam.com.tr/" TargetMode="External"/><Relationship Id="rId4394" Type="http://schemas.openxmlformats.org/officeDocument/2006/relationships/hyperlink" Target="https://pbs.twimg.com/media/EGbNM96XoAAcM82.jpg" TargetMode="External"/><Relationship Id="rId4047" Type="http://schemas.openxmlformats.org/officeDocument/2006/relationships/hyperlink" Target="https://pbs.twimg.com/media/EGbRboiX0AA5jSN.jpg" TargetMode="External"/><Relationship Id="rId4461" Type="http://schemas.openxmlformats.org/officeDocument/2006/relationships/hyperlink" Target="https://twitter.com/eskibirmuhtar/status/1181830089085992960" TargetMode="External"/><Relationship Id="rId3063" Type="http://schemas.openxmlformats.org/officeDocument/2006/relationships/hyperlink" Target="https://pbs.twimg.com/media/EGbgGVyW4AAdvW0.jpg" TargetMode="External"/><Relationship Id="rId4114" Type="http://schemas.openxmlformats.org/officeDocument/2006/relationships/hyperlink" Target="https://pbs.twimg.com/media/EGbQVwOXUAEulyq.jpg" TargetMode="External"/><Relationship Id="rId1708" Type="http://schemas.openxmlformats.org/officeDocument/2006/relationships/hyperlink" Target="https://pbs.twimg.com/media/EGcLs6KWkAEB72y.jpg" TargetMode="External"/><Relationship Id="rId3130" Type="http://schemas.openxmlformats.org/officeDocument/2006/relationships/hyperlink" Target="https://pbs.twimg.com/media/EGbfENRWkAEhxLg.jpg" TargetMode="External"/><Relationship Id="rId2896" Type="http://schemas.openxmlformats.org/officeDocument/2006/relationships/hyperlink" Target="https://twitter.com/ttahaber/status/1181861562941870080" TargetMode="External"/><Relationship Id="rId3947" Type="http://schemas.openxmlformats.org/officeDocument/2006/relationships/hyperlink" Target="https://pbs.twimg.com/media/EGbSz8zXUAIISpC.jpg" TargetMode="External"/><Relationship Id="rId868" Type="http://schemas.openxmlformats.org/officeDocument/2006/relationships/hyperlink" Target="https://twitter.com/tcbestepe/status/1181928485868232705" TargetMode="External"/><Relationship Id="rId1498" Type="http://schemas.openxmlformats.org/officeDocument/2006/relationships/hyperlink" Target="https://pbs.twimg.com/media/EGcMgVWWoAEYbgr.jpg" TargetMode="External"/><Relationship Id="rId2549" Type="http://schemas.openxmlformats.org/officeDocument/2006/relationships/hyperlink" Target="https://pbs.twimg.com/media/D56H4kyWkAAcpQC.jpg" TargetMode="External"/><Relationship Id="rId2963" Type="http://schemas.openxmlformats.org/officeDocument/2006/relationships/hyperlink" Target="https://pbs.twimg.com/media/EGbiEeUWoAAyBX-.jpg" TargetMode="External"/><Relationship Id="rId935" Type="http://schemas.openxmlformats.org/officeDocument/2006/relationships/hyperlink" Target="https://www.instagram.com/" TargetMode="External"/><Relationship Id="rId1565" Type="http://schemas.openxmlformats.org/officeDocument/2006/relationships/hyperlink" Target="https://pbs.twimg.com/media/EGcMaCmWwAEM2Ln.jpg" TargetMode="External"/><Relationship Id="rId2616" Type="http://schemas.openxmlformats.org/officeDocument/2006/relationships/hyperlink" Target="https://www.instagram.com/_baybeyaz/?hl=tr" TargetMode="External"/><Relationship Id="rId1218" Type="http://schemas.openxmlformats.org/officeDocument/2006/relationships/hyperlink" Target="http://curiouscat.me/halilusaki" TargetMode="External"/><Relationship Id="rId1632" Type="http://schemas.openxmlformats.org/officeDocument/2006/relationships/hyperlink" Target="https://instagram.com/mceesur" TargetMode="External"/><Relationship Id="rId3457" Type="http://schemas.openxmlformats.org/officeDocument/2006/relationships/hyperlink" Target="https://twitter.com/hiyibildiren/status/1181303306846646272" TargetMode="External"/><Relationship Id="rId3871" Type="http://schemas.openxmlformats.org/officeDocument/2006/relationships/hyperlink" Target="http://instagram.com/emrea.8" TargetMode="External"/><Relationship Id="rId4508" Type="http://schemas.openxmlformats.org/officeDocument/2006/relationships/hyperlink" Target="http://pic.twitter.com/12gTLZkZt5" TargetMode="External"/><Relationship Id="rId378" Type="http://schemas.openxmlformats.org/officeDocument/2006/relationships/hyperlink" Target="http://instagram.com/shkurtta.rama" TargetMode="External"/><Relationship Id="rId792" Type="http://schemas.openxmlformats.org/officeDocument/2006/relationships/hyperlink" Target="https://twitter.com/suleymansoylu/status/1181917653641900034" TargetMode="External"/><Relationship Id="rId2059" Type="http://schemas.openxmlformats.org/officeDocument/2006/relationships/hyperlink" Target="http://pic.twitter.com/pSeGszm2vV" TargetMode="External"/><Relationship Id="rId2473" Type="http://schemas.openxmlformats.org/officeDocument/2006/relationships/hyperlink" Target="http://pic.twitter.com/81a8w2aOZL" TargetMode="External"/><Relationship Id="rId3524" Type="http://schemas.openxmlformats.org/officeDocument/2006/relationships/hyperlink" Target="https://www.siyasetcafe.com/wall-street-journalde-flas-yazi-operasyon-kurtlere-degil-ypgye-karsi-56607h.htm" TargetMode="External"/><Relationship Id="rId445" Type="http://schemas.openxmlformats.org/officeDocument/2006/relationships/hyperlink" Target="https://micheletestoni.com/" TargetMode="External"/><Relationship Id="rId1075" Type="http://schemas.openxmlformats.org/officeDocument/2006/relationships/hyperlink" Target="https://pbs.twimg.com/media/EGcOf0gXUAAIUkp.jpg" TargetMode="External"/><Relationship Id="rId2126" Type="http://schemas.openxmlformats.org/officeDocument/2006/relationships/hyperlink" Target="https://pbs.twimg.com/media/EGb114dWsAEtaPO.jpg" TargetMode="External"/><Relationship Id="rId2540" Type="http://schemas.openxmlformats.org/officeDocument/2006/relationships/hyperlink" Target="https://pbs.twimg.com/media/EGbrXuoW4AAbQuN.jpg" TargetMode="External"/><Relationship Id="rId512" Type="http://schemas.openxmlformats.org/officeDocument/2006/relationships/hyperlink" Target="https://pbs.twimg.com/media/EGcUZVnWwAIju7g.jpg" TargetMode="External"/><Relationship Id="rId1142" Type="http://schemas.openxmlformats.org/officeDocument/2006/relationships/hyperlink" Target="https://twitter.com/fenerbahce/status/1181927957377540097" TargetMode="External"/><Relationship Id="rId4298" Type="http://schemas.openxmlformats.org/officeDocument/2006/relationships/hyperlink" Target="https://instagram.com/anlbozkurtt" TargetMode="External"/><Relationship Id="rId4365" Type="http://schemas.openxmlformats.org/officeDocument/2006/relationships/hyperlink" Target="https://pbs.twimg.com/media/EGbNpr3W4AAkVTX.jpg" TargetMode="External"/><Relationship Id="rId1959" Type="http://schemas.openxmlformats.org/officeDocument/2006/relationships/hyperlink" Target="https://pbs.twimg.com/media/EGb5x1xXUAI9jKt.jpg" TargetMode="External"/><Relationship Id="rId4018" Type="http://schemas.openxmlformats.org/officeDocument/2006/relationships/hyperlink" Target="http://instagram.com/enessekerli" TargetMode="External"/><Relationship Id="rId3381" Type="http://schemas.openxmlformats.org/officeDocument/2006/relationships/hyperlink" Target="https://pbs.twimg.com/media/EGba3-AWwAIal74.jpg" TargetMode="External"/><Relationship Id="rId4432" Type="http://schemas.openxmlformats.org/officeDocument/2006/relationships/hyperlink" Target="https://pbs.twimg.com/media/EGbMvF4WkAAMmFm.jpg" TargetMode="External"/><Relationship Id="rId3034" Type="http://schemas.openxmlformats.org/officeDocument/2006/relationships/hyperlink" Target="https://instagram.com/fya40?utm_source=ig_profile_share&amp;igshid=1e7qzl4x4bry8" TargetMode="External"/><Relationship Id="rId2050" Type="http://schemas.openxmlformats.org/officeDocument/2006/relationships/hyperlink" Target="https://www.youtube.com/watch?v=82ls0wyffIc" TargetMode="External"/><Relationship Id="rId3101" Type="http://schemas.openxmlformats.org/officeDocument/2006/relationships/hyperlink" Target="https://pbs.twimg.com/media/EGbfYwzWwAAW62R.jpg" TargetMode="External"/><Relationship Id="rId839" Type="http://schemas.openxmlformats.org/officeDocument/2006/relationships/hyperlink" Target="https://instagram.com/cemalcelik27?utm_source=ig_profile_share&amp;igshid=5b6hitwe3qb7" TargetMode="External"/><Relationship Id="rId1469" Type="http://schemas.openxmlformats.org/officeDocument/2006/relationships/hyperlink" Target="https://pbs.twimg.com/media/EGcM4ziW4AAG410.jpg" TargetMode="External"/><Relationship Id="rId2867" Type="http://schemas.openxmlformats.org/officeDocument/2006/relationships/hyperlink" Target="https://pbs.twimg.com/media/EGbjZ4FXkAEBc9e.jpg" TargetMode="External"/><Relationship Id="rId3918" Type="http://schemas.openxmlformats.org/officeDocument/2006/relationships/hyperlink" Target="https://pbs.twimg.com/media/EGbTJb-X0AAOjWW.jpg" TargetMode="External"/><Relationship Id="rId1883" Type="http://schemas.openxmlformats.org/officeDocument/2006/relationships/hyperlink" Target="https://pbs.twimg.com/media/EGb7pOzWoAAUS4P.jpg" TargetMode="External"/><Relationship Id="rId2934" Type="http://schemas.openxmlformats.org/officeDocument/2006/relationships/hyperlink" Target="http://instagram.com/cerrahderler" TargetMode="External"/><Relationship Id="rId906" Type="http://schemas.openxmlformats.org/officeDocument/2006/relationships/hyperlink" Target="https://pbs.twimg.com/media/EGcRhh6X0AAs3Z7.jpg" TargetMode="External"/><Relationship Id="rId1536" Type="http://schemas.openxmlformats.org/officeDocument/2006/relationships/hyperlink" Target="https://pbs.twimg.com/media/EGcMhzOWwAEid4h.jpg" TargetMode="External"/><Relationship Id="rId1950" Type="http://schemas.openxmlformats.org/officeDocument/2006/relationships/hyperlink" Target="http://pic.twitter.com/cFF8FXBeg4" TargetMode="External"/><Relationship Id="rId1603" Type="http://schemas.openxmlformats.org/officeDocument/2006/relationships/hyperlink" Target="https://pbs.twimg.com/media/EGcMR7IWkAACeUn.jpg" TargetMode="External"/><Relationship Id="rId3775" Type="http://schemas.openxmlformats.org/officeDocument/2006/relationships/hyperlink" Target="https://pbs.twimg.com/media/EGbU96WWwAIMQxI.jpg" TargetMode="External"/><Relationship Id="rId696" Type="http://schemas.openxmlformats.org/officeDocument/2006/relationships/hyperlink" Target="https://pbs.twimg.com/media/EGcS_8jX0AAolqa.jpg" TargetMode="External"/><Relationship Id="rId2377" Type="http://schemas.openxmlformats.org/officeDocument/2006/relationships/hyperlink" Target="https://pbs.twimg.com/media/EGbvMZdXoAA6JbE.jpg" TargetMode="External"/><Relationship Id="rId2791" Type="http://schemas.openxmlformats.org/officeDocument/2006/relationships/hyperlink" Target="http://www.tgb.gen.tr/" TargetMode="External"/><Relationship Id="rId3428" Type="http://schemas.openxmlformats.org/officeDocument/2006/relationships/hyperlink" Target="https://pbs.twimg.com/media/EGbaGIfW4AAJF5B.jpg" TargetMode="External"/><Relationship Id="rId349" Type="http://schemas.openxmlformats.org/officeDocument/2006/relationships/hyperlink" Target="https://pbs.twimg.com/media/EGcV4f4WwAIvoF4.jpg" TargetMode="External"/><Relationship Id="rId763" Type="http://schemas.openxmlformats.org/officeDocument/2006/relationships/hyperlink" Target="http://pic.twitter.com/iyD9AR9bCZ" TargetMode="External"/><Relationship Id="rId1393" Type="http://schemas.openxmlformats.org/officeDocument/2006/relationships/hyperlink" Target="https://pbs.twimg.com/media/EGcNW4PXoAAhXzm.jpg" TargetMode="External"/><Relationship Id="rId2444" Type="http://schemas.openxmlformats.org/officeDocument/2006/relationships/hyperlink" Target="http://pic.twitter.com/od5n4qrwUx" TargetMode="External"/><Relationship Id="rId3842" Type="http://schemas.openxmlformats.org/officeDocument/2006/relationships/hyperlink" Target="http://www.artihaber27.com/haber/hirsizlik-suphelileri-teknik-takip-sonucu-yakayi-ele-verdi-haberi-5659.html" TargetMode="External"/><Relationship Id="rId416" Type="http://schemas.openxmlformats.org/officeDocument/2006/relationships/hyperlink" Target="https://twitter.com/trolliten/status/1181622910198407168" TargetMode="External"/><Relationship Id="rId1046" Type="http://schemas.openxmlformats.org/officeDocument/2006/relationships/hyperlink" Target="http://pic.twitter.com/nW8FwfTSBl" TargetMode="External"/><Relationship Id="rId830" Type="http://schemas.openxmlformats.org/officeDocument/2006/relationships/hyperlink" Target="https://pbs.twimg.com/media/EGcSD0AW4AIiIHr.jpg" TargetMode="External"/><Relationship Id="rId1460" Type="http://schemas.openxmlformats.org/officeDocument/2006/relationships/hyperlink" Target="https://pbs.twimg.com/media/EGcM6VSWsAEqnFv.jpg" TargetMode="External"/><Relationship Id="rId2511" Type="http://schemas.openxmlformats.org/officeDocument/2006/relationships/hyperlink" Target="http://www.ekonometrik.net/" TargetMode="External"/><Relationship Id="rId1113" Type="http://schemas.openxmlformats.org/officeDocument/2006/relationships/hyperlink" Target="https://pbs.twimg.com/media/EGcP59sWwAENKju.jpg" TargetMode="External"/><Relationship Id="rId4269" Type="http://schemas.openxmlformats.org/officeDocument/2006/relationships/hyperlink" Target="http://www.dorukanvinc.com/" TargetMode="External"/><Relationship Id="rId3285" Type="http://schemas.openxmlformats.org/officeDocument/2006/relationships/hyperlink" Target="https://pbs.twimg.com/media/EGbcblSXoAITviS.jpg" TargetMode="External"/><Relationship Id="rId4336" Type="http://schemas.openxmlformats.org/officeDocument/2006/relationships/hyperlink" Target="https://pbs.twimg.com/media/EGbN4uBXkAUbWeP.jpg" TargetMode="External"/><Relationship Id="rId3352" Type="http://schemas.openxmlformats.org/officeDocument/2006/relationships/hyperlink" Target="https://pbs.twimg.com/media/EGbbSRFX0AAblqY.jpg" TargetMode="External"/><Relationship Id="rId4403" Type="http://schemas.openxmlformats.org/officeDocument/2006/relationships/hyperlink" Target="https://pbs.twimg.com/media/EGbNKS1WoAAH2GA.jpg" TargetMode="External"/><Relationship Id="rId273" Type="http://schemas.openxmlformats.org/officeDocument/2006/relationships/hyperlink" Target="http://pic.twitter.com/iyD9AR9bCZ" TargetMode="External"/><Relationship Id="rId3005" Type="http://schemas.openxmlformats.org/officeDocument/2006/relationships/hyperlink" Target="https://youtu.be/fu1ZpxU4RD8" TargetMode="External"/><Relationship Id="rId340" Type="http://schemas.openxmlformats.org/officeDocument/2006/relationships/hyperlink" Target="https://pbs.twimg.com/media/EGcV-2cXkAAGnSC.jpg" TargetMode="External"/><Relationship Id="rId2021" Type="http://schemas.openxmlformats.org/officeDocument/2006/relationships/hyperlink" Target="https://pbs.twimg.com/media/EGb4TvlXoAA_D8C.jpg" TargetMode="External"/><Relationship Id="rId4193" Type="http://schemas.openxmlformats.org/officeDocument/2006/relationships/hyperlink" Target="https://pbs.twimg.com/media/EGbPWYdWoAAQMX6.jpg" TargetMode="External"/><Relationship Id="rId1787" Type="http://schemas.openxmlformats.org/officeDocument/2006/relationships/hyperlink" Target="https://pbs.twimg.com/media/EGb-ebKWsAUYSz4.jpg" TargetMode="External"/><Relationship Id="rId2838" Type="http://schemas.openxmlformats.org/officeDocument/2006/relationships/hyperlink" Target="https://pbs.twimg.com/media/EGa0LsjW4AMa0UL.jpg" TargetMode="External"/><Relationship Id="rId79" Type="http://schemas.openxmlformats.org/officeDocument/2006/relationships/hyperlink" Target="https://pbs.twimg.com/media/EGbCA85WkAEgcP0.jpg" TargetMode="External"/><Relationship Id="rId1854" Type="http://schemas.openxmlformats.org/officeDocument/2006/relationships/hyperlink" Target="https://pbs.twimg.com/media/EGb8ZR7XYAAodOm.jpg" TargetMode="External"/><Relationship Id="rId2905" Type="http://schemas.openxmlformats.org/officeDocument/2006/relationships/hyperlink" Target="http://pic.twitter.com/SuaQla8DC1" TargetMode="External"/><Relationship Id="rId4260" Type="http://schemas.openxmlformats.org/officeDocument/2006/relationships/hyperlink" Target="https://pbs.twimg.com/media/EGbOvBoWoAU4vAi.jpg" TargetMode="External"/><Relationship Id="rId1507" Type="http://schemas.openxmlformats.org/officeDocument/2006/relationships/hyperlink" Target="https://pbs.twimg.com/media/EGcLoA_XkAAPxjK.jpg" TargetMode="External"/><Relationship Id="rId1921" Type="http://schemas.openxmlformats.org/officeDocument/2006/relationships/hyperlink" Target="https://pbs.twimg.com/media/EGb657AX0Ac475G.jpg" TargetMode="External"/><Relationship Id="rId3679" Type="http://schemas.openxmlformats.org/officeDocument/2006/relationships/hyperlink" Target="https://pbs.twimg.com/media/EGbWJRYWkAAl46d.jpg" TargetMode="External"/><Relationship Id="rId1297" Type="http://schemas.openxmlformats.org/officeDocument/2006/relationships/hyperlink" Target="https://www.instagram.com/ozancan_ozkan/" TargetMode="External"/><Relationship Id="rId2695" Type="http://schemas.openxmlformats.org/officeDocument/2006/relationships/hyperlink" Target="http://www.fenerbahce.org/" TargetMode="External"/><Relationship Id="rId3746" Type="http://schemas.openxmlformats.org/officeDocument/2006/relationships/hyperlink" Target="https://twitter.com/realdonaldtrump/status/1181553630354259968" TargetMode="External"/><Relationship Id="rId667" Type="http://schemas.openxmlformats.org/officeDocument/2006/relationships/hyperlink" Target="https://pbs.twimg.com/media/EGcTI-MWwAAuDcc.jpg" TargetMode="External"/><Relationship Id="rId2348" Type="http://schemas.openxmlformats.org/officeDocument/2006/relationships/hyperlink" Target="http://www.goldhanhotel.com/" TargetMode="External"/><Relationship Id="rId2762" Type="http://schemas.openxmlformats.org/officeDocument/2006/relationships/hyperlink" Target="https://pbs.twimg.com/media/EGbl1BUXYAEUu0D.jpg" TargetMode="External"/><Relationship Id="rId3813" Type="http://schemas.openxmlformats.org/officeDocument/2006/relationships/hyperlink" Target="https://pbs.twimg.com/media/EGbUfatXYAEUeuk.jpg" TargetMode="External"/><Relationship Id="rId734" Type="http://schemas.openxmlformats.org/officeDocument/2006/relationships/hyperlink" Target="https://pbs.twimg.com/media/EGcSqttWwAEXH8_.jpg" TargetMode="External"/><Relationship Id="rId1364" Type="http://schemas.openxmlformats.org/officeDocument/2006/relationships/hyperlink" Target="http://instagram.com/ramazansakalli61/" TargetMode="External"/><Relationship Id="rId2415" Type="http://schemas.openxmlformats.org/officeDocument/2006/relationships/hyperlink" Target="https://www.facebook.com/Tasariker" TargetMode="External"/><Relationship Id="rId70" Type="http://schemas.openxmlformats.org/officeDocument/2006/relationships/hyperlink" Target="https://twitter.com/8peyok/status/1181930640993853440" TargetMode="External"/><Relationship Id="rId801" Type="http://schemas.openxmlformats.org/officeDocument/2006/relationships/hyperlink" Target="https://pbs.twimg.com/media/EGcSNeBWoAMWrmO.jpg" TargetMode="External"/><Relationship Id="rId1017" Type="http://schemas.openxmlformats.org/officeDocument/2006/relationships/hyperlink" Target="https://pbs.twimg.com/media/EGcQr2bXUAAcckB.jpg" TargetMode="External"/><Relationship Id="rId1431" Type="http://schemas.openxmlformats.org/officeDocument/2006/relationships/hyperlink" Target="https://pbs.twimg.com/media/EGcNEs6XoAA1Fs3.jpg"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ic.twitter.com/9kqQkRLb6W" TargetMode="External"/><Relationship Id="rId170" Type="http://schemas.openxmlformats.org/officeDocument/2006/relationships/hyperlink" Target="http://pic.twitter.com/bCVh8mXS7Y" TargetMode="External"/><Relationship Id="rId987" Type="http://schemas.openxmlformats.org/officeDocument/2006/relationships/hyperlink" Target="http://pic.twitter.com/gMxB6Dy5HQ" TargetMode="External"/><Relationship Id="rId847" Type="http://schemas.openxmlformats.org/officeDocument/2006/relationships/hyperlink" Target="http://pic.twitter.com/gL6eSxEhfT" TargetMode="External"/><Relationship Id="rId1477" Type="http://schemas.openxmlformats.org/officeDocument/2006/relationships/hyperlink" Target="http://pic.twitter.com/paTVuV5AKJ" TargetMode="External"/><Relationship Id="rId1684" Type="http://schemas.openxmlformats.org/officeDocument/2006/relationships/hyperlink" Target="http://pic.twitter.com/gsknOlTCfC" TargetMode="External"/><Relationship Id="rId1891" Type="http://schemas.openxmlformats.org/officeDocument/2006/relationships/hyperlink" Target="http://pic.twitter.com/r9OCbqaZT8" TargetMode="External"/><Relationship Id="rId707" Type="http://schemas.openxmlformats.org/officeDocument/2006/relationships/hyperlink" Target="http://pic.twitter.com/kLlJf9Q9Mj" TargetMode="External"/><Relationship Id="rId914" Type="http://schemas.openxmlformats.org/officeDocument/2006/relationships/hyperlink" Target="https://pbs.twimg.com/media/EF-m1ZpXUAAvExx.jpg" TargetMode="External"/><Relationship Id="rId1337" Type="http://schemas.openxmlformats.org/officeDocument/2006/relationships/hyperlink" Target="https://pbs.twimg.com/media/EF-m1ZpXUAAvExx.jpg" TargetMode="External"/><Relationship Id="rId1544" Type="http://schemas.openxmlformats.org/officeDocument/2006/relationships/hyperlink" Target="http://pic.twitter.com/5mZHtjfpnk" TargetMode="External"/><Relationship Id="rId1751" Type="http://schemas.openxmlformats.org/officeDocument/2006/relationships/hyperlink" Target="http://pic.twitter.com/qmpftFeiKs" TargetMode="External"/><Relationship Id="rId43" Type="http://schemas.openxmlformats.org/officeDocument/2006/relationships/hyperlink" Target="http://pic.twitter.com/8yf7he6qUE" TargetMode="External"/><Relationship Id="rId1404" Type="http://schemas.openxmlformats.org/officeDocument/2006/relationships/hyperlink" Target="http://jazertalarab.com/" TargetMode="External"/><Relationship Id="rId1611" Type="http://schemas.openxmlformats.org/officeDocument/2006/relationships/hyperlink" Target="http://pic.twitter.com/ZDmxadGtcI" TargetMode="External"/><Relationship Id="rId497" Type="http://schemas.openxmlformats.org/officeDocument/2006/relationships/hyperlink" Target="http://pic.twitter.com/QOQGwXpmhl" TargetMode="External"/><Relationship Id="rId357" Type="http://schemas.openxmlformats.org/officeDocument/2006/relationships/hyperlink" Target="http://pic.twitter.com/I4bhVO4Wzy" TargetMode="External"/><Relationship Id="rId1194" Type="http://schemas.openxmlformats.org/officeDocument/2006/relationships/hyperlink" Target="http://pic.twitter.com/ViZws6hNwH" TargetMode="External"/><Relationship Id="rId2038" Type="http://schemas.openxmlformats.org/officeDocument/2006/relationships/hyperlink" Target="http://multiplesclerosis.net/author/laura" TargetMode="External"/><Relationship Id="rId217" Type="http://schemas.openxmlformats.org/officeDocument/2006/relationships/hyperlink" Target="https://pbs.twimg.com/media/EF-kwdrWwA0yvZy.jpg" TargetMode="External"/><Relationship Id="rId564" Type="http://schemas.openxmlformats.org/officeDocument/2006/relationships/hyperlink" Target="http://pic.twitter.com/o6l8u30FCe" TargetMode="External"/><Relationship Id="rId771" Type="http://schemas.openxmlformats.org/officeDocument/2006/relationships/hyperlink" Target="http://pic.twitter.com/VVr2NYxVuV" TargetMode="External"/><Relationship Id="rId424" Type="http://schemas.openxmlformats.org/officeDocument/2006/relationships/hyperlink" Target="https://pbs.twimg.com/media/EF-m1ZpXUAAvExx.jpg" TargetMode="External"/><Relationship Id="rId631" Type="http://schemas.openxmlformats.org/officeDocument/2006/relationships/hyperlink" Target="http://pic.twitter.com/GD0TGr9j6d" TargetMode="External"/><Relationship Id="rId1054" Type="http://schemas.openxmlformats.org/officeDocument/2006/relationships/hyperlink" Target="https://pbs.twimg.com/media/EF-kwdrWwA0yvZy.jpg" TargetMode="External"/><Relationship Id="rId1261" Type="http://schemas.openxmlformats.org/officeDocument/2006/relationships/hyperlink" Target="http://pic.twitter.com/3vFvpxw04e" TargetMode="External"/><Relationship Id="rId1121" Type="http://schemas.openxmlformats.org/officeDocument/2006/relationships/hyperlink" Target="https://pbs.twimg.com/media/EF-m1ZpXUAAvExx.jpg" TargetMode="External"/><Relationship Id="rId65" Type="http://schemas.openxmlformats.org/officeDocument/2006/relationships/hyperlink" Target="http://pic.twitter.com/A4rRqFyd9V" TargetMode="External"/><Relationship Id="rId1426" Type="http://schemas.openxmlformats.org/officeDocument/2006/relationships/hyperlink" Target="http://pic.twitter.com/i3NPrPnCYW" TargetMode="External"/><Relationship Id="rId1633" Type="http://schemas.openxmlformats.org/officeDocument/2006/relationships/hyperlink" Target="http://pic.twitter.com/n3tdLyLZgS" TargetMode="External"/><Relationship Id="rId1840" Type="http://schemas.openxmlformats.org/officeDocument/2006/relationships/hyperlink" Target="http://pic.twitter.com/E1MpLUJuUD" TargetMode="External"/><Relationship Id="rId1700" Type="http://schemas.openxmlformats.org/officeDocument/2006/relationships/hyperlink" Target="http://pic.twitter.com/xOEnrPI25N" TargetMode="External"/><Relationship Id="rId1938" Type="http://schemas.openxmlformats.org/officeDocument/2006/relationships/hyperlink" Target="http://pic.twitter.com/McIAtoV8Kt" TargetMode="External"/><Relationship Id="rId281" Type="http://schemas.openxmlformats.org/officeDocument/2006/relationships/hyperlink" Target="http://pic.twitter.com/rdFMsesrAe" TargetMode="External"/><Relationship Id="rId141" Type="http://schemas.openxmlformats.org/officeDocument/2006/relationships/hyperlink" Target="http://pic.twitter.com/9JuaKz0OlY" TargetMode="External"/><Relationship Id="rId379" Type="http://schemas.openxmlformats.org/officeDocument/2006/relationships/hyperlink" Target="http://pic.twitter.com/3ArAkZn1Tx" TargetMode="External"/><Relationship Id="rId586" Type="http://schemas.openxmlformats.org/officeDocument/2006/relationships/hyperlink" Target="http://pic.twitter.com/qvoOaoAgpV" TargetMode="External"/><Relationship Id="rId793" Type="http://schemas.openxmlformats.org/officeDocument/2006/relationships/hyperlink" Target="http://pic.twitter.com/2lGC1sqhR7" TargetMode="External"/><Relationship Id="rId7" Type="http://schemas.openxmlformats.org/officeDocument/2006/relationships/hyperlink" Target="https://indivisible.org/" TargetMode="External"/><Relationship Id="rId239" Type="http://schemas.openxmlformats.org/officeDocument/2006/relationships/hyperlink" Target="http://pic.twitter.com/r3CPICmZ7t" TargetMode="External"/><Relationship Id="rId446" Type="http://schemas.openxmlformats.org/officeDocument/2006/relationships/hyperlink" Target="https://pbs.twimg.com/media/EF-kwdrWwA0yvZy.jpg" TargetMode="External"/><Relationship Id="rId653" Type="http://schemas.openxmlformats.org/officeDocument/2006/relationships/hyperlink" Target="http://pic.twitter.com/OSywChINXd" TargetMode="External"/><Relationship Id="rId1076" Type="http://schemas.openxmlformats.org/officeDocument/2006/relationships/hyperlink" Target="http://pic.twitter.com/9sTKdm908i" TargetMode="External"/><Relationship Id="rId1283" Type="http://schemas.openxmlformats.org/officeDocument/2006/relationships/hyperlink" Target="http://pic.twitter.com/8Uj9ZfldDw" TargetMode="External"/><Relationship Id="rId1490" Type="http://schemas.openxmlformats.org/officeDocument/2006/relationships/hyperlink" Target="http://pic.twitter.com/yH8otxPaeX" TargetMode="External"/><Relationship Id="rId306" Type="http://schemas.openxmlformats.org/officeDocument/2006/relationships/hyperlink" Target="http://pic.twitter.com/04k7fOQSzS" TargetMode="External"/><Relationship Id="rId860" Type="http://schemas.openxmlformats.org/officeDocument/2006/relationships/hyperlink" Target="http://pic.twitter.com/3odvfQdeFI" TargetMode="External"/><Relationship Id="rId958" Type="http://schemas.openxmlformats.org/officeDocument/2006/relationships/hyperlink" Target="http://pic.twitter.com/R3R6fVncKp" TargetMode="External"/><Relationship Id="rId1143" Type="http://schemas.openxmlformats.org/officeDocument/2006/relationships/hyperlink" Target="http://pic.twitter.com/NHwlJkXCom" TargetMode="External"/><Relationship Id="rId1588" Type="http://schemas.openxmlformats.org/officeDocument/2006/relationships/hyperlink" Target="http://pic.twitter.com/n7L8sOZkHf" TargetMode="External"/><Relationship Id="rId1795" Type="http://schemas.openxmlformats.org/officeDocument/2006/relationships/hyperlink" Target="http://pic.twitter.com/nztgoDOStv" TargetMode="External"/><Relationship Id="rId87" Type="http://schemas.openxmlformats.org/officeDocument/2006/relationships/hyperlink" Target="http://pic.twitter.com/3LTKz2f435" TargetMode="External"/><Relationship Id="rId513" Type="http://schemas.openxmlformats.org/officeDocument/2006/relationships/hyperlink" Target="http://pic.twitter.com/9fTY26hYOB" TargetMode="External"/><Relationship Id="rId720" Type="http://schemas.openxmlformats.org/officeDocument/2006/relationships/hyperlink" Target="http://pic.twitter.com/kxLPZWkinM" TargetMode="External"/><Relationship Id="rId818" Type="http://schemas.openxmlformats.org/officeDocument/2006/relationships/hyperlink" Target="http://pic.twitter.com/RjOzXMuOSj" TargetMode="External"/><Relationship Id="rId1350" Type="http://schemas.openxmlformats.org/officeDocument/2006/relationships/hyperlink" Target="http://pic.twitter.com/SKq0TrsSmy" TargetMode="External"/><Relationship Id="rId1448" Type="http://schemas.openxmlformats.org/officeDocument/2006/relationships/hyperlink" Target="http://pic.twitter.com/CxxnLiWdfw" TargetMode="External"/><Relationship Id="rId1655" Type="http://schemas.openxmlformats.org/officeDocument/2006/relationships/hyperlink" Target="http://pic.twitter.com/cWfXTbK6We" TargetMode="External"/><Relationship Id="rId1003" Type="http://schemas.openxmlformats.org/officeDocument/2006/relationships/hyperlink" Target="http://pic.twitter.com/BfBJnAm9ps" TargetMode="External"/><Relationship Id="rId1210" Type="http://schemas.openxmlformats.org/officeDocument/2006/relationships/hyperlink" Target="http://pic.twitter.com/pxAsbzJA30" TargetMode="External"/><Relationship Id="rId1308" Type="http://schemas.openxmlformats.org/officeDocument/2006/relationships/hyperlink" Target="http://pic.twitter.com/AZLBpxxe4P" TargetMode="External"/><Relationship Id="rId1862" Type="http://schemas.openxmlformats.org/officeDocument/2006/relationships/hyperlink" Target="http://pic.twitter.com/c2UH5y3pyL" TargetMode="External"/><Relationship Id="rId1515" Type="http://schemas.openxmlformats.org/officeDocument/2006/relationships/hyperlink" Target="http://pic.twitter.com/ms4Sl9PsNl" TargetMode="External"/><Relationship Id="rId1722" Type="http://schemas.openxmlformats.org/officeDocument/2006/relationships/hyperlink" Target="http://pic.twitter.com/TnQQtXJTnN" TargetMode="External"/><Relationship Id="rId14" Type="http://schemas.openxmlformats.org/officeDocument/2006/relationships/hyperlink" Target="http://pic.twitter.com/sQcT5RFPhW" TargetMode="External"/><Relationship Id="rId163" Type="http://schemas.openxmlformats.org/officeDocument/2006/relationships/hyperlink" Target="https://pbs.twimg.com/media/EF-kwdrWwA0yvZy.jpg" TargetMode="External"/><Relationship Id="rId370" Type="http://schemas.openxmlformats.org/officeDocument/2006/relationships/hyperlink" Target="http://pic.twitter.com/agm36zxx9o" TargetMode="External"/><Relationship Id="rId2051" Type="http://schemas.openxmlformats.org/officeDocument/2006/relationships/hyperlink" Target="http://pic.twitter.com/E540VCaMYq" TargetMode="External"/><Relationship Id="rId230" Type="http://schemas.openxmlformats.org/officeDocument/2006/relationships/hyperlink" Target="http://pic.twitter.com/GTvdEHGuVk" TargetMode="External"/><Relationship Id="rId468" Type="http://schemas.openxmlformats.org/officeDocument/2006/relationships/hyperlink" Target="https://pbs.twimg.com/media/EF-kwdrWwA0yvZy.jpg" TargetMode="External"/><Relationship Id="rId675" Type="http://schemas.openxmlformats.org/officeDocument/2006/relationships/hyperlink" Target="http://pic.twitter.com/GFAoSYmo7J" TargetMode="External"/><Relationship Id="rId882" Type="http://schemas.openxmlformats.org/officeDocument/2006/relationships/hyperlink" Target="https://pbs.twimg.com/media/EF-kwdrWwA0yvZy.jpg" TargetMode="External"/><Relationship Id="rId1098" Type="http://schemas.openxmlformats.org/officeDocument/2006/relationships/hyperlink" Target="http://pic.twitter.com/jCFl03szyw" TargetMode="External"/><Relationship Id="rId328" Type="http://schemas.openxmlformats.org/officeDocument/2006/relationships/hyperlink" Target="http://pic.twitter.com/FeGKR8rm0T" TargetMode="External"/><Relationship Id="rId535" Type="http://schemas.openxmlformats.org/officeDocument/2006/relationships/hyperlink" Target="https://pbs.twimg.com/media/EF-m1ZpXUAAvExx.jpg" TargetMode="External"/><Relationship Id="rId742" Type="http://schemas.openxmlformats.org/officeDocument/2006/relationships/hyperlink" Target="http://pic.twitter.com/3XNmAy64FZ" TargetMode="External"/><Relationship Id="rId1165" Type="http://schemas.openxmlformats.org/officeDocument/2006/relationships/hyperlink" Target="http://pic.twitter.com/CmTCNzfXne" TargetMode="External"/><Relationship Id="rId1372" Type="http://schemas.openxmlformats.org/officeDocument/2006/relationships/hyperlink" Target="http://pic.twitter.com/Hexd75WiO1" TargetMode="External"/><Relationship Id="rId2009" Type="http://schemas.openxmlformats.org/officeDocument/2006/relationships/hyperlink" Target="http://pic.twitter.com/Iyz7D78Vib" TargetMode="External"/><Relationship Id="rId602" Type="http://schemas.openxmlformats.org/officeDocument/2006/relationships/hyperlink" Target="http://pic.twitter.com/i9ZLbZcgRD" TargetMode="External"/><Relationship Id="rId1025" Type="http://schemas.openxmlformats.org/officeDocument/2006/relationships/hyperlink" Target="http://pic.twitter.com/Li2rKj1TxT" TargetMode="External"/><Relationship Id="rId1232" Type="http://schemas.openxmlformats.org/officeDocument/2006/relationships/hyperlink" Target="http://pic.twitter.com/g25ArEJ2ea" TargetMode="External"/><Relationship Id="rId1677" Type="http://schemas.openxmlformats.org/officeDocument/2006/relationships/hyperlink" Target="http://pic.twitter.com/EAcSRfLvs4" TargetMode="External"/><Relationship Id="rId1884" Type="http://schemas.openxmlformats.org/officeDocument/2006/relationships/hyperlink" Target="http://pic.twitter.com/lUBTEmiYnm" TargetMode="External"/><Relationship Id="rId907" Type="http://schemas.openxmlformats.org/officeDocument/2006/relationships/hyperlink" Target="https://pbs.twimg.com/media/EGYE2QoXUAA7t3v.jpg" TargetMode="External"/><Relationship Id="rId1537" Type="http://schemas.openxmlformats.org/officeDocument/2006/relationships/hyperlink" Target="http://pic.twitter.com/nuMwLC495v" TargetMode="External"/><Relationship Id="rId1744" Type="http://schemas.openxmlformats.org/officeDocument/2006/relationships/hyperlink" Target="http://pic.twitter.com/wIxuNqhllf" TargetMode="External"/><Relationship Id="rId1951" Type="http://schemas.openxmlformats.org/officeDocument/2006/relationships/hyperlink" Target="http://pic.twitter.com/Fvs36IZzcP" TargetMode="External"/><Relationship Id="rId36" Type="http://schemas.openxmlformats.org/officeDocument/2006/relationships/hyperlink" Target="http://pic.twitter.com/Px53yfEE80" TargetMode="External"/><Relationship Id="rId1604" Type="http://schemas.openxmlformats.org/officeDocument/2006/relationships/hyperlink" Target="https://pbs.twimg.com/media/EGV39DAWoAAx8kg.jpg" TargetMode="External"/><Relationship Id="rId185" Type="http://schemas.openxmlformats.org/officeDocument/2006/relationships/hyperlink" Target="http://pic.twitter.com/2NnRzkbHXF" TargetMode="External"/><Relationship Id="rId1811" Type="http://schemas.openxmlformats.org/officeDocument/2006/relationships/hyperlink" Target="http://pic.twitter.com/OrTVdZNhjp" TargetMode="External"/><Relationship Id="rId1909" Type="http://schemas.openxmlformats.org/officeDocument/2006/relationships/hyperlink" Target="http://pic.twitter.com/CHv1zSl6LR" TargetMode="External"/><Relationship Id="rId392" Type="http://schemas.openxmlformats.org/officeDocument/2006/relationships/hyperlink" Target="https://pbs.twimg.com/media/EF-m1ZpXUAAvExx.jpg" TargetMode="External"/><Relationship Id="rId697" Type="http://schemas.openxmlformats.org/officeDocument/2006/relationships/hyperlink" Target="http://pic.twitter.com/VKY6IfkgAH" TargetMode="External"/><Relationship Id="rId2073" Type="http://schemas.openxmlformats.org/officeDocument/2006/relationships/hyperlink" Target="http://pic.twitter.com/8s94G8gHT3" TargetMode="External"/><Relationship Id="rId252" Type="http://schemas.openxmlformats.org/officeDocument/2006/relationships/hyperlink" Target="http://pic.twitter.com/CZ2Dk4rYiC" TargetMode="External"/><Relationship Id="rId1187" Type="http://schemas.openxmlformats.org/officeDocument/2006/relationships/hyperlink" Target="https://pbs.twimg.com/media/EF-k-QmWkAIXsMv.jpg" TargetMode="External"/><Relationship Id="rId112" Type="http://schemas.openxmlformats.org/officeDocument/2006/relationships/hyperlink" Target="http://pic.twitter.com/hkrwl6Tf7O" TargetMode="External"/><Relationship Id="rId557" Type="http://schemas.openxmlformats.org/officeDocument/2006/relationships/hyperlink" Target="http://pic.twitter.com/ezvW0dUOQq" TargetMode="External"/><Relationship Id="rId764" Type="http://schemas.openxmlformats.org/officeDocument/2006/relationships/hyperlink" Target="http://pic.twitter.com/sIGXVooYWk" TargetMode="External"/><Relationship Id="rId971" Type="http://schemas.openxmlformats.org/officeDocument/2006/relationships/hyperlink" Target="http://pic.twitter.com/2fV6R5Vm3R" TargetMode="External"/><Relationship Id="rId1394" Type="http://schemas.openxmlformats.org/officeDocument/2006/relationships/hyperlink" Target="http://pic.twitter.com/ekdx1UglH7" TargetMode="External"/><Relationship Id="rId1699" Type="http://schemas.openxmlformats.org/officeDocument/2006/relationships/hyperlink" Target="http://pic.twitter.com/vxMy0MjXJd" TargetMode="External"/><Relationship Id="rId2000" Type="http://schemas.openxmlformats.org/officeDocument/2006/relationships/hyperlink" Target="http://pic.twitter.com/oW0PmOfpIM" TargetMode="External"/><Relationship Id="rId417" Type="http://schemas.openxmlformats.org/officeDocument/2006/relationships/hyperlink" Target="http://pic.twitter.com/Ntly8nbDoW" TargetMode="External"/><Relationship Id="rId624" Type="http://schemas.openxmlformats.org/officeDocument/2006/relationships/hyperlink" Target="http://pic.twitter.com/CLtB6Qqw5s" TargetMode="External"/><Relationship Id="rId831" Type="http://schemas.openxmlformats.org/officeDocument/2006/relationships/hyperlink" Target="http://pic.twitter.com/h7VVT9SR53" TargetMode="External"/><Relationship Id="rId1047" Type="http://schemas.openxmlformats.org/officeDocument/2006/relationships/hyperlink" Target="http://pic.twitter.com/GLJTTvWNBW" TargetMode="External"/><Relationship Id="rId1254" Type="http://schemas.openxmlformats.org/officeDocument/2006/relationships/hyperlink" Target="http://pic.twitter.com/J1hb1nivqL" TargetMode="External"/><Relationship Id="rId1461" Type="http://schemas.openxmlformats.org/officeDocument/2006/relationships/hyperlink" Target="http://pic.twitter.com/4VFQAqezrw" TargetMode="External"/><Relationship Id="rId929" Type="http://schemas.openxmlformats.org/officeDocument/2006/relationships/hyperlink" Target="http://pic.twitter.com/c29gUxAiqa" TargetMode="External"/><Relationship Id="rId1114" Type="http://schemas.openxmlformats.org/officeDocument/2006/relationships/hyperlink" Target="http://pic.twitter.com/UELb5ezw2R" TargetMode="External"/><Relationship Id="rId1321" Type="http://schemas.openxmlformats.org/officeDocument/2006/relationships/hyperlink" Target="http://pic.twitter.com/QRAtUMCGsY" TargetMode="External"/><Relationship Id="rId1559" Type="http://schemas.openxmlformats.org/officeDocument/2006/relationships/hyperlink" Target="http://pic.twitter.com/m9qSuvTLqk" TargetMode="External"/><Relationship Id="rId1766" Type="http://schemas.openxmlformats.org/officeDocument/2006/relationships/hyperlink" Target="http://pic.twitter.com/9LvJvKzHXf" TargetMode="External"/><Relationship Id="rId1973" Type="http://schemas.openxmlformats.org/officeDocument/2006/relationships/hyperlink" Target="http://pic.twitter.com/vyKXs7UNqA" TargetMode="External"/><Relationship Id="rId58" Type="http://schemas.openxmlformats.org/officeDocument/2006/relationships/hyperlink" Target="http://pic.twitter.com/0H3lSXAiwn" TargetMode="External"/><Relationship Id="rId1419" Type="http://schemas.openxmlformats.org/officeDocument/2006/relationships/hyperlink" Target="http://pic.twitter.com/QdcEDIKU0o" TargetMode="External"/><Relationship Id="rId1626" Type="http://schemas.openxmlformats.org/officeDocument/2006/relationships/hyperlink" Target="http://pic.twitter.com/2Aw8oBy0hD" TargetMode="External"/><Relationship Id="rId1833" Type="http://schemas.openxmlformats.org/officeDocument/2006/relationships/hyperlink" Target="https://pbs.twimg.com/media/EGUcTplWkAAn56_.png" TargetMode="External"/><Relationship Id="rId1900" Type="http://schemas.openxmlformats.org/officeDocument/2006/relationships/hyperlink" Target="http://pic.twitter.com/MQ3BZAfBLb" TargetMode="External"/><Relationship Id="rId2095" Type="http://schemas.openxmlformats.org/officeDocument/2006/relationships/hyperlink" Target="http://jacobcarah.com/" TargetMode="External"/><Relationship Id="rId274" Type="http://schemas.openxmlformats.org/officeDocument/2006/relationships/hyperlink" Target="http://pic.twitter.com/RkK5G8vn81" TargetMode="External"/><Relationship Id="rId481" Type="http://schemas.openxmlformats.org/officeDocument/2006/relationships/hyperlink" Target="http://pic.twitter.com/wWmRB9dlzA" TargetMode="External"/><Relationship Id="rId134" Type="http://schemas.openxmlformats.org/officeDocument/2006/relationships/hyperlink" Target="http://pic.twitter.com/YvhW6BjH7U" TargetMode="External"/><Relationship Id="rId579" Type="http://schemas.openxmlformats.org/officeDocument/2006/relationships/hyperlink" Target="http://pic.twitter.com/PdD335L8yz" TargetMode="External"/><Relationship Id="rId786" Type="http://schemas.openxmlformats.org/officeDocument/2006/relationships/hyperlink" Target="http://pic.twitter.com/kWmV22LWpw" TargetMode="External"/><Relationship Id="rId993" Type="http://schemas.openxmlformats.org/officeDocument/2006/relationships/hyperlink" Target="http://pic.twitter.com/HGLdMOUqXE" TargetMode="External"/><Relationship Id="rId341" Type="http://schemas.openxmlformats.org/officeDocument/2006/relationships/hyperlink" Target="https://pbs.twimg.com/media/EF-kwdrWwA0yvZy.jpg" TargetMode="External"/><Relationship Id="rId439" Type="http://schemas.openxmlformats.org/officeDocument/2006/relationships/hyperlink" Target="http://pic.twitter.com/Yqa99YIBKU" TargetMode="External"/><Relationship Id="rId646" Type="http://schemas.openxmlformats.org/officeDocument/2006/relationships/hyperlink" Target="http://pic.twitter.com/htoGIXhDbh" TargetMode="External"/><Relationship Id="rId1069" Type="http://schemas.openxmlformats.org/officeDocument/2006/relationships/hyperlink" Target="http://pic.twitter.com/E6N7iMkP8G" TargetMode="External"/><Relationship Id="rId1276" Type="http://schemas.openxmlformats.org/officeDocument/2006/relationships/hyperlink" Target="http://pic.twitter.com/BKuIRDZ05r" TargetMode="External"/><Relationship Id="rId1483" Type="http://schemas.openxmlformats.org/officeDocument/2006/relationships/hyperlink" Target="http://pic.twitter.com/eFMKpihCkx" TargetMode="External"/><Relationship Id="rId2022" Type="http://schemas.openxmlformats.org/officeDocument/2006/relationships/hyperlink" Target="http://pic.twitter.com/MuIbhHKwl2" TargetMode="External"/><Relationship Id="rId201" Type="http://schemas.openxmlformats.org/officeDocument/2006/relationships/hyperlink" Target="https://pbs.twimg.com/media/EF-m1ZpXUAAvExx.jpg" TargetMode="External"/><Relationship Id="rId506" Type="http://schemas.openxmlformats.org/officeDocument/2006/relationships/hyperlink" Target="http://pic.twitter.com/Ai2TX7N6UP" TargetMode="External"/><Relationship Id="rId853" Type="http://schemas.openxmlformats.org/officeDocument/2006/relationships/hyperlink" Target="https://pbs.twimg.com/media/EF-m1ZpXUAAvExx.jpg" TargetMode="External"/><Relationship Id="rId1136" Type="http://schemas.openxmlformats.org/officeDocument/2006/relationships/hyperlink" Target="http://pic.twitter.com/H7L8jT41iG" TargetMode="External"/><Relationship Id="rId1690" Type="http://schemas.openxmlformats.org/officeDocument/2006/relationships/hyperlink" Target="https://pbs.twimg.com/media/EGVheicX0AAtiBh.jpg" TargetMode="External"/><Relationship Id="rId1788" Type="http://schemas.openxmlformats.org/officeDocument/2006/relationships/hyperlink" Target="http://www.mysappho.com/" TargetMode="External"/><Relationship Id="rId1995" Type="http://schemas.openxmlformats.org/officeDocument/2006/relationships/hyperlink" Target="http://pic.twitter.com/1zYEHK3UYy" TargetMode="External"/><Relationship Id="rId713" Type="http://schemas.openxmlformats.org/officeDocument/2006/relationships/hyperlink" Target="http://pic.twitter.com/jWiVXrGkyG" TargetMode="External"/><Relationship Id="rId920" Type="http://schemas.openxmlformats.org/officeDocument/2006/relationships/hyperlink" Target="http://pic.twitter.com/DnckfhCdTD" TargetMode="External"/><Relationship Id="rId1343" Type="http://schemas.openxmlformats.org/officeDocument/2006/relationships/hyperlink" Target="http://pic.twitter.com/BB4pF0emnJ" TargetMode="External"/><Relationship Id="rId1550" Type="http://schemas.openxmlformats.org/officeDocument/2006/relationships/hyperlink" Target="http://pic.twitter.com/d4aN7m9KTT" TargetMode="External"/><Relationship Id="rId1648" Type="http://schemas.openxmlformats.org/officeDocument/2006/relationships/hyperlink" Target="https://pbs.twimg.com/media/EF-m1ZpXUAAvExx.jpg" TargetMode="External"/><Relationship Id="rId1203" Type="http://schemas.openxmlformats.org/officeDocument/2006/relationships/hyperlink" Target="http://pic.twitter.com/viKhZBe4tc" TargetMode="External"/><Relationship Id="rId1410" Type="http://schemas.openxmlformats.org/officeDocument/2006/relationships/hyperlink" Target="http://pic.twitter.com/u0gB1rlLBk" TargetMode="External"/><Relationship Id="rId1508" Type="http://schemas.openxmlformats.org/officeDocument/2006/relationships/hyperlink" Target="http://pic.twitter.com/dMQt5QjAps" TargetMode="External"/><Relationship Id="rId1855" Type="http://schemas.openxmlformats.org/officeDocument/2006/relationships/hyperlink" Target="http://pic.twitter.com/DD5zyS0eir" TargetMode="External"/><Relationship Id="rId1715" Type="http://schemas.openxmlformats.org/officeDocument/2006/relationships/hyperlink" Target="http://pic.twitter.com/h9vStbHxu7" TargetMode="External"/><Relationship Id="rId1922" Type="http://schemas.openxmlformats.org/officeDocument/2006/relationships/hyperlink" Target="http://pic.twitter.com/emBbjsbF5O" TargetMode="External"/><Relationship Id="rId296" Type="http://schemas.openxmlformats.org/officeDocument/2006/relationships/hyperlink" Target="https://pbs.twimg.com/media/EF-kwdrWwA0yvZy.jpg" TargetMode="External"/><Relationship Id="rId156" Type="http://schemas.openxmlformats.org/officeDocument/2006/relationships/hyperlink" Target="http://pic.twitter.com/EENCRYUqX8" TargetMode="External"/><Relationship Id="rId363" Type="http://schemas.openxmlformats.org/officeDocument/2006/relationships/hyperlink" Target="https://pbs.twimg.com/media/EF-kwdrWwA0yvZy.jpg" TargetMode="External"/><Relationship Id="rId570" Type="http://schemas.openxmlformats.org/officeDocument/2006/relationships/hyperlink" Target="http://pic.twitter.com/DIbdVC9nG0" TargetMode="External"/><Relationship Id="rId2044" Type="http://schemas.openxmlformats.org/officeDocument/2006/relationships/hyperlink" Target="http://pic.twitter.com/MVtsR0BG3N" TargetMode="External"/><Relationship Id="rId223" Type="http://schemas.openxmlformats.org/officeDocument/2006/relationships/hyperlink" Target="http://pic.twitter.com/jjEWZqB1J5" TargetMode="External"/><Relationship Id="rId430" Type="http://schemas.openxmlformats.org/officeDocument/2006/relationships/hyperlink" Target="http://pic.twitter.com/eMN3gFGH9A" TargetMode="External"/><Relationship Id="rId668" Type="http://schemas.openxmlformats.org/officeDocument/2006/relationships/hyperlink" Target="http://pic.twitter.com/zjzCDHNXqm" TargetMode="External"/><Relationship Id="rId875" Type="http://schemas.openxmlformats.org/officeDocument/2006/relationships/hyperlink" Target="http://pic.twitter.com/AUtcaMarBl" TargetMode="External"/><Relationship Id="rId1060" Type="http://schemas.openxmlformats.org/officeDocument/2006/relationships/hyperlink" Target="http://pic.twitter.com/mN65FeaaBv" TargetMode="External"/><Relationship Id="rId1298" Type="http://schemas.openxmlformats.org/officeDocument/2006/relationships/hyperlink" Target="http://pic.twitter.com/7VWVpOoF8Y" TargetMode="External"/><Relationship Id="rId528" Type="http://schemas.openxmlformats.org/officeDocument/2006/relationships/hyperlink" Target="http://pic.twitter.com/2oK7JKyN7U" TargetMode="External"/><Relationship Id="rId735" Type="http://schemas.openxmlformats.org/officeDocument/2006/relationships/hyperlink" Target="http://pic.twitter.com/me8TzasKpg" TargetMode="External"/><Relationship Id="rId942" Type="http://schemas.openxmlformats.org/officeDocument/2006/relationships/hyperlink" Target="http://pic.twitter.com/cyuHs2n4TW" TargetMode="External"/><Relationship Id="rId1158" Type="http://schemas.openxmlformats.org/officeDocument/2006/relationships/hyperlink" Target="http://pic.twitter.com/kmW2tLViq0" TargetMode="External"/><Relationship Id="rId1365" Type="http://schemas.openxmlformats.org/officeDocument/2006/relationships/hyperlink" Target="http://pic.twitter.com/OVt0UpqR8Z" TargetMode="External"/><Relationship Id="rId1572" Type="http://schemas.openxmlformats.org/officeDocument/2006/relationships/hyperlink" Target="http://pic.twitter.com/qBMpmHR6uy" TargetMode="External"/><Relationship Id="rId1018" Type="http://schemas.openxmlformats.org/officeDocument/2006/relationships/hyperlink" Target="http://pic.twitter.com/L311AhmeTL" TargetMode="External"/><Relationship Id="rId1225" Type="http://schemas.openxmlformats.org/officeDocument/2006/relationships/hyperlink" Target="http://pic.twitter.com/D43jUGXYAI" TargetMode="External"/><Relationship Id="rId1432" Type="http://schemas.openxmlformats.org/officeDocument/2006/relationships/hyperlink" Target="https://www.bptcrypto.com/" TargetMode="External"/><Relationship Id="rId1877" Type="http://schemas.openxmlformats.org/officeDocument/2006/relationships/hyperlink" Target="http://pic.twitter.com/wpe34lAq3Z" TargetMode="External"/><Relationship Id="rId71" Type="http://schemas.openxmlformats.org/officeDocument/2006/relationships/hyperlink" Target="http://pic.twitter.com/oJIpZ6pObD" TargetMode="External"/><Relationship Id="rId802" Type="http://schemas.openxmlformats.org/officeDocument/2006/relationships/hyperlink" Target="http://pic.twitter.com/lgaUVzcfrV" TargetMode="External"/><Relationship Id="rId1737" Type="http://schemas.openxmlformats.org/officeDocument/2006/relationships/hyperlink" Target="http://pic.twitter.com/a9ZqWMHYvw" TargetMode="External"/><Relationship Id="rId1944" Type="http://schemas.openxmlformats.org/officeDocument/2006/relationships/hyperlink" Target="http://pic.twitter.com/DIrjqpG49J" TargetMode="External"/><Relationship Id="rId29" Type="http://schemas.openxmlformats.org/officeDocument/2006/relationships/hyperlink" Target="http://pic.twitter.com/tHDU0K8q1N" TargetMode="External"/><Relationship Id="rId178" Type="http://schemas.openxmlformats.org/officeDocument/2006/relationships/hyperlink" Target="http://pic.twitter.com/XD23CW8Mm1" TargetMode="External"/><Relationship Id="rId1804" Type="http://schemas.openxmlformats.org/officeDocument/2006/relationships/hyperlink" Target="http://pic.twitter.com/QttHqKzwU0" TargetMode="External"/><Relationship Id="rId385" Type="http://schemas.openxmlformats.org/officeDocument/2006/relationships/hyperlink" Target="http://pic.twitter.com/UJAm05uqLG" TargetMode="External"/><Relationship Id="rId592" Type="http://schemas.openxmlformats.org/officeDocument/2006/relationships/hyperlink" Target="http://pic.twitter.com/NRxnTfo16M" TargetMode="External"/><Relationship Id="rId2066" Type="http://schemas.openxmlformats.org/officeDocument/2006/relationships/hyperlink" Target="http://pic.twitter.com/56US6ce29A" TargetMode="External"/><Relationship Id="rId245" Type="http://schemas.openxmlformats.org/officeDocument/2006/relationships/hyperlink" Target="http://pic.twitter.com/rjnBFlt3R5" TargetMode="External"/><Relationship Id="rId452" Type="http://schemas.openxmlformats.org/officeDocument/2006/relationships/hyperlink" Target="http://pic.twitter.com/6x9XKIMWVv" TargetMode="External"/><Relationship Id="rId897" Type="http://schemas.openxmlformats.org/officeDocument/2006/relationships/hyperlink" Target="http://pic.twitter.com/euEU6U32Wa" TargetMode="External"/><Relationship Id="rId1082" Type="http://schemas.openxmlformats.org/officeDocument/2006/relationships/hyperlink" Target="http://pic.twitter.com/6yYDdif63o" TargetMode="External"/><Relationship Id="rId105" Type="http://schemas.openxmlformats.org/officeDocument/2006/relationships/hyperlink" Target="http://pic.twitter.com/RGeQdO3Gdi" TargetMode="External"/><Relationship Id="rId312" Type="http://schemas.openxmlformats.org/officeDocument/2006/relationships/hyperlink" Target="http://pic.twitter.com/rGD1YSHT9j" TargetMode="External"/><Relationship Id="rId757" Type="http://schemas.openxmlformats.org/officeDocument/2006/relationships/hyperlink" Target="https://www.insider.com/the-murder-of-jamal-khashoggi-2019-10?utmSource=twitter&amp;utmContent=referral&amp;utmTerm=topbar&amp;referrer=twitter" TargetMode="External"/><Relationship Id="rId964" Type="http://schemas.openxmlformats.org/officeDocument/2006/relationships/hyperlink" Target="http://pic.twitter.com/EcfV6tLoLe" TargetMode="External"/><Relationship Id="rId1387" Type="http://schemas.openxmlformats.org/officeDocument/2006/relationships/hyperlink" Target="http://pic.twitter.com/DQTCS8PgsN" TargetMode="External"/><Relationship Id="rId1594" Type="http://schemas.openxmlformats.org/officeDocument/2006/relationships/hyperlink" Target="http://pic.twitter.com/JumhABYdTO" TargetMode="External"/><Relationship Id="rId93" Type="http://schemas.openxmlformats.org/officeDocument/2006/relationships/hyperlink" Target="http://pic.twitter.com/U24gGJM2z9" TargetMode="External"/><Relationship Id="rId617" Type="http://schemas.openxmlformats.org/officeDocument/2006/relationships/hyperlink" Target="http://pic.twitter.com/EdhCxQllhY" TargetMode="External"/><Relationship Id="rId824" Type="http://schemas.openxmlformats.org/officeDocument/2006/relationships/hyperlink" Target="http://pic.twitter.com/AuQIDpNbZK" TargetMode="External"/><Relationship Id="rId1247" Type="http://schemas.openxmlformats.org/officeDocument/2006/relationships/hyperlink" Target="http://pic.twitter.com/VoXQEZ2N9R" TargetMode="External"/><Relationship Id="rId1454" Type="http://schemas.openxmlformats.org/officeDocument/2006/relationships/hyperlink" Target="http://pic.twitter.com/wm288WLNIt" TargetMode="External"/><Relationship Id="rId1661" Type="http://schemas.openxmlformats.org/officeDocument/2006/relationships/hyperlink" Target="http://pic.twitter.com/tXdwS8TNhe" TargetMode="External"/><Relationship Id="rId1899" Type="http://schemas.openxmlformats.org/officeDocument/2006/relationships/hyperlink" Target="http://pic.twitter.com/3CZsDRoTI8" TargetMode="External"/><Relationship Id="rId1107" Type="http://schemas.openxmlformats.org/officeDocument/2006/relationships/hyperlink" Target="http://pic.twitter.com/EUwfrTTDhX" TargetMode="External"/><Relationship Id="rId1314" Type="http://schemas.openxmlformats.org/officeDocument/2006/relationships/hyperlink" Target="http://pic.twitter.com/Dck9J1GEUV" TargetMode="External"/><Relationship Id="rId1521" Type="http://schemas.openxmlformats.org/officeDocument/2006/relationships/hyperlink" Target="http://pic.twitter.com/J3bvxxdWI8" TargetMode="External"/><Relationship Id="rId1759" Type="http://schemas.openxmlformats.org/officeDocument/2006/relationships/hyperlink" Target="http://pic.twitter.com/82iQ6jlU45" TargetMode="External"/><Relationship Id="rId1966" Type="http://schemas.openxmlformats.org/officeDocument/2006/relationships/hyperlink" Target="http://pic.twitter.com/ezSgbU8A9I" TargetMode="External"/><Relationship Id="rId1619" Type="http://schemas.openxmlformats.org/officeDocument/2006/relationships/hyperlink" Target="http://pic.twitter.com/GK5i2kdNdq" TargetMode="External"/><Relationship Id="rId1826" Type="http://schemas.openxmlformats.org/officeDocument/2006/relationships/hyperlink" Target="https://twitter.com/ivankatrump/status/193337302066540545" TargetMode="External"/><Relationship Id="rId20" Type="http://schemas.openxmlformats.org/officeDocument/2006/relationships/hyperlink" Target="http://pic.twitter.com/CloYfcACaL" TargetMode="External"/><Relationship Id="rId2088" Type="http://schemas.openxmlformats.org/officeDocument/2006/relationships/hyperlink" Target="http://pic.twitter.com/q0OoljgsTZ" TargetMode="External"/><Relationship Id="rId267" Type="http://schemas.openxmlformats.org/officeDocument/2006/relationships/hyperlink" Target="http://pic.twitter.com/UmTFRLK7ju" TargetMode="External"/><Relationship Id="rId474" Type="http://schemas.openxmlformats.org/officeDocument/2006/relationships/hyperlink" Target="http://pic.twitter.com/m9Us0viqw1" TargetMode="External"/><Relationship Id="rId127" Type="http://schemas.openxmlformats.org/officeDocument/2006/relationships/hyperlink" Target="http://pic.twitter.com/RVfgYqSrJt" TargetMode="External"/><Relationship Id="rId681" Type="http://schemas.openxmlformats.org/officeDocument/2006/relationships/hyperlink" Target="http://pic.twitter.com/GA91TLTJLY" TargetMode="External"/><Relationship Id="rId779" Type="http://schemas.openxmlformats.org/officeDocument/2006/relationships/hyperlink" Target="http://pic.twitter.com/MHhkfx20ir" TargetMode="External"/><Relationship Id="rId986" Type="http://schemas.openxmlformats.org/officeDocument/2006/relationships/hyperlink" Target="http://pic.twitter.com/CE1ccvH8kD" TargetMode="External"/><Relationship Id="rId334" Type="http://schemas.openxmlformats.org/officeDocument/2006/relationships/hyperlink" Target="http://pic.twitter.com/p9oF070eID" TargetMode="External"/><Relationship Id="rId541" Type="http://schemas.openxmlformats.org/officeDocument/2006/relationships/hyperlink" Target="http://pic.twitter.com/75p8PXIHuz" TargetMode="External"/><Relationship Id="rId639" Type="http://schemas.openxmlformats.org/officeDocument/2006/relationships/hyperlink" Target="http://pic.twitter.com/K7PwT2Gqgt" TargetMode="External"/><Relationship Id="rId1171" Type="http://schemas.openxmlformats.org/officeDocument/2006/relationships/hyperlink" Target="http://pic.twitter.com/MGK2vGAluv" TargetMode="External"/><Relationship Id="rId1269" Type="http://schemas.openxmlformats.org/officeDocument/2006/relationships/hyperlink" Target="http://pic.twitter.com/rZUWD0dpUG" TargetMode="External"/><Relationship Id="rId1476" Type="http://schemas.openxmlformats.org/officeDocument/2006/relationships/hyperlink" Target="http://pic.twitter.com/v1fQAwz11m" TargetMode="External"/><Relationship Id="rId2015" Type="http://schemas.openxmlformats.org/officeDocument/2006/relationships/hyperlink" Target="http://pic.twitter.com/eMTPjjYPut" TargetMode="External"/><Relationship Id="rId401" Type="http://schemas.openxmlformats.org/officeDocument/2006/relationships/hyperlink" Target="http://pic.twitter.com/pAheHyZVxU" TargetMode="External"/><Relationship Id="rId846" Type="http://schemas.openxmlformats.org/officeDocument/2006/relationships/hyperlink" Target="http://pic.twitter.com/YNpYkci8ZD" TargetMode="External"/><Relationship Id="rId1031" Type="http://schemas.openxmlformats.org/officeDocument/2006/relationships/hyperlink" Target="http://pic.twitter.com/vhluyujBmk" TargetMode="External"/><Relationship Id="rId1129" Type="http://schemas.openxmlformats.org/officeDocument/2006/relationships/hyperlink" Target="http://pic.twitter.com/zuHOkQqDYD" TargetMode="External"/><Relationship Id="rId1683" Type="http://schemas.openxmlformats.org/officeDocument/2006/relationships/hyperlink" Target="http://pic.twitter.com/gQ2voaZpBC" TargetMode="External"/><Relationship Id="rId1890" Type="http://schemas.openxmlformats.org/officeDocument/2006/relationships/hyperlink" Target="http://pic.twitter.com/O25RnwspyK" TargetMode="External"/><Relationship Id="rId1988" Type="http://schemas.openxmlformats.org/officeDocument/2006/relationships/hyperlink" Target="https://pbs.twimg.com/media/EGT25xpXkAE_rrV.jpg" TargetMode="External"/><Relationship Id="rId706" Type="http://schemas.openxmlformats.org/officeDocument/2006/relationships/hyperlink" Target="http://pic.twitter.com/bz8HABxoCE" TargetMode="External"/><Relationship Id="rId913" Type="http://schemas.openxmlformats.org/officeDocument/2006/relationships/hyperlink" Target="http://pic.twitter.com/y2IilTfcb8" TargetMode="External"/><Relationship Id="rId1336" Type="http://schemas.openxmlformats.org/officeDocument/2006/relationships/hyperlink" Target="http://pic.twitter.com/eEzlXorkX9" TargetMode="External"/><Relationship Id="rId1543" Type="http://schemas.openxmlformats.org/officeDocument/2006/relationships/hyperlink" Target="http://pic.twitter.com/obxpgWjVDz" TargetMode="External"/><Relationship Id="rId1750" Type="http://schemas.openxmlformats.org/officeDocument/2006/relationships/hyperlink" Target="http://pic.twitter.com/rzv7BDsPj1" TargetMode="External"/><Relationship Id="rId42" Type="http://schemas.openxmlformats.org/officeDocument/2006/relationships/hyperlink" Target="http://pic.twitter.com/XFkMmMe5lz" TargetMode="External"/><Relationship Id="rId1403" Type="http://schemas.openxmlformats.org/officeDocument/2006/relationships/hyperlink" Target="https://pbs.twimg.com/media/EGXOWBrWwAEGX0n.jpg" TargetMode="External"/><Relationship Id="rId1610" Type="http://schemas.openxmlformats.org/officeDocument/2006/relationships/hyperlink" Target="http://pic.twitter.com/oLsGFr85v5" TargetMode="External"/><Relationship Id="rId1848" Type="http://schemas.openxmlformats.org/officeDocument/2006/relationships/hyperlink" Target="http://pic.twitter.com/ReYB5WiVzu" TargetMode="External"/><Relationship Id="rId191" Type="http://schemas.openxmlformats.org/officeDocument/2006/relationships/hyperlink" Target="http://pic.twitter.com/G2FpZuP73Z" TargetMode="External"/><Relationship Id="rId1708" Type="http://schemas.openxmlformats.org/officeDocument/2006/relationships/hyperlink" Target="http://pic.twitter.com/5VYIilUCCA" TargetMode="External"/><Relationship Id="rId1915" Type="http://schemas.openxmlformats.org/officeDocument/2006/relationships/hyperlink" Target="http://pic.twitter.com/f3dZxbyclM" TargetMode="External"/><Relationship Id="rId289" Type="http://schemas.openxmlformats.org/officeDocument/2006/relationships/hyperlink" Target="http://pic.twitter.com/cQ7vQX8frB" TargetMode="External"/><Relationship Id="rId496" Type="http://schemas.openxmlformats.org/officeDocument/2006/relationships/hyperlink" Target="http://pic.twitter.com/CyuCoettun" TargetMode="External"/><Relationship Id="rId149" Type="http://schemas.openxmlformats.org/officeDocument/2006/relationships/hyperlink" Target="http://pic.twitter.com/BaoiSeXje8" TargetMode="External"/><Relationship Id="rId356" Type="http://schemas.openxmlformats.org/officeDocument/2006/relationships/hyperlink" Target="http://pic.twitter.com/2CiJlOwnt2" TargetMode="External"/><Relationship Id="rId563" Type="http://schemas.openxmlformats.org/officeDocument/2006/relationships/hyperlink" Target="http://pic.twitter.com/dk2zn1sq1O" TargetMode="External"/><Relationship Id="rId770" Type="http://schemas.openxmlformats.org/officeDocument/2006/relationships/hyperlink" Target="http://pic.twitter.com/cekJbpfUqr" TargetMode="External"/><Relationship Id="rId1193" Type="http://schemas.openxmlformats.org/officeDocument/2006/relationships/hyperlink" Target="http://pic.twitter.com/XHaFz3V4vn" TargetMode="External"/><Relationship Id="rId2037" Type="http://schemas.openxmlformats.org/officeDocument/2006/relationships/hyperlink" Target="http://pic.twitter.com/nlBfOylgHT" TargetMode="External"/><Relationship Id="rId216" Type="http://schemas.openxmlformats.org/officeDocument/2006/relationships/hyperlink" Target="http://pic.twitter.com/Wy4Dq7gdQ3" TargetMode="External"/><Relationship Id="rId423" Type="http://schemas.openxmlformats.org/officeDocument/2006/relationships/hyperlink" Target="http://pic.twitter.com/j3fR1RunjJ" TargetMode="External"/><Relationship Id="rId868" Type="http://schemas.openxmlformats.org/officeDocument/2006/relationships/hyperlink" Target="http://pic.twitter.com/nVcck2wxoU" TargetMode="External"/><Relationship Id="rId1053" Type="http://schemas.openxmlformats.org/officeDocument/2006/relationships/hyperlink" Target="http://pic.twitter.com/8JODVLDxRs" TargetMode="External"/><Relationship Id="rId1260" Type="http://schemas.openxmlformats.org/officeDocument/2006/relationships/hyperlink" Target="http://pic.twitter.com/DZSlMLt8x0" TargetMode="External"/><Relationship Id="rId1498" Type="http://schemas.openxmlformats.org/officeDocument/2006/relationships/hyperlink" Target="http://pic.twitter.com/QEJam0Pjqn" TargetMode="External"/><Relationship Id="rId630" Type="http://schemas.openxmlformats.org/officeDocument/2006/relationships/hyperlink" Target="http://pic.twitter.com/oPYgMDjbaT" TargetMode="External"/><Relationship Id="rId728" Type="http://schemas.openxmlformats.org/officeDocument/2006/relationships/hyperlink" Target="http://pic.twitter.com/PNwZwpRnXu" TargetMode="External"/><Relationship Id="rId935" Type="http://schemas.openxmlformats.org/officeDocument/2006/relationships/hyperlink" Target="http://pic.twitter.com/nzAG0Y9ate" TargetMode="External"/><Relationship Id="rId1358" Type="http://schemas.openxmlformats.org/officeDocument/2006/relationships/hyperlink" Target="http://pic.twitter.com/nVIaHb2F3h" TargetMode="External"/><Relationship Id="rId1565" Type="http://schemas.openxmlformats.org/officeDocument/2006/relationships/hyperlink" Target="http://pic.twitter.com/XgyCukoqws" TargetMode="External"/><Relationship Id="rId1772" Type="http://schemas.openxmlformats.org/officeDocument/2006/relationships/hyperlink" Target="http://pic.twitter.com/zWHq8bUkpB" TargetMode="External"/><Relationship Id="rId64" Type="http://schemas.openxmlformats.org/officeDocument/2006/relationships/hyperlink" Target="http://pic.twitter.com/24M61VwUo8" TargetMode="External"/><Relationship Id="rId1120" Type="http://schemas.openxmlformats.org/officeDocument/2006/relationships/hyperlink" Target="http://pic.twitter.com/I77oPIha0v" TargetMode="External"/><Relationship Id="rId1218" Type="http://schemas.openxmlformats.org/officeDocument/2006/relationships/hyperlink" Target="https://pbs.twimg.com/media/EF-kwdrWwA0yvZy.jpg" TargetMode="External"/><Relationship Id="rId1425" Type="http://schemas.openxmlformats.org/officeDocument/2006/relationships/hyperlink" Target="http://pic.twitter.com/RU3B0R3tEo" TargetMode="External"/><Relationship Id="rId1632" Type="http://schemas.openxmlformats.org/officeDocument/2006/relationships/hyperlink" Target="http://pic.twitter.com/dr6CH4FngW" TargetMode="External"/><Relationship Id="rId1937" Type="http://schemas.openxmlformats.org/officeDocument/2006/relationships/hyperlink" Target="http://pic.twitter.com/svlcPgZqpi" TargetMode="External"/><Relationship Id="rId280" Type="http://schemas.openxmlformats.org/officeDocument/2006/relationships/hyperlink" Target="https://pbs.twimg.com/media/EF-k-QmWkAIXsMv.jpg" TargetMode="External"/><Relationship Id="rId140" Type="http://schemas.openxmlformats.org/officeDocument/2006/relationships/hyperlink" Target="http://pic.twitter.com/oZCrEKoj6Y" TargetMode="External"/><Relationship Id="rId378" Type="http://schemas.openxmlformats.org/officeDocument/2006/relationships/hyperlink" Target="http://pic.twitter.com/NYw8Amq9Jn" TargetMode="External"/><Relationship Id="rId585" Type="http://schemas.openxmlformats.org/officeDocument/2006/relationships/hyperlink" Target="http://pic.twitter.com/OpoY6kC67U" TargetMode="External"/><Relationship Id="rId792" Type="http://schemas.openxmlformats.org/officeDocument/2006/relationships/hyperlink" Target="http://pic.twitter.com/r6xBhC95EZ" TargetMode="External"/><Relationship Id="rId2059" Type="http://schemas.openxmlformats.org/officeDocument/2006/relationships/hyperlink" Target="http://pic.twitter.com/ECygecx5FP" TargetMode="External"/><Relationship Id="rId6" Type="http://schemas.openxmlformats.org/officeDocument/2006/relationships/hyperlink" Target="https://pbs.twimg.com/media/EGcTE_5XUAAcG7_.png" TargetMode="External"/><Relationship Id="rId238" Type="http://schemas.openxmlformats.org/officeDocument/2006/relationships/hyperlink" Target="http://pic.twitter.com/8XTUjbXczS" TargetMode="External"/><Relationship Id="rId445" Type="http://schemas.openxmlformats.org/officeDocument/2006/relationships/hyperlink" Target="http://pic.twitter.com/GwurqvBdX2" TargetMode="External"/><Relationship Id="rId652" Type="http://schemas.openxmlformats.org/officeDocument/2006/relationships/hyperlink" Target="http://pic.twitter.com/2i4JmuBVA9" TargetMode="External"/><Relationship Id="rId1075" Type="http://schemas.openxmlformats.org/officeDocument/2006/relationships/hyperlink" Target="http://pic.twitter.com/Lt4a1GpFov" TargetMode="External"/><Relationship Id="rId1282" Type="http://schemas.openxmlformats.org/officeDocument/2006/relationships/hyperlink" Target="https://pbs.twimg.com/media/EF-kwdrWwA0yvZy.jpg" TargetMode="External"/><Relationship Id="rId305" Type="http://schemas.openxmlformats.org/officeDocument/2006/relationships/hyperlink" Target="http://pic.twitter.com/Bi7rbERjev" TargetMode="External"/><Relationship Id="rId512" Type="http://schemas.openxmlformats.org/officeDocument/2006/relationships/hyperlink" Target="http://pic.twitter.com/GPGt7Jbxwe" TargetMode="External"/><Relationship Id="rId957" Type="http://schemas.openxmlformats.org/officeDocument/2006/relationships/hyperlink" Target="https://pbs.twimg.com/media/EF-kwdrWwA0yvZy.jpg" TargetMode="External"/><Relationship Id="rId1142" Type="http://schemas.openxmlformats.org/officeDocument/2006/relationships/hyperlink" Target="http://pic.twitter.com/4bBPum5zjE" TargetMode="External"/><Relationship Id="rId1587" Type="http://schemas.openxmlformats.org/officeDocument/2006/relationships/hyperlink" Target="http://pic.twitter.com/61ciJO9VUB" TargetMode="External"/><Relationship Id="rId1794" Type="http://schemas.openxmlformats.org/officeDocument/2006/relationships/hyperlink" Target="http://pic.twitter.com/A1B7MgixYM" TargetMode="External"/><Relationship Id="rId86" Type="http://schemas.openxmlformats.org/officeDocument/2006/relationships/hyperlink" Target="http://pic.twitter.com/iZiIDM0M1S" TargetMode="External"/><Relationship Id="rId817" Type="http://schemas.openxmlformats.org/officeDocument/2006/relationships/hyperlink" Target="http://pic.twitter.com/5IPKDFf7Kc" TargetMode="External"/><Relationship Id="rId1002" Type="http://schemas.openxmlformats.org/officeDocument/2006/relationships/hyperlink" Target="http://pic.twitter.com/rrd6bxYpNO" TargetMode="External"/><Relationship Id="rId1447" Type="http://schemas.openxmlformats.org/officeDocument/2006/relationships/hyperlink" Target="http://pic.twitter.com/4qvp4gEyXg" TargetMode="External"/><Relationship Id="rId1654" Type="http://schemas.openxmlformats.org/officeDocument/2006/relationships/hyperlink" Target="http://pic.twitter.com/5eX67rHiad" TargetMode="External"/><Relationship Id="rId1861" Type="http://schemas.openxmlformats.org/officeDocument/2006/relationships/hyperlink" Target="http://pic.twitter.com/7pcn2mMIwW" TargetMode="External"/><Relationship Id="rId1307" Type="http://schemas.openxmlformats.org/officeDocument/2006/relationships/hyperlink" Target="http://pic.twitter.com/pEP77LcEsU" TargetMode="External"/><Relationship Id="rId1514" Type="http://schemas.openxmlformats.org/officeDocument/2006/relationships/hyperlink" Target="http://pic.twitter.com/zP0Wum93Ud" TargetMode="External"/><Relationship Id="rId1721" Type="http://schemas.openxmlformats.org/officeDocument/2006/relationships/hyperlink" Target="http://pic.twitter.com/kC8ofYWlGR" TargetMode="External"/><Relationship Id="rId1959" Type="http://schemas.openxmlformats.org/officeDocument/2006/relationships/hyperlink" Target="http://pic.twitter.com/Ma8E3LrFyb" TargetMode="External"/><Relationship Id="rId13" Type="http://schemas.openxmlformats.org/officeDocument/2006/relationships/hyperlink" Target="http://pic.twitter.com/rTEoB2CGbI" TargetMode="External"/><Relationship Id="rId1819" Type="http://schemas.openxmlformats.org/officeDocument/2006/relationships/hyperlink" Target="http://pic.twitter.com/5O0SQhvwaE" TargetMode="External"/><Relationship Id="rId162" Type="http://schemas.openxmlformats.org/officeDocument/2006/relationships/hyperlink" Target="http://pic.twitter.com/wU4foFaEht" TargetMode="External"/><Relationship Id="rId467" Type="http://schemas.openxmlformats.org/officeDocument/2006/relationships/hyperlink" Target="http://pic.twitter.com/SL8DawJVVs" TargetMode="External"/><Relationship Id="rId1097" Type="http://schemas.openxmlformats.org/officeDocument/2006/relationships/hyperlink" Target="http://pic.twitter.com/sm1z3wQrdk" TargetMode="External"/><Relationship Id="rId2050" Type="http://schemas.openxmlformats.org/officeDocument/2006/relationships/hyperlink" Target="http://pic.twitter.com/OFrcK2fFO3" TargetMode="External"/><Relationship Id="rId674" Type="http://schemas.openxmlformats.org/officeDocument/2006/relationships/hyperlink" Target="http://pic.twitter.com/42ugi53qBo" TargetMode="External"/><Relationship Id="rId881" Type="http://schemas.openxmlformats.org/officeDocument/2006/relationships/hyperlink" Target="http://pic.twitter.com/UvfdX1AHoI" TargetMode="External"/><Relationship Id="rId979" Type="http://schemas.openxmlformats.org/officeDocument/2006/relationships/hyperlink" Target="http://pic.twitter.com/KgrgaQXclm" TargetMode="External"/><Relationship Id="rId327" Type="http://schemas.openxmlformats.org/officeDocument/2006/relationships/hyperlink" Target="http://pic.twitter.com/b6YNe1OX6X" TargetMode="External"/><Relationship Id="rId534" Type="http://schemas.openxmlformats.org/officeDocument/2006/relationships/hyperlink" Target="http://pic.twitter.com/md8ZZl45nG" TargetMode="External"/><Relationship Id="rId741" Type="http://schemas.openxmlformats.org/officeDocument/2006/relationships/hyperlink" Target="http://pic.twitter.com/itbB8Q70Om" TargetMode="External"/><Relationship Id="rId839" Type="http://schemas.openxmlformats.org/officeDocument/2006/relationships/hyperlink" Target="http://pic.twitter.com/eV8g5U5vAc" TargetMode="External"/><Relationship Id="rId1164" Type="http://schemas.openxmlformats.org/officeDocument/2006/relationships/hyperlink" Target="http://pic.twitter.com/tGEgyjseQB" TargetMode="External"/><Relationship Id="rId1371" Type="http://schemas.openxmlformats.org/officeDocument/2006/relationships/hyperlink" Target="http://pic.twitter.com/kfLS6wForJ" TargetMode="External"/><Relationship Id="rId1469" Type="http://schemas.openxmlformats.org/officeDocument/2006/relationships/hyperlink" Target="http://pic.twitter.com/7z6QFwkbkQ" TargetMode="External"/><Relationship Id="rId2008" Type="http://schemas.openxmlformats.org/officeDocument/2006/relationships/hyperlink" Target="http://pic.twitter.com/7U5xZB5M2N" TargetMode="External"/><Relationship Id="rId601" Type="http://schemas.openxmlformats.org/officeDocument/2006/relationships/hyperlink" Target="http://pic.twitter.com/yC2b2F6vf3" TargetMode="External"/><Relationship Id="rId1024" Type="http://schemas.openxmlformats.org/officeDocument/2006/relationships/hyperlink" Target="http://pic.twitter.com/WgUbeMrSXN" TargetMode="External"/><Relationship Id="rId1231" Type="http://schemas.openxmlformats.org/officeDocument/2006/relationships/hyperlink" Target="http://pic.twitter.com/AMlOkLR1so" TargetMode="External"/><Relationship Id="rId1676" Type="http://schemas.openxmlformats.org/officeDocument/2006/relationships/hyperlink" Target="http://pic.twitter.com/DfhVSOQsJ2" TargetMode="External"/><Relationship Id="rId1883" Type="http://schemas.openxmlformats.org/officeDocument/2006/relationships/hyperlink" Target="http://pic.twitter.com/BB0DhTeh7l" TargetMode="External"/><Relationship Id="rId906" Type="http://schemas.openxmlformats.org/officeDocument/2006/relationships/hyperlink" Target="https://twitter.com/james_carroll/status/1181637288457052160" TargetMode="External"/><Relationship Id="rId1329" Type="http://schemas.openxmlformats.org/officeDocument/2006/relationships/hyperlink" Target="http://pic.twitter.com/6685egfxtw" TargetMode="External"/><Relationship Id="rId1536" Type="http://schemas.openxmlformats.org/officeDocument/2006/relationships/hyperlink" Target="http://pic.twitter.com/hZu8hyw9Xe" TargetMode="External"/><Relationship Id="rId1743" Type="http://schemas.openxmlformats.org/officeDocument/2006/relationships/hyperlink" Target="http://pic.twitter.com/KHGwCHssS7" TargetMode="External"/><Relationship Id="rId1950" Type="http://schemas.openxmlformats.org/officeDocument/2006/relationships/hyperlink" Target="http://pic.twitter.com/I1KVnsO7Z8" TargetMode="External"/><Relationship Id="rId35" Type="http://schemas.openxmlformats.org/officeDocument/2006/relationships/hyperlink" Target="http://pic.twitter.com/95QwOGj7sp" TargetMode="External"/><Relationship Id="rId1603" Type="http://schemas.openxmlformats.org/officeDocument/2006/relationships/hyperlink" Target="https://twitter.com/NajwaaAli/status/1181482384925089792" TargetMode="External"/><Relationship Id="rId1810" Type="http://schemas.openxmlformats.org/officeDocument/2006/relationships/hyperlink" Target="http://pic.twitter.com/mhR3GAgGYy" TargetMode="External"/><Relationship Id="rId184" Type="http://schemas.openxmlformats.org/officeDocument/2006/relationships/hyperlink" Target="http://pic.twitter.com/DngZWuVWJS" TargetMode="External"/><Relationship Id="rId391" Type="http://schemas.openxmlformats.org/officeDocument/2006/relationships/hyperlink" Target="http://pic.twitter.com/QltHUsBgEj" TargetMode="External"/><Relationship Id="rId1908" Type="http://schemas.openxmlformats.org/officeDocument/2006/relationships/hyperlink" Target="http://pic.twitter.com/QQ3Gd7o7YW" TargetMode="External"/><Relationship Id="rId2072" Type="http://schemas.openxmlformats.org/officeDocument/2006/relationships/hyperlink" Target="http://pic.twitter.com/7Qk9Ci0XLB" TargetMode="External"/><Relationship Id="rId251" Type="http://schemas.openxmlformats.org/officeDocument/2006/relationships/hyperlink" Target="http://pic.twitter.com/859btrloAl" TargetMode="External"/><Relationship Id="rId489" Type="http://schemas.openxmlformats.org/officeDocument/2006/relationships/hyperlink" Target="http://pic.twitter.com/rwKbByPT3x" TargetMode="External"/><Relationship Id="rId696" Type="http://schemas.openxmlformats.org/officeDocument/2006/relationships/hyperlink" Target="http://pic.twitter.com/BOfjkNiIsf" TargetMode="External"/><Relationship Id="rId349" Type="http://schemas.openxmlformats.org/officeDocument/2006/relationships/hyperlink" Target="http://pic.twitter.com/9eno0JIcZp" TargetMode="External"/><Relationship Id="rId556" Type="http://schemas.openxmlformats.org/officeDocument/2006/relationships/hyperlink" Target="http://pic.twitter.com/8iTP6KeAg1" TargetMode="External"/><Relationship Id="rId763" Type="http://schemas.openxmlformats.org/officeDocument/2006/relationships/hyperlink" Target="http://pic.twitter.com/CmbvNR9AJE" TargetMode="External"/><Relationship Id="rId1186" Type="http://schemas.openxmlformats.org/officeDocument/2006/relationships/hyperlink" Target="http://pic.twitter.com/k8kgxMpIUt" TargetMode="External"/><Relationship Id="rId1393" Type="http://schemas.openxmlformats.org/officeDocument/2006/relationships/hyperlink" Target="https://ahmedhzaa.blogspot.com/?m=0" TargetMode="External"/><Relationship Id="rId111" Type="http://schemas.openxmlformats.org/officeDocument/2006/relationships/hyperlink" Target="http://pic.twitter.com/aJy2vDZ1x5" TargetMode="External"/><Relationship Id="rId209" Type="http://schemas.openxmlformats.org/officeDocument/2006/relationships/hyperlink" Target="http://pic.twitter.com/RxMxO63Zvp" TargetMode="External"/><Relationship Id="rId416" Type="http://schemas.openxmlformats.org/officeDocument/2006/relationships/hyperlink" Target="http://pic.twitter.com/qhnKaqS8Sf" TargetMode="External"/><Relationship Id="rId970" Type="http://schemas.openxmlformats.org/officeDocument/2006/relationships/hyperlink" Target="http://pic.twitter.com/gNdi8Pd6OM" TargetMode="External"/><Relationship Id="rId1046" Type="http://schemas.openxmlformats.org/officeDocument/2006/relationships/hyperlink" Target="http://pic.twitter.com/aHO5YXbBR6" TargetMode="External"/><Relationship Id="rId1253" Type="http://schemas.openxmlformats.org/officeDocument/2006/relationships/hyperlink" Target="http://pic.twitter.com/LrQDavt0GI" TargetMode="External"/><Relationship Id="rId1698" Type="http://schemas.openxmlformats.org/officeDocument/2006/relationships/hyperlink" Target="http://pic.twitter.com/zFZbRZHDTZ" TargetMode="External"/><Relationship Id="rId623" Type="http://schemas.openxmlformats.org/officeDocument/2006/relationships/hyperlink" Target="http://pic.twitter.com/BBoyZHpA01" TargetMode="External"/><Relationship Id="rId830" Type="http://schemas.openxmlformats.org/officeDocument/2006/relationships/hyperlink" Target="http://pic.twitter.com/PZkV10EsNv" TargetMode="External"/><Relationship Id="rId928" Type="http://schemas.openxmlformats.org/officeDocument/2006/relationships/hyperlink" Target="http://pic.twitter.com/1uMXIDqzBi" TargetMode="External"/><Relationship Id="rId1460" Type="http://schemas.openxmlformats.org/officeDocument/2006/relationships/hyperlink" Target="http://pic.twitter.com/VESjHakXSP" TargetMode="External"/><Relationship Id="rId1558" Type="http://schemas.openxmlformats.org/officeDocument/2006/relationships/hyperlink" Target="http://pic.twitter.com/2FFkEIfKI7" TargetMode="External"/><Relationship Id="rId1765" Type="http://schemas.openxmlformats.org/officeDocument/2006/relationships/hyperlink" Target="http://pic.twitter.com/aYE2f7JReA" TargetMode="External"/><Relationship Id="rId57" Type="http://schemas.openxmlformats.org/officeDocument/2006/relationships/hyperlink" Target="https://pbs.twimg.com/media/EGcD5CcWkAEVjfC.jpg" TargetMode="External"/><Relationship Id="rId1113" Type="http://schemas.openxmlformats.org/officeDocument/2006/relationships/hyperlink" Target="http://pic.twitter.com/219VIgsu3U" TargetMode="External"/><Relationship Id="rId1320" Type="http://schemas.openxmlformats.org/officeDocument/2006/relationships/hyperlink" Target="http://pic.twitter.com/SBPqky0YeR" TargetMode="External"/><Relationship Id="rId1418" Type="http://schemas.openxmlformats.org/officeDocument/2006/relationships/hyperlink" Target="http://pic.twitter.com/K0P9BwSGuz" TargetMode="External"/><Relationship Id="rId1972" Type="http://schemas.openxmlformats.org/officeDocument/2006/relationships/hyperlink" Target="http://pic.twitter.com/jb1vundsG2" TargetMode="External"/><Relationship Id="rId1625" Type="http://schemas.openxmlformats.org/officeDocument/2006/relationships/hyperlink" Target="http://pic.twitter.com/HUhwzF16tc" TargetMode="External"/><Relationship Id="rId1832" Type="http://schemas.openxmlformats.org/officeDocument/2006/relationships/hyperlink" Target="http://pic.twitter.com/dfrbiZMsYz" TargetMode="External"/><Relationship Id="rId2094" Type="http://schemas.openxmlformats.org/officeDocument/2006/relationships/hyperlink" Target="https://pbs.twimg.com/media/EGTgBzWUEAAhIQe.jpg" TargetMode="External"/><Relationship Id="rId273" Type="http://schemas.openxmlformats.org/officeDocument/2006/relationships/hyperlink" Target="https://pbs.twimg.com/media/EF-k-QmWkAIXsMv.jpg" TargetMode="External"/><Relationship Id="rId480" Type="http://schemas.openxmlformats.org/officeDocument/2006/relationships/hyperlink" Target="http://pic.twitter.com/tthpjTovTW" TargetMode="External"/><Relationship Id="rId133" Type="http://schemas.openxmlformats.org/officeDocument/2006/relationships/hyperlink" Target="http://pic.twitter.com/ep13hRUl3j" TargetMode="External"/><Relationship Id="rId340" Type="http://schemas.openxmlformats.org/officeDocument/2006/relationships/hyperlink" Target="http://pic.twitter.com/jJG3O8mzzJ" TargetMode="External"/><Relationship Id="rId578" Type="http://schemas.openxmlformats.org/officeDocument/2006/relationships/hyperlink" Target="http://pic.twitter.com/2F1AVjNZlj" TargetMode="External"/><Relationship Id="rId785" Type="http://schemas.openxmlformats.org/officeDocument/2006/relationships/hyperlink" Target="http://pic.twitter.com/rrkCl73vM7" TargetMode="External"/><Relationship Id="rId992" Type="http://schemas.openxmlformats.org/officeDocument/2006/relationships/hyperlink" Target="http://pic.twitter.com/jdiBdHQF1S" TargetMode="External"/><Relationship Id="rId2021" Type="http://schemas.openxmlformats.org/officeDocument/2006/relationships/hyperlink" Target="http://pic.twitter.com/dDW3ydgPOX" TargetMode="External"/><Relationship Id="rId200" Type="http://schemas.openxmlformats.org/officeDocument/2006/relationships/hyperlink" Target="http://pic.twitter.com/d4brMlN0oK" TargetMode="External"/><Relationship Id="rId438" Type="http://schemas.openxmlformats.org/officeDocument/2006/relationships/hyperlink" Target="http://pic.twitter.com/ds1fh2uGZV" TargetMode="External"/><Relationship Id="rId645" Type="http://schemas.openxmlformats.org/officeDocument/2006/relationships/hyperlink" Target="http://pic.twitter.com/h0XEjMrP7F" TargetMode="External"/><Relationship Id="rId852" Type="http://schemas.openxmlformats.org/officeDocument/2006/relationships/hyperlink" Target="http://pic.twitter.com/4ItfJRlxdI" TargetMode="External"/><Relationship Id="rId1068" Type="http://schemas.openxmlformats.org/officeDocument/2006/relationships/hyperlink" Target="http://pic.twitter.com/UIjhBc3zId" TargetMode="External"/><Relationship Id="rId1275" Type="http://schemas.openxmlformats.org/officeDocument/2006/relationships/hyperlink" Target="http://pic.twitter.com/PsmTN5fdeJ" TargetMode="External"/><Relationship Id="rId1482" Type="http://schemas.openxmlformats.org/officeDocument/2006/relationships/hyperlink" Target="http://pic.twitter.com/MIq12NLlny" TargetMode="External"/><Relationship Id="rId505" Type="http://schemas.openxmlformats.org/officeDocument/2006/relationships/hyperlink" Target="http://pic.twitter.com/WKaW9MauDX" TargetMode="External"/><Relationship Id="rId712" Type="http://schemas.openxmlformats.org/officeDocument/2006/relationships/hyperlink" Target="http://pic.twitter.com/Cq9UJd7Qpp" TargetMode="External"/><Relationship Id="rId1135" Type="http://schemas.openxmlformats.org/officeDocument/2006/relationships/hyperlink" Target="http://pic.twitter.com/L87RmkrmD8" TargetMode="External"/><Relationship Id="rId1342" Type="http://schemas.openxmlformats.org/officeDocument/2006/relationships/hyperlink" Target="http://pic.twitter.com/jRJpBqGDuy" TargetMode="External"/><Relationship Id="rId1787" Type="http://schemas.openxmlformats.org/officeDocument/2006/relationships/hyperlink" Target="http://pic.twitter.com/txPWM6vWVx" TargetMode="External"/><Relationship Id="rId1994" Type="http://schemas.openxmlformats.org/officeDocument/2006/relationships/hyperlink" Target="http://pic.twitter.com/0SAi7e4Mip" TargetMode="External"/><Relationship Id="rId79" Type="http://schemas.openxmlformats.org/officeDocument/2006/relationships/hyperlink" Target="http://pic.twitter.com/Priau3MqYJ" TargetMode="External"/><Relationship Id="rId1202" Type="http://schemas.openxmlformats.org/officeDocument/2006/relationships/hyperlink" Target="http://pic.twitter.com/oaCMV3E2BA" TargetMode="External"/><Relationship Id="rId1647" Type="http://schemas.openxmlformats.org/officeDocument/2006/relationships/hyperlink" Target="http://pic.twitter.com/Z8RtcRPaD1" TargetMode="External"/><Relationship Id="rId1854" Type="http://schemas.openxmlformats.org/officeDocument/2006/relationships/hyperlink" Target="http://pic.twitter.com/RRtnVj7BM1" TargetMode="External"/><Relationship Id="rId1507" Type="http://schemas.openxmlformats.org/officeDocument/2006/relationships/hyperlink" Target="https://pbs.twimg.com/media/EGUG1abWoAEsCqc.jpg" TargetMode="External"/><Relationship Id="rId1714" Type="http://schemas.openxmlformats.org/officeDocument/2006/relationships/hyperlink" Target="http://pic.twitter.com/UsLFjUgCqi" TargetMode="External"/><Relationship Id="rId295" Type="http://schemas.openxmlformats.org/officeDocument/2006/relationships/hyperlink" Target="http://r2kim.skyblog.com/" TargetMode="External"/><Relationship Id="rId1921" Type="http://schemas.openxmlformats.org/officeDocument/2006/relationships/hyperlink" Target="http://pic.twitter.com/CKKuQJJIO7" TargetMode="External"/><Relationship Id="rId155" Type="http://schemas.openxmlformats.org/officeDocument/2006/relationships/hyperlink" Target="http://pic.twitter.com/HGNS9AbFb3" TargetMode="External"/><Relationship Id="rId362" Type="http://schemas.openxmlformats.org/officeDocument/2006/relationships/hyperlink" Target="http://pic.twitter.com/OyIM1ynNDZ" TargetMode="External"/><Relationship Id="rId1297" Type="http://schemas.openxmlformats.org/officeDocument/2006/relationships/hyperlink" Target="http://pic.twitter.com/TUlIFhQsSc" TargetMode="External"/><Relationship Id="rId2043" Type="http://schemas.openxmlformats.org/officeDocument/2006/relationships/hyperlink" Target="http://pic.twitter.com/eTZCpJnr8n" TargetMode="External"/><Relationship Id="rId222" Type="http://schemas.openxmlformats.org/officeDocument/2006/relationships/hyperlink" Target="http://pic.twitter.com/3ls9RB6wyW" TargetMode="External"/><Relationship Id="rId667" Type="http://schemas.openxmlformats.org/officeDocument/2006/relationships/hyperlink" Target="http://pic.twitter.com/S7bUvtjQEA" TargetMode="External"/><Relationship Id="rId874" Type="http://schemas.openxmlformats.org/officeDocument/2006/relationships/hyperlink" Target="http://pic.twitter.com/hD05cWqGDF" TargetMode="External"/><Relationship Id="rId527" Type="http://schemas.openxmlformats.org/officeDocument/2006/relationships/hyperlink" Target="http://pic.twitter.com/4uTOlxShEv" TargetMode="External"/><Relationship Id="rId734" Type="http://schemas.openxmlformats.org/officeDocument/2006/relationships/hyperlink" Target="http://pic.twitter.com/VlT5xGZ417" TargetMode="External"/><Relationship Id="rId941" Type="http://schemas.openxmlformats.org/officeDocument/2006/relationships/hyperlink" Target="http://pic.twitter.com/AFlYEDjNyY" TargetMode="External"/><Relationship Id="rId1157" Type="http://schemas.openxmlformats.org/officeDocument/2006/relationships/hyperlink" Target="http://pic.twitter.com/TGl5RyqEhM" TargetMode="External"/><Relationship Id="rId1364" Type="http://schemas.openxmlformats.org/officeDocument/2006/relationships/hyperlink" Target="http://pic.twitter.com/PGaQc3hycl" TargetMode="External"/><Relationship Id="rId1571" Type="http://schemas.openxmlformats.org/officeDocument/2006/relationships/hyperlink" Target="http://pic.twitter.com/ow3zqMXXCI" TargetMode="External"/><Relationship Id="rId70" Type="http://schemas.openxmlformats.org/officeDocument/2006/relationships/hyperlink" Target="http://pic.twitter.com/qoiWXIdjya" TargetMode="External"/><Relationship Id="rId801" Type="http://schemas.openxmlformats.org/officeDocument/2006/relationships/hyperlink" Target="http://pic.twitter.com/9L9R6cVg0u" TargetMode="External"/><Relationship Id="rId1017" Type="http://schemas.openxmlformats.org/officeDocument/2006/relationships/hyperlink" Target="http://pic.twitter.com/VIcyQbTPT5" TargetMode="External"/><Relationship Id="rId1224" Type="http://schemas.openxmlformats.org/officeDocument/2006/relationships/hyperlink" Target="http://pic.twitter.com/2JjuC5ARW9" TargetMode="External"/><Relationship Id="rId1431" Type="http://schemas.openxmlformats.org/officeDocument/2006/relationships/hyperlink" Target="https://pbs.twimg.com/media/EGW5Z7gW4AEQedz.jpg" TargetMode="External"/><Relationship Id="rId1669" Type="http://schemas.openxmlformats.org/officeDocument/2006/relationships/hyperlink" Target="http://pic.twitter.com/yl7xVrjVKs" TargetMode="External"/><Relationship Id="rId1876" Type="http://schemas.openxmlformats.org/officeDocument/2006/relationships/hyperlink" Target="http://pic.twitter.com/N56pdyuSzo" TargetMode="External"/><Relationship Id="rId1529" Type="http://schemas.openxmlformats.org/officeDocument/2006/relationships/hyperlink" Target="http://pic.twitter.com/F22mRGM23i" TargetMode="External"/><Relationship Id="rId1736" Type="http://schemas.openxmlformats.org/officeDocument/2006/relationships/hyperlink" Target="http://pic.twitter.com/ImAEb7L6AZ" TargetMode="External"/><Relationship Id="rId1943" Type="http://schemas.openxmlformats.org/officeDocument/2006/relationships/hyperlink" Target="http://pic.twitter.com/XXlzotKySo" TargetMode="External"/><Relationship Id="rId28" Type="http://schemas.openxmlformats.org/officeDocument/2006/relationships/hyperlink" Target="http://pic.twitter.com/7HKiBRhRMZ" TargetMode="External"/><Relationship Id="rId1803" Type="http://schemas.openxmlformats.org/officeDocument/2006/relationships/hyperlink" Target="http://pic.twitter.com/zI6mxrYyRd" TargetMode="External"/><Relationship Id="rId177" Type="http://schemas.openxmlformats.org/officeDocument/2006/relationships/hyperlink" Target="http://pic.twitter.com/PaN5V6ioSm" TargetMode="External"/><Relationship Id="rId384" Type="http://schemas.openxmlformats.org/officeDocument/2006/relationships/hyperlink" Target="http://pic.twitter.com/teDsE9QvZn" TargetMode="External"/><Relationship Id="rId591" Type="http://schemas.openxmlformats.org/officeDocument/2006/relationships/hyperlink" Target="http://pic.twitter.com/jGVSb9fMY8" TargetMode="External"/><Relationship Id="rId2065" Type="http://schemas.openxmlformats.org/officeDocument/2006/relationships/hyperlink" Target="http://pic.twitter.com/710gZ5uakv" TargetMode="External"/><Relationship Id="rId244" Type="http://schemas.openxmlformats.org/officeDocument/2006/relationships/hyperlink" Target="https://pbs.twimg.com/media/EF-k-QmWkAIXsMv.jpg" TargetMode="External"/><Relationship Id="rId689" Type="http://schemas.openxmlformats.org/officeDocument/2006/relationships/hyperlink" Target="http://pic.twitter.com/qILLVvjrZ6" TargetMode="External"/><Relationship Id="rId896" Type="http://schemas.openxmlformats.org/officeDocument/2006/relationships/hyperlink" Target="http://pic.twitter.com/Ffrj69tPjm" TargetMode="External"/><Relationship Id="rId1081" Type="http://schemas.openxmlformats.org/officeDocument/2006/relationships/hyperlink" Target="http://pic.twitter.com/NZJCDivUxw" TargetMode="External"/><Relationship Id="rId451" Type="http://schemas.openxmlformats.org/officeDocument/2006/relationships/hyperlink" Target="http://pic.twitter.com/Gjpfjiyrd7" TargetMode="External"/><Relationship Id="rId549" Type="http://schemas.openxmlformats.org/officeDocument/2006/relationships/hyperlink" Target="http://pic.twitter.com/EwnnUsb0CX" TargetMode="External"/><Relationship Id="rId756" Type="http://schemas.openxmlformats.org/officeDocument/2006/relationships/hyperlink" Target="http://pic.twitter.com/U0rZ8UwFcy" TargetMode="External"/><Relationship Id="rId1179" Type="http://schemas.openxmlformats.org/officeDocument/2006/relationships/hyperlink" Target="https://pbs.twimg.com/media/EF-m1ZpXUAAvExx.jpg" TargetMode="External"/><Relationship Id="rId1386" Type="http://schemas.openxmlformats.org/officeDocument/2006/relationships/hyperlink" Target="http://pic.twitter.com/UmqAWupQ9f" TargetMode="External"/><Relationship Id="rId1593" Type="http://schemas.openxmlformats.org/officeDocument/2006/relationships/hyperlink" Target="http://pic.twitter.com/IBF38Gy4IJ" TargetMode="External"/><Relationship Id="rId104" Type="http://schemas.openxmlformats.org/officeDocument/2006/relationships/hyperlink" Target="http://pic.twitter.com/X3UHWiVpY2" TargetMode="External"/><Relationship Id="rId311" Type="http://schemas.openxmlformats.org/officeDocument/2006/relationships/hyperlink" Target="http://pic.twitter.com/WPi2uxaG3E" TargetMode="External"/><Relationship Id="rId409" Type="http://schemas.openxmlformats.org/officeDocument/2006/relationships/hyperlink" Target="http://pic.twitter.com/ckqfnkK1Rn" TargetMode="External"/><Relationship Id="rId963" Type="http://schemas.openxmlformats.org/officeDocument/2006/relationships/hyperlink" Target="http://pic.twitter.com/cIQsGRoy3a" TargetMode="External"/><Relationship Id="rId1039" Type="http://schemas.openxmlformats.org/officeDocument/2006/relationships/hyperlink" Target="http://pic.twitter.com/MGeWEyYH1i" TargetMode="External"/><Relationship Id="rId1246" Type="http://schemas.openxmlformats.org/officeDocument/2006/relationships/hyperlink" Target="http://pic.twitter.com/PGZfR6yutt" TargetMode="External"/><Relationship Id="rId1898" Type="http://schemas.openxmlformats.org/officeDocument/2006/relationships/hyperlink" Target="http://pic.twitter.com/5gXDbKugnP" TargetMode="External"/><Relationship Id="rId92" Type="http://schemas.openxmlformats.org/officeDocument/2006/relationships/hyperlink" Target="http://pic.twitter.com/dcJsYWVwMk" TargetMode="External"/><Relationship Id="rId616" Type="http://schemas.openxmlformats.org/officeDocument/2006/relationships/hyperlink" Target="http://pic.twitter.com/BGcwEv36VV" TargetMode="External"/><Relationship Id="rId823" Type="http://schemas.openxmlformats.org/officeDocument/2006/relationships/hyperlink" Target="http://pic.twitter.com/OxmdUfhVhu" TargetMode="External"/><Relationship Id="rId1453" Type="http://schemas.openxmlformats.org/officeDocument/2006/relationships/hyperlink" Target="http://pic.twitter.com/2vetnVminM" TargetMode="External"/><Relationship Id="rId1660" Type="http://schemas.openxmlformats.org/officeDocument/2006/relationships/hyperlink" Target="http://pic.twitter.com/06j3ARA0mr" TargetMode="External"/><Relationship Id="rId1758" Type="http://schemas.openxmlformats.org/officeDocument/2006/relationships/hyperlink" Target="http://pic.twitter.com/FgaGQ3VBU4" TargetMode="External"/><Relationship Id="rId1106" Type="http://schemas.openxmlformats.org/officeDocument/2006/relationships/hyperlink" Target="http://pic.twitter.com/2aGB16RQbH" TargetMode="External"/><Relationship Id="rId1313" Type="http://schemas.openxmlformats.org/officeDocument/2006/relationships/hyperlink" Target="http://pic.twitter.com/H7wNRP4E8V" TargetMode="External"/><Relationship Id="rId1520" Type="http://schemas.openxmlformats.org/officeDocument/2006/relationships/hyperlink" Target="http://pic.twitter.com/dLvF2i7oDl" TargetMode="External"/><Relationship Id="rId1965" Type="http://schemas.openxmlformats.org/officeDocument/2006/relationships/hyperlink" Target="http://pic.twitter.com/lOIPgHb4z2" TargetMode="External"/><Relationship Id="rId1618" Type="http://schemas.openxmlformats.org/officeDocument/2006/relationships/hyperlink" Target="http://al-khalij.tv/" TargetMode="External"/><Relationship Id="rId1825" Type="http://schemas.openxmlformats.org/officeDocument/2006/relationships/hyperlink" Target="http://pic.twitter.com/h2iTw5d45e" TargetMode="External"/><Relationship Id="rId199" Type="http://schemas.openxmlformats.org/officeDocument/2006/relationships/hyperlink" Target="http://pic.twitter.com/vRpfw4OzmP" TargetMode="External"/><Relationship Id="rId2087" Type="http://schemas.openxmlformats.org/officeDocument/2006/relationships/hyperlink" Target="http://pic.twitter.com/MUurUoHT8n" TargetMode="External"/><Relationship Id="rId266" Type="http://schemas.openxmlformats.org/officeDocument/2006/relationships/hyperlink" Target="http://pic.twitter.com/c0mWbHNkdC" TargetMode="External"/><Relationship Id="rId473" Type="http://schemas.openxmlformats.org/officeDocument/2006/relationships/hyperlink" Target="http://pic.twitter.com/8MoFeHhbmM" TargetMode="External"/><Relationship Id="rId680" Type="http://schemas.openxmlformats.org/officeDocument/2006/relationships/hyperlink" Target="http://pic.twitter.com/6sO6mskLyh" TargetMode="External"/><Relationship Id="rId126" Type="http://schemas.openxmlformats.org/officeDocument/2006/relationships/hyperlink" Target="http://pic.twitter.com/OMMcYEFkTK" TargetMode="External"/><Relationship Id="rId333" Type="http://schemas.openxmlformats.org/officeDocument/2006/relationships/hyperlink" Target="http://pic.twitter.com/TjHXcvJOLj" TargetMode="External"/><Relationship Id="rId540" Type="http://schemas.openxmlformats.org/officeDocument/2006/relationships/hyperlink" Target="http://pic.twitter.com/az3GhB2jqv" TargetMode="External"/><Relationship Id="rId778" Type="http://schemas.openxmlformats.org/officeDocument/2006/relationships/hyperlink" Target="http://redrevolution.co.uk/" TargetMode="External"/><Relationship Id="rId985" Type="http://schemas.openxmlformats.org/officeDocument/2006/relationships/hyperlink" Target="http://pic.twitter.com/pF5jU4bpgG" TargetMode="External"/><Relationship Id="rId1170" Type="http://schemas.openxmlformats.org/officeDocument/2006/relationships/hyperlink" Target="http://pic.twitter.com/xiNeBhh9Mf" TargetMode="External"/><Relationship Id="rId2014" Type="http://schemas.openxmlformats.org/officeDocument/2006/relationships/hyperlink" Target="http://pic.twitter.com/xoVLJ3dkvM" TargetMode="External"/><Relationship Id="rId638" Type="http://schemas.openxmlformats.org/officeDocument/2006/relationships/hyperlink" Target="http://pic.twitter.com/F6kO8DvPfS" TargetMode="External"/><Relationship Id="rId845" Type="http://schemas.openxmlformats.org/officeDocument/2006/relationships/hyperlink" Target="http://pic.twitter.com/wz20eGnAyx" TargetMode="External"/><Relationship Id="rId1030" Type="http://schemas.openxmlformats.org/officeDocument/2006/relationships/hyperlink" Target="http://pic.twitter.com/DuBd64AhGP" TargetMode="External"/><Relationship Id="rId1268" Type="http://schemas.openxmlformats.org/officeDocument/2006/relationships/hyperlink" Target="http://pic.twitter.com/Ls7xRx1rey" TargetMode="External"/><Relationship Id="rId1475" Type="http://schemas.openxmlformats.org/officeDocument/2006/relationships/hyperlink" Target="http://pic.twitter.com/wGcfizyctA" TargetMode="External"/><Relationship Id="rId1682" Type="http://schemas.openxmlformats.org/officeDocument/2006/relationships/hyperlink" Target="http://pic.twitter.com/gTeV1546QC" TargetMode="External"/><Relationship Id="rId400" Type="http://schemas.openxmlformats.org/officeDocument/2006/relationships/hyperlink" Target="http://pic.twitter.com/J8Vy14GVF2" TargetMode="External"/><Relationship Id="rId705" Type="http://schemas.openxmlformats.org/officeDocument/2006/relationships/hyperlink" Target="http://pic.twitter.com/yvcAqGX7FK" TargetMode="External"/><Relationship Id="rId1128" Type="http://schemas.openxmlformats.org/officeDocument/2006/relationships/hyperlink" Target="http://pic.twitter.com/pXIC5UlPXM" TargetMode="External"/><Relationship Id="rId1335" Type="http://schemas.openxmlformats.org/officeDocument/2006/relationships/hyperlink" Target="http://pic.twitter.com/DdQd52H67j" TargetMode="External"/><Relationship Id="rId1542" Type="http://schemas.openxmlformats.org/officeDocument/2006/relationships/hyperlink" Target="http://pic.twitter.com/w0MlXU7XXa" TargetMode="External"/><Relationship Id="rId1987" Type="http://schemas.openxmlformats.org/officeDocument/2006/relationships/hyperlink" Target="http://pic.twitter.com/dVgmOphMIO" TargetMode="External"/><Relationship Id="rId912" Type="http://schemas.openxmlformats.org/officeDocument/2006/relationships/hyperlink" Target="http://pic.twitter.com/9Kev9hc6a0" TargetMode="External"/><Relationship Id="rId1847" Type="http://schemas.openxmlformats.org/officeDocument/2006/relationships/hyperlink" Target="http://pic.twitter.com/ucsZ2ucQQg" TargetMode="External"/><Relationship Id="rId41" Type="http://schemas.openxmlformats.org/officeDocument/2006/relationships/hyperlink" Target="http://pic.twitter.com/jVpsruy3Vt" TargetMode="External"/><Relationship Id="rId1402" Type="http://schemas.openxmlformats.org/officeDocument/2006/relationships/hyperlink" Target="https://bit.ly/2of7DsN" TargetMode="External"/><Relationship Id="rId1707" Type="http://schemas.openxmlformats.org/officeDocument/2006/relationships/hyperlink" Target="http://pic.twitter.com/ctFHtQMq8r" TargetMode="External"/><Relationship Id="rId190" Type="http://schemas.openxmlformats.org/officeDocument/2006/relationships/hyperlink" Target="http://pic.twitter.com/8cX9dmUqOz" TargetMode="External"/><Relationship Id="rId288" Type="http://schemas.openxmlformats.org/officeDocument/2006/relationships/hyperlink" Target="http://www.rochelleriley.com/" TargetMode="External"/><Relationship Id="rId1914" Type="http://schemas.openxmlformats.org/officeDocument/2006/relationships/hyperlink" Target="http://pic.twitter.com/b1PqgWORQC" TargetMode="External"/><Relationship Id="rId495" Type="http://schemas.openxmlformats.org/officeDocument/2006/relationships/hyperlink" Target="https://pbs.twimg.com/media/EF-kwdrWwA0yvZy.jpg" TargetMode="External"/><Relationship Id="rId148" Type="http://schemas.openxmlformats.org/officeDocument/2006/relationships/hyperlink" Target="http://pic.twitter.com/lieHFWzvtN" TargetMode="External"/><Relationship Id="rId355" Type="http://schemas.openxmlformats.org/officeDocument/2006/relationships/hyperlink" Target="http://pic.twitter.com/K1W1199mhZ" TargetMode="External"/><Relationship Id="rId562" Type="http://schemas.openxmlformats.org/officeDocument/2006/relationships/hyperlink" Target="https://pbs.twimg.com/media/EF-kwdrWwA0yvZy.jpg" TargetMode="External"/><Relationship Id="rId1192" Type="http://schemas.openxmlformats.org/officeDocument/2006/relationships/hyperlink" Target="http://pic.twitter.com/leH27h1IS5" TargetMode="External"/><Relationship Id="rId2036" Type="http://schemas.openxmlformats.org/officeDocument/2006/relationships/hyperlink" Target="http://pic.twitter.com/TXhLSaeNNq" TargetMode="External"/><Relationship Id="rId215" Type="http://schemas.openxmlformats.org/officeDocument/2006/relationships/hyperlink" Target="http://pic.twitter.com/9nrWXEiezm" TargetMode="External"/><Relationship Id="rId422" Type="http://schemas.openxmlformats.org/officeDocument/2006/relationships/hyperlink" Target="http://pic.twitter.com/6b7gQYPGvG" TargetMode="External"/><Relationship Id="rId867" Type="http://schemas.openxmlformats.org/officeDocument/2006/relationships/hyperlink" Target="http://pic.twitter.com/sA0tMTiCJe" TargetMode="External"/><Relationship Id="rId1052" Type="http://schemas.openxmlformats.org/officeDocument/2006/relationships/hyperlink" Target="http://pic.twitter.com/tgGLa3j4PS" TargetMode="External"/><Relationship Id="rId1497" Type="http://schemas.openxmlformats.org/officeDocument/2006/relationships/hyperlink" Target="http://pic.twitter.com/ONj4iaSpeH" TargetMode="External"/><Relationship Id="rId2103" Type="http://schemas.openxmlformats.org/officeDocument/2006/relationships/table" Target="../tables/table2.xml"/><Relationship Id="rId727" Type="http://schemas.openxmlformats.org/officeDocument/2006/relationships/hyperlink" Target="http://pic.twitter.com/0bmRNzux5T" TargetMode="External"/><Relationship Id="rId934" Type="http://schemas.openxmlformats.org/officeDocument/2006/relationships/hyperlink" Target="http://pic.twitter.com/tzNiAWH2Ro" TargetMode="External"/><Relationship Id="rId1357" Type="http://schemas.openxmlformats.org/officeDocument/2006/relationships/hyperlink" Target="http://pic.twitter.com/l2ZPtVSFdL" TargetMode="External"/><Relationship Id="rId1564" Type="http://schemas.openxmlformats.org/officeDocument/2006/relationships/hyperlink" Target="http://pic.twitter.com/OeFeIbDAcH" TargetMode="External"/><Relationship Id="rId1771" Type="http://schemas.openxmlformats.org/officeDocument/2006/relationships/hyperlink" Target="http://pic.twitter.com/LyE5JMbcqE" TargetMode="External"/><Relationship Id="rId63" Type="http://schemas.openxmlformats.org/officeDocument/2006/relationships/hyperlink" Target="https://www.alfaresah.net/" TargetMode="External"/><Relationship Id="rId1217" Type="http://schemas.openxmlformats.org/officeDocument/2006/relationships/hyperlink" Target="http://pic.twitter.com/ha0FuVBL6q" TargetMode="External"/><Relationship Id="rId1424" Type="http://schemas.openxmlformats.org/officeDocument/2006/relationships/hyperlink" Target="http://pic.twitter.com/p5D9pXMWJT" TargetMode="External"/><Relationship Id="rId1631" Type="http://schemas.openxmlformats.org/officeDocument/2006/relationships/hyperlink" Target="http://pic.twitter.com/t4OPzJ7KoH" TargetMode="External"/><Relationship Id="rId1869" Type="http://schemas.openxmlformats.org/officeDocument/2006/relationships/hyperlink" Target="http://pic.twitter.com/UU5TbuJBpK" TargetMode="External"/><Relationship Id="rId1729" Type="http://schemas.openxmlformats.org/officeDocument/2006/relationships/hyperlink" Target="http://pic.twitter.com/dzayVN9sy6" TargetMode="External"/><Relationship Id="rId1936" Type="http://schemas.openxmlformats.org/officeDocument/2006/relationships/hyperlink" Target="http://pic.twitter.com/Qkwq2QmESU" TargetMode="External"/><Relationship Id="rId377" Type="http://schemas.openxmlformats.org/officeDocument/2006/relationships/hyperlink" Target="http://pic.twitter.com/bCnGscEK1v" TargetMode="External"/><Relationship Id="rId584" Type="http://schemas.openxmlformats.org/officeDocument/2006/relationships/hyperlink" Target="http://pic.twitter.com/OZ5LJzdRzd" TargetMode="External"/><Relationship Id="rId2058" Type="http://schemas.openxmlformats.org/officeDocument/2006/relationships/hyperlink" Target="http://pic.twitter.com/kTwCwXELOP" TargetMode="External"/><Relationship Id="rId5" Type="http://schemas.openxmlformats.org/officeDocument/2006/relationships/hyperlink" Target="https://pbs.twimg.com/media/EF-kwdrWwA0yvZy.jpg" TargetMode="External"/><Relationship Id="rId237" Type="http://schemas.openxmlformats.org/officeDocument/2006/relationships/hyperlink" Target="http://pic.twitter.com/ot9oCfIRAs" TargetMode="External"/><Relationship Id="rId791" Type="http://schemas.openxmlformats.org/officeDocument/2006/relationships/hyperlink" Target="http://pic.twitter.com/zv9078i3kJ" TargetMode="External"/><Relationship Id="rId889" Type="http://schemas.openxmlformats.org/officeDocument/2006/relationships/hyperlink" Target="http://pic.twitter.com/cSGJgoyLer" TargetMode="External"/><Relationship Id="rId1074" Type="http://schemas.openxmlformats.org/officeDocument/2006/relationships/hyperlink" Target="http://pic.twitter.com/CdMC3tfse8" TargetMode="External"/><Relationship Id="rId444" Type="http://schemas.openxmlformats.org/officeDocument/2006/relationships/hyperlink" Target="http://pic.twitter.com/Oz9O07th3U" TargetMode="External"/><Relationship Id="rId651" Type="http://schemas.openxmlformats.org/officeDocument/2006/relationships/hyperlink" Target="http://pic.twitter.com/7t6Vxx7Q6g" TargetMode="External"/><Relationship Id="rId749" Type="http://schemas.openxmlformats.org/officeDocument/2006/relationships/hyperlink" Target="http://pic.twitter.com/sRPtoPYq5j" TargetMode="External"/><Relationship Id="rId1281" Type="http://schemas.openxmlformats.org/officeDocument/2006/relationships/hyperlink" Target="http://pic.twitter.com/B9PBlVYSs0" TargetMode="External"/><Relationship Id="rId1379" Type="http://schemas.openxmlformats.org/officeDocument/2006/relationships/hyperlink" Target="http://pic.twitter.com/L2kfa1LI4h" TargetMode="External"/><Relationship Id="rId1586" Type="http://schemas.openxmlformats.org/officeDocument/2006/relationships/hyperlink" Target="http://pic.twitter.com/eFR680STtl" TargetMode="External"/><Relationship Id="rId304" Type="http://schemas.openxmlformats.org/officeDocument/2006/relationships/hyperlink" Target="http://pic.twitter.com/3R63SMvG8L" TargetMode="External"/><Relationship Id="rId511" Type="http://schemas.openxmlformats.org/officeDocument/2006/relationships/hyperlink" Target="http://pic.twitter.com/gumPZUjFaU" TargetMode="External"/><Relationship Id="rId609" Type="http://schemas.openxmlformats.org/officeDocument/2006/relationships/hyperlink" Target="http://pic.twitter.com/KhjkoV2UYU" TargetMode="External"/><Relationship Id="rId956" Type="http://schemas.openxmlformats.org/officeDocument/2006/relationships/hyperlink" Target="https://pbs.twimg.com/media/EF-k-QmWkAIXsMv.jpg" TargetMode="External"/><Relationship Id="rId1141" Type="http://schemas.openxmlformats.org/officeDocument/2006/relationships/hyperlink" Target="http://pic.twitter.com/boiJnkKtzS" TargetMode="External"/><Relationship Id="rId1239" Type="http://schemas.openxmlformats.org/officeDocument/2006/relationships/hyperlink" Target="http://pic.twitter.com/PLrnfsp77U" TargetMode="External"/><Relationship Id="rId1793" Type="http://schemas.openxmlformats.org/officeDocument/2006/relationships/hyperlink" Target="http://pic.twitter.com/KG3Rq5L0be" TargetMode="External"/><Relationship Id="rId85" Type="http://schemas.openxmlformats.org/officeDocument/2006/relationships/hyperlink" Target="http://pic.twitter.com/cXUF3fnqZt" TargetMode="External"/><Relationship Id="rId816" Type="http://schemas.openxmlformats.org/officeDocument/2006/relationships/hyperlink" Target="http://pic.twitter.com/qsITmZL1eE" TargetMode="External"/><Relationship Id="rId1001" Type="http://schemas.openxmlformats.org/officeDocument/2006/relationships/hyperlink" Target="http://pic.twitter.com/cnoMYFaB9n" TargetMode="External"/><Relationship Id="rId1446" Type="http://schemas.openxmlformats.org/officeDocument/2006/relationships/hyperlink" Target="http://pic.twitter.com/Bn0ywlGSjn" TargetMode="External"/><Relationship Id="rId1653" Type="http://schemas.openxmlformats.org/officeDocument/2006/relationships/hyperlink" Target="http://pic.twitter.com/hZft11ptdu" TargetMode="External"/><Relationship Id="rId1860" Type="http://schemas.openxmlformats.org/officeDocument/2006/relationships/hyperlink" Target="http://pic.twitter.com/9A5CqH9qir" TargetMode="External"/><Relationship Id="rId1306" Type="http://schemas.openxmlformats.org/officeDocument/2006/relationships/hyperlink" Target="http://pic.twitter.com/T8QvkSTKrr" TargetMode="External"/><Relationship Id="rId1513" Type="http://schemas.openxmlformats.org/officeDocument/2006/relationships/hyperlink" Target="http://pic.twitter.com/EGkK5oZyyj" TargetMode="External"/><Relationship Id="rId1720" Type="http://schemas.openxmlformats.org/officeDocument/2006/relationships/hyperlink" Target="http://pic.twitter.com/nP1iekeUbv" TargetMode="External"/><Relationship Id="rId1958" Type="http://schemas.openxmlformats.org/officeDocument/2006/relationships/hyperlink" Target="http://pic.twitter.com/7Uz3cZuTom" TargetMode="External"/><Relationship Id="rId12" Type="http://schemas.openxmlformats.org/officeDocument/2006/relationships/hyperlink" Target="http://pic.twitter.com/WPqlXuCTpP" TargetMode="External"/><Relationship Id="rId1818" Type="http://schemas.openxmlformats.org/officeDocument/2006/relationships/hyperlink" Target="http://pic.twitter.com/jDoIzOt6f3" TargetMode="External"/><Relationship Id="rId161" Type="http://schemas.openxmlformats.org/officeDocument/2006/relationships/hyperlink" Target="http://pic.twitter.com/cfDsS2al0V" TargetMode="External"/><Relationship Id="rId399" Type="http://schemas.openxmlformats.org/officeDocument/2006/relationships/hyperlink" Target="https://pbs.twimg.com/media/EF-k-QmWkAIXsMv.jpg" TargetMode="External"/><Relationship Id="rId259" Type="http://schemas.openxmlformats.org/officeDocument/2006/relationships/hyperlink" Target="http://pic.twitter.com/6GxbGxNo4C" TargetMode="External"/><Relationship Id="rId466" Type="http://schemas.openxmlformats.org/officeDocument/2006/relationships/hyperlink" Target="http://pic.twitter.com/PliDHa0L02" TargetMode="External"/><Relationship Id="rId673" Type="http://schemas.openxmlformats.org/officeDocument/2006/relationships/hyperlink" Target="http://pic.twitter.com/MPADjqt748" TargetMode="External"/><Relationship Id="rId880" Type="http://schemas.openxmlformats.org/officeDocument/2006/relationships/hyperlink" Target="http://pic.twitter.com/ScmW9gn1cl" TargetMode="External"/><Relationship Id="rId1096" Type="http://schemas.openxmlformats.org/officeDocument/2006/relationships/hyperlink" Target="http://pic.twitter.com/E5wCkppzwC" TargetMode="External"/><Relationship Id="rId119" Type="http://schemas.openxmlformats.org/officeDocument/2006/relationships/hyperlink" Target="http://pic.twitter.com/G72H9K7Huc" TargetMode="External"/><Relationship Id="rId326" Type="http://schemas.openxmlformats.org/officeDocument/2006/relationships/hyperlink" Target="http://pic.twitter.com/9clHsVGkF9" TargetMode="External"/><Relationship Id="rId533" Type="http://schemas.openxmlformats.org/officeDocument/2006/relationships/hyperlink" Target="http://pic.twitter.com/vgCBbWshrW" TargetMode="External"/><Relationship Id="rId978" Type="http://schemas.openxmlformats.org/officeDocument/2006/relationships/hyperlink" Target="http://pic.twitter.com/0lcz39ExUG" TargetMode="External"/><Relationship Id="rId1163" Type="http://schemas.openxmlformats.org/officeDocument/2006/relationships/hyperlink" Target="http://pic.twitter.com/rU7chyURKD" TargetMode="External"/><Relationship Id="rId1370" Type="http://schemas.openxmlformats.org/officeDocument/2006/relationships/hyperlink" Target="http://pic.twitter.com/9zAzQmDNz7" TargetMode="External"/><Relationship Id="rId2007" Type="http://schemas.openxmlformats.org/officeDocument/2006/relationships/hyperlink" Target="http://pic.twitter.com/M8tCqaMrIK" TargetMode="External"/><Relationship Id="rId740" Type="http://schemas.openxmlformats.org/officeDocument/2006/relationships/hyperlink" Target="http://pic.twitter.com/3M1LkWCpZI" TargetMode="External"/><Relationship Id="rId838" Type="http://schemas.openxmlformats.org/officeDocument/2006/relationships/hyperlink" Target="http://pic.twitter.com/4bgUuTWvBG" TargetMode="External"/><Relationship Id="rId1023" Type="http://schemas.openxmlformats.org/officeDocument/2006/relationships/hyperlink" Target="http://pic.twitter.com/mSTpJb3R1d" TargetMode="External"/><Relationship Id="rId1468" Type="http://schemas.openxmlformats.org/officeDocument/2006/relationships/hyperlink" Target="http://pic.twitter.com/iZyM1obk46" TargetMode="External"/><Relationship Id="rId1675" Type="http://schemas.openxmlformats.org/officeDocument/2006/relationships/hyperlink" Target="http://pic.twitter.com/y1Gduz1W7r" TargetMode="External"/><Relationship Id="rId1882" Type="http://schemas.openxmlformats.org/officeDocument/2006/relationships/hyperlink" Target="http://pic.twitter.com/cpkH0OYhyM" TargetMode="External"/><Relationship Id="rId600" Type="http://schemas.openxmlformats.org/officeDocument/2006/relationships/hyperlink" Target="http://pic.twitter.com/eX7ygk2iuU" TargetMode="External"/><Relationship Id="rId1230" Type="http://schemas.openxmlformats.org/officeDocument/2006/relationships/hyperlink" Target="http://pic.twitter.com/ZzlH6EPYTK" TargetMode="External"/><Relationship Id="rId1328" Type="http://schemas.openxmlformats.org/officeDocument/2006/relationships/hyperlink" Target="http://pic.twitter.com/NMhQ60DIMF" TargetMode="External"/><Relationship Id="rId1535" Type="http://schemas.openxmlformats.org/officeDocument/2006/relationships/hyperlink" Target="http://pic.twitter.com/V7tPM50BbS" TargetMode="External"/><Relationship Id="rId905" Type="http://schemas.openxmlformats.org/officeDocument/2006/relationships/hyperlink" Target="https://pbs.twimg.com/media/EF-m1ZpXUAAvExx.jpg" TargetMode="External"/><Relationship Id="rId1742" Type="http://schemas.openxmlformats.org/officeDocument/2006/relationships/hyperlink" Target="http://pic.twitter.com/IbC106dvjW" TargetMode="External"/><Relationship Id="rId34" Type="http://schemas.openxmlformats.org/officeDocument/2006/relationships/hyperlink" Target="http://pic.twitter.com/COz4y7pFDg" TargetMode="External"/><Relationship Id="rId1602" Type="http://schemas.openxmlformats.org/officeDocument/2006/relationships/hyperlink" Target="http://pic.twitter.com/LXcpq62AVA" TargetMode="External"/><Relationship Id="rId183" Type="http://schemas.openxmlformats.org/officeDocument/2006/relationships/hyperlink" Target="http://pic.twitter.com/ZfAJ8VPJ4Y" TargetMode="External"/><Relationship Id="rId390" Type="http://schemas.openxmlformats.org/officeDocument/2006/relationships/hyperlink" Target="http://pic.twitter.com/IGDZzQrKtk" TargetMode="External"/><Relationship Id="rId1907" Type="http://schemas.openxmlformats.org/officeDocument/2006/relationships/hyperlink" Target="http://pic.twitter.com/XDTOYNuHKE" TargetMode="External"/><Relationship Id="rId2071" Type="http://schemas.openxmlformats.org/officeDocument/2006/relationships/hyperlink" Target="http://pic.twitter.com/Gl4ty6N5Yv" TargetMode="External"/><Relationship Id="rId250" Type="http://schemas.openxmlformats.org/officeDocument/2006/relationships/hyperlink" Target="https://pbs.twimg.com/media/EF-kwdrWwA0yvZy.jpg" TargetMode="External"/><Relationship Id="rId488" Type="http://schemas.openxmlformats.org/officeDocument/2006/relationships/hyperlink" Target="https://pbs.twimg.com/media/EF-m1ZpXUAAvExx.jpg" TargetMode="External"/><Relationship Id="rId695" Type="http://schemas.openxmlformats.org/officeDocument/2006/relationships/hyperlink" Target="http://pic.twitter.com/1Y6q5L7apI" TargetMode="External"/><Relationship Id="rId110" Type="http://schemas.openxmlformats.org/officeDocument/2006/relationships/hyperlink" Target="http://pic.twitter.com/IF8mVj8dDY" TargetMode="External"/><Relationship Id="rId348" Type="http://schemas.openxmlformats.org/officeDocument/2006/relationships/hyperlink" Target="http://pic.twitter.com/Yxa4ElbgRt" TargetMode="External"/><Relationship Id="rId555" Type="http://schemas.openxmlformats.org/officeDocument/2006/relationships/hyperlink" Target="http://pic.twitter.com/D2xUy8EYnm" TargetMode="External"/><Relationship Id="rId762" Type="http://schemas.openxmlformats.org/officeDocument/2006/relationships/hyperlink" Target="http://pic.twitter.com/GfpL2JV9xj" TargetMode="External"/><Relationship Id="rId1185" Type="http://schemas.openxmlformats.org/officeDocument/2006/relationships/hyperlink" Target="https://pbs.twimg.com/media/EGYIWlmWsAMYH2k.jpg" TargetMode="External"/><Relationship Id="rId1392" Type="http://schemas.openxmlformats.org/officeDocument/2006/relationships/hyperlink" Target="http://pic.twitter.com/FAlMG5F2wg" TargetMode="External"/><Relationship Id="rId2029" Type="http://schemas.openxmlformats.org/officeDocument/2006/relationships/hyperlink" Target="http://pic.twitter.com/dCUlbCKbvP" TargetMode="External"/><Relationship Id="rId208" Type="http://schemas.openxmlformats.org/officeDocument/2006/relationships/hyperlink" Target="http://pic.twitter.com/n0FIPaNOgO" TargetMode="External"/><Relationship Id="rId415" Type="http://schemas.openxmlformats.org/officeDocument/2006/relationships/hyperlink" Target="http://pic.twitter.com/kPssIVyduo" TargetMode="External"/><Relationship Id="rId622" Type="http://schemas.openxmlformats.org/officeDocument/2006/relationships/hyperlink" Target="http://pic.twitter.com/T0xqe3Nxwf" TargetMode="External"/><Relationship Id="rId1045" Type="http://schemas.openxmlformats.org/officeDocument/2006/relationships/hyperlink" Target="http://pic.twitter.com/JEzNKaJaos" TargetMode="External"/><Relationship Id="rId1252" Type="http://schemas.openxmlformats.org/officeDocument/2006/relationships/hyperlink" Target="http://pic.twitter.com/1URRLagvM1" TargetMode="External"/><Relationship Id="rId1697" Type="http://schemas.openxmlformats.org/officeDocument/2006/relationships/hyperlink" Target="http://pic.twitter.com/uj4zw4XhYC" TargetMode="External"/><Relationship Id="rId927" Type="http://schemas.openxmlformats.org/officeDocument/2006/relationships/hyperlink" Target="http://pic.twitter.com/dBfe3BJe06" TargetMode="External"/><Relationship Id="rId1112" Type="http://schemas.openxmlformats.org/officeDocument/2006/relationships/hyperlink" Target="http://pic.twitter.com/kCosgHV6l0" TargetMode="External"/><Relationship Id="rId1557" Type="http://schemas.openxmlformats.org/officeDocument/2006/relationships/hyperlink" Target="http://pic.twitter.com/5JWRBM3bcF" TargetMode="External"/><Relationship Id="rId1764" Type="http://schemas.openxmlformats.org/officeDocument/2006/relationships/hyperlink" Target="http://pic.twitter.com/QPwCgzPYnd" TargetMode="External"/><Relationship Id="rId1971" Type="http://schemas.openxmlformats.org/officeDocument/2006/relationships/hyperlink" Target="http://pic.twitter.com/O8ShwObkmi" TargetMode="External"/><Relationship Id="rId56" Type="http://schemas.openxmlformats.org/officeDocument/2006/relationships/hyperlink" Target="https://www.huffpost.com/entry/saudi-seven-khashoggi_n_5d975e49e4b02911e11a38b1" TargetMode="External"/><Relationship Id="rId1417" Type="http://schemas.openxmlformats.org/officeDocument/2006/relationships/hyperlink" Target="http://pic.twitter.com/PHRftdWJRz" TargetMode="External"/><Relationship Id="rId1624" Type="http://schemas.openxmlformats.org/officeDocument/2006/relationships/hyperlink" Target="http://pic.twitter.com/zRu9cRUvLM" TargetMode="External"/><Relationship Id="rId1831" Type="http://schemas.openxmlformats.org/officeDocument/2006/relationships/hyperlink" Target="http://pic.twitter.com/VEE4WK5SOQ" TargetMode="External"/><Relationship Id="rId1929" Type="http://schemas.openxmlformats.org/officeDocument/2006/relationships/hyperlink" Target="http://pic.twitter.com/WgngKqXQLO" TargetMode="External"/><Relationship Id="rId2093" Type="http://schemas.openxmlformats.org/officeDocument/2006/relationships/hyperlink" Target="http://pic.twitter.com/whv5fSW1oI" TargetMode="External"/><Relationship Id="rId272" Type="http://schemas.openxmlformats.org/officeDocument/2006/relationships/hyperlink" Target="http://pic.twitter.com/adbV6BuFJw" TargetMode="External"/><Relationship Id="rId577" Type="http://schemas.openxmlformats.org/officeDocument/2006/relationships/hyperlink" Target="http://pic.twitter.com/RvOgf8kX9e" TargetMode="External"/><Relationship Id="rId132" Type="http://schemas.openxmlformats.org/officeDocument/2006/relationships/hyperlink" Target="http://pic.twitter.com/GyyVoqmbvs" TargetMode="External"/><Relationship Id="rId784" Type="http://schemas.openxmlformats.org/officeDocument/2006/relationships/hyperlink" Target="http://pic.twitter.com/9aWpm2PzAd" TargetMode="External"/><Relationship Id="rId991" Type="http://schemas.openxmlformats.org/officeDocument/2006/relationships/hyperlink" Target="http://pic.twitter.com/2H2IzEJ8Hb" TargetMode="External"/><Relationship Id="rId1067" Type="http://schemas.openxmlformats.org/officeDocument/2006/relationships/hyperlink" Target="http://thenewkhalij.news/" TargetMode="External"/><Relationship Id="rId2020" Type="http://schemas.openxmlformats.org/officeDocument/2006/relationships/hyperlink" Target="http://pic.twitter.com/2jxUCdk5zx" TargetMode="External"/><Relationship Id="rId437" Type="http://schemas.openxmlformats.org/officeDocument/2006/relationships/hyperlink" Target="http://pic.twitter.com/8dXgLaDv8q" TargetMode="External"/><Relationship Id="rId644" Type="http://schemas.openxmlformats.org/officeDocument/2006/relationships/hyperlink" Target="http://pic.twitter.com/0FOOqFtg9C" TargetMode="External"/><Relationship Id="rId851" Type="http://schemas.openxmlformats.org/officeDocument/2006/relationships/hyperlink" Target="http://pic.twitter.com/5V39m8P6CJ" TargetMode="External"/><Relationship Id="rId1274" Type="http://schemas.openxmlformats.org/officeDocument/2006/relationships/hyperlink" Target="http://pic.twitter.com/nIW3yD1kU5" TargetMode="External"/><Relationship Id="rId1481" Type="http://schemas.openxmlformats.org/officeDocument/2006/relationships/hyperlink" Target="http://pic.twitter.com/Uq09JjgKxd" TargetMode="External"/><Relationship Id="rId1579" Type="http://schemas.openxmlformats.org/officeDocument/2006/relationships/hyperlink" Target="http://pic.twitter.com/55dyzORfnR" TargetMode="External"/><Relationship Id="rId504" Type="http://schemas.openxmlformats.org/officeDocument/2006/relationships/hyperlink" Target="http://pic.twitter.com/4G7DHGptXI" TargetMode="External"/><Relationship Id="rId711" Type="http://schemas.openxmlformats.org/officeDocument/2006/relationships/hyperlink" Target="http://pic.twitter.com/7UM5DuE2Th" TargetMode="External"/><Relationship Id="rId949" Type="http://schemas.openxmlformats.org/officeDocument/2006/relationships/hyperlink" Target="http://pic.twitter.com/mLGg4YzPkw" TargetMode="External"/><Relationship Id="rId1134" Type="http://schemas.openxmlformats.org/officeDocument/2006/relationships/hyperlink" Target="https://pbs.twimg.com/media/EF-kwdrWwA0yvZy.jpg" TargetMode="External"/><Relationship Id="rId1341" Type="http://schemas.openxmlformats.org/officeDocument/2006/relationships/hyperlink" Target="http://pic.twitter.com/v7diBXVYhS" TargetMode="External"/><Relationship Id="rId1786" Type="http://schemas.openxmlformats.org/officeDocument/2006/relationships/hyperlink" Target="http://pic.twitter.com/BV2x1WrtgM" TargetMode="External"/><Relationship Id="rId1993" Type="http://schemas.openxmlformats.org/officeDocument/2006/relationships/hyperlink" Target="http://pic.twitter.com/YjzNBxCfjT" TargetMode="External"/><Relationship Id="rId78" Type="http://schemas.openxmlformats.org/officeDocument/2006/relationships/hyperlink" Target="http://pic.twitter.com/i9proKINJp" TargetMode="External"/><Relationship Id="rId809" Type="http://schemas.openxmlformats.org/officeDocument/2006/relationships/hyperlink" Target="http://pic.twitter.com/A1QUeVt4Kx" TargetMode="External"/><Relationship Id="rId1201" Type="http://schemas.openxmlformats.org/officeDocument/2006/relationships/hyperlink" Target="https://pbs.twimg.com/media/EF-k-QmWkAIXsMv.jpg" TargetMode="External"/><Relationship Id="rId1439" Type="http://schemas.openxmlformats.org/officeDocument/2006/relationships/hyperlink" Target="http://pic.twitter.com/IEvecfrArA" TargetMode="External"/><Relationship Id="rId1646" Type="http://schemas.openxmlformats.org/officeDocument/2006/relationships/hyperlink" Target="http://pic.twitter.com/ewrj7TTRq5" TargetMode="External"/><Relationship Id="rId1853" Type="http://schemas.openxmlformats.org/officeDocument/2006/relationships/hyperlink" Target="http://pic.twitter.com/9z7NsgQqw7" TargetMode="External"/><Relationship Id="rId1506" Type="http://schemas.openxmlformats.org/officeDocument/2006/relationships/hyperlink" Target="https://twitter.com/Turki_alalshikh/status/1181357999371235328" TargetMode="External"/><Relationship Id="rId1713" Type="http://schemas.openxmlformats.org/officeDocument/2006/relationships/hyperlink" Target="http://pic.twitter.com/9L5R9Phhqz" TargetMode="External"/><Relationship Id="rId1920" Type="http://schemas.openxmlformats.org/officeDocument/2006/relationships/hyperlink" Target="http://pic.twitter.com/K3g4WoiSTp" TargetMode="External"/><Relationship Id="rId294" Type="http://schemas.openxmlformats.org/officeDocument/2006/relationships/hyperlink" Target="http://pic.twitter.com/2jWrxdLD0A" TargetMode="External"/><Relationship Id="rId154" Type="http://schemas.openxmlformats.org/officeDocument/2006/relationships/hyperlink" Target="https://twitter.com/Saudi_24" TargetMode="External"/><Relationship Id="rId361" Type="http://schemas.openxmlformats.org/officeDocument/2006/relationships/hyperlink" Target="http://pic.twitter.com/XViuhEmzP7" TargetMode="External"/><Relationship Id="rId599" Type="http://schemas.openxmlformats.org/officeDocument/2006/relationships/hyperlink" Target="http://pic.twitter.com/M1HN8p3MLB" TargetMode="External"/><Relationship Id="rId2042" Type="http://schemas.openxmlformats.org/officeDocument/2006/relationships/hyperlink" Target="http://pic.twitter.com/xBKNNSmSrU" TargetMode="External"/><Relationship Id="rId459" Type="http://schemas.openxmlformats.org/officeDocument/2006/relationships/hyperlink" Target="http://pic.twitter.com/qzEXHtjrV7" TargetMode="External"/><Relationship Id="rId666" Type="http://schemas.openxmlformats.org/officeDocument/2006/relationships/hyperlink" Target="http://pic.twitter.com/xGcLx6orNv" TargetMode="External"/><Relationship Id="rId873" Type="http://schemas.openxmlformats.org/officeDocument/2006/relationships/hyperlink" Target="http://pic.twitter.com/VHoD9MAG6v" TargetMode="External"/><Relationship Id="rId1089" Type="http://schemas.openxmlformats.org/officeDocument/2006/relationships/hyperlink" Target="http://pic.twitter.com/x1Yo4ZGZQA" TargetMode="External"/><Relationship Id="rId1296" Type="http://schemas.openxmlformats.org/officeDocument/2006/relationships/hyperlink" Target="http://pic.twitter.com/WpKnIS9Uwc" TargetMode="External"/><Relationship Id="rId221" Type="http://schemas.openxmlformats.org/officeDocument/2006/relationships/hyperlink" Target="http://pic.twitter.com/GvHQqFyuzV" TargetMode="External"/><Relationship Id="rId319" Type="http://schemas.openxmlformats.org/officeDocument/2006/relationships/hyperlink" Target="http://pic.twitter.com/E1RelDzCb8" TargetMode="External"/><Relationship Id="rId526" Type="http://schemas.openxmlformats.org/officeDocument/2006/relationships/hyperlink" Target="http://pic.twitter.com/hQy2uPijfk" TargetMode="External"/><Relationship Id="rId1156" Type="http://schemas.openxmlformats.org/officeDocument/2006/relationships/hyperlink" Target="http://pic.twitter.com/mdIIHCiUMh" TargetMode="External"/><Relationship Id="rId1363" Type="http://schemas.openxmlformats.org/officeDocument/2006/relationships/hyperlink" Target="http://pic.twitter.com/Bi7xfcStIJ" TargetMode="External"/><Relationship Id="rId733" Type="http://schemas.openxmlformats.org/officeDocument/2006/relationships/hyperlink" Target="http://workingclasswhistles.webs.com/" TargetMode="External"/><Relationship Id="rId940" Type="http://schemas.openxmlformats.org/officeDocument/2006/relationships/hyperlink" Target="http://pic.twitter.com/1W8bszPLQx" TargetMode="External"/><Relationship Id="rId1016" Type="http://schemas.openxmlformats.org/officeDocument/2006/relationships/hyperlink" Target="http://pic.twitter.com/cMWBf5rdQR" TargetMode="External"/><Relationship Id="rId1570" Type="http://schemas.openxmlformats.org/officeDocument/2006/relationships/hyperlink" Target="http://pic.twitter.com/BPcs4lONQE" TargetMode="External"/><Relationship Id="rId1668" Type="http://schemas.openxmlformats.org/officeDocument/2006/relationships/hyperlink" Target="http://pic.twitter.com/V80E4GUBNy" TargetMode="External"/><Relationship Id="rId1875" Type="http://schemas.openxmlformats.org/officeDocument/2006/relationships/hyperlink" Target="http://pic.twitter.com/vniWIPaaSd" TargetMode="External"/><Relationship Id="rId800" Type="http://schemas.openxmlformats.org/officeDocument/2006/relationships/hyperlink" Target="http://pic.twitter.com/JG9QbbqbDg" TargetMode="External"/><Relationship Id="rId1223" Type="http://schemas.openxmlformats.org/officeDocument/2006/relationships/hyperlink" Target="http://pic.twitter.com/JhR2Z0JHr8" TargetMode="External"/><Relationship Id="rId1430" Type="http://schemas.openxmlformats.org/officeDocument/2006/relationships/hyperlink" Target="http://pic.twitter.com/TsJngFcvGG" TargetMode="External"/><Relationship Id="rId1528" Type="http://schemas.openxmlformats.org/officeDocument/2006/relationships/hyperlink" Target="http://pic.twitter.com/h7XCvFHSsJ" TargetMode="External"/><Relationship Id="rId1735" Type="http://schemas.openxmlformats.org/officeDocument/2006/relationships/hyperlink" Target="http://pic.twitter.com/c8AaFj0VOM" TargetMode="External"/><Relationship Id="rId1942" Type="http://schemas.openxmlformats.org/officeDocument/2006/relationships/hyperlink" Target="http://pic.twitter.com/hDF40SEn6i" TargetMode="External"/><Relationship Id="rId27" Type="http://schemas.openxmlformats.org/officeDocument/2006/relationships/hyperlink" Target="http://pic.twitter.com/uQRuCLXWc3" TargetMode="External"/><Relationship Id="rId1802" Type="http://schemas.openxmlformats.org/officeDocument/2006/relationships/hyperlink" Target="http://pic.twitter.com/EZBeeL74pD" TargetMode="External"/><Relationship Id="rId176" Type="http://schemas.openxmlformats.org/officeDocument/2006/relationships/hyperlink" Target="http://pic.twitter.com/Ql4zCPnbwW" TargetMode="External"/><Relationship Id="rId383" Type="http://schemas.openxmlformats.org/officeDocument/2006/relationships/hyperlink" Target="http://pic.twitter.com/0Yvyq4SL2B" TargetMode="External"/><Relationship Id="rId590" Type="http://schemas.openxmlformats.org/officeDocument/2006/relationships/hyperlink" Target="http://pic.twitter.com/TmEjpUCKQI" TargetMode="External"/><Relationship Id="rId2064" Type="http://schemas.openxmlformats.org/officeDocument/2006/relationships/hyperlink" Target="http://pic.twitter.com/f77Rukllfo" TargetMode="External"/><Relationship Id="rId243" Type="http://schemas.openxmlformats.org/officeDocument/2006/relationships/hyperlink" Target="https://pbs.twimg.com/media/EF-kwdrWwA0yvZy.jpg" TargetMode="External"/><Relationship Id="rId450" Type="http://schemas.openxmlformats.org/officeDocument/2006/relationships/hyperlink" Target="http://pic.twitter.com/ajuN18ErBH" TargetMode="External"/><Relationship Id="rId688" Type="http://schemas.openxmlformats.org/officeDocument/2006/relationships/hyperlink" Target="http://pic.twitter.com/LuuPrRCqJU" TargetMode="External"/><Relationship Id="rId895" Type="http://schemas.openxmlformats.org/officeDocument/2006/relationships/hyperlink" Target="http://pic.twitter.com/Yg1O19oRgY" TargetMode="External"/><Relationship Id="rId1080" Type="http://schemas.openxmlformats.org/officeDocument/2006/relationships/hyperlink" Target="http://pic.twitter.com/izM0hDAyMS" TargetMode="External"/><Relationship Id="rId103" Type="http://schemas.openxmlformats.org/officeDocument/2006/relationships/hyperlink" Target="http://pic.twitter.com/4Q3pji3vEN" TargetMode="External"/><Relationship Id="rId310" Type="http://schemas.openxmlformats.org/officeDocument/2006/relationships/hyperlink" Target="http://pic.twitter.com/gP5xiRiYgy" TargetMode="External"/><Relationship Id="rId548" Type="http://schemas.openxmlformats.org/officeDocument/2006/relationships/hyperlink" Target="http://pic.twitter.com/aiKq0MZB6A" TargetMode="External"/><Relationship Id="rId755" Type="http://schemas.openxmlformats.org/officeDocument/2006/relationships/hyperlink" Target="http://pic.twitter.com/RX5qmoUcWv" TargetMode="External"/><Relationship Id="rId962" Type="http://schemas.openxmlformats.org/officeDocument/2006/relationships/hyperlink" Target="http://pic.twitter.com/Atb7KoLMd0" TargetMode="External"/><Relationship Id="rId1178" Type="http://schemas.openxmlformats.org/officeDocument/2006/relationships/hyperlink" Target="http://pic.twitter.com/7lLMNrbuxu" TargetMode="External"/><Relationship Id="rId1385" Type="http://schemas.openxmlformats.org/officeDocument/2006/relationships/hyperlink" Target="http://pic.twitter.com/sgY2RdvKjs" TargetMode="External"/><Relationship Id="rId1592" Type="http://schemas.openxmlformats.org/officeDocument/2006/relationships/hyperlink" Target="https://pbs.twimg.com/media/EF-m1ZpXUAAvExx.jpg" TargetMode="External"/><Relationship Id="rId91" Type="http://schemas.openxmlformats.org/officeDocument/2006/relationships/hyperlink" Target="http://pic.twitter.com/otKQwjut1W" TargetMode="External"/><Relationship Id="rId408" Type="http://schemas.openxmlformats.org/officeDocument/2006/relationships/hyperlink" Target="http://pic.twitter.com/seEh6NODjT" TargetMode="External"/><Relationship Id="rId615" Type="http://schemas.openxmlformats.org/officeDocument/2006/relationships/hyperlink" Target="http://pic.twitter.com/L7MNqjFHH4" TargetMode="External"/><Relationship Id="rId822" Type="http://schemas.openxmlformats.org/officeDocument/2006/relationships/hyperlink" Target="http://pic.twitter.com/ZkoDR10ME8" TargetMode="External"/><Relationship Id="rId1038" Type="http://schemas.openxmlformats.org/officeDocument/2006/relationships/hyperlink" Target="http://pic.twitter.com/ooc1VcLCxk" TargetMode="External"/><Relationship Id="rId1245" Type="http://schemas.openxmlformats.org/officeDocument/2006/relationships/hyperlink" Target="http://pic.twitter.com/CH8cggU2k1" TargetMode="External"/><Relationship Id="rId1452" Type="http://schemas.openxmlformats.org/officeDocument/2006/relationships/hyperlink" Target="http://pic.twitter.com/eW5GTlI6c1" TargetMode="External"/><Relationship Id="rId1897" Type="http://schemas.openxmlformats.org/officeDocument/2006/relationships/hyperlink" Target="http://pic.twitter.com/u44CfOk8nZ" TargetMode="External"/><Relationship Id="rId1105" Type="http://schemas.openxmlformats.org/officeDocument/2006/relationships/hyperlink" Target="http://pic.twitter.com/FwHYroYFUh" TargetMode="External"/><Relationship Id="rId1312" Type="http://schemas.openxmlformats.org/officeDocument/2006/relationships/hyperlink" Target="http://pic.twitter.com/FDVmNderAF" TargetMode="External"/><Relationship Id="rId1757" Type="http://schemas.openxmlformats.org/officeDocument/2006/relationships/hyperlink" Target="http://pic.twitter.com/5V1EUhAGD6" TargetMode="External"/><Relationship Id="rId1964" Type="http://schemas.openxmlformats.org/officeDocument/2006/relationships/hyperlink" Target="http://pic.twitter.com/UYA20deT0Y" TargetMode="External"/><Relationship Id="rId49" Type="http://schemas.openxmlformats.org/officeDocument/2006/relationships/hyperlink" Target="http://pic.twitter.com/vT18WYbDOz" TargetMode="External"/><Relationship Id="rId1617" Type="http://schemas.openxmlformats.org/officeDocument/2006/relationships/hyperlink" Target="http://pic.twitter.com/IXcRqJK9dT" TargetMode="External"/><Relationship Id="rId1824" Type="http://schemas.openxmlformats.org/officeDocument/2006/relationships/hyperlink" Target="https://twitter.com/SenatorRomney/status/1181261385411497985" TargetMode="External"/><Relationship Id="rId198" Type="http://schemas.openxmlformats.org/officeDocument/2006/relationships/hyperlink" Target="http://pic.twitter.com/iFvH6mtcAl" TargetMode="External"/><Relationship Id="rId2086" Type="http://schemas.openxmlformats.org/officeDocument/2006/relationships/hyperlink" Target="http://pic.twitter.com/37YGpxHL9Q" TargetMode="External"/><Relationship Id="rId265" Type="http://schemas.openxmlformats.org/officeDocument/2006/relationships/hyperlink" Target="http://pic.twitter.com/RJhUpSTZsC" TargetMode="External"/><Relationship Id="rId472" Type="http://schemas.openxmlformats.org/officeDocument/2006/relationships/hyperlink" Target="http://pic.twitter.com/eNT3m9jnRS" TargetMode="External"/><Relationship Id="rId125" Type="http://schemas.openxmlformats.org/officeDocument/2006/relationships/hyperlink" Target="http://pic.twitter.com/7YRgSSET7D" TargetMode="External"/><Relationship Id="rId332" Type="http://schemas.openxmlformats.org/officeDocument/2006/relationships/hyperlink" Target="http://pic.twitter.com/TDOQXVtslv" TargetMode="External"/><Relationship Id="rId777" Type="http://schemas.openxmlformats.org/officeDocument/2006/relationships/hyperlink" Target="https://pbs.twimg.com/media/EGZWbEjXkAYehHM.jpg" TargetMode="External"/><Relationship Id="rId984" Type="http://schemas.openxmlformats.org/officeDocument/2006/relationships/hyperlink" Target="http://pic.twitter.com/gJlX8TZmSk" TargetMode="External"/><Relationship Id="rId2013" Type="http://schemas.openxmlformats.org/officeDocument/2006/relationships/hyperlink" Target="http://pic.twitter.com/QKuRlxdN1u" TargetMode="External"/><Relationship Id="rId637" Type="http://schemas.openxmlformats.org/officeDocument/2006/relationships/hyperlink" Target="http://pic.twitter.com/h6nQ703oki" TargetMode="External"/><Relationship Id="rId844" Type="http://schemas.openxmlformats.org/officeDocument/2006/relationships/hyperlink" Target="http://pic.twitter.com/f5nxmZYTye" TargetMode="External"/><Relationship Id="rId1267" Type="http://schemas.openxmlformats.org/officeDocument/2006/relationships/hyperlink" Target="http://pic.twitter.com/ONvh6APc1C" TargetMode="External"/><Relationship Id="rId1474" Type="http://schemas.openxmlformats.org/officeDocument/2006/relationships/hyperlink" Target="http://pic.twitter.com/9Dretp1fgB" TargetMode="External"/><Relationship Id="rId1681" Type="http://schemas.openxmlformats.org/officeDocument/2006/relationships/hyperlink" Target="http://pic.twitter.com/VIGYBMb9pg" TargetMode="External"/><Relationship Id="rId704" Type="http://schemas.openxmlformats.org/officeDocument/2006/relationships/hyperlink" Target="http://pic.twitter.com/mLibR3c8Bm" TargetMode="External"/><Relationship Id="rId911" Type="http://schemas.openxmlformats.org/officeDocument/2006/relationships/hyperlink" Target="http://pic.twitter.com/PswIvjprem" TargetMode="External"/><Relationship Id="rId1127" Type="http://schemas.openxmlformats.org/officeDocument/2006/relationships/hyperlink" Target="http://pic.twitter.com/RWd0yj4jVl" TargetMode="External"/><Relationship Id="rId1334" Type="http://schemas.openxmlformats.org/officeDocument/2006/relationships/hyperlink" Target="http://pic.twitter.com/4zArko6a1g" TargetMode="External"/><Relationship Id="rId1541" Type="http://schemas.openxmlformats.org/officeDocument/2006/relationships/hyperlink" Target="http://pic.twitter.com/NjTy2q4qde" TargetMode="External"/><Relationship Id="rId1779" Type="http://schemas.openxmlformats.org/officeDocument/2006/relationships/hyperlink" Target="http://pic.twitter.com/PlUjWHQDZS" TargetMode="External"/><Relationship Id="rId1986" Type="http://schemas.openxmlformats.org/officeDocument/2006/relationships/hyperlink" Target="http://pic.twitter.com/7ijq8b8kBA" TargetMode="External"/><Relationship Id="rId40" Type="http://schemas.openxmlformats.org/officeDocument/2006/relationships/hyperlink" Target="http://pic.twitter.com/1xa0lTblCv" TargetMode="External"/><Relationship Id="rId1401" Type="http://schemas.openxmlformats.org/officeDocument/2006/relationships/hyperlink" Target="http://pic.twitter.com/tQ2OK9kyaA" TargetMode="External"/><Relationship Id="rId1639" Type="http://schemas.openxmlformats.org/officeDocument/2006/relationships/hyperlink" Target="http://pic.twitter.com/mDp6AfFwBu" TargetMode="External"/><Relationship Id="rId1846" Type="http://schemas.openxmlformats.org/officeDocument/2006/relationships/hyperlink" Target="http://pic.twitter.com/8gMOAVaEN4" TargetMode="External"/><Relationship Id="rId1706" Type="http://schemas.openxmlformats.org/officeDocument/2006/relationships/hyperlink" Target="http://pic.twitter.com/F3twpvhLOz" TargetMode="External"/><Relationship Id="rId1913" Type="http://schemas.openxmlformats.org/officeDocument/2006/relationships/hyperlink" Target="http://pic.twitter.com/nE8mdxTKY1" TargetMode="External"/><Relationship Id="rId287" Type="http://schemas.openxmlformats.org/officeDocument/2006/relationships/hyperlink" Target="https://pbs.twimg.com/media/EGbdFH4W4AAp0rU.png" TargetMode="External"/><Relationship Id="rId494" Type="http://schemas.openxmlformats.org/officeDocument/2006/relationships/hyperlink" Target="http://pic.twitter.com/HhyolfSYvM" TargetMode="External"/><Relationship Id="rId147" Type="http://schemas.openxmlformats.org/officeDocument/2006/relationships/hyperlink" Target="https://pbs.twimg.com/media/EF-kwdrWwA0yvZy.jpg" TargetMode="External"/><Relationship Id="rId354" Type="http://schemas.openxmlformats.org/officeDocument/2006/relationships/hyperlink" Target="http://pic.twitter.com/TCJAJWm8zU" TargetMode="External"/><Relationship Id="rId799" Type="http://schemas.openxmlformats.org/officeDocument/2006/relationships/hyperlink" Target="http://pic.twitter.com/YOBDKXtuSL" TargetMode="External"/><Relationship Id="rId1191" Type="http://schemas.openxmlformats.org/officeDocument/2006/relationships/hyperlink" Target="http://pic.twitter.com/WwxknlohQV" TargetMode="External"/><Relationship Id="rId2035" Type="http://schemas.openxmlformats.org/officeDocument/2006/relationships/hyperlink" Target="http://pic.twitter.com/mhYfFjgXXt" TargetMode="External"/><Relationship Id="rId561" Type="http://schemas.openxmlformats.org/officeDocument/2006/relationships/hyperlink" Target="http://pic.twitter.com/d080mOElG0" TargetMode="External"/><Relationship Id="rId659" Type="http://schemas.openxmlformats.org/officeDocument/2006/relationships/hyperlink" Target="http://pic.twitter.com/mo1wi3ggcC" TargetMode="External"/><Relationship Id="rId866" Type="http://schemas.openxmlformats.org/officeDocument/2006/relationships/hyperlink" Target="http://pic.twitter.com/BmEPJ8ERtg" TargetMode="External"/><Relationship Id="rId1289" Type="http://schemas.openxmlformats.org/officeDocument/2006/relationships/hyperlink" Target="http://pic.twitter.com/wUPDg7lCL7" TargetMode="External"/><Relationship Id="rId1496" Type="http://schemas.openxmlformats.org/officeDocument/2006/relationships/hyperlink" Target="http://pic.twitter.com/dMux5k5Haz" TargetMode="External"/><Relationship Id="rId214" Type="http://schemas.openxmlformats.org/officeDocument/2006/relationships/hyperlink" Target="http://pic.twitter.com/1qMME05IGC" TargetMode="External"/><Relationship Id="rId421" Type="http://schemas.openxmlformats.org/officeDocument/2006/relationships/hyperlink" Target="http://pic.twitter.com/QdqRlq1qsA" TargetMode="External"/><Relationship Id="rId519" Type="http://schemas.openxmlformats.org/officeDocument/2006/relationships/hyperlink" Target="http://pic.twitter.com/OB6oxsemyD" TargetMode="External"/><Relationship Id="rId1051" Type="http://schemas.openxmlformats.org/officeDocument/2006/relationships/hyperlink" Target="https://pbs.twimg.com/media/EF-k-QmWkAIXsMv.jpg" TargetMode="External"/><Relationship Id="rId1149" Type="http://schemas.openxmlformats.org/officeDocument/2006/relationships/hyperlink" Target="http://pic.twitter.com/yjLADPGUDR" TargetMode="External"/><Relationship Id="rId1356" Type="http://schemas.openxmlformats.org/officeDocument/2006/relationships/hyperlink" Target="http://pic.twitter.com/lKiToJiVY8" TargetMode="External"/><Relationship Id="rId2102" Type="http://schemas.openxmlformats.org/officeDocument/2006/relationships/hyperlink" Target="http://pic.twitter.com/ryGfYiGngA" TargetMode="External"/><Relationship Id="rId726" Type="http://schemas.openxmlformats.org/officeDocument/2006/relationships/hyperlink" Target="http://pic.twitter.com/ycbeQieauy" TargetMode="External"/><Relationship Id="rId933" Type="http://schemas.openxmlformats.org/officeDocument/2006/relationships/hyperlink" Target="https://pbs.twimg.com/media/EF-kwdrWwA0yvZy.jpg" TargetMode="External"/><Relationship Id="rId1009" Type="http://schemas.openxmlformats.org/officeDocument/2006/relationships/hyperlink" Target="https://pbs.twimg.com/media/EF-kwdrWwA0yvZy.jpg" TargetMode="External"/><Relationship Id="rId1563" Type="http://schemas.openxmlformats.org/officeDocument/2006/relationships/hyperlink" Target="http://pic.twitter.com/kBFr6ShgvB" TargetMode="External"/><Relationship Id="rId1770" Type="http://schemas.openxmlformats.org/officeDocument/2006/relationships/hyperlink" Target="http://pic.twitter.com/7EH2EOeLxL" TargetMode="External"/><Relationship Id="rId1868" Type="http://schemas.openxmlformats.org/officeDocument/2006/relationships/hyperlink" Target="http://www.bodylanguagesuccess.com/" TargetMode="External"/><Relationship Id="rId62" Type="http://schemas.openxmlformats.org/officeDocument/2006/relationships/hyperlink" Target="http://pic.twitter.com/P0W3JqwPdV" TargetMode="External"/><Relationship Id="rId1216" Type="http://schemas.openxmlformats.org/officeDocument/2006/relationships/hyperlink" Target="http://pic.twitter.com/t3TYxIG7u0" TargetMode="External"/><Relationship Id="rId1423" Type="http://schemas.openxmlformats.org/officeDocument/2006/relationships/hyperlink" Target="http://pic.twitter.com/YpmcYbLZc5" TargetMode="External"/><Relationship Id="rId1630" Type="http://schemas.openxmlformats.org/officeDocument/2006/relationships/hyperlink" Target="http://pic.twitter.com/bAnw7jJ4ux" TargetMode="External"/><Relationship Id="rId1728" Type="http://schemas.openxmlformats.org/officeDocument/2006/relationships/hyperlink" Target="http://pic.twitter.com/rb6nQR5TH8" TargetMode="External"/><Relationship Id="rId1935" Type="http://schemas.openxmlformats.org/officeDocument/2006/relationships/hyperlink" Target="http://pic.twitter.com/MMFqKmpGCR" TargetMode="External"/><Relationship Id="rId169" Type="http://schemas.openxmlformats.org/officeDocument/2006/relationships/hyperlink" Target="http://pic.twitter.com/uM6MiXF0BG" TargetMode="External"/><Relationship Id="rId376" Type="http://schemas.openxmlformats.org/officeDocument/2006/relationships/hyperlink" Target="http://pic.twitter.com/zoKWQKsgtn" TargetMode="External"/><Relationship Id="rId583" Type="http://schemas.openxmlformats.org/officeDocument/2006/relationships/hyperlink" Target="http://pic.twitter.com/Tb3w2fFrF0" TargetMode="External"/><Relationship Id="rId790" Type="http://schemas.openxmlformats.org/officeDocument/2006/relationships/hyperlink" Target="http://pic.twitter.com/zcUbrR3PSC" TargetMode="External"/><Relationship Id="rId2057" Type="http://schemas.openxmlformats.org/officeDocument/2006/relationships/hyperlink" Target="http://pic.twitter.com/YsQFrV2nSo" TargetMode="External"/><Relationship Id="rId4" Type="http://schemas.openxmlformats.org/officeDocument/2006/relationships/hyperlink" Target="http://pic.twitter.com/lmDgDBYO25" TargetMode="External"/><Relationship Id="rId236" Type="http://schemas.openxmlformats.org/officeDocument/2006/relationships/hyperlink" Target="http://pic.twitter.com/YIGPgiLu0A" TargetMode="External"/><Relationship Id="rId443" Type="http://schemas.openxmlformats.org/officeDocument/2006/relationships/hyperlink" Target="http://pic.twitter.com/OkGQAwXQjt" TargetMode="External"/><Relationship Id="rId650" Type="http://schemas.openxmlformats.org/officeDocument/2006/relationships/hyperlink" Target="http://pic.twitter.com/CPK8N9mVjr" TargetMode="External"/><Relationship Id="rId888" Type="http://schemas.openxmlformats.org/officeDocument/2006/relationships/hyperlink" Target="http://pic.twitter.com/5ijRhBGcYc" TargetMode="External"/><Relationship Id="rId1073" Type="http://schemas.openxmlformats.org/officeDocument/2006/relationships/hyperlink" Target="http://pic.twitter.com/J5EcPArfwk" TargetMode="External"/><Relationship Id="rId1280" Type="http://schemas.openxmlformats.org/officeDocument/2006/relationships/hyperlink" Target="https://pbs.twimg.com/media/EF-k-QmWkAIXsMv.jpg" TargetMode="External"/><Relationship Id="rId303" Type="http://schemas.openxmlformats.org/officeDocument/2006/relationships/hyperlink" Target="http://pic.twitter.com/zK1OnZ3iys" TargetMode="External"/><Relationship Id="rId748" Type="http://schemas.openxmlformats.org/officeDocument/2006/relationships/hyperlink" Target="http://www.straight.com/" TargetMode="External"/><Relationship Id="rId955" Type="http://schemas.openxmlformats.org/officeDocument/2006/relationships/hyperlink" Target="http://pic.twitter.com/foktxiQObK" TargetMode="External"/><Relationship Id="rId1140" Type="http://schemas.openxmlformats.org/officeDocument/2006/relationships/hyperlink" Target="https://pbs.twimg.com/media/EF-kwdrWwA0yvZy.jpg" TargetMode="External"/><Relationship Id="rId1378" Type="http://schemas.openxmlformats.org/officeDocument/2006/relationships/hyperlink" Target="http://pic.twitter.com/rDUfyXJrb3" TargetMode="External"/><Relationship Id="rId1585" Type="http://schemas.openxmlformats.org/officeDocument/2006/relationships/hyperlink" Target="http://pic.twitter.com/znX2uIVRNV" TargetMode="External"/><Relationship Id="rId1792" Type="http://schemas.openxmlformats.org/officeDocument/2006/relationships/hyperlink" Target="http://pic.twitter.com/O6KNPIFrnr" TargetMode="External"/><Relationship Id="rId84" Type="http://schemas.openxmlformats.org/officeDocument/2006/relationships/hyperlink" Target="http://pic.twitter.com/4LKbC1olZS" TargetMode="External"/><Relationship Id="rId510" Type="http://schemas.openxmlformats.org/officeDocument/2006/relationships/hyperlink" Target="http://pic.twitter.com/3td4TSkxMI" TargetMode="External"/><Relationship Id="rId608" Type="http://schemas.openxmlformats.org/officeDocument/2006/relationships/hyperlink" Target="http://pic.twitter.com/Uy6WLhvfo8" TargetMode="External"/><Relationship Id="rId815" Type="http://schemas.openxmlformats.org/officeDocument/2006/relationships/hyperlink" Target="http://pic.twitter.com/D45M7wQ0y9" TargetMode="External"/><Relationship Id="rId1238" Type="http://schemas.openxmlformats.org/officeDocument/2006/relationships/hyperlink" Target="http://pic.twitter.com/B9PbHnpDfI" TargetMode="External"/><Relationship Id="rId1445" Type="http://schemas.openxmlformats.org/officeDocument/2006/relationships/hyperlink" Target="https://www.google.com/amp/s/www.chicagotribune.com/nation-world/ct-turkey-erdogan-indictments-20170829-story.html%3foutputType=amp" TargetMode="External"/><Relationship Id="rId1652" Type="http://schemas.openxmlformats.org/officeDocument/2006/relationships/hyperlink" Target="http://pic.twitter.com/LORpDeVkBu" TargetMode="External"/><Relationship Id="rId1000" Type="http://schemas.openxmlformats.org/officeDocument/2006/relationships/hyperlink" Target="https://pbs.twimg.com/media/EF-k-QmWkAIXsMv.jpg" TargetMode="External"/><Relationship Id="rId1305" Type="http://schemas.openxmlformats.org/officeDocument/2006/relationships/hyperlink" Target="http://pic.twitter.com/4DltDPyJuS" TargetMode="External"/><Relationship Id="rId1957" Type="http://schemas.openxmlformats.org/officeDocument/2006/relationships/hyperlink" Target="http://pic.twitter.com/8nTohOg6Gs" TargetMode="External"/><Relationship Id="rId1512" Type="http://schemas.openxmlformats.org/officeDocument/2006/relationships/hyperlink" Target="http://pic.twitter.com/ytxYYyyxCn" TargetMode="External"/><Relationship Id="rId1817" Type="http://schemas.openxmlformats.org/officeDocument/2006/relationships/hyperlink" Target="http://pic.twitter.com/iu5b7pa4oR" TargetMode="External"/><Relationship Id="rId11" Type="http://schemas.openxmlformats.org/officeDocument/2006/relationships/hyperlink" Target="http://pic.twitter.com/1vMeW8GviH" TargetMode="External"/><Relationship Id="rId398" Type="http://schemas.openxmlformats.org/officeDocument/2006/relationships/hyperlink" Target="https://pbs.twimg.com/media/EF-kwdrWwA0yvZy.jpg" TargetMode="External"/><Relationship Id="rId2079" Type="http://schemas.openxmlformats.org/officeDocument/2006/relationships/hyperlink" Target="https://twitter.com/saadhariri/status/1181289882297090048" TargetMode="External"/><Relationship Id="rId160" Type="http://schemas.openxmlformats.org/officeDocument/2006/relationships/hyperlink" Target="http://pic.twitter.com/LicRP2zQYq" TargetMode="External"/><Relationship Id="rId258" Type="http://schemas.openxmlformats.org/officeDocument/2006/relationships/hyperlink" Target="http://pic.twitter.com/PEnVpW4arA" TargetMode="External"/><Relationship Id="rId465" Type="http://schemas.openxmlformats.org/officeDocument/2006/relationships/hyperlink" Target="http://pic.twitter.com/4NPUgqPpa1" TargetMode="External"/><Relationship Id="rId672" Type="http://schemas.openxmlformats.org/officeDocument/2006/relationships/hyperlink" Target="http://pic.twitter.com/hhPj0TLxpU" TargetMode="External"/><Relationship Id="rId1095" Type="http://schemas.openxmlformats.org/officeDocument/2006/relationships/hyperlink" Target="http://pic.twitter.com/AjhA9qO1bf" TargetMode="External"/><Relationship Id="rId118" Type="http://schemas.openxmlformats.org/officeDocument/2006/relationships/hyperlink" Target="http://pic.twitter.com/XWrlKvkhPI" TargetMode="External"/><Relationship Id="rId325" Type="http://schemas.openxmlformats.org/officeDocument/2006/relationships/hyperlink" Target="http://pic.twitter.com/0WDT16DTRU" TargetMode="External"/><Relationship Id="rId532" Type="http://schemas.openxmlformats.org/officeDocument/2006/relationships/hyperlink" Target="http://pic.twitter.com/yY53K0O42j" TargetMode="External"/><Relationship Id="rId977" Type="http://schemas.openxmlformats.org/officeDocument/2006/relationships/hyperlink" Target="http://pic.twitter.com/aVyImNWyib" TargetMode="External"/><Relationship Id="rId1162" Type="http://schemas.openxmlformats.org/officeDocument/2006/relationships/hyperlink" Target="http://pic.twitter.com/NtFJuDGNQg" TargetMode="External"/><Relationship Id="rId2006" Type="http://schemas.openxmlformats.org/officeDocument/2006/relationships/hyperlink" Target="http://pic.twitter.com/C3DtAgq6Wz" TargetMode="External"/><Relationship Id="rId837" Type="http://schemas.openxmlformats.org/officeDocument/2006/relationships/hyperlink" Target="http://pic.twitter.com/YI4lFN2Z8A" TargetMode="External"/><Relationship Id="rId1022" Type="http://schemas.openxmlformats.org/officeDocument/2006/relationships/hyperlink" Target="http://pic.twitter.com/Qe6tpxlVAS" TargetMode="External"/><Relationship Id="rId1467" Type="http://schemas.openxmlformats.org/officeDocument/2006/relationships/hyperlink" Target="http://pic.twitter.com/4ub7gpNQj5" TargetMode="External"/><Relationship Id="rId1674" Type="http://schemas.openxmlformats.org/officeDocument/2006/relationships/hyperlink" Target="http://pic.twitter.com/limaLr9687" TargetMode="External"/><Relationship Id="rId1881" Type="http://schemas.openxmlformats.org/officeDocument/2006/relationships/hyperlink" Target="http://pic.twitter.com/rV5CIxFePz" TargetMode="External"/><Relationship Id="rId904" Type="http://schemas.openxmlformats.org/officeDocument/2006/relationships/hyperlink" Target="http://pic.twitter.com/VsmjKQqeti" TargetMode="External"/><Relationship Id="rId1327" Type="http://schemas.openxmlformats.org/officeDocument/2006/relationships/hyperlink" Target="http://pic.twitter.com/0EwbmTdXcK" TargetMode="External"/><Relationship Id="rId1534" Type="http://schemas.openxmlformats.org/officeDocument/2006/relationships/hyperlink" Target="http://pic.twitter.com/1ASOSLWWHN" TargetMode="External"/><Relationship Id="rId1741" Type="http://schemas.openxmlformats.org/officeDocument/2006/relationships/hyperlink" Target="http://pic.twitter.com/7EXXFfbExK" TargetMode="External"/><Relationship Id="rId1979" Type="http://schemas.openxmlformats.org/officeDocument/2006/relationships/hyperlink" Target="http://pic.twitter.com/xfId4eXv3o" TargetMode="External"/><Relationship Id="rId33" Type="http://schemas.openxmlformats.org/officeDocument/2006/relationships/hyperlink" Target="http://pic.twitter.com/bwP2mfYDI1" TargetMode="External"/><Relationship Id="rId1601" Type="http://schemas.openxmlformats.org/officeDocument/2006/relationships/hyperlink" Target="http://pic.twitter.com/ZKZZKORv8J" TargetMode="External"/><Relationship Id="rId1839" Type="http://schemas.openxmlformats.org/officeDocument/2006/relationships/hyperlink" Target="http://pic.twitter.com/XVSa7Y8DLm" TargetMode="External"/><Relationship Id="rId182" Type="http://schemas.openxmlformats.org/officeDocument/2006/relationships/hyperlink" Target="http://pic.twitter.com/b1aiwmcV84" TargetMode="External"/><Relationship Id="rId1906" Type="http://schemas.openxmlformats.org/officeDocument/2006/relationships/hyperlink" Target="http://pic.twitter.com/38l7F5t3Ho" TargetMode="External"/><Relationship Id="rId487" Type="http://schemas.openxmlformats.org/officeDocument/2006/relationships/hyperlink" Target="http://pic.twitter.com/ZZYtPYOyn6" TargetMode="External"/><Relationship Id="rId694" Type="http://schemas.openxmlformats.org/officeDocument/2006/relationships/hyperlink" Target="http://pic.twitter.com/x67JfSRH2I" TargetMode="External"/><Relationship Id="rId2070" Type="http://schemas.openxmlformats.org/officeDocument/2006/relationships/hyperlink" Target="http://pic.twitter.com/xqt8Jb7ZMY" TargetMode="External"/><Relationship Id="rId347" Type="http://schemas.openxmlformats.org/officeDocument/2006/relationships/hyperlink" Target="http://pic.twitter.com/arjHquvaDh" TargetMode="External"/><Relationship Id="rId999" Type="http://schemas.openxmlformats.org/officeDocument/2006/relationships/hyperlink" Target="http://pic.twitter.com/TjkIYyMMpA" TargetMode="External"/><Relationship Id="rId1184" Type="http://schemas.openxmlformats.org/officeDocument/2006/relationships/hyperlink" Target="http://pic.twitter.com/4uWOmGGpYh" TargetMode="External"/><Relationship Id="rId2028" Type="http://schemas.openxmlformats.org/officeDocument/2006/relationships/hyperlink" Target="http://pic.twitter.com/Vq6tNfeLzI" TargetMode="External"/><Relationship Id="rId554" Type="http://schemas.openxmlformats.org/officeDocument/2006/relationships/hyperlink" Target="http://pic.twitter.com/1SNKQz4tLv" TargetMode="External"/><Relationship Id="rId761" Type="http://schemas.openxmlformats.org/officeDocument/2006/relationships/hyperlink" Target="http://pic.twitter.com/0fgTIksPoM" TargetMode="External"/><Relationship Id="rId859" Type="http://schemas.openxmlformats.org/officeDocument/2006/relationships/hyperlink" Target="http://pic.twitter.com/ekEHlwHHaH" TargetMode="External"/><Relationship Id="rId1391" Type="http://schemas.openxmlformats.org/officeDocument/2006/relationships/hyperlink" Target="http://pic.twitter.com/qOkf2p3VN9" TargetMode="External"/><Relationship Id="rId1489" Type="http://schemas.openxmlformats.org/officeDocument/2006/relationships/hyperlink" Target="https://www.instagram.com/loan.torondel/" TargetMode="External"/><Relationship Id="rId1696" Type="http://schemas.openxmlformats.org/officeDocument/2006/relationships/hyperlink" Target="http://pic.twitter.com/YunVyCTIqw" TargetMode="External"/><Relationship Id="rId207" Type="http://schemas.openxmlformats.org/officeDocument/2006/relationships/hyperlink" Target="http://pic.twitter.com/tTHhsZnuRb" TargetMode="External"/><Relationship Id="rId414" Type="http://schemas.openxmlformats.org/officeDocument/2006/relationships/hyperlink" Target="http://pic.twitter.com/cIXwSRBc1f" TargetMode="External"/><Relationship Id="rId621" Type="http://schemas.openxmlformats.org/officeDocument/2006/relationships/hyperlink" Target="http://pic.twitter.com/9yyx2GY85k" TargetMode="External"/><Relationship Id="rId1044" Type="http://schemas.openxmlformats.org/officeDocument/2006/relationships/hyperlink" Target="http://pic.twitter.com/0FA2Vm4oQS" TargetMode="External"/><Relationship Id="rId1251" Type="http://schemas.openxmlformats.org/officeDocument/2006/relationships/hyperlink" Target="http://pic.twitter.com/FOASdERMC1" TargetMode="External"/><Relationship Id="rId1349" Type="http://schemas.openxmlformats.org/officeDocument/2006/relationships/hyperlink" Target="http://pic.twitter.com/BBuRFPurcf" TargetMode="External"/><Relationship Id="rId719" Type="http://schemas.openxmlformats.org/officeDocument/2006/relationships/hyperlink" Target="http://pic.twitter.com/7kg4GFnoJD" TargetMode="External"/><Relationship Id="rId926" Type="http://schemas.openxmlformats.org/officeDocument/2006/relationships/hyperlink" Target="http://pic.twitter.com/Tt6mTsz2so" TargetMode="External"/><Relationship Id="rId1111" Type="http://schemas.openxmlformats.org/officeDocument/2006/relationships/hyperlink" Target="http://pic.twitter.com/3KY1Mfyrf1" TargetMode="External"/><Relationship Id="rId1556" Type="http://schemas.openxmlformats.org/officeDocument/2006/relationships/hyperlink" Target="http://pic.twitter.com/0LyKxW6IgO" TargetMode="External"/><Relationship Id="rId1763" Type="http://schemas.openxmlformats.org/officeDocument/2006/relationships/hyperlink" Target="http://about.me/LisandroDiMarco" TargetMode="External"/><Relationship Id="rId1970" Type="http://schemas.openxmlformats.org/officeDocument/2006/relationships/hyperlink" Target="http://pic.twitter.com/B1qmLjqzdq" TargetMode="External"/><Relationship Id="rId55" Type="http://schemas.openxmlformats.org/officeDocument/2006/relationships/hyperlink" Target="http://pic.twitter.com/VoBvQERXlP" TargetMode="External"/><Relationship Id="rId1209" Type="http://schemas.openxmlformats.org/officeDocument/2006/relationships/hyperlink" Target="http://pic.twitter.com/3EDNtM6NHI" TargetMode="External"/><Relationship Id="rId1416" Type="http://schemas.openxmlformats.org/officeDocument/2006/relationships/hyperlink" Target="http://pic.twitter.com/RYy3JGlpi0" TargetMode="External"/><Relationship Id="rId1623" Type="http://schemas.openxmlformats.org/officeDocument/2006/relationships/hyperlink" Target="http://pic.twitter.com/k0ioA1MtEf" TargetMode="External"/><Relationship Id="rId1830" Type="http://schemas.openxmlformats.org/officeDocument/2006/relationships/hyperlink" Target="http://pic.twitter.com/SDEr2ug9BP" TargetMode="External"/><Relationship Id="rId1928" Type="http://schemas.openxmlformats.org/officeDocument/2006/relationships/hyperlink" Target="http://pic.twitter.com/KCDLj3Ktjw" TargetMode="External"/><Relationship Id="rId2092" Type="http://schemas.openxmlformats.org/officeDocument/2006/relationships/hyperlink" Target="http://pic.twitter.com/jLO8C2sLPu" TargetMode="External"/><Relationship Id="rId271" Type="http://schemas.openxmlformats.org/officeDocument/2006/relationships/hyperlink" Target="http://pic.twitter.com/s4CXBZFPBQ" TargetMode="External"/><Relationship Id="rId131" Type="http://schemas.openxmlformats.org/officeDocument/2006/relationships/hyperlink" Target="http://pic.twitter.com/3NRvPgRhG1" TargetMode="External"/><Relationship Id="rId369" Type="http://schemas.openxmlformats.org/officeDocument/2006/relationships/hyperlink" Target="http://pic.twitter.com/hXbLGkOke7" TargetMode="External"/><Relationship Id="rId576" Type="http://schemas.openxmlformats.org/officeDocument/2006/relationships/hyperlink" Target="http://pic.twitter.com/dOEI1GmSJr" TargetMode="External"/><Relationship Id="rId783" Type="http://schemas.openxmlformats.org/officeDocument/2006/relationships/hyperlink" Target="http://pic.twitter.com/6liQTjjWbW" TargetMode="External"/><Relationship Id="rId990" Type="http://schemas.openxmlformats.org/officeDocument/2006/relationships/hyperlink" Target="http://pic.twitter.com/aFKH19bwsD" TargetMode="External"/><Relationship Id="rId229" Type="http://schemas.openxmlformats.org/officeDocument/2006/relationships/hyperlink" Target="http://pic.twitter.com/htyrzC8ZNU" TargetMode="External"/><Relationship Id="rId436" Type="http://schemas.openxmlformats.org/officeDocument/2006/relationships/hyperlink" Target="http://pic.twitter.com/yTIwisWzg7" TargetMode="External"/><Relationship Id="rId643" Type="http://schemas.openxmlformats.org/officeDocument/2006/relationships/hyperlink" Target="http://pic.twitter.com/aerem846Bc" TargetMode="External"/><Relationship Id="rId1066" Type="http://schemas.openxmlformats.org/officeDocument/2006/relationships/hyperlink" Target="http://ow.ly/A17k30pGK0G" TargetMode="External"/><Relationship Id="rId1273" Type="http://schemas.openxmlformats.org/officeDocument/2006/relationships/hyperlink" Target="http://pic.twitter.com/tysuk7G9gz" TargetMode="External"/><Relationship Id="rId1480" Type="http://schemas.openxmlformats.org/officeDocument/2006/relationships/hyperlink" Target="http://pic.twitter.com/5p1KfhM4RF" TargetMode="External"/><Relationship Id="rId850" Type="http://schemas.openxmlformats.org/officeDocument/2006/relationships/hyperlink" Target="http://pic.twitter.com/HrXIXMd05z" TargetMode="External"/><Relationship Id="rId948" Type="http://schemas.openxmlformats.org/officeDocument/2006/relationships/hyperlink" Target="http://pic.twitter.com/hX0qR9bVDq" TargetMode="External"/><Relationship Id="rId1133" Type="http://schemas.openxmlformats.org/officeDocument/2006/relationships/hyperlink" Target="https://pbs.twimg.com/media/EF-k-QmWkAIXsMv.jpg" TargetMode="External"/><Relationship Id="rId1578" Type="http://schemas.openxmlformats.org/officeDocument/2006/relationships/hyperlink" Target="http://pic.twitter.com/pF5vPPxqB0" TargetMode="External"/><Relationship Id="rId1785" Type="http://schemas.openxmlformats.org/officeDocument/2006/relationships/hyperlink" Target="http://pic.twitter.com/ttMhtjdQkK" TargetMode="External"/><Relationship Id="rId1992" Type="http://schemas.openxmlformats.org/officeDocument/2006/relationships/hyperlink" Target="http://pic.twitter.com/L8pZqRb7r5" TargetMode="External"/><Relationship Id="rId77" Type="http://schemas.openxmlformats.org/officeDocument/2006/relationships/hyperlink" Target="http://pic.twitter.com/qgo5OafLHi" TargetMode="External"/><Relationship Id="rId503" Type="http://schemas.openxmlformats.org/officeDocument/2006/relationships/hyperlink" Target="http://pic.twitter.com/DUi9YepQHG" TargetMode="External"/><Relationship Id="rId710" Type="http://schemas.openxmlformats.org/officeDocument/2006/relationships/hyperlink" Target="http://pic.twitter.com/bN9ET71X3v" TargetMode="External"/><Relationship Id="rId808" Type="http://schemas.openxmlformats.org/officeDocument/2006/relationships/hyperlink" Target="http://pic.twitter.com/HHtufFDVPh" TargetMode="External"/><Relationship Id="rId1340" Type="http://schemas.openxmlformats.org/officeDocument/2006/relationships/hyperlink" Target="http://pic.twitter.com/kzjR8VQsRl" TargetMode="External"/><Relationship Id="rId1438" Type="http://schemas.openxmlformats.org/officeDocument/2006/relationships/hyperlink" Target="http://pic.twitter.com/NZca3xdlS6" TargetMode="External"/><Relationship Id="rId1645" Type="http://schemas.openxmlformats.org/officeDocument/2006/relationships/hyperlink" Target="http://www.amnesty.no/" TargetMode="External"/><Relationship Id="rId1200" Type="http://schemas.openxmlformats.org/officeDocument/2006/relationships/hyperlink" Target="http://pic.twitter.com/4EJlJp4lAY" TargetMode="External"/><Relationship Id="rId1852" Type="http://schemas.openxmlformats.org/officeDocument/2006/relationships/hyperlink" Target="http://pic.twitter.com/x0c5lpj99Z" TargetMode="External"/><Relationship Id="rId1505" Type="http://schemas.openxmlformats.org/officeDocument/2006/relationships/hyperlink" Target="http://pic.twitter.com/8upASZ1KSX" TargetMode="External"/><Relationship Id="rId1712" Type="http://schemas.openxmlformats.org/officeDocument/2006/relationships/hyperlink" Target="http://pic.twitter.com/SipuGnG7k2" TargetMode="External"/><Relationship Id="rId293" Type="http://schemas.openxmlformats.org/officeDocument/2006/relationships/hyperlink" Target="http://pic.twitter.com/ta4ks9KhUJ" TargetMode="External"/><Relationship Id="rId153" Type="http://schemas.openxmlformats.org/officeDocument/2006/relationships/hyperlink" Target="https://pbs.twimg.com/media/EGbsBFTWoAIeDHQ.jpg" TargetMode="External"/><Relationship Id="rId360" Type="http://schemas.openxmlformats.org/officeDocument/2006/relationships/hyperlink" Target="http://pic.twitter.com/q9Q0k1VAf3" TargetMode="External"/><Relationship Id="rId598" Type="http://schemas.openxmlformats.org/officeDocument/2006/relationships/hyperlink" Target="http://pic.twitter.com/CpHx98snPG" TargetMode="External"/><Relationship Id="rId2041" Type="http://schemas.openxmlformats.org/officeDocument/2006/relationships/hyperlink" Target="http://pic.twitter.com/VsLzOWtUTu" TargetMode="External"/><Relationship Id="rId220" Type="http://schemas.openxmlformats.org/officeDocument/2006/relationships/hyperlink" Target="http://pic.twitter.com/jJR8JBzSuq" TargetMode="External"/><Relationship Id="rId458" Type="http://schemas.openxmlformats.org/officeDocument/2006/relationships/hyperlink" Target="http://pic.twitter.com/HSAKaSxMjB" TargetMode="External"/><Relationship Id="rId665" Type="http://schemas.openxmlformats.org/officeDocument/2006/relationships/hyperlink" Target="http://pic.twitter.com/4lYd7Ihql6" TargetMode="External"/><Relationship Id="rId872" Type="http://schemas.openxmlformats.org/officeDocument/2006/relationships/hyperlink" Target="http://pic.twitter.com/nAx1EJm3jp" TargetMode="External"/><Relationship Id="rId1088" Type="http://schemas.openxmlformats.org/officeDocument/2006/relationships/hyperlink" Target="http://pic.twitter.com/mljsdCJVqF" TargetMode="External"/><Relationship Id="rId1295" Type="http://schemas.openxmlformats.org/officeDocument/2006/relationships/hyperlink" Target="http://pic.twitter.com/gLMQxYEb6l" TargetMode="External"/><Relationship Id="rId318" Type="http://schemas.openxmlformats.org/officeDocument/2006/relationships/hyperlink" Target="http://pic.twitter.com/7cLPdwVgEs" TargetMode="External"/><Relationship Id="rId525" Type="http://schemas.openxmlformats.org/officeDocument/2006/relationships/hyperlink" Target="http://pic.twitter.com/V3NUx1ZqJJ" TargetMode="External"/><Relationship Id="rId732" Type="http://schemas.openxmlformats.org/officeDocument/2006/relationships/hyperlink" Target="http://pic.twitter.com/5meMVgYgSJ" TargetMode="External"/><Relationship Id="rId1155" Type="http://schemas.openxmlformats.org/officeDocument/2006/relationships/hyperlink" Target="http://pic.twitter.com/wrxSPxQ7Du" TargetMode="External"/><Relationship Id="rId1362" Type="http://schemas.openxmlformats.org/officeDocument/2006/relationships/hyperlink" Target="http://pic.twitter.com/AQBvhEmQa0" TargetMode="External"/><Relationship Id="rId99" Type="http://schemas.openxmlformats.org/officeDocument/2006/relationships/hyperlink" Target="http://pic.twitter.com/wYH5fr6zG9" TargetMode="External"/><Relationship Id="rId1015" Type="http://schemas.openxmlformats.org/officeDocument/2006/relationships/hyperlink" Target="http://pic.twitter.com/OcLDzHcn1y" TargetMode="External"/><Relationship Id="rId1222" Type="http://schemas.openxmlformats.org/officeDocument/2006/relationships/hyperlink" Target="http://pic.twitter.com/KiixsGZkqy" TargetMode="External"/><Relationship Id="rId1667" Type="http://schemas.openxmlformats.org/officeDocument/2006/relationships/hyperlink" Target="http://pic.twitter.com/Fqpb2WDq5T" TargetMode="External"/><Relationship Id="rId1874" Type="http://schemas.openxmlformats.org/officeDocument/2006/relationships/hyperlink" Target="http://pic.twitter.com/Tyvn7rNOWU" TargetMode="External"/><Relationship Id="rId1527" Type="http://schemas.openxmlformats.org/officeDocument/2006/relationships/hyperlink" Target="http://pic.twitter.com/er7vuYHNSu" TargetMode="External"/><Relationship Id="rId1734" Type="http://schemas.openxmlformats.org/officeDocument/2006/relationships/hyperlink" Target="http://pic.twitter.com/EyHFH7LKB6" TargetMode="External"/><Relationship Id="rId1941" Type="http://schemas.openxmlformats.org/officeDocument/2006/relationships/hyperlink" Target="http://pic.twitter.com/minp2bJ5MH" TargetMode="External"/><Relationship Id="rId26" Type="http://schemas.openxmlformats.org/officeDocument/2006/relationships/hyperlink" Target="http://pic.twitter.com/EHzUfyg68B" TargetMode="External"/><Relationship Id="rId175" Type="http://schemas.openxmlformats.org/officeDocument/2006/relationships/hyperlink" Target="http://pic.twitter.com/QcFLa7urKl" TargetMode="External"/><Relationship Id="rId1801" Type="http://schemas.openxmlformats.org/officeDocument/2006/relationships/hyperlink" Target="http://pic.twitter.com/ecXGgscnOk" TargetMode="External"/><Relationship Id="rId382" Type="http://schemas.openxmlformats.org/officeDocument/2006/relationships/hyperlink" Target="http://pic.twitter.com/fYpuxkRqRj" TargetMode="External"/><Relationship Id="rId687" Type="http://schemas.openxmlformats.org/officeDocument/2006/relationships/hyperlink" Target="http://pic.twitter.com/YyoH5tJFBO" TargetMode="External"/><Relationship Id="rId2063" Type="http://schemas.openxmlformats.org/officeDocument/2006/relationships/hyperlink" Target="http://pic.twitter.com/d10WaSyWem" TargetMode="External"/><Relationship Id="rId242" Type="http://schemas.openxmlformats.org/officeDocument/2006/relationships/hyperlink" Target="http://pic.twitter.com/ySavTcCkKl" TargetMode="External"/><Relationship Id="rId894" Type="http://schemas.openxmlformats.org/officeDocument/2006/relationships/hyperlink" Target="http://pic.twitter.com/JvMQsA6IIS" TargetMode="External"/><Relationship Id="rId1177" Type="http://schemas.openxmlformats.org/officeDocument/2006/relationships/hyperlink" Target="http://pic.twitter.com/kG364loFdL" TargetMode="External"/><Relationship Id="rId102" Type="http://schemas.openxmlformats.org/officeDocument/2006/relationships/hyperlink" Target="https://pbs.twimg.com/media/EGb3KEMXkAEFpiP.jpg" TargetMode="External"/><Relationship Id="rId547" Type="http://schemas.openxmlformats.org/officeDocument/2006/relationships/hyperlink" Target="http://pic.twitter.com/OBbvFXkuAL" TargetMode="External"/><Relationship Id="rId754" Type="http://schemas.openxmlformats.org/officeDocument/2006/relationships/hyperlink" Target="http://pic.twitter.com/u7VKZ50mSs" TargetMode="External"/><Relationship Id="rId961" Type="http://schemas.openxmlformats.org/officeDocument/2006/relationships/hyperlink" Target="http://pic.twitter.com/NbhV7rikWQ" TargetMode="External"/><Relationship Id="rId1384" Type="http://schemas.openxmlformats.org/officeDocument/2006/relationships/hyperlink" Target="http://pic.twitter.com/oN9R9n7uuA" TargetMode="External"/><Relationship Id="rId1591" Type="http://schemas.openxmlformats.org/officeDocument/2006/relationships/hyperlink" Target="http://pic.twitter.com/3aQKX8wBTn" TargetMode="External"/><Relationship Id="rId1689" Type="http://schemas.openxmlformats.org/officeDocument/2006/relationships/hyperlink" Target="http://pic.twitter.com/BPMZEDuE0q" TargetMode="External"/><Relationship Id="rId90" Type="http://schemas.openxmlformats.org/officeDocument/2006/relationships/hyperlink" Target="http://whocareswhatyouthink.net/" TargetMode="External"/><Relationship Id="rId407" Type="http://schemas.openxmlformats.org/officeDocument/2006/relationships/hyperlink" Target="http://pic.twitter.com/pH1pXOrlPY" TargetMode="External"/><Relationship Id="rId614" Type="http://schemas.openxmlformats.org/officeDocument/2006/relationships/hyperlink" Target="http://pic.twitter.com/oFm3kvvkXG" TargetMode="External"/><Relationship Id="rId821" Type="http://schemas.openxmlformats.org/officeDocument/2006/relationships/hyperlink" Target="http://pic.twitter.com/YxZVt7DfVU" TargetMode="External"/><Relationship Id="rId1037" Type="http://schemas.openxmlformats.org/officeDocument/2006/relationships/hyperlink" Target="http://pic.twitter.com/ebLmiBQix3" TargetMode="External"/><Relationship Id="rId1244" Type="http://schemas.openxmlformats.org/officeDocument/2006/relationships/hyperlink" Target="http://pic.twitter.com/iTdDjAIHKI" TargetMode="External"/><Relationship Id="rId1451" Type="http://schemas.openxmlformats.org/officeDocument/2006/relationships/hyperlink" Target="http://pic.twitter.com/5sP0vSnKQm" TargetMode="External"/><Relationship Id="rId1896" Type="http://schemas.openxmlformats.org/officeDocument/2006/relationships/hyperlink" Target="http://pic.twitter.com/DVH6wuFcHo" TargetMode="External"/><Relationship Id="rId919" Type="http://schemas.openxmlformats.org/officeDocument/2006/relationships/hyperlink" Target="http://pic.twitter.com/SCuFEIv4Kf" TargetMode="External"/><Relationship Id="rId1104" Type="http://schemas.openxmlformats.org/officeDocument/2006/relationships/hyperlink" Target="http://pic.twitter.com/Eum7nuJ7jQ" TargetMode="External"/><Relationship Id="rId1311" Type="http://schemas.openxmlformats.org/officeDocument/2006/relationships/hyperlink" Target="http://pic.twitter.com/02EDBuyyVg" TargetMode="External"/><Relationship Id="rId1549" Type="http://schemas.openxmlformats.org/officeDocument/2006/relationships/hyperlink" Target="http://pic.twitter.com/6FU6eHJ8Mq" TargetMode="External"/><Relationship Id="rId1756" Type="http://schemas.openxmlformats.org/officeDocument/2006/relationships/hyperlink" Target="http://pic.twitter.com/4WQXJxJzLI" TargetMode="External"/><Relationship Id="rId1963" Type="http://schemas.openxmlformats.org/officeDocument/2006/relationships/hyperlink" Target="http://pic.twitter.com/YjcDJ1Tqm3" TargetMode="External"/><Relationship Id="rId48" Type="http://schemas.openxmlformats.org/officeDocument/2006/relationships/hyperlink" Target="http://pic.twitter.com/ZFiNHTgS4p" TargetMode="External"/><Relationship Id="rId1409" Type="http://schemas.openxmlformats.org/officeDocument/2006/relationships/hyperlink" Target="http://pic.twitter.com/LTh54wCgeI" TargetMode="External"/><Relationship Id="rId1616" Type="http://schemas.openxmlformats.org/officeDocument/2006/relationships/hyperlink" Target="http://pic.twitter.com/yWINEt1SWk" TargetMode="External"/><Relationship Id="rId1823" Type="http://schemas.openxmlformats.org/officeDocument/2006/relationships/hyperlink" Target="http://pic.twitter.com/yrJ0b5Yvta" TargetMode="External"/><Relationship Id="rId197" Type="http://schemas.openxmlformats.org/officeDocument/2006/relationships/hyperlink" Target="http://pic.twitter.com/C5LjviAWqi" TargetMode="External"/><Relationship Id="rId2085" Type="http://schemas.openxmlformats.org/officeDocument/2006/relationships/hyperlink" Target="http://pic.twitter.com/H05Wq2wvdY" TargetMode="External"/><Relationship Id="rId264" Type="http://schemas.openxmlformats.org/officeDocument/2006/relationships/hyperlink" Target="https://pbs.twimg.com/media/EF-kwdrWwA0yvZy.jpg" TargetMode="External"/><Relationship Id="rId471" Type="http://schemas.openxmlformats.org/officeDocument/2006/relationships/hyperlink" Target="http://pic.twitter.com/Vk2xWICqo0" TargetMode="External"/><Relationship Id="rId124" Type="http://schemas.openxmlformats.org/officeDocument/2006/relationships/hyperlink" Target="http://pic.twitter.com/S2bcDjnhTa" TargetMode="External"/><Relationship Id="rId569" Type="http://schemas.openxmlformats.org/officeDocument/2006/relationships/hyperlink" Target="http://pic.twitter.com/8d7Mx7uO6S" TargetMode="External"/><Relationship Id="rId776" Type="http://schemas.openxmlformats.org/officeDocument/2006/relationships/hyperlink" Target="https://redrevolution.co.uk/2019/10/09/france-should-hold-firm-against-saudi-abuses/" TargetMode="External"/><Relationship Id="rId983" Type="http://schemas.openxmlformats.org/officeDocument/2006/relationships/hyperlink" Target="http://pic.twitter.com/SUkXIBsasd" TargetMode="External"/><Relationship Id="rId1199" Type="http://schemas.openxmlformats.org/officeDocument/2006/relationships/hyperlink" Target="http://pic.twitter.com/kZsatWFdWg" TargetMode="External"/><Relationship Id="rId331" Type="http://schemas.openxmlformats.org/officeDocument/2006/relationships/hyperlink" Target="http://pic.twitter.com/6MtLTogomY" TargetMode="External"/><Relationship Id="rId429" Type="http://schemas.openxmlformats.org/officeDocument/2006/relationships/hyperlink" Target="http://pic.twitter.com/QaY2jKqrch" TargetMode="External"/><Relationship Id="rId636" Type="http://schemas.openxmlformats.org/officeDocument/2006/relationships/hyperlink" Target="http://pic.twitter.com/GBnfBgOsis" TargetMode="External"/><Relationship Id="rId1059" Type="http://schemas.openxmlformats.org/officeDocument/2006/relationships/hyperlink" Target="http://pic.twitter.com/Y3j7EbV0HO" TargetMode="External"/><Relationship Id="rId1266" Type="http://schemas.openxmlformats.org/officeDocument/2006/relationships/hyperlink" Target="http://pic.twitter.com/zfr4kDdxIW" TargetMode="External"/><Relationship Id="rId1473" Type="http://schemas.openxmlformats.org/officeDocument/2006/relationships/hyperlink" Target="http://pic.twitter.com/xBfOEHhAy3" TargetMode="External"/><Relationship Id="rId2012" Type="http://schemas.openxmlformats.org/officeDocument/2006/relationships/hyperlink" Target="http://pic.twitter.com/S3lEn0XkfL" TargetMode="External"/><Relationship Id="rId843" Type="http://schemas.openxmlformats.org/officeDocument/2006/relationships/hyperlink" Target="http://pic.twitter.com/EON8sXYThW" TargetMode="External"/><Relationship Id="rId1126" Type="http://schemas.openxmlformats.org/officeDocument/2006/relationships/hyperlink" Target="https://pbs.twimg.com/media/EF-k-QmWkAIXsMv.jpg" TargetMode="External"/><Relationship Id="rId1680" Type="http://schemas.openxmlformats.org/officeDocument/2006/relationships/hyperlink" Target="http://pic.twitter.com/mtGpFCqHCC" TargetMode="External"/><Relationship Id="rId1778" Type="http://schemas.openxmlformats.org/officeDocument/2006/relationships/hyperlink" Target="http://pic.twitter.com/FeIJgfj1Yo" TargetMode="External"/><Relationship Id="rId1985" Type="http://schemas.openxmlformats.org/officeDocument/2006/relationships/hyperlink" Target="http://pic.twitter.com/H5ifS0CFeu" TargetMode="External"/><Relationship Id="rId703" Type="http://schemas.openxmlformats.org/officeDocument/2006/relationships/hyperlink" Target="http://pic.twitter.com/KN04Abrn3H" TargetMode="External"/><Relationship Id="rId910" Type="http://schemas.openxmlformats.org/officeDocument/2006/relationships/hyperlink" Target="http://pic.twitter.com/D41lQJVHcp" TargetMode="External"/><Relationship Id="rId1333" Type="http://schemas.openxmlformats.org/officeDocument/2006/relationships/hyperlink" Target="http://pic.twitter.com/j862gfzRdQ" TargetMode="External"/><Relationship Id="rId1540" Type="http://schemas.openxmlformats.org/officeDocument/2006/relationships/hyperlink" Target="http://pic.twitter.com/QFeim7O0RE" TargetMode="External"/><Relationship Id="rId1638" Type="http://schemas.openxmlformats.org/officeDocument/2006/relationships/hyperlink" Target="http://pic.twitter.com/HFI6f3t9qh" TargetMode="External"/><Relationship Id="rId1400" Type="http://schemas.openxmlformats.org/officeDocument/2006/relationships/hyperlink" Target="http://pic.twitter.com/9OYIIIjWp0" TargetMode="External"/><Relationship Id="rId1845" Type="http://schemas.openxmlformats.org/officeDocument/2006/relationships/hyperlink" Target="http://pic.twitter.com/biaKOr9lMb" TargetMode="External"/><Relationship Id="rId1705" Type="http://schemas.openxmlformats.org/officeDocument/2006/relationships/hyperlink" Target="http://pic.twitter.com/O4tZwmIVNG" TargetMode="External"/><Relationship Id="rId1912" Type="http://schemas.openxmlformats.org/officeDocument/2006/relationships/hyperlink" Target="http://pic.twitter.com/G7pnL6Fnqc" TargetMode="External"/><Relationship Id="rId286" Type="http://schemas.openxmlformats.org/officeDocument/2006/relationships/hyperlink" Target="http://washingtonpost.com/opinions/2019/" TargetMode="External"/><Relationship Id="rId493" Type="http://schemas.openxmlformats.org/officeDocument/2006/relationships/hyperlink" Target="https://pbs.twimg.com/media/EF-k-QmWkAIXsMv.jpg" TargetMode="External"/><Relationship Id="rId146" Type="http://schemas.openxmlformats.org/officeDocument/2006/relationships/hyperlink" Target="http://pic.twitter.com/9pAnJ4NzBU" TargetMode="External"/><Relationship Id="rId353" Type="http://schemas.openxmlformats.org/officeDocument/2006/relationships/hyperlink" Target="http://pic.twitter.com/Vj1bDsrU8s" TargetMode="External"/><Relationship Id="rId560" Type="http://schemas.openxmlformats.org/officeDocument/2006/relationships/hyperlink" Target="http://pic.twitter.com/Y8gBtTBwwP" TargetMode="External"/><Relationship Id="rId798" Type="http://schemas.openxmlformats.org/officeDocument/2006/relationships/hyperlink" Target="http://pic.twitter.com/1f4TaGYtrv" TargetMode="External"/><Relationship Id="rId1190" Type="http://schemas.openxmlformats.org/officeDocument/2006/relationships/hyperlink" Target="https://pbs.twimg.com/media/EF-kwdrWwA0yvZy.jpg" TargetMode="External"/><Relationship Id="rId2034" Type="http://schemas.openxmlformats.org/officeDocument/2006/relationships/hyperlink" Target="http://pic.twitter.com/EesZWgmNi1" TargetMode="External"/><Relationship Id="rId213" Type="http://schemas.openxmlformats.org/officeDocument/2006/relationships/hyperlink" Target="http://pic.twitter.com/DrN6admuZD" TargetMode="External"/><Relationship Id="rId420" Type="http://schemas.openxmlformats.org/officeDocument/2006/relationships/hyperlink" Target="http://pic.twitter.com/6Kz07UJ43d" TargetMode="External"/><Relationship Id="rId658" Type="http://schemas.openxmlformats.org/officeDocument/2006/relationships/hyperlink" Target="http://pic.twitter.com/u0xABds5OS" TargetMode="External"/><Relationship Id="rId865" Type="http://schemas.openxmlformats.org/officeDocument/2006/relationships/hyperlink" Target="http://pic.twitter.com/1Yy6MO7Tak" TargetMode="External"/><Relationship Id="rId1050" Type="http://schemas.openxmlformats.org/officeDocument/2006/relationships/hyperlink" Target="http://pic.twitter.com/hEy2srU19Y" TargetMode="External"/><Relationship Id="rId1288" Type="http://schemas.openxmlformats.org/officeDocument/2006/relationships/hyperlink" Target="http://pic.twitter.com/nZcLBBei4V" TargetMode="External"/><Relationship Id="rId1495" Type="http://schemas.openxmlformats.org/officeDocument/2006/relationships/hyperlink" Target="https://pbs.twimg.com/media/EF-k-QmWkAIXsMv.jpg" TargetMode="External"/><Relationship Id="rId2101" Type="http://schemas.openxmlformats.org/officeDocument/2006/relationships/hyperlink" Target="http://pic.twitter.com/UVphJchdvX" TargetMode="External"/><Relationship Id="rId518" Type="http://schemas.openxmlformats.org/officeDocument/2006/relationships/hyperlink" Target="http://pic.twitter.com/ZYJjYXUxf5" TargetMode="External"/><Relationship Id="rId725" Type="http://schemas.openxmlformats.org/officeDocument/2006/relationships/hyperlink" Target="http://pic.twitter.com/771JWqgX3G" TargetMode="External"/><Relationship Id="rId932" Type="http://schemas.openxmlformats.org/officeDocument/2006/relationships/hyperlink" Target="https://pbs.twimg.com/media/EF-m1ZpXUAAvExx.jpg" TargetMode="External"/><Relationship Id="rId1148" Type="http://schemas.openxmlformats.org/officeDocument/2006/relationships/hyperlink" Target="http://pic.twitter.com/shsmmBheaS" TargetMode="External"/><Relationship Id="rId1355" Type="http://schemas.openxmlformats.org/officeDocument/2006/relationships/hyperlink" Target="http://pic.twitter.com/qTXNeNPLFS" TargetMode="External"/><Relationship Id="rId1562" Type="http://schemas.openxmlformats.org/officeDocument/2006/relationships/hyperlink" Target="http://pic.twitter.com/fFriRg4DzX" TargetMode="External"/><Relationship Id="rId1008" Type="http://schemas.openxmlformats.org/officeDocument/2006/relationships/hyperlink" Target="http://pic.twitter.com/8oKWq3ZmFR" TargetMode="External"/><Relationship Id="rId1215" Type="http://schemas.openxmlformats.org/officeDocument/2006/relationships/hyperlink" Target="http://pic.twitter.com/VDTQnOtknH" TargetMode="External"/><Relationship Id="rId1422" Type="http://schemas.openxmlformats.org/officeDocument/2006/relationships/hyperlink" Target="http://pic.twitter.com/e7GzO7q4d0" TargetMode="External"/><Relationship Id="rId1867" Type="http://schemas.openxmlformats.org/officeDocument/2006/relationships/hyperlink" Target="https://youtu.be/EkYmEeKizgg" TargetMode="External"/><Relationship Id="rId61" Type="http://schemas.openxmlformats.org/officeDocument/2006/relationships/hyperlink" Target="http://pic.twitter.com/InSLzcuD5D" TargetMode="External"/><Relationship Id="rId1727" Type="http://schemas.openxmlformats.org/officeDocument/2006/relationships/hyperlink" Target="https://www.yahoo.com/news/pat-robertson-trump-lose-mandate-205831579.html" TargetMode="External"/><Relationship Id="rId1934" Type="http://schemas.openxmlformats.org/officeDocument/2006/relationships/hyperlink" Target="http://pic.twitter.com/FAxT7UJwzg" TargetMode="External"/><Relationship Id="rId19" Type="http://schemas.openxmlformats.org/officeDocument/2006/relationships/hyperlink" Target="http://pic.twitter.com/s6015qy21t" TargetMode="External"/><Relationship Id="rId168" Type="http://schemas.openxmlformats.org/officeDocument/2006/relationships/hyperlink" Target="http://pic.twitter.com/KoxPW7dhl2" TargetMode="External"/><Relationship Id="rId375" Type="http://schemas.openxmlformats.org/officeDocument/2006/relationships/hyperlink" Target="http://pic.twitter.com/G0V7QBxpAl" TargetMode="External"/><Relationship Id="rId582" Type="http://schemas.openxmlformats.org/officeDocument/2006/relationships/hyperlink" Target="http://pic.twitter.com/GZMR9iPk13" TargetMode="External"/><Relationship Id="rId2056" Type="http://schemas.openxmlformats.org/officeDocument/2006/relationships/hyperlink" Target="http://pic.twitter.com/FZjIUCtx01" TargetMode="External"/><Relationship Id="rId3" Type="http://schemas.openxmlformats.org/officeDocument/2006/relationships/hyperlink" Target="http://pic.twitter.com/4cuuD7gqmJ" TargetMode="External"/><Relationship Id="rId235" Type="http://schemas.openxmlformats.org/officeDocument/2006/relationships/hyperlink" Target="http://pic.twitter.com/JndMpA9pca" TargetMode="External"/><Relationship Id="rId442" Type="http://schemas.openxmlformats.org/officeDocument/2006/relationships/hyperlink" Target="https://www.youtube.com/channel/UCo0yPlNMUgBkIby7Xhxij-A" TargetMode="External"/><Relationship Id="rId887" Type="http://schemas.openxmlformats.org/officeDocument/2006/relationships/hyperlink" Target="http://pic.twitter.com/3dFUDsfvux" TargetMode="External"/><Relationship Id="rId1072" Type="http://schemas.openxmlformats.org/officeDocument/2006/relationships/hyperlink" Target="http://pic.twitter.com/XOUNWp7Ysc" TargetMode="External"/><Relationship Id="rId302" Type="http://schemas.openxmlformats.org/officeDocument/2006/relationships/hyperlink" Target="http://pic.twitter.com/nWsmPszPYL" TargetMode="External"/><Relationship Id="rId747" Type="http://schemas.openxmlformats.org/officeDocument/2006/relationships/hyperlink" Target="http://pic.twitter.com/QNW7iivj87" TargetMode="External"/><Relationship Id="rId954" Type="http://schemas.openxmlformats.org/officeDocument/2006/relationships/hyperlink" Target="https://pbs.twimg.com/media/EF-m1ZpXUAAvExx.jpg" TargetMode="External"/><Relationship Id="rId1377" Type="http://schemas.openxmlformats.org/officeDocument/2006/relationships/hyperlink" Target="http://pic.twitter.com/WROAHv1K2b" TargetMode="External"/><Relationship Id="rId1584" Type="http://schemas.openxmlformats.org/officeDocument/2006/relationships/hyperlink" Target="http://pic.twitter.com/cXvP1NWZZw" TargetMode="External"/><Relationship Id="rId1791" Type="http://schemas.openxmlformats.org/officeDocument/2006/relationships/hyperlink" Target="http://pic.twitter.com/qzbbksKgGP" TargetMode="External"/><Relationship Id="rId83" Type="http://schemas.openxmlformats.org/officeDocument/2006/relationships/hyperlink" Target="http://pic.twitter.com/JZKJpXTsf6" TargetMode="External"/><Relationship Id="rId607" Type="http://schemas.openxmlformats.org/officeDocument/2006/relationships/hyperlink" Target="http://pic.twitter.com/15FvOBV8yX" TargetMode="External"/><Relationship Id="rId814" Type="http://schemas.openxmlformats.org/officeDocument/2006/relationships/hyperlink" Target="http://pic.twitter.com/Wz8I7KMJyu" TargetMode="External"/><Relationship Id="rId1237" Type="http://schemas.openxmlformats.org/officeDocument/2006/relationships/hyperlink" Target="http://pic.twitter.com/P7Qva2CPpv" TargetMode="External"/><Relationship Id="rId1444" Type="http://schemas.openxmlformats.org/officeDocument/2006/relationships/hyperlink" Target="https://pbs.twimg.com/media/EGVsJyzWkAEkXiz.jpg" TargetMode="External"/><Relationship Id="rId1651" Type="http://schemas.openxmlformats.org/officeDocument/2006/relationships/hyperlink" Target="http://pic.twitter.com/mnw4EKZ94V" TargetMode="External"/><Relationship Id="rId1889" Type="http://schemas.openxmlformats.org/officeDocument/2006/relationships/hyperlink" Target="http://pic.twitter.com/Yy7pyl5MJI" TargetMode="External"/><Relationship Id="rId1304" Type="http://schemas.openxmlformats.org/officeDocument/2006/relationships/hyperlink" Target="http://pic.twitter.com/K7iOdBqFBW" TargetMode="External"/><Relationship Id="rId1511" Type="http://schemas.openxmlformats.org/officeDocument/2006/relationships/hyperlink" Target="http://pic.twitter.com/Kf1pCFDdwd" TargetMode="External"/><Relationship Id="rId1749" Type="http://schemas.openxmlformats.org/officeDocument/2006/relationships/hyperlink" Target="http://pic.twitter.com/cUjuoyYaED" TargetMode="External"/><Relationship Id="rId1956" Type="http://schemas.openxmlformats.org/officeDocument/2006/relationships/hyperlink" Target="http://pic.twitter.com/5Q7yJjkiQj" TargetMode="External"/><Relationship Id="rId1609" Type="http://schemas.openxmlformats.org/officeDocument/2006/relationships/hyperlink" Target="http://pic.twitter.com/5gFpY6cuXy" TargetMode="External"/><Relationship Id="rId1816" Type="http://schemas.openxmlformats.org/officeDocument/2006/relationships/hyperlink" Target="http://pic.twitter.com/JCSDVZiqk8" TargetMode="External"/><Relationship Id="rId10" Type="http://schemas.openxmlformats.org/officeDocument/2006/relationships/hyperlink" Target="http://pic.twitter.com/0sRBLgzZBf" TargetMode="External"/><Relationship Id="rId397" Type="http://schemas.openxmlformats.org/officeDocument/2006/relationships/hyperlink" Target="http://pic.twitter.com/R0gv9HrCeH" TargetMode="External"/><Relationship Id="rId2078" Type="http://schemas.openxmlformats.org/officeDocument/2006/relationships/hyperlink" Target="http://pic.twitter.com/a4upm6LX55" TargetMode="External"/><Relationship Id="rId257" Type="http://schemas.openxmlformats.org/officeDocument/2006/relationships/hyperlink" Target="http://pic.twitter.com/1fQhzxHDVM" TargetMode="External"/><Relationship Id="rId464" Type="http://schemas.openxmlformats.org/officeDocument/2006/relationships/hyperlink" Target="http://pic.twitter.com/mezGCNuV94" TargetMode="External"/><Relationship Id="rId1094" Type="http://schemas.openxmlformats.org/officeDocument/2006/relationships/hyperlink" Target="http://pic.twitter.com/8hHDud78wP" TargetMode="External"/><Relationship Id="rId117" Type="http://schemas.openxmlformats.org/officeDocument/2006/relationships/hyperlink" Target="https://pbs.twimg.com/media/EGbyzqTW4AAG5MS.jpg" TargetMode="External"/><Relationship Id="rId671" Type="http://schemas.openxmlformats.org/officeDocument/2006/relationships/hyperlink" Target="http://pic.twitter.com/KGMTMVfrAh" TargetMode="External"/><Relationship Id="rId769" Type="http://schemas.openxmlformats.org/officeDocument/2006/relationships/hyperlink" Target="http://pic.twitter.com/NukVccMwYH" TargetMode="External"/><Relationship Id="rId976" Type="http://schemas.openxmlformats.org/officeDocument/2006/relationships/hyperlink" Target="http://pic.twitter.com/QhrHQYLVxV" TargetMode="External"/><Relationship Id="rId1399" Type="http://schemas.openxmlformats.org/officeDocument/2006/relationships/hyperlink" Target="http://pic.twitter.com/4Y0KqrIHZI" TargetMode="External"/><Relationship Id="rId324" Type="http://schemas.openxmlformats.org/officeDocument/2006/relationships/hyperlink" Target="http://pic.twitter.com/DItq3Fp8kE" TargetMode="External"/><Relationship Id="rId531" Type="http://schemas.openxmlformats.org/officeDocument/2006/relationships/hyperlink" Target="http://pic.twitter.com/8MgC6x1xC8" TargetMode="External"/><Relationship Id="rId629" Type="http://schemas.openxmlformats.org/officeDocument/2006/relationships/hyperlink" Target="http://pic.twitter.com/yzLM2iwcmV" TargetMode="External"/><Relationship Id="rId1161" Type="http://schemas.openxmlformats.org/officeDocument/2006/relationships/hyperlink" Target="http://pic.twitter.com/9putg257Up" TargetMode="External"/><Relationship Id="rId1259" Type="http://schemas.openxmlformats.org/officeDocument/2006/relationships/hyperlink" Target="http://pic.twitter.com/pSzQVgqeKY" TargetMode="External"/><Relationship Id="rId1466" Type="http://schemas.openxmlformats.org/officeDocument/2006/relationships/hyperlink" Target="http://pic.twitter.com/t1W6duthDo" TargetMode="External"/><Relationship Id="rId2005" Type="http://schemas.openxmlformats.org/officeDocument/2006/relationships/hyperlink" Target="http://pic.twitter.com/rz9kQ1aH8S" TargetMode="External"/><Relationship Id="rId836" Type="http://schemas.openxmlformats.org/officeDocument/2006/relationships/hyperlink" Target="http://pic.twitter.com/Clcj0KxCBk" TargetMode="External"/><Relationship Id="rId1021" Type="http://schemas.openxmlformats.org/officeDocument/2006/relationships/hyperlink" Target="http://pic.twitter.com/Olj832ZLE0" TargetMode="External"/><Relationship Id="rId1119" Type="http://schemas.openxmlformats.org/officeDocument/2006/relationships/hyperlink" Target="http://pic.twitter.com/4Cv4tW6MaZ" TargetMode="External"/><Relationship Id="rId1673" Type="http://schemas.openxmlformats.org/officeDocument/2006/relationships/hyperlink" Target="http://pic.twitter.com/96Ys0vvRsl" TargetMode="External"/><Relationship Id="rId1880" Type="http://schemas.openxmlformats.org/officeDocument/2006/relationships/hyperlink" Target="http://pic.twitter.com/fyJQwXmUBx" TargetMode="External"/><Relationship Id="rId1978" Type="http://schemas.openxmlformats.org/officeDocument/2006/relationships/hyperlink" Target="http://pic.twitter.com/ZNRod7t0f0" TargetMode="External"/><Relationship Id="rId903" Type="http://schemas.openxmlformats.org/officeDocument/2006/relationships/hyperlink" Target="http://pic.twitter.com/aBUgOYjLq9" TargetMode="External"/><Relationship Id="rId1326" Type="http://schemas.openxmlformats.org/officeDocument/2006/relationships/hyperlink" Target="http://pic.twitter.com/kc4OsfToU6" TargetMode="External"/><Relationship Id="rId1533" Type="http://schemas.openxmlformats.org/officeDocument/2006/relationships/hyperlink" Target="http://pic.twitter.com/jkEItW2JjI" TargetMode="External"/><Relationship Id="rId1740" Type="http://schemas.openxmlformats.org/officeDocument/2006/relationships/hyperlink" Target="http://pic.twitter.com/4Gi0Ptly1u" TargetMode="External"/><Relationship Id="rId32" Type="http://schemas.openxmlformats.org/officeDocument/2006/relationships/hyperlink" Target="http://yehiaelgammal.blogspot.com/" TargetMode="External"/><Relationship Id="rId1600" Type="http://schemas.openxmlformats.org/officeDocument/2006/relationships/hyperlink" Target="http://pic.twitter.com/oztCErMOj7" TargetMode="External"/><Relationship Id="rId1838" Type="http://schemas.openxmlformats.org/officeDocument/2006/relationships/hyperlink" Target="https://twitter.com/TestKitchen211/status/1181332609097437184" TargetMode="External"/><Relationship Id="rId181" Type="http://schemas.openxmlformats.org/officeDocument/2006/relationships/hyperlink" Target="http://pic.twitter.com/o3XzmTPr65" TargetMode="External"/><Relationship Id="rId1905" Type="http://schemas.openxmlformats.org/officeDocument/2006/relationships/hyperlink" Target="http://pic.twitter.com/cTwTDm5iPp" TargetMode="External"/><Relationship Id="rId279" Type="http://schemas.openxmlformats.org/officeDocument/2006/relationships/hyperlink" Target="http://pic.twitter.com/VEsArWlEIX" TargetMode="External"/><Relationship Id="rId486" Type="http://schemas.openxmlformats.org/officeDocument/2006/relationships/hyperlink" Target="http://pic.twitter.com/QX7BHZ4a8h" TargetMode="External"/><Relationship Id="rId693" Type="http://schemas.openxmlformats.org/officeDocument/2006/relationships/hyperlink" Target="http://pic.twitter.com/0JEs2v2tbd" TargetMode="External"/><Relationship Id="rId139" Type="http://schemas.openxmlformats.org/officeDocument/2006/relationships/hyperlink" Target="http://pic.twitter.com/X9HIcDCc2A" TargetMode="External"/><Relationship Id="rId346" Type="http://schemas.openxmlformats.org/officeDocument/2006/relationships/hyperlink" Target="http://pic.twitter.com/xPaAVC9SMr" TargetMode="External"/><Relationship Id="rId553" Type="http://schemas.openxmlformats.org/officeDocument/2006/relationships/hyperlink" Target="http://pic.twitter.com/G8vZS2MXdD" TargetMode="External"/><Relationship Id="rId760" Type="http://schemas.openxmlformats.org/officeDocument/2006/relationships/hyperlink" Target="http://pic.twitter.com/ssYugMf8Ql" TargetMode="External"/><Relationship Id="rId998" Type="http://schemas.openxmlformats.org/officeDocument/2006/relationships/hyperlink" Target="http://pic.twitter.com/agJFbJVp4J" TargetMode="External"/><Relationship Id="rId1183" Type="http://schemas.openxmlformats.org/officeDocument/2006/relationships/hyperlink" Target="http://pic.twitter.com/SCWicwt7GQ" TargetMode="External"/><Relationship Id="rId1390" Type="http://schemas.openxmlformats.org/officeDocument/2006/relationships/hyperlink" Target="http://pic.twitter.com/VG16tX6tJv" TargetMode="External"/><Relationship Id="rId2027" Type="http://schemas.openxmlformats.org/officeDocument/2006/relationships/hyperlink" Target="http://pic.twitter.com/Aha8zlYoXk" TargetMode="External"/><Relationship Id="rId206" Type="http://schemas.openxmlformats.org/officeDocument/2006/relationships/hyperlink" Target="http://pic.twitter.com/V6aIGtUNgJ" TargetMode="External"/><Relationship Id="rId413" Type="http://schemas.openxmlformats.org/officeDocument/2006/relationships/hyperlink" Target="http://pic.twitter.com/rQApJ8e3GB" TargetMode="External"/><Relationship Id="rId858" Type="http://schemas.openxmlformats.org/officeDocument/2006/relationships/hyperlink" Target="http://pic.twitter.com/3hVSGRgHTa" TargetMode="External"/><Relationship Id="rId1043" Type="http://schemas.openxmlformats.org/officeDocument/2006/relationships/hyperlink" Target="https://pbs.twimg.com/media/EF-m1ZpXUAAvExx.jpg" TargetMode="External"/><Relationship Id="rId1488" Type="http://schemas.openxmlformats.org/officeDocument/2006/relationships/hyperlink" Target="https://www.hrw.org/fr/news/2019/10/08/la-france-devrait-rester-ferme-face-larabie-saoudite" TargetMode="External"/><Relationship Id="rId1695" Type="http://schemas.openxmlformats.org/officeDocument/2006/relationships/hyperlink" Target="http://pic.twitter.com/0pQuQnme2s" TargetMode="External"/><Relationship Id="rId620" Type="http://schemas.openxmlformats.org/officeDocument/2006/relationships/hyperlink" Target="http://pic.twitter.com/g7mcRhuKJx" TargetMode="External"/><Relationship Id="rId718" Type="http://schemas.openxmlformats.org/officeDocument/2006/relationships/hyperlink" Target="http://pic.twitter.com/6nHorDu5gn" TargetMode="External"/><Relationship Id="rId925" Type="http://schemas.openxmlformats.org/officeDocument/2006/relationships/hyperlink" Target="http://pic.twitter.com/g0lbFJlrS1" TargetMode="External"/><Relationship Id="rId1250" Type="http://schemas.openxmlformats.org/officeDocument/2006/relationships/hyperlink" Target="http://pic.twitter.com/SYg1YZtvjI" TargetMode="External"/><Relationship Id="rId1348" Type="http://schemas.openxmlformats.org/officeDocument/2006/relationships/hyperlink" Target="http://pic.twitter.com/eE9KmApE6x" TargetMode="External"/><Relationship Id="rId1555" Type="http://schemas.openxmlformats.org/officeDocument/2006/relationships/hyperlink" Target="http://pic.twitter.com/mPd02nTH8E" TargetMode="External"/><Relationship Id="rId1762" Type="http://schemas.openxmlformats.org/officeDocument/2006/relationships/hyperlink" Target="http://pic.twitter.com/5TiBlvCUBB" TargetMode="External"/><Relationship Id="rId1110" Type="http://schemas.openxmlformats.org/officeDocument/2006/relationships/hyperlink" Target="http://pic.twitter.com/fJtdYSb6ZU" TargetMode="External"/><Relationship Id="rId1208" Type="http://schemas.openxmlformats.org/officeDocument/2006/relationships/hyperlink" Target="https://pbs.twimg.com/media/EF-m1ZpXUAAvExx.jpg" TargetMode="External"/><Relationship Id="rId1415" Type="http://schemas.openxmlformats.org/officeDocument/2006/relationships/hyperlink" Target="http://pic.twitter.com/v7MQagrAh5" TargetMode="External"/><Relationship Id="rId54" Type="http://schemas.openxmlformats.org/officeDocument/2006/relationships/hyperlink" Target="http://pic.twitter.com/heQXifqZjJ" TargetMode="External"/><Relationship Id="rId1622" Type="http://schemas.openxmlformats.org/officeDocument/2006/relationships/hyperlink" Target="http://pic.twitter.com/9pYuYLH5A2" TargetMode="External"/><Relationship Id="rId1927" Type="http://schemas.openxmlformats.org/officeDocument/2006/relationships/hyperlink" Target="http://pic.twitter.com/oHQ77Vr3pX" TargetMode="External"/><Relationship Id="rId2091" Type="http://schemas.openxmlformats.org/officeDocument/2006/relationships/hyperlink" Target="http://pic.twitter.com/LTdUVVvbdp" TargetMode="External"/><Relationship Id="rId270" Type="http://schemas.openxmlformats.org/officeDocument/2006/relationships/hyperlink" Target="http://pic.twitter.com/5vQMJ6rcJd" TargetMode="External"/><Relationship Id="rId130" Type="http://schemas.openxmlformats.org/officeDocument/2006/relationships/hyperlink" Target="https://pbs.twimg.com/media/EGbwgzZW4AADSdf.jpg" TargetMode="External"/><Relationship Id="rId368" Type="http://schemas.openxmlformats.org/officeDocument/2006/relationships/hyperlink" Target="http://pic.twitter.com/0Yxd1thYbS" TargetMode="External"/><Relationship Id="rId575" Type="http://schemas.openxmlformats.org/officeDocument/2006/relationships/hyperlink" Target="http://pic.twitter.com/m5HtgqyGtT" TargetMode="External"/><Relationship Id="rId782" Type="http://schemas.openxmlformats.org/officeDocument/2006/relationships/hyperlink" Target="http://pic.twitter.com/tFp4hZ2JkG" TargetMode="External"/><Relationship Id="rId2049" Type="http://schemas.openxmlformats.org/officeDocument/2006/relationships/hyperlink" Target="http://pic.twitter.com/P5rJ2Swa3f" TargetMode="External"/><Relationship Id="rId228" Type="http://schemas.openxmlformats.org/officeDocument/2006/relationships/hyperlink" Target="http://pic.twitter.com/oarxygVFmk" TargetMode="External"/><Relationship Id="rId435" Type="http://schemas.openxmlformats.org/officeDocument/2006/relationships/hyperlink" Target="http://pic.twitter.com/76qcBMImU4" TargetMode="External"/><Relationship Id="rId642" Type="http://schemas.openxmlformats.org/officeDocument/2006/relationships/hyperlink" Target="http://pic.twitter.com/oqBq1Lka1l" TargetMode="External"/><Relationship Id="rId1065" Type="http://schemas.openxmlformats.org/officeDocument/2006/relationships/hyperlink" Target="http://pic.twitter.com/PGp0gRSZBY" TargetMode="External"/><Relationship Id="rId1272" Type="http://schemas.openxmlformats.org/officeDocument/2006/relationships/hyperlink" Target="http://pic.twitter.com/6mqJl0ltcK" TargetMode="External"/><Relationship Id="rId502" Type="http://schemas.openxmlformats.org/officeDocument/2006/relationships/hyperlink" Target="http://pic.twitter.com/zG101pNZBJ" TargetMode="External"/><Relationship Id="rId947" Type="http://schemas.openxmlformats.org/officeDocument/2006/relationships/hyperlink" Target="http://pic.twitter.com/MMRSHnF6Oi" TargetMode="External"/><Relationship Id="rId1132" Type="http://schemas.openxmlformats.org/officeDocument/2006/relationships/hyperlink" Target="http://pic.twitter.com/pv4vqN8qVg" TargetMode="External"/><Relationship Id="rId1577" Type="http://schemas.openxmlformats.org/officeDocument/2006/relationships/hyperlink" Target="http://pic.twitter.com/rBsFbVpkQz" TargetMode="External"/><Relationship Id="rId1784" Type="http://schemas.openxmlformats.org/officeDocument/2006/relationships/hyperlink" Target="http://pic.twitter.com/yjH47IGa5L" TargetMode="External"/><Relationship Id="rId1991" Type="http://schemas.openxmlformats.org/officeDocument/2006/relationships/hyperlink" Target="http://pic.twitter.com/Rk2eb9lCts" TargetMode="External"/><Relationship Id="rId76" Type="http://schemas.openxmlformats.org/officeDocument/2006/relationships/hyperlink" Target="http://pic.twitter.com/FEPGRUXuq1" TargetMode="External"/><Relationship Id="rId807" Type="http://schemas.openxmlformats.org/officeDocument/2006/relationships/hyperlink" Target="http://pic.twitter.com/whxG35RuUr" TargetMode="External"/><Relationship Id="rId1437" Type="http://schemas.openxmlformats.org/officeDocument/2006/relationships/hyperlink" Target="http://pic.twitter.com/Ny25keHP0V" TargetMode="External"/><Relationship Id="rId1644" Type="http://schemas.openxmlformats.org/officeDocument/2006/relationships/hyperlink" Target="http://pic.twitter.com/kBHQBAfbrC" TargetMode="External"/><Relationship Id="rId1851" Type="http://schemas.openxmlformats.org/officeDocument/2006/relationships/hyperlink" Target="http://pic.twitter.com/DYvzeEa7r7" TargetMode="External"/><Relationship Id="rId1504" Type="http://schemas.openxmlformats.org/officeDocument/2006/relationships/hyperlink" Target="http://pic.twitter.com/8pGJIcaoBn" TargetMode="External"/><Relationship Id="rId1711" Type="http://schemas.openxmlformats.org/officeDocument/2006/relationships/hyperlink" Target="http://pic.twitter.com/oAl6RZUDCv" TargetMode="External"/><Relationship Id="rId1949" Type="http://schemas.openxmlformats.org/officeDocument/2006/relationships/hyperlink" Target="http://pic.twitter.com/LpsseV8qLe" TargetMode="External"/><Relationship Id="rId292" Type="http://schemas.openxmlformats.org/officeDocument/2006/relationships/hyperlink" Target="http://pic.twitter.com/CWOuqKo46H" TargetMode="External"/><Relationship Id="rId1809" Type="http://schemas.openxmlformats.org/officeDocument/2006/relationships/hyperlink" Target="http://pic.twitter.com/lSaZVEv4yP" TargetMode="External"/><Relationship Id="rId597" Type="http://schemas.openxmlformats.org/officeDocument/2006/relationships/hyperlink" Target="http://pic.twitter.com/FgYJOvegiB" TargetMode="External"/><Relationship Id="rId152" Type="http://schemas.openxmlformats.org/officeDocument/2006/relationships/hyperlink" Target="http://pic.twitter.com/OcTB1OqZVv" TargetMode="External"/><Relationship Id="rId457" Type="http://schemas.openxmlformats.org/officeDocument/2006/relationships/hyperlink" Target="http://pic.twitter.com/ScglNQHpEU" TargetMode="External"/><Relationship Id="rId1087" Type="http://schemas.openxmlformats.org/officeDocument/2006/relationships/hyperlink" Target="http://pic.twitter.com/r90fKtPgmx" TargetMode="External"/><Relationship Id="rId1294" Type="http://schemas.openxmlformats.org/officeDocument/2006/relationships/hyperlink" Target="https://pbs.twimg.com/media/EF-m1ZpXUAAvExx.jpg" TargetMode="External"/><Relationship Id="rId2040" Type="http://schemas.openxmlformats.org/officeDocument/2006/relationships/hyperlink" Target="http://pic.twitter.com/BH56vY5jT5" TargetMode="External"/><Relationship Id="rId664" Type="http://schemas.openxmlformats.org/officeDocument/2006/relationships/hyperlink" Target="https://pbs.twimg.com/media/EGaTXU0XUAAeL7H.jpg" TargetMode="External"/><Relationship Id="rId871" Type="http://schemas.openxmlformats.org/officeDocument/2006/relationships/hyperlink" Target="http://pic.twitter.com/YBeup2hG5L" TargetMode="External"/><Relationship Id="rId969" Type="http://schemas.openxmlformats.org/officeDocument/2006/relationships/hyperlink" Target="http://pic.twitter.com/cF7X7YRhJ3" TargetMode="External"/><Relationship Id="rId1599" Type="http://schemas.openxmlformats.org/officeDocument/2006/relationships/hyperlink" Target="http://pic.twitter.com/oP4H8Bo90K" TargetMode="External"/><Relationship Id="rId317" Type="http://schemas.openxmlformats.org/officeDocument/2006/relationships/hyperlink" Target="http://pic.twitter.com/shZyGLgz9b" TargetMode="External"/><Relationship Id="rId524" Type="http://schemas.openxmlformats.org/officeDocument/2006/relationships/hyperlink" Target="http://pic.twitter.com/Dew2KnLodv" TargetMode="External"/><Relationship Id="rId731" Type="http://schemas.openxmlformats.org/officeDocument/2006/relationships/hyperlink" Target="http://pic.twitter.com/oP4g9YDfgM" TargetMode="External"/><Relationship Id="rId1154" Type="http://schemas.openxmlformats.org/officeDocument/2006/relationships/hyperlink" Target="http://www.fairobserver.com/" TargetMode="External"/><Relationship Id="rId1361" Type="http://schemas.openxmlformats.org/officeDocument/2006/relationships/hyperlink" Target="http://pic.twitter.com/psQRdCDL04" TargetMode="External"/><Relationship Id="rId1459" Type="http://schemas.openxmlformats.org/officeDocument/2006/relationships/hyperlink" Target="http://pic.twitter.com/Flsd2wMohz" TargetMode="External"/><Relationship Id="rId98" Type="http://schemas.openxmlformats.org/officeDocument/2006/relationships/hyperlink" Target="http://pic.twitter.com/3ZvWuuPrT1" TargetMode="External"/><Relationship Id="rId829" Type="http://schemas.openxmlformats.org/officeDocument/2006/relationships/hyperlink" Target="http://pic.twitter.com/wqwaAE23b8" TargetMode="External"/><Relationship Id="rId1014" Type="http://schemas.openxmlformats.org/officeDocument/2006/relationships/hyperlink" Target="http://pic.twitter.com/Nsfyf13X0l" TargetMode="External"/><Relationship Id="rId1221" Type="http://schemas.openxmlformats.org/officeDocument/2006/relationships/hyperlink" Target="http://pic.twitter.com/t5KSYpMeKI" TargetMode="External"/><Relationship Id="rId1666" Type="http://schemas.openxmlformats.org/officeDocument/2006/relationships/hyperlink" Target="http://pic.twitter.com/tLc4alpsrP" TargetMode="External"/><Relationship Id="rId1873" Type="http://schemas.openxmlformats.org/officeDocument/2006/relationships/hyperlink" Target="http://pic.twitter.com/1Wd4JmAQiX" TargetMode="External"/><Relationship Id="rId1319" Type="http://schemas.openxmlformats.org/officeDocument/2006/relationships/hyperlink" Target="http://pic.twitter.com/kDAIFSJBH8" TargetMode="External"/><Relationship Id="rId1526" Type="http://schemas.openxmlformats.org/officeDocument/2006/relationships/hyperlink" Target="http://pic.twitter.com/07wtlB856G" TargetMode="External"/><Relationship Id="rId1733" Type="http://schemas.openxmlformats.org/officeDocument/2006/relationships/hyperlink" Target="http://www.sayidaty.net/node/751551/%D8%A3%D8%B3%D8%B1%D8%A9-" TargetMode="External"/><Relationship Id="rId1940" Type="http://schemas.openxmlformats.org/officeDocument/2006/relationships/hyperlink" Target="http://pic.twitter.com/OKIwYDCgvs" TargetMode="External"/><Relationship Id="rId25" Type="http://schemas.openxmlformats.org/officeDocument/2006/relationships/hyperlink" Target="http://pic.twitter.com/1EfJUi5u5v" TargetMode="External"/><Relationship Id="rId1800" Type="http://schemas.openxmlformats.org/officeDocument/2006/relationships/hyperlink" Target="http://www.artkapsule.com/" TargetMode="External"/><Relationship Id="rId174" Type="http://schemas.openxmlformats.org/officeDocument/2006/relationships/hyperlink" Target="http://pic.twitter.com/vu1KpkTOpz" TargetMode="External"/><Relationship Id="rId381" Type="http://schemas.openxmlformats.org/officeDocument/2006/relationships/hyperlink" Target="http://pic.twitter.com/f350ud66Wt" TargetMode="External"/><Relationship Id="rId2062" Type="http://schemas.openxmlformats.org/officeDocument/2006/relationships/hyperlink" Target="http://pic.twitter.com/ZFukPH0SZe" TargetMode="External"/><Relationship Id="rId241" Type="http://schemas.openxmlformats.org/officeDocument/2006/relationships/hyperlink" Target="https://pbs.twimg.com/media/EF-m1ZpXUAAvExx.jpg" TargetMode="External"/><Relationship Id="rId479" Type="http://schemas.openxmlformats.org/officeDocument/2006/relationships/hyperlink" Target="http://pic.twitter.com/Z7UZpOrvyO" TargetMode="External"/><Relationship Id="rId686" Type="http://schemas.openxmlformats.org/officeDocument/2006/relationships/hyperlink" Target="http://pic.twitter.com/chwmgqGN8I" TargetMode="External"/><Relationship Id="rId893" Type="http://schemas.openxmlformats.org/officeDocument/2006/relationships/hyperlink" Target="http://pic.twitter.com/oNPFsHcQqu" TargetMode="External"/><Relationship Id="rId339" Type="http://schemas.openxmlformats.org/officeDocument/2006/relationships/hyperlink" Target="https://pbs.twimg.com/media/EF-k-QmWkAIXsMv.jpg" TargetMode="External"/><Relationship Id="rId546" Type="http://schemas.openxmlformats.org/officeDocument/2006/relationships/hyperlink" Target="http://pic.twitter.com/QnwhHIdjnu" TargetMode="External"/><Relationship Id="rId753" Type="http://schemas.openxmlformats.org/officeDocument/2006/relationships/hyperlink" Target="http://pic.twitter.com/vUCRjq5xxW" TargetMode="External"/><Relationship Id="rId1176" Type="http://schemas.openxmlformats.org/officeDocument/2006/relationships/hyperlink" Target="http://pic.twitter.com/IfZLF4I3Bg" TargetMode="External"/><Relationship Id="rId1383" Type="http://schemas.openxmlformats.org/officeDocument/2006/relationships/hyperlink" Target="http://pic.twitter.com/Pb9SIGbCB3" TargetMode="External"/><Relationship Id="rId101" Type="http://schemas.openxmlformats.org/officeDocument/2006/relationships/hyperlink" Target="http://pic.twitter.com/TR0Rt2ThWe" TargetMode="External"/><Relationship Id="rId406" Type="http://schemas.openxmlformats.org/officeDocument/2006/relationships/hyperlink" Target="http://pic.twitter.com/LQM8rtpRmC" TargetMode="External"/><Relationship Id="rId960" Type="http://schemas.openxmlformats.org/officeDocument/2006/relationships/hyperlink" Target="http://pic.twitter.com/SuZb4MTLGP" TargetMode="External"/><Relationship Id="rId1036" Type="http://schemas.openxmlformats.org/officeDocument/2006/relationships/hyperlink" Target="http://pic.twitter.com/6FDaWdf3oV" TargetMode="External"/><Relationship Id="rId1243" Type="http://schemas.openxmlformats.org/officeDocument/2006/relationships/hyperlink" Target="https://pbs.twimg.com/media/EF-kwdrWwA0yvZy.jpg" TargetMode="External"/><Relationship Id="rId1590" Type="http://schemas.openxmlformats.org/officeDocument/2006/relationships/hyperlink" Target="http://pic.twitter.com/Xt6KNXRUyL" TargetMode="External"/><Relationship Id="rId1688" Type="http://schemas.openxmlformats.org/officeDocument/2006/relationships/hyperlink" Target="http://pic.twitter.com/LVkARXXuug" TargetMode="External"/><Relationship Id="rId1895" Type="http://schemas.openxmlformats.org/officeDocument/2006/relationships/hyperlink" Target="http://pic.twitter.com/mPyGDOHXZl" TargetMode="External"/><Relationship Id="rId613" Type="http://schemas.openxmlformats.org/officeDocument/2006/relationships/hyperlink" Target="http://pic.twitter.com/B5v0AsvHQf" TargetMode="External"/><Relationship Id="rId820" Type="http://schemas.openxmlformats.org/officeDocument/2006/relationships/hyperlink" Target="http://pic.twitter.com/6WQgGCBlyK" TargetMode="External"/><Relationship Id="rId918" Type="http://schemas.openxmlformats.org/officeDocument/2006/relationships/hyperlink" Target="http://pic.twitter.com/h9Ryf4pUtT" TargetMode="External"/><Relationship Id="rId1450" Type="http://schemas.openxmlformats.org/officeDocument/2006/relationships/hyperlink" Target="http://www.press.org/" TargetMode="External"/><Relationship Id="rId1548" Type="http://schemas.openxmlformats.org/officeDocument/2006/relationships/hyperlink" Target="http://pic.twitter.com/ubT1Kf9NIT" TargetMode="External"/><Relationship Id="rId1755" Type="http://schemas.openxmlformats.org/officeDocument/2006/relationships/hyperlink" Target="http://pic.twitter.com/2hXrNFxv94" TargetMode="External"/><Relationship Id="rId1103" Type="http://schemas.openxmlformats.org/officeDocument/2006/relationships/hyperlink" Target="http://pic.twitter.com/F36WrDZTSt" TargetMode="External"/><Relationship Id="rId1310" Type="http://schemas.openxmlformats.org/officeDocument/2006/relationships/hyperlink" Target="http://pic.twitter.com/7O5SnpuyQy" TargetMode="External"/><Relationship Id="rId1408" Type="http://schemas.openxmlformats.org/officeDocument/2006/relationships/hyperlink" Target="http://pic.twitter.com/GoeHghYQ3j" TargetMode="External"/><Relationship Id="rId1962" Type="http://schemas.openxmlformats.org/officeDocument/2006/relationships/hyperlink" Target="http://pic.twitter.com/1a9zvZJMv2" TargetMode="External"/><Relationship Id="rId47" Type="http://schemas.openxmlformats.org/officeDocument/2006/relationships/hyperlink" Target="http://pic.twitter.com/mjdMj67HkB" TargetMode="External"/><Relationship Id="rId1615" Type="http://schemas.openxmlformats.org/officeDocument/2006/relationships/hyperlink" Target="http://pic.twitter.com/lJQSyZcwMf" TargetMode="External"/><Relationship Id="rId1822" Type="http://schemas.openxmlformats.org/officeDocument/2006/relationships/hyperlink" Target="http://pic.twitter.com/ezWynD8AcB" TargetMode="External"/><Relationship Id="rId196" Type="http://schemas.openxmlformats.org/officeDocument/2006/relationships/hyperlink" Target="http://pic.twitter.com/sLt5tBfoSe" TargetMode="External"/><Relationship Id="rId2084" Type="http://schemas.openxmlformats.org/officeDocument/2006/relationships/hyperlink" Target="http://pic.twitter.com/hDAVILqIYA" TargetMode="External"/><Relationship Id="rId263" Type="http://schemas.openxmlformats.org/officeDocument/2006/relationships/hyperlink" Target="http://pic.twitter.com/CSJHMntXec" TargetMode="External"/><Relationship Id="rId470" Type="http://schemas.openxmlformats.org/officeDocument/2006/relationships/hyperlink" Target="http://pic.twitter.com/MG9QLMEzT0" TargetMode="External"/><Relationship Id="rId123" Type="http://schemas.openxmlformats.org/officeDocument/2006/relationships/hyperlink" Target="http://pic.twitter.com/okEXy07nsD" TargetMode="External"/><Relationship Id="rId330" Type="http://schemas.openxmlformats.org/officeDocument/2006/relationships/hyperlink" Target="https://pbs.twimg.com/media/EF-kwdrWwA0yvZy.jpg" TargetMode="External"/><Relationship Id="rId568" Type="http://schemas.openxmlformats.org/officeDocument/2006/relationships/hyperlink" Target="http://pic.twitter.com/VJstF4qlaY" TargetMode="External"/><Relationship Id="rId775" Type="http://schemas.openxmlformats.org/officeDocument/2006/relationships/hyperlink" Target="http://pic.twitter.com/bUtwhFawYc" TargetMode="External"/><Relationship Id="rId982" Type="http://schemas.openxmlformats.org/officeDocument/2006/relationships/hyperlink" Target="http://pic.twitter.com/Fu0bNxni4D" TargetMode="External"/><Relationship Id="rId1198" Type="http://schemas.openxmlformats.org/officeDocument/2006/relationships/hyperlink" Target="http://pic.twitter.com/NouCzyEUg3" TargetMode="External"/><Relationship Id="rId2011" Type="http://schemas.openxmlformats.org/officeDocument/2006/relationships/hyperlink" Target="http://pic.twitter.com/CevzbMM36B" TargetMode="External"/><Relationship Id="rId428" Type="http://schemas.openxmlformats.org/officeDocument/2006/relationships/hyperlink" Target="http://pic.twitter.com/7h4qpEtwMN" TargetMode="External"/><Relationship Id="rId635" Type="http://schemas.openxmlformats.org/officeDocument/2006/relationships/hyperlink" Target="http://pic.twitter.com/oTjoMlajPH" TargetMode="External"/><Relationship Id="rId842" Type="http://schemas.openxmlformats.org/officeDocument/2006/relationships/hyperlink" Target="http://pic.twitter.com/cmtGyKJUbG" TargetMode="External"/><Relationship Id="rId1058" Type="http://schemas.openxmlformats.org/officeDocument/2006/relationships/hyperlink" Target="http://pic.twitter.com/KlARSmuB4J" TargetMode="External"/><Relationship Id="rId1265" Type="http://schemas.openxmlformats.org/officeDocument/2006/relationships/hyperlink" Target="http://pic.twitter.com/LMFPMO4VX3" TargetMode="External"/><Relationship Id="rId1472" Type="http://schemas.openxmlformats.org/officeDocument/2006/relationships/hyperlink" Target="http://pic.twitter.com/FJkxlHEHTj" TargetMode="External"/><Relationship Id="rId702" Type="http://schemas.openxmlformats.org/officeDocument/2006/relationships/hyperlink" Target="http://pic.twitter.com/wnGnpxxWCd" TargetMode="External"/><Relationship Id="rId1125" Type="http://schemas.openxmlformats.org/officeDocument/2006/relationships/hyperlink" Target="http://pic.twitter.com/F7ESlj5PZ5" TargetMode="External"/><Relationship Id="rId1332" Type="http://schemas.openxmlformats.org/officeDocument/2006/relationships/hyperlink" Target="http://pic.twitter.com/gyxs4dtDOY" TargetMode="External"/><Relationship Id="rId1777" Type="http://schemas.openxmlformats.org/officeDocument/2006/relationships/hyperlink" Target="http://pic.twitter.com/AuJsGIhwmx" TargetMode="External"/><Relationship Id="rId1984" Type="http://schemas.openxmlformats.org/officeDocument/2006/relationships/hyperlink" Target="http://pic.twitter.com/cmxl1dVFsn" TargetMode="External"/><Relationship Id="rId69" Type="http://schemas.openxmlformats.org/officeDocument/2006/relationships/hyperlink" Target="http://pic.twitter.com/FEINfvgvVP" TargetMode="External"/><Relationship Id="rId1637" Type="http://schemas.openxmlformats.org/officeDocument/2006/relationships/hyperlink" Target="http://pic.twitter.com/tOfmLC2U94" TargetMode="External"/><Relationship Id="rId1844" Type="http://schemas.openxmlformats.org/officeDocument/2006/relationships/hyperlink" Target="http://pic.twitter.com/eSePuSUEBf" TargetMode="External"/><Relationship Id="rId1704" Type="http://schemas.openxmlformats.org/officeDocument/2006/relationships/hyperlink" Target="http://pic.twitter.com/Xfhdm5wxqp" TargetMode="External"/><Relationship Id="rId285" Type="http://schemas.openxmlformats.org/officeDocument/2006/relationships/hyperlink" Target="http://pic.twitter.com/hXNiZ4fTLh" TargetMode="External"/><Relationship Id="rId1911" Type="http://schemas.openxmlformats.org/officeDocument/2006/relationships/hyperlink" Target="http://pic.twitter.com/ZWZOVja4CO" TargetMode="External"/><Relationship Id="rId492" Type="http://schemas.openxmlformats.org/officeDocument/2006/relationships/hyperlink" Target="http://pic.twitter.com/gipB0MA4U8" TargetMode="External"/><Relationship Id="rId797" Type="http://schemas.openxmlformats.org/officeDocument/2006/relationships/hyperlink" Target="http://pic.twitter.com/mndOF9M22G" TargetMode="External"/><Relationship Id="rId145" Type="http://schemas.openxmlformats.org/officeDocument/2006/relationships/hyperlink" Target="https://pbs.twimg.com/media/EF-k-QmWkAIXsMv.jpg" TargetMode="External"/><Relationship Id="rId352" Type="http://schemas.openxmlformats.org/officeDocument/2006/relationships/hyperlink" Target="http://pic.twitter.com/SkxqVPFGNw" TargetMode="External"/><Relationship Id="rId1287" Type="http://schemas.openxmlformats.org/officeDocument/2006/relationships/hyperlink" Target="http://pic.twitter.com/1uZz3KKdMC" TargetMode="External"/><Relationship Id="rId2033" Type="http://schemas.openxmlformats.org/officeDocument/2006/relationships/hyperlink" Target="http://pic.twitter.com/JSiE7Q0YW9" TargetMode="External"/><Relationship Id="rId212" Type="http://schemas.openxmlformats.org/officeDocument/2006/relationships/hyperlink" Target="http://pic.twitter.com/uWO0HNS2Vp" TargetMode="External"/><Relationship Id="rId657" Type="http://schemas.openxmlformats.org/officeDocument/2006/relationships/hyperlink" Target="http://pic.twitter.com/e5du3xx1Qd" TargetMode="External"/><Relationship Id="rId864" Type="http://schemas.openxmlformats.org/officeDocument/2006/relationships/hyperlink" Target="http://pic.twitter.com/3JbPrGWgkd" TargetMode="External"/><Relationship Id="rId1494" Type="http://schemas.openxmlformats.org/officeDocument/2006/relationships/hyperlink" Target="https://pbs.twimg.com/media/EF-k-QmWkAIXsMv.jpg" TargetMode="External"/><Relationship Id="rId1799" Type="http://schemas.openxmlformats.org/officeDocument/2006/relationships/hyperlink" Target="http://pic.twitter.com/07iqDYTCs4" TargetMode="External"/><Relationship Id="rId2100" Type="http://schemas.openxmlformats.org/officeDocument/2006/relationships/hyperlink" Target="http://pic.twitter.com/L9Nc96TDZD" TargetMode="External"/><Relationship Id="rId517" Type="http://schemas.openxmlformats.org/officeDocument/2006/relationships/hyperlink" Target="http://pic.twitter.com/5pEP2XVhMb" TargetMode="External"/><Relationship Id="rId724" Type="http://schemas.openxmlformats.org/officeDocument/2006/relationships/hyperlink" Target="http://pic.twitter.com/kq8Qw82CXF" TargetMode="External"/><Relationship Id="rId931" Type="http://schemas.openxmlformats.org/officeDocument/2006/relationships/hyperlink" Target="http://pic.twitter.com/fQeUh9zvE3" TargetMode="External"/><Relationship Id="rId1147" Type="http://schemas.openxmlformats.org/officeDocument/2006/relationships/hyperlink" Target="http://pic.twitter.com/WTekJ7tgoS" TargetMode="External"/><Relationship Id="rId1354" Type="http://schemas.openxmlformats.org/officeDocument/2006/relationships/hyperlink" Target="http://pic.twitter.com/LHQkOgbqb8" TargetMode="External"/><Relationship Id="rId1561" Type="http://schemas.openxmlformats.org/officeDocument/2006/relationships/hyperlink" Target="http://pic.twitter.com/vhxt3Y92cp" TargetMode="External"/><Relationship Id="rId60" Type="http://schemas.openxmlformats.org/officeDocument/2006/relationships/hyperlink" Target="http://pic.twitter.com/fyk0vvkEhB" TargetMode="External"/><Relationship Id="rId1007" Type="http://schemas.openxmlformats.org/officeDocument/2006/relationships/hyperlink" Target="http://pic.twitter.com/Ft7e6tfrXq" TargetMode="External"/><Relationship Id="rId1214" Type="http://schemas.openxmlformats.org/officeDocument/2006/relationships/hyperlink" Target="http://pic.twitter.com/UXt1Me3d2V" TargetMode="External"/><Relationship Id="rId1421" Type="http://schemas.openxmlformats.org/officeDocument/2006/relationships/hyperlink" Target="http://pic.twitter.com/Ib6rt8acdH" TargetMode="External"/><Relationship Id="rId1659" Type="http://schemas.openxmlformats.org/officeDocument/2006/relationships/hyperlink" Target="http://pic.twitter.com/NwIcLF1mOQ" TargetMode="External"/><Relationship Id="rId1866" Type="http://schemas.openxmlformats.org/officeDocument/2006/relationships/hyperlink" Target="http://pic.twitter.com/njZz3oDA2i" TargetMode="External"/><Relationship Id="rId1519" Type="http://schemas.openxmlformats.org/officeDocument/2006/relationships/hyperlink" Target="http://pic.twitter.com/hmqSGwsWQ2" TargetMode="External"/><Relationship Id="rId1726" Type="http://schemas.openxmlformats.org/officeDocument/2006/relationships/hyperlink" Target="http://pic.twitter.com/Wu8AUn70tn" TargetMode="External"/><Relationship Id="rId1933" Type="http://schemas.openxmlformats.org/officeDocument/2006/relationships/hyperlink" Target="http://pic.twitter.com/bUAqjbjMir" TargetMode="External"/><Relationship Id="rId18" Type="http://schemas.openxmlformats.org/officeDocument/2006/relationships/hyperlink" Target="http://pic.twitter.com/9dKUllkZKk" TargetMode="External"/><Relationship Id="rId167" Type="http://schemas.openxmlformats.org/officeDocument/2006/relationships/hyperlink" Target="http://pic.twitter.com/AUEVLfp3ln" TargetMode="External"/><Relationship Id="rId374" Type="http://schemas.openxmlformats.org/officeDocument/2006/relationships/hyperlink" Target="http://pic.twitter.com/FdV9oyvgbH" TargetMode="External"/><Relationship Id="rId581" Type="http://schemas.openxmlformats.org/officeDocument/2006/relationships/hyperlink" Target="http://pic.twitter.com/S3ksTPEmDB" TargetMode="External"/><Relationship Id="rId2055" Type="http://schemas.openxmlformats.org/officeDocument/2006/relationships/hyperlink" Target="http://pic.twitter.com/nYQsoP1U0d" TargetMode="External"/><Relationship Id="rId234" Type="http://schemas.openxmlformats.org/officeDocument/2006/relationships/hyperlink" Target="http://pic.twitter.com/4SN3RrX3pp" TargetMode="External"/><Relationship Id="rId679" Type="http://schemas.openxmlformats.org/officeDocument/2006/relationships/hyperlink" Target="https://pbs.twimg.com/media/EGaHu2JXYAEej9V.jpg" TargetMode="External"/><Relationship Id="rId886" Type="http://schemas.openxmlformats.org/officeDocument/2006/relationships/hyperlink" Target="http://pic.twitter.com/rOvbGtDveb" TargetMode="External"/><Relationship Id="rId2" Type="http://schemas.openxmlformats.org/officeDocument/2006/relationships/hyperlink" Target="http://pic.twitter.com/AAi5kuLk6C" TargetMode="External"/><Relationship Id="rId441" Type="http://schemas.openxmlformats.org/officeDocument/2006/relationships/hyperlink" Target="http://pic.twitter.com/opvooKkM7b" TargetMode="External"/><Relationship Id="rId539" Type="http://schemas.openxmlformats.org/officeDocument/2006/relationships/hyperlink" Target="http://pic.twitter.com/oXIRdq9DLE" TargetMode="External"/><Relationship Id="rId746" Type="http://schemas.openxmlformats.org/officeDocument/2006/relationships/hyperlink" Target="http://pic.twitter.com/kXAuQvlbSe" TargetMode="External"/><Relationship Id="rId1071" Type="http://schemas.openxmlformats.org/officeDocument/2006/relationships/hyperlink" Target="http://pic.twitter.com/q6SdhGamWq" TargetMode="External"/><Relationship Id="rId1169" Type="http://schemas.openxmlformats.org/officeDocument/2006/relationships/hyperlink" Target="http://pic.twitter.com/R2n24c7EjF" TargetMode="External"/><Relationship Id="rId1376" Type="http://schemas.openxmlformats.org/officeDocument/2006/relationships/hyperlink" Target="http://pic.twitter.com/iQQS89twLX" TargetMode="External"/><Relationship Id="rId1583" Type="http://schemas.openxmlformats.org/officeDocument/2006/relationships/hyperlink" Target="https://pbs.twimg.com/media/EF-kwdrWwA0yvZy.jpg" TargetMode="External"/><Relationship Id="rId301" Type="http://schemas.openxmlformats.org/officeDocument/2006/relationships/hyperlink" Target="http://pic.twitter.com/x3qJHIHyrZ" TargetMode="External"/><Relationship Id="rId953" Type="http://schemas.openxmlformats.org/officeDocument/2006/relationships/hyperlink" Target="http://pic.twitter.com/IL9AgCsMuu" TargetMode="External"/><Relationship Id="rId1029" Type="http://schemas.openxmlformats.org/officeDocument/2006/relationships/hyperlink" Target="http://pic.twitter.com/8kPr9vPTOM" TargetMode="External"/><Relationship Id="rId1236" Type="http://schemas.openxmlformats.org/officeDocument/2006/relationships/hyperlink" Target="https://pbs.twimg.com/media/EF-k-QmWkAIXsMv.jpg" TargetMode="External"/><Relationship Id="rId1790" Type="http://schemas.openxmlformats.org/officeDocument/2006/relationships/hyperlink" Target="http://pic.twitter.com/ykxfck12ac" TargetMode="External"/><Relationship Id="rId1888" Type="http://schemas.openxmlformats.org/officeDocument/2006/relationships/hyperlink" Target="http://pic.twitter.com/qvuWDILflY" TargetMode="External"/><Relationship Id="rId82" Type="http://schemas.openxmlformats.org/officeDocument/2006/relationships/hyperlink" Target="http://pic.twitter.com/pELYLAQL9b" TargetMode="External"/><Relationship Id="rId606" Type="http://schemas.openxmlformats.org/officeDocument/2006/relationships/hyperlink" Target="http://pic.twitter.com/B2CxCXbJlE" TargetMode="External"/><Relationship Id="rId813" Type="http://schemas.openxmlformats.org/officeDocument/2006/relationships/hyperlink" Target="http://pic.twitter.com/ya4IGiDN2c" TargetMode="External"/><Relationship Id="rId1443" Type="http://schemas.openxmlformats.org/officeDocument/2006/relationships/hyperlink" Target="https://pbs.twimg.com/media/EF-kwdrWwA0yvZy.jpg" TargetMode="External"/><Relationship Id="rId1650" Type="http://schemas.openxmlformats.org/officeDocument/2006/relationships/hyperlink" Target="http://pic.twitter.com/jB5B2HNMeQ" TargetMode="External"/><Relationship Id="rId1748" Type="http://schemas.openxmlformats.org/officeDocument/2006/relationships/hyperlink" Target="http://pic.twitter.com/8NBad0MDFw" TargetMode="External"/><Relationship Id="rId1303" Type="http://schemas.openxmlformats.org/officeDocument/2006/relationships/hyperlink" Target="http://pic.twitter.com/j0q98U9rkn" TargetMode="External"/><Relationship Id="rId1510" Type="http://schemas.openxmlformats.org/officeDocument/2006/relationships/hyperlink" Target="http://pic.twitter.com/479g9G1Jy2" TargetMode="External"/><Relationship Id="rId1955" Type="http://schemas.openxmlformats.org/officeDocument/2006/relationships/hyperlink" Target="http://pic.twitter.com/V9ugFquIh7" TargetMode="External"/><Relationship Id="rId1608" Type="http://schemas.openxmlformats.org/officeDocument/2006/relationships/hyperlink" Target="http://pic.twitter.com/E8fPdKYlOe" TargetMode="External"/><Relationship Id="rId1815" Type="http://schemas.openxmlformats.org/officeDocument/2006/relationships/hyperlink" Target="http://pic.twitter.com/RZfq3r4rXh" TargetMode="External"/><Relationship Id="rId189" Type="http://schemas.openxmlformats.org/officeDocument/2006/relationships/hyperlink" Target="http://pic.twitter.com/vzhZ3zfxVn" TargetMode="External"/><Relationship Id="rId396" Type="http://schemas.openxmlformats.org/officeDocument/2006/relationships/hyperlink" Target="http://pic.twitter.com/IVnn8rMPgZ" TargetMode="External"/><Relationship Id="rId2077" Type="http://schemas.openxmlformats.org/officeDocument/2006/relationships/hyperlink" Target="http://pic.twitter.com/MLgGRaSdPX" TargetMode="External"/><Relationship Id="rId256" Type="http://schemas.openxmlformats.org/officeDocument/2006/relationships/hyperlink" Target="https://pbs.twimg.com/media/EF-m1ZpXUAAvExx.jpg" TargetMode="External"/><Relationship Id="rId463" Type="http://schemas.openxmlformats.org/officeDocument/2006/relationships/hyperlink" Target="http://pic.twitter.com/j9v57ni3sZ" TargetMode="External"/><Relationship Id="rId670" Type="http://schemas.openxmlformats.org/officeDocument/2006/relationships/hyperlink" Target="http://pic.twitter.com/O4G328wSx4" TargetMode="External"/><Relationship Id="rId1093" Type="http://schemas.openxmlformats.org/officeDocument/2006/relationships/hyperlink" Target="http://pic.twitter.com/b6tJkvdCjN" TargetMode="External"/><Relationship Id="rId116" Type="http://schemas.openxmlformats.org/officeDocument/2006/relationships/hyperlink" Target="http://pic.twitter.com/s12wvxeeqQ" TargetMode="External"/><Relationship Id="rId323" Type="http://schemas.openxmlformats.org/officeDocument/2006/relationships/hyperlink" Target="https://pbs.twimg.com/media/EF-k-QmWkAIXsMv.jpg" TargetMode="External"/><Relationship Id="rId530" Type="http://schemas.openxmlformats.org/officeDocument/2006/relationships/hyperlink" Target="http://pic.twitter.com/PdaMsJkFkc" TargetMode="External"/><Relationship Id="rId768" Type="http://schemas.openxmlformats.org/officeDocument/2006/relationships/hyperlink" Target="http://pic.twitter.com/N6KhYmZDps" TargetMode="External"/><Relationship Id="rId975" Type="http://schemas.openxmlformats.org/officeDocument/2006/relationships/hyperlink" Target="http://pic.twitter.com/2eb5PCYzAp" TargetMode="External"/><Relationship Id="rId1160" Type="http://schemas.openxmlformats.org/officeDocument/2006/relationships/hyperlink" Target="http://pic.twitter.com/yGEcMMDGD7" TargetMode="External"/><Relationship Id="rId1398" Type="http://schemas.openxmlformats.org/officeDocument/2006/relationships/hyperlink" Target="http://pic.twitter.com/pF0D1nNgPQ" TargetMode="External"/><Relationship Id="rId2004" Type="http://schemas.openxmlformats.org/officeDocument/2006/relationships/hyperlink" Target="http://pic.twitter.com/yC8fWt469y" TargetMode="External"/><Relationship Id="rId628" Type="http://schemas.openxmlformats.org/officeDocument/2006/relationships/hyperlink" Target="http://pic.twitter.com/l0DMIywrXS" TargetMode="External"/><Relationship Id="rId835" Type="http://schemas.openxmlformats.org/officeDocument/2006/relationships/hyperlink" Target="http://pic.twitter.com/8qwL1FoYHQ" TargetMode="External"/><Relationship Id="rId1258" Type="http://schemas.openxmlformats.org/officeDocument/2006/relationships/hyperlink" Target="http://pic.twitter.com/VAU6Gms5pf" TargetMode="External"/><Relationship Id="rId1465" Type="http://schemas.openxmlformats.org/officeDocument/2006/relationships/hyperlink" Target="http://pic.twitter.com/msuCZoMrb1" TargetMode="External"/><Relationship Id="rId1672" Type="http://schemas.openxmlformats.org/officeDocument/2006/relationships/hyperlink" Target="http://pic.twitter.com/BlGzMH3YIb" TargetMode="External"/><Relationship Id="rId1020" Type="http://schemas.openxmlformats.org/officeDocument/2006/relationships/hyperlink" Target="http://pic.twitter.com/2qoh31LBnY" TargetMode="External"/><Relationship Id="rId1118" Type="http://schemas.openxmlformats.org/officeDocument/2006/relationships/hyperlink" Target="http://pic.twitter.com/hmOqXI47iv" TargetMode="External"/><Relationship Id="rId1325" Type="http://schemas.openxmlformats.org/officeDocument/2006/relationships/hyperlink" Target="http://pic.twitter.com/LSfexR4KoL" TargetMode="External"/><Relationship Id="rId1532" Type="http://schemas.openxmlformats.org/officeDocument/2006/relationships/hyperlink" Target="http://pic.twitter.com/TMUVqgsLXE" TargetMode="External"/><Relationship Id="rId1977" Type="http://schemas.openxmlformats.org/officeDocument/2006/relationships/hyperlink" Target="http://pic.twitter.com/LZxtCDb1cl" TargetMode="External"/><Relationship Id="rId902" Type="http://schemas.openxmlformats.org/officeDocument/2006/relationships/hyperlink" Target="http://pic.twitter.com/qoCxIrwmWk" TargetMode="External"/><Relationship Id="rId1837" Type="http://schemas.openxmlformats.org/officeDocument/2006/relationships/hyperlink" Target="http://pic.twitter.com/rcfiUvga2z" TargetMode="External"/><Relationship Id="rId31" Type="http://schemas.openxmlformats.org/officeDocument/2006/relationships/hyperlink" Target="http://pic.twitter.com/XIbWcwJDTZ" TargetMode="External"/><Relationship Id="rId2099" Type="http://schemas.openxmlformats.org/officeDocument/2006/relationships/hyperlink" Target="http://ow.ly/oRPG8" TargetMode="External"/><Relationship Id="rId180" Type="http://schemas.openxmlformats.org/officeDocument/2006/relationships/hyperlink" Target="http://pic.twitter.com/bIGefs2Suo" TargetMode="External"/><Relationship Id="rId278" Type="http://schemas.openxmlformats.org/officeDocument/2006/relationships/hyperlink" Target="http://pic.twitter.com/Ez3q9zpMIB" TargetMode="External"/><Relationship Id="rId1904" Type="http://schemas.openxmlformats.org/officeDocument/2006/relationships/hyperlink" Target="http://pic.twitter.com/VHpg16TmFt" TargetMode="External"/><Relationship Id="rId485" Type="http://schemas.openxmlformats.org/officeDocument/2006/relationships/hyperlink" Target="http://pic.twitter.com/umpvCWdsn9" TargetMode="External"/><Relationship Id="rId692" Type="http://schemas.openxmlformats.org/officeDocument/2006/relationships/hyperlink" Target="http://pic.twitter.com/jtHkEx2OjL" TargetMode="External"/><Relationship Id="rId138" Type="http://schemas.openxmlformats.org/officeDocument/2006/relationships/hyperlink" Target="http://pic.twitter.com/XR8s9HuTms" TargetMode="External"/><Relationship Id="rId345" Type="http://schemas.openxmlformats.org/officeDocument/2006/relationships/hyperlink" Target="http://pic.twitter.com/TdGbMnYjCR" TargetMode="External"/><Relationship Id="rId552" Type="http://schemas.openxmlformats.org/officeDocument/2006/relationships/hyperlink" Target="http://pic.twitter.com/aCi4fq5GyT" TargetMode="External"/><Relationship Id="rId997" Type="http://schemas.openxmlformats.org/officeDocument/2006/relationships/hyperlink" Target="http://pic.twitter.com/o25MRyjXYe" TargetMode="External"/><Relationship Id="rId1182" Type="http://schemas.openxmlformats.org/officeDocument/2006/relationships/hyperlink" Target="http://pic.twitter.com/kuBVag4C2q" TargetMode="External"/><Relationship Id="rId2026" Type="http://schemas.openxmlformats.org/officeDocument/2006/relationships/hyperlink" Target="http://pic.twitter.com/whfaJ5uy96" TargetMode="External"/><Relationship Id="rId205" Type="http://schemas.openxmlformats.org/officeDocument/2006/relationships/hyperlink" Target="http://pic.twitter.com/d8NSM2xjsx" TargetMode="External"/><Relationship Id="rId412" Type="http://schemas.openxmlformats.org/officeDocument/2006/relationships/hyperlink" Target="http://pic.twitter.com/XnI1sFOc95" TargetMode="External"/><Relationship Id="rId857" Type="http://schemas.openxmlformats.org/officeDocument/2006/relationships/hyperlink" Target="https://pbs.twimg.com/media/EF-kwdrWwA0yvZy.jpg" TargetMode="External"/><Relationship Id="rId1042" Type="http://schemas.openxmlformats.org/officeDocument/2006/relationships/hyperlink" Target="http://pic.twitter.com/RhU2LlYTy7" TargetMode="External"/><Relationship Id="rId1487" Type="http://schemas.openxmlformats.org/officeDocument/2006/relationships/hyperlink" Target="http://pic.twitter.com/3mB9vsL722" TargetMode="External"/><Relationship Id="rId1694" Type="http://schemas.openxmlformats.org/officeDocument/2006/relationships/hyperlink" Target="http://pic.twitter.com/dBYesAZwJh" TargetMode="External"/><Relationship Id="rId717" Type="http://schemas.openxmlformats.org/officeDocument/2006/relationships/hyperlink" Target="http://pic.twitter.com/irYmmFyYw6" TargetMode="External"/><Relationship Id="rId924" Type="http://schemas.openxmlformats.org/officeDocument/2006/relationships/hyperlink" Target="https://pbs.twimg.com/media/EF-k-QmWkAIXsMv.jpg" TargetMode="External"/><Relationship Id="rId1347" Type="http://schemas.openxmlformats.org/officeDocument/2006/relationships/hyperlink" Target="http://pic.twitter.com/BftIuZS3mF" TargetMode="External"/><Relationship Id="rId1554" Type="http://schemas.openxmlformats.org/officeDocument/2006/relationships/hyperlink" Target="http://pic.twitter.com/pKxMpeIroA" TargetMode="External"/><Relationship Id="rId1761" Type="http://schemas.openxmlformats.org/officeDocument/2006/relationships/hyperlink" Target="http://www.stasiareport.com/" TargetMode="External"/><Relationship Id="rId1999" Type="http://schemas.openxmlformats.org/officeDocument/2006/relationships/hyperlink" Target="http://pic.twitter.com/ptg6leT798" TargetMode="External"/><Relationship Id="rId53" Type="http://schemas.openxmlformats.org/officeDocument/2006/relationships/hyperlink" Target="http://pic.twitter.com/JZAwFxequ5" TargetMode="External"/><Relationship Id="rId1207" Type="http://schemas.openxmlformats.org/officeDocument/2006/relationships/hyperlink" Target="http://pic.twitter.com/gTIcy6XN2C" TargetMode="External"/><Relationship Id="rId1414" Type="http://schemas.openxmlformats.org/officeDocument/2006/relationships/hyperlink" Target="http://pic.twitter.com/10OwZKYmNn" TargetMode="External"/><Relationship Id="rId1621" Type="http://schemas.openxmlformats.org/officeDocument/2006/relationships/hyperlink" Target="http://pic.twitter.com/U7pqXQRs7M" TargetMode="External"/><Relationship Id="rId1859" Type="http://schemas.openxmlformats.org/officeDocument/2006/relationships/hyperlink" Target="http://pic.twitter.com/cHKwLewjUg" TargetMode="External"/><Relationship Id="rId1719" Type="http://schemas.openxmlformats.org/officeDocument/2006/relationships/hyperlink" Target="http://pic.twitter.com/s6vyiESvft" TargetMode="External"/><Relationship Id="rId1926" Type="http://schemas.openxmlformats.org/officeDocument/2006/relationships/hyperlink" Target="http://pic.twitter.com/rcUGnPdehx" TargetMode="External"/><Relationship Id="rId2090" Type="http://schemas.openxmlformats.org/officeDocument/2006/relationships/hyperlink" Target="http://pic.twitter.com/wZtGZH3I0e" TargetMode="External"/><Relationship Id="rId367" Type="http://schemas.openxmlformats.org/officeDocument/2006/relationships/hyperlink" Target="http://pic.twitter.com/VUo9g6HE55" TargetMode="External"/><Relationship Id="rId574" Type="http://schemas.openxmlformats.org/officeDocument/2006/relationships/hyperlink" Target="http://pic.twitter.com/Kkx55DvuDz" TargetMode="External"/><Relationship Id="rId2048" Type="http://schemas.openxmlformats.org/officeDocument/2006/relationships/hyperlink" Target="http://pic.twitter.com/bezY7w0XLK" TargetMode="External"/><Relationship Id="rId227" Type="http://schemas.openxmlformats.org/officeDocument/2006/relationships/hyperlink" Target="https://pbs.twimg.com/media/EF-m1ZpXUAAvExx.jpg" TargetMode="External"/><Relationship Id="rId781" Type="http://schemas.openxmlformats.org/officeDocument/2006/relationships/hyperlink" Target="http://pic.twitter.com/gnCexBlNVc" TargetMode="External"/><Relationship Id="rId879" Type="http://schemas.openxmlformats.org/officeDocument/2006/relationships/hyperlink" Target="http://pic.twitter.com/lJjrGDoy9l" TargetMode="External"/><Relationship Id="rId434" Type="http://schemas.openxmlformats.org/officeDocument/2006/relationships/hyperlink" Target="https://pbs.twimg.com/media/EF-k-QmWkAIXsMv.jpg" TargetMode="External"/><Relationship Id="rId641" Type="http://schemas.openxmlformats.org/officeDocument/2006/relationships/hyperlink" Target="http://pic.twitter.com/qBAnxkNvZJ" TargetMode="External"/><Relationship Id="rId739" Type="http://schemas.openxmlformats.org/officeDocument/2006/relationships/hyperlink" Target="http://pic.twitter.com/IhKmIHq0h6" TargetMode="External"/><Relationship Id="rId1064" Type="http://schemas.openxmlformats.org/officeDocument/2006/relationships/hyperlink" Target="http://www.northbanktalent.com/" TargetMode="External"/><Relationship Id="rId1271" Type="http://schemas.openxmlformats.org/officeDocument/2006/relationships/hyperlink" Target="http://pic.twitter.com/1299Nqy2vW" TargetMode="External"/><Relationship Id="rId1369" Type="http://schemas.openxmlformats.org/officeDocument/2006/relationships/hyperlink" Target="http://pic.twitter.com/8IJITMw8rz" TargetMode="External"/><Relationship Id="rId1576" Type="http://schemas.openxmlformats.org/officeDocument/2006/relationships/hyperlink" Target="http://pic.twitter.com/yHgfZlaRIy" TargetMode="External"/><Relationship Id="rId501" Type="http://schemas.openxmlformats.org/officeDocument/2006/relationships/hyperlink" Target="http://pic.twitter.com/EwIdjga9do" TargetMode="External"/><Relationship Id="rId946" Type="http://schemas.openxmlformats.org/officeDocument/2006/relationships/hyperlink" Target="http://pic.twitter.com/tluBDDkfJp" TargetMode="External"/><Relationship Id="rId1131" Type="http://schemas.openxmlformats.org/officeDocument/2006/relationships/hyperlink" Target="http://pic.twitter.com/fS5UCoe2UT" TargetMode="External"/><Relationship Id="rId1229" Type="http://schemas.openxmlformats.org/officeDocument/2006/relationships/hyperlink" Target="http://pic.twitter.com/PfhcDaJ0K5" TargetMode="External"/><Relationship Id="rId1783" Type="http://schemas.openxmlformats.org/officeDocument/2006/relationships/hyperlink" Target="http://pic.twitter.com/kYcLkHcn0n" TargetMode="External"/><Relationship Id="rId1990" Type="http://schemas.openxmlformats.org/officeDocument/2006/relationships/hyperlink" Target="http://pic.twitter.com/Skb8qcIbQO" TargetMode="External"/><Relationship Id="rId75" Type="http://schemas.openxmlformats.org/officeDocument/2006/relationships/hyperlink" Target="http://pic.twitter.com/Sm0zamYq5k" TargetMode="External"/><Relationship Id="rId806" Type="http://schemas.openxmlformats.org/officeDocument/2006/relationships/hyperlink" Target="http://pic.twitter.com/McyI6Vb0qf" TargetMode="External"/><Relationship Id="rId1436" Type="http://schemas.openxmlformats.org/officeDocument/2006/relationships/hyperlink" Target="http://pic.twitter.com/6q31i2EUH1" TargetMode="External"/><Relationship Id="rId1643" Type="http://schemas.openxmlformats.org/officeDocument/2006/relationships/hyperlink" Target="http://pic.twitter.com/X3RuhgGpV4" TargetMode="External"/><Relationship Id="rId1850" Type="http://schemas.openxmlformats.org/officeDocument/2006/relationships/hyperlink" Target="http://pic.twitter.com/sBBScGs92L" TargetMode="External"/><Relationship Id="rId1503" Type="http://schemas.openxmlformats.org/officeDocument/2006/relationships/hyperlink" Target="http://pic.twitter.com/ewBc5lcSzQ" TargetMode="External"/><Relationship Id="rId1710" Type="http://schemas.openxmlformats.org/officeDocument/2006/relationships/hyperlink" Target="http://pic.twitter.com/SuYWGB17AW" TargetMode="External"/><Relationship Id="rId1948" Type="http://schemas.openxmlformats.org/officeDocument/2006/relationships/hyperlink" Target="http://pic.twitter.com/w7yLr0zzp7" TargetMode="External"/><Relationship Id="rId291" Type="http://schemas.openxmlformats.org/officeDocument/2006/relationships/hyperlink" Target="http://pic.twitter.com/JtdR1TOuzq" TargetMode="External"/><Relationship Id="rId1808" Type="http://schemas.openxmlformats.org/officeDocument/2006/relationships/hyperlink" Target="http://pic.twitter.com/YWy2PDZMW8" TargetMode="External"/><Relationship Id="rId151" Type="http://schemas.openxmlformats.org/officeDocument/2006/relationships/hyperlink" Target="http://pic.twitter.com/k5cHtqL9gq" TargetMode="External"/><Relationship Id="rId389" Type="http://schemas.openxmlformats.org/officeDocument/2006/relationships/hyperlink" Target="http://pic.twitter.com/QccNIIzgt0" TargetMode="External"/><Relationship Id="rId596" Type="http://schemas.openxmlformats.org/officeDocument/2006/relationships/hyperlink" Target="http://pic.twitter.com/WS4RRb3Svq" TargetMode="External"/><Relationship Id="rId249" Type="http://schemas.openxmlformats.org/officeDocument/2006/relationships/hyperlink" Target="http://pic.twitter.com/BPnzhfRMBf" TargetMode="External"/><Relationship Id="rId456" Type="http://schemas.openxmlformats.org/officeDocument/2006/relationships/hyperlink" Target="https://pbs.twimg.com/media/EF-m1ZpXUAAvExx.jpg" TargetMode="External"/><Relationship Id="rId663" Type="http://schemas.openxmlformats.org/officeDocument/2006/relationships/hyperlink" Target="https://youtu.be/IKwbTMB6p04" TargetMode="External"/><Relationship Id="rId870" Type="http://schemas.openxmlformats.org/officeDocument/2006/relationships/hyperlink" Target="http://pic.twitter.com/rJSFJkAWY3" TargetMode="External"/><Relationship Id="rId1086" Type="http://schemas.openxmlformats.org/officeDocument/2006/relationships/hyperlink" Target="https://pbs.twimg.com/media/EF-m1ZpXUAAvExx.jpg" TargetMode="External"/><Relationship Id="rId1293" Type="http://schemas.openxmlformats.org/officeDocument/2006/relationships/hyperlink" Target="http://pic.twitter.com/Tadjw8A8I8" TargetMode="External"/><Relationship Id="rId109" Type="http://schemas.openxmlformats.org/officeDocument/2006/relationships/hyperlink" Target="https://pbs.twimg.com/media/EGb1KSqX0AAe30x.jpg" TargetMode="External"/><Relationship Id="rId316" Type="http://schemas.openxmlformats.org/officeDocument/2006/relationships/hyperlink" Target="http://pic.twitter.com/EtYcDUgSO1" TargetMode="External"/><Relationship Id="rId523" Type="http://schemas.openxmlformats.org/officeDocument/2006/relationships/hyperlink" Target="http://pic.twitter.com/rwNMXIB8hw" TargetMode="External"/><Relationship Id="rId968" Type="http://schemas.openxmlformats.org/officeDocument/2006/relationships/hyperlink" Target="http://pic.twitter.com/ihs0jQ71Ce" TargetMode="External"/><Relationship Id="rId1153" Type="http://schemas.openxmlformats.org/officeDocument/2006/relationships/hyperlink" Target="https://www.fairobserver.com/region/middle_east_north_africa/jamal-khashoggi-murder-death-saudi-arabia-journalist-mohammed-bin-salman-80794/" TargetMode="External"/><Relationship Id="rId1598" Type="http://schemas.openxmlformats.org/officeDocument/2006/relationships/hyperlink" Target="https://pbs.twimg.com/media/EF-kwdrWwA0yvZy.jpg" TargetMode="External"/><Relationship Id="rId97" Type="http://schemas.openxmlformats.org/officeDocument/2006/relationships/hyperlink" Target="http://pic.twitter.com/sXueBZjQVm" TargetMode="External"/><Relationship Id="rId730" Type="http://schemas.openxmlformats.org/officeDocument/2006/relationships/hyperlink" Target="http://pic.twitter.com/6zOIoo2Yj2" TargetMode="External"/><Relationship Id="rId828" Type="http://schemas.openxmlformats.org/officeDocument/2006/relationships/hyperlink" Target="http://pic.twitter.com/h0LYjedcaN" TargetMode="External"/><Relationship Id="rId1013" Type="http://schemas.openxmlformats.org/officeDocument/2006/relationships/hyperlink" Target="http://pic.twitter.com/saZpbthE2w" TargetMode="External"/><Relationship Id="rId1360" Type="http://schemas.openxmlformats.org/officeDocument/2006/relationships/hyperlink" Target="http://pic.twitter.com/45ppMVSq53" TargetMode="External"/><Relationship Id="rId1458" Type="http://schemas.openxmlformats.org/officeDocument/2006/relationships/hyperlink" Target="http://pic.twitter.com/hnHkS3pSF4" TargetMode="External"/><Relationship Id="rId1665" Type="http://schemas.openxmlformats.org/officeDocument/2006/relationships/hyperlink" Target="http://pic.twitter.com/v0MlMBfDMz" TargetMode="External"/><Relationship Id="rId1872" Type="http://schemas.openxmlformats.org/officeDocument/2006/relationships/hyperlink" Target="http://pic.twitter.com/U07tKEDIib" TargetMode="External"/><Relationship Id="rId1220" Type="http://schemas.openxmlformats.org/officeDocument/2006/relationships/hyperlink" Target="http://pic.twitter.com/6qqO3GRiGI" TargetMode="External"/><Relationship Id="rId1318" Type="http://schemas.openxmlformats.org/officeDocument/2006/relationships/hyperlink" Target="http://pic.twitter.com/lEkNLCzPCb" TargetMode="External"/><Relationship Id="rId1525" Type="http://schemas.openxmlformats.org/officeDocument/2006/relationships/hyperlink" Target="http://pic.twitter.com/eGgYINQPRE" TargetMode="External"/><Relationship Id="rId1732" Type="http://schemas.openxmlformats.org/officeDocument/2006/relationships/hyperlink" Target="http://pic.twitter.com/OydzXOajg0" TargetMode="External"/><Relationship Id="rId24" Type="http://schemas.openxmlformats.org/officeDocument/2006/relationships/hyperlink" Target="http://allheartgia.com/" TargetMode="External"/><Relationship Id="rId173" Type="http://schemas.openxmlformats.org/officeDocument/2006/relationships/hyperlink" Target="http://pic.twitter.com/LPl9x1vAG2" TargetMode="External"/><Relationship Id="rId380" Type="http://schemas.openxmlformats.org/officeDocument/2006/relationships/hyperlink" Target="https://pbs.twimg.com/media/EF-m1ZpXUAAvExx.jpg" TargetMode="External"/><Relationship Id="rId2061" Type="http://schemas.openxmlformats.org/officeDocument/2006/relationships/hyperlink" Target="http://pic.twitter.com/XRRWiI3tqf" TargetMode="External"/><Relationship Id="rId240" Type="http://schemas.openxmlformats.org/officeDocument/2006/relationships/hyperlink" Target="http://pic.twitter.com/32ihARedyf" TargetMode="External"/><Relationship Id="rId478" Type="http://schemas.openxmlformats.org/officeDocument/2006/relationships/hyperlink" Target="http://pic.twitter.com/0Qv9yaVmMy" TargetMode="External"/><Relationship Id="rId685" Type="http://schemas.openxmlformats.org/officeDocument/2006/relationships/hyperlink" Target="http://pic.twitter.com/gBUcR5bfcB" TargetMode="External"/><Relationship Id="rId892" Type="http://schemas.openxmlformats.org/officeDocument/2006/relationships/hyperlink" Target="http://pic.twitter.com/mSnBe5BXR2" TargetMode="External"/><Relationship Id="rId100" Type="http://schemas.openxmlformats.org/officeDocument/2006/relationships/hyperlink" Target="http://pic.twitter.com/oHMJnV15lg" TargetMode="External"/><Relationship Id="rId338" Type="http://schemas.openxmlformats.org/officeDocument/2006/relationships/hyperlink" Target="http://pic.twitter.com/VHO2yBlj8l" TargetMode="External"/><Relationship Id="rId545" Type="http://schemas.openxmlformats.org/officeDocument/2006/relationships/hyperlink" Target="https://pbs.twimg.com/media/EF-k-QmWkAIXsMv.jpg" TargetMode="External"/><Relationship Id="rId752" Type="http://schemas.openxmlformats.org/officeDocument/2006/relationships/hyperlink" Target="http://pic.twitter.com/M2lrsmu14y" TargetMode="External"/><Relationship Id="rId1175" Type="http://schemas.openxmlformats.org/officeDocument/2006/relationships/hyperlink" Target="http://pic.twitter.com/qWyxhNpnDc" TargetMode="External"/><Relationship Id="rId1382" Type="http://schemas.openxmlformats.org/officeDocument/2006/relationships/hyperlink" Target="http://pic.twitter.com/kUK8UH4JY1" TargetMode="External"/><Relationship Id="rId2019" Type="http://schemas.openxmlformats.org/officeDocument/2006/relationships/hyperlink" Target="http://pic.twitter.com/FfFrDrNyT3" TargetMode="External"/><Relationship Id="rId405" Type="http://schemas.openxmlformats.org/officeDocument/2006/relationships/hyperlink" Target="http://pic.twitter.com/S17WiWwR4l" TargetMode="External"/><Relationship Id="rId612" Type="http://schemas.openxmlformats.org/officeDocument/2006/relationships/hyperlink" Target="http://pic.twitter.com/6k7VBXQ4dq" TargetMode="External"/><Relationship Id="rId1035" Type="http://schemas.openxmlformats.org/officeDocument/2006/relationships/hyperlink" Target="http://pic.twitter.com/lzurd3cUs7" TargetMode="External"/><Relationship Id="rId1242" Type="http://schemas.openxmlformats.org/officeDocument/2006/relationships/hyperlink" Target="http://pic.twitter.com/FZiEPaQbQk" TargetMode="External"/><Relationship Id="rId1687" Type="http://schemas.openxmlformats.org/officeDocument/2006/relationships/hyperlink" Target="http://pic.twitter.com/3ObIMCmonk" TargetMode="External"/><Relationship Id="rId1894" Type="http://schemas.openxmlformats.org/officeDocument/2006/relationships/hyperlink" Target="http://pic.twitter.com/K9IHFDY3Mp" TargetMode="External"/><Relationship Id="rId917" Type="http://schemas.openxmlformats.org/officeDocument/2006/relationships/hyperlink" Target="http://pic.twitter.com/PYB00rNF2z" TargetMode="External"/><Relationship Id="rId1102" Type="http://schemas.openxmlformats.org/officeDocument/2006/relationships/hyperlink" Target="https://pbs.twimg.com/media/EF-kwdrWwA0yvZy.jpg" TargetMode="External"/><Relationship Id="rId1547" Type="http://schemas.openxmlformats.org/officeDocument/2006/relationships/hyperlink" Target="http://pic.twitter.com/qs58IicBRm" TargetMode="External"/><Relationship Id="rId1754" Type="http://schemas.openxmlformats.org/officeDocument/2006/relationships/hyperlink" Target="http://pic.twitter.com/sLEOs7taUc" TargetMode="External"/><Relationship Id="rId1961" Type="http://schemas.openxmlformats.org/officeDocument/2006/relationships/hyperlink" Target="http://pic.twitter.com/wsx6OTpwbb" TargetMode="External"/><Relationship Id="rId46" Type="http://schemas.openxmlformats.org/officeDocument/2006/relationships/hyperlink" Target="http://pic.twitter.com/CJtWGZxUfg" TargetMode="External"/><Relationship Id="rId1407" Type="http://schemas.openxmlformats.org/officeDocument/2006/relationships/hyperlink" Target="http://pic.twitter.com/09F1eZE2EN" TargetMode="External"/><Relationship Id="rId1614" Type="http://schemas.openxmlformats.org/officeDocument/2006/relationships/hyperlink" Target="http://pic.twitter.com/rvJMADs6Ll" TargetMode="External"/><Relationship Id="rId1821" Type="http://schemas.openxmlformats.org/officeDocument/2006/relationships/hyperlink" Target="http://pic.twitter.com/MiLuYRKE1l" TargetMode="External"/><Relationship Id="rId195" Type="http://schemas.openxmlformats.org/officeDocument/2006/relationships/hyperlink" Target="http://pic.twitter.com/UHvH9CYRwT" TargetMode="External"/><Relationship Id="rId1919" Type="http://schemas.openxmlformats.org/officeDocument/2006/relationships/hyperlink" Target="http://pic.twitter.com/mhMYVRIkCa" TargetMode="External"/><Relationship Id="rId2083" Type="http://schemas.openxmlformats.org/officeDocument/2006/relationships/hyperlink" Target="http://pic.twitter.com/EshvfF23a4" TargetMode="External"/><Relationship Id="rId262" Type="http://schemas.openxmlformats.org/officeDocument/2006/relationships/hyperlink" Target="https://pbs.twimg.com/media/EF-kwdrWwA0yvZy.jpg" TargetMode="External"/><Relationship Id="rId567" Type="http://schemas.openxmlformats.org/officeDocument/2006/relationships/hyperlink" Target="http://pic.twitter.com/T0ki674ISE" TargetMode="External"/><Relationship Id="rId1197" Type="http://schemas.openxmlformats.org/officeDocument/2006/relationships/hyperlink" Target="http://pic.twitter.com/I6qOmTXaze" TargetMode="External"/><Relationship Id="rId122" Type="http://schemas.openxmlformats.org/officeDocument/2006/relationships/hyperlink" Target="https://twitter.com/Saudi_24" TargetMode="External"/><Relationship Id="rId774" Type="http://schemas.openxmlformats.org/officeDocument/2006/relationships/hyperlink" Target="http://pic.twitter.com/GbpcxsBnxE" TargetMode="External"/><Relationship Id="rId981" Type="http://schemas.openxmlformats.org/officeDocument/2006/relationships/hyperlink" Target="http://pic.twitter.com/Lrnpj4EpNv" TargetMode="External"/><Relationship Id="rId1057" Type="http://schemas.openxmlformats.org/officeDocument/2006/relationships/hyperlink" Target="http://pic.twitter.com/0m2nhTaO6b" TargetMode="External"/><Relationship Id="rId2010" Type="http://schemas.openxmlformats.org/officeDocument/2006/relationships/hyperlink" Target="http://pic.twitter.com/bWksuGSTax" TargetMode="External"/><Relationship Id="rId427" Type="http://schemas.openxmlformats.org/officeDocument/2006/relationships/hyperlink" Target="http://pic.twitter.com/kSPOjGYBzd" TargetMode="External"/><Relationship Id="rId634" Type="http://schemas.openxmlformats.org/officeDocument/2006/relationships/hyperlink" Target="http://pic.twitter.com/q4benpiNpi" TargetMode="External"/><Relationship Id="rId841" Type="http://schemas.openxmlformats.org/officeDocument/2006/relationships/hyperlink" Target="http://pic.twitter.com/HvhnRVvgg0" TargetMode="External"/><Relationship Id="rId1264" Type="http://schemas.openxmlformats.org/officeDocument/2006/relationships/hyperlink" Target="http://pic.twitter.com/YVVy4fkf9X" TargetMode="External"/><Relationship Id="rId1471" Type="http://schemas.openxmlformats.org/officeDocument/2006/relationships/hyperlink" Target="http://pic.twitter.com/V3bra7NxhZ" TargetMode="External"/><Relationship Id="rId1569" Type="http://schemas.openxmlformats.org/officeDocument/2006/relationships/hyperlink" Target="http://pic.twitter.com/WvROU1JrLD" TargetMode="External"/><Relationship Id="rId701" Type="http://schemas.openxmlformats.org/officeDocument/2006/relationships/hyperlink" Target="http://pic.twitter.com/UbHU6LjVAq" TargetMode="External"/><Relationship Id="rId939" Type="http://schemas.openxmlformats.org/officeDocument/2006/relationships/hyperlink" Target="http://pic.twitter.com/mYkTbYUCy3" TargetMode="External"/><Relationship Id="rId1124" Type="http://schemas.openxmlformats.org/officeDocument/2006/relationships/hyperlink" Target="http://pic.twitter.com/NL6ZPERRES" TargetMode="External"/><Relationship Id="rId1331" Type="http://schemas.openxmlformats.org/officeDocument/2006/relationships/hyperlink" Target="http://pic.twitter.com/wQh16UYu7n" TargetMode="External"/><Relationship Id="rId1776" Type="http://schemas.openxmlformats.org/officeDocument/2006/relationships/hyperlink" Target="http://pic.twitter.com/NsIYe5x2oV" TargetMode="External"/><Relationship Id="rId1983" Type="http://schemas.openxmlformats.org/officeDocument/2006/relationships/hyperlink" Target="http://pic.twitter.com/BRtn0XYvhc" TargetMode="External"/><Relationship Id="rId68" Type="http://schemas.openxmlformats.org/officeDocument/2006/relationships/hyperlink" Target="http://pic.twitter.com/3AMjsfX225" TargetMode="External"/><Relationship Id="rId1429" Type="http://schemas.openxmlformats.org/officeDocument/2006/relationships/hyperlink" Target="http://pic.twitter.com/aMGK2IyXuG" TargetMode="External"/><Relationship Id="rId1636" Type="http://schemas.openxmlformats.org/officeDocument/2006/relationships/hyperlink" Target="http://pic.twitter.com/Jgp3NU7Vsj" TargetMode="External"/><Relationship Id="rId1843" Type="http://schemas.openxmlformats.org/officeDocument/2006/relationships/hyperlink" Target="http://pic.twitter.com/Euk9fP3O6U" TargetMode="External"/><Relationship Id="rId1703" Type="http://schemas.openxmlformats.org/officeDocument/2006/relationships/hyperlink" Target="http://pic.twitter.com/vwCtxcZ2mx" TargetMode="External"/><Relationship Id="rId1910" Type="http://schemas.openxmlformats.org/officeDocument/2006/relationships/hyperlink" Target="http://pic.twitter.com/JeHMZKSC4G" TargetMode="External"/><Relationship Id="rId284" Type="http://schemas.openxmlformats.org/officeDocument/2006/relationships/hyperlink" Target="http://pic.twitter.com/U7gr4rhiiv" TargetMode="External"/><Relationship Id="rId491" Type="http://schemas.openxmlformats.org/officeDocument/2006/relationships/hyperlink" Target="http://pic.twitter.com/QAmUGdzcdJ" TargetMode="External"/><Relationship Id="rId144" Type="http://schemas.openxmlformats.org/officeDocument/2006/relationships/hyperlink" Target="http://pic.twitter.com/SXbLf62iwD" TargetMode="External"/><Relationship Id="rId589" Type="http://schemas.openxmlformats.org/officeDocument/2006/relationships/hyperlink" Target="http://pic.twitter.com/IJyQyu2thI" TargetMode="External"/><Relationship Id="rId796" Type="http://schemas.openxmlformats.org/officeDocument/2006/relationships/hyperlink" Target="http://pic.twitter.com/gq1dRURuV6" TargetMode="External"/><Relationship Id="rId351" Type="http://schemas.openxmlformats.org/officeDocument/2006/relationships/hyperlink" Target="http://pic.twitter.com/jVQHY8NdLC" TargetMode="External"/><Relationship Id="rId449" Type="http://schemas.openxmlformats.org/officeDocument/2006/relationships/hyperlink" Target="http://pic.twitter.com/m57CScUi1v" TargetMode="External"/><Relationship Id="rId656" Type="http://schemas.openxmlformats.org/officeDocument/2006/relationships/hyperlink" Target="http://pic.twitter.com/j4eKXIjHOv" TargetMode="External"/><Relationship Id="rId863" Type="http://schemas.openxmlformats.org/officeDocument/2006/relationships/hyperlink" Target="http://pic.twitter.com/biv2edKJyW" TargetMode="External"/><Relationship Id="rId1079" Type="http://schemas.openxmlformats.org/officeDocument/2006/relationships/hyperlink" Target="http://pic.twitter.com/6JpYxwgZrH" TargetMode="External"/><Relationship Id="rId1286" Type="http://schemas.openxmlformats.org/officeDocument/2006/relationships/hyperlink" Target="http://pic.twitter.com/Z7JVRYZSzR" TargetMode="External"/><Relationship Id="rId1493" Type="http://schemas.openxmlformats.org/officeDocument/2006/relationships/hyperlink" Target="http://pic.twitter.com/kkYlA7XLRn" TargetMode="External"/><Relationship Id="rId2032" Type="http://schemas.openxmlformats.org/officeDocument/2006/relationships/hyperlink" Target="http://pic.twitter.com/MaZ2o8W08t" TargetMode="External"/><Relationship Id="rId211" Type="http://schemas.openxmlformats.org/officeDocument/2006/relationships/hyperlink" Target="http://pic.twitter.com/9jGCKIAjzb" TargetMode="External"/><Relationship Id="rId309" Type="http://schemas.openxmlformats.org/officeDocument/2006/relationships/hyperlink" Target="http://pic.twitter.com/gmi1N3l1OC" TargetMode="External"/><Relationship Id="rId516" Type="http://schemas.openxmlformats.org/officeDocument/2006/relationships/hyperlink" Target="http://pic.twitter.com/WvXdgY7ArC" TargetMode="External"/><Relationship Id="rId1146" Type="http://schemas.openxmlformats.org/officeDocument/2006/relationships/hyperlink" Target="http://pic.twitter.com/MCpR71cuNC" TargetMode="External"/><Relationship Id="rId1798" Type="http://schemas.openxmlformats.org/officeDocument/2006/relationships/hyperlink" Target="http://pic.twitter.com/s1OHs6G9zG" TargetMode="External"/><Relationship Id="rId723" Type="http://schemas.openxmlformats.org/officeDocument/2006/relationships/hyperlink" Target="http://pic.twitter.com/yg7ssiXfyD" TargetMode="External"/><Relationship Id="rId930" Type="http://schemas.openxmlformats.org/officeDocument/2006/relationships/hyperlink" Target="http://pic.twitter.com/gtLyfwHDx6" TargetMode="External"/><Relationship Id="rId1006" Type="http://schemas.openxmlformats.org/officeDocument/2006/relationships/hyperlink" Target="http://www.eurasiagroup.net/" TargetMode="External"/><Relationship Id="rId1353" Type="http://schemas.openxmlformats.org/officeDocument/2006/relationships/hyperlink" Target="http://pic.twitter.com/ldWiXOo1S5" TargetMode="External"/><Relationship Id="rId1560" Type="http://schemas.openxmlformats.org/officeDocument/2006/relationships/hyperlink" Target="http://pic.twitter.com/rvE9dw92cV" TargetMode="External"/><Relationship Id="rId1658" Type="http://schemas.openxmlformats.org/officeDocument/2006/relationships/hyperlink" Target="http://pic.twitter.com/TMCBKDKJrB" TargetMode="External"/><Relationship Id="rId1865" Type="http://schemas.openxmlformats.org/officeDocument/2006/relationships/hyperlink" Target="http://pic.twitter.com/hFx9NbKTfz" TargetMode="External"/><Relationship Id="rId1213" Type="http://schemas.openxmlformats.org/officeDocument/2006/relationships/hyperlink" Target="http://pic.twitter.com/F5ZtVZsept" TargetMode="External"/><Relationship Id="rId1420" Type="http://schemas.openxmlformats.org/officeDocument/2006/relationships/hyperlink" Target="http://pic.twitter.com/sr2Zj6MwOl" TargetMode="External"/><Relationship Id="rId1518" Type="http://schemas.openxmlformats.org/officeDocument/2006/relationships/hyperlink" Target="http://pic.twitter.com/luXHd2aSE1" TargetMode="External"/><Relationship Id="rId1725" Type="http://schemas.openxmlformats.org/officeDocument/2006/relationships/hyperlink" Target="http://pic.twitter.com/htqaMZ8qAg" TargetMode="External"/><Relationship Id="rId1932" Type="http://schemas.openxmlformats.org/officeDocument/2006/relationships/hyperlink" Target="http://pic.twitter.com/QE4yya4eQX" TargetMode="External"/><Relationship Id="rId17" Type="http://schemas.openxmlformats.org/officeDocument/2006/relationships/hyperlink" Target="http://pic.twitter.com/N0GNL5cSMm" TargetMode="External"/><Relationship Id="rId166" Type="http://schemas.openxmlformats.org/officeDocument/2006/relationships/hyperlink" Target="http://pic.twitter.com/Inc7oQ2HUj" TargetMode="External"/><Relationship Id="rId373" Type="http://schemas.openxmlformats.org/officeDocument/2006/relationships/hyperlink" Target="http://pic.twitter.com/HmXFFBRpfU" TargetMode="External"/><Relationship Id="rId580" Type="http://schemas.openxmlformats.org/officeDocument/2006/relationships/hyperlink" Target="http://pic.twitter.com/2G6uQUnjie" TargetMode="External"/><Relationship Id="rId2054" Type="http://schemas.openxmlformats.org/officeDocument/2006/relationships/hyperlink" Target="http://pic.twitter.com/pufFHlL9ME" TargetMode="External"/><Relationship Id="rId1" Type="http://schemas.openxmlformats.org/officeDocument/2006/relationships/hyperlink" Target="https://pbs.twimg.com/media/EF-kwdrWwA0yvZy.jpg" TargetMode="External"/><Relationship Id="rId233" Type="http://schemas.openxmlformats.org/officeDocument/2006/relationships/hyperlink" Target="http://pic.twitter.com/gafkc8ptSR" TargetMode="External"/><Relationship Id="rId440" Type="http://schemas.openxmlformats.org/officeDocument/2006/relationships/hyperlink" Target="http://pic.twitter.com/MtZq7GybEE" TargetMode="External"/><Relationship Id="rId678" Type="http://schemas.openxmlformats.org/officeDocument/2006/relationships/hyperlink" Target="http://pic.twitter.com/xWUP0Fy0Y8" TargetMode="External"/><Relationship Id="rId885" Type="http://schemas.openxmlformats.org/officeDocument/2006/relationships/hyperlink" Target="http://pic.twitter.com/wbObE4Q8P1" TargetMode="External"/><Relationship Id="rId1070" Type="http://schemas.openxmlformats.org/officeDocument/2006/relationships/hyperlink" Target="http://pic.twitter.com/LVXhl9jhA0" TargetMode="External"/><Relationship Id="rId300" Type="http://schemas.openxmlformats.org/officeDocument/2006/relationships/hyperlink" Target="http://pic.twitter.com/VXOnrS7bFI" TargetMode="External"/><Relationship Id="rId538" Type="http://schemas.openxmlformats.org/officeDocument/2006/relationships/hyperlink" Target="http://pic.twitter.com/9b9lBr5M5r" TargetMode="External"/><Relationship Id="rId745" Type="http://schemas.openxmlformats.org/officeDocument/2006/relationships/hyperlink" Target="http://pic.twitter.com/nK7tEyILIm" TargetMode="External"/><Relationship Id="rId952" Type="http://schemas.openxmlformats.org/officeDocument/2006/relationships/hyperlink" Target="http://pic.twitter.com/sPReK9EW4J" TargetMode="External"/><Relationship Id="rId1168" Type="http://schemas.openxmlformats.org/officeDocument/2006/relationships/hyperlink" Target="http://pic.twitter.com/M0KoJMZBto" TargetMode="External"/><Relationship Id="rId1375" Type="http://schemas.openxmlformats.org/officeDocument/2006/relationships/hyperlink" Target="http://pic.twitter.com/51ToCNsxQp" TargetMode="External"/><Relationship Id="rId1582" Type="http://schemas.openxmlformats.org/officeDocument/2006/relationships/hyperlink" Target="http://pic.twitter.com/8rzBAVaffJ" TargetMode="External"/><Relationship Id="rId81" Type="http://schemas.openxmlformats.org/officeDocument/2006/relationships/hyperlink" Target="http://pic.twitter.com/HebvUWDgR0" TargetMode="External"/><Relationship Id="rId605" Type="http://schemas.openxmlformats.org/officeDocument/2006/relationships/hyperlink" Target="http://pic.twitter.com/77TalqwDEz" TargetMode="External"/><Relationship Id="rId812" Type="http://schemas.openxmlformats.org/officeDocument/2006/relationships/hyperlink" Target="http://pic.twitter.com/87FEoIFqxR" TargetMode="External"/><Relationship Id="rId1028" Type="http://schemas.openxmlformats.org/officeDocument/2006/relationships/hyperlink" Target="http://pic.twitter.com/7cOz9xqs24" TargetMode="External"/><Relationship Id="rId1235" Type="http://schemas.openxmlformats.org/officeDocument/2006/relationships/hyperlink" Target="http://pic.twitter.com/0d6daK6GeR" TargetMode="External"/><Relationship Id="rId1442" Type="http://schemas.openxmlformats.org/officeDocument/2006/relationships/hyperlink" Target="http://pic.twitter.com/PDgLXrnhoa" TargetMode="External"/><Relationship Id="rId1887" Type="http://schemas.openxmlformats.org/officeDocument/2006/relationships/hyperlink" Target="http://pic.twitter.com/LHicx8JSUm" TargetMode="External"/><Relationship Id="rId1302" Type="http://schemas.openxmlformats.org/officeDocument/2006/relationships/hyperlink" Target="http://pic.twitter.com/W5n7McFqh0" TargetMode="External"/><Relationship Id="rId1747" Type="http://schemas.openxmlformats.org/officeDocument/2006/relationships/hyperlink" Target="http://pic.twitter.com/NyyKNDBjC8" TargetMode="External"/><Relationship Id="rId1954" Type="http://schemas.openxmlformats.org/officeDocument/2006/relationships/hyperlink" Target="https://etsy.me/2ZgSR1H" TargetMode="External"/><Relationship Id="rId39" Type="http://schemas.openxmlformats.org/officeDocument/2006/relationships/hyperlink" Target="http://pic.twitter.com/zxeRAGyROf" TargetMode="External"/><Relationship Id="rId1607" Type="http://schemas.openxmlformats.org/officeDocument/2006/relationships/hyperlink" Target="http://pic.twitter.com/Zbtjc5wsc9" TargetMode="External"/><Relationship Id="rId1814" Type="http://schemas.openxmlformats.org/officeDocument/2006/relationships/hyperlink" Target="http://pic.twitter.com/xIwGEL2H1G" TargetMode="External"/><Relationship Id="rId188" Type="http://schemas.openxmlformats.org/officeDocument/2006/relationships/hyperlink" Target="http://pic.twitter.com/jt1W4jYG4l" TargetMode="External"/><Relationship Id="rId395" Type="http://schemas.openxmlformats.org/officeDocument/2006/relationships/hyperlink" Target="http://pic.twitter.com/ttzVEVd4HK" TargetMode="External"/><Relationship Id="rId2076" Type="http://schemas.openxmlformats.org/officeDocument/2006/relationships/hyperlink" Target="http://pic.twitter.com/QlUtBHJC9r" TargetMode="External"/><Relationship Id="rId255" Type="http://schemas.openxmlformats.org/officeDocument/2006/relationships/hyperlink" Target="http://pic.twitter.com/VACfyDWjXY" TargetMode="External"/><Relationship Id="rId462" Type="http://schemas.openxmlformats.org/officeDocument/2006/relationships/hyperlink" Target="http://pic.twitter.com/LSENQfNic5" TargetMode="External"/><Relationship Id="rId1092" Type="http://schemas.openxmlformats.org/officeDocument/2006/relationships/hyperlink" Target="http://pic.twitter.com/H1Bq1SGC9g" TargetMode="External"/><Relationship Id="rId1397" Type="http://schemas.openxmlformats.org/officeDocument/2006/relationships/hyperlink" Target="http://pic.twitter.com/OcII0NvbYl" TargetMode="External"/><Relationship Id="rId115" Type="http://schemas.openxmlformats.org/officeDocument/2006/relationships/hyperlink" Target="http://pic.twitter.com/sbNw56Otgn" TargetMode="External"/><Relationship Id="rId322" Type="http://schemas.openxmlformats.org/officeDocument/2006/relationships/hyperlink" Target="http://pic.twitter.com/DWh7Iip9fp" TargetMode="External"/><Relationship Id="rId767" Type="http://schemas.openxmlformats.org/officeDocument/2006/relationships/hyperlink" Target="http://pic.twitter.com/SPOcjxSZMT" TargetMode="External"/><Relationship Id="rId974" Type="http://schemas.openxmlformats.org/officeDocument/2006/relationships/hyperlink" Target="http://pic.twitter.com/DEDslCJJYb" TargetMode="External"/><Relationship Id="rId2003" Type="http://schemas.openxmlformats.org/officeDocument/2006/relationships/hyperlink" Target="http://pic.twitter.com/M8eRhigk5a" TargetMode="External"/><Relationship Id="rId627" Type="http://schemas.openxmlformats.org/officeDocument/2006/relationships/hyperlink" Target="http://pic.twitter.com/aAne1ePlsK" TargetMode="External"/><Relationship Id="rId834" Type="http://schemas.openxmlformats.org/officeDocument/2006/relationships/hyperlink" Target="http://pic.twitter.com/pBJ11zZ2z7" TargetMode="External"/><Relationship Id="rId1257" Type="http://schemas.openxmlformats.org/officeDocument/2006/relationships/hyperlink" Target="http://pic.twitter.com/SbejKbrLX9" TargetMode="External"/><Relationship Id="rId1464" Type="http://schemas.openxmlformats.org/officeDocument/2006/relationships/hyperlink" Target="http://pic.twitter.com/zoOzwMbgNG" TargetMode="External"/><Relationship Id="rId1671" Type="http://schemas.openxmlformats.org/officeDocument/2006/relationships/hyperlink" Target="http://pic.twitter.com/z60G8vocsK" TargetMode="External"/><Relationship Id="rId901" Type="http://schemas.openxmlformats.org/officeDocument/2006/relationships/hyperlink" Target="http://pic.twitter.com/qmO8nKIioL" TargetMode="External"/><Relationship Id="rId1117" Type="http://schemas.openxmlformats.org/officeDocument/2006/relationships/hyperlink" Target="http://pic.twitter.com/xy5u6p6FGs" TargetMode="External"/><Relationship Id="rId1324" Type="http://schemas.openxmlformats.org/officeDocument/2006/relationships/hyperlink" Target="http://pic.twitter.com/rnGwUArQFY" TargetMode="External"/><Relationship Id="rId1531" Type="http://schemas.openxmlformats.org/officeDocument/2006/relationships/hyperlink" Target="http://pic.twitter.com/pvztOH0XOX" TargetMode="External"/><Relationship Id="rId1769" Type="http://schemas.openxmlformats.org/officeDocument/2006/relationships/hyperlink" Target="http://pic.twitter.com/v6MZBYzLC4" TargetMode="External"/><Relationship Id="rId1976" Type="http://schemas.openxmlformats.org/officeDocument/2006/relationships/hyperlink" Target="http://pic.twitter.com/P0SIDBzhea" TargetMode="External"/><Relationship Id="rId30" Type="http://schemas.openxmlformats.org/officeDocument/2006/relationships/hyperlink" Target="http://pic.twitter.com/qrUnW34JcK" TargetMode="External"/><Relationship Id="rId1629" Type="http://schemas.openxmlformats.org/officeDocument/2006/relationships/hyperlink" Target="http://pic.twitter.com/BNZJtJc3t5" TargetMode="External"/><Relationship Id="rId1836" Type="http://schemas.openxmlformats.org/officeDocument/2006/relationships/hyperlink" Target="http://pic.twitter.com/Y7cjQkcg12" TargetMode="External"/><Relationship Id="rId1903" Type="http://schemas.openxmlformats.org/officeDocument/2006/relationships/hyperlink" Target="http://pic.twitter.com/OQKwUlaQ7i" TargetMode="External"/><Relationship Id="rId2098" Type="http://schemas.openxmlformats.org/officeDocument/2006/relationships/hyperlink" Target="https://pbs.twimg.com/media/EGTf8WAUcAATX2x.jpg" TargetMode="External"/><Relationship Id="rId277" Type="http://schemas.openxmlformats.org/officeDocument/2006/relationships/hyperlink" Target="http://pic.twitter.com/Z3p5tbr928" TargetMode="External"/><Relationship Id="rId484" Type="http://schemas.openxmlformats.org/officeDocument/2006/relationships/hyperlink" Target="https://api.whatsapp.com/send?phone=96171373252" TargetMode="External"/><Relationship Id="rId137" Type="http://schemas.openxmlformats.org/officeDocument/2006/relationships/hyperlink" Target="http://pic.twitter.com/WAbQ4YXyN9" TargetMode="External"/><Relationship Id="rId344" Type="http://schemas.openxmlformats.org/officeDocument/2006/relationships/hyperlink" Target="http://pic.twitter.com/LzvwB80MVP" TargetMode="External"/><Relationship Id="rId691" Type="http://schemas.openxmlformats.org/officeDocument/2006/relationships/hyperlink" Target="http://pic.twitter.com/XHEdDVRfwz" TargetMode="External"/><Relationship Id="rId789" Type="http://schemas.openxmlformats.org/officeDocument/2006/relationships/hyperlink" Target="http://pic.twitter.com/TYr3D1sZl7" TargetMode="External"/><Relationship Id="rId996" Type="http://schemas.openxmlformats.org/officeDocument/2006/relationships/hyperlink" Target="http://pic.twitter.com/6REsXlHRPv" TargetMode="External"/><Relationship Id="rId2025" Type="http://schemas.openxmlformats.org/officeDocument/2006/relationships/hyperlink" Target="http://pic.twitter.com/lKC6SN9TDV" TargetMode="External"/><Relationship Id="rId551" Type="http://schemas.openxmlformats.org/officeDocument/2006/relationships/hyperlink" Target="https://pbs.twimg.com/media/EF-kwdrWwA0yvZy.jpg" TargetMode="External"/><Relationship Id="rId649" Type="http://schemas.openxmlformats.org/officeDocument/2006/relationships/hyperlink" Target="http://pic.twitter.com/mczwpRE1oc" TargetMode="External"/><Relationship Id="rId856" Type="http://schemas.openxmlformats.org/officeDocument/2006/relationships/hyperlink" Target="https://pbs.twimg.com/media/EF-k-QmWkAIXsMv.jpg" TargetMode="External"/><Relationship Id="rId1181" Type="http://schemas.openxmlformats.org/officeDocument/2006/relationships/hyperlink" Target="http://pic.twitter.com/rS8kXlJwxY" TargetMode="External"/><Relationship Id="rId1279" Type="http://schemas.openxmlformats.org/officeDocument/2006/relationships/hyperlink" Target="https://pbs.twimg.com/media/EF-m1ZpXUAAvExx.jpg" TargetMode="External"/><Relationship Id="rId1486" Type="http://schemas.openxmlformats.org/officeDocument/2006/relationships/hyperlink" Target="http://pic.twitter.com/AqOqGSbvRr" TargetMode="External"/><Relationship Id="rId204" Type="http://schemas.openxmlformats.org/officeDocument/2006/relationships/hyperlink" Target="http://pic.twitter.com/GRRqWkNPIh" TargetMode="External"/><Relationship Id="rId411" Type="http://schemas.openxmlformats.org/officeDocument/2006/relationships/hyperlink" Target="http://pic.twitter.com/9HKLOw0umv" TargetMode="External"/><Relationship Id="rId509" Type="http://schemas.openxmlformats.org/officeDocument/2006/relationships/hyperlink" Target="http://pic.twitter.com/F7sTQJxDc3" TargetMode="External"/><Relationship Id="rId1041" Type="http://schemas.openxmlformats.org/officeDocument/2006/relationships/hyperlink" Target="http://pic.twitter.com/GZCvPdLbkY" TargetMode="External"/><Relationship Id="rId1139" Type="http://schemas.openxmlformats.org/officeDocument/2006/relationships/hyperlink" Target="http://pic.twitter.com/QvSH6PAurf" TargetMode="External"/><Relationship Id="rId1346" Type="http://schemas.openxmlformats.org/officeDocument/2006/relationships/hyperlink" Target="http://pic.twitter.com/h0VtWjHKJ1" TargetMode="External"/><Relationship Id="rId1693" Type="http://schemas.openxmlformats.org/officeDocument/2006/relationships/hyperlink" Target="http://pic.twitter.com/UKNc00jJ0R" TargetMode="External"/><Relationship Id="rId1998" Type="http://schemas.openxmlformats.org/officeDocument/2006/relationships/hyperlink" Target="http://pic.twitter.com/Rss7uPN4EL" TargetMode="External"/><Relationship Id="rId716" Type="http://schemas.openxmlformats.org/officeDocument/2006/relationships/hyperlink" Target="http://pic.twitter.com/PZRk4zhYN8" TargetMode="External"/><Relationship Id="rId923" Type="http://schemas.openxmlformats.org/officeDocument/2006/relationships/hyperlink" Target="http://pic.twitter.com/ThHoth29GO" TargetMode="External"/><Relationship Id="rId1553" Type="http://schemas.openxmlformats.org/officeDocument/2006/relationships/hyperlink" Target="http://pic.twitter.com/AJg3NX9KxO" TargetMode="External"/><Relationship Id="rId1760" Type="http://schemas.openxmlformats.org/officeDocument/2006/relationships/hyperlink" Target="https://www.straitstimes.com/world/still-no-justice-for-jamal-khashoggi-says-one-free-press-coalition" TargetMode="External"/><Relationship Id="rId1858" Type="http://schemas.openxmlformats.org/officeDocument/2006/relationships/hyperlink" Target="http://pic.twitter.com/aZziwh8BE3" TargetMode="External"/><Relationship Id="rId52" Type="http://schemas.openxmlformats.org/officeDocument/2006/relationships/hyperlink" Target="http://pic.twitter.com/hD6lGddXUJ" TargetMode="External"/><Relationship Id="rId1206" Type="http://schemas.openxmlformats.org/officeDocument/2006/relationships/hyperlink" Target="http://pic.twitter.com/4Nt7Qi33qm" TargetMode="External"/><Relationship Id="rId1413" Type="http://schemas.openxmlformats.org/officeDocument/2006/relationships/hyperlink" Target="http://pic.twitter.com/YWR3Wh6jKj" TargetMode="External"/><Relationship Id="rId1620" Type="http://schemas.openxmlformats.org/officeDocument/2006/relationships/hyperlink" Target="http://pic.twitter.com/MZzlzCD3FX" TargetMode="External"/><Relationship Id="rId1718" Type="http://schemas.openxmlformats.org/officeDocument/2006/relationships/hyperlink" Target="http://pic.twitter.com/vbgct0I3qY" TargetMode="External"/><Relationship Id="rId1925" Type="http://schemas.openxmlformats.org/officeDocument/2006/relationships/hyperlink" Target="http://pic.twitter.com/Su36hw3Vp8" TargetMode="External"/><Relationship Id="rId299" Type="http://schemas.openxmlformats.org/officeDocument/2006/relationships/hyperlink" Target="http://pic.twitter.com/popbOYZ6Ge" TargetMode="External"/><Relationship Id="rId159" Type="http://schemas.openxmlformats.org/officeDocument/2006/relationships/hyperlink" Target="http://pic.twitter.com/M8A5MFbU0x" TargetMode="External"/><Relationship Id="rId366" Type="http://schemas.openxmlformats.org/officeDocument/2006/relationships/hyperlink" Target="http://pic.twitter.com/Ljd2W9sY81" TargetMode="External"/><Relationship Id="rId573" Type="http://schemas.openxmlformats.org/officeDocument/2006/relationships/hyperlink" Target="http://pic.twitter.com/0Uk5p7cQiM" TargetMode="External"/><Relationship Id="rId780" Type="http://schemas.openxmlformats.org/officeDocument/2006/relationships/hyperlink" Target="http://pic.twitter.com/Yl8CMmTeC5" TargetMode="External"/><Relationship Id="rId2047" Type="http://schemas.openxmlformats.org/officeDocument/2006/relationships/hyperlink" Target="http://pic.twitter.com/SQBLEKwrGD" TargetMode="External"/><Relationship Id="rId226" Type="http://schemas.openxmlformats.org/officeDocument/2006/relationships/hyperlink" Target="http://pic.twitter.com/55P7RyMPC8" TargetMode="External"/><Relationship Id="rId433" Type="http://schemas.openxmlformats.org/officeDocument/2006/relationships/hyperlink" Target="http://pic.twitter.com/U54kwhGzSW" TargetMode="External"/><Relationship Id="rId878" Type="http://schemas.openxmlformats.org/officeDocument/2006/relationships/hyperlink" Target="http://pic.twitter.com/B0IJiusASP" TargetMode="External"/><Relationship Id="rId1063" Type="http://schemas.openxmlformats.org/officeDocument/2006/relationships/hyperlink" Target="https://pbs.twimg.com/media/EGYfk_tXYAEnoHp.jpg" TargetMode="External"/><Relationship Id="rId1270" Type="http://schemas.openxmlformats.org/officeDocument/2006/relationships/hyperlink" Target="http://pic.twitter.com/duYzf6HtCZ" TargetMode="External"/><Relationship Id="rId640" Type="http://schemas.openxmlformats.org/officeDocument/2006/relationships/hyperlink" Target="http://pic.twitter.com/bfO63BRYSP" TargetMode="External"/><Relationship Id="rId738" Type="http://schemas.openxmlformats.org/officeDocument/2006/relationships/hyperlink" Target="http://pic.twitter.com/oKFcEi2vue" TargetMode="External"/><Relationship Id="rId945" Type="http://schemas.openxmlformats.org/officeDocument/2006/relationships/hyperlink" Target="http://pic.twitter.com/UzXnyR0Q89" TargetMode="External"/><Relationship Id="rId1368" Type="http://schemas.openxmlformats.org/officeDocument/2006/relationships/hyperlink" Target="http://pic.twitter.com/HkhDHI6FMo" TargetMode="External"/><Relationship Id="rId1575" Type="http://schemas.openxmlformats.org/officeDocument/2006/relationships/hyperlink" Target="http://pic.twitter.com/TaYlRAKOP2" TargetMode="External"/><Relationship Id="rId1782" Type="http://schemas.openxmlformats.org/officeDocument/2006/relationships/hyperlink" Target="http://pic.twitter.com/76iWmuLa5c" TargetMode="External"/><Relationship Id="rId74" Type="http://schemas.openxmlformats.org/officeDocument/2006/relationships/hyperlink" Target="http://pic.twitter.com/RF5pGw4cXZ" TargetMode="External"/><Relationship Id="rId500" Type="http://schemas.openxmlformats.org/officeDocument/2006/relationships/hyperlink" Target="http://pic.twitter.com/MRoSKFGld8" TargetMode="External"/><Relationship Id="rId805" Type="http://schemas.openxmlformats.org/officeDocument/2006/relationships/hyperlink" Target="http://pic.twitter.com/XH9lO2gQcg" TargetMode="External"/><Relationship Id="rId1130" Type="http://schemas.openxmlformats.org/officeDocument/2006/relationships/hyperlink" Target="http://pic.twitter.com/AGd1YPAhlA" TargetMode="External"/><Relationship Id="rId1228" Type="http://schemas.openxmlformats.org/officeDocument/2006/relationships/hyperlink" Target="http://pic.twitter.com/9TO8V28ZYq" TargetMode="External"/><Relationship Id="rId1435" Type="http://schemas.openxmlformats.org/officeDocument/2006/relationships/hyperlink" Target="http://pic.twitter.com/5wZFKm47JT" TargetMode="External"/><Relationship Id="rId1642" Type="http://schemas.openxmlformats.org/officeDocument/2006/relationships/hyperlink" Target="http://pic.twitter.com/HBuMa6F2y1" TargetMode="External"/><Relationship Id="rId1947" Type="http://schemas.openxmlformats.org/officeDocument/2006/relationships/hyperlink" Target="http://pic.twitter.com/vl9w7v1dXK" TargetMode="External"/><Relationship Id="rId1502" Type="http://schemas.openxmlformats.org/officeDocument/2006/relationships/hyperlink" Target="https://pbs.twimg.com/media/EF-kwdrWwA0yvZy.jpg" TargetMode="External"/><Relationship Id="rId1807" Type="http://schemas.openxmlformats.org/officeDocument/2006/relationships/hyperlink" Target="http://pic.twitter.com/X4ZTA3kbIJ" TargetMode="External"/><Relationship Id="rId290" Type="http://schemas.openxmlformats.org/officeDocument/2006/relationships/hyperlink" Target="http://pic.twitter.com/TFrs0YKt5k" TargetMode="External"/><Relationship Id="rId388" Type="http://schemas.openxmlformats.org/officeDocument/2006/relationships/hyperlink" Target="http://pic.twitter.com/2VpbBAO8NL" TargetMode="External"/><Relationship Id="rId2069" Type="http://schemas.openxmlformats.org/officeDocument/2006/relationships/hyperlink" Target="http://pic.twitter.com/1XzHZhqUBN" TargetMode="External"/><Relationship Id="rId150" Type="http://schemas.openxmlformats.org/officeDocument/2006/relationships/hyperlink" Target="http://pic.twitter.com/9bNStf2rRk" TargetMode="External"/><Relationship Id="rId595" Type="http://schemas.openxmlformats.org/officeDocument/2006/relationships/hyperlink" Target="http://pic.twitter.com/JJVTkiW6Sg" TargetMode="External"/><Relationship Id="rId248" Type="http://schemas.openxmlformats.org/officeDocument/2006/relationships/hyperlink" Target="http://pic.twitter.com/EeqK0dqEpH" TargetMode="External"/><Relationship Id="rId455" Type="http://schemas.openxmlformats.org/officeDocument/2006/relationships/hyperlink" Target="http://pic.twitter.com/s3EsKrrhVY" TargetMode="External"/><Relationship Id="rId662" Type="http://schemas.openxmlformats.org/officeDocument/2006/relationships/hyperlink" Target="http://pic.twitter.com/ozPQBf1Xx4" TargetMode="External"/><Relationship Id="rId1085" Type="http://schemas.openxmlformats.org/officeDocument/2006/relationships/hyperlink" Target="http://pic.twitter.com/0gT01tHbZY" TargetMode="External"/><Relationship Id="rId1292" Type="http://schemas.openxmlformats.org/officeDocument/2006/relationships/hyperlink" Target="http://pic.twitter.com/fozolbpGVv" TargetMode="External"/><Relationship Id="rId108" Type="http://schemas.openxmlformats.org/officeDocument/2006/relationships/hyperlink" Target="https://pbs.twimg.com/media/EGb1khVXYAA0nuh.jpg" TargetMode="External"/><Relationship Id="rId315" Type="http://schemas.openxmlformats.org/officeDocument/2006/relationships/hyperlink" Target="http://braingarbagedystopie.blogspot.com/" TargetMode="External"/><Relationship Id="rId522" Type="http://schemas.openxmlformats.org/officeDocument/2006/relationships/hyperlink" Target="http://pic.twitter.com/rJJBVnRkiL" TargetMode="External"/><Relationship Id="rId967" Type="http://schemas.openxmlformats.org/officeDocument/2006/relationships/hyperlink" Target="http://pic.twitter.com/Oe1M0SdzYV" TargetMode="External"/><Relationship Id="rId1152" Type="http://schemas.openxmlformats.org/officeDocument/2006/relationships/hyperlink" Target="http://pic.twitter.com/euCFA464IV" TargetMode="External"/><Relationship Id="rId1597" Type="http://schemas.openxmlformats.org/officeDocument/2006/relationships/hyperlink" Target="https://pbs.twimg.com/media/EF-k-QmWkAIXsMv.jpg" TargetMode="External"/><Relationship Id="rId96" Type="http://schemas.openxmlformats.org/officeDocument/2006/relationships/hyperlink" Target="http://pic.twitter.com/uB2AgOGeK9" TargetMode="External"/><Relationship Id="rId827" Type="http://schemas.openxmlformats.org/officeDocument/2006/relationships/hyperlink" Target="http://pic.twitter.com/DuCfe31hWM" TargetMode="External"/><Relationship Id="rId1012" Type="http://schemas.openxmlformats.org/officeDocument/2006/relationships/hyperlink" Target="http://pic.twitter.com/AWfZegM4Lw" TargetMode="External"/><Relationship Id="rId1457" Type="http://schemas.openxmlformats.org/officeDocument/2006/relationships/hyperlink" Target="http://pic.twitter.com/KaCMLvePuo" TargetMode="External"/><Relationship Id="rId1664" Type="http://schemas.openxmlformats.org/officeDocument/2006/relationships/hyperlink" Target="http://pic.twitter.com/ECmHcQrL40" TargetMode="External"/><Relationship Id="rId1871" Type="http://schemas.openxmlformats.org/officeDocument/2006/relationships/hyperlink" Target="http://pic.twitter.com/HupT9uUStw" TargetMode="External"/><Relationship Id="rId1317" Type="http://schemas.openxmlformats.org/officeDocument/2006/relationships/hyperlink" Target="http://pic.twitter.com/2yT90ysOgu" TargetMode="External"/><Relationship Id="rId1524" Type="http://schemas.openxmlformats.org/officeDocument/2006/relationships/hyperlink" Target="http://pic.twitter.com/1KJ0IeUOEs" TargetMode="External"/><Relationship Id="rId1731" Type="http://schemas.openxmlformats.org/officeDocument/2006/relationships/hyperlink" Target="http://pic.twitter.com/Go1c3iJFgK" TargetMode="External"/><Relationship Id="rId1969" Type="http://schemas.openxmlformats.org/officeDocument/2006/relationships/hyperlink" Target="http://pic.twitter.com/q3JABRbGJf" TargetMode="External"/><Relationship Id="rId23" Type="http://schemas.openxmlformats.org/officeDocument/2006/relationships/hyperlink" Target="https://pbs.twimg.com/media/EGcO0EXUEAA6PFs.jpg" TargetMode="External"/><Relationship Id="rId1829" Type="http://schemas.openxmlformats.org/officeDocument/2006/relationships/hyperlink" Target="http://pic.twitter.com/nVKzCjJDsF" TargetMode="External"/><Relationship Id="rId172" Type="http://schemas.openxmlformats.org/officeDocument/2006/relationships/hyperlink" Target="http://pic.twitter.com/koQkPzCDGJ" TargetMode="External"/><Relationship Id="rId477" Type="http://schemas.openxmlformats.org/officeDocument/2006/relationships/hyperlink" Target="http://pic.twitter.com/fhFw9cBxzc" TargetMode="External"/><Relationship Id="rId684" Type="http://schemas.openxmlformats.org/officeDocument/2006/relationships/hyperlink" Target="http://pic.twitter.com/XRPiCEQqjK" TargetMode="External"/><Relationship Id="rId2060" Type="http://schemas.openxmlformats.org/officeDocument/2006/relationships/hyperlink" Target="http://pic.twitter.com/PMgLE6kuu4" TargetMode="External"/><Relationship Id="rId337" Type="http://schemas.openxmlformats.org/officeDocument/2006/relationships/hyperlink" Target="https://pbs.twimg.com/media/EF-k-QmWkAIXsMv.jpg" TargetMode="External"/><Relationship Id="rId891" Type="http://schemas.openxmlformats.org/officeDocument/2006/relationships/hyperlink" Target="http://pic.twitter.com/b9XhYgbfwb" TargetMode="External"/><Relationship Id="rId989" Type="http://schemas.openxmlformats.org/officeDocument/2006/relationships/hyperlink" Target="http://pic.twitter.com/oG402qhbaE" TargetMode="External"/><Relationship Id="rId2018" Type="http://schemas.openxmlformats.org/officeDocument/2006/relationships/hyperlink" Target="http://pic.twitter.com/UOKn24MqCA" TargetMode="External"/><Relationship Id="rId544" Type="http://schemas.openxmlformats.org/officeDocument/2006/relationships/hyperlink" Target="http://pic.twitter.com/15yQfirWj9" TargetMode="External"/><Relationship Id="rId751" Type="http://schemas.openxmlformats.org/officeDocument/2006/relationships/hyperlink" Target="http://pic.twitter.com/FWB0EnvAlV" TargetMode="External"/><Relationship Id="rId849" Type="http://schemas.openxmlformats.org/officeDocument/2006/relationships/hyperlink" Target="http://pic.twitter.com/nm7q4tUsfG" TargetMode="External"/><Relationship Id="rId1174" Type="http://schemas.openxmlformats.org/officeDocument/2006/relationships/hyperlink" Target="http://pic.twitter.com/pWfBo4qVsw" TargetMode="External"/><Relationship Id="rId1381" Type="http://schemas.openxmlformats.org/officeDocument/2006/relationships/hyperlink" Target="http://pic.twitter.com/DU8Ri3NzsZ" TargetMode="External"/><Relationship Id="rId1479" Type="http://schemas.openxmlformats.org/officeDocument/2006/relationships/hyperlink" Target="http://pic.twitter.com/P97Z3pm5Fq" TargetMode="External"/><Relationship Id="rId1686" Type="http://schemas.openxmlformats.org/officeDocument/2006/relationships/hyperlink" Target="http://pic.twitter.com/y3s1604OIh" TargetMode="External"/><Relationship Id="rId404" Type="http://schemas.openxmlformats.org/officeDocument/2006/relationships/hyperlink" Target="http://pic.twitter.com/MrYQFFYSRA" TargetMode="External"/><Relationship Id="rId611" Type="http://schemas.openxmlformats.org/officeDocument/2006/relationships/hyperlink" Target="http://pic.twitter.com/P0Mv8ktDmK" TargetMode="External"/><Relationship Id="rId1034" Type="http://schemas.openxmlformats.org/officeDocument/2006/relationships/hyperlink" Target="http://pic.twitter.com/KZCByplVVE" TargetMode="External"/><Relationship Id="rId1241" Type="http://schemas.openxmlformats.org/officeDocument/2006/relationships/hyperlink" Target="http://pic.twitter.com/veOc4ZExCX" TargetMode="External"/><Relationship Id="rId1339" Type="http://schemas.openxmlformats.org/officeDocument/2006/relationships/hyperlink" Target="http://pic.twitter.com/MbtJkwRh1A" TargetMode="External"/><Relationship Id="rId1893" Type="http://schemas.openxmlformats.org/officeDocument/2006/relationships/hyperlink" Target="http://pic.twitter.com/Dz3t6pXky3" TargetMode="External"/><Relationship Id="rId709" Type="http://schemas.openxmlformats.org/officeDocument/2006/relationships/hyperlink" Target="http://pic.twitter.com/CfeXlOvSVK" TargetMode="External"/><Relationship Id="rId916" Type="http://schemas.openxmlformats.org/officeDocument/2006/relationships/hyperlink" Target="http://pic.twitter.com/sjwEF1mDNB" TargetMode="External"/><Relationship Id="rId1101" Type="http://schemas.openxmlformats.org/officeDocument/2006/relationships/hyperlink" Target="https://pbs.twimg.com/media/EF-k-QmWkAIXsMv.jpg" TargetMode="External"/><Relationship Id="rId1546" Type="http://schemas.openxmlformats.org/officeDocument/2006/relationships/hyperlink" Target="http://pic.twitter.com/fiBPDFnWym" TargetMode="External"/><Relationship Id="rId1753" Type="http://schemas.openxmlformats.org/officeDocument/2006/relationships/hyperlink" Target="http://pic.twitter.com/OAglJ6QtUE" TargetMode="External"/><Relationship Id="rId1960" Type="http://schemas.openxmlformats.org/officeDocument/2006/relationships/hyperlink" Target="http://pic.twitter.com/La5Omv48ir" TargetMode="External"/><Relationship Id="rId45" Type="http://schemas.openxmlformats.org/officeDocument/2006/relationships/hyperlink" Target="http://pic.twitter.com/q7A69h5p0R" TargetMode="External"/><Relationship Id="rId1406" Type="http://schemas.openxmlformats.org/officeDocument/2006/relationships/hyperlink" Target="http://pic.twitter.com/xGQp18Lvvc" TargetMode="External"/><Relationship Id="rId1613" Type="http://schemas.openxmlformats.org/officeDocument/2006/relationships/hyperlink" Target="http://pic.twitter.com/g0zD6nOYan" TargetMode="External"/><Relationship Id="rId1820" Type="http://schemas.openxmlformats.org/officeDocument/2006/relationships/hyperlink" Target="http://pic.twitter.com/BYC8qDx8Hl" TargetMode="External"/><Relationship Id="rId194" Type="http://schemas.openxmlformats.org/officeDocument/2006/relationships/hyperlink" Target="http://pic.twitter.com/LnVOooLzqw" TargetMode="External"/><Relationship Id="rId1918" Type="http://schemas.openxmlformats.org/officeDocument/2006/relationships/hyperlink" Target="http://pic.twitter.com/O1KUSGGKwt" TargetMode="External"/><Relationship Id="rId2082" Type="http://schemas.openxmlformats.org/officeDocument/2006/relationships/hyperlink" Target="http://pic.twitter.com/oyHCaTk72O" TargetMode="External"/><Relationship Id="rId261" Type="http://schemas.openxmlformats.org/officeDocument/2006/relationships/hyperlink" Target="http://pic.twitter.com/yIhmG8iD3F" TargetMode="External"/><Relationship Id="rId499" Type="http://schemas.openxmlformats.org/officeDocument/2006/relationships/hyperlink" Target="http://pic.twitter.com/8GKZFcj1W7" TargetMode="External"/><Relationship Id="rId359" Type="http://schemas.openxmlformats.org/officeDocument/2006/relationships/hyperlink" Target="http://pic.twitter.com/yxHZLSJkKC" TargetMode="External"/><Relationship Id="rId566" Type="http://schemas.openxmlformats.org/officeDocument/2006/relationships/hyperlink" Target="http://pic.twitter.com/Mh6NIa0NbT" TargetMode="External"/><Relationship Id="rId773" Type="http://schemas.openxmlformats.org/officeDocument/2006/relationships/hyperlink" Target="http://pic.twitter.com/IwBd4AgXSW" TargetMode="External"/><Relationship Id="rId1196" Type="http://schemas.openxmlformats.org/officeDocument/2006/relationships/hyperlink" Target="https://pbs.twimg.com/media/EF-m1ZpXUAAvExx.jpg" TargetMode="External"/><Relationship Id="rId121" Type="http://schemas.openxmlformats.org/officeDocument/2006/relationships/hyperlink" Target="https://pbs.twimg.com/media/EGbxmZFWkAA5w2n.jpg" TargetMode="External"/><Relationship Id="rId219" Type="http://schemas.openxmlformats.org/officeDocument/2006/relationships/hyperlink" Target="http://pic.twitter.com/ud2nItJQZH" TargetMode="External"/><Relationship Id="rId426" Type="http://schemas.openxmlformats.org/officeDocument/2006/relationships/hyperlink" Target="http://pic.twitter.com/m0AaSsWmqU" TargetMode="External"/><Relationship Id="rId633" Type="http://schemas.openxmlformats.org/officeDocument/2006/relationships/hyperlink" Target="http://pic.twitter.com/yppCy0JnJh" TargetMode="External"/><Relationship Id="rId980" Type="http://schemas.openxmlformats.org/officeDocument/2006/relationships/hyperlink" Target="http://pic.twitter.com/YHBbTcR6We" TargetMode="External"/><Relationship Id="rId1056" Type="http://schemas.openxmlformats.org/officeDocument/2006/relationships/hyperlink" Target="http://pic.twitter.com/3UYXd7lQbV" TargetMode="External"/><Relationship Id="rId1263" Type="http://schemas.openxmlformats.org/officeDocument/2006/relationships/hyperlink" Target="http://pic.twitter.com/9BLSjx5vqv" TargetMode="External"/><Relationship Id="rId840" Type="http://schemas.openxmlformats.org/officeDocument/2006/relationships/hyperlink" Target="http://pic.twitter.com/vrXNh8QJE1" TargetMode="External"/><Relationship Id="rId938" Type="http://schemas.openxmlformats.org/officeDocument/2006/relationships/hyperlink" Target="http://pic.twitter.com/8Lp5Gsb8v0" TargetMode="External"/><Relationship Id="rId1470" Type="http://schemas.openxmlformats.org/officeDocument/2006/relationships/hyperlink" Target="http://pic.twitter.com/Ge2UMGT3HQ" TargetMode="External"/><Relationship Id="rId1568" Type="http://schemas.openxmlformats.org/officeDocument/2006/relationships/hyperlink" Target="http://pic.twitter.com/okG0WxCS6j" TargetMode="External"/><Relationship Id="rId1775" Type="http://schemas.openxmlformats.org/officeDocument/2006/relationships/hyperlink" Target="http://pic.twitter.com/au6BiRx1RQ" TargetMode="External"/><Relationship Id="rId67" Type="http://schemas.openxmlformats.org/officeDocument/2006/relationships/hyperlink" Target="http://pic.twitter.com/qcqljWLqX6" TargetMode="External"/><Relationship Id="rId700" Type="http://schemas.openxmlformats.org/officeDocument/2006/relationships/hyperlink" Target="http://pic.twitter.com/pXbc8lizlJ" TargetMode="External"/><Relationship Id="rId1123" Type="http://schemas.openxmlformats.org/officeDocument/2006/relationships/hyperlink" Target="http://pic.twitter.com/nPI3vTiHZb" TargetMode="External"/><Relationship Id="rId1330" Type="http://schemas.openxmlformats.org/officeDocument/2006/relationships/hyperlink" Target="http://pic.twitter.com/UIrQfjPNeb" TargetMode="External"/><Relationship Id="rId1428" Type="http://schemas.openxmlformats.org/officeDocument/2006/relationships/hyperlink" Target="http://pic.twitter.com/CztuNVXs4w" TargetMode="External"/><Relationship Id="rId1635" Type="http://schemas.openxmlformats.org/officeDocument/2006/relationships/hyperlink" Target="http://pic.twitter.com/NKkIcqBvh7" TargetMode="External"/><Relationship Id="rId1982" Type="http://schemas.openxmlformats.org/officeDocument/2006/relationships/hyperlink" Target="https://www.facebook.com/WhatNedSaid/" TargetMode="External"/><Relationship Id="rId1842" Type="http://schemas.openxmlformats.org/officeDocument/2006/relationships/hyperlink" Target="http://pic.twitter.com/CcODm4GpIj" TargetMode="External"/><Relationship Id="rId1702" Type="http://schemas.openxmlformats.org/officeDocument/2006/relationships/hyperlink" Target="http://pic.twitter.com/NiRJAuP8y9" TargetMode="External"/><Relationship Id="rId283" Type="http://schemas.openxmlformats.org/officeDocument/2006/relationships/hyperlink" Target="http://pic.twitter.com/cIeHMpnCjr" TargetMode="External"/><Relationship Id="rId490" Type="http://schemas.openxmlformats.org/officeDocument/2006/relationships/hyperlink" Target="http://pic.twitter.com/KhVIx3LH3v" TargetMode="External"/><Relationship Id="rId143" Type="http://schemas.openxmlformats.org/officeDocument/2006/relationships/hyperlink" Target="http://pic.twitter.com/tb6c1fInfu" TargetMode="External"/><Relationship Id="rId350" Type="http://schemas.openxmlformats.org/officeDocument/2006/relationships/hyperlink" Target="http://pic.twitter.com/yizw6sZrgA" TargetMode="External"/><Relationship Id="rId588" Type="http://schemas.openxmlformats.org/officeDocument/2006/relationships/hyperlink" Target="http://pic.twitter.com/QDADHXJH86" TargetMode="External"/><Relationship Id="rId795" Type="http://schemas.openxmlformats.org/officeDocument/2006/relationships/hyperlink" Target="http://pic.twitter.com/r9p0qatXqt" TargetMode="External"/><Relationship Id="rId2031" Type="http://schemas.openxmlformats.org/officeDocument/2006/relationships/hyperlink" Target="http://pic.twitter.com/DffMlmFJzM" TargetMode="External"/><Relationship Id="rId9" Type="http://schemas.openxmlformats.org/officeDocument/2006/relationships/hyperlink" Target="http://pic.twitter.com/7xo7Vf5Zfe" TargetMode="External"/><Relationship Id="rId210" Type="http://schemas.openxmlformats.org/officeDocument/2006/relationships/hyperlink" Target="http://pic.twitter.com/7oBiCnOVwK" TargetMode="External"/><Relationship Id="rId448" Type="http://schemas.openxmlformats.org/officeDocument/2006/relationships/hyperlink" Target="http://pic.twitter.com/M33e2AY0ao" TargetMode="External"/><Relationship Id="rId655" Type="http://schemas.openxmlformats.org/officeDocument/2006/relationships/hyperlink" Target="http://pic.twitter.com/BZkuR3YWkw" TargetMode="External"/><Relationship Id="rId862" Type="http://schemas.openxmlformats.org/officeDocument/2006/relationships/hyperlink" Target="http://pic.twitter.com/PQn5nkPDah" TargetMode="External"/><Relationship Id="rId1078" Type="http://schemas.openxmlformats.org/officeDocument/2006/relationships/hyperlink" Target="http://pic.twitter.com/Gxl0Tf6IVY" TargetMode="External"/><Relationship Id="rId1285" Type="http://schemas.openxmlformats.org/officeDocument/2006/relationships/hyperlink" Target="http://pic.twitter.com/hH39IURFEw" TargetMode="External"/><Relationship Id="rId1492" Type="http://schemas.openxmlformats.org/officeDocument/2006/relationships/hyperlink" Target="http://pic.twitter.com/6nzoLLaNW8" TargetMode="External"/><Relationship Id="rId308" Type="http://schemas.openxmlformats.org/officeDocument/2006/relationships/hyperlink" Target="http://pic.twitter.com/ZuQ8gOANno" TargetMode="External"/><Relationship Id="rId515" Type="http://schemas.openxmlformats.org/officeDocument/2006/relationships/hyperlink" Target="http://pic.twitter.com/umvrXnVa0k" TargetMode="External"/><Relationship Id="rId722" Type="http://schemas.openxmlformats.org/officeDocument/2006/relationships/hyperlink" Target="https://www.paypal.me/RajMeister" TargetMode="External"/><Relationship Id="rId1145" Type="http://schemas.openxmlformats.org/officeDocument/2006/relationships/hyperlink" Target="http://pic.twitter.com/X8xCsSBj9s" TargetMode="External"/><Relationship Id="rId1352" Type="http://schemas.openxmlformats.org/officeDocument/2006/relationships/hyperlink" Target="http://pic.twitter.com/mBGnoq09Tv" TargetMode="External"/><Relationship Id="rId1797" Type="http://schemas.openxmlformats.org/officeDocument/2006/relationships/hyperlink" Target="http://pic.twitter.com/MYpF376MMq" TargetMode="External"/><Relationship Id="rId89" Type="http://schemas.openxmlformats.org/officeDocument/2006/relationships/hyperlink" Target="https://www.huffpost.com/entry/saudi-seven-khashoggi_n_5d975e49e4b02911e11a38b1" TargetMode="External"/><Relationship Id="rId1005" Type="http://schemas.openxmlformats.org/officeDocument/2006/relationships/hyperlink" Target="http://bit.ly/2pMohQL" TargetMode="External"/><Relationship Id="rId1212" Type="http://schemas.openxmlformats.org/officeDocument/2006/relationships/hyperlink" Target="http://pic.twitter.com/eEwisebzZ6" TargetMode="External"/><Relationship Id="rId1657" Type="http://schemas.openxmlformats.org/officeDocument/2006/relationships/hyperlink" Target="http://pic.twitter.com/KT3YEpobpx" TargetMode="External"/><Relationship Id="rId1864" Type="http://schemas.openxmlformats.org/officeDocument/2006/relationships/hyperlink" Target="http://pic.twitter.com/iJvmQKa0mp" TargetMode="External"/><Relationship Id="rId1517" Type="http://schemas.openxmlformats.org/officeDocument/2006/relationships/hyperlink" Target="http://pic.twitter.com/jAkDdedYIn" TargetMode="External"/><Relationship Id="rId1724" Type="http://schemas.openxmlformats.org/officeDocument/2006/relationships/hyperlink" Target="http://pic.twitter.com/ZZDBPe4v53" TargetMode="External"/><Relationship Id="rId16" Type="http://schemas.openxmlformats.org/officeDocument/2006/relationships/hyperlink" Target="http://pic.twitter.com/AppF5iaCL9" TargetMode="External"/><Relationship Id="rId1931" Type="http://schemas.openxmlformats.org/officeDocument/2006/relationships/hyperlink" Target="http://pic.twitter.com/newlMzh9Oq" TargetMode="External"/><Relationship Id="rId165" Type="http://schemas.openxmlformats.org/officeDocument/2006/relationships/hyperlink" Target="http://pic.twitter.com/MGfK5zpUn2" TargetMode="External"/><Relationship Id="rId372" Type="http://schemas.openxmlformats.org/officeDocument/2006/relationships/hyperlink" Target="http://pic.twitter.com/TuH9DTjWHk" TargetMode="External"/><Relationship Id="rId677" Type="http://schemas.openxmlformats.org/officeDocument/2006/relationships/hyperlink" Target="http://pic.twitter.com/WAm1k7VFxz" TargetMode="External"/><Relationship Id="rId2053" Type="http://schemas.openxmlformats.org/officeDocument/2006/relationships/hyperlink" Target="http://pic.twitter.com/ozxL4NH6lO" TargetMode="External"/><Relationship Id="rId232" Type="http://schemas.openxmlformats.org/officeDocument/2006/relationships/hyperlink" Target="http://pic.twitter.com/yiUun4m53I" TargetMode="External"/><Relationship Id="rId884" Type="http://schemas.openxmlformats.org/officeDocument/2006/relationships/hyperlink" Target="http://pic.twitter.com/D6lRmkj9SF" TargetMode="External"/><Relationship Id="rId537" Type="http://schemas.openxmlformats.org/officeDocument/2006/relationships/hyperlink" Target="http://pic.twitter.com/Fe7XQXiQUv" TargetMode="External"/><Relationship Id="rId744" Type="http://schemas.openxmlformats.org/officeDocument/2006/relationships/hyperlink" Target="http://pic.twitter.com/uVEIvKEdP1" TargetMode="External"/><Relationship Id="rId951" Type="http://schemas.openxmlformats.org/officeDocument/2006/relationships/hyperlink" Target="http://pic.twitter.com/AsLOYaJmik" TargetMode="External"/><Relationship Id="rId1167" Type="http://schemas.openxmlformats.org/officeDocument/2006/relationships/hyperlink" Target="http://pic.twitter.com/Zg7lIlgViG" TargetMode="External"/><Relationship Id="rId1374" Type="http://schemas.openxmlformats.org/officeDocument/2006/relationships/hyperlink" Target="http://pic.twitter.com/m6TQuDhiPQ" TargetMode="External"/><Relationship Id="rId1581" Type="http://schemas.openxmlformats.org/officeDocument/2006/relationships/hyperlink" Target="http://pic.twitter.com/wStYWLFO9M" TargetMode="External"/><Relationship Id="rId1679" Type="http://schemas.openxmlformats.org/officeDocument/2006/relationships/hyperlink" Target="http://pic.twitter.com/rz4AHS4sCW" TargetMode="External"/><Relationship Id="rId80" Type="http://schemas.openxmlformats.org/officeDocument/2006/relationships/hyperlink" Target="http://pic.twitter.com/KllHmc1oL9" TargetMode="External"/><Relationship Id="rId604" Type="http://schemas.openxmlformats.org/officeDocument/2006/relationships/hyperlink" Target="http://pic.twitter.com/vek9OSklga" TargetMode="External"/><Relationship Id="rId811" Type="http://schemas.openxmlformats.org/officeDocument/2006/relationships/hyperlink" Target="http://pic.twitter.com/ojP1HuRnOw" TargetMode="External"/><Relationship Id="rId1027" Type="http://schemas.openxmlformats.org/officeDocument/2006/relationships/hyperlink" Target="http://berniesanders.com/" TargetMode="External"/><Relationship Id="rId1234" Type="http://schemas.openxmlformats.org/officeDocument/2006/relationships/hyperlink" Target="http://pic.twitter.com/HmnKulItrl" TargetMode="External"/><Relationship Id="rId1441" Type="http://schemas.openxmlformats.org/officeDocument/2006/relationships/hyperlink" Target="http://pic.twitter.com/DdtxMCo0B7" TargetMode="External"/><Relationship Id="rId1886" Type="http://schemas.openxmlformats.org/officeDocument/2006/relationships/hyperlink" Target="http://pic.twitter.com/4kSuZpM9HC" TargetMode="External"/><Relationship Id="rId909" Type="http://schemas.openxmlformats.org/officeDocument/2006/relationships/hyperlink" Target="https://pbs.twimg.com/media/EF-kwdrWwA0yvZy.jpg" TargetMode="External"/><Relationship Id="rId1301" Type="http://schemas.openxmlformats.org/officeDocument/2006/relationships/hyperlink" Target="http://pic.twitter.com/msgyKv1xsy" TargetMode="External"/><Relationship Id="rId1539" Type="http://schemas.openxmlformats.org/officeDocument/2006/relationships/hyperlink" Target="http://pic.twitter.com/ObGfyWuXKj" TargetMode="External"/><Relationship Id="rId1746" Type="http://schemas.openxmlformats.org/officeDocument/2006/relationships/hyperlink" Target="http://pic.twitter.com/4dcpaznXYO" TargetMode="External"/><Relationship Id="rId1953" Type="http://schemas.openxmlformats.org/officeDocument/2006/relationships/hyperlink" Target="http://www.angrydem.com/" TargetMode="External"/><Relationship Id="rId38" Type="http://schemas.openxmlformats.org/officeDocument/2006/relationships/hyperlink" Target="http://pic.twitter.com/dCKQH2J3E9" TargetMode="External"/><Relationship Id="rId1606" Type="http://schemas.openxmlformats.org/officeDocument/2006/relationships/hyperlink" Target="http://pic.twitter.com/aG9oNmwGqx" TargetMode="External"/><Relationship Id="rId1813" Type="http://schemas.openxmlformats.org/officeDocument/2006/relationships/hyperlink" Target="http://pic.twitter.com/kjtCgZyCsT" TargetMode="External"/><Relationship Id="rId187" Type="http://schemas.openxmlformats.org/officeDocument/2006/relationships/hyperlink" Target="http://pic.twitter.com/G15pTgGTlA" TargetMode="External"/><Relationship Id="rId394" Type="http://schemas.openxmlformats.org/officeDocument/2006/relationships/hyperlink" Target="http://pic.twitter.com/gZbCH5zciM" TargetMode="External"/><Relationship Id="rId2075" Type="http://schemas.openxmlformats.org/officeDocument/2006/relationships/hyperlink" Target="http://pic.twitter.com/KBq9G5jVSB" TargetMode="External"/><Relationship Id="rId254" Type="http://schemas.openxmlformats.org/officeDocument/2006/relationships/hyperlink" Target="http://pic.twitter.com/0O3nt7rcYG" TargetMode="External"/><Relationship Id="rId699" Type="http://schemas.openxmlformats.org/officeDocument/2006/relationships/hyperlink" Target="http://pic.twitter.com/4krbgPcGcT" TargetMode="External"/><Relationship Id="rId1091" Type="http://schemas.openxmlformats.org/officeDocument/2006/relationships/hyperlink" Target="http://pic.twitter.com/7F59T4DXNO" TargetMode="External"/><Relationship Id="rId114" Type="http://schemas.openxmlformats.org/officeDocument/2006/relationships/hyperlink" Target="http://pic.twitter.com/DN0froIqOf" TargetMode="External"/><Relationship Id="rId461" Type="http://schemas.openxmlformats.org/officeDocument/2006/relationships/hyperlink" Target="https://pbs.twimg.com/media/EF-k-QmWkAIXsMv.jpg" TargetMode="External"/><Relationship Id="rId559" Type="http://schemas.openxmlformats.org/officeDocument/2006/relationships/hyperlink" Target="http://pic.twitter.com/cYdkhgIkb5" TargetMode="External"/><Relationship Id="rId766" Type="http://schemas.openxmlformats.org/officeDocument/2006/relationships/hyperlink" Target="http://pic.twitter.com/HayAFuU5yp" TargetMode="External"/><Relationship Id="rId1189" Type="http://schemas.openxmlformats.org/officeDocument/2006/relationships/hyperlink" Target="http://pic.twitter.com/Z4j2dxB8cO" TargetMode="External"/><Relationship Id="rId1396" Type="http://schemas.openxmlformats.org/officeDocument/2006/relationships/hyperlink" Target="http://pic.twitter.com/5qp8uqiVg9" TargetMode="External"/><Relationship Id="rId321" Type="http://schemas.openxmlformats.org/officeDocument/2006/relationships/hyperlink" Target="http://pic.twitter.com/003jA2vrTo" TargetMode="External"/><Relationship Id="rId419" Type="http://schemas.openxmlformats.org/officeDocument/2006/relationships/hyperlink" Target="http://pic.twitter.com/iMgksgL44g" TargetMode="External"/><Relationship Id="rId626" Type="http://schemas.openxmlformats.org/officeDocument/2006/relationships/hyperlink" Target="http://pic.twitter.com/xktuM2YG3u" TargetMode="External"/><Relationship Id="rId973" Type="http://schemas.openxmlformats.org/officeDocument/2006/relationships/hyperlink" Target="http://pic.twitter.com/qmI2wL37wi" TargetMode="External"/><Relationship Id="rId1049" Type="http://schemas.openxmlformats.org/officeDocument/2006/relationships/hyperlink" Target="http://pic.twitter.com/tJ5ic4wzpv" TargetMode="External"/><Relationship Id="rId1256" Type="http://schemas.openxmlformats.org/officeDocument/2006/relationships/hyperlink" Target="http://pic.twitter.com/E0xxxacyHR" TargetMode="External"/><Relationship Id="rId2002" Type="http://schemas.openxmlformats.org/officeDocument/2006/relationships/hyperlink" Target="http://pic.twitter.com/cnY4qpbEMo" TargetMode="External"/><Relationship Id="rId833" Type="http://schemas.openxmlformats.org/officeDocument/2006/relationships/hyperlink" Target="http://pic.twitter.com/IHrbj8gRp6" TargetMode="External"/><Relationship Id="rId1116" Type="http://schemas.openxmlformats.org/officeDocument/2006/relationships/hyperlink" Target="http://pic.twitter.com/oX8QJtN8Nc" TargetMode="External"/><Relationship Id="rId1463" Type="http://schemas.openxmlformats.org/officeDocument/2006/relationships/hyperlink" Target="http://pic.twitter.com/1DoOGhgjXj" TargetMode="External"/><Relationship Id="rId1670" Type="http://schemas.openxmlformats.org/officeDocument/2006/relationships/hyperlink" Target="http://pic.twitter.com/ceF7XGQ12G" TargetMode="External"/><Relationship Id="rId1768" Type="http://schemas.openxmlformats.org/officeDocument/2006/relationships/hyperlink" Target="https://twitter.com/ScenarioLENS/status/1181301336702193664" TargetMode="External"/><Relationship Id="rId900" Type="http://schemas.openxmlformats.org/officeDocument/2006/relationships/hyperlink" Target="http://pic.twitter.com/hWWW8bY7Dp" TargetMode="External"/><Relationship Id="rId1323" Type="http://schemas.openxmlformats.org/officeDocument/2006/relationships/hyperlink" Target="http://pic.twitter.com/CAgOQx6lxB" TargetMode="External"/><Relationship Id="rId1530" Type="http://schemas.openxmlformats.org/officeDocument/2006/relationships/hyperlink" Target="http://pic.twitter.com/jMEv2Ot5iP" TargetMode="External"/><Relationship Id="rId1628" Type="http://schemas.openxmlformats.org/officeDocument/2006/relationships/hyperlink" Target="http://pic.twitter.com/L4DOLEjMTG" TargetMode="External"/><Relationship Id="rId1975" Type="http://schemas.openxmlformats.org/officeDocument/2006/relationships/hyperlink" Target="http://pic.twitter.com/maoV8i5lLs" TargetMode="External"/><Relationship Id="rId1835" Type="http://schemas.openxmlformats.org/officeDocument/2006/relationships/hyperlink" Target="http://pic.twitter.com/00jw1QEO4E" TargetMode="External"/><Relationship Id="rId1902" Type="http://schemas.openxmlformats.org/officeDocument/2006/relationships/hyperlink" Target="http://pic.twitter.com/FG9M2XrAmB" TargetMode="External"/><Relationship Id="rId2097" Type="http://schemas.openxmlformats.org/officeDocument/2006/relationships/hyperlink" Target="http://pic.twitter.com/kq2am4Bb8R" TargetMode="External"/><Relationship Id="rId276" Type="http://schemas.openxmlformats.org/officeDocument/2006/relationships/hyperlink" Target="http://pic.twitter.com/luuXJTwfrC" TargetMode="External"/><Relationship Id="rId483" Type="http://schemas.openxmlformats.org/officeDocument/2006/relationships/hyperlink" Target="http://pic.twitter.com/mCU522P3KM" TargetMode="External"/><Relationship Id="rId690" Type="http://schemas.openxmlformats.org/officeDocument/2006/relationships/hyperlink" Target="https://www.linkedin.com/in/tarek-mahedy/" TargetMode="External"/><Relationship Id="rId136" Type="http://schemas.openxmlformats.org/officeDocument/2006/relationships/hyperlink" Target="http://pic.twitter.com/JHVSgtU6UE" TargetMode="External"/><Relationship Id="rId343" Type="http://schemas.openxmlformats.org/officeDocument/2006/relationships/hyperlink" Target="http://pic.twitter.com/2SG0McMYdB" TargetMode="External"/><Relationship Id="rId550" Type="http://schemas.openxmlformats.org/officeDocument/2006/relationships/hyperlink" Target="http://pic.twitter.com/Ukf5N28sKw" TargetMode="External"/><Relationship Id="rId788" Type="http://schemas.openxmlformats.org/officeDocument/2006/relationships/hyperlink" Target="http://pic.twitter.com/bwq3bsv9w8" TargetMode="External"/><Relationship Id="rId995" Type="http://schemas.openxmlformats.org/officeDocument/2006/relationships/hyperlink" Target="https://pbs.twimg.com/media/EF-m1ZpXUAAvExx.jpg" TargetMode="External"/><Relationship Id="rId1180" Type="http://schemas.openxmlformats.org/officeDocument/2006/relationships/hyperlink" Target="http://pic.twitter.com/4sfwSU4ASR" TargetMode="External"/><Relationship Id="rId2024" Type="http://schemas.openxmlformats.org/officeDocument/2006/relationships/hyperlink" Target="http://pic.twitter.com/OkBZg7Bau4" TargetMode="External"/><Relationship Id="rId203" Type="http://schemas.openxmlformats.org/officeDocument/2006/relationships/hyperlink" Target="http://pic.twitter.com/uTnYhZ1roY" TargetMode="External"/><Relationship Id="rId648" Type="http://schemas.openxmlformats.org/officeDocument/2006/relationships/hyperlink" Target="http://pic.twitter.com/me2UGhYAUK" TargetMode="External"/><Relationship Id="rId855" Type="http://schemas.openxmlformats.org/officeDocument/2006/relationships/hyperlink" Target="http://pic.twitter.com/DaHDoBy7Dw" TargetMode="External"/><Relationship Id="rId1040" Type="http://schemas.openxmlformats.org/officeDocument/2006/relationships/hyperlink" Target="http://pic.twitter.com/xPqfvEvech" TargetMode="External"/><Relationship Id="rId1278" Type="http://schemas.openxmlformats.org/officeDocument/2006/relationships/hyperlink" Target="http://pic.twitter.com/Ts7P9mhRRF" TargetMode="External"/><Relationship Id="rId1485" Type="http://schemas.openxmlformats.org/officeDocument/2006/relationships/hyperlink" Target="http://pic.twitter.com/9nWCTVGjil" TargetMode="External"/><Relationship Id="rId1692" Type="http://schemas.openxmlformats.org/officeDocument/2006/relationships/hyperlink" Target="http://pic.twitter.com/KIk8EzuCVt" TargetMode="External"/><Relationship Id="rId410" Type="http://schemas.openxmlformats.org/officeDocument/2006/relationships/hyperlink" Target="http://pic.twitter.com/RTLYiZSUrQ" TargetMode="External"/><Relationship Id="rId508" Type="http://schemas.openxmlformats.org/officeDocument/2006/relationships/hyperlink" Target="http://pic.twitter.com/JHoTthIIax" TargetMode="External"/><Relationship Id="rId715" Type="http://schemas.openxmlformats.org/officeDocument/2006/relationships/hyperlink" Target="http://pic.twitter.com/Qu1SVqeMKM" TargetMode="External"/><Relationship Id="rId922" Type="http://schemas.openxmlformats.org/officeDocument/2006/relationships/hyperlink" Target="http://pic.twitter.com/7CFNx1u7GJ" TargetMode="External"/><Relationship Id="rId1138" Type="http://schemas.openxmlformats.org/officeDocument/2006/relationships/hyperlink" Target="http://pic.twitter.com/qPbMG49Vgf" TargetMode="External"/><Relationship Id="rId1345" Type="http://schemas.openxmlformats.org/officeDocument/2006/relationships/hyperlink" Target="http://pic.twitter.com/InbWwKVmKJ" TargetMode="External"/><Relationship Id="rId1552" Type="http://schemas.openxmlformats.org/officeDocument/2006/relationships/hyperlink" Target="http://pic.twitter.com/4NMEQCcRSc" TargetMode="External"/><Relationship Id="rId1997" Type="http://schemas.openxmlformats.org/officeDocument/2006/relationships/hyperlink" Target="http://pic.twitter.com/FiPTCBOFyC" TargetMode="External"/><Relationship Id="rId1205" Type="http://schemas.openxmlformats.org/officeDocument/2006/relationships/hyperlink" Target="http://pic.twitter.com/uWAQ5414KY" TargetMode="External"/><Relationship Id="rId1857" Type="http://schemas.openxmlformats.org/officeDocument/2006/relationships/hyperlink" Target="http://pic.twitter.com/bG5v3aKYGj" TargetMode="External"/><Relationship Id="rId51" Type="http://schemas.openxmlformats.org/officeDocument/2006/relationships/hyperlink" Target="http://pic.twitter.com/jFRUKGhU01" TargetMode="External"/><Relationship Id="rId1412" Type="http://schemas.openxmlformats.org/officeDocument/2006/relationships/hyperlink" Target="http://pic.twitter.com/lJtMfjDcCj" TargetMode="External"/><Relationship Id="rId1717" Type="http://schemas.openxmlformats.org/officeDocument/2006/relationships/hyperlink" Target="http://pic.twitter.com/9KyaBN6Ryk" TargetMode="External"/><Relationship Id="rId1924" Type="http://schemas.openxmlformats.org/officeDocument/2006/relationships/hyperlink" Target="http://pic.twitter.com/KkPGSI1bHS" TargetMode="External"/><Relationship Id="rId298" Type="http://schemas.openxmlformats.org/officeDocument/2006/relationships/hyperlink" Target="http://pic.twitter.com/KE6RG8MyvE" TargetMode="External"/><Relationship Id="rId158" Type="http://schemas.openxmlformats.org/officeDocument/2006/relationships/hyperlink" Target="http://pic.twitter.com/IcoTXOBVEq" TargetMode="External"/><Relationship Id="rId365" Type="http://schemas.openxmlformats.org/officeDocument/2006/relationships/hyperlink" Target="http://pic.twitter.com/4OhBNa2JXi" TargetMode="External"/><Relationship Id="rId572" Type="http://schemas.openxmlformats.org/officeDocument/2006/relationships/hyperlink" Target="http://pic.twitter.com/Xf9LDpjYD2" TargetMode="External"/><Relationship Id="rId2046" Type="http://schemas.openxmlformats.org/officeDocument/2006/relationships/hyperlink" Target="http://pic.twitter.com/a8KGhfYXhW" TargetMode="External"/><Relationship Id="rId225" Type="http://schemas.openxmlformats.org/officeDocument/2006/relationships/hyperlink" Target="http://pic.twitter.com/qJ7zZ9q2Ng" TargetMode="External"/><Relationship Id="rId432" Type="http://schemas.openxmlformats.org/officeDocument/2006/relationships/hyperlink" Target="http://pic.twitter.com/Jvo3XjD6RY" TargetMode="External"/><Relationship Id="rId877" Type="http://schemas.openxmlformats.org/officeDocument/2006/relationships/hyperlink" Target="https://pbs.twimg.com/media/EF-m1ZpXUAAvExx.jpg" TargetMode="External"/><Relationship Id="rId1062" Type="http://schemas.openxmlformats.org/officeDocument/2006/relationships/hyperlink" Target="http://pic.twitter.com/nv29ZyaSjC" TargetMode="External"/><Relationship Id="rId737" Type="http://schemas.openxmlformats.org/officeDocument/2006/relationships/hyperlink" Target="http://pic.twitter.com/m4aSEB4ThE" TargetMode="External"/><Relationship Id="rId944" Type="http://schemas.openxmlformats.org/officeDocument/2006/relationships/hyperlink" Target="http://pic.twitter.com/GYenAe3m5C" TargetMode="External"/><Relationship Id="rId1367" Type="http://schemas.openxmlformats.org/officeDocument/2006/relationships/hyperlink" Target="http://pic.twitter.com/8dGmhpoPYE" TargetMode="External"/><Relationship Id="rId1574" Type="http://schemas.openxmlformats.org/officeDocument/2006/relationships/hyperlink" Target="http://pic.twitter.com/F4BXEzFa7U" TargetMode="External"/><Relationship Id="rId1781" Type="http://schemas.openxmlformats.org/officeDocument/2006/relationships/hyperlink" Target="http://pic.twitter.com/yN8wkOm9TZ" TargetMode="External"/><Relationship Id="rId73" Type="http://schemas.openxmlformats.org/officeDocument/2006/relationships/hyperlink" Target="http://pic.twitter.com/MdVm0YwhYz" TargetMode="External"/><Relationship Id="rId804" Type="http://schemas.openxmlformats.org/officeDocument/2006/relationships/hyperlink" Target="http://pic.twitter.com/VZ7OwrwhnH" TargetMode="External"/><Relationship Id="rId1227" Type="http://schemas.openxmlformats.org/officeDocument/2006/relationships/hyperlink" Target="http://pic.twitter.com/rKrHDsljF7" TargetMode="External"/><Relationship Id="rId1434" Type="http://schemas.openxmlformats.org/officeDocument/2006/relationships/hyperlink" Target="http://pic.twitter.com/qRrR4foCEK" TargetMode="External"/><Relationship Id="rId1641" Type="http://schemas.openxmlformats.org/officeDocument/2006/relationships/hyperlink" Target="http://pic.twitter.com/xIoBmBD4Y6" TargetMode="External"/><Relationship Id="rId1879" Type="http://schemas.openxmlformats.org/officeDocument/2006/relationships/hyperlink" Target="https://pbs.twimg.com/media/EGUQipgWsAAxCnA.jpg" TargetMode="External"/><Relationship Id="rId1501" Type="http://schemas.openxmlformats.org/officeDocument/2006/relationships/hyperlink" Target="http://pic.twitter.com/LkBAE80dC1" TargetMode="External"/><Relationship Id="rId1739" Type="http://schemas.openxmlformats.org/officeDocument/2006/relationships/hyperlink" Target="http://pic.twitter.com/kE79mmxnjS" TargetMode="External"/><Relationship Id="rId1946" Type="http://schemas.openxmlformats.org/officeDocument/2006/relationships/hyperlink" Target="http://pic.twitter.com/ULWxCxLZwn" TargetMode="External"/><Relationship Id="rId1806" Type="http://schemas.openxmlformats.org/officeDocument/2006/relationships/hyperlink" Target="http://pic.twitter.com/qBD3KthuRe" TargetMode="External"/><Relationship Id="rId387" Type="http://schemas.openxmlformats.org/officeDocument/2006/relationships/hyperlink" Target="https://m.facebook.com/wajd.waqfi.5" TargetMode="External"/><Relationship Id="rId594" Type="http://schemas.openxmlformats.org/officeDocument/2006/relationships/hyperlink" Target="http://pic.twitter.com/yqTfWrAibF" TargetMode="External"/><Relationship Id="rId2068" Type="http://schemas.openxmlformats.org/officeDocument/2006/relationships/hyperlink" Target="http://pic.twitter.com/fhlYnLm6tV" TargetMode="External"/><Relationship Id="rId247" Type="http://schemas.openxmlformats.org/officeDocument/2006/relationships/hyperlink" Target="http://pic.twitter.com/T7fkyFRqbi" TargetMode="External"/><Relationship Id="rId899" Type="http://schemas.openxmlformats.org/officeDocument/2006/relationships/hyperlink" Target="http://pic.twitter.com/36cgmCfXwL" TargetMode="External"/><Relationship Id="rId1084" Type="http://schemas.openxmlformats.org/officeDocument/2006/relationships/hyperlink" Target="http://pic.twitter.com/idoVuRXkxX" TargetMode="External"/><Relationship Id="rId107" Type="http://schemas.openxmlformats.org/officeDocument/2006/relationships/hyperlink" Target="http://pic.twitter.com/TRm2QNX8hD" TargetMode="External"/><Relationship Id="rId454" Type="http://schemas.openxmlformats.org/officeDocument/2006/relationships/hyperlink" Target="http://pic.twitter.com/oD84CTYMa3" TargetMode="External"/><Relationship Id="rId661" Type="http://schemas.openxmlformats.org/officeDocument/2006/relationships/hyperlink" Target="http://pic.twitter.com/k1AQkfTISl" TargetMode="External"/><Relationship Id="rId759" Type="http://schemas.openxmlformats.org/officeDocument/2006/relationships/hyperlink" Target="http://pic.twitter.com/N0514V2di1" TargetMode="External"/><Relationship Id="rId966" Type="http://schemas.openxmlformats.org/officeDocument/2006/relationships/hyperlink" Target="http://pic.twitter.com/KYwwvH7fri" TargetMode="External"/><Relationship Id="rId1291" Type="http://schemas.openxmlformats.org/officeDocument/2006/relationships/hyperlink" Target="http://pic.twitter.com/10RGbrfOsV" TargetMode="External"/><Relationship Id="rId1389" Type="http://schemas.openxmlformats.org/officeDocument/2006/relationships/hyperlink" Target="http://pic.twitter.com/oU6V6xZKAe" TargetMode="External"/><Relationship Id="rId1596" Type="http://schemas.openxmlformats.org/officeDocument/2006/relationships/hyperlink" Target="http://pic.twitter.com/qVGGgxJfnG" TargetMode="External"/><Relationship Id="rId314" Type="http://schemas.openxmlformats.org/officeDocument/2006/relationships/hyperlink" Target="https://www.newyorker.com/news/annals-of-espionage/the-black-cube-chronicles-the-private-investigators" TargetMode="External"/><Relationship Id="rId521" Type="http://schemas.openxmlformats.org/officeDocument/2006/relationships/hyperlink" Target="http://pic.twitter.com/3oc3RE1K2h" TargetMode="External"/><Relationship Id="rId619" Type="http://schemas.openxmlformats.org/officeDocument/2006/relationships/hyperlink" Target="http://pic.twitter.com/a5b5pmLEfc" TargetMode="External"/><Relationship Id="rId1151" Type="http://schemas.openxmlformats.org/officeDocument/2006/relationships/hyperlink" Target="http://pic.twitter.com/1OpMZSEUsB" TargetMode="External"/><Relationship Id="rId1249" Type="http://schemas.openxmlformats.org/officeDocument/2006/relationships/hyperlink" Target="http://pic.twitter.com/GtCK1xP3Fa" TargetMode="External"/><Relationship Id="rId95" Type="http://schemas.openxmlformats.org/officeDocument/2006/relationships/hyperlink" Target="http://pic.twitter.com/XyahTFOCL2" TargetMode="External"/><Relationship Id="rId826" Type="http://schemas.openxmlformats.org/officeDocument/2006/relationships/hyperlink" Target="http://pic.twitter.com/aSNZ8qE6cE" TargetMode="External"/><Relationship Id="rId1011" Type="http://schemas.openxmlformats.org/officeDocument/2006/relationships/hyperlink" Target="http://pic.twitter.com/4n8Vblke1F" TargetMode="External"/><Relationship Id="rId1109" Type="http://schemas.openxmlformats.org/officeDocument/2006/relationships/hyperlink" Target="http://pic.twitter.com/DGv3aB3Gad" TargetMode="External"/><Relationship Id="rId1456" Type="http://schemas.openxmlformats.org/officeDocument/2006/relationships/hyperlink" Target="http://pic.twitter.com/YQ1F1Z0Sfv" TargetMode="External"/><Relationship Id="rId1663" Type="http://schemas.openxmlformats.org/officeDocument/2006/relationships/hyperlink" Target="http://pic.twitter.com/hQwVWqcTgU" TargetMode="External"/><Relationship Id="rId1870" Type="http://schemas.openxmlformats.org/officeDocument/2006/relationships/hyperlink" Target="http://pic.twitter.com/XQQZn5EHlM" TargetMode="External"/><Relationship Id="rId1968" Type="http://schemas.openxmlformats.org/officeDocument/2006/relationships/hyperlink" Target="http://pic.twitter.com/E1MMgfrF9E" TargetMode="External"/><Relationship Id="rId1316" Type="http://schemas.openxmlformats.org/officeDocument/2006/relationships/hyperlink" Target="http://pic.twitter.com/V5ABrbHFPF" TargetMode="External"/><Relationship Id="rId1523" Type="http://schemas.openxmlformats.org/officeDocument/2006/relationships/hyperlink" Target="http://pic.twitter.com/hfwW6NWMLe" TargetMode="External"/><Relationship Id="rId1730" Type="http://schemas.openxmlformats.org/officeDocument/2006/relationships/hyperlink" Target="http://pic.twitter.com/VzM4VIZkQ8" TargetMode="External"/><Relationship Id="rId22" Type="http://schemas.openxmlformats.org/officeDocument/2006/relationships/hyperlink" Target="http://pic.twitter.com/JQ4VOxzXXe" TargetMode="External"/><Relationship Id="rId1828" Type="http://schemas.openxmlformats.org/officeDocument/2006/relationships/hyperlink" Target="http://pic.twitter.com/WVEyLZzbs5" TargetMode="External"/><Relationship Id="rId171" Type="http://schemas.openxmlformats.org/officeDocument/2006/relationships/hyperlink" Target="http://pic.twitter.com/KXqFCCm4QR" TargetMode="External"/><Relationship Id="rId269" Type="http://schemas.openxmlformats.org/officeDocument/2006/relationships/hyperlink" Target="http://pic.twitter.com/6bvPB5SmgI" TargetMode="External"/><Relationship Id="rId476" Type="http://schemas.openxmlformats.org/officeDocument/2006/relationships/hyperlink" Target="http://pic.twitter.com/8YDeavXdnq" TargetMode="External"/><Relationship Id="rId683" Type="http://schemas.openxmlformats.org/officeDocument/2006/relationships/hyperlink" Target="http://pic.twitter.com/sU5514EaW6" TargetMode="External"/><Relationship Id="rId890" Type="http://schemas.openxmlformats.org/officeDocument/2006/relationships/hyperlink" Target="http://pic.twitter.com/Q7Aj9o2V17" TargetMode="External"/><Relationship Id="rId129" Type="http://schemas.openxmlformats.org/officeDocument/2006/relationships/hyperlink" Target="http://pic.twitter.com/Mn9If91XOa" TargetMode="External"/><Relationship Id="rId336" Type="http://schemas.openxmlformats.org/officeDocument/2006/relationships/hyperlink" Target="http://pic.twitter.com/2IQUkkR7uj" TargetMode="External"/><Relationship Id="rId543" Type="http://schemas.openxmlformats.org/officeDocument/2006/relationships/hyperlink" Target="http://pic.twitter.com/VpkmFSvdZl" TargetMode="External"/><Relationship Id="rId988" Type="http://schemas.openxmlformats.org/officeDocument/2006/relationships/hyperlink" Target="http://pic.twitter.com/khxkigxgll" TargetMode="External"/><Relationship Id="rId1173" Type="http://schemas.openxmlformats.org/officeDocument/2006/relationships/hyperlink" Target="http://pic.twitter.com/jTIcxOgD6J" TargetMode="External"/><Relationship Id="rId1380" Type="http://schemas.openxmlformats.org/officeDocument/2006/relationships/hyperlink" Target="http://pic.twitter.com/6M5C3vVADk" TargetMode="External"/><Relationship Id="rId2017" Type="http://schemas.openxmlformats.org/officeDocument/2006/relationships/hyperlink" Target="http://pic.twitter.com/Fg9nFGdPFW" TargetMode="External"/><Relationship Id="rId403" Type="http://schemas.openxmlformats.org/officeDocument/2006/relationships/hyperlink" Target="http://pic.twitter.com/0csrT2obDW" TargetMode="External"/><Relationship Id="rId750" Type="http://schemas.openxmlformats.org/officeDocument/2006/relationships/hyperlink" Target="http://pic.twitter.com/IojunZCapX" TargetMode="External"/><Relationship Id="rId848" Type="http://schemas.openxmlformats.org/officeDocument/2006/relationships/hyperlink" Target="http://pic.twitter.com/LzpbU46xMq" TargetMode="External"/><Relationship Id="rId1033" Type="http://schemas.openxmlformats.org/officeDocument/2006/relationships/hyperlink" Target="http://pic.twitter.com/6OcOfAy4FT" TargetMode="External"/><Relationship Id="rId1478" Type="http://schemas.openxmlformats.org/officeDocument/2006/relationships/hyperlink" Target="http://pic.twitter.com/JegPhf4B8g" TargetMode="External"/><Relationship Id="rId1685" Type="http://schemas.openxmlformats.org/officeDocument/2006/relationships/hyperlink" Target="http://pic.twitter.com/yA00JzFlZf" TargetMode="External"/><Relationship Id="rId1892" Type="http://schemas.openxmlformats.org/officeDocument/2006/relationships/hyperlink" Target="http://pic.twitter.com/ujwRjZTcKF" TargetMode="External"/><Relationship Id="rId610" Type="http://schemas.openxmlformats.org/officeDocument/2006/relationships/hyperlink" Target="http://pic.twitter.com/8jlitTE5Gk" TargetMode="External"/><Relationship Id="rId708" Type="http://schemas.openxmlformats.org/officeDocument/2006/relationships/hyperlink" Target="http://pic.twitter.com/zdDyP0L5ZM" TargetMode="External"/><Relationship Id="rId915" Type="http://schemas.openxmlformats.org/officeDocument/2006/relationships/hyperlink" Target="http://pic.twitter.com/4ZmFWyeXKq" TargetMode="External"/><Relationship Id="rId1240" Type="http://schemas.openxmlformats.org/officeDocument/2006/relationships/hyperlink" Target="http://pic.twitter.com/Qh9uDgmJIl" TargetMode="External"/><Relationship Id="rId1338" Type="http://schemas.openxmlformats.org/officeDocument/2006/relationships/hyperlink" Target="http://pic.twitter.com/qrPTL4QE1y" TargetMode="External"/><Relationship Id="rId1545" Type="http://schemas.openxmlformats.org/officeDocument/2006/relationships/hyperlink" Target="http://pic.twitter.com/luvKoTRHoS" TargetMode="External"/><Relationship Id="rId1100" Type="http://schemas.openxmlformats.org/officeDocument/2006/relationships/hyperlink" Target="http://pic.twitter.com/4RB0VkXMGv" TargetMode="External"/><Relationship Id="rId1405" Type="http://schemas.openxmlformats.org/officeDocument/2006/relationships/hyperlink" Target="https://pbs.twimg.com/media/EF-k-QmWkAIXsMv.jpg" TargetMode="External"/><Relationship Id="rId1752" Type="http://schemas.openxmlformats.org/officeDocument/2006/relationships/hyperlink" Target="http://pic.twitter.com/vCZlrsIe3K" TargetMode="External"/><Relationship Id="rId44" Type="http://schemas.openxmlformats.org/officeDocument/2006/relationships/hyperlink" Target="http://pic.twitter.com/qrLHfCjIHF" TargetMode="External"/><Relationship Id="rId1612" Type="http://schemas.openxmlformats.org/officeDocument/2006/relationships/hyperlink" Target="http://gasudaair.com/" TargetMode="External"/><Relationship Id="rId1917" Type="http://schemas.openxmlformats.org/officeDocument/2006/relationships/hyperlink" Target="http://pic.twitter.com/ENHp5ek2QF" TargetMode="External"/><Relationship Id="rId193" Type="http://schemas.openxmlformats.org/officeDocument/2006/relationships/hyperlink" Target="http://pic.twitter.com/G2DUJds8i2" TargetMode="External"/><Relationship Id="rId498" Type="http://schemas.openxmlformats.org/officeDocument/2006/relationships/hyperlink" Target="https://time.com/5690601/jamal-khashoggi-anniversary/" TargetMode="External"/><Relationship Id="rId2081" Type="http://schemas.openxmlformats.org/officeDocument/2006/relationships/hyperlink" Target="http://pic.twitter.com/pXxPvA8ugx" TargetMode="External"/><Relationship Id="rId260" Type="http://schemas.openxmlformats.org/officeDocument/2006/relationships/hyperlink" Target="https://pbs.twimg.com/media/EF-k-QmWkAIXsMv.jpg" TargetMode="External"/><Relationship Id="rId120" Type="http://schemas.openxmlformats.org/officeDocument/2006/relationships/hyperlink" Target="http://pic.twitter.com/oxsiFhmugP" TargetMode="External"/><Relationship Id="rId358" Type="http://schemas.openxmlformats.org/officeDocument/2006/relationships/hyperlink" Target="http://pic.twitter.com/NQQhk4yjFP" TargetMode="External"/><Relationship Id="rId565" Type="http://schemas.openxmlformats.org/officeDocument/2006/relationships/hyperlink" Target="http://pic.twitter.com/A7WIM8X11l" TargetMode="External"/><Relationship Id="rId772" Type="http://schemas.openxmlformats.org/officeDocument/2006/relationships/hyperlink" Target="http://pic.twitter.com/L3VI7wW3UA" TargetMode="External"/><Relationship Id="rId1195" Type="http://schemas.openxmlformats.org/officeDocument/2006/relationships/hyperlink" Target="http://pic.twitter.com/k0Yv04md6S" TargetMode="External"/><Relationship Id="rId2039" Type="http://schemas.openxmlformats.org/officeDocument/2006/relationships/hyperlink" Target="http://pic.twitter.com/lNmgOE0SrG" TargetMode="External"/><Relationship Id="rId218" Type="http://schemas.openxmlformats.org/officeDocument/2006/relationships/hyperlink" Target="http://pic.twitter.com/oldW2owSvD" TargetMode="External"/><Relationship Id="rId425" Type="http://schemas.openxmlformats.org/officeDocument/2006/relationships/hyperlink" Target="http://pic.twitter.com/qOBmteEaVA" TargetMode="External"/><Relationship Id="rId632" Type="http://schemas.openxmlformats.org/officeDocument/2006/relationships/hyperlink" Target="http://pic.twitter.com/hjqyzfb4b2" TargetMode="External"/><Relationship Id="rId1055" Type="http://schemas.openxmlformats.org/officeDocument/2006/relationships/hyperlink" Target="http://pic.twitter.com/PHVGlfzziO" TargetMode="External"/><Relationship Id="rId1262" Type="http://schemas.openxmlformats.org/officeDocument/2006/relationships/hyperlink" Target="http://pic.twitter.com/jhxXdlgOaF" TargetMode="External"/><Relationship Id="rId937" Type="http://schemas.openxmlformats.org/officeDocument/2006/relationships/hyperlink" Target="http://pic.twitter.com/KGq1ynVYmu" TargetMode="External"/><Relationship Id="rId1122" Type="http://schemas.openxmlformats.org/officeDocument/2006/relationships/hyperlink" Target="http://pic.twitter.com/VBTlXP1axF" TargetMode="External"/><Relationship Id="rId1567" Type="http://schemas.openxmlformats.org/officeDocument/2006/relationships/hyperlink" Target="http://pic.twitter.com/iPYVhAcVSC" TargetMode="External"/><Relationship Id="rId1774" Type="http://schemas.openxmlformats.org/officeDocument/2006/relationships/hyperlink" Target="http://pic.twitter.com/hZfZ6sBd7H" TargetMode="External"/><Relationship Id="rId1981" Type="http://schemas.openxmlformats.org/officeDocument/2006/relationships/hyperlink" Target="https://twitter.com/nikkihaley/status/1181191973367160834" TargetMode="External"/><Relationship Id="rId66" Type="http://schemas.openxmlformats.org/officeDocument/2006/relationships/hyperlink" Target="http://pic.twitter.com/9I0UqzkAwj" TargetMode="External"/><Relationship Id="rId1427" Type="http://schemas.openxmlformats.org/officeDocument/2006/relationships/hyperlink" Target="http://pic.twitter.com/K3QcnkHPMn" TargetMode="External"/><Relationship Id="rId1634" Type="http://schemas.openxmlformats.org/officeDocument/2006/relationships/hyperlink" Target="http://pic.twitter.com/ItZaKymJ8i" TargetMode="External"/><Relationship Id="rId1841" Type="http://schemas.openxmlformats.org/officeDocument/2006/relationships/hyperlink" Target="http://pic.twitter.com/ciXbfsbqRl" TargetMode="External"/><Relationship Id="rId1939" Type="http://schemas.openxmlformats.org/officeDocument/2006/relationships/hyperlink" Target="http://pic.twitter.com/RKDMH4re33" TargetMode="External"/><Relationship Id="rId1701" Type="http://schemas.openxmlformats.org/officeDocument/2006/relationships/hyperlink" Target="http://pic.twitter.com/QEQ12pL2MQ" TargetMode="External"/><Relationship Id="rId282" Type="http://schemas.openxmlformats.org/officeDocument/2006/relationships/hyperlink" Target="https://pbs.twimg.com/media/EF-k-QmWkAIXsMv.jpg" TargetMode="External"/><Relationship Id="rId587" Type="http://schemas.openxmlformats.org/officeDocument/2006/relationships/hyperlink" Target="http://pic.twitter.com/gaEqPEFWZY" TargetMode="External"/><Relationship Id="rId8" Type="http://schemas.openxmlformats.org/officeDocument/2006/relationships/hyperlink" Target="http://pic.twitter.com/1znhg8ncnv" TargetMode="External"/><Relationship Id="rId142" Type="http://schemas.openxmlformats.org/officeDocument/2006/relationships/hyperlink" Target="http://pic.twitter.com/eHDFdyEHyF" TargetMode="External"/><Relationship Id="rId447" Type="http://schemas.openxmlformats.org/officeDocument/2006/relationships/hyperlink" Target="http://pic.twitter.com/ZETglBrRBV" TargetMode="External"/><Relationship Id="rId794" Type="http://schemas.openxmlformats.org/officeDocument/2006/relationships/hyperlink" Target="http://pic.twitter.com/gm1KURBzwS" TargetMode="External"/><Relationship Id="rId1077" Type="http://schemas.openxmlformats.org/officeDocument/2006/relationships/hyperlink" Target="http://pic.twitter.com/kbRqTq4wYE" TargetMode="External"/><Relationship Id="rId2030" Type="http://schemas.openxmlformats.org/officeDocument/2006/relationships/hyperlink" Target="http://pic.twitter.com/fmUpKvupqC" TargetMode="External"/><Relationship Id="rId654" Type="http://schemas.openxmlformats.org/officeDocument/2006/relationships/hyperlink" Target="http://pic.twitter.com/tEkMLPgxr5" TargetMode="External"/><Relationship Id="rId861" Type="http://schemas.openxmlformats.org/officeDocument/2006/relationships/hyperlink" Target="https://pbs.twimg.com/media/EGY8r4oX0AEtZX4.jpg" TargetMode="External"/><Relationship Id="rId959" Type="http://schemas.openxmlformats.org/officeDocument/2006/relationships/hyperlink" Target="http://pic.twitter.com/6U5Lg6PMJW" TargetMode="External"/><Relationship Id="rId1284" Type="http://schemas.openxmlformats.org/officeDocument/2006/relationships/hyperlink" Target="http://pic.twitter.com/E1ahwS6XSW" TargetMode="External"/><Relationship Id="rId1491" Type="http://schemas.openxmlformats.org/officeDocument/2006/relationships/hyperlink" Target="http://pic.twitter.com/SOyR9AnpmW" TargetMode="External"/><Relationship Id="rId1589" Type="http://schemas.openxmlformats.org/officeDocument/2006/relationships/hyperlink" Target="http://pic.twitter.com/hymaEGJEd1" TargetMode="External"/><Relationship Id="rId307" Type="http://schemas.openxmlformats.org/officeDocument/2006/relationships/hyperlink" Target="http://pic.twitter.com/Z6kTrRiXNu" TargetMode="External"/><Relationship Id="rId514" Type="http://schemas.openxmlformats.org/officeDocument/2006/relationships/hyperlink" Target="http://pic.twitter.com/zd5AEmZbwJ" TargetMode="External"/><Relationship Id="rId721" Type="http://schemas.openxmlformats.org/officeDocument/2006/relationships/hyperlink" Target="http://pic.twitter.com/Yz81IZlmBk" TargetMode="External"/><Relationship Id="rId1144" Type="http://schemas.openxmlformats.org/officeDocument/2006/relationships/hyperlink" Target="http://pic.twitter.com/4dv5vswy1k" TargetMode="External"/><Relationship Id="rId1351" Type="http://schemas.openxmlformats.org/officeDocument/2006/relationships/hyperlink" Target="http://pic.twitter.com/mSbFlBV5W6" TargetMode="External"/><Relationship Id="rId1449" Type="http://schemas.openxmlformats.org/officeDocument/2006/relationships/hyperlink" Target="http://pic.twitter.com/z0w8fa7S6G" TargetMode="External"/><Relationship Id="rId1796" Type="http://schemas.openxmlformats.org/officeDocument/2006/relationships/hyperlink" Target="http://pic.twitter.com/l85G86UE90" TargetMode="External"/><Relationship Id="rId88" Type="http://schemas.openxmlformats.org/officeDocument/2006/relationships/hyperlink" Target="http://pic.twitter.com/XHc8Uh4Pgp" TargetMode="External"/><Relationship Id="rId819" Type="http://schemas.openxmlformats.org/officeDocument/2006/relationships/hyperlink" Target="http://pic.twitter.com/fKgEAeqY3U" TargetMode="External"/><Relationship Id="rId1004" Type="http://schemas.openxmlformats.org/officeDocument/2006/relationships/hyperlink" Target="http://pic.twitter.com/yj6nv97zBQ" TargetMode="External"/><Relationship Id="rId1211" Type="http://schemas.openxmlformats.org/officeDocument/2006/relationships/hyperlink" Target="https://pbs.twimg.com/media/EF-k-QmWkAIXsMv.jpg" TargetMode="External"/><Relationship Id="rId1656" Type="http://schemas.openxmlformats.org/officeDocument/2006/relationships/hyperlink" Target="https://pbs.twimg.com/media/EF-kwdrWwA0yvZy.jpg" TargetMode="External"/><Relationship Id="rId1863" Type="http://schemas.openxmlformats.org/officeDocument/2006/relationships/hyperlink" Target="http://pic.twitter.com/OiVV8isFfN" TargetMode="External"/><Relationship Id="rId1309" Type="http://schemas.openxmlformats.org/officeDocument/2006/relationships/hyperlink" Target="http://pic.twitter.com/7YuJUzqBWR" TargetMode="External"/><Relationship Id="rId1516" Type="http://schemas.openxmlformats.org/officeDocument/2006/relationships/hyperlink" Target="http://pic.twitter.com/tXD6V8mVul" TargetMode="External"/><Relationship Id="rId1723" Type="http://schemas.openxmlformats.org/officeDocument/2006/relationships/hyperlink" Target="http://pic.twitter.com/Jb5tr5JN22" TargetMode="External"/><Relationship Id="rId1930" Type="http://schemas.openxmlformats.org/officeDocument/2006/relationships/hyperlink" Target="http://pic.twitter.com/ZYTq762GZZ" TargetMode="External"/><Relationship Id="rId15" Type="http://schemas.openxmlformats.org/officeDocument/2006/relationships/hyperlink" Target="http://pic.twitter.com/kvKSto7aPF" TargetMode="External"/><Relationship Id="rId164" Type="http://schemas.openxmlformats.org/officeDocument/2006/relationships/hyperlink" Target="http://pic.twitter.com/VdZK75eZX9" TargetMode="External"/><Relationship Id="rId371" Type="http://schemas.openxmlformats.org/officeDocument/2006/relationships/hyperlink" Target="http://pic.twitter.com/eU1bQe8mAh" TargetMode="External"/><Relationship Id="rId2052" Type="http://schemas.openxmlformats.org/officeDocument/2006/relationships/hyperlink" Target="http://pic.twitter.com/mepOKaCjQR" TargetMode="External"/><Relationship Id="rId469" Type="http://schemas.openxmlformats.org/officeDocument/2006/relationships/hyperlink" Target="http://pic.twitter.com/JKvO6kcn1D" TargetMode="External"/><Relationship Id="rId676" Type="http://schemas.openxmlformats.org/officeDocument/2006/relationships/hyperlink" Target="http://pic.twitter.com/QeLWzx03BT" TargetMode="External"/><Relationship Id="rId883" Type="http://schemas.openxmlformats.org/officeDocument/2006/relationships/hyperlink" Target="http://pic.twitter.com/we4mixyRu5" TargetMode="External"/><Relationship Id="rId1099" Type="http://schemas.openxmlformats.org/officeDocument/2006/relationships/hyperlink" Target="http://pic.twitter.com/S63JaGRx0d" TargetMode="External"/><Relationship Id="rId231" Type="http://schemas.openxmlformats.org/officeDocument/2006/relationships/hyperlink" Target="http://pic.twitter.com/1eknzHEFIH" TargetMode="External"/><Relationship Id="rId329" Type="http://schemas.openxmlformats.org/officeDocument/2006/relationships/hyperlink" Target="http://pic.twitter.com/dLOXbqAYGM" TargetMode="External"/><Relationship Id="rId536" Type="http://schemas.openxmlformats.org/officeDocument/2006/relationships/hyperlink" Target="http://pic.twitter.com/Jj9eifT0kr" TargetMode="External"/><Relationship Id="rId1166" Type="http://schemas.openxmlformats.org/officeDocument/2006/relationships/hyperlink" Target="http://pic.twitter.com/EfusUNWLX7" TargetMode="External"/><Relationship Id="rId1373" Type="http://schemas.openxmlformats.org/officeDocument/2006/relationships/hyperlink" Target="http://pic.twitter.com/Maa3AM3wGE" TargetMode="External"/><Relationship Id="rId743" Type="http://schemas.openxmlformats.org/officeDocument/2006/relationships/hyperlink" Target="http://pic.twitter.com/8u3TmQLP29" TargetMode="External"/><Relationship Id="rId950" Type="http://schemas.openxmlformats.org/officeDocument/2006/relationships/hyperlink" Target="http://pic.twitter.com/3o0dRyT12h" TargetMode="External"/><Relationship Id="rId1026" Type="http://schemas.openxmlformats.org/officeDocument/2006/relationships/hyperlink" Target="https://nyti.ms/2v7UNfo" TargetMode="External"/><Relationship Id="rId1580" Type="http://schemas.openxmlformats.org/officeDocument/2006/relationships/hyperlink" Target="https://pbs.twimg.com/media/EF-kwdrWwA0yvZy.jpg" TargetMode="External"/><Relationship Id="rId1678" Type="http://schemas.openxmlformats.org/officeDocument/2006/relationships/hyperlink" Target="http://pic.twitter.com/KHifuq0ZzE" TargetMode="External"/><Relationship Id="rId1885" Type="http://schemas.openxmlformats.org/officeDocument/2006/relationships/hyperlink" Target="http://pic.twitter.com/ihVs766Od2" TargetMode="External"/><Relationship Id="rId603" Type="http://schemas.openxmlformats.org/officeDocument/2006/relationships/hyperlink" Target="http://pic.twitter.com/F3MQgseQMN" TargetMode="External"/><Relationship Id="rId810" Type="http://schemas.openxmlformats.org/officeDocument/2006/relationships/hyperlink" Target="http://pic.twitter.com/wA88xU56vH" TargetMode="External"/><Relationship Id="rId908" Type="http://schemas.openxmlformats.org/officeDocument/2006/relationships/hyperlink" Target="https://pbs.twimg.com/media/EF-k-QmWkAIXsMv.jpg" TargetMode="External"/><Relationship Id="rId1233" Type="http://schemas.openxmlformats.org/officeDocument/2006/relationships/hyperlink" Target="http://pic.twitter.com/DGEsCu9aGl" TargetMode="External"/><Relationship Id="rId1440" Type="http://schemas.openxmlformats.org/officeDocument/2006/relationships/hyperlink" Target="http://pic.twitter.com/86b879qvwM" TargetMode="External"/><Relationship Id="rId1538" Type="http://schemas.openxmlformats.org/officeDocument/2006/relationships/hyperlink" Target="http://pic.twitter.com/mwcXb1H5OD" TargetMode="External"/><Relationship Id="rId1300" Type="http://schemas.openxmlformats.org/officeDocument/2006/relationships/hyperlink" Target="http://pic.twitter.com/VFFD1xETSs" TargetMode="External"/><Relationship Id="rId1745" Type="http://schemas.openxmlformats.org/officeDocument/2006/relationships/hyperlink" Target="http://pic.twitter.com/PejK3lb6VR" TargetMode="External"/><Relationship Id="rId1952" Type="http://schemas.openxmlformats.org/officeDocument/2006/relationships/hyperlink" Target="http://pic.twitter.com/zzG3hyy8a2" TargetMode="External"/><Relationship Id="rId37" Type="http://schemas.openxmlformats.org/officeDocument/2006/relationships/hyperlink" Target="http://pic.twitter.com/iFtNZ9uELN" TargetMode="External"/><Relationship Id="rId1605" Type="http://schemas.openxmlformats.org/officeDocument/2006/relationships/hyperlink" Target="http://pic.twitter.com/TbET3wRLQ4" TargetMode="External"/><Relationship Id="rId1812" Type="http://schemas.openxmlformats.org/officeDocument/2006/relationships/hyperlink" Target="http://pic.twitter.com/VcZUK4nXE1" TargetMode="External"/><Relationship Id="rId186" Type="http://schemas.openxmlformats.org/officeDocument/2006/relationships/hyperlink" Target="http://pic.twitter.com/tP35oXx6EZ" TargetMode="External"/><Relationship Id="rId393" Type="http://schemas.openxmlformats.org/officeDocument/2006/relationships/hyperlink" Target="https://pbs.twimg.com/media/EF-k-QmWkAIXsMv.jpg" TargetMode="External"/><Relationship Id="rId2074" Type="http://schemas.openxmlformats.org/officeDocument/2006/relationships/hyperlink" Target="http://pic.twitter.com/c0nNmykklu" TargetMode="External"/><Relationship Id="rId253" Type="http://schemas.openxmlformats.org/officeDocument/2006/relationships/hyperlink" Target="http://pic.twitter.com/SkxYnw5wFI" TargetMode="External"/><Relationship Id="rId460" Type="http://schemas.openxmlformats.org/officeDocument/2006/relationships/hyperlink" Target="http://pic.twitter.com/BvWNzS4XZ5" TargetMode="External"/><Relationship Id="rId698" Type="http://schemas.openxmlformats.org/officeDocument/2006/relationships/hyperlink" Target="http://pic.twitter.com/e2dI9wmfiT" TargetMode="External"/><Relationship Id="rId1090" Type="http://schemas.openxmlformats.org/officeDocument/2006/relationships/hyperlink" Target="http://pic.twitter.com/r0pxZbPhiB" TargetMode="External"/><Relationship Id="rId113" Type="http://schemas.openxmlformats.org/officeDocument/2006/relationships/hyperlink" Target="http://pic.twitter.com/cj59bS8gdN" TargetMode="External"/><Relationship Id="rId320" Type="http://schemas.openxmlformats.org/officeDocument/2006/relationships/hyperlink" Target="http://pic.twitter.com/vinCFmhlT1" TargetMode="External"/><Relationship Id="rId558" Type="http://schemas.openxmlformats.org/officeDocument/2006/relationships/hyperlink" Target="http://pic.twitter.com/RMJ28cEOve" TargetMode="External"/><Relationship Id="rId765" Type="http://schemas.openxmlformats.org/officeDocument/2006/relationships/hyperlink" Target="http://pic.twitter.com/LHlzhEv0Nq" TargetMode="External"/><Relationship Id="rId972" Type="http://schemas.openxmlformats.org/officeDocument/2006/relationships/hyperlink" Target="http://www.parismatch.com/" TargetMode="External"/><Relationship Id="rId1188" Type="http://schemas.openxmlformats.org/officeDocument/2006/relationships/hyperlink" Target="http://pic.twitter.com/g2mx0SfFd3" TargetMode="External"/><Relationship Id="rId1395" Type="http://schemas.openxmlformats.org/officeDocument/2006/relationships/hyperlink" Target="http://pic.twitter.com/sI4zMkPN6X" TargetMode="External"/><Relationship Id="rId2001" Type="http://schemas.openxmlformats.org/officeDocument/2006/relationships/hyperlink" Target="http://pic.twitter.com/0qnSlGViuH" TargetMode="External"/><Relationship Id="rId418" Type="http://schemas.openxmlformats.org/officeDocument/2006/relationships/hyperlink" Target="http://pic.twitter.com/cX4qxprj4j" TargetMode="External"/><Relationship Id="rId625" Type="http://schemas.openxmlformats.org/officeDocument/2006/relationships/hyperlink" Target="http://pic.twitter.com/O9Eo9eDxYg" TargetMode="External"/><Relationship Id="rId832" Type="http://schemas.openxmlformats.org/officeDocument/2006/relationships/hyperlink" Target="http://pic.twitter.com/Kmx8aqd51v" TargetMode="External"/><Relationship Id="rId1048" Type="http://schemas.openxmlformats.org/officeDocument/2006/relationships/hyperlink" Target="http://pic.twitter.com/VDwjzwdFU3" TargetMode="External"/><Relationship Id="rId1255" Type="http://schemas.openxmlformats.org/officeDocument/2006/relationships/hyperlink" Target="http://pic.twitter.com/HwX3p2hFmC" TargetMode="External"/><Relationship Id="rId1462" Type="http://schemas.openxmlformats.org/officeDocument/2006/relationships/hyperlink" Target="http://pic.twitter.com/QCkrOLnLB6" TargetMode="External"/><Relationship Id="rId1115" Type="http://schemas.openxmlformats.org/officeDocument/2006/relationships/hyperlink" Target="http://pic.twitter.com/IJ4dZC1gDD" TargetMode="External"/><Relationship Id="rId1322" Type="http://schemas.openxmlformats.org/officeDocument/2006/relationships/hyperlink" Target="http://pic.twitter.com/A0GvrBsKOL" TargetMode="External"/><Relationship Id="rId1767" Type="http://schemas.openxmlformats.org/officeDocument/2006/relationships/hyperlink" Target="http://pic.twitter.com/3jsR3frsvg" TargetMode="External"/><Relationship Id="rId1974" Type="http://schemas.openxmlformats.org/officeDocument/2006/relationships/hyperlink" Target="http://pic.twitter.com/Ma6sBun2NR" TargetMode="External"/><Relationship Id="rId59" Type="http://schemas.openxmlformats.org/officeDocument/2006/relationships/hyperlink" Target="http://pic.twitter.com/MVb7kLmdS6" TargetMode="External"/><Relationship Id="rId1627" Type="http://schemas.openxmlformats.org/officeDocument/2006/relationships/hyperlink" Target="http://pic.twitter.com/XcGDj0XRTe" TargetMode="External"/><Relationship Id="rId1834" Type="http://schemas.openxmlformats.org/officeDocument/2006/relationships/hyperlink" Target="http://pic.twitter.com/kUCUvgHtw5" TargetMode="External"/><Relationship Id="rId2096" Type="http://schemas.openxmlformats.org/officeDocument/2006/relationships/hyperlink" Target="http://pic.twitter.com/EasFZjLP4I" TargetMode="External"/><Relationship Id="rId1901" Type="http://schemas.openxmlformats.org/officeDocument/2006/relationships/hyperlink" Target="http://pic.twitter.com/9Slyts83XG" TargetMode="External"/><Relationship Id="rId275" Type="http://schemas.openxmlformats.org/officeDocument/2006/relationships/hyperlink" Target="https://pbs.twimg.com/media/EF-kwdrWwA0yvZy.jpg" TargetMode="External"/><Relationship Id="rId482" Type="http://schemas.openxmlformats.org/officeDocument/2006/relationships/hyperlink" Target="http://pic.twitter.com/mP6kbsvVRW" TargetMode="External"/><Relationship Id="rId135" Type="http://schemas.openxmlformats.org/officeDocument/2006/relationships/hyperlink" Target="http://pic.twitter.com/MP0BLn7UOr" TargetMode="External"/><Relationship Id="rId342" Type="http://schemas.openxmlformats.org/officeDocument/2006/relationships/hyperlink" Target="http://pic.twitter.com/KpOWnqncHk" TargetMode="External"/><Relationship Id="rId787" Type="http://schemas.openxmlformats.org/officeDocument/2006/relationships/hyperlink" Target="http://pic.twitter.com/W3MrXpDeSb" TargetMode="External"/><Relationship Id="rId994" Type="http://schemas.openxmlformats.org/officeDocument/2006/relationships/hyperlink" Target="http://pic.twitter.com/ImoDOeorfv" TargetMode="External"/><Relationship Id="rId2023" Type="http://schemas.openxmlformats.org/officeDocument/2006/relationships/hyperlink" Target="http://pic.twitter.com/LmP4AFcH2i" TargetMode="External"/><Relationship Id="rId202" Type="http://schemas.openxmlformats.org/officeDocument/2006/relationships/hyperlink" Target="https://pbs.twimg.com/media/EF-k-QmWkAIXsMv.jpg" TargetMode="External"/><Relationship Id="rId647" Type="http://schemas.openxmlformats.org/officeDocument/2006/relationships/hyperlink" Target="http://pic.twitter.com/FCrg77fm5i" TargetMode="External"/><Relationship Id="rId854" Type="http://schemas.openxmlformats.org/officeDocument/2006/relationships/hyperlink" Target="http://pic.twitter.com/H8ylSSWzZY" TargetMode="External"/><Relationship Id="rId1277" Type="http://schemas.openxmlformats.org/officeDocument/2006/relationships/hyperlink" Target="http://pic.twitter.com/cRLS230nuP" TargetMode="External"/><Relationship Id="rId1484" Type="http://schemas.openxmlformats.org/officeDocument/2006/relationships/hyperlink" Target="http://pic.twitter.com/ehdmN8Hjw8" TargetMode="External"/><Relationship Id="rId1691" Type="http://schemas.openxmlformats.org/officeDocument/2006/relationships/hyperlink" Target="http://pic.twitter.com/GluUQkbXdA" TargetMode="External"/><Relationship Id="rId507" Type="http://schemas.openxmlformats.org/officeDocument/2006/relationships/hyperlink" Target="http://pic.twitter.com/iGtGSeEi9h" TargetMode="External"/><Relationship Id="rId714" Type="http://schemas.openxmlformats.org/officeDocument/2006/relationships/hyperlink" Target="http://pic.twitter.com/Y8QjFww8OK" TargetMode="External"/><Relationship Id="rId921" Type="http://schemas.openxmlformats.org/officeDocument/2006/relationships/hyperlink" Target="http://pic.twitter.com/zDPpm1l8yw" TargetMode="External"/><Relationship Id="rId1137" Type="http://schemas.openxmlformats.org/officeDocument/2006/relationships/hyperlink" Target="http://pic.twitter.com/GasYbuKsot" TargetMode="External"/><Relationship Id="rId1344" Type="http://schemas.openxmlformats.org/officeDocument/2006/relationships/hyperlink" Target="http://pic.twitter.com/hGZ6c9RZP9" TargetMode="External"/><Relationship Id="rId1551" Type="http://schemas.openxmlformats.org/officeDocument/2006/relationships/hyperlink" Target="http://pic.twitter.com/LP09nHAYFZ" TargetMode="External"/><Relationship Id="rId1789" Type="http://schemas.openxmlformats.org/officeDocument/2006/relationships/hyperlink" Target="http://pic.twitter.com/KmdHllbQ0n" TargetMode="External"/><Relationship Id="rId1996" Type="http://schemas.openxmlformats.org/officeDocument/2006/relationships/hyperlink" Target="http://pic.twitter.com/3HhqY62hLI" TargetMode="External"/><Relationship Id="rId50" Type="http://schemas.openxmlformats.org/officeDocument/2006/relationships/hyperlink" Target="http://pic.twitter.com/eZvmWyYv77" TargetMode="External"/><Relationship Id="rId1204" Type="http://schemas.openxmlformats.org/officeDocument/2006/relationships/hyperlink" Target="http://pic.twitter.com/L3pfRbEIE3" TargetMode="External"/><Relationship Id="rId1411" Type="http://schemas.openxmlformats.org/officeDocument/2006/relationships/hyperlink" Target="http://pic.twitter.com/BB345wzJ0g" TargetMode="External"/><Relationship Id="rId1649" Type="http://schemas.openxmlformats.org/officeDocument/2006/relationships/hyperlink" Target="http://pic.twitter.com/WGXAhDqSqa" TargetMode="External"/><Relationship Id="rId1856" Type="http://schemas.openxmlformats.org/officeDocument/2006/relationships/hyperlink" Target="http://pic.twitter.com/SttoAXApI9" TargetMode="External"/><Relationship Id="rId1509" Type="http://schemas.openxmlformats.org/officeDocument/2006/relationships/hyperlink" Target="http://quickinfo247.com/" TargetMode="External"/><Relationship Id="rId1716" Type="http://schemas.openxmlformats.org/officeDocument/2006/relationships/hyperlink" Target="http://pic.twitter.com/BoMRtr2ZXQ" TargetMode="External"/><Relationship Id="rId1923" Type="http://schemas.openxmlformats.org/officeDocument/2006/relationships/hyperlink" Target="http://pic.twitter.com/lL77XAKxui" TargetMode="External"/><Relationship Id="rId297" Type="http://schemas.openxmlformats.org/officeDocument/2006/relationships/hyperlink" Target="http://pic.twitter.com/wQLcnqfjMl" TargetMode="External"/><Relationship Id="rId157" Type="http://schemas.openxmlformats.org/officeDocument/2006/relationships/hyperlink" Target="http://pic.twitter.com/qXF5vLJPIk" TargetMode="External"/><Relationship Id="rId364" Type="http://schemas.openxmlformats.org/officeDocument/2006/relationships/hyperlink" Target="http://pic.twitter.com/x5wzT4WjL8" TargetMode="External"/><Relationship Id="rId2045" Type="http://schemas.openxmlformats.org/officeDocument/2006/relationships/hyperlink" Target="http://pic.twitter.com/MA6d4G6nfv" TargetMode="External"/><Relationship Id="rId571" Type="http://schemas.openxmlformats.org/officeDocument/2006/relationships/hyperlink" Target="http://pic.twitter.com/KySs4NMDy7" TargetMode="External"/><Relationship Id="rId669" Type="http://schemas.openxmlformats.org/officeDocument/2006/relationships/hyperlink" Target="http://pic.twitter.com/ITNr9EUP0O" TargetMode="External"/><Relationship Id="rId876" Type="http://schemas.openxmlformats.org/officeDocument/2006/relationships/hyperlink" Target="http://pic.twitter.com/50ZbDzC14z" TargetMode="External"/><Relationship Id="rId1299" Type="http://schemas.openxmlformats.org/officeDocument/2006/relationships/hyperlink" Target="http://www.harbingerpartnersllc.com/" TargetMode="External"/><Relationship Id="rId224" Type="http://schemas.openxmlformats.org/officeDocument/2006/relationships/hyperlink" Target="http://pic.twitter.com/XTGReFhxOl" TargetMode="External"/><Relationship Id="rId431" Type="http://schemas.openxmlformats.org/officeDocument/2006/relationships/hyperlink" Target="http://pic.twitter.com/6MWtp9UuYG" TargetMode="External"/><Relationship Id="rId529" Type="http://schemas.openxmlformats.org/officeDocument/2006/relationships/hyperlink" Target="http://pic.twitter.com/QTb4jeQ8oP" TargetMode="External"/><Relationship Id="rId736" Type="http://schemas.openxmlformats.org/officeDocument/2006/relationships/hyperlink" Target="http://pic.twitter.com/TBi88C9Dqy" TargetMode="External"/><Relationship Id="rId1061" Type="http://schemas.openxmlformats.org/officeDocument/2006/relationships/hyperlink" Target="http://pic.twitter.com/pSrD8bO9fI" TargetMode="External"/><Relationship Id="rId1159" Type="http://schemas.openxmlformats.org/officeDocument/2006/relationships/hyperlink" Target="http://pic.twitter.com/fVHaRWpV3D" TargetMode="External"/><Relationship Id="rId1366" Type="http://schemas.openxmlformats.org/officeDocument/2006/relationships/hyperlink" Target="http://pic.twitter.com/KwFz22dI66" TargetMode="External"/><Relationship Id="rId943" Type="http://schemas.openxmlformats.org/officeDocument/2006/relationships/hyperlink" Target="http://pic.twitter.com/W8POFzRT7K" TargetMode="External"/><Relationship Id="rId1019" Type="http://schemas.openxmlformats.org/officeDocument/2006/relationships/hyperlink" Target="http://pic.twitter.com/MOJYQWxLie" TargetMode="External"/><Relationship Id="rId1573" Type="http://schemas.openxmlformats.org/officeDocument/2006/relationships/hyperlink" Target="http://pic.twitter.com/XTHjxyAz5K" TargetMode="External"/><Relationship Id="rId1780" Type="http://schemas.openxmlformats.org/officeDocument/2006/relationships/hyperlink" Target="http://pic.twitter.com/sZuo6QPpsl" TargetMode="External"/><Relationship Id="rId1878" Type="http://schemas.openxmlformats.org/officeDocument/2006/relationships/hyperlink" Target="https://twitter.com/soccernut43/status/1181368669483470849" TargetMode="External"/><Relationship Id="rId72" Type="http://schemas.openxmlformats.org/officeDocument/2006/relationships/hyperlink" Target="http://pic.twitter.com/ykP6K1GMCT" TargetMode="External"/><Relationship Id="rId803" Type="http://schemas.openxmlformats.org/officeDocument/2006/relationships/hyperlink" Target="http://pic.twitter.com/WINHYhIbJj" TargetMode="External"/><Relationship Id="rId1226" Type="http://schemas.openxmlformats.org/officeDocument/2006/relationships/hyperlink" Target="http://pic.twitter.com/v9VggLjejw" TargetMode="External"/><Relationship Id="rId1433" Type="http://schemas.openxmlformats.org/officeDocument/2006/relationships/hyperlink" Target="http://pic.twitter.com/qPySxWQK4Z" TargetMode="External"/><Relationship Id="rId1640" Type="http://schemas.openxmlformats.org/officeDocument/2006/relationships/hyperlink" Target="https://youtu.be/J4z59GhBZyw" TargetMode="External"/><Relationship Id="rId1738" Type="http://schemas.openxmlformats.org/officeDocument/2006/relationships/hyperlink" Target="http://pic.twitter.com/m9bUWwSu7T" TargetMode="External"/><Relationship Id="rId1500" Type="http://schemas.openxmlformats.org/officeDocument/2006/relationships/hyperlink" Target="http://pic.twitter.com/SUa9853B8P" TargetMode="External"/><Relationship Id="rId1945" Type="http://schemas.openxmlformats.org/officeDocument/2006/relationships/hyperlink" Target="http://pic.twitter.com/FbEHH6DEgQ" TargetMode="External"/><Relationship Id="rId1805" Type="http://schemas.openxmlformats.org/officeDocument/2006/relationships/hyperlink" Target="http://pic.twitter.com/plKBIgN2m8" TargetMode="External"/><Relationship Id="rId179" Type="http://schemas.openxmlformats.org/officeDocument/2006/relationships/hyperlink" Target="http://pic.twitter.com/Sa2OOUo5rz" TargetMode="External"/><Relationship Id="rId386" Type="http://schemas.openxmlformats.org/officeDocument/2006/relationships/hyperlink" Target="https://twitter.com/lindseygrahamsc/status/1181714248977833984" TargetMode="External"/><Relationship Id="rId593" Type="http://schemas.openxmlformats.org/officeDocument/2006/relationships/hyperlink" Target="http://pic.twitter.com/mo5QbHLb07" TargetMode="External"/><Relationship Id="rId2067" Type="http://schemas.openxmlformats.org/officeDocument/2006/relationships/hyperlink" Target="http://pic.twitter.com/cDvwmQM1yg" TargetMode="External"/><Relationship Id="rId246" Type="http://schemas.openxmlformats.org/officeDocument/2006/relationships/hyperlink" Target="http://pic.twitter.com/HLoHNwLLOP" TargetMode="External"/><Relationship Id="rId453" Type="http://schemas.openxmlformats.org/officeDocument/2006/relationships/hyperlink" Target="http://pic.twitter.com/fDt9WA8h8l" TargetMode="External"/><Relationship Id="rId660" Type="http://schemas.openxmlformats.org/officeDocument/2006/relationships/hyperlink" Target="http://pic.twitter.com/G0UH5EYanQ" TargetMode="External"/><Relationship Id="rId898" Type="http://schemas.openxmlformats.org/officeDocument/2006/relationships/hyperlink" Target="http://pic.twitter.com/HdEo5ls3hR" TargetMode="External"/><Relationship Id="rId1083" Type="http://schemas.openxmlformats.org/officeDocument/2006/relationships/hyperlink" Target="http://pic.twitter.com/7NQAKtG59j" TargetMode="External"/><Relationship Id="rId1290" Type="http://schemas.openxmlformats.org/officeDocument/2006/relationships/hyperlink" Target="http://pic.twitter.com/fLShibEhT5" TargetMode="External"/><Relationship Id="rId106" Type="http://schemas.openxmlformats.org/officeDocument/2006/relationships/hyperlink" Target="http://pic.twitter.com/BlzWLTybIv" TargetMode="External"/><Relationship Id="rId313" Type="http://schemas.openxmlformats.org/officeDocument/2006/relationships/hyperlink" Target="http://pic.twitter.com/xTURayEubl" TargetMode="External"/><Relationship Id="rId758" Type="http://schemas.openxmlformats.org/officeDocument/2006/relationships/hyperlink" Target="https://instagram.com/rinaadeelah?igshid=1klku5mcwdk55" TargetMode="External"/><Relationship Id="rId965" Type="http://schemas.openxmlformats.org/officeDocument/2006/relationships/hyperlink" Target="http://pic.twitter.com/TTkzJ3CSzo" TargetMode="External"/><Relationship Id="rId1150" Type="http://schemas.openxmlformats.org/officeDocument/2006/relationships/hyperlink" Target="http://pic.twitter.com/BFRgY4OZVk" TargetMode="External"/><Relationship Id="rId1388" Type="http://schemas.openxmlformats.org/officeDocument/2006/relationships/hyperlink" Target="http://pic.twitter.com/4hY0H4ryf0" TargetMode="External"/><Relationship Id="rId1595" Type="http://schemas.openxmlformats.org/officeDocument/2006/relationships/hyperlink" Target="http://pic.twitter.com/bojia47ePC" TargetMode="External"/><Relationship Id="rId94" Type="http://schemas.openxmlformats.org/officeDocument/2006/relationships/hyperlink" Target="http://pic.twitter.com/poUjaO1Qh3" TargetMode="External"/><Relationship Id="rId520" Type="http://schemas.openxmlformats.org/officeDocument/2006/relationships/hyperlink" Target="http://pic.twitter.com/CZZ4f4xaEz" TargetMode="External"/><Relationship Id="rId618" Type="http://schemas.openxmlformats.org/officeDocument/2006/relationships/hyperlink" Target="http://pic.twitter.com/dge0EbE6cp" TargetMode="External"/><Relationship Id="rId825" Type="http://schemas.openxmlformats.org/officeDocument/2006/relationships/hyperlink" Target="http://pic.twitter.com/URH3evh29b" TargetMode="External"/><Relationship Id="rId1248" Type="http://schemas.openxmlformats.org/officeDocument/2006/relationships/hyperlink" Target="http://pic.twitter.com/X42i2XVgRr" TargetMode="External"/><Relationship Id="rId1455" Type="http://schemas.openxmlformats.org/officeDocument/2006/relationships/hyperlink" Target="https://www.cnn.com/2019/10/02/opinions/khashoggi-saudi-accountability-opinion-intl/index.html" TargetMode="External"/><Relationship Id="rId1662" Type="http://schemas.openxmlformats.org/officeDocument/2006/relationships/hyperlink" Target="http://pic.twitter.com/497tAiI4tD" TargetMode="External"/><Relationship Id="rId1010" Type="http://schemas.openxmlformats.org/officeDocument/2006/relationships/hyperlink" Target="http://pic.twitter.com/kQxFZfugIl" TargetMode="External"/><Relationship Id="rId1108" Type="http://schemas.openxmlformats.org/officeDocument/2006/relationships/hyperlink" Target="http://pic.twitter.com/6ujDzeMFbw" TargetMode="External"/><Relationship Id="rId1315" Type="http://schemas.openxmlformats.org/officeDocument/2006/relationships/hyperlink" Target="http://pic.twitter.com/Xzcty2BGsm" TargetMode="External"/><Relationship Id="rId1967" Type="http://schemas.openxmlformats.org/officeDocument/2006/relationships/hyperlink" Target="http://pic.twitter.com/mNF1kb8Jhk" TargetMode="External"/><Relationship Id="rId1522" Type="http://schemas.openxmlformats.org/officeDocument/2006/relationships/hyperlink" Target="http://pic.twitter.com/hrnAt847Gz" TargetMode="External"/><Relationship Id="rId21" Type="http://schemas.openxmlformats.org/officeDocument/2006/relationships/hyperlink" Target="http://pic.twitter.com/JLIfNKZhlg" TargetMode="External"/><Relationship Id="rId2089" Type="http://schemas.openxmlformats.org/officeDocument/2006/relationships/hyperlink" Target="http://pic.twitter.com/cBnaJhkEjp" TargetMode="External"/><Relationship Id="rId268" Type="http://schemas.openxmlformats.org/officeDocument/2006/relationships/hyperlink" Target="http://pic.twitter.com/BMD6AOAEMV" TargetMode="External"/><Relationship Id="rId475" Type="http://schemas.openxmlformats.org/officeDocument/2006/relationships/hyperlink" Target="http://pic.twitter.com/uawFlZy5Kw" TargetMode="External"/><Relationship Id="rId682" Type="http://schemas.openxmlformats.org/officeDocument/2006/relationships/hyperlink" Target="http://pic.twitter.com/9KNZs5br0D" TargetMode="External"/><Relationship Id="rId128" Type="http://schemas.openxmlformats.org/officeDocument/2006/relationships/hyperlink" Target="https://pbs.twimg.com/media/EGbxAkhW4AAerVz.jpg" TargetMode="External"/><Relationship Id="rId335" Type="http://schemas.openxmlformats.org/officeDocument/2006/relationships/hyperlink" Target="http://pic.twitter.com/KNI5jW9bRZ" TargetMode="External"/><Relationship Id="rId542" Type="http://schemas.openxmlformats.org/officeDocument/2006/relationships/hyperlink" Target="http://pic.twitter.com/VuIcwFIKHo" TargetMode="External"/><Relationship Id="rId1172" Type="http://schemas.openxmlformats.org/officeDocument/2006/relationships/hyperlink" Target="http://pic.twitter.com/ygC46eR6ed" TargetMode="External"/><Relationship Id="rId2016" Type="http://schemas.openxmlformats.org/officeDocument/2006/relationships/hyperlink" Target="http://pic.twitter.com/Xn1OyeL4h2" TargetMode="External"/><Relationship Id="rId402" Type="http://schemas.openxmlformats.org/officeDocument/2006/relationships/hyperlink" Target="https://pbs.twimg.com/media/EF-kwdrWwA0yvZy.jpg" TargetMode="External"/><Relationship Id="rId1032" Type="http://schemas.openxmlformats.org/officeDocument/2006/relationships/hyperlink" Target="http://pic.twitter.com/Jc5YIcOYIl" TargetMode="External"/><Relationship Id="rId1989" Type="http://schemas.openxmlformats.org/officeDocument/2006/relationships/hyperlink" Target="http://pic.twitter.com/xSoRgJUq6w" TargetMode="External"/><Relationship Id="rId1849" Type="http://schemas.openxmlformats.org/officeDocument/2006/relationships/hyperlink" Target="http://pic.twitter.com/NZtfLYSghG" TargetMode="External"/><Relationship Id="rId192" Type="http://schemas.openxmlformats.org/officeDocument/2006/relationships/hyperlink" Target="http://pic.twitter.com/S04I2Gif0y" TargetMode="External"/><Relationship Id="rId1709" Type="http://schemas.openxmlformats.org/officeDocument/2006/relationships/hyperlink" Target="http://pic.twitter.com/FxRI4MnI6V" TargetMode="External"/><Relationship Id="rId1916" Type="http://schemas.openxmlformats.org/officeDocument/2006/relationships/hyperlink" Target="http://pic.twitter.com/Da7WK2fTop" TargetMode="External"/><Relationship Id="rId2080" Type="http://schemas.openxmlformats.org/officeDocument/2006/relationships/hyperlink" Target="http://pic.twitter.com/aRGsVQLOoT" TargetMode="External"/><Relationship Id="rId869" Type="http://schemas.openxmlformats.org/officeDocument/2006/relationships/hyperlink" Target="http://pic.twitter.com/OxbCYTyCzf" TargetMode="External"/><Relationship Id="rId1499" Type="http://schemas.openxmlformats.org/officeDocument/2006/relationships/hyperlink" Target="http://pic.twitter.com/QfYh7LyLNJ" TargetMode="External"/><Relationship Id="rId729" Type="http://schemas.openxmlformats.org/officeDocument/2006/relationships/hyperlink" Target="http://pic.twitter.com/XOE7NWnqyp" TargetMode="External"/><Relationship Id="rId1359" Type="http://schemas.openxmlformats.org/officeDocument/2006/relationships/hyperlink" Target="http://pic.twitter.com/RTAUNUcBnD" TargetMode="External"/><Relationship Id="rId936" Type="http://schemas.openxmlformats.org/officeDocument/2006/relationships/hyperlink" Target="http://pic.twitter.com/nEfpwNjwTt" TargetMode="External"/><Relationship Id="rId1219" Type="http://schemas.openxmlformats.org/officeDocument/2006/relationships/hyperlink" Target="http://pic.twitter.com/RkBkv80ZmT" TargetMode="External"/><Relationship Id="rId1566" Type="http://schemas.openxmlformats.org/officeDocument/2006/relationships/hyperlink" Target="http://pic.twitter.com/pYf2ZlW5qN" TargetMode="External"/><Relationship Id="rId1773" Type="http://schemas.openxmlformats.org/officeDocument/2006/relationships/hyperlink" Target="http://pic.twitter.com/1zBke3bRVX" TargetMode="External"/><Relationship Id="rId1980" Type="http://schemas.openxmlformats.org/officeDocument/2006/relationships/hyperlink" Target="http://pic.twitter.com/DTDTx1oXWZ"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8287"/>
  <sheetViews>
    <sheetView topLeftCell="F1" workbookViewId="0">
      <pane ySplit="2" topLeftCell="A3855" activePane="bottomLeft" state="frozen"/>
      <selection pane="bottomLeft" activeCell="B4" sqref="B4"/>
    </sheetView>
  </sheetViews>
  <sheetFormatPr defaultColWidth="14.3984375" defaultRowHeight="15.75" customHeight="1"/>
  <cols>
    <col min="1" max="2" width="15.86328125" customWidth="1"/>
    <col min="3" max="3" width="21.53125" customWidth="1"/>
    <col min="4" max="4" width="43" customWidth="1"/>
    <col min="5" max="5" width="18.73046875" customWidth="1"/>
    <col min="6" max="6" width="21.53125" customWidth="1"/>
  </cols>
  <sheetData>
    <row r="1" spans="1:26" ht="24" customHeight="1">
      <c r="A1" s="1"/>
      <c r="B1" s="2" t="s">
        <v>0</v>
      </c>
      <c r="C1" s="3"/>
      <c r="D1" s="3"/>
      <c r="E1" s="3"/>
      <c r="F1" s="3"/>
      <c r="G1" s="3"/>
      <c r="H1" s="3"/>
      <c r="I1" s="3"/>
      <c r="J1" s="3"/>
      <c r="K1" s="3"/>
      <c r="L1" s="4"/>
      <c r="M1" s="4"/>
      <c r="N1" s="4"/>
      <c r="O1" s="4"/>
      <c r="P1" s="4"/>
      <c r="Q1" s="3"/>
      <c r="R1" s="3"/>
      <c r="S1" s="3"/>
      <c r="T1" s="3"/>
      <c r="U1" s="4"/>
      <c r="V1" s="3"/>
      <c r="W1" s="3"/>
      <c r="X1" s="3"/>
      <c r="Y1" s="3"/>
      <c r="Z1" s="3"/>
    </row>
    <row r="2" spans="1:26" ht="24" customHeight="1">
      <c r="A2" s="5" t="s">
        <v>1</v>
      </c>
      <c r="B2" s="6" t="s">
        <v>2</v>
      </c>
      <c r="C2" s="6" t="s">
        <v>3</v>
      </c>
      <c r="D2" s="6" t="s">
        <v>4</v>
      </c>
      <c r="E2" s="6" t="s">
        <v>7</v>
      </c>
      <c r="F2" s="6" t="s">
        <v>8</v>
      </c>
      <c r="G2" s="6" t="s">
        <v>9</v>
      </c>
      <c r="H2" s="6" t="s">
        <v>10</v>
      </c>
      <c r="I2" s="6" t="s">
        <v>11</v>
      </c>
      <c r="J2" s="6" t="s">
        <v>12</v>
      </c>
      <c r="K2" s="6" t="s">
        <v>13</v>
      </c>
      <c r="L2" s="5" t="s">
        <v>14</v>
      </c>
      <c r="M2" s="5" t="s">
        <v>15</v>
      </c>
      <c r="N2" s="5" t="s">
        <v>16</v>
      </c>
      <c r="O2" s="5" t="s">
        <v>17</v>
      </c>
      <c r="P2" s="5" t="s">
        <v>18</v>
      </c>
      <c r="Q2" s="6" t="s">
        <v>10</v>
      </c>
      <c r="R2" s="6" t="s">
        <v>19</v>
      </c>
      <c r="S2" s="6" t="s">
        <v>20</v>
      </c>
      <c r="T2" s="6" t="s">
        <v>21</v>
      </c>
      <c r="U2" s="5" t="s">
        <v>22</v>
      </c>
      <c r="V2" s="10"/>
      <c r="W2" s="10"/>
      <c r="X2" s="10"/>
      <c r="Y2" s="10"/>
      <c r="Z2" s="10"/>
    </row>
    <row r="3" spans="1:26" ht="12.75">
      <c r="A3" s="11">
        <v>43747.322812500002</v>
      </c>
      <c r="B3" s="12" t="str">
        <f>HYPERLINK("https://twitter.com/bulentcosan","@bulentcosan")</f>
        <v>@bulentcosan</v>
      </c>
      <c r="C3" s="7" t="s">
        <v>26</v>
      </c>
      <c r="D3" s="7" t="s">
        <v>27</v>
      </c>
      <c r="E3" s="12" t="str">
        <f>HYPERLINK("https://twitter.com/bulentcosan/status/1181943614995386369","1181943614995386369")</f>
        <v>1181943614995386369</v>
      </c>
      <c r="F3" s="14" t="s">
        <v>30</v>
      </c>
      <c r="G3" s="14" t="s">
        <v>61</v>
      </c>
      <c r="H3" s="8"/>
      <c r="I3" s="15">
        <v>0</v>
      </c>
      <c r="J3" s="15">
        <v>0</v>
      </c>
      <c r="K3" s="12" t="str">
        <f>HYPERLINK("http://twitter.com/download/android","Twitter for Android")</f>
        <v>Twitter for Android</v>
      </c>
      <c r="L3" s="16">
        <v>179</v>
      </c>
      <c r="M3" s="16">
        <v>737</v>
      </c>
      <c r="N3" s="16">
        <v>0</v>
      </c>
      <c r="O3" s="17"/>
      <c r="P3" s="18">
        <v>42578.474305555559</v>
      </c>
      <c r="Q3" s="7"/>
      <c r="R3" s="7" t="s">
        <v>63</v>
      </c>
      <c r="S3" s="7"/>
      <c r="T3" s="8"/>
      <c r="U3" s="19" t="str">
        <f>HYPERLINK("https://pbs.twimg.com/profile_images/1160915335970807808/zDNwyNNl.jpg","View")</f>
        <v>View</v>
      </c>
      <c r="V3" s="8"/>
      <c r="W3" s="8"/>
      <c r="X3" s="8"/>
      <c r="Y3" s="8"/>
      <c r="Z3" s="8"/>
    </row>
    <row r="4" spans="1:26" ht="12.75">
      <c r="A4" s="11">
        <v>43747.322812500002</v>
      </c>
      <c r="B4" s="12" t="str">
        <f>HYPERLINK("https://twitter.com/neselimami","@neselimami")</f>
        <v>@neselimami</v>
      </c>
      <c r="C4" s="13" t="s">
        <v>64</v>
      </c>
      <c r="D4" s="7" t="s">
        <v>65</v>
      </c>
      <c r="E4" s="12" t="str">
        <f>HYPERLINK("https://twitter.com/neselimami/status/1181943614680846342","1181943614680846342")</f>
        <v>1181943614680846342</v>
      </c>
      <c r="F4" s="8"/>
      <c r="G4" s="7"/>
      <c r="H4" s="8"/>
      <c r="I4" s="15">
        <v>0</v>
      </c>
      <c r="J4" s="15">
        <v>0</v>
      </c>
      <c r="K4" s="12" t="str">
        <f>HYPERLINK("https://mobile.twitter.com","Twitter Web App")</f>
        <v>Twitter Web App</v>
      </c>
      <c r="L4" s="16">
        <v>584</v>
      </c>
      <c r="M4" s="16">
        <v>936</v>
      </c>
      <c r="N4" s="16">
        <v>6</v>
      </c>
      <c r="O4" s="17"/>
      <c r="P4" s="18">
        <v>41237.983923611115</v>
      </c>
      <c r="Q4" s="7" t="s">
        <v>69</v>
      </c>
      <c r="R4" s="7" t="s">
        <v>70</v>
      </c>
      <c r="S4" s="7"/>
      <c r="T4" s="8"/>
      <c r="U4" s="19" t="str">
        <f>HYPERLINK("https://pbs.twimg.com/profile_images/1174305017232334850/t6CIVqfr.jpg","View")</f>
        <v>View</v>
      </c>
      <c r="V4" s="8"/>
      <c r="W4" s="8"/>
      <c r="X4" s="8"/>
      <c r="Y4" s="8"/>
      <c r="Z4" s="8"/>
    </row>
    <row r="5" spans="1:26" ht="12.75">
      <c r="A5" s="11">
        <v>43747.322800925926</v>
      </c>
      <c r="B5" s="12" t="str">
        <f>HYPERLINK("https://twitter.com/izmirilkhaber","@izmirilkhaber")</f>
        <v>@izmirilkhaber</v>
      </c>
      <c r="C5" s="7" t="s">
        <v>74</v>
      </c>
      <c r="D5" s="7" t="s">
        <v>75</v>
      </c>
      <c r="E5" s="12" t="str">
        <f>HYPERLINK("https://twitter.com/izmirilkhaber/status/1181943607139426304","1181943607139426304")</f>
        <v>1181943607139426304</v>
      </c>
      <c r="F5" s="8"/>
      <c r="G5" s="14" t="s">
        <v>76</v>
      </c>
      <c r="H5" s="8"/>
      <c r="I5" s="15">
        <v>0</v>
      </c>
      <c r="J5" s="15">
        <v>0</v>
      </c>
      <c r="K5" s="12" t="str">
        <f>HYPERLINK("https://about.twitter.com/products/tweetdeck","TweetDeck")</f>
        <v>TweetDeck</v>
      </c>
      <c r="L5" s="16">
        <v>791</v>
      </c>
      <c r="M5" s="16">
        <v>728</v>
      </c>
      <c r="N5" s="16">
        <v>1</v>
      </c>
      <c r="O5" s="17"/>
      <c r="P5" s="18">
        <v>43530.231435185182</v>
      </c>
      <c r="Q5" s="7" t="s">
        <v>80</v>
      </c>
      <c r="R5" s="7" t="s">
        <v>81</v>
      </c>
      <c r="S5" s="14" t="s">
        <v>82</v>
      </c>
      <c r="T5" s="8"/>
      <c r="U5" s="19" t="str">
        <f>HYPERLINK("https://pbs.twimg.com/profile_images/1104827716614979590/6TGRrTG8.jpg","View")</f>
        <v>View</v>
      </c>
      <c r="V5" s="8"/>
      <c r="W5" s="8"/>
      <c r="X5" s="8"/>
      <c r="Y5" s="8"/>
      <c r="Z5" s="8"/>
    </row>
    <row r="6" spans="1:26" ht="12.75">
      <c r="A6" s="11">
        <v>43747.322743055556</v>
      </c>
      <c r="B6" s="12" t="str">
        <f>HYPERLINK("https://twitter.com/ozcaanahmett","@ozcaanahmett")</f>
        <v>@ozcaanahmett</v>
      </c>
      <c r="C6" s="7" t="s">
        <v>86</v>
      </c>
      <c r="D6" s="7" t="s">
        <v>87</v>
      </c>
      <c r="E6" s="12" t="str">
        <f>HYPERLINK("https://twitter.com/ozcaanahmett/status/1181943587304554496","1181943587304554496")</f>
        <v>1181943587304554496</v>
      </c>
      <c r="F6" s="8"/>
      <c r="G6" s="14" t="s">
        <v>88</v>
      </c>
      <c r="H6" s="8"/>
      <c r="I6" s="15">
        <v>0</v>
      </c>
      <c r="J6" s="15">
        <v>0</v>
      </c>
      <c r="K6" s="12" t="str">
        <f>HYPERLINK("http://twitter.com/download/iphone","Twitter for iPhone")</f>
        <v>Twitter for iPhone</v>
      </c>
      <c r="L6" s="16">
        <v>50</v>
      </c>
      <c r="M6" s="16">
        <v>180</v>
      </c>
      <c r="N6" s="16">
        <v>0</v>
      </c>
      <c r="O6" s="17"/>
      <c r="P6" s="18">
        <v>43031.654386574075</v>
      </c>
      <c r="Q6" s="7" t="s">
        <v>92</v>
      </c>
      <c r="R6" s="7" t="s">
        <v>93</v>
      </c>
      <c r="S6" s="7"/>
      <c r="T6" s="8"/>
      <c r="U6" s="19" t="str">
        <f>HYPERLINK("https://pbs.twimg.com/profile_images/1181280986606161920/RFirYikR.jpg","View")</f>
        <v>View</v>
      </c>
      <c r="V6" s="8"/>
      <c r="W6" s="8"/>
      <c r="X6" s="8"/>
      <c r="Y6" s="8"/>
      <c r="Z6" s="8"/>
    </row>
    <row r="7" spans="1:26" ht="12.75">
      <c r="A7" s="11">
        <v>43747.322430555556</v>
      </c>
      <c r="B7" s="12" t="str">
        <f>HYPERLINK("https://twitter.com/1parcatuhaftik","@1parcatuhaftik")</f>
        <v>@1parcatuhaftik</v>
      </c>
      <c r="C7" s="7" t="s">
        <v>96</v>
      </c>
      <c r="D7" s="7" t="s">
        <v>97</v>
      </c>
      <c r="E7" s="12" t="str">
        <f>HYPERLINK("https://twitter.com/1parcatuhaftik/status/1181943475308257284","1181943475308257284")</f>
        <v>1181943475308257284</v>
      </c>
      <c r="F7" s="8"/>
      <c r="G7" s="7"/>
      <c r="H7" s="8"/>
      <c r="I7" s="15">
        <v>0</v>
      </c>
      <c r="J7" s="15">
        <v>58</v>
      </c>
      <c r="K7" s="12" t="str">
        <f>HYPERLINK("https://mobile.twitter.com","Twitter Web App")</f>
        <v>Twitter Web App</v>
      </c>
      <c r="L7" s="16">
        <v>83138</v>
      </c>
      <c r="M7" s="16">
        <v>15</v>
      </c>
      <c r="N7" s="16">
        <v>61</v>
      </c>
      <c r="O7" s="17"/>
      <c r="P7" s="18">
        <v>42005.463449074072</v>
      </c>
      <c r="Q7" s="7"/>
      <c r="R7" s="7" t="s">
        <v>101</v>
      </c>
      <c r="S7" s="14" t="s">
        <v>102</v>
      </c>
      <c r="T7" s="8"/>
      <c r="U7" s="19" t="str">
        <f>HYPERLINK("https://pbs.twimg.com/profile_images/873847367774162944/nT-AvGIb.jpg","View")</f>
        <v>View</v>
      </c>
      <c r="V7" s="8"/>
      <c r="W7" s="8"/>
      <c r="X7" s="8"/>
      <c r="Y7" s="8"/>
      <c r="Z7" s="8"/>
    </row>
    <row r="8" spans="1:26" ht="12.75">
      <c r="A8" s="11">
        <v>43747.322395833333</v>
      </c>
      <c r="B8" s="12" t="str">
        <f>HYPERLINK("https://twitter.com/Step_Agency","@Step_Agency")</f>
        <v>@Step_Agency</v>
      </c>
      <c r="C8" s="7" t="s">
        <v>106</v>
      </c>
      <c r="D8" s="13" t="s">
        <v>107</v>
      </c>
      <c r="E8" s="12" t="str">
        <f>HYPERLINK("https://twitter.com/Step_Agency/status/1181943461257371648","1181943461257371648")</f>
        <v>1181943461257371648</v>
      </c>
      <c r="F8" s="8"/>
      <c r="G8" s="7"/>
      <c r="H8" s="8"/>
      <c r="I8" s="15">
        <v>0</v>
      </c>
      <c r="J8" s="15">
        <v>1</v>
      </c>
      <c r="K8" s="12" t="str">
        <f>HYPERLINK("https://mobile.twitter.com","Twitter Web App")</f>
        <v>Twitter Web App</v>
      </c>
      <c r="L8" s="16">
        <v>25666</v>
      </c>
      <c r="M8" s="16">
        <v>1</v>
      </c>
      <c r="N8" s="16">
        <v>265</v>
      </c>
      <c r="O8" s="17"/>
      <c r="P8" s="18">
        <v>42089.985972222217</v>
      </c>
      <c r="Q8" s="7" t="s">
        <v>108</v>
      </c>
      <c r="R8" s="13" t="s">
        <v>109</v>
      </c>
      <c r="S8" s="14" t="s">
        <v>110</v>
      </c>
      <c r="T8" s="8"/>
      <c r="U8" s="19" t="str">
        <f>HYPERLINK("https://pbs.twimg.com/profile_images/1126155669680402433/jO4trQr-.jpg","View")</f>
        <v>View</v>
      </c>
      <c r="V8" s="8"/>
      <c r="W8" s="8"/>
      <c r="X8" s="8"/>
      <c r="Y8" s="8"/>
      <c r="Z8" s="8"/>
    </row>
    <row r="9" spans="1:26" ht="12.75">
      <c r="A9" s="11">
        <v>43747.322256944448</v>
      </c>
      <c r="B9" s="12" t="str">
        <f>HYPERLINK("https://twitter.com/turgayaltay_","@turgayaltay_")</f>
        <v>@turgayaltay_</v>
      </c>
      <c r="C9" s="7" t="s">
        <v>114</v>
      </c>
      <c r="D9" s="7" t="s">
        <v>115</v>
      </c>
      <c r="E9" s="12" t="str">
        <f>HYPERLINK("https://twitter.com/turgayaltay_/status/1181943413257711616","1181943413257711616")</f>
        <v>1181943413257711616</v>
      </c>
      <c r="F9" s="8"/>
      <c r="G9" s="14" t="s">
        <v>116</v>
      </c>
      <c r="H9" s="8"/>
      <c r="I9" s="15">
        <v>0</v>
      </c>
      <c r="J9" s="15">
        <v>0</v>
      </c>
      <c r="K9" s="12" t="str">
        <f>HYPERLINK("http://twitter.com/download/android","Twitter for Android")</f>
        <v>Twitter for Android</v>
      </c>
      <c r="L9" s="16">
        <v>147</v>
      </c>
      <c r="M9" s="16">
        <v>145</v>
      </c>
      <c r="N9" s="16">
        <v>1</v>
      </c>
      <c r="O9" s="17"/>
      <c r="P9" s="18">
        <v>40612.572881944448</v>
      </c>
      <c r="Q9" s="7" t="s">
        <v>120</v>
      </c>
      <c r="R9" s="7" t="s">
        <v>121</v>
      </c>
      <c r="S9" s="14" t="s">
        <v>122</v>
      </c>
      <c r="T9" s="8"/>
      <c r="U9" s="19" t="str">
        <f>HYPERLINK("https://pbs.twimg.com/profile_images/1156690784416161792/Kbc-WWGu.jpg","View")</f>
        <v>View</v>
      </c>
      <c r="V9" s="8"/>
      <c r="W9" s="8"/>
      <c r="X9" s="8"/>
      <c r="Y9" s="8"/>
      <c r="Z9" s="8"/>
    </row>
    <row r="10" spans="1:26" ht="12.75">
      <c r="A10" s="11">
        <v>43747.322129629625</v>
      </c>
      <c r="B10" s="12" t="str">
        <f>HYPERLINK("https://twitter.com/HakanOnurTayla1","@HakanOnurTayla1")</f>
        <v>@HakanOnurTayla1</v>
      </c>
      <c r="C10" s="7" t="s">
        <v>125</v>
      </c>
      <c r="D10" s="7" t="s">
        <v>127</v>
      </c>
      <c r="E10" s="12" t="str">
        <f>HYPERLINK("https://twitter.com/HakanOnurTayla1/status/1181943365174222853","1181943365174222853")</f>
        <v>1181943365174222853</v>
      </c>
      <c r="F10" s="8"/>
      <c r="G10" s="14" t="s">
        <v>128</v>
      </c>
      <c r="H10" s="8"/>
      <c r="I10" s="15">
        <v>0</v>
      </c>
      <c r="J10" s="15">
        <v>0</v>
      </c>
      <c r="K10" s="12" t="str">
        <f>HYPERLINK("http://twitter.com/download/iphone","Twitter for iPhone")</f>
        <v>Twitter for iPhone</v>
      </c>
      <c r="L10" s="16">
        <v>7</v>
      </c>
      <c r="M10" s="16">
        <v>24</v>
      </c>
      <c r="N10" s="16">
        <v>0</v>
      </c>
      <c r="O10" s="17"/>
      <c r="P10" s="18">
        <v>43700.308749999997</v>
      </c>
      <c r="Q10" s="7"/>
      <c r="R10" s="7" t="s">
        <v>131</v>
      </c>
      <c r="S10" s="7"/>
      <c r="T10" s="8"/>
      <c r="U10" s="19" t="str">
        <f>HYPERLINK("https://pbs.twimg.com/profile_images/1181291021407145984/GCgfcFKj.jpg","View")</f>
        <v>View</v>
      </c>
      <c r="V10" s="8"/>
      <c r="W10" s="8"/>
      <c r="X10" s="8"/>
      <c r="Y10" s="8"/>
      <c r="Z10" s="8"/>
    </row>
    <row r="11" spans="1:26" ht="12.75">
      <c r="A11" s="11">
        <v>43747.321932870371</v>
      </c>
      <c r="B11" s="12" t="str">
        <f>HYPERLINK("https://twitter.com/islu_boy","@islu_boy")</f>
        <v>@islu_boy</v>
      </c>
      <c r="C11" s="7" t="s">
        <v>133</v>
      </c>
      <c r="D11" s="7" t="s">
        <v>134</v>
      </c>
      <c r="E11" s="12" t="str">
        <f>HYPERLINK("https://twitter.com/islu_boy/status/1181943293392904193","1181943293392904193")</f>
        <v>1181943293392904193</v>
      </c>
      <c r="F11" s="8"/>
      <c r="G11" s="7"/>
      <c r="H11" s="8"/>
      <c r="I11" s="15">
        <v>0</v>
      </c>
      <c r="J11" s="15">
        <v>0</v>
      </c>
      <c r="K11" s="12" t="str">
        <f>HYPERLINK("http://twitter.com/download/android","Twitter for Android")</f>
        <v>Twitter for Android</v>
      </c>
      <c r="L11" s="16">
        <v>850</v>
      </c>
      <c r="M11" s="16">
        <v>447</v>
      </c>
      <c r="N11" s="16">
        <v>11</v>
      </c>
      <c r="O11" s="17"/>
      <c r="P11" s="18">
        <v>41995.238344907411</v>
      </c>
      <c r="Q11" s="7" t="s">
        <v>135</v>
      </c>
      <c r="R11" s="7" t="s">
        <v>136</v>
      </c>
      <c r="S11" s="7"/>
      <c r="T11" s="8"/>
      <c r="U11" s="19" t="str">
        <f>HYPERLINK("https://pbs.twimg.com/profile_images/1179827931058753536/BpFO3Dc2.jpg","View")</f>
        <v>View</v>
      </c>
      <c r="V11" s="8"/>
      <c r="W11" s="8"/>
      <c r="X11" s="8"/>
      <c r="Y11" s="8"/>
      <c r="Z11" s="8"/>
    </row>
    <row r="12" spans="1:26" ht="12.75">
      <c r="A12" s="11">
        <v>43747.321828703702</v>
      </c>
      <c r="B12" s="12" t="str">
        <f>HYPERLINK("https://twitter.com/GamzeAydn74","@GamzeAydn74")</f>
        <v>@GamzeAydn74</v>
      </c>
      <c r="C12" s="7" t="s">
        <v>139</v>
      </c>
      <c r="D12" s="7" t="s">
        <v>140</v>
      </c>
      <c r="E12" s="12" t="str">
        <f>HYPERLINK("https://twitter.com/GamzeAydn74/status/1181943255170273281","1181943255170273281")</f>
        <v>1181943255170273281</v>
      </c>
      <c r="F12" s="8"/>
      <c r="G12" s="14" t="s">
        <v>141</v>
      </c>
      <c r="H12" s="8"/>
      <c r="I12" s="15">
        <v>1</v>
      </c>
      <c r="J12" s="15">
        <v>2</v>
      </c>
      <c r="K12" s="12" t="str">
        <f>HYPERLINK("http://twitter.com/download/android","Twitter for Android")</f>
        <v>Twitter for Android</v>
      </c>
      <c r="L12" s="16">
        <v>788</v>
      </c>
      <c r="M12" s="16">
        <v>286</v>
      </c>
      <c r="N12" s="16">
        <v>3</v>
      </c>
      <c r="O12" s="17"/>
      <c r="P12" s="18">
        <v>41425.507164351853</v>
      </c>
      <c r="Q12" s="7" t="s">
        <v>146</v>
      </c>
      <c r="R12" s="7" t="s">
        <v>147</v>
      </c>
      <c r="S12" s="14" t="s">
        <v>148</v>
      </c>
      <c r="T12" s="8"/>
      <c r="U12" s="19" t="str">
        <f>HYPERLINK("https://pbs.twimg.com/profile_images/1165745760799006720/dpr3VolT.jpg","View")</f>
        <v>View</v>
      </c>
      <c r="V12" s="8"/>
      <c r="W12" s="8"/>
      <c r="X12" s="8"/>
      <c r="Y12" s="8"/>
      <c r="Z12" s="8"/>
    </row>
    <row r="13" spans="1:26" ht="12.75">
      <c r="A13" s="11">
        <v>43747.321736111116</v>
      </c>
      <c r="B13" s="12" t="str">
        <f>HYPERLINK("https://twitter.com/YAMURUSLU10","@YAMURUSLU10")</f>
        <v>@YAMURUSLU10</v>
      </c>
      <c r="C13" s="7" t="s">
        <v>150</v>
      </c>
      <c r="D13" s="7" t="s">
        <v>151</v>
      </c>
      <c r="E13" s="12" t="str">
        <f>HYPERLINK("https://twitter.com/YAMURUSLU10/status/1181943222316220416","1181943222316220416")</f>
        <v>1181943222316220416</v>
      </c>
      <c r="F13" s="8"/>
      <c r="G13" s="14" t="s">
        <v>152</v>
      </c>
      <c r="H13" s="8"/>
      <c r="I13" s="15">
        <v>0</v>
      </c>
      <c r="J13" s="15">
        <v>0</v>
      </c>
      <c r="K13" s="12" t="str">
        <f>HYPERLINK("http://twitter.com/download/android","Twitter for Android")</f>
        <v>Twitter for Android</v>
      </c>
      <c r="L13" s="16">
        <v>59</v>
      </c>
      <c r="M13" s="16">
        <v>171</v>
      </c>
      <c r="N13" s="16">
        <v>0</v>
      </c>
      <c r="O13" s="17"/>
      <c r="P13" s="18">
        <v>43448.12736111111</v>
      </c>
      <c r="Q13" s="7"/>
      <c r="R13" s="7" t="s">
        <v>156</v>
      </c>
      <c r="S13" s="7"/>
      <c r="T13" s="8"/>
      <c r="U13" s="19" t="str">
        <f>HYPERLINK("https://pbs.twimg.com/profile_images/1176129795001860097/SIhmi5XS.jpg","View")</f>
        <v>View</v>
      </c>
      <c r="V13" s="8"/>
      <c r="W13" s="8"/>
      <c r="X13" s="8"/>
      <c r="Y13" s="8"/>
      <c r="Z13" s="8"/>
    </row>
    <row r="14" spans="1:26" ht="12.75">
      <c r="A14" s="11">
        <v>43747.321643518517</v>
      </c>
      <c r="B14" s="12" t="str">
        <f>HYPERLINK("https://twitter.com/Yeyobiziyey","@Yeyobiziyey")</f>
        <v>@Yeyobiziyey</v>
      </c>
      <c r="C14" s="7" t="s">
        <v>159</v>
      </c>
      <c r="D14" s="7" t="s">
        <v>160</v>
      </c>
      <c r="E14" s="12" t="str">
        <f>HYPERLINK("https://twitter.com/Yeyobiziyey/status/1181943189260906496","1181943189260906496")</f>
        <v>1181943189260906496</v>
      </c>
      <c r="F14" s="8"/>
      <c r="G14" s="7"/>
      <c r="H14" s="8"/>
      <c r="I14" s="15">
        <v>0</v>
      </c>
      <c r="J14" s="15">
        <v>0</v>
      </c>
      <c r="K14" s="12" t="str">
        <f>HYPERLINK("https://mobile.twitter.com","Twitter Web App")</f>
        <v>Twitter Web App</v>
      </c>
      <c r="L14" s="16">
        <v>23</v>
      </c>
      <c r="M14" s="16">
        <v>511</v>
      </c>
      <c r="N14" s="16">
        <v>0</v>
      </c>
      <c r="O14" s="17"/>
      <c r="P14" s="18">
        <v>43054.19153935185</v>
      </c>
      <c r="Q14" s="7" t="s">
        <v>162</v>
      </c>
      <c r="R14" s="7" t="s">
        <v>163</v>
      </c>
      <c r="S14" s="7"/>
      <c r="T14" s="8"/>
      <c r="U14" s="19" t="str">
        <f>HYPERLINK("https://pbs.twimg.com/profile_images/1052218079684567040/WwsnYS5w.jpg","View")</f>
        <v>View</v>
      </c>
      <c r="V14" s="8"/>
      <c r="W14" s="8"/>
      <c r="X14" s="8"/>
      <c r="Y14" s="8"/>
      <c r="Z14" s="8"/>
    </row>
    <row r="15" spans="1:26" ht="12.75">
      <c r="A15" s="11">
        <v>43747.321597222224</v>
      </c>
      <c r="B15" s="12" t="str">
        <f>HYPERLINK("https://twitter.com/samii1963","@samii1963")</f>
        <v>@samii1963</v>
      </c>
      <c r="C15" s="7" t="s">
        <v>170</v>
      </c>
      <c r="D15" s="7" t="s">
        <v>171</v>
      </c>
      <c r="E15" s="12" t="str">
        <f>HYPERLINK("https://twitter.com/samii1963/status/1181943174060789762","1181943174060789762")</f>
        <v>1181943174060789762</v>
      </c>
      <c r="F15" s="8"/>
      <c r="G15" s="15"/>
      <c r="H15" s="8"/>
      <c r="I15" s="15">
        <v>0</v>
      </c>
      <c r="J15" s="15">
        <v>1</v>
      </c>
      <c r="K15" s="12" t="str">
        <f>HYPERLINK("http://twitter.com/download/android","Twitter for Android")</f>
        <v>Twitter for Android</v>
      </c>
      <c r="L15" s="16">
        <v>47</v>
      </c>
      <c r="M15" s="16">
        <v>81</v>
      </c>
      <c r="N15" s="16">
        <v>0</v>
      </c>
      <c r="O15" s="17"/>
      <c r="P15" s="18">
        <v>43326.129490740743</v>
      </c>
      <c r="Q15" s="7"/>
      <c r="R15" s="7" t="s">
        <v>174</v>
      </c>
      <c r="S15" s="15"/>
      <c r="T15" s="8"/>
      <c r="U15" s="19" t="str">
        <f>HYPERLINK("https://pbs.twimg.com/profile_images/1177896137874956289/A4OufPf9.jpg","View")</f>
        <v>View</v>
      </c>
      <c r="V15" s="8"/>
      <c r="W15" s="8"/>
      <c r="X15" s="8"/>
      <c r="Y15" s="8"/>
      <c r="Z15" s="8"/>
    </row>
    <row r="16" spans="1:26" ht="12.75">
      <c r="A16" s="11">
        <v>43747.321527777778</v>
      </c>
      <c r="B16" s="12" t="str">
        <f>HYPERLINK("https://twitter.com/muhammet4199","@muhammet4199")</f>
        <v>@muhammet4199</v>
      </c>
      <c r="C16" s="7" t="s">
        <v>176</v>
      </c>
      <c r="D16" s="7" t="s">
        <v>177</v>
      </c>
      <c r="E16" s="12" t="str">
        <f>HYPERLINK("https://twitter.com/muhammet4199/status/1181943146323873797","1181943146323873797")</f>
        <v>1181943146323873797</v>
      </c>
      <c r="F16" s="8"/>
      <c r="G16" s="14" t="s">
        <v>178</v>
      </c>
      <c r="H16" s="8"/>
      <c r="I16" s="15">
        <v>0</v>
      </c>
      <c r="J16" s="15">
        <v>0</v>
      </c>
      <c r="K16" s="12" t="str">
        <f>HYPERLINK("http://twitter.com/download/android","Twitter for Android")</f>
        <v>Twitter for Android</v>
      </c>
      <c r="L16" s="16">
        <v>88</v>
      </c>
      <c r="M16" s="16">
        <v>28</v>
      </c>
      <c r="N16" s="16">
        <v>0</v>
      </c>
      <c r="O16" s="17"/>
      <c r="P16" s="18">
        <v>40853.017951388887</v>
      </c>
      <c r="Q16" s="7"/>
      <c r="R16" s="7"/>
      <c r="S16" s="7"/>
      <c r="T16" s="8"/>
      <c r="U16" s="19" t="str">
        <f>HYPERLINK("https://pbs.twimg.com/profile_images/1169604006827761664/CjDKSDFv.jpg","View")</f>
        <v>View</v>
      </c>
      <c r="V16" s="8"/>
      <c r="W16" s="8"/>
      <c r="X16" s="8"/>
      <c r="Y16" s="8"/>
      <c r="Z16" s="8"/>
    </row>
    <row r="17" spans="1:26" ht="12.75">
      <c r="A17" s="11">
        <v>43747.321516203709</v>
      </c>
      <c r="B17" s="12" t="str">
        <f>HYPERLINK("https://twitter.com/bilgiler_kitabi","@bilgiler_kitabi")</f>
        <v>@bilgiler_kitabi</v>
      </c>
      <c r="C17" s="7" t="s">
        <v>183</v>
      </c>
      <c r="D17" s="7" t="s">
        <v>184</v>
      </c>
      <c r="E17" s="12" t="str">
        <f>HYPERLINK("https://twitter.com/bilgiler_kitabi/status/1181943145258524672","1181943145258524672")</f>
        <v>1181943145258524672</v>
      </c>
      <c r="F17" s="8"/>
      <c r="G17" s="14" t="s">
        <v>185</v>
      </c>
      <c r="H17" s="8"/>
      <c r="I17" s="15">
        <v>0</v>
      </c>
      <c r="J17" s="15">
        <v>0</v>
      </c>
      <c r="K17" s="12" t="str">
        <f>HYPERLINK("http://twitter.com/download/android","Twitter for Android")</f>
        <v>Twitter for Android</v>
      </c>
      <c r="L17" s="16">
        <v>108</v>
      </c>
      <c r="M17" s="16">
        <v>0</v>
      </c>
      <c r="N17" s="16">
        <v>0</v>
      </c>
      <c r="O17" s="17"/>
      <c r="P17" s="18">
        <v>43735.301539351851</v>
      </c>
      <c r="Q17" s="7"/>
      <c r="R17" s="7" t="s">
        <v>189</v>
      </c>
      <c r="S17" s="14" t="s">
        <v>190</v>
      </c>
      <c r="T17" s="8"/>
      <c r="U17" s="19" t="str">
        <f>HYPERLINK("https://pbs.twimg.com/profile_images/1177651488874795016/20GK8tok.jpg","View")</f>
        <v>View</v>
      </c>
      <c r="V17" s="8"/>
      <c r="W17" s="8"/>
      <c r="X17" s="8"/>
      <c r="Y17" s="8"/>
      <c r="Z17" s="8"/>
    </row>
    <row r="18" spans="1:26" ht="12.75">
      <c r="A18" s="11">
        <v>43747.321458333332</v>
      </c>
      <c r="B18" s="12" t="str">
        <f>HYPERLINK("https://twitter.com/Galadriiiel","@Galadriiiel")</f>
        <v>@Galadriiiel</v>
      </c>
      <c r="C18" s="7" t="s">
        <v>195</v>
      </c>
      <c r="D18" s="7" t="s">
        <v>196</v>
      </c>
      <c r="E18" s="12" t="str">
        <f>HYPERLINK("https://twitter.com/Galadriiiel/status/1181943122525376515","1181943122525376515")</f>
        <v>1181943122525376515</v>
      </c>
      <c r="F18" s="8"/>
      <c r="G18" s="14" t="s">
        <v>197</v>
      </c>
      <c r="H18" s="8"/>
      <c r="I18" s="15">
        <v>0</v>
      </c>
      <c r="J18" s="15">
        <v>0</v>
      </c>
      <c r="K18" s="12" t="str">
        <f>HYPERLINK("http://twitter.com/download/android","Twitter for Android")</f>
        <v>Twitter for Android</v>
      </c>
      <c r="L18" s="16">
        <v>146</v>
      </c>
      <c r="M18" s="16">
        <v>173</v>
      </c>
      <c r="N18" s="16">
        <v>1</v>
      </c>
      <c r="O18" s="17"/>
      <c r="P18" s="18">
        <v>41269.343888888892</v>
      </c>
      <c r="Q18" s="7" t="s">
        <v>200</v>
      </c>
      <c r="R18" s="7" t="s">
        <v>201</v>
      </c>
      <c r="S18" s="15"/>
      <c r="T18" s="8"/>
      <c r="U18" s="19" t="str">
        <f>HYPERLINK("https://pbs.twimg.com/profile_images/1131672612298469381/8IvrOnIz.jpg","View")</f>
        <v>View</v>
      </c>
      <c r="V18" s="8"/>
      <c r="W18" s="8"/>
      <c r="X18" s="8"/>
      <c r="Y18" s="8"/>
      <c r="Z18" s="8"/>
    </row>
    <row r="19" spans="1:26" ht="12.75">
      <c r="A19" s="11">
        <v>43747.321435185186</v>
      </c>
      <c r="B19" s="12" t="str">
        <f>HYPERLINK("https://twitter.com/teskilatihafi","@teskilatihafi")</f>
        <v>@teskilatihafi</v>
      </c>
      <c r="C19" s="7" t="s">
        <v>205</v>
      </c>
      <c r="D19" s="7" t="s">
        <v>206</v>
      </c>
      <c r="E19" s="12" t="str">
        <f>HYPERLINK("https://twitter.com/teskilatihafi/status/1181943113469829125","1181943113469829125")</f>
        <v>1181943113469829125</v>
      </c>
      <c r="F19" s="8"/>
      <c r="G19" s="15"/>
      <c r="H19" s="8"/>
      <c r="I19" s="15">
        <v>7</v>
      </c>
      <c r="J19" s="15">
        <v>46</v>
      </c>
      <c r="K19" s="12" t="str">
        <f>HYPERLINK("http://twitter.com/download/android","Twitter for Android")</f>
        <v>Twitter for Android</v>
      </c>
      <c r="L19" s="16">
        <v>56656</v>
      </c>
      <c r="M19" s="16">
        <v>709</v>
      </c>
      <c r="N19" s="16">
        <v>104</v>
      </c>
      <c r="O19" s="17"/>
      <c r="P19" s="18">
        <v>42610.551030092596</v>
      </c>
      <c r="Q19" s="7" t="s">
        <v>207</v>
      </c>
      <c r="R19" s="7" t="s">
        <v>208</v>
      </c>
      <c r="S19" s="7"/>
      <c r="T19" s="8"/>
      <c r="U19" s="19" t="str">
        <f>HYPERLINK("https://pbs.twimg.com/profile_images/907586478125015040/76bo7ddz.jpg","View")</f>
        <v>View</v>
      </c>
      <c r="V19" s="8"/>
      <c r="W19" s="8"/>
      <c r="X19" s="8"/>
      <c r="Y19" s="8"/>
      <c r="Z19" s="8"/>
    </row>
    <row r="20" spans="1:26" ht="12.75">
      <c r="A20" s="11">
        <v>43747.321423611109</v>
      </c>
      <c r="B20" s="12" t="str">
        <f>HYPERLINK("https://twitter.com/Sanhokmate","@Sanhokmate")</f>
        <v>@Sanhokmate</v>
      </c>
      <c r="C20" s="7" t="s">
        <v>210</v>
      </c>
      <c r="D20" s="7" t="s">
        <v>212</v>
      </c>
      <c r="E20" s="12" t="str">
        <f>HYPERLINK("https://twitter.com/Sanhokmate/status/1181943109757935618","1181943109757935618")</f>
        <v>1181943109757935618</v>
      </c>
      <c r="F20" s="8"/>
      <c r="G20" s="14" t="s">
        <v>214</v>
      </c>
      <c r="H20" s="8"/>
      <c r="I20" s="15">
        <v>0</v>
      </c>
      <c r="J20" s="15">
        <v>1</v>
      </c>
      <c r="K20" s="12" t="str">
        <f>HYPERLINK("http://twitter.com/download/android","Twitter for Android")</f>
        <v>Twitter for Android</v>
      </c>
      <c r="L20" s="16">
        <v>1184</v>
      </c>
      <c r="M20" s="16">
        <v>1180</v>
      </c>
      <c r="N20" s="16">
        <v>2</v>
      </c>
      <c r="O20" s="17"/>
      <c r="P20" s="18">
        <v>42924.522349537037</v>
      </c>
      <c r="Q20" s="7" t="s">
        <v>215</v>
      </c>
      <c r="R20" s="7" t="s">
        <v>216</v>
      </c>
      <c r="S20" s="7"/>
      <c r="T20" s="8"/>
      <c r="U20" s="19" t="str">
        <f>HYPERLINK("https://pbs.twimg.com/profile_images/1178052654087491592/GHzglHkP.jpg","View")</f>
        <v>View</v>
      </c>
      <c r="V20" s="8"/>
      <c r="W20" s="8"/>
      <c r="X20" s="8"/>
      <c r="Y20" s="8"/>
      <c r="Z20" s="8"/>
    </row>
    <row r="21" spans="1:26" ht="12.75">
      <c r="A21" s="11">
        <v>43747.321261574078</v>
      </c>
      <c r="B21" s="12" t="str">
        <f>HYPERLINK("https://twitter.com/ErdoganGvn","@ErdoganGvn")</f>
        <v>@ErdoganGvn</v>
      </c>
      <c r="C21" s="7" t="s">
        <v>220</v>
      </c>
      <c r="D21" s="7" t="s">
        <v>221</v>
      </c>
      <c r="E21" s="12" t="str">
        <f>HYPERLINK("https://twitter.com/ErdoganGvn/status/1181943049963950081","1181943049963950081")</f>
        <v>1181943049963950081</v>
      </c>
      <c r="F21" s="8"/>
      <c r="G21" s="15"/>
      <c r="H21" s="8"/>
      <c r="I21" s="15">
        <v>0</v>
      </c>
      <c r="J21" s="15">
        <v>0</v>
      </c>
      <c r="K21" s="12" t="str">
        <f>HYPERLINK("http://twitter.com/download/android","Twitter for Android")</f>
        <v>Twitter for Android</v>
      </c>
      <c r="L21" s="16">
        <v>25</v>
      </c>
      <c r="M21" s="16">
        <v>181</v>
      </c>
      <c r="N21" s="16">
        <v>0</v>
      </c>
      <c r="O21" s="17"/>
      <c r="P21" s="18">
        <v>43630.52180555556</v>
      </c>
      <c r="Q21" s="7"/>
      <c r="R21" s="7" t="s">
        <v>222</v>
      </c>
      <c r="S21" s="7"/>
      <c r="T21" s="8"/>
      <c r="U21" s="19" t="str">
        <f>HYPERLINK("https://pbs.twimg.com/profile_images/1139616778798161920/kh2PhUx7.jpg","View")</f>
        <v>View</v>
      </c>
      <c r="V21" s="8"/>
      <c r="W21" s="8"/>
      <c r="X21" s="8"/>
      <c r="Y21" s="8"/>
      <c r="Z21" s="8"/>
    </row>
    <row r="22" spans="1:26" ht="12.75">
      <c r="A22" s="11">
        <v>43747.321180555555</v>
      </c>
      <c r="B22" s="12" t="str">
        <f>HYPERLINK("https://twitter.com/AhmetZeytinci","@AhmetZeytinci")</f>
        <v>@AhmetZeytinci</v>
      </c>
      <c r="C22" s="7" t="s">
        <v>229</v>
      </c>
      <c r="D22" s="7" t="s">
        <v>230</v>
      </c>
      <c r="E22" s="12" t="str">
        <f>HYPERLINK("https://twitter.com/AhmetZeytinci/status/1181943020402413568","1181943020402413568")</f>
        <v>1181943020402413568</v>
      </c>
      <c r="F22" s="8"/>
      <c r="G22" s="7"/>
      <c r="H22" s="8"/>
      <c r="I22" s="15">
        <v>0</v>
      </c>
      <c r="J22" s="15">
        <v>0</v>
      </c>
      <c r="K22" s="12" t="str">
        <f>HYPERLINK("http://twitter.com/download/android","Twitter for Android")</f>
        <v>Twitter for Android</v>
      </c>
      <c r="L22" s="16">
        <v>369</v>
      </c>
      <c r="M22" s="16">
        <v>365</v>
      </c>
      <c r="N22" s="16">
        <v>2</v>
      </c>
      <c r="O22" s="17"/>
      <c r="P22" s="18">
        <v>40937.171597222223</v>
      </c>
      <c r="Q22" s="7" t="s">
        <v>234</v>
      </c>
      <c r="R22" s="7" t="s">
        <v>235</v>
      </c>
      <c r="S22" s="7"/>
      <c r="T22" s="8"/>
      <c r="U22" s="19" t="str">
        <f>HYPERLINK("https://pbs.twimg.com/profile_images/1167126296217997312/votkLZNV.jpg","View")</f>
        <v>View</v>
      </c>
      <c r="V22" s="8"/>
      <c r="W22" s="8"/>
      <c r="X22" s="8"/>
      <c r="Y22" s="8"/>
      <c r="Z22" s="8"/>
    </row>
    <row r="23" spans="1:26" ht="12.75">
      <c r="A23" s="11">
        <v>43747.321134259255</v>
      </c>
      <c r="B23" s="12" t="str">
        <f>HYPERLINK("https://twitter.com/hkncann","@hkncann")</f>
        <v>@hkncann</v>
      </c>
      <c r="C23" s="7" t="s">
        <v>236</v>
      </c>
      <c r="D23" s="7" t="s">
        <v>237</v>
      </c>
      <c r="E23" s="12" t="str">
        <f>HYPERLINK("https://twitter.com/hkncann/status/1181943003734253568","1181943003734253568")</f>
        <v>1181943003734253568</v>
      </c>
      <c r="F23" s="8"/>
      <c r="G23" s="15"/>
      <c r="H23" s="8"/>
      <c r="I23" s="15">
        <v>0</v>
      </c>
      <c r="J23" s="15">
        <v>1</v>
      </c>
      <c r="K23" s="12" t="str">
        <f>HYPERLINK("http://twitter.com/download/android","Twitter for Android")</f>
        <v>Twitter for Android</v>
      </c>
      <c r="L23" s="16">
        <v>721</v>
      </c>
      <c r="M23" s="16">
        <v>237</v>
      </c>
      <c r="N23" s="16">
        <v>1</v>
      </c>
      <c r="O23" s="17"/>
      <c r="P23" s="18">
        <v>40700.067314814813</v>
      </c>
      <c r="Q23" s="7" t="s">
        <v>241</v>
      </c>
      <c r="R23" s="7" t="s">
        <v>242</v>
      </c>
      <c r="S23" s="14" t="s">
        <v>243</v>
      </c>
      <c r="T23" s="8"/>
      <c r="U23" s="19" t="str">
        <f>HYPERLINK("https://pbs.twimg.com/profile_images/1166836551277580288/gY-L4qgk.jpg","View")</f>
        <v>View</v>
      </c>
      <c r="V23" s="8"/>
      <c r="W23" s="8"/>
      <c r="X23" s="8"/>
      <c r="Y23" s="8"/>
      <c r="Z23" s="8"/>
    </row>
    <row r="24" spans="1:26" ht="12.75">
      <c r="A24" s="11">
        <v>43747.321099537032</v>
      </c>
      <c r="B24" s="12" t="str">
        <f>HYPERLINK("https://twitter.com/Zeynep_Yoruk0","@Zeynep_Yoruk0")</f>
        <v>@Zeynep_Yoruk0</v>
      </c>
      <c r="C24" s="7" t="s">
        <v>246</v>
      </c>
      <c r="D24" s="7" t="s">
        <v>247</v>
      </c>
      <c r="E24" s="12" t="str">
        <f>HYPERLINK("https://twitter.com/Zeynep_Yoruk0/status/1181942990450892800","1181942990450892800")</f>
        <v>1181942990450892800</v>
      </c>
      <c r="F24" s="8"/>
      <c r="G24" s="14" t="s">
        <v>248</v>
      </c>
      <c r="H24" s="8"/>
      <c r="I24" s="15">
        <v>0</v>
      </c>
      <c r="J24" s="15">
        <v>0</v>
      </c>
      <c r="K24" s="12" t="str">
        <f>HYPERLINK("http://twitter.com/download/android","Twitter for Android")</f>
        <v>Twitter for Android</v>
      </c>
      <c r="L24" s="16">
        <v>1076</v>
      </c>
      <c r="M24" s="16">
        <v>1837</v>
      </c>
      <c r="N24" s="16">
        <v>0</v>
      </c>
      <c r="O24" s="17"/>
      <c r="P24" s="18">
        <v>42278.374930555554</v>
      </c>
      <c r="Q24" s="7" t="s">
        <v>252</v>
      </c>
      <c r="R24" s="7" t="s">
        <v>253</v>
      </c>
      <c r="S24" s="7"/>
      <c r="T24" s="8"/>
      <c r="U24" s="19" t="str">
        <f>HYPERLINK("https://pbs.twimg.com/profile_images/1107377188637159426/Hzz-7VKA.png","View")</f>
        <v>View</v>
      </c>
      <c r="V24" s="8"/>
      <c r="W24" s="8"/>
      <c r="X24" s="8"/>
      <c r="Y24" s="8"/>
      <c r="Z24" s="8"/>
    </row>
    <row r="25" spans="1:26" ht="12.75">
      <c r="A25" s="11">
        <v>43747.321076388893</v>
      </c>
      <c r="B25" s="12" t="str">
        <f>HYPERLINK("https://twitter.com/ugrfrn","@ugrfrn")</f>
        <v>@ugrfrn</v>
      </c>
      <c r="C25" s="7" t="s">
        <v>257</v>
      </c>
      <c r="D25" s="7" t="s">
        <v>258</v>
      </c>
      <c r="E25" s="12" t="str">
        <f>HYPERLINK("https://twitter.com/ugrfrn/status/1181942982817267716","1181942982817267716")</f>
        <v>1181942982817267716</v>
      </c>
      <c r="F25" s="8"/>
      <c r="G25" s="14" t="s">
        <v>259</v>
      </c>
      <c r="H25" s="8"/>
      <c r="I25" s="15">
        <v>0</v>
      </c>
      <c r="J25" s="15">
        <v>2</v>
      </c>
      <c r="K25" s="12" t="str">
        <f>HYPERLINK("http://twitter.com","Twitter Web Client")</f>
        <v>Twitter Web Client</v>
      </c>
      <c r="L25" s="16">
        <v>177</v>
      </c>
      <c r="M25" s="16">
        <v>121</v>
      </c>
      <c r="N25" s="16">
        <v>1</v>
      </c>
      <c r="O25" s="17"/>
      <c r="P25" s="18">
        <v>42011.495416666672</v>
      </c>
      <c r="Q25" s="7"/>
      <c r="R25" s="7" t="s">
        <v>262</v>
      </c>
      <c r="S25" s="15"/>
      <c r="T25" s="8"/>
      <c r="U25" s="19" t="str">
        <f>HYPERLINK("https://pbs.twimg.com/profile_images/568885495095386113/gjcoqmo2.jpeg","View")</f>
        <v>View</v>
      </c>
      <c r="V25" s="8"/>
      <c r="W25" s="8"/>
      <c r="X25" s="8"/>
      <c r="Y25" s="8"/>
      <c r="Z25" s="8"/>
    </row>
    <row r="26" spans="1:26" ht="12.75">
      <c r="A26" s="11">
        <v>43747.321053240739</v>
      </c>
      <c r="B26" s="12" t="str">
        <f>HYPERLINK("https://twitter.com/vatanseveriz1","@vatanseveriz1")</f>
        <v>@vatanseveriz1</v>
      </c>
      <c r="C26" s="7" t="s">
        <v>264</v>
      </c>
      <c r="D26" s="7" t="s">
        <v>265</v>
      </c>
      <c r="E26" s="12" t="str">
        <f>HYPERLINK("https://twitter.com/vatanseveriz1/status/1181942974852341760","1181942974852341760")</f>
        <v>1181942974852341760</v>
      </c>
      <c r="F26" s="8"/>
      <c r="G26" s="14" t="s">
        <v>266</v>
      </c>
      <c r="H26" s="8"/>
      <c r="I26" s="15">
        <v>0</v>
      </c>
      <c r="J26" s="15">
        <v>2</v>
      </c>
      <c r="K26" s="12" t="str">
        <f>HYPERLINK("http://twitter.com/download/iphone","Twitter for iPhone")</f>
        <v>Twitter for iPhone</v>
      </c>
      <c r="L26" s="16">
        <v>3935</v>
      </c>
      <c r="M26" s="16">
        <v>1539</v>
      </c>
      <c r="N26" s="16">
        <v>2</v>
      </c>
      <c r="O26" s="17"/>
      <c r="P26" s="18">
        <v>41284.219988425924</v>
      </c>
      <c r="Q26" s="7" t="s">
        <v>267</v>
      </c>
      <c r="R26" s="7" t="s">
        <v>268</v>
      </c>
      <c r="S26" s="7"/>
      <c r="T26" s="8"/>
      <c r="U26" s="19" t="str">
        <f>HYPERLINK("https://pbs.twimg.com/profile_images/823249226205368320/OiT_yJ57.jpg","View")</f>
        <v>View</v>
      </c>
      <c r="V26" s="8"/>
      <c r="W26" s="8"/>
      <c r="X26" s="8"/>
      <c r="Y26" s="8"/>
      <c r="Z26" s="8"/>
    </row>
    <row r="27" spans="1:26" ht="12.75">
      <c r="A27" s="11">
        <v>43747.32104166667</v>
      </c>
      <c r="B27" s="12" t="str">
        <f>HYPERLINK("https://twitter.com/PsikologPand","@PsikologPand")</f>
        <v>@PsikologPand</v>
      </c>
      <c r="C27" s="7" t="s">
        <v>272</v>
      </c>
      <c r="D27" s="7" t="s">
        <v>273</v>
      </c>
      <c r="E27" s="12" t="str">
        <f>HYPERLINK("https://twitter.com/PsikologPand/status/1181942972029571080","1181942972029571080")</f>
        <v>1181942972029571080</v>
      </c>
      <c r="F27" s="8"/>
      <c r="G27" s="14" t="s">
        <v>274</v>
      </c>
      <c r="H27" s="8"/>
      <c r="I27" s="15">
        <v>0</v>
      </c>
      <c r="J27" s="15">
        <v>1</v>
      </c>
      <c r="K27" s="12" t="str">
        <f>HYPERLINK("http://twitter.com/download/android","Twitter for Android")</f>
        <v>Twitter for Android</v>
      </c>
      <c r="L27" s="16">
        <v>553</v>
      </c>
      <c r="M27" s="16">
        <v>1158</v>
      </c>
      <c r="N27" s="16">
        <v>5</v>
      </c>
      <c r="O27" s="17"/>
      <c r="P27" s="18">
        <v>43590.115266203706</v>
      </c>
      <c r="Q27" s="7"/>
      <c r="R27" s="7" t="s">
        <v>278</v>
      </c>
      <c r="S27" s="7"/>
      <c r="T27" s="8"/>
      <c r="U27" s="19" t="str">
        <f>HYPERLINK("https://pbs.twimg.com/profile_images/1125032106776723457/_QWTsDKx.jpg","View")</f>
        <v>View</v>
      </c>
      <c r="V27" s="8"/>
      <c r="W27" s="8"/>
      <c r="X27" s="8"/>
      <c r="Y27" s="8"/>
      <c r="Z27" s="8"/>
    </row>
    <row r="28" spans="1:26" ht="12.75">
      <c r="A28" s="11">
        <v>43747.32099537037</v>
      </c>
      <c r="B28" s="12" t="str">
        <f>HYPERLINK("https://twitter.com/GizliDosya06","@GizliDosya06")</f>
        <v>@GizliDosya06</v>
      </c>
      <c r="C28" s="7" t="s">
        <v>283</v>
      </c>
      <c r="D28" s="7" t="s">
        <v>285</v>
      </c>
      <c r="E28" s="12" t="str">
        <f>HYPERLINK("https://twitter.com/GizliDosya06/status/1181942954396651527","1181942954396651527")</f>
        <v>1181942954396651527</v>
      </c>
      <c r="F28" s="8"/>
      <c r="G28" s="15"/>
      <c r="H28" s="8"/>
      <c r="I28" s="15">
        <v>4</v>
      </c>
      <c r="J28" s="15">
        <v>14</v>
      </c>
      <c r="K28" s="12" t="str">
        <f>HYPERLINK("http://twitter.com/download/android","Twitter for Android")</f>
        <v>Twitter for Android</v>
      </c>
      <c r="L28" s="16">
        <v>11777</v>
      </c>
      <c r="M28" s="16">
        <v>94</v>
      </c>
      <c r="N28" s="16">
        <v>33</v>
      </c>
      <c r="O28" s="17"/>
      <c r="P28" s="18">
        <v>42559.841678240744</v>
      </c>
      <c r="Q28" s="7" t="s">
        <v>287</v>
      </c>
      <c r="R28" s="7" t="s">
        <v>288</v>
      </c>
      <c r="S28" s="14" t="s">
        <v>289</v>
      </c>
      <c r="T28" s="8"/>
      <c r="U28" s="19" t="str">
        <f>HYPERLINK("https://pbs.twimg.com/profile_images/1180090942444969984/3Im_J0SH.jpg","View")</f>
        <v>View</v>
      </c>
      <c r="V28" s="8"/>
      <c r="W28" s="8"/>
      <c r="X28" s="8"/>
      <c r="Y28" s="8"/>
      <c r="Z28" s="8"/>
    </row>
    <row r="29" spans="1:26" ht="12.75">
      <c r="A29" s="11">
        <v>43747.320844907408</v>
      </c>
      <c r="B29" s="12" t="str">
        <f>HYPERLINK("https://twitter.com/s_kutsall","@s_kutsall")</f>
        <v>@s_kutsall</v>
      </c>
      <c r="C29" s="7" t="s">
        <v>290</v>
      </c>
      <c r="D29" s="7" t="s">
        <v>291</v>
      </c>
      <c r="E29" s="12" t="str">
        <f>HYPERLINK("https://twitter.com/s_kutsall/status/1181942901489754112","1181942901489754112")</f>
        <v>1181942901489754112</v>
      </c>
      <c r="F29" s="8"/>
      <c r="G29" s="14" t="s">
        <v>292</v>
      </c>
      <c r="H29" s="8"/>
      <c r="I29" s="15">
        <v>0</v>
      </c>
      <c r="J29" s="15">
        <v>2</v>
      </c>
      <c r="K29" s="12" t="str">
        <f>HYPERLINK("http://twitter.com/download/iphone","Twitter for iPhone")</f>
        <v>Twitter for iPhone</v>
      </c>
      <c r="L29" s="16">
        <v>3144</v>
      </c>
      <c r="M29" s="16">
        <v>2323</v>
      </c>
      <c r="N29" s="16">
        <v>3</v>
      </c>
      <c r="O29" s="17"/>
      <c r="P29" s="18">
        <v>42497.360636574071</v>
      </c>
      <c r="Q29" s="7" t="s">
        <v>296</v>
      </c>
      <c r="R29" s="7" t="s">
        <v>297</v>
      </c>
      <c r="S29" s="14" t="s">
        <v>298</v>
      </c>
      <c r="T29" s="8"/>
      <c r="U29" s="19" t="str">
        <f>HYPERLINK("https://pbs.twimg.com/profile_images/1178741755472166914/d5oiKlEd.jpg","View")</f>
        <v>View</v>
      </c>
      <c r="V29" s="8"/>
      <c r="W29" s="8"/>
      <c r="X29" s="8"/>
      <c r="Y29" s="8"/>
      <c r="Z29" s="8"/>
    </row>
    <row r="30" spans="1:26" ht="12.75">
      <c r="A30" s="11">
        <v>43747.320798611108</v>
      </c>
      <c r="B30" s="12" t="str">
        <f>HYPERLINK("https://twitter.com/Cagiran_fz","@Cagiran_fz")</f>
        <v>@Cagiran_fz</v>
      </c>
      <c r="C30" s="7" t="s">
        <v>301</v>
      </c>
      <c r="D30" s="7" t="s">
        <v>302</v>
      </c>
      <c r="E30" s="12" t="str">
        <f>HYPERLINK("https://twitter.com/Cagiran_fz/status/1181942882128859136","1181942882128859136")</f>
        <v>1181942882128859136</v>
      </c>
      <c r="F30" s="8"/>
      <c r="G30" s="14" t="s">
        <v>304</v>
      </c>
      <c r="H30" s="8"/>
      <c r="I30" s="15">
        <v>0</v>
      </c>
      <c r="J30" s="15">
        <v>0</v>
      </c>
      <c r="K30" s="12" t="str">
        <f>HYPERLINK("https://mobile.twitter.com","Twitter Web App")</f>
        <v>Twitter Web App</v>
      </c>
      <c r="L30" s="16">
        <v>645</v>
      </c>
      <c r="M30" s="16">
        <v>618</v>
      </c>
      <c r="N30" s="16">
        <v>6</v>
      </c>
      <c r="O30" s="17"/>
      <c r="P30" s="18">
        <v>42138.625543981485</v>
      </c>
      <c r="Q30" s="7"/>
      <c r="R30" s="7" t="s">
        <v>307</v>
      </c>
      <c r="S30" s="15"/>
      <c r="T30" s="8"/>
      <c r="U30" s="19" t="str">
        <f>HYPERLINK("https://pbs.twimg.com/profile_images/1153713233901051904/VjKk4_0z.jpg","View")</f>
        <v>View</v>
      </c>
      <c r="V30" s="8"/>
      <c r="W30" s="8"/>
      <c r="X30" s="8"/>
      <c r="Y30" s="8"/>
      <c r="Z30" s="8"/>
    </row>
    <row r="31" spans="1:26" ht="12.75">
      <c r="A31" s="11">
        <v>43747.320717592593</v>
      </c>
      <c r="B31" s="12" t="str">
        <f>HYPERLINK("https://twitter.com/meyupturker","@meyupturker")</f>
        <v>@meyupturker</v>
      </c>
      <c r="C31" s="7" t="s">
        <v>309</v>
      </c>
      <c r="D31" s="7" t="s">
        <v>310</v>
      </c>
      <c r="E31" s="12" t="str">
        <f>HYPERLINK("https://twitter.com/meyupturker/status/1181942855918657536","1181942855918657536")</f>
        <v>1181942855918657536</v>
      </c>
      <c r="F31" s="8"/>
      <c r="G31" s="7"/>
      <c r="H31" s="8"/>
      <c r="I31" s="15">
        <v>0</v>
      </c>
      <c r="J31" s="15">
        <v>1</v>
      </c>
      <c r="K31" s="12" t="str">
        <f>HYPERLINK("https://mobile.twitter.com","Twitter Web App")</f>
        <v>Twitter Web App</v>
      </c>
      <c r="L31" s="16">
        <v>23</v>
      </c>
      <c r="M31" s="16">
        <v>45</v>
      </c>
      <c r="N31" s="16">
        <v>0</v>
      </c>
      <c r="O31" s="17"/>
      <c r="P31" s="18">
        <v>41696.313090277778</v>
      </c>
      <c r="Q31" s="7" t="s">
        <v>313</v>
      </c>
      <c r="R31" s="7"/>
      <c r="S31" s="15"/>
      <c r="T31" s="8"/>
      <c r="U31" s="19" t="str">
        <f>HYPERLINK("https://pbs.twimg.com/profile_images/1048877796850913281/N3cWNtN9.jpg","View")</f>
        <v>View</v>
      </c>
      <c r="V31" s="8"/>
      <c r="W31" s="8"/>
      <c r="X31" s="8"/>
      <c r="Y31" s="8"/>
      <c r="Z31" s="8"/>
    </row>
    <row r="32" spans="1:26" ht="12.75">
      <c r="A32" s="11">
        <v>43747.3206712963</v>
      </c>
      <c r="B32" s="12" t="str">
        <f>HYPERLINK("https://twitter.com/celal_aydogan","@celal_aydogan")</f>
        <v>@celal_aydogan</v>
      </c>
      <c r="C32" s="7" t="s">
        <v>315</v>
      </c>
      <c r="D32" s="7" t="s">
        <v>316</v>
      </c>
      <c r="E32" s="12" t="str">
        <f>HYPERLINK("https://twitter.com/celal_aydogan/status/1181942835815358467","1181942835815358467")</f>
        <v>1181942835815358467</v>
      </c>
      <c r="F32" s="8"/>
      <c r="G32" s="15"/>
      <c r="H32" s="8"/>
      <c r="I32" s="15">
        <v>0</v>
      </c>
      <c r="J32" s="15">
        <v>0</v>
      </c>
      <c r="K32" s="12" t="str">
        <f>HYPERLINK("http://twitter.com/download/iphone","Twitter for iPhone")</f>
        <v>Twitter for iPhone</v>
      </c>
      <c r="L32" s="16">
        <v>49</v>
      </c>
      <c r="M32" s="16">
        <v>128</v>
      </c>
      <c r="N32" s="16">
        <v>0</v>
      </c>
      <c r="O32" s="17"/>
      <c r="P32" s="18">
        <v>40842.084849537037</v>
      </c>
      <c r="Q32" s="7"/>
      <c r="R32" s="7"/>
      <c r="S32" s="15"/>
      <c r="T32" s="8"/>
      <c r="U32" s="19" t="str">
        <f>HYPERLINK("https://pbs.twimg.com/profile_images/840301699642380289/KpZs1rol.jpg","View")</f>
        <v>View</v>
      </c>
      <c r="V32" s="8"/>
      <c r="W32" s="8"/>
      <c r="X32" s="8"/>
      <c r="Y32" s="8"/>
      <c r="Z32" s="8"/>
    </row>
    <row r="33" spans="1:26" ht="12.75">
      <c r="A33" s="11">
        <v>43747.320613425924</v>
      </c>
      <c r="B33" s="12" t="str">
        <f>HYPERLINK("https://twitter.com/panoptikons","@panoptikons")</f>
        <v>@panoptikons</v>
      </c>
      <c r="C33" s="7" t="s">
        <v>320</v>
      </c>
      <c r="D33" s="7" t="s">
        <v>321</v>
      </c>
      <c r="E33" s="12" t="str">
        <f>HYPERLINK("https://twitter.com/panoptikons/status/1181942816085352448","1181942816085352448")</f>
        <v>1181942816085352448</v>
      </c>
      <c r="F33" s="8"/>
      <c r="G33" s="14" t="s">
        <v>322</v>
      </c>
      <c r="H33" s="8"/>
      <c r="I33" s="15">
        <v>0</v>
      </c>
      <c r="J33" s="15">
        <v>7</v>
      </c>
      <c r="K33" s="12" t="str">
        <f>HYPERLINK("http://twitter.com/download/iphone","Twitter for iPhone")</f>
        <v>Twitter for iPhone</v>
      </c>
      <c r="L33" s="16">
        <v>90107</v>
      </c>
      <c r="M33" s="16">
        <v>72131</v>
      </c>
      <c r="N33" s="16">
        <v>25</v>
      </c>
      <c r="O33" s="17"/>
      <c r="P33" s="18">
        <v>42928.531909722224</v>
      </c>
      <c r="Q33" s="7" t="s">
        <v>313</v>
      </c>
      <c r="R33" s="7" t="s">
        <v>326</v>
      </c>
      <c r="S33" s="7"/>
      <c r="T33" s="8"/>
      <c r="U33" s="19" t="str">
        <f>HYPERLINK("https://pbs.twimg.com/profile_images/1128676212631638017/dnpqbP6y.jpg","View")</f>
        <v>View</v>
      </c>
      <c r="V33" s="8"/>
      <c r="W33" s="8"/>
      <c r="X33" s="8"/>
      <c r="Y33" s="8"/>
      <c r="Z33" s="8"/>
    </row>
    <row r="34" spans="1:26" ht="12.75">
      <c r="A34" s="11">
        <v>43747.320613425924</v>
      </c>
      <c r="B34" s="12" t="str">
        <f>HYPERLINK("https://twitter.com/1_ORDU1071","@1_ORDU1071")</f>
        <v>@1_ORDU1071</v>
      </c>
      <c r="C34" s="7" t="s">
        <v>327</v>
      </c>
      <c r="D34" s="7" t="s">
        <v>328</v>
      </c>
      <c r="E34" s="12" t="str">
        <f>HYPERLINK("https://twitter.com/1_ORDU1071/status/1181942815900786689","1181942815900786689")</f>
        <v>1181942815900786689</v>
      </c>
      <c r="F34" s="8"/>
      <c r="G34" s="7"/>
      <c r="H34" s="8"/>
      <c r="I34" s="15">
        <v>1</v>
      </c>
      <c r="J34" s="15">
        <v>3</v>
      </c>
      <c r="K34" s="12" t="str">
        <f>HYPERLINK("http://twitter.com/download/android","Twitter for Android")</f>
        <v>Twitter for Android</v>
      </c>
      <c r="L34" s="16">
        <v>1086</v>
      </c>
      <c r="M34" s="16">
        <v>617</v>
      </c>
      <c r="N34" s="16">
        <v>3</v>
      </c>
      <c r="O34" s="17"/>
      <c r="P34" s="18">
        <v>43657.705960648149</v>
      </c>
      <c r="Q34" s="7" t="s">
        <v>313</v>
      </c>
      <c r="R34" s="7" t="s">
        <v>332</v>
      </c>
      <c r="S34" s="7"/>
      <c r="T34" s="8"/>
      <c r="U34" s="19" t="str">
        <f>HYPERLINK("https://pbs.twimg.com/profile_images/1180482621417164800/RTP6axJJ.jpg","View")</f>
        <v>View</v>
      </c>
      <c r="V34" s="8"/>
      <c r="W34" s="8"/>
      <c r="X34" s="8"/>
      <c r="Y34" s="8"/>
      <c r="Z34" s="8"/>
    </row>
    <row r="35" spans="1:26" ht="12.75">
      <c r="A35" s="11">
        <v>43747.320520833338</v>
      </c>
      <c r="B35" s="12" t="str">
        <f>HYPERLINK("https://twitter.com/himat35261317","@himat35261317")</f>
        <v>@himat35261317</v>
      </c>
      <c r="C35" s="7" t="s">
        <v>339</v>
      </c>
      <c r="D35" s="7" t="s">
        <v>340</v>
      </c>
      <c r="E35" s="12" t="str">
        <f>HYPERLINK("https://twitter.com/himat35261317/status/1181942781897560064","1181942781897560064")</f>
        <v>1181942781897560064</v>
      </c>
      <c r="F35" s="8"/>
      <c r="G35" s="7"/>
      <c r="H35" s="8"/>
      <c r="I35" s="15">
        <v>0</v>
      </c>
      <c r="J35" s="15">
        <v>0</v>
      </c>
      <c r="K35" s="12" t="str">
        <f>HYPERLINK("http://twitter.com/download/iphone","Twitter for iPhone")</f>
        <v>Twitter for iPhone</v>
      </c>
      <c r="L35" s="16">
        <v>1041</v>
      </c>
      <c r="M35" s="16">
        <v>86</v>
      </c>
      <c r="N35" s="16">
        <v>9</v>
      </c>
      <c r="O35" s="17"/>
      <c r="P35" s="18">
        <v>43520.174363425926</v>
      </c>
      <c r="Q35" s="7"/>
      <c r="R35" s="7" t="s">
        <v>343</v>
      </c>
      <c r="S35" s="7"/>
      <c r="T35" s="8"/>
      <c r="U35" s="19" t="str">
        <f>HYPERLINK("https://pbs.twimg.com/profile_images/1099644553294987264/6U9OIClO.jpg","View")</f>
        <v>View</v>
      </c>
      <c r="V35" s="8"/>
      <c r="W35" s="8"/>
      <c r="X35" s="8"/>
      <c r="Y35" s="8"/>
      <c r="Z35" s="8"/>
    </row>
    <row r="36" spans="1:26" ht="12.75">
      <c r="A36" s="11">
        <v>43747.320381944446</v>
      </c>
      <c r="B36" s="12" t="str">
        <f>HYPERLINK("https://twitter.com/knnmarasli","@knnmarasli")</f>
        <v>@knnmarasli</v>
      </c>
      <c r="C36" s="7" t="s">
        <v>345</v>
      </c>
      <c r="D36" s="7" t="s">
        <v>346</v>
      </c>
      <c r="E36" s="12" t="str">
        <f>HYPERLINK("https://twitter.com/knnmarasli/status/1181942733428137984","1181942733428137984")</f>
        <v>1181942733428137984</v>
      </c>
      <c r="F36" s="8"/>
      <c r="G36" s="14" t="s">
        <v>347</v>
      </c>
      <c r="H36" s="8"/>
      <c r="I36" s="15">
        <v>0</v>
      </c>
      <c r="J36" s="15">
        <v>0</v>
      </c>
      <c r="K36" s="12" t="str">
        <f>HYPERLINK("http://twitter.com/download/android","Twitter for Android")</f>
        <v>Twitter for Android</v>
      </c>
      <c r="L36" s="16">
        <v>14422</v>
      </c>
      <c r="M36" s="16">
        <v>230</v>
      </c>
      <c r="N36" s="16">
        <v>19</v>
      </c>
      <c r="O36" s="17"/>
      <c r="P36" s="18">
        <v>41948.62096064815</v>
      </c>
      <c r="Q36" s="7" t="s">
        <v>351</v>
      </c>
      <c r="R36" s="7" t="s">
        <v>352</v>
      </c>
      <c r="S36" s="14" t="s">
        <v>353</v>
      </c>
      <c r="T36" s="8"/>
      <c r="U36" s="19" t="str">
        <f>HYPERLINK("https://pbs.twimg.com/profile_images/1165563613001781249/LtfNkkHV.jpg","View")</f>
        <v>View</v>
      </c>
      <c r="V36" s="8"/>
      <c r="W36" s="8"/>
      <c r="X36" s="8"/>
      <c r="Y36" s="8"/>
      <c r="Z36" s="8"/>
    </row>
    <row r="37" spans="1:26" ht="12.75">
      <c r="A37" s="11">
        <v>43747.320381944446</v>
      </c>
      <c r="B37" s="12" t="str">
        <f>HYPERLINK("https://twitter.com/MKAysL","@MKAysL")</f>
        <v>@MKAysL</v>
      </c>
      <c r="C37" s="7" t="s">
        <v>357</v>
      </c>
      <c r="D37" s="7" t="s">
        <v>359</v>
      </c>
      <c r="E37" s="12" t="str">
        <f>HYPERLINK("https://twitter.com/MKAysL/status/1181942731838496768","1181942731838496768")</f>
        <v>1181942731838496768</v>
      </c>
      <c r="F37" s="8"/>
      <c r="G37" s="14" t="s">
        <v>360</v>
      </c>
      <c r="H37" s="8"/>
      <c r="I37" s="15">
        <v>0</v>
      </c>
      <c r="J37" s="15">
        <v>7</v>
      </c>
      <c r="K37" s="12" t="str">
        <f>HYPERLINK("http://twitter.com/download/iphone","Twitter for iPhone")</f>
        <v>Twitter for iPhone</v>
      </c>
      <c r="L37" s="16">
        <v>2328</v>
      </c>
      <c r="M37" s="16">
        <v>1092</v>
      </c>
      <c r="N37" s="16">
        <v>5</v>
      </c>
      <c r="O37" s="17"/>
      <c r="P37" s="18">
        <v>43459.924178240741</v>
      </c>
      <c r="Q37" s="7"/>
      <c r="R37" s="7" t="s">
        <v>361</v>
      </c>
      <c r="S37" s="14" t="s">
        <v>363</v>
      </c>
      <c r="T37" s="8"/>
      <c r="U37" s="19" t="str">
        <f>HYPERLINK("https://pbs.twimg.com/profile_images/1175778088556335109/PZuxLaZh.jpg","View")</f>
        <v>View</v>
      </c>
      <c r="V37" s="8"/>
      <c r="W37" s="8"/>
      <c r="X37" s="8"/>
      <c r="Y37" s="8"/>
      <c r="Z37" s="8"/>
    </row>
    <row r="38" spans="1:26" ht="12.75">
      <c r="A38" s="11">
        <v>43747.320185185185</v>
      </c>
      <c r="B38" s="12" t="str">
        <f>HYPERLINK("https://twitter.com/HalilSaldiz35","@HalilSaldiz35")</f>
        <v>@HalilSaldiz35</v>
      </c>
      <c r="C38" s="7" t="s">
        <v>413</v>
      </c>
      <c r="D38" s="7" t="s">
        <v>414</v>
      </c>
      <c r="E38" s="12" t="str">
        <f>HYPERLINK("https://twitter.com/HalilSaldiz35/status/1181942662460522496","1181942662460522496")</f>
        <v>1181942662460522496</v>
      </c>
      <c r="F38" s="8"/>
      <c r="G38" s="14" t="s">
        <v>415</v>
      </c>
      <c r="H38" s="8"/>
      <c r="I38" s="15">
        <v>1</v>
      </c>
      <c r="J38" s="15">
        <v>6</v>
      </c>
      <c r="K38" s="12" t="str">
        <f>HYPERLINK("http://twitter.com/download/android","Twitter for Android")</f>
        <v>Twitter for Android</v>
      </c>
      <c r="L38" s="16">
        <v>319</v>
      </c>
      <c r="M38" s="16">
        <v>94</v>
      </c>
      <c r="N38" s="16">
        <v>5</v>
      </c>
      <c r="O38" s="17"/>
      <c r="P38" s="18">
        <v>42196.263657407406</v>
      </c>
      <c r="Q38" s="7" t="s">
        <v>80</v>
      </c>
      <c r="R38" s="7" t="s">
        <v>419</v>
      </c>
      <c r="S38" s="14" t="s">
        <v>420</v>
      </c>
      <c r="T38" s="8"/>
      <c r="U38" s="19" t="str">
        <f>HYPERLINK("https://pbs.twimg.com/profile_images/1145601670786801664/ADNOeKy8.jpg","View")</f>
        <v>View</v>
      </c>
      <c r="V38" s="8"/>
      <c r="W38" s="8"/>
      <c r="X38" s="8"/>
      <c r="Y38" s="8"/>
      <c r="Z38" s="8"/>
    </row>
    <row r="39" spans="1:26" ht="12.75">
      <c r="A39" s="11">
        <v>43747.320150462961</v>
      </c>
      <c r="B39" s="12" t="str">
        <f>HYPERLINK("https://twitter.com/AbdulWahabAzam","@AbdulWahabAzam")</f>
        <v>@AbdulWahabAzam</v>
      </c>
      <c r="C39" s="7" t="s">
        <v>424</v>
      </c>
      <c r="D39" s="7" t="s">
        <v>425</v>
      </c>
      <c r="E39" s="12" t="str">
        <f>HYPERLINK("https://twitter.com/AbdulWahabAzam/status/1181942647436566528","1181942647436566528")</f>
        <v>1181942647436566528</v>
      </c>
      <c r="F39" s="8"/>
      <c r="G39" s="14" t="s">
        <v>426</v>
      </c>
      <c r="H39" s="8"/>
      <c r="I39" s="15">
        <v>0</v>
      </c>
      <c r="J39" s="15">
        <v>0</v>
      </c>
      <c r="K39" s="12" t="str">
        <f>HYPERLINK("http://twitter.com/download/android","Twitter for Android")</f>
        <v>Twitter for Android</v>
      </c>
      <c r="L39" s="16">
        <v>9</v>
      </c>
      <c r="M39" s="16">
        <v>80</v>
      </c>
      <c r="N39" s="16">
        <v>0</v>
      </c>
      <c r="O39" s="17"/>
      <c r="P39" s="18">
        <v>43261.157824074078</v>
      </c>
      <c r="Q39" s="7"/>
      <c r="R39" s="7" t="s">
        <v>430</v>
      </c>
      <c r="S39" s="7"/>
      <c r="T39" s="8"/>
      <c r="U39" s="19" t="str">
        <f>HYPERLINK("https://pbs.twimg.com/profile_images/1161575310573416449/5sa4HeNQ.jpg","View")</f>
        <v>View</v>
      </c>
      <c r="V39" s="8"/>
      <c r="W39" s="8"/>
      <c r="X39" s="8"/>
      <c r="Y39" s="8"/>
      <c r="Z39" s="8"/>
    </row>
    <row r="40" spans="1:26" ht="12.75">
      <c r="A40" s="11">
        <v>43747.320127314815</v>
      </c>
      <c r="B40" s="12" t="str">
        <f>HYPERLINK("https://twitter.com/umutsykan","@umutsykan")</f>
        <v>@umutsykan</v>
      </c>
      <c r="C40" s="7" t="s">
        <v>431</v>
      </c>
      <c r="D40" s="7" t="s">
        <v>432</v>
      </c>
      <c r="E40" s="12" t="str">
        <f>HYPERLINK("https://twitter.com/umutsykan/status/1181942640398483457","1181942640398483457")</f>
        <v>1181942640398483457</v>
      </c>
      <c r="F40" s="8"/>
      <c r="G40" s="15"/>
      <c r="H40" s="8"/>
      <c r="I40" s="15">
        <v>0</v>
      </c>
      <c r="J40" s="15">
        <v>4</v>
      </c>
      <c r="K40" s="12" t="str">
        <f>HYPERLINK("http://twitter.com/download/iphone","Twitter for iPhone")</f>
        <v>Twitter for iPhone</v>
      </c>
      <c r="L40" s="16">
        <v>3923</v>
      </c>
      <c r="M40" s="16">
        <v>3459</v>
      </c>
      <c r="N40" s="16">
        <v>0</v>
      </c>
      <c r="O40" s="17"/>
      <c r="P40" s="18">
        <v>41348.533645833333</v>
      </c>
      <c r="Q40" s="7" t="s">
        <v>436</v>
      </c>
      <c r="R40" s="7" t="s">
        <v>437</v>
      </c>
      <c r="S40" s="14" t="s">
        <v>438</v>
      </c>
      <c r="T40" s="8"/>
      <c r="U40" s="19" t="str">
        <f>HYPERLINK("https://pbs.twimg.com/profile_images/1179007577411276801/rnBhHyGk.jpg","View")</f>
        <v>View</v>
      </c>
      <c r="V40" s="8"/>
      <c r="W40" s="8"/>
      <c r="X40" s="8"/>
      <c r="Y40" s="8"/>
      <c r="Z40" s="8"/>
    </row>
    <row r="41" spans="1:26" ht="12.75">
      <c r="A41" s="11">
        <v>43747.320092592592</v>
      </c>
      <c r="B41" s="12" t="str">
        <f>HYPERLINK("https://twitter.com/suat_kir","@suat_kir")</f>
        <v>@suat_kir</v>
      </c>
      <c r="C41" s="7" t="s">
        <v>440</v>
      </c>
      <c r="D41" s="7" t="s">
        <v>442</v>
      </c>
      <c r="E41" s="12" t="str">
        <f>HYPERLINK("https://twitter.com/suat_kir/status/1181942628889350146","1181942628889350146")</f>
        <v>1181942628889350146</v>
      </c>
      <c r="F41" s="8"/>
      <c r="G41" s="15"/>
      <c r="H41" s="8"/>
      <c r="I41" s="15">
        <v>1</v>
      </c>
      <c r="J41" s="15">
        <v>14</v>
      </c>
      <c r="K41" s="12" t="str">
        <f>HYPERLINK("http://twitter.com/download/android","Twitter for Android")</f>
        <v>Twitter for Android</v>
      </c>
      <c r="L41" s="16">
        <v>12702</v>
      </c>
      <c r="M41" s="16">
        <v>7210</v>
      </c>
      <c r="N41" s="16">
        <v>9</v>
      </c>
      <c r="O41" s="17"/>
      <c r="P41" s="18">
        <v>40846.138888888891</v>
      </c>
      <c r="Q41" s="7" t="s">
        <v>445</v>
      </c>
      <c r="R41" s="7" t="s">
        <v>446</v>
      </c>
      <c r="S41" s="15"/>
      <c r="T41" s="8"/>
      <c r="U41" s="19" t="str">
        <f>HYPERLINK("https://pbs.twimg.com/profile_images/1181564536358346753/GyX0aPDv.jpg","View")</f>
        <v>View</v>
      </c>
      <c r="V41" s="8"/>
      <c r="W41" s="8"/>
      <c r="X41" s="8"/>
      <c r="Y41" s="8"/>
      <c r="Z41" s="8"/>
    </row>
    <row r="42" spans="1:26" ht="12.75">
      <c r="A42" s="11">
        <v>43747.320081018523</v>
      </c>
      <c r="B42" s="12" t="str">
        <f>HYPERLINK("https://twitter.com/esterqon","@esterqon")</f>
        <v>@esterqon</v>
      </c>
      <c r="C42" s="7" t="s">
        <v>447</v>
      </c>
      <c r="D42" s="7" t="s">
        <v>448</v>
      </c>
      <c r="E42" s="12" t="str">
        <f>HYPERLINK("https://twitter.com/esterqon/status/1181942624787283968","1181942624787283968")</f>
        <v>1181942624787283968</v>
      </c>
      <c r="F42" s="8"/>
      <c r="G42" s="14" t="s">
        <v>451</v>
      </c>
      <c r="H42" s="8"/>
      <c r="I42" s="15">
        <v>0</v>
      </c>
      <c r="J42" s="15">
        <v>8</v>
      </c>
      <c r="K42" s="12" t="str">
        <f>HYPERLINK("http://twitter.com/download/iphone","Twitter for iPhone")</f>
        <v>Twitter for iPhone</v>
      </c>
      <c r="L42" s="16">
        <v>6343</v>
      </c>
      <c r="M42" s="16">
        <v>403</v>
      </c>
      <c r="N42" s="16">
        <v>9</v>
      </c>
      <c r="O42" s="17"/>
      <c r="P42" s="18">
        <v>42371.389768518522</v>
      </c>
      <c r="Q42" s="7"/>
      <c r="R42" s="7" t="s">
        <v>453</v>
      </c>
      <c r="S42" s="15"/>
      <c r="T42" s="8"/>
      <c r="U42" s="19" t="str">
        <f>HYPERLINK("https://pbs.twimg.com/profile_images/1163437542978592768/FHiZjMMK.png","View")</f>
        <v>View</v>
      </c>
      <c r="V42" s="8"/>
      <c r="W42" s="8"/>
      <c r="X42" s="8"/>
      <c r="Y42" s="8"/>
      <c r="Z42" s="8"/>
    </row>
    <row r="43" spans="1:26" ht="12.75">
      <c r="A43" s="11">
        <v>43747.3200462963</v>
      </c>
      <c r="B43" s="12" t="str">
        <f>HYPERLINK("https://twitter.com/Ebalikci34","@Ebalikci34")</f>
        <v>@Ebalikci34</v>
      </c>
      <c r="C43" s="7" t="s">
        <v>460</v>
      </c>
      <c r="D43" s="7" t="s">
        <v>461</v>
      </c>
      <c r="E43" s="12" t="str">
        <f>HYPERLINK("https://twitter.com/Ebalikci34/status/1181942612800004098","1181942612800004098")</f>
        <v>1181942612800004098</v>
      </c>
      <c r="F43" s="8"/>
      <c r="G43" s="14" t="s">
        <v>462</v>
      </c>
      <c r="H43" s="8"/>
      <c r="I43" s="15">
        <v>0</v>
      </c>
      <c r="J43" s="15">
        <v>1</v>
      </c>
      <c r="K43" s="12" t="str">
        <f>HYPERLINK("http://twitter.com/download/iphone","Twitter for iPhone")</f>
        <v>Twitter for iPhone</v>
      </c>
      <c r="L43" s="16">
        <v>1599</v>
      </c>
      <c r="M43" s="16">
        <v>702</v>
      </c>
      <c r="N43" s="16">
        <v>4</v>
      </c>
      <c r="O43" s="17"/>
      <c r="P43" s="18">
        <v>40190.172372685185</v>
      </c>
      <c r="Q43" s="7" t="s">
        <v>466</v>
      </c>
      <c r="R43" s="7" t="s">
        <v>467</v>
      </c>
      <c r="S43" s="15"/>
      <c r="T43" s="8"/>
      <c r="U43" s="19" t="str">
        <f>HYPERLINK("https://pbs.twimg.com/profile_images/1159063572997201926/DP0wSZ6a.jpg","View")</f>
        <v>View</v>
      </c>
      <c r="V43" s="8"/>
      <c r="W43" s="8"/>
      <c r="X43" s="8"/>
      <c r="Y43" s="8"/>
      <c r="Z43" s="8"/>
    </row>
    <row r="44" spans="1:26" ht="12.75">
      <c r="A44" s="11">
        <v>43747.3199537037</v>
      </c>
      <c r="B44" s="12" t="str">
        <f>HYPERLINK("https://twitter.com/omerfaruk_eco","@omerfaruk_eco")</f>
        <v>@omerfaruk_eco</v>
      </c>
      <c r="C44" s="7" t="s">
        <v>470</v>
      </c>
      <c r="D44" s="7" t="s">
        <v>471</v>
      </c>
      <c r="E44" s="12" t="str">
        <f>HYPERLINK("https://twitter.com/omerfaruk_eco/status/1181942578343755776","1181942578343755776")</f>
        <v>1181942578343755776</v>
      </c>
      <c r="F44" s="14" t="s">
        <v>473</v>
      </c>
      <c r="G44" s="15"/>
      <c r="H44" s="8"/>
      <c r="I44" s="15">
        <v>0</v>
      </c>
      <c r="J44" s="15">
        <v>1</v>
      </c>
      <c r="K44" s="12" t="str">
        <f>HYPERLINK("https://mobile.twitter.com","Twitter Web App")</f>
        <v>Twitter Web App</v>
      </c>
      <c r="L44" s="16">
        <v>809</v>
      </c>
      <c r="M44" s="16">
        <v>712</v>
      </c>
      <c r="N44" s="16">
        <v>9</v>
      </c>
      <c r="O44" s="17"/>
      <c r="P44" s="18">
        <v>42483.549768518518</v>
      </c>
      <c r="Q44" s="7" t="s">
        <v>313</v>
      </c>
      <c r="R44" s="7" t="s">
        <v>474</v>
      </c>
      <c r="S44" s="15"/>
      <c r="T44" s="8"/>
      <c r="U44" s="19" t="str">
        <f>HYPERLINK("https://pbs.twimg.com/profile_images/1130418122492645376/5r4bYEbC.jpg","View")</f>
        <v>View</v>
      </c>
      <c r="V44" s="8"/>
      <c r="W44" s="8"/>
      <c r="X44" s="8"/>
      <c r="Y44" s="8"/>
      <c r="Z44" s="8"/>
    </row>
    <row r="45" spans="1:26" ht="12.75">
      <c r="A45" s="11">
        <v>43747.319837962961</v>
      </c>
      <c r="B45" s="12" t="str">
        <f>HYPERLINK("https://twitter.com/yecbro","@yecbro")</f>
        <v>@yecbro</v>
      </c>
      <c r="C45" s="7" t="s">
        <v>481</v>
      </c>
      <c r="D45" s="7" t="s">
        <v>482</v>
      </c>
      <c r="E45" s="12" t="str">
        <f>HYPERLINK("https://twitter.com/yecbro/status/1181942533426941953","1181942533426941953")</f>
        <v>1181942533426941953</v>
      </c>
      <c r="F45" s="8"/>
      <c r="G45" s="14" t="s">
        <v>483</v>
      </c>
      <c r="H45" s="8"/>
      <c r="I45" s="15">
        <v>0</v>
      </c>
      <c r="J45" s="15">
        <v>3</v>
      </c>
      <c r="K45" s="12" t="str">
        <f>HYPERLINK("http://twitter.com/download/iphone","Twitter for iPhone")</f>
        <v>Twitter for iPhone</v>
      </c>
      <c r="L45" s="16">
        <v>1887</v>
      </c>
      <c r="M45" s="16">
        <v>184</v>
      </c>
      <c r="N45" s="16">
        <v>2</v>
      </c>
      <c r="O45" s="17"/>
      <c r="P45" s="18">
        <v>40817.125231481477</v>
      </c>
      <c r="Q45" s="7"/>
      <c r="R45" s="7"/>
      <c r="S45" s="14" t="s">
        <v>487</v>
      </c>
      <c r="T45" s="8"/>
      <c r="U45" s="19" t="str">
        <f>HYPERLINK("https://pbs.twimg.com/profile_images/1177659545981800448/lrqX5GEN.jpg","View")</f>
        <v>View</v>
      </c>
      <c r="V45" s="8"/>
      <c r="W45" s="8"/>
      <c r="X45" s="8"/>
      <c r="Y45" s="8"/>
      <c r="Z45" s="8"/>
    </row>
    <row r="46" spans="1:26" ht="12.75">
      <c r="A46" s="11">
        <v>43747.319814814815</v>
      </c>
      <c r="B46" s="12" t="str">
        <f>HYPERLINK("https://twitter.com/yusuf37559431","@yusuf37559431")</f>
        <v>@yusuf37559431</v>
      </c>
      <c r="C46" s="7" t="s">
        <v>491</v>
      </c>
      <c r="D46" s="7" t="s">
        <v>492</v>
      </c>
      <c r="E46" s="12" t="str">
        <f>HYPERLINK("https://twitter.com/yusuf37559431/status/1181942526183391238","1181942526183391238")</f>
        <v>1181942526183391238</v>
      </c>
      <c r="F46" s="8"/>
      <c r="G46" s="7"/>
      <c r="H46" s="8"/>
      <c r="I46" s="15">
        <v>0</v>
      </c>
      <c r="J46" s="15">
        <v>0</v>
      </c>
      <c r="K46" s="12" t="str">
        <f>HYPERLINK("http://twitter.com/download/android","Twitter for Android")</f>
        <v>Twitter for Android</v>
      </c>
      <c r="L46" s="16">
        <v>13</v>
      </c>
      <c r="M46" s="16">
        <v>148</v>
      </c>
      <c r="N46" s="16">
        <v>0</v>
      </c>
      <c r="O46" s="17"/>
      <c r="P46" s="18">
        <v>43745.17591435185</v>
      </c>
      <c r="Q46" s="7"/>
      <c r="R46" s="7"/>
      <c r="S46" s="15"/>
      <c r="T46" s="8"/>
      <c r="U46" s="19" t="str">
        <f>HYPERLINK("https://pbs.twimg.com/profile_images/1181177502041088000/cxCIwdm3.jpg","View")</f>
        <v>View</v>
      </c>
      <c r="V46" s="8"/>
      <c r="W46" s="8"/>
      <c r="X46" s="8"/>
      <c r="Y46" s="8"/>
      <c r="Z46" s="8"/>
    </row>
    <row r="47" spans="1:26" ht="12.75">
      <c r="A47" s="11">
        <v>43747.319756944446</v>
      </c>
      <c r="B47" s="12" t="str">
        <f>HYPERLINK("https://twitter.com/18Handela","@18Handela")</f>
        <v>@18Handela</v>
      </c>
      <c r="C47" s="7" t="s">
        <v>496</v>
      </c>
      <c r="D47" s="7" t="s">
        <v>497</v>
      </c>
      <c r="E47" s="12" t="str">
        <f>HYPERLINK("https://twitter.com/18Handela/status/1181942507090976768","1181942507090976768")</f>
        <v>1181942507090976768</v>
      </c>
      <c r="F47" s="8"/>
      <c r="G47" s="7"/>
      <c r="H47" s="8"/>
      <c r="I47" s="15">
        <v>0</v>
      </c>
      <c r="J47" s="15">
        <v>0</v>
      </c>
      <c r="K47" s="12" t="str">
        <f>HYPERLINK("http://twitter.com/download/android","Twitter for Android")</f>
        <v>Twitter for Android</v>
      </c>
      <c r="L47" s="16">
        <v>242</v>
      </c>
      <c r="M47" s="16">
        <v>51</v>
      </c>
      <c r="N47" s="16">
        <v>0</v>
      </c>
      <c r="O47" s="17"/>
      <c r="P47" s="18">
        <v>42102.289571759262</v>
      </c>
      <c r="Q47" s="7" t="s">
        <v>498</v>
      </c>
      <c r="R47" s="7" t="s">
        <v>499</v>
      </c>
      <c r="S47" s="7"/>
      <c r="T47" s="8"/>
      <c r="U47" s="19" t="str">
        <f>HYPERLINK("https://pbs.twimg.com/profile_images/1181884193866952704/AqG1CIYM.jpg","View")</f>
        <v>View</v>
      </c>
      <c r="V47" s="8"/>
      <c r="W47" s="8"/>
      <c r="X47" s="8"/>
      <c r="Y47" s="8"/>
      <c r="Z47" s="8"/>
    </row>
    <row r="48" spans="1:26" ht="12.75">
      <c r="A48" s="11">
        <v>43747.31967592593</v>
      </c>
      <c r="B48" s="12" t="str">
        <f>HYPERLINK("https://twitter.com/VuralSelimoglu","@VuralSelimoglu")</f>
        <v>@VuralSelimoglu</v>
      </c>
      <c r="C48" s="7" t="s">
        <v>502</v>
      </c>
      <c r="D48" s="7" t="s">
        <v>504</v>
      </c>
      <c r="E48" s="12" t="str">
        <f>HYPERLINK("https://twitter.com/VuralSelimoglu/status/1181942477621780481","1181942477621780481")</f>
        <v>1181942477621780481</v>
      </c>
      <c r="F48" s="8"/>
      <c r="G48" s="15"/>
      <c r="H48" s="8"/>
      <c r="I48" s="15">
        <v>0</v>
      </c>
      <c r="J48" s="15">
        <v>0</v>
      </c>
      <c r="K48" s="12" t="str">
        <f>HYPERLINK("http://twitter.com/download/android","Twitter for Android")</f>
        <v>Twitter for Android</v>
      </c>
      <c r="L48" s="16">
        <v>135</v>
      </c>
      <c r="M48" s="16">
        <v>149</v>
      </c>
      <c r="N48" s="16">
        <v>0</v>
      </c>
      <c r="O48" s="17"/>
      <c r="P48" s="18">
        <v>40656.411412037036</v>
      </c>
      <c r="Q48" s="7"/>
      <c r="R48" s="7"/>
      <c r="S48" s="7"/>
      <c r="T48" s="8"/>
      <c r="U48" s="19" t="str">
        <f>HYPERLINK("https://pbs.twimg.com/profile_images/758384883882418177/wnF8oECe.jpg","View")</f>
        <v>View</v>
      </c>
      <c r="V48" s="8"/>
      <c r="W48" s="8"/>
      <c r="X48" s="8"/>
      <c r="Y48" s="8"/>
      <c r="Z48" s="8"/>
    </row>
    <row r="49" spans="1:26" ht="12.75">
      <c r="A49" s="11">
        <v>43747.319571759261</v>
      </c>
      <c r="B49" s="12" t="str">
        <f>HYPERLINK("https://twitter.com/personaylin","@personaylin")</f>
        <v>@personaylin</v>
      </c>
      <c r="C49" s="7" t="s">
        <v>514</v>
      </c>
      <c r="D49" s="7" t="s">
        <v>515</v>
      </c>
      <c r="E49" s="12" t="str">
        <f>HYPERLINK("https://twitter.com/personaylin/status/1181942437977178113","1181942437977178113")</f>
        <v>1181942437977178113</v>
      </c>
      <c r="F49" s="8"/>
      <c r="G49" s="15"/>
      <c r="H49" s="8"/>
      <c r="I49" s="15">
        <v>0</v>
      </c>
      <c r="J49" s="15">
        <v>0</v>
      </c>
      <c r="K49" s="12" t="str">
        <f>HYPERLINK("http://twitter.com/download/android","Twitter for Android")</f>
        <v>Twitter for Android</v>
      </c>
      <c r="L49" s="16">
        <v>38</v>
      </c>
      <c r="M49" s="16">
        <v>58</v>
      </c>
      <c r="N49" s="16">
        <v>1</v>
      </c>
      <c r="O49" s="17"/>
      <c r="P49" s="18">
        <v>43448.480613425927</v>
      </c>
      <c r="Q49" s="7" t="s">
        <v>518</v>
      </c>
      <c r="R49" s="7" t="s">
        <v>519</v>
      </c>
      <c r="S49" s="7"/>
      <c r="T49" s="8"/>
      <c r="U49" s="19" t="str">
        <f>HYPERLINK("https://pbs.twimg.com/profile_images/1177540807718555648/7HdUCQFV.jpg","View")</f>
        <v>View</v>
      </c>
      <c r="V49" s="8"/>
      <c r="W49" s="8"/>
      <c r="X49" s="8"/>
      <c r="Y49" s="8"/>
      <c r="Z49" s="8"/>
    </row>
    <row r="50" spans="1:26" ht="12.75">
      <c r="A50" s="11">
        <v>43747.319513888884</v>
      </c>
      <c r="B50" s="12" t="str">
        <f>HYPERLINK("https://twitter.com/personachae","@personachae")</f>
        <v>@personachae</v>
      </c>
      <c r="C50" s="7" t="s">
        <v>521</v>
      </c>
      <c r="D50" s="7" t="s">
        <v>522</v>
      </c>
      <c r="E50" s="12" t="str">
        <f>HYPERLINK("https://twitter.com/personachae/status/1181942416187809794","1181942416187809794")</f>
        <v>1181942416187809794</v>
      </c>
      <c r="F50" s="8"/>
      <c r="G50" s="15"/>
      <c r="H50" s="8"/>
      <c r="I50" s="15">
        <v>0</v>
      </c>
      <c r="J50" s="15">
        <v>1</v>
      </c>
      <c r="K50" s="12" t="str">
        <f>HYPERLINK("http://twitter.com/download/iphone","Twitter for iPhone")</f>
        <v>Twitter for iPhone</v>
      </c>
      <c r="L50" s="16">
        <v>621</v>
      </c>
      <c r="M50" s="16">
        <v>306</v>
      </c>
      <c r="N50" s="16">
        <v>8</v>
      </c>
      <c r="O50" s="17"/>
      <c r="P50" s="18">
        <v>43555.536250000005</v>
      </c>
      <c r="Q50" s="7" t="s">
        <v>525</v>
      </c>
      <c r="R50" s="7"/>
      <c r="S50" s="14" t="s">
        <v>526</v>
      </c>
      <c r="T50" s="8"/>
      <c r="U50" s="19" t="str">
        <f>HYPERLINK("https://pbs.twimg.com/profile_images/1180483493635219456/VSz1jc-B.jpg","View")</f>
        <v>View</v>
      </c>
      <c r="V50" s="8"/>
      <c r="W50" s="8"/>
      <c r="X50" s="8"/>
      <c r="Y50" s="8"/>
      <c r="Z50" s="8"/>
    </row>
    <row r="51" spans="1:26" ht="12.75">
      <c r="A51" s="11">
        <v>43747.319467592592</v>
      </c>
      <c r="B51" s="12" t="str">
        <f>HYPERLINK("https://twitter.com/thearmyofwolf","@thearmyofwolf")</f>
        <v>@thearmyofwolf</v>
      </c>
      <c r="C51" s="7" t="s">
        <v>528</v>
      </c>
      <c r="D51" s="7" t="s">
        <v>529</v>
      </c>
      <c r="E51" s="12" t="str">
        <f>HYPERLINK("https://twitter.com/thearmyofwolf/status/1181942399158964225","1181942399158964225")</f>
        <v>1181942399158964225</v>
      </c>
      <c r="F51" s="15"/>
      <c r="G51" s="14" t="s">
        <v>531</v>
      </c>
      <c r="H51" s="8"/>
      <c r="I51" s="15">
        <v>0</v>
      </c>
      <c r="J51" s="15">
        <v>0</v>
      </c>
      <c r="K51" s="12" t="str">
        <f>HYPERLINK("http://twitter.com/download/iphone","Twitter for iPhone")</f>
        <v>Twitter for iPhone</v>
      </c>
      <c r="L51" s="16">
        <v>5</v>
      </c>
      <c r="M51" s="16">
        <v>21</v>
      </c>
      <c r="N51" s="16">
        <v>0</v>
      </c>
      <c r="O51" s="17"/>
      <c r="P51" s="18">
        <v>43396.453263888892</v>
      </c>
      <c r="Q51" s="7"/>
      <c r="R51" s="7" t="s">
        <v>533</v>
      </c>
      <c r="S51" s="7"/>
      <c r="T51" s="8"/>
      <c r="U51" s="19" t="str">
        <f>HYPERLINK("https://pbs.twimg.com/profile_images/1169796686161555461/5TZhreDl.jpg","View")</f>
        <v>View</v>
      </c>
      <c r="V51" s="8"/>
      <c r="W51" s="8"/>
      <c r="X51" s="8"/>
      <c r="Y51" s="8"/>
      <c r="Z51" s="8"/>
    </row>
    <row r="52" spans="1:26" ht="12.75">
      <c r="A52" s="11">
        <v>43747.319328703699</v>
      </c>
      <c r="B52" s="12" t="str">
        <f>HYPERLINK("https://twitter.com/OrrhanGazii","@OrrhanGazii")</f>
        <v>@OrrhanGazii</v>
      </c>
      <c r="C52" s="7" t="s">
        <v>542</v>
      </c>
      <c r="D52" s="7" t="s">
        <v>545</v>
      </c>
      <c r="E52" s="12" t="str">
        <f>HYPERLINK("https://twitter.com/OrrhanGazii/status/1181942352140816385","1181942352140816385")</f>
        <v>1181942352140816385</v>
      </c>
      <c r="F52" s="8"/>
      <c r="G52" s="14" t="s">
        <v>547</v>
      </c>
      <c r="H52" s="8"/>
      <c r="I52" s="15">
        <v>0</v>
      </c>
      <c r="J52" s="15">
        <v>0</v>
      </c>
      <c r="K52" s="12" t="str">
        <f>HYPERLINK("http://twitter.com/download/android","Twitter for Android")</f>
        <v>Twitter for Android</v>
      </c>
      <c r="L52" s="16">
        <v>175</v>
      </c>
      <c r="M52" s="16">
        <v>315</v>
      </c>
      <c r="N52" s="16">
        <v>0</v>
      </c>
      <c r="O52" s="17"/>
      <c r="P52" s="18">
        <v>40798.613113425927</v>
      </c>
      <c r="Q52" s="7"/>
      <c r="R52" s="7" t="s">
        <v>548</v>
      </c>
      <c r="S52" s="14" t="s">
        <v>549</v>
      </c>
      <c r="T52" s="8"/>
      <c r="U52" s="19" t="str">
        <f>HYPERLINK("https://pbs.twimg.com/profile_images/1168531684955971585/-r7pT8IC.jpg","View")</f>
        <v>View</v>
      </c>
      <c r="V52" s="8"/>
      <c r="W52" s="8"/>
      <c r="X52" s="8"/>
      <c r="Y52" s="8"/>
      <c r="Z52" s="8"/>
    </row>
    <row r="53" spans="1:26" ht="12.75">
      <c r="A53" s="11">
        <v>43747.319131944445</v>
      </c>
      <c r="B53" s="12" t="str">
        <f>HYPERLINK("https://twitter.com/AkGazeteTurkiye","@AkGazeteTurkiye")</f>
        <v>@AkGazeteTurkiye</v>
      </c>
      <c r="C53" s="7" t="s">
        <v>553</v>
      </c>
      <c r="D53" s="7" t="s">
        <v>554</v>
      </c>
      <c r="E53" s="12" t="str">
        <f>HYPERLINK("https://twitter.com/AkGazeteTurkiye/status/1181942278413271043","1181942278413271043")</f>
        <v>1181942278413271043</v>
      </c>
      <c r="F53" s="14" t="s">
        <v>557</v>
      </c>
      <c r="G53" s="14" t="s">
        <v>559</v>
      </c>
      <c r="H53" s="8"/>
      <c r="I53" s="15">
        <v>2</v>
      </c>
      <c r="J53" s="15">
        <v>2</v>
      </c>
      <c r="K53" s="12" t="str">
        <f>HYPERLINK("https://mobile.twitter.com","Twitter Web App")</f>
        <v>Twitter Web App</v>
      </c>
      <c r="L53" s="16">
        <v>85159</v>
      </c>
      <c r="M53" s="16">
        <v>72846</v>
      </c>
      <c r="N53" s="16">
        <v>110</v>
      </c>
      <c r="O53" s="17"/>
      <c r="P53" s="18">
        <v>42105.508888888886</v>
      </c>
      <c r="Q53" s="7" t="s">
        <v>313</v>
      </c>
      <c r="R53" s="7" t="s">
        <v>553</v>
      </c>
      <c r="S53" s="14" t="s">
        <v>562</v>
      </c>
      <c r="T53" s="8"/>
      <c r="U53" s="19" t="str">
        <f>HYPERLINK("https://pbs.twimg.com/profile_images/967744004602425344/w2pUyORr.jpg","View")</f>
        <v>View</v>
      </c>
      <c r="V53" s="8"/>
      <c r="W53" s="8"/>
      <c r="X53" s="8"/>
      <c r="Y53" s="8"/>
      <c r="Z53" s="8"/>
    </row>
    <row r="54" spans="1:26" ht="12.75">
      <c r="A54" s="11">
        <v>43747.319085648152</v>
      </c>
      <c r="B54" s="12" t="str">
        <f>HYPERLINK("https://twitter.com/haticeealtunn","@haticeealtunn")</f>
        <v>@haticeealtunn</v>
      </c>
      <c r="C54" s="7" t="s">
        <v>565</v>
      </c>
      <c r="D54" s="7" t="s">
        <v>566</v>
      </c>
      <c r="E54" s="12" t="str">
        <f>HYPERLINK("https://twitter.com/haticeealtunn/status/1181942261736718343","1181942261736718343")</f>
        <v>1181942261736718343</v>
      </c>
      <c r="F54" s="8"/>
      <c r="G54" s="14" t="s">
        <v>567</v>
      </c>
      <c r="H54" s="8"/>
      <c r="I54" s="15">
        <v>0</v>
      </c>
      <c r="J54" s="15">
        <v>2</v>
      </c>
      <c r="K54" s="12" t="str">
        <f>HYPERLINK("http://twitter.com/download/android","Twitter for Android")</f>
        <v>Twitter for Android</v>
      </c>
      <c r="L54" s="16">
        <v>67</v>
      </c>
      <c r="M54" s="16">
        <v>49</v>
      </c>
      <c r="N54" s="16">
        <v>0</v>
      </c>
      <c r="O54" s="17"/>
      <c r="P54" s="18">
        <v>42733.431307870371</v>
      </c>
      <c r="Q54" s="7"/>
      <c r="R54" s="7"/>
      <c r="S54" s="7"/>
      <c r="T54" s="8"/>
      <c r="U54" s="19" t="str">
        <f>HYPERLINK("https://pbs.twimg.com/profile_images/1104099189934440449/b5L7gA7_.jpg","View")</f>
        <v>View</v>
      </c>
      <c r="V54" s="8"/>
      <c r="W54" s="8"/>
      <c r="X54" s="8"/>
      <c r="Y54" s="8"/>
      <c r="Z54" s="8"/>
    </row>
    <row r="55" spans="1:26" ht="12.75">
      <c r="A55" s="11">
        <v>43747.318969907406</v>
      </c>
      <c r="B55" s="12" t="str">
        <f>HYPERLINK("https://twitter.com/irfanikkk","@irfanikkk")</f>
        <v>@irfanikkk</v>
      </c>
      <c r="C55" s="7" t="s">
        <v>573</v>
      </c>
      <c r="D55" s="7" t="s">
        <v>574</v>
      </c>
      <c r="E55" s="12" t="str">
        <f>HYPERLINK("https://twitter.com/irfanikkk/status/1181942222146736130","1181942222146736130")</f>
        <v>1181942222146736130</v>
      </c>
      <c r="F55" s="8"/>
      <c r="G55" s="7"/>
      <c r="H55" s="8"/>
      <c r="I55" s="15">
        <v>0</v>
      </c>
      <c r="J55" s="15">
        <v>1</v>
      </c>
      <c r="K55" s="12" t="str">
        <f>HYPERLINK("http://twitter.com/download/iphone","Twitter for iPhone")</f>
        <v>Twitter for iPhone</v>
      </c>
      <c r="L55" s="16">
        <v>248</v>
      </c>
      <c r="M55" s="16">
        <v>105</v>
      </c>
      <c r="N55" s="16">
        <v>0</v>
      </c>
      <c r="O55" s="17"/>
      <c r="P55" s="18">
        <v>41236.438020833331</v>
      </c>
      <c r="Q55" s="7" t="s">
        <v>576</v>
      </c>
      <c r="R55" s="7" t="s">
        <v>577</v>
      </c>
      <c r="S55" s="7"/>
      <c r="T55" s="8"/>
      <c r="U55" s="19" t="str">
        <f>HYPERLINK("https://pbs.twimg.com/profile_images/1166814589301997569/jhkIQAPi.jpg","View")</f>
        <v>View</v>
      </c>
      <c r="V55" s="8"/>
      <c r="W55" s="8"/>
      <c r="X55" s="8"/>
      <c r="Y55" s="8"/>
      <c r="Z55" s="8"/>
    </row>
    <row r="56" spans="1:26" ht="12.75">
      <c r="A56" s="11">
        <v>43747.31894675926</v>
      </c>
      <c r="B56" s="12" t="str">
        <f>HYPERLINK("https://twitter.com/muhalifsair_e","@muhalifsair_e")</f>
        <v>@muhalifsair_e</v>
      </c>
      <c r="C56" s="7" t="s">
        <v>578</v>
      </c>
      <c r="D56" s="7" t="s">
        <v>579</v>
      </c>
      <c r="E56" s="12" t="str">
        <f>HYPERLINK("https://twitter.com/muhalifsair_e/status/1181942212596260865","1181942212596260865")</f>
        <v>1181942212596260865</v>
      </c>
      <c r="F56" s="8"/>
      <c r="G56" s="14" t="s">
        <v>580</v>
      </c>
      <c r="H56" s="8"/>
      <c r="I56" s="15">
        <v>0</v>
      </c>
      <c r="J56" s="15">
        <v>0</v>
      </c>
      <c r="K56" s="12" t="str">
        <f>HYPERLINK("http://twitter.com/download/android","Twitter for Android")</f>
        <v>Twitter for Android</v>
      </c>
      <c r="L56" s="16">
        <v>551</v>
      </c>
      <c r="M56" s="16">
        <v>586</v>
      </c>
      <c r="N56" s="16">
        <v>0</v>
      </c>
      <c r="O56" s="17"/>
      <c r="P56" s="18">
        <v>42369.607858796298</v>
      </c>
      <c r="Q56" s="7" t="s">
        <v>200</v>
      </c>
      <c r="R56" s="7" t="s">
        <v>581</v>
      </c>
      <c r="S56" s="7"/>
      <c r="T56" s="8"/>
      <c r="U56" s="19" t="str">
        <f>HYPERLINK("https://pbs.twimg.com/profile_images/993936959662907392/vfEso7Cm.jpg","View")</f>
        <v>View</v>
      </c>
      <c r="V56" s="8"/>
      <c r="W56" s="8"/>
      <c r="X56" s="8"/>
      <c r="Y56" s="8"/>
      <c r="Z56" s="8"/>
    </row>
    <row r="57" spans="1:26" ht="12.75">
      <c r="A57" s="11">
        <v>43747.318877314814</v>
      </c>
      <c r="B57" s="12" t="str">
        <f>HYPERLINK("https://twitter.com/mdagli_","@mdagli_")</f>
        <v>@mdagli_</v>
      </c>
      <c r="C57" s="7" t="s">
        <v>582</v>
      </c>
      <c r="D57" s="13" t="s">
        <v>583</v>
      </c>
      <c r="E57" s="12" t="str">
        <f>HYPERLINK("https://twitter.com/mdagli_/status/1181942187380150272","1181942187380150272")</f>
        <v>1181942187380150272</v>
      </c>
      <c r="F57" s="14" t="s">
        <v>584</v>
      </c>
      <c r="G57" s="14" t="s">
        <v>585</v>
      </c>
      <c r="H57" s="8"/>
      <c r="I57" s="15">
        <v>0</v>
      </c>
      <c r="J57" s="15">
        <v>0</v>
      </c>
      <c r="K57" s="12" t="str">
        <f>HYPERLINK("https://mobile.twitter.com","Twitter Web App")</f>
        <v>Twitter Web App</v>
      </c>
      <c r="L57" s="16">
        <v>89</v>
      </c>
      <c r="M57" s="16">
        <v>480</v>
      </c>
      <c r="N57" s="16">
        <v>0</v>
      </c>
      <c r="O57" s="17"/>
      <c r="P57" s="18">
        <v>42915.470706018517</v>
      </c>
      <c r="Q57" s="7"/>
      <c r="R57" s="13"/>
      <c r="S57" s="14" t="s">
        <v>586</v>
      </c>
      <c r="T57" s="8"/>
      <c r="U57" s="19" t="str">
        <f>HYPERLINK("https://pbs.twimg.com/profile_images/880493748861513728/5K8sTndA.jpg","View")</f>
        <v>View</v>
      </c>
      <c r="V57" s="8"/>
      <c r="W57" s="8"/>
      <c r="X57" s="8"/>
      <c r="Y57" s="8"/>
      <c r="Z57" s="8"/>
    </row>
    <row r="58" spans="1:26" ht="12.75">
      <c r="A58" s="11">
        <v>43747.318773148145</v>
      </c>
      <c r="B58" s="12" t="str">
        <f>HYPERLINK("https://twitter.com/Gettunoiu","@Gettunoiu")</f>
        <v>@Gettunoiu</v>
      </c>
      <c r="C58" s="7" t="s">
        <v>590</v>
      </c>
      <c r="D58" s="7" t="s">
        <v>591</v>
      </c>
      <c r="E58" s="12" t="str">
        <f>HYPERLINK("https://twitter.com/Gettunoiu/status/1181942147328684033","1181942147328684033")</f>
        <v>1181942147328684033</v>
      </c>
      <c r="F58" s="8"/>
      <c r="G58" s="14" t="s">
        <v>592</v>
      </c>
      <c r="H58" s="8"/>
      <c r="I58" s="15">
        <v>0</v>
      </c>
      <c r="J58" s="15">
        <v>0</v>
      </c>
      <c r="K58" s="12" t="str">
        <f>HYPERLINK("https://mobile.twitter.com","Twitter Web App")</f>
        <v>Twitter Web App</v>
      </c>
      <c r="L58" s="16">
        <v>863</v>
      </c>
      <c r="M58" s="16">
        <v>1215</v>
      </c>
      <c r="N58" s="16">
        <v>14</v>
      </c>
      <c r="O58" s="17"/>
      <c r="P58" s="18">
        <v>40250.158043981479</v>
      </c>
      <c r="Q58" s="7" t="s">
        <v>595</v>
      </c>
      <c r="R58" s="7" t="s">
        <v>596</v>
      </c>
      <c r="S58" s="7"/>
      <c r="T58" s="8"/>
      <c r="U58" s="19" t="str">
        <f>HYPERLINK("https://pbs.twimg.com/profile_images/1180147257481535488/a9C0o8rJ.jpg","View")</f>
        <v>View</v>
      </c>
      <c r="V58" s="8"/>
      <c r="W58" s="8"/>
      <c r="X58" s="8"/>
      <c r="Y58" s="8"/>
      <c r="Z58" s="8"/>
    </row>
    <row r="59" spans="1:26" ht="12.75">
      <c r="A59" s="11">
        <v>43747.318761574075</v>
      </c>
      <c r="B59" s="12" t="str">
        <f>HYPERLINK("https://twitter.com/gulsen_konus","@gulsen_konus")</f>
        <v>@gulsen_konus</v>
      </c>
      <c r="C59" s="7" t="s">
        <v>598</v>
      </c>
      <c r="D59" s="7" t="s">
        <v>599</v>
      </c>
      <c r="E59" s="12" t="str">
        <f>HYPERLINK("https://twitter.com/gulsen_konus/status/1181942143176384512","1181942143176384512")</f>
        <v>1181942143176384512</v>
      </c>
      <c r="F59" s="8"/>
      <c r="G59" s="7"/>
      <c r="H59" s="8"/>
      <c r="I59" s="15">
        <v>0</v>
      </c>
      <c r="J59" s="15">
        <v>0</v>
      </c>
      <c r="K59" s="12" t="str">
        <f>HYPERLINK("http://twitter.com/download/android","Twitter for Android")</f>
        <v>Twitter for Android</v>
      </c>
      <c r="L59" s="16">
        <v>64</v>
      </c>
      <c r="M59" s="16">
        <v>195</v>
      </c>
      <c r="N59" s="16">
        <v>0</v>
      </c>
      <c r="O59" s="17"/>
      <c r="P59" s="18">
        <v>43298.385312500002</v>
      </c>
      <c r="Q59" s="7" t="s">
        <v>80</v>
      </c>
      <c r="R59" s="7" t="s">
        <v>602</v>
      </c>
      <c r="S59" s="15"/>
      <c r="T59" s="8"/>
      <c r="U59" s="19" t="str">
        <f>HYPERLINK("https://pbs.twimg.com/profile_images/1089181891859755009/KCsBJp00.jpg","View")</f>
        <v>View</v>
      </c>
      <c r="V59" s="8"/>
      <c r="W59" s="8"/>
      <c r="X59" s="8"/>
      <c r="Y59" s="8"/>
      <c r="Z59" s="8"/>
    </row>
    <row r="60" spans="1:26" ht="12.75">
      <c r="A60" s="11">
        <v>43747.318703703699</v>
      </c>
      <c r="B60" s="12" t="str">
        <f>HYPERLINK("https://twitter.com/vuralilhan","@vuralilhan")</f>
        <v>@vuralilhan</v>
      </c>
      <c r="C60" s="7" t="s">
        <v>604</v>
      </c>
      <c r="D60" s="7" t="s">
        <v>605</v>
      </c>
      <c r="E60" s="12" t="str">
        <f>HYPERLINK("https://twitter.com/vuralilhan/status/1181942125484810241","1181942125484810241")</f>
        <v>1181942125484810241</v>
      </c>
      <c r="F60" s="8"/>
      <c r="G60" s="14" t="s">
        <v>606</v>
      </c>
      <c r="H60" s="8"/>
      <c r="I60" s="15">
        <v>0</v>
      </c>
      <c r="J60" s="15">
        <v>0</v>
      </c>
      <c r="K60" s="12" t="str">
        <f>HYPERLINK("http://twitter.com/download/android","Twitter for Android")</f>
        <v>Twitter for Android</v>
      </c>
      <c r="L60" s="16">
        <v>184</v>
      </c>
      <c r="M60" s="16">
        <v>952</v>
      </c>
      <c r="N60" s="16">
        <v>0</v>
      </c>
      <c r="O60" s="17"/>
      <c r="P60" s="18">
        <v>40303.682696759257</v>
      </c>
      <c r="Q60" s="7"/>
      <c r="R60" s="7" t="s">
        <v>607</v>
      </c>
      <c r="S60" s="7"/>
      <c r="T60" s="8"/>
      <c r="U60" s="19" t="str">
        <f>HYPERLINK("https://pbs.twimg.com/profile_images/1173550487578304513/FrMA-0rK.jpg","View")</f>
        <v>View</v>
      </c>
      <c r="V60" s="8"/>
      <c r="W60" s="8"/>
      <c r="X60" s="8"/>
      <c r="Y60" s="8"/>
      <c r="Z60" s="8"/>
    </row>
    <row r="61" spans="1:26" ht="12.75">
      <c r="A61" s="11">
        <v>43747.318553240737</v>
      </c>
      <c r="B61" s="12" t="str">
        <f>HYPERLINK("https://twitter.com/Gent01726250","@Gent01726250")</f>
        <v>@Gent01726250</v>
      </c>
      <c r="C61" s="7" t="s">
        <v>608</v>
      </c>
      <c r="D61" s="7" t="s">
        <v>609</v>
      </c>
      <c r="E61" s="12" t="str">
        <f>HYPERLINK("https://twitter.com/Gent01726250/status/1181942068337397760","1181942068337397760")</f>
        <v>1181942068337397760</v>
      </c>
      <c r="F61" s="8"/>
      <c r="G61" s="14" t="s">
        <v>610</v>
      </c>
      <c r="H61" s="8"/>
      <c r="I61" s="15">
        <v>0</v>
      </c>
      <c r="J61" s="15">
        <v>0</v>
      </c>
      <c r="K61" s="12" t="str">
        <f>HYPERLINK("http://twitter.com/download/android","Twitter for Android")</f>
        <v>Twitter for Android</v>
      </c>
      <c r="L61" s="16">
        <v>0</v>
      </c>
      <c r="M61" s="16">
        <v>30</v>
      </c>
      <c r="N61" s="16">
        <v>0</v>
      </c>
      <c r="O61" s="17"/>
      <c r="P61" s="18">
        <v>43337.574687500004</v>
      </c>
      <c r="Q61" s="7"/>
      <c r="R61" s="7"/>
      <c r="S61" s="7"/>
      <c r="T61" s="8"/>
      <c r="U61" s="20" t="s">
        <v>354</v>
      </c>
      <c r="V61" s="8"/>
      <c r="W61" s="8"/>
      <c r="X61" s="8"/>
      <c r="Y61" s="8"/>
      <c r="Z61" s="8"/>
    </row>
    <row r="62" spans="1:26" ht="12.75">
      <c r="A62" s="11">
        <v>43747.318506944444</v>
      </c>
      <c r="B62" s="12" t="str">
        <f>HYPERLINK("https://twitter.com/hilerdomer","@hilerdomer")</f>
        <v>@hilerdomer</v>
      </c>
      <c r="C62" s="7" t="s">
        <v>614</v>
      </c>
      <c r="D62" s="7" t="s">
        <v>615</v>
      </c>
      <c r="E62" s="12" t="str">
        <f>HYPERLINK("https://twitter.com/hilerdomer/status/1181942054362009600","1181942054362009600")</f>
        <v>1181942054362009600</v>
      </c>
      <c r="F62" s="8"/>
      <c r="G62" s="15"/>
      <c r="H62" s="8"/>
      <c r="I62" s="15">
        <v>0</v>
      </c>
      <c r="J62" s="15">
        <v>1</v>
      </c>
      <c r="K62" s="12" t="str">
        <f>HYPERLINK("http://twitter.com/download/android","Twitter for Android")</f>
        <v>Twitter for Android</v>
      </c>
      <c r="L62" s="16">
        <v>645</v>
      </c>
      <c r="M62" s="16">
        <v>470</v>
      </c>
      <c r="N62" s="16">
        <v>0</v>
      </c>
      <c r="O62" s="17"/>
      <c r="P62" s="18">
        <v>40410.313761574071</v>
      </c>
      <c r="Q62" s="7"/>
      <c r="R62" s="7" t="s">
        <v>617</v>
      </c>
      <c r="S62" s="15"/>
      <c r="T62" s="8"/>
      <c r="U62" s="19" t="str">
        <f>HYPERLINK("https://pbs.twimg.com/profile_images/1181709818308026369/WApxVeLo.jpg","View")</f>
        <v>View</v>
      </c>
      <c r="V62" s="8"/>
      <c r="W62" s="8"/>
      <c r="X62" s="8"/>
      <c r="Y62" s="8"/>
      <c r="Z62" s="8"/>
    </row>
    <row r="63" spans="1:26" ht="12.75">
      <c r="A63" s="11">
        <v>43747.318472222221</v>
      </c>
      <c r="B63" s="12" t="str">
        <f>HYPERLINK("https://twitter.com/Byks__","@Byks__")</f>
        <v>@Byks__</v>
      </c>
      <c r="C63" s="7" t="s">
        <v>620</v>
      </c>
      <c r="D63" s="7" t="s">
        <v>621</v>
      </c>
      <c r="E63" s="12" t="str">
        <f>HYPERLINK("https://twitter.com/Byks__/status/1181942039874850816","1181942039874850816")</f>
        <v>1181942039874850816</v>
      </c>
      <c r="F63" s="8"/>
      <c r="G63" s="15"/>
      <c r="H63" s="8"/>
      <c r="I63" s="15">
        <v>0</v>
      </c>
      <c r="J63" s="15">
        <v>1</v>
      </c>
      <c r="K63" s="12" t="str">
        <f>HYPERLINK("http://twitter.com/download/android","Twitter for Android")</f>
        <v>Twitter for Android</v>
      </c>
      <c r="L63" s="16">
        <v>9</v>
      </c>
      <c r="M63" s="16">
        <v>105</v>
      </c>
      <c r="N63" s="16">
        <v>0</v>
      </c>
      <c r="O63" s="17"/>
      <c r="P63" s="18">
        <v>43699.147337962961</v>
      </c>
      <c r="Q63" s="7"/>
      <c r="R63" s="7" t="s">
        <v>623</v>
      </c>
      <c r="S63" s="15"/>
      <c r="T63" s="8"/>
      <c r="U63" s="19" t="str">
        <f>HYPERLINK("https://pbs.twimg.com/profile_images/1176766633278365697/eso7eZli.jpg","View")</f>
        <v>View</v>
      </c>
      <c r="V63" s="8"/>
      <c r="W63" s="8"/>
      <c r="X63" s="8"/>
      <c r="Y63" s="8"/>
      <c r="Z63" s="8"/>
    </row>
    <row r="64" spans="1:26" ht="12.75">
      <c r="A64" s="11">
        <v>43747.318449074075</v>
      </c>
      <c r="B64" s="12" t="str">
        <f>HYPERLINK("https://twitter.com/burakcnsysal","@burakcnsysal")</f>
        <v>@burakcnsysal</v>
      </c>
      <c r="C64" s="7" t="s">
        <v>624</v>
      </c>
      <c r="D64" s="7" t="s">
        <v>625</v>
      </c>
      <c r="E64" s="12" t="str">
        <f>HYPERLINK("https://twitter.com/burakcnsysal/status/1181942033273016321","1181942033273016321")</f>
        <v>1181942033273016321</v>
      </c>
      <c r="F64" s="15"/>
      <c r="G64" s="14" t="s">
        <v>626</v>
      </c>
      <c r="H64" s="8"/>
      <c r="I64" s="15">
        <v>0</v>
      </c>
      <c r="J64" s="15">
        <v>0</v>
      </c>
      <c r="K64" s="12" t="str">
        <f>HYPERLINK("http://twitter.com/download/iphone","Twitter for iPhone")</f>
        <v>Twitter for iPhone</v>
      </c>
      <c r="L64" s="16">
        <v>62</v>
      </c>
      <c r="M64" s="16">
        <v>61</v>
      </c>
      <c r="N64" s="16">
        <v>0</v>
      </c>
      <c r="O64" s="17"/>
      <c r="P64" s="18">
        <v>43566.126238425924</v>
      </c>
      <c r="Q64" s="7" t="s">
        <v>630</v>
      </c>
      <c r="R64" s="7"/>
      <c r="S64" s="14" t="s">
        <v>631</v>
      </c>
      <c r="T64" s="8"/>
      <c r="U64" s="19" t="str">
        <f>HYPERLINK("https://pbs.twimg.com/profile_images/1171722637556486145/luhknEWZ.jpg","View")</f>
        <v>View</v>
      </c>
      <c r="V64" s="8"/>
      <c r="W64" s="8"/>
      <c r="X64" s="8"/>
      <c r="Y64" s="8"/>
      <c r="Z64" s="8"/>
    </row>
    <row r="65" spans="1:26" ht="12.75">
      <c r="A65" s="11">
        <v>43747.318449074075</v>
      </c>
      <c r="B65" s="12" t="str">
        <f>HYPERLINK("https://twitter.com/Tr28Ts","@Tr28Ts")</f>
        <v>@Tr28Ts</v>
      </c>
      <c r="C65" s="7" t="s">
        <v>635</v>
      </c>
      <c r="D65" s="7" t="s">
        <v>636</v>
      </c>
      <c r="E65" s="12" t="str">
        <f>HYPERLINK("https://twitter.com/Tr28Ts/status/1181942031691767809","1181942031691767809")</f>
        <v>1181942031691767809</v>
      </c>
      <c r="F65" s="8"/>
      <c r="G65" s="14" t="s">
        <v>637</v>
      </c>
      <c r="H65" s="8"/>
      <c r="I65" s="15">
        <v>0</v>
      </c>
      <c r="J65" s="15">
        <v>0</v>
      </c>
      <c r="K65" s="12" t="str">
        <f>HYPERLINK("http://twitter.com/download/android","Twitter for Android")</f>
        <v>Twitter for Android</v>
      </c>
      <c r="L65" s="16">
        <v>63</v>
      </c>
      <c r="M65" s="16">
        <v>368</v>
      </c>
      <c r="N65" s="16">
        <v>0</v>
      </c>
      <c r="O65" s="17"/>
      <c r="P65" s="18">
        <v>43666.575972222221</v>
      </c>
      <c r="Q65" s="7"/>
      <c r="R65" s="7" t="s">
        <v>641</v>
      </c>
      <c r="S65" s="7"/>
      <c r="T65" s="8"/>
      <c r="U65" s="19" t="str">
        <f>HYPERLINK("https://pbs.twimg.com/profile_images/1175520293160464384/9R2eoTP2.jpg","View")</f>
        <v>View</v>
      </c>
      <c r="V65" s="8"/>
      <c r="W65" s="8"/>
      <c r="X65" s="8"/>
      <c r="Y65" s="8"/>
      <c r="Z65" s="8"/>
    </row>
    <row r="66" spans="1:26" ht="12.75">
      <c r="A66" s="11">
        <v>43747.318449074075</v>
      </c>
      <c r="B66" s="12" t="str">
        <f>HYPERLINK("https://twitter.com/Sc0053","@Sc0053")</f>
        <v>@Sc0053</v>
      </c>
      <c r="C66" s="7" t="s">
        <v>642</v>
      </c>
      <c r="D66" s="7" t="s">
        <v>643</v>
      </c>
      <c r="E66" s="12" t="str">
        <f>HYPERLINK("https://twitter.com/Sc0053/status/1181942030626361348","1181942030626361348")</f>
        <v>1181942030626361348</v>
      </c>
      <c r="F66" s="8"/>
      <c r="G66" s="14" t="s">
        <v>644</v>
      </c>
      <c r="H66" s="8"/>
      <c r="I66" s="15">
        <v>0</v>
      </c>
      <c r="J66" s="15">
        <v>0</v>
      </c>
      <c r="K66" s="12" t="str">
        <f>HYPERLINK("http://twitter.com/download/iphone","Twitter for iPhone")</f>
        <v>Twitter for iPhone</v>
      </c>
      <c r="L66" s="16">
        <v>180</v>
      </c>
      <c r="M66" s="16">
        <v>187</v>
      </c>
      <c r="N66" s="16">
        <v>0</v>
      </c>
      <c r="O66" s="17"/>
      <c r="P66" s="18">
        <v>43578.37767361111</v>
      </c>
      <c r="Q66" s="7"/>
      <c r="R66" s="7" t="s">
        <v>647</v>
      </c>
      <c r="S66" s="7"/>
      <c r="T66" s="8"/>
      <c r="U66" s="19" t="str">
        <f>HYPERLINK("https://pbs.twimg.com/profile_images/1156151366265520128/y65SgNhA.jpg","View")</f>
        <v>View</v>
      </c>
      <c r="V66" s="8"/>
      <c r="W66" s="8"/>
      <c r="X66" s="8"/>
      <c r="Y66" s="8"/>
      <c r="Z66" s="8"/>
    </row>
    <row r="67" spans="1:26" ht="12.75">
      <c r="A67" s="11">
        <v>43747.318379629629</v>
      </c>
      <c r="B67" s="12" t="str">
        <f>HYPERLINK("https://twitter.com/cebrailgencoglu","@cebrailgencoglu")</f>
        <v>@cebrailgencoglu</v>
      </c>
      <c r="C67" s="7" t="s">
        <v>655</v>
      </c>
      <c r="D67" s="7" t="s">
        <v>658</v>
      </c>
      <c r="E67" s="12" t="str">
        <f>HYPERLINK("https://twitter.com/cebrailgencoglu/status/1181942008669179907","1181942008669179907")</f>
        <v>1181942008669179907</v>
      </c>
      <c r="F67" s="8"/>
      <c r="G67" s="14" t="s">
        <v>660</v>
      </c>
      <c r="H67" s="8"/>
      <c r="I67" s="15">
        <v>0</v>
      </c>
      <c r="J67" s="15">
        <v>0</v>
      </c>
      <c r="K67" s="12" t="str">
        <f>HYPERLINK("http://twitter.com/download/iphone","Twitter for iPhone")</f>
        <v>Twitter for iPhone</v>
      </c>
      <c r="L67" s="16">
        <v>607</v>
      </c>
      <c r="M67" s="16">
        <v>531</v>
      </c>
      <c r="N67" s="16">
        <v>5</v>
      </c>
      <c r="O67" s="17"/>
      <c r="P67" s="18">
        <v>41002.022685185184</v>
      </c>
      <c r="Q67" s="7"/>
      <c r="R67" s="7" t="s">
        <v>661</v>
      </c>
      <c r="S67" s="7"/>
      <c r="T67" s="8"/>
      <c r="U67" s="19" t="str">
        <f>HYPERLINK("https://pbs.twimg.com/profile_images/1022869931489148929/AyE6n9bO.jpg","View")</f>
        <v>View</v>
      </c>
      <c r="V67" s="8"/>
      <c r="W67" s="8"/>
      <c r="X67" s="8"/>
      <c r="Y67" s="8"/>
      <c r="Z67" s="8"/>
    </row>
    <row r="68" spans="1:26" ht="12.75">
      <c r="A68" s="11">
        <v>43747.318379629629</v>
      </c>
      <c r="B68" s="12" t="str">
        <f>HYPERLINK("https://twitter.com/AlperenKara","@AlperenKara")</f>
        <v>@AlperenKara</v>
      </c>
      <c r="C68" s="7" t="s">
        <v>662</v>
      </c>
      <c r="D68" s="7" t="s">
        <v>663</v>
      </c>
      <c r="E68" s="12" t="str">
        <f>HYPERLINK("https://twitter.com/AlperenKara/status/1181942006651768843","1181942006651768843")</f>
        <v>1181942006651768843</v>
      </c>
      <c r="F68" s="14" t="s">
        <v>666</v>
      </c>
      <c r="G68" s="15"/>
      <c r="H68" s="8"/>
      <c r="I68" s="15">
        <v>0</v>
      </c>
      <c r="J68" s="15">
        <v>0</v>
      </c>
      <c r="K68" s="12" t="str">
        <f>HYPERLINK("http://twitter.com/download/iphone","Twitter for iPhone")</f>
        <v>Twitter for iPhone</v>
      </c>
      <c r="L68" s="16">
        <v>95</v>
      </c>
      <c r="M68" s="16">
        <v>814</v>
      </c>
      <c r="N68" s="16">
        <v>0</v>
      </c>
      <c r="O68" s="17"/>
      <c r="P68" s="18">
        <v>39824.230011574073</v>
      </c>
      <c r="Q68" s="7" t="s">
        <v>668</v>
      </c>
      <c r="R68" s="7" t="s">
        <v>669</v>
      </c>
      <c r="S68" s="15"/>
      <c r="T68" s="8"/>
      <c r="U68" s="19" t="str">
        <f>HYPERLINK("https://pbs.twimg.com/profile_images/885959655188557825/13PxEoBB.jpg","View")</f>
        <v>View</v>
      </c>
      <c r="V68" s="8"/>
      <c r="W68" s="8"/>
      <c r="X68" s="8"/>
      <c r="Y68" s="8"/>
      <c r="Z68" s="8"/>
    </row>
    <row r="69" spans="1:26" ht="12.75">
      <c r="A69" s="11">
        <v>43747.31831018519</v>
      </c>
      <c r="B69" s="12" t="str">
        <f>HYPERLINK("https://twitter.com/KB_Bozkurt","@KB_Bozkurt")</f>
        <v>@KB_Bozkurt</v>
      </c>
      <c r="C69" s="7" t="s">
        <v>673</v>
      </c>
      <c r="D69" s="7" t="s">
        <v>674</v>
      </c>
      <c r="E69" s="12" t="str">
        <f>HYPERLINK("https://twitter.com/KB_Bozkurt/status/1181941982085693444","1181941982085693444")</f>
        <v>1181941982085693444</v>
      </c>
      <c r="F69" s="8"/>
      <c r="G69" s="15"/>
      <c r="H69" s="8"/>
      <c r="I69" s="15">
        <v>0</v>
      </c>
      <c r="J69" s="15">
        <v>0</v>
      </c>
      <c r="K69" s="12" t="str">
        <f>HYPERLINK("http://twitter.com/download/android","Twitter for Android")</f>
        <v>Twitter for Android</v>
      </c>
      <c r="L69" s="16">
        <v>1313</v>
      </c>
      <c r="M69" s="16">
        <v>305</v>
      </c>
      <c r="N69" s="16">
        <v>1</v>
      </c>
      <c r="O69" s="17"/>
      <c r="P69" s="18">
        <v>41553.421620370369</v>
      </c>
      <c r="Q69" s="7" t="s">
        <v>675</v>
      </c>
      <c r="R69" s="7" t="s">
        <v>676</v>
      </c>
      <c r="S69" s="14" t="s">
        <v>677</v>
      </c>
      <c r="T69" s="8"/>
      <c r="U69" s="19" t="str">
        <f>HYPERLINK("https://pbs.twimg.com/profile_images/1125473907467870210/ipOlAutM.jpg","View")</f>
        <v>View</v>
      </c>
      <c r="V69" s="8"/>
      <c r="W69" s="8"/>
      <c r="X69" s="8"/>
      <c r="Y69" s="8"/>
      <c r="Z69" s="8"/>
    </row>
    <row r="70" spans="1:26" ht="12.75">
      <c r="A70" s="11">
        <v>43747.318275462967</v>
      </c>
      <c r="B70" s="12" t="str">
        <f>HYPERLINK("https://twitter.com/cicekyaziyorr","@cicekyaziyorr")</f>
        <v>@cicekyaziyorr</v>
      </c>
      <c r="C70" s="7" t="s">
        <v>681</v>
      </c>
      <c r="D70" s="7" t="s">
        <v>682</v>
      </c>
      <c r="E70" s="12" t="str">
        <f>HYPERLINK("https://twitter.com/cicekyaziyorr/status/1181941967258816525","1181941967258816525")</f>
        <v>1181941967258816525</v>
      </c>
      <c r="F70" s="8"/>
      <c r="G70" s="14" t="s">
        <v>683</v>
      </c>
      <c r="H70" s="8"/>
      <c r="I70" s="15">
        <v>3</v>
      </c>
      <c r="J70" s="15">
        <v>3</v>
      </c>
      <c r="K70" s="12" t="str">
        <f>HYPERLINK("http://twitter.com/download/iphone","Twitter for iPhone")</f>
        <v>Twitter for iPhone</v>
      </c>
      <c r="L70" s="16">
        <v>580</v>
      </c>
      <c r="M70" s="16">
        <v>401</v>
      </c>
      <c r="N70" s="16">
        <v>1</v>
      </c>
      <c r="O70" s="17"/>
      <c r="P70" s="18">
        <v>42915.020046296297</v>
      </c>
      <c r="Q70" s="7" t="s">
        <v>685</v>
      </c>
      <c r="R70" s="7" t="s">
        <v>686</v>
      </c>
      <c r="S70" s="14" t="s">
        <v>687</v>
      </c>
      <c r="T70" s="8"/>
      <c r="U70" s="19" t="str">
        <f>HYPERLINK("https://pbs.twimg.com/profile_images/1157573479069298694/lTiIb37v.jpg","View")</f>
        <v>View</v>
      </c>
      <c r="V70" s="8"/>
      <c r="W70" s="8"/>
      <c r="X70" s="8"/>
      <c r="Y70" s="8"/>
      <c r="Z70" s="8"/>
    </row>
    <row r="71" spans="1:26" ht="12.75">
      <c r="A71" s="11">
        <v>43747.318101851852</v>
      </c>
      <c r="B71" s="12" t="str">
        <f>HYPERLINK("https://twitter.com/osmanoglu38","@osmanoglu38")</f>
        <v>@osmanoglu38</v>
      </c>
      <c r="C71" s="7" t="s">
        <v>695</v>
      </c>
      <c r="D71" s="7" t="s">
        <v>696</v>
      </c>
      <c r="E71" s="12" t="str">
        <f>HYPERLINK("https://twitter.com/osmanoglu38/status/1181941906848309248","1181941906848309248")</f>
        <v>1181941906848309248</v>
      </c>
      <c r="F71" s="8"/>
      <c r="G71" s="14" t="s">
        <v>697</v>
      </c>
      <c r="H71" s="8"/>
      <c r="I71" s="15">
        <v>0</v>
      </c>
      <c r="J71" s="15">
        <v>0</v>
      </c>
      <c r="K71" s="12" t="str">
        <f>HYPERLINK("http://twitter.com/download/android","Twitter for Android")</f>
        <v>Twitter for Android</v>
      </c>
      <c r="L71" s="16">
        <v>117</v>
      </c>
      <c r="M71" s="16">
        <v>176</v>
      </c>
      <c r="N71" s="16">
        <v>0</v>
      </c>
      <c r="O71" s="17"/>
      <c r="P71" s="18">
        <v>40496.028611111113</v>
      </c>
      <c r="Q71" s="7" t="s">
        <v>698</v>
      </c>
      <c r="R71" s="7"/>
      <c r="S71" s="7"/>
      <c r="T71" s="8"/>
      <c r="U71" s="19" t="str">
        <f>HYPERLINK("https://pbs.twimg.com/profile_images/853660593244581892/6eE19S8n.jpg","View")</f>
        <v>View</v>
      </c>
      <c r="V71" s="8"/>
      <c r="W71" s="8"/>
      <c r="X71" s="8"/>
      <c r="Y71" s="8"/>
      <c r="Z71" s="8"/>
    </row>
    <row r="72" spans="1:26" ht="12.75">
      <c r="A72" s="11">
        <v>43747.318090277782</v>
      </c>
      <c r="B72" s="12" t="str">
        <f>HYPERLINK("https://twitter.com/19SerdarB07","@19SerdarB07")</f>
        <v>@19SerdarB07</v>
      </c>
      <c r="C72" s="7" t="s">
        <v>701</v>
      </c>
      <c r="D72" s="7" t="s">
        <v>702</v>
      </c>
      <c r="E72" s="12" t="str">
        <f>HYPERLINK("https://twitter.com/19SerdarB07/status/1181941900699455488","1181941900699455488")</f>
        <v>1181941900699455488</v>
      </c>
      <c r="F72" s="8"/>
      <c r="G72" s="14" t="s">
        <v>704</v>
      </c>
      <c r="H72" s="8"/>
      <c r="I72" s="15">
        <v>0</v>
      </c>
      <c r="J72" s="15">
        <v>0</v>
      </c>
      <c r="K72" s="12" t="str">
        <f>HYPERLINK("http://twitter.com/download/iphone","Twitter for iPhone")</f>
        <v>Twitter for iPhone</v>
      </c>
      <c r="L72" s="16">
        <v>287</v>
      </c>
      <c r="M72" s="16">
        <v>344</v>
      </c>
      <c r="N72" s="16">
        <v>0</v>
      </c>
      <c r="O72" s="17"/>
      <c r="P72" s="18">
        <v>40791.432719907403</v>
      </c>
      <c r="Q72" s="7" t="s">
        <v>706</v>
      </c>
      <c r="R72" s="7" t="s">
        <v>707</v>
      </c>
      <c r="S72" s="7"/>
      <c r="T72" s="8"/>
      <c r="U72" s="19" t="str">
        <f>HYPERLINK("https://pbs.twimg.com/profile_images/1163175154672918528/k9kfGV-H.jpg","View")</f>
        <v>View</v>
      </c>
      <c r="V72" s="8"/>
      <c r="W72" s="8"/>
      <c r="X72" s="8"/>
      <c r="Y72" s="8"/>
      <c r="Z72" s="8"/>
    </row>
    <row r="73" spans="1:26" ht="12.75">
      <c r="A73" s="11">
        <v>43747.317962962959</v>
      </c>
      <c r="B73" s="12" t="str">
        <f>HYPERLINK("https://twitter.com/Tesviyeci54","@Tesviyeci54")</f>
        <v>@Tesviyeci54</v>
      </c>
      <c r="C73" s="7" t="s">
        <v>711</v>
      </c>
      <c r="D73" s="7" t="s">
        <v>712</v>
      </c>
      <c r="E73" s="12" t="str">
        <f>HYPERLINK("https://twitter.com/Tesviyeci54/status/1181941854335590400","1181941854335590400")</f>
        <v>1181941854335590400</v>
      </c>
      <c r="F73" s="8"/>
      <c r="G73" s="7"/>
      <c r="H73" s="8"/>
      <c r="I73" s="15">
        <v>0</v>
      </c>
      <c r="J73" s="15">
        <v>1</v>
      </c>
      <c r="K73" s="12" t="str">
        <f>HYPERLINK("http://twitter.com/download/iphone","Twitter for iPhone")</f>
        <v>Twitter for iPhone</v>
      </c>
      <c r="L73" s="16">
        <v>60</v>
      </c>
      <c r="M73" s="16">
        <v>347</v>
      </c>
      <c r="N73" s="16">
        <v>0</v>
      </c>
      <c r="O73" s="17"/>
      <c r="P73" s="18">
        <v>43506.542037037041</v>
      </c>
      <c r="Q73" s="7" t="s">
        <v>713</v>
      </c>
      <c r="R73" s="7" t="s">
        <v>714</v>
      </c>
      <c r="S73" s="7"/>
      <c r="T73" s="8"/>
      <c r="U73" s="19" t="str">
        <f>HYPERLINK("https://pbs.twimg.com/profile_images/1177637793234857985/XsXLYcy5.jpg","View")</f>
        <v>View</v>
      </c>
      <c r="V73" s="8"/>
      <c r="W73" s="8"/>
      <c r="X73" s="8"/>
      <c r="Y73" s="8"/>
      <c r="Z73" s="8"/>
    </row>
    <row r="74" spans="1:26" ht="12.75">
      <c r="A74" s="11">
        <v>43747.317905092597</v>
      </c>
      <c r="B74" s="12" t="str">
        <f>HYPERLINK("https://twitter.com/Emrezmirli2","@Emrezmirli2")</f>
        <v>@Emrezmirli2</v>
      </c>
      <c r="C74" s="7" t="s">
        <v>718</v>
      </c>
      <c r="D74" s="7" t="s">
        <v>719</v>
      </c>
      <c r="E74" s="12" t="str">
        <f>HYPERLINK("https://twitter.com/Emrezmirli2/status/1181941832965644288","1181941832965644288")</f>
        <v>1181941832965644288</v>
      </c>
      <c r="F74" s="8"/>
      <c r="G74" s="7"/>
      <c r="H74" s="8"/>
      <c r="I74" s="15">
        <v>0</v>
      </c>
      <c r="J74" s="15">
        <v>0</v>
      </c>
      <c r="K74" s="12" t="str">
        <f>HYPERLINK("http://twitter.com/download/android","Twitter for Android")</f>
        <v>Twitter for Android</v>
      </c>
      <c r="L74" s="16">
        <v>41</v>
      </c>
      <c r="M74" s="16">
        <v>173</v>
      </c>
      <c r="N74" s="16">
        <v>0</v>
      </c>
      <c r="O74" s="17"/>
      <c r="P74" s="18">
        <v>43038.128460648149</v>
      </c>
      <c r="Q74" s="7" t="s">
        <v>287</v>
      </c>
      <c r="R74" s="7" t="s">
        <v>720</v>
      </c>
      <c r="S74" s="7"/>
      <c r="T74" s="8"/>
      <c r="U74" s="19" t="str">
        <f>HYPERLINK("https://pbs.twimg.com/profile_images/1071820117783257088/TVmjU1K_.jpg","View")</f>
        <v>View</v>
      </c>
      <c r="V74" s="8"/>
      <c r="W74" s="8"/>
      <c r="X74" s="8"/>
      <c r="Y74" s="8"/>
      <c r="Z74" s="8"/>
    </row>
    <row r="75" spans="1:26" ht="12.75">
      <c r="A75" s="11">
        <v>43747.317881944444</v>
      </c>
      <c r="B75" s="12" t="str">
        <f>HYPERLINK("https://twitter.com/MeCeKaSoft","@MeCeKaSoft")</f>
        <v>@MeCeKaSoft</v>
      </c>
      <c r="C75" s="7" t="s">
        <v>724</v>
      </c>
      <c r="D75" s="7" t="s">
        <v>725</v>
      </c>
      <c r="E75" s="12" t="str">
        <f>HYPERLINK("https://twitter.com/MeCeKaSoft/status/1181941825961103361","1181941825961103361")</f>
        <v>1181941825961103361</v>
      </c>
      <c r="F75" s="14" t="s">
        <v>726</v>
      </c>
      <c r="G75" s="15"/>
      <c r="H75" s="8"/>
      <c r="I75" s="15">
        <v>0</v>
      </c>
      <c r="J75" s="15">
        <v>0</v>
      </c>
      <c r="K75" s="12" t="str">
        <f>HYPERLINK("https://mobile.twitter.com","Twitter Web App")</f>
        <v>Twitter Web App</v>
      </c>
      <c r="L75" s="16">
        <v>1119</v>
      </c>
      <c r="M75" s="16">
        <v>1214</v>
      </c>
      <c r="N75" s="16">
        <v>0</v>
      </c>
      <c r="O75" s="17"/>
      <c r="P75" s="18">
        <v>43649.499259259261</v>
      </c>
      <c r="Q75" s="7"/>
      <c r="R75" s="7" t="s">
        <v>730</v>
      </c>
      <c r="S75" s="14" t="s">
        <v>731</v>
      </c>
      <c r="T75" s="8"/>
      <c r="U75" s="19" t="str">
        <f>HYPERLINK("https://pbs.twimg.com/profile_images/1175354185778442247/upFburMR.jpg","View")</f>
        <v>View</v>
      </c>
      <c r="V75" s="8"/>
      <c r="W75" s="8"/>
      <c r="X75" s="8"/>
      <c r="Y75" s="8"/>
      <c r="Z75" s="8"/>
    </row>
    <row r="76" spans="1:26" ht="12.75">
      <c r="A76" s="11">
        <v>43747.317870370374</v>
      </c>
      <c r="B76" s="12" t="str">
        <f>HYPERLINK("https://twitter.com/orcuntcvatan","@orcuntcvatan")</f>
        <v>@orcuntcvatan</v>
      </c>
      <c r="C76" s="7" t="s">
        <v>735</v>
      </c>
      <c r="D76" s="7" t="s">
        <v>736</v>
      </c>
      <c r="E76" s="12" t="str">
        <f>HYPERLINK("https://twitter.com/orcuntcvatan/status/1181941821741699072","1181941821741699072")</f>
        <v>1181941821741699072</v>
      </c>
      <c r="F76" s="14" t="s">
        <v>737</v>
      </c>
      <c r="G76" s="14" t="s">
        <v>739</v>
      </c>
      <c r="H76" s="8"/>
      <c r="I76" s="15">
        <v>0</v>
      </c>
      <c r="J76" s="15">
        <v>1</v>
      </c>
      <c r="K76" s="12" t="str">
        <f>HYPERLINK("http://twitter.com/download/iphone","Twitter for iPhone")</f>
        <v>Twitter for iPhone</v>
      </c>
      <c r="L76" s="16">
        <v>826</v>
      </c>
      <c r="M76" s="16">
        <v>757</v>
      </c>
      <c r="N76" s="16">
        <v>1</v>
      </c>
      <c r="O76" s="17"/>
      <c r="P76" s="18">
        <v>41426.259247685186</v>
      </c>
      <c r="Q76" s="7" t="s">
        <v>743</v>
      </c>
      <c r="R76" s="7" t="s">
        <v>744</v>
      </c>
      <c r="S76" s="7"/>
      <c r="T76" s="8"/>
      <c r="U76" s="19" t="str">
        <f>HYPERLINK("https://pbs.twimg.com/profile_images/1181101795776647169/NHITukWJ.jpg","View")</f>
        <v>View</v>
      </c>
      <c r="V76" s="8"/>
      <c r="W76" s="8"/>
      <c r="X76" s="8"/>
      <c r="Y76" s="8"/>
      <c r="Z76" s="8"/>
    </row>
    <row r="77" spans="1:26" ht="12.75">
      <c r="A77" s="11">
        <v>43747.317569444444</v>
      </c>
      <c r="B77" s="12" t="str">
        <f>HYPERLINK("https://twitter.com/MUSTAFA65789850","@MUSTAFA65789850")</f>
        <v>@MUSTAFA65789850</v>
      </c>
      <c r="C77" s="7" t="s">
        <v>781</v>
      </c>
      <c r="D77" s="7" t="s">
        <v>782</v>
      </c>
      <c r="E77" s="12" t="str">
        <f>HYPERLINK("https://twitter.com/MUSTAFA65789850/status/1181941714606530561","1181941714606530561")</f>
        <v>1181941714606530561</v>
      </c>
      <c r="F77" s="8" t="s">
        <v>783</v>
      </c>
      <c r="G77" s="14" t="s">
        <v>784</v>
      </c>
      <c r="H77" s="8"/>
      <c r="I77" s="15">
        <v>0</v>
      </c>
      <c r="J77" s="15">
        <v>0</v>
      </c>
      <c r="K77" s="12" t="str">
        <f>HYPERLINK("https://mobile.twitter.com","Twitter Web App")</f>
        <v>Twitter Web App</v>
      </c>
      <c r="L77" s="16">
        <v>6</v>
      </c>
      <c r="M77" s="16">
        <v>4</v>
      </c>
      <c r="N77" s="16">
        <v>0</v>
      </c>
      <c r="O77" s="17"/>
      <c r="P77" s="18">
        <v>43353.254143518519</v>
      </c>
      <c r="Q77" s="7"/>
      <c r="R77" s="7"/>
      <c r="S77" s="7"/>
      <c r="T77" s="8"/>
      <c r="U77" s="19" t="str">
        <f>HYPERLINK("https://pbs.twimg.com/profile_images/1181942008631484421/5uugDjEl.jpg","View")</f>
        <v>View</v>
      </c>
      <c r="V77" s="8"/>
      <c r="W77" s="8"/>
      <c r="X77" s="8"/>
      <c r="Y77" s="8"/>
      <c r="Z77" s="8"/>
    </row>
    <row r="78" spans="1:26" ht="12.75">
      <c r="A78" s="11">
        <v>43747.317557870367</v>
      </c>
      <c r="B78" s="12" t="str">
        <f>HYPERLINK("https://twitter.com/OTTOMAN14531632","@OTTOMAN14531632")</f>
        <v>@OTTOMAN14531632</v>
      </c>
      <c r="C78" s="7" t="s">
        <v>788</v>
      </c>
      <c r="D78" s="7" t="s">
        <v>789</v>
      </c>
      <c r="E78" s="12" t="str">
        <f>HYPERLINK("https://twitter.com/OTTOMAN14531632/status/1181941708558405632","1181941708558405632")</f>
        <v>1181941708558405632</v>
      </c>
      <c r="F78" s="8"/>
      <c r="G78" s="14" t="s">
        <v>791</v>
      </c>
      <c r="H78" s="8"/>
      <c r="I78" s="15">
        <v>0</v>
      </c>
      <c r="J78" s="15">
        <v>1</v>
      </c>
      <c r="K78" s="12" t="str">
        <f>HYPERLINK("http://twitter.com/download/android","Twitter for Android")</f>
        <v>Twitter for Android</v>
      </c>
      <c r="L78" s="16">
        <v>301</v>
      </c>
      <c r="M78" s="16">
        <v>1505</v>
      </c>
      <c r="N78" s="16">
        <v>0</v>
      </c>
      <c r="O78" s="17"/>
      <c r="P78" s="18">
        <v>42706.568391203706</v>
      </c>
      <c r="Q78" s="7"/>
      <c r="R78" s="7" t="s">
        <v>794</v>
      </c>
      <c r="S78" s="15"/>
      <c r="T78" s="8"/>
      <c r="U78" s="19" t="str">
        <f>HYPERLINK("https://pbs.twimg.com/profile_images/1075785590019362816/7aJl4mRK.jpg","View")</f>
        <v>View</v>
      </c>
      <c r="V78" s="8"/>
      <c r="W78" s="8"/>
      <c r="X78" s="8"/>
      <c r="Y78" s="8"/>
      <c r="Z78" s="8"/>
    </row>
    <row r="79" spans="1:26" ht="12.75">
      <c r="A79" s="11">
        <v>43747.317500000005</v>
      </c>
      <c r="B79" s="12" t="str">
        <f>HYPERLINK("https://twitter.com/metebilgehan209","@metebilgehan209")</f>
        <v>@metebilgehan209</v>
      </c>
      <c r="C79" s="7" t="s">
        <v>802</v>
      </c>
      <c r="D79" s="7" t="s">
        <v>803</v>
      </c>
      <c r="E79" s="12" t="str">
        <f>HYPERLINK("https://twitter.com/metebilgehan209/status/1181941686689292288","1181941686689292288")</f>
        <v>1181941686689292288</v>
      </c>
      <c r="F79" s="8"/>
      <c r="G79" s="15"/>
      <c r="H79" s="8"/>
      <c r="I79" s="15">
        <v>0</v>
      </c>
      <c r="J79" s="15">
        <v>0</v>
      </c>
      <c r="K79" s="12" t="str">
        <f>HYPERLINK("http://twitter.com/download/iphone","Twitter for iPhone")</f>
        <v>Twitter for iPhone</v>
      </c>
      <c r="L79" s="16">
        <v>3</v>
      </c>
      <c r="M79" s="16">
        <v>9</v>
      </c>
      <c r="N79" s="16">
        <v>0</v>
      </c>
      <c r="O79" s="17"/>
      <c r="P79" s="18">
        <v>43745.557800925926</v>
      </c>
      <c r="Q79" s="7"/>
      <c r="R79" s="7" t="s">
        <v>807</v>
      </c>
      <c r="S79" s="7"/>
      <c r="T79" s="8"/>
      <c r="U79" s="19" t="str">
        <f>HYPERLINK("https://pbs.twimg.com/profile_images/1181317499071033344/odn2KZQp.jpg","View")</f>
        <v>View</v>
      </c>
      <c r="V79" s="8"/>
      <c r="W79" s="8"/>
      <c r="X79" s="8"/>
      <c r="Y79" s="8"/>
      <c r="Z79" s="8"/>
    </row>
    <row r="80" spans="1:26" ht="12.75">
      <c r="A80" s="11">
        <v>43747.317395833335</v>
      </c>
      <c r="B80" s="12" t="str">
        <f>HYPERLINK("https://twitter.com/cedardeu","@cedardeu")</f>
        <v>@cedardeu</v>
      </c>
      <c r="C80" s="7" t="s">
        <v>816</v>
      </c>
      <c r="D80" s="7" t="s">
        <v>817</v>
      </c>
      <c r="E80" s="12" t="str">
        <f>HYPERLINK("https://twitter.com/cedardeu/status/1181941648521093121","1181941648521093121")</f>
        <v>1181941648521093121</v>
      </c>
      <c r="F80" s="15"/>
      <c r="G80" s="14" t="s">
        <v>818</v>
      </c>
      <c r="H80" s="8"/>
      <c r="I80" s="15">
        <v>0</v>
      </c>
      <c r="J80" s="15">
        <v>0</v>
      </c>
      <c r="K80" s="12" t="str">
        <f>HYPERLINK("http://twitter.com/download/iphone","Twitter for iPhone")</f>
        <v>Twitter for iPhone</v>
      </c>
      <c r="L80" s="16">
        <v>211</v>
      </c>
      <c r="M80" s="16">
        <v>126</v>
      </c>
      <c r="N80" s="16">
        <v>0</v>
      </c>
      <c r="O80" s="17"/>
      <c r="P80" s="18">
        <v>42772.0159837963</v>
      </c>
      <c r="Q80" s="7"/>
      <c r="R80" s="7"/>
      <c r="S80" s="7"/>
      <c r="T80" s="8"/>
      <c r="U80" s="19" t="str">
        <f>HYPERLINK("https://pbs.twimg.com/profile_images/847078280335429632/rKjyIB0B.jpg","View")</f>
        <v>View</v>
      </c>
      <c r="V80" s="8"/>
      <c r="W80" s="8"/>
      <c r="X80" s="8"/>
      <c r="Y80" s="8"/>
      <c r="Z80" s="8"/>
    </row>
    <row r="81" spans="1:26" ht="12.75">
      <c r="A81" s="11">
        <v>43747.317118055551</v>
      </c>
      <c r="B81" s="12" t="str">
        <f>HYPERLINK("https://twitter.com/RESO1907","@RESO1907")</f>
        <v>@RESO1907</v>
      </c>
      <c r="C81" s="7" t="s">
        <v>823</v>
      </c>
      <c r="D81" s="7" t="s">
        <v>824</v>
      </c>
      <c r="E81" s="12" t="str">
        <f>HYPERLINK("https://twitter.com/RESO1907/status/1181941551318130688","1181941551318130688")</f>
        <v>1181941551318130688</v>
      </c>
      <c r="F81" s="8"/>
      <c r="G81" s="7"/>
      <c r="H81" s="8"/>
      <c r="I81" s="15">
        <v>0</v>
      </c>
      <c r="J81" s="15">
        <v>1</v>
      </c>
      <c r="K81" s="12" t="str">
        <f>HYPERLINK("http://twitter.com","Twitter Web Client")</f>
        <v>Twitter Web Client</v>
      </c>
      <c r="L81" s="16">
        <v>88</v>
      </c>
      <c r="M81" s="16">
        <v>171</v>
      </c>
      <c r="N81" s="16">
        <v>0</v>
      </c>
      <c r="O81" s="17"/>
      <c r="P81" s="18">
        <v>40395.322187500002</v>
      </c>
      <c r="Q81" s="7"/>
      <c r="R81" s="7"/>
      <c r="S81" s="15"/>
      <c r="T81" s="8"/>
      <c r="U81" s="19" t="str">
        <f>HYPERLINK("https://pbs.twimg.com/profile_images/954079818349514752/vgA9dYUc.jpg","View")</f>
        <v>View</v>
      </c>
      <c r="V81" s="8"/>
      <c r="W81" s="8"/>
      <c r="X81" s="8"/>
      <c r="Y81" s="8"/>
      <c r="Z81" s="8"/>
    </row>
    <row r="82" spans="1:26" ht="12.75">
      <c r="A82" s="11">
        <v>43747.317106481481</v>
      </c>
      <c r="B82" s="12" t="str">
        <f>HYPERLINK("https://twitter.com/Piryoz1461","@Piryoz1461")</f>
        <v>@Piryoz1461</v>
      </c>
      <c r="C82" s="7" t="s">
        <v>825</v>
      </c>
      <c r="D82" s="7" t="s">
        <v>826</v>
      </c>
      <c r="E82" s="12" t="str">
        <f>HYPERLINK("https://twitter.com/Piryoz1461/status/1181941547291594752","1181941547291594752")</f>
        <v>1181941547291594752</v>
      </c>
      <c r="F82" s="14" t="s">
        <v>827</v>
      </c>
      <c r="G82" s="14" t="s">
        <v>828</v>
      </c>
      <c r="H82" s="8"/>
      <c r="I82" s="15">
        <v>0</v>
      </c>
      <c r="J82" s="15">
        <v>1</v>
      </c>
      <c r="K82" s="12" t="str">
        <f>HYPERLINK("https://mobile.twitter.com","Twitter Web App")</f>
        <v>Twitter Web App</v>
      </c>
      <c r="L82" s="16">
        <v>596</v>
      </c>
      <c r="M82" s="16">
        <v>473</v>
      </c>
      <c r="N82" s="16">
        <v>1</v>
      </c>
      <c r="O82" s="17"/>
      <c r="P82" s="18">
        <v>43048.440405092595</v>
      </c>
      <c r="Q82" s="7" t="s">
        <v>200</v>
      </c>
      <c r="R82" s="7" t="s">
        <v>829</v>
      </c>
      <c r="S82" s="15"/>
      <c r="T82" s="8"/>
      <c r="U82" s="19" t="str">
        <f>HYPERLINK("https://pbs.twimg.com/profile_images/966416607563132930/uhoxd6wf.jpg","View")</f>
        <v>View</v>
      </c>
      <c r="V82" s="8"/>
      <c r="W82" s="8"/>
      <c r="X82" s="8"/>
      <c r="Y82" s="8"/>
      <c r="Z82" s="8"/>
    </row>
    <row r="83" spans="1:26" ht="12.75">
      <c r="A83" s="11">
        <v>43747.317002314812</v>
      </c>
      <c r="B83" s="12" t="str">
        <f>HYPERLINK("https://twitter.com/hakankanso","@hakankanso")</f>
        <v>@hakankanso</v>
      </c>
      <c r="C83" s="7" t="s">
        <v>832</v>
      </c>
      <c r="D83" s="13" t="s">
        <v>833</v>
      </c>
      <c r="E83" s="12" t="str">
        <f>HYPERLINK("https://twitter.com/hakankanso/status/1181941508443922437","1181941508443922437")</f>
        <v>1181941508443922437</v>
      </c>
      <c r="F83" s="8"/>
      <c r="G83" s="15"/>
      <c r="H83" s="8"/>
      <c r="I83" s="15">
        <v>0</v>
      </c>
      <c r="J83" s="15">
        <v>0</v>
      </c>
      <c r="K83" s="12" t="str">
        <f>HYPERLINK("https://mobile.twitter.com","Twitter Web App")</f>
        <v>Twitter Web App</v>
      </c>
      <c r="L83" s="16">
        <v>128</v>
      </c>
      <c r="M83" s="16">
        <v>80</v>
      </c>
      <c r="N83" s="16">
        <v>0</v>
      </c>
      <c r="O83" s="17"/>
      <c r="P83" s="18">
        <v>40103.449965277774</v>
      </c>
      <c r="Q83" s="7"/>
      <c r="R83" s="13"/>
      <c r="S83" s="15"/>
      <c r="T83" s="8"/>
      <c r="U83" s="19" t="str">
        <f>HYPERLINK("https://pbs.twimg.com/profile_images/1072183725889347584/ysAwu-R1.jpg","View")</f>
        <v>View</v>
      </c>
      <c r="V83" s="8"/>
      <c r="W83" s="8"/>
      <c r="X83" s="8"/>
      <c r="Y83" s="8"/>
      <c r="Z83" s="8"/>
    </row>
    <row r="84" spans="1:26" ht="12.75">
      <c r="A84" s="11">
        <v>43747.316979166666</v>
      </c>
      <c r="B84" s="12" t="str">
        <f>HYPERLINK("https://twitter.com/TurkmeneliCephe","@TurkmeneliCephe")</f>
        <v>@TurkmeneliCephe</v>
      </c>
      <c r="C84" s="7" t="s">
        <v>837</v>
      </c>
      <c r="D84" s="7" t="s">
        <v>838</v>
      </c>
      <c r="E84" s="12" t="str">
        <f>HYPERLINK("https://twitter.com/TurkmeneliCephe/status/1181941500055343105","1181941500055343105")</f>
        <v>1181941500055343105</v>
      </c>
      <c r="F84" s="8"/>
      <c r="G84" s="14" t="s">
        <v>839</v>
      </c>
      <c r="H84" s="8"/>
      <c r="I84" s="15">
        <v>3</v>
      </c>
      <c r="J84" s="15">
        <v>28</v>
      </c>
      <c r="K84" s="12" t="str">
        <f>HYPERLINK("http://twitter.com/download/iphone","Twitter for iPhone")</f>
        <v>Twitter for iPhone</v>
      </c>
      <c r="L84" s="16">
        <v>33426</v>
      </c>
      <c r="M84" s="16">
        <v>1014</v>
      </c>
      <c r="N84" s="16">
        <v>112</v>
      </c>
      <c r="O84" s="17"/>
      <c r="P84" s="18">
        <v>41964.393946759257</v>
      </c>
      <c r="Q84" s="7" t="s">
        <v>200</v>
      </c>
      <c r="R84" s="7" t="s">
        <v>845</v>
      </c>
      <c r="S84" s="14" t="s">
        <v>847</v>
      </c>
      <c r="T84" s="8"/>
      <c r="U84" s="19" t="str">
        <f>HYPERLINK("https://pbs.twimg.com/profile_images/1167184026425286660/0udvb3N8.jpg","View")</f>
        <v>View</v>
      </c>
      <c r="V84" s="8"/>
      <c r="W84" s="8"/>
      <c r="X84" s="8"/>
      <c r="Y84" s="8"/>
      <c r="Z84" s="8"/>
    </row>
    <row r="85" spans="1:26" ht="12.75">
      <c r="A85" s="11">
        <v>43747.316921296297</v>
      </c>
      <c r="B85" s="12" t="str">
        <f>HYPERLINK("https://twitter.com/MaryWil83974215","@MaryWil83974215")</f>
        <v>@MaryWil83974215</v>
      </c>
      <c r="C85" s="13" t="s">
        <v>850</v>
      </c>
      <c r="D85" s="7" t="s">
        <v>852</v>
      </c>
      <c r="E85" s="12" t="str">
        <f>HYPERLINK("https://twitter.com/MaryWil83974215/status/1181941476663578626","1181941476663578626")</f>
        <v>1181941476663578626</v>
      </c>
      <c r="F85" s="8"/>
      <c r="G85" s="14" t="s">
        <v>853</v>
      </c>
      <c r="H85" s="8"/>
      <c r="I85" s="15">
        <v>0</v>
      </c>
      <c r="J85" s="15">
        <v>2</v>
      </c>
      <c r="K85" s="12" t="str">
        <f>HYPERLINK("http://twitter.com/download/android","Twitter for Android")</f>
        <v>Twitter for Android</v>
      </c>
      <c r="L85" s="16">
        <v>1048</v>
      </c>
      <c r="M85" s="16">
        <v>2627</v>
      </c>
      <c r="N85" s="16">
        <v>0</v>
      </c>
      <c r="O85" s="17"/>
      <c r="P85" s="18">
        <v>43730.275300925925</v>
      </c>
      <c r="Q85" s="7" t="s">
        <v>857</v>
      </c>
      <c r="R85" s="7"/>
      <c r="S85" s="7"/>
      <c r="T85" s="8"/>
      <c r="U85" s="19" t="str">
        <f>HYPERLINK("https://pbs.twimg.com/profile_images/1179020705830035456/QOTOEQu-.jpg","View")</f>
        <v>View</v>
      </c>
      <c r="V85" s="8"/>
      <c r="W85" s="8"/>
      <c r="X85" s="8"/>
      <c r="Y85" s="8"/>
      <c r="Z85" s="8"/>
    </row>
    <row r="86" spans="1:26" ht="12.75">
      <c r="A86" s="11">
        <v>43747.316886574074</v>
      </c>
      <c r="B86" s="12" t="str">
        <f>HYPERLINK("https://twitter.com/erolsapaloglu","@erolsapaloglu")</f>
        <v>@erolsapaloglu</v>
      </c>
      <c r="C86" s="7" t="s">
        <v>858</v>
      </c>
      <c r="D86" s="7" t="s">
        <v>859</v>
      </c>
      <c r="E86" s="12" t="str">
        <f>HYPERLINK("https://twitter.com/erolsapaloglu/status/1181941466270179328","1181941466270179328")</f>
        <v>1181941466270179328</v>
      </c>
      <c r="F86" s="8"/>
      <c r="G86" s="7"/>
      <c r="H86" s="8"/>
      <c r="I86" s="15">
        <v>0</v>
      </c>
      <c r="J86" s="15">
        <v>2</v>
      </c>
      <c r="K86" s="12" t="str">
        <f>HYPERLINK("https://mobile.twitter.com","Twitter Web App")</f>
        <v>Twitter Web App</v>
      </c>
      <c r="L86" s="16">
        <v>9500</v>
      </c>
      <c r="M86" s="16">
        <v>6766</v>
      </c>
      <c r="N86" s="16">
        <v>1</v>
      </c>
      <c r="O86" s="17"/>
      <c r="P86" s="18">
        <v>40815.3515625</v>
      </c>
      <c r="Q86" s="7" t="s">
        <v>860</v>
      </c>
      <c r="R86" s="7" t="s">
        <v>861</v>
      </c>
      <c r="S86" s="14" t="s">
        <v>862</v>
      </c>
      <c r="T86" s="8"/>
      <c r="U86" s="19" t="str">
        <f>HYPERLINK("https://pbs.twimg.com/profile_images/1169625721326772224/tDCvmXhr.jpg","View")</f>
        <v>View</v>
      </c>
      <c r="V86" s="8"/>
      <c r="W86" s="8"/>
      <c r="X86" s="8"/>
      <c r="Y86" s="8"/>
      <c r="Z86" s="8"/>
    </row>
    <row r="87" spans="1:26" ht="12.75">
      <c r="A87" s="11">
        <v>43747.316851851851</v>
      </c>
      <c r="B87" s="12" t="str">
        <f>HYPERLINK("https://twitter.com/yokyokcom","@yokyokcom")</f>
        <v>@yokyokcom</v>
      </c>
      <c r="C87" s="7" t="s">
        <v>866</v>
      </c>
      <c r="D87" s="7" t="s">
        <v>867</v>
      </c>
      <c r="E87" s="12" t="str">
        <f>HYPERLINK("https://twitter.com/yokyokcom/status/1181941451107848193","1181941451107848193")</f>
        <v>1181941451107848193</v>
      </c>
      <c r="F87" s="8"/>
      <c r="G87" s="7"/>
      <c r="H87" s="8"/>
      <c r="I87" s="15">
        <v>0</v>
      </c>
      <c r="J87" s="15">
        <v>1</v>
      </c>
      <c r="K87" s="12" t="str">
        <f>HYPERLINK("https://mobile.twitter.com","Twitter Web App")</f>
        <v>Twitter Web App</v>
      </c>
      <c r="L87" s="16">
        <v>579</v>
      </c>
      <c r="M87" s="16">
        <v>1378</v>
      </c>
      <c r="N87" s="16">
        <v>1</v>
      </c>
      <c r="O87" s="17"/>
      <c r="P87" s="18">
        <v>42489.178611111114</v>
      </c>
      <c r="Q87" s="7" t="s">
        <v>868</v>
      </c>
      <c r="R87" s="7" t="s">
        <v>869</v>
      </c>
      <c r="S87" s="14" t="s">
        <v>870</v>
      </c>
      <c r="T87" s="8"/>
      <c r="U87" s="19" t="str">
        <f>HYPERLINK("https://pbs.twimg.com/profile_images/864245554049687552/3ZYrmbSP.jpg","View")</f>
        <v>View</v>
      </c>
      <c r="V87" s="8"/>
      <c r="W87" s="8"/>
      <c r="X87" s="8"/>
      <c r="Y87" s="8"/>
      <c r="Z87" s="8"/>
    </row>
    <row r="88" spans="1:26" ht="12.75">
      <c r="A88" s="11">
        <v>43747.316701388889</v>
      </c>
      <c r="B88" s="12" t="str">
        <f>HYPERLINK("https://twitter.com/Kaan_celik07","@Kaan_celik07")</f>
        <v>@Kaan_celik07</v>
      </c>
      <c r="C88" s="7" t="s">
        <v>877</v>
      </c>
      <c r="D88" s="7" t="s">
        <v>878</v>
      </c>
      <c r="E88" s="12" t="str">
        <f>HYPERLINK("https://twitter.com/Kaan_celik07/status/1181941399534604288","1181941399534604288")</f>
        <v>1181941399534604288</v>
      </c>
      <c r="F88" s="15"/>
      <c r="G88" s="14" t="s">
        <v>881</v>
      </c>
      <c r="H88" s="8"/>
      <c r="I88" s="15">
        <v>0</v>
      </c>
      <c r="J88" s="15">
        <v>2</v>
      </c>
      <c r="K88" s="12" t="str">
        <f>HYPERLINK("http://twitter.com/download/android","Twitter for Android")</f>
        <v>Twitter for Android</v>
      </c>
      <c r="L88" s="16">
        <v>671</v>
      </c>
      <c r="M88" s="16">
        <v>177</v>
      </c>
      <c r="N88" s="16">
        <v>2</v>
      </c>
      <c r="O88" s="17"/>
      <c r="P88" s="18">
        <v>40943.476782407408</v>
      </c>
      <c r="Q88" s="7" t="s">
        <v>313</v>
      </c>
      <c r="R88" s="7" t="s">
        <v>883</v>
      </c>
      <c r="S88" s="14" t="s">
        <v>884</v>
      </c>
      <c r="T88" s="8"/>
      <c r="U88" s="19" t="str">
        <f>HYPERLINK("https://pbs.twimg.com/profile_images/1107597905177780226/SJAAzNCV.jpg","View")</f>
        <v>View</v>
      </c>
      <c r="V88" s="8"/>
      <c r="W88" s="8"/>
      <c r="X88" s="8"/>
      <c r="Y88" s="8"/>
      <c r="Z88" s="8"/>
    </row>
    <row r="89" spans="1:26" ht="12.75">
      <c r="A89" s="11">
        <v>43747.316666666666</v>
      </c>
      <c r="B89" s="12" t="str">
        <f>HYPERLINK("https://twitter.com/svlsvn","@svlsvn")</f>
        <v>@svlsvn</v>
      </c>
      <c r="C89" s="7" t="s">
        <v>888</v>
      </c>
      <c r="D89" s="7" t="s">
        <v>889</v>
      </c>
      <c r="E89" s="12" t="str">
        <f>HYPERLINK("https://twitter.com/svlsvn/status/1181941388105195525","1181941388105195525")</f>
        <v>1181941388105195525</v>
      </c>
      <c r="F89" s="15"/>
      <c r="G89" s="15"/>
      <c r="H89" s="8"/>
      <c r="I89" s="15">
        <v>0</v>
      </c>
      <c r="J89" s="15">
        <v>0</v>
      </c>
      <c r="K89" s="12" t="str">
        <f>HYPERLINK("http://twitter.com/download/android","Twitter for Android")</f>
        <v>Twitter for Android</v>
      </c>
      <c r="L89" s="16">
        <v>121</v>
      </c>
      <c r="M89" s="16">
        <v>350</v>
      </c>
      <c r="N89" s="16">
        <v>2</v>
      </c>
      <c r="O89" s="17"/>
      <c r="P89" s="18">
        <v>41537.28396990741</v>
      </c>
      <c r="Q89" s="7" t="s">
        <v>890</v>
      </c>
      <c r="R89" s="7" t="s">
        <v>891</v>
      </c>
      <c r="S89" s="7"/>
      <c r="T89" s="8"/>
      <c r="U89" s="19" t="str">
        <f>HYPERLINK("https://pbs.twimg.com/profile_images/1113214427430572033/5AYSPYth.jpg","View")</f>
        <v>View</v>
      </c>
      <c r="V89" s="8"/>
      <c r="W89" s="8"/>
      <c r="X89" s="8"/>
      <c r="Y89" s="8"/>
      <c r="Z89" s="8"/>
    </row>
    <row r="90" spans="1:26" ht="12.75">
      <c r="A90" s="11">
        <v>43747.316655092596</v>
      </c>
      <c r="B90" s="12" t="str">
        <f>HYPERLINK("https://twitter.com/cenqzzkya","@cenqzzkya")</f>
        <v>@cenqzzkya</v>
      </c>
      <c r="C90" s="7" t="s">
        <v>892</v>
      </c>
      <c r="D90" s="7" t="s">
        <v>893</v>
      </c>
      <c r="E90" s="12" t="str">
        <f>HYPERLINK("https://twitter.com/cenqzzkya/status/1181941383705370624","1181941383705370624")</f>
        <v>1181941383705370624</v>
      </c>
      <c r="F90" s="15"/>
      <c r="G90" s="14" t="s">
        <v>894</v>
      </c>
      <c r="H90" s="8"/>
      <c r="I90" s="15">
        <v>0</v>
      </c>
      <c r="J90" s="15">
        <v>0</v>
      </c>
      <c r="K90" s="12" t="str">
        <f>HYPERLINK("http://twitter.com/download/android","Twitter for Android")</f>
        <v>Twitter for Android</v>
      </c>
      <c r="L90" s="16">
        <v>73</v>
      </c>
      <c r="M90" s="16">
        <v>192</v>
      </c>
      <c r="N90" s="16">
        <v>0</v>
      </c>
      <c r="O90" s="17"/>
      <c r="P90" s="18">
        <v>41624.196817129632</v>
      </c>
      <c r="Q90" s="7" t="s">
        <v>898</v>
      </c>
      <c r="R90" s="7" t="s">
        <v>899</v>
      </c>
      <c r="S90" s="15"/>
      <c r="T90" s="8"/>
      <c r="U90" s="19" t="str">
        <f>HYPERLINK("https://pbs.twimg.com/profile_images/1167364192120246272/zd8zKXr4.jpg","View")</f>
        <v>View</v>
      </c>
      <c r="V90" s="8"/>
      <c r="W90" s="8"/>
      <c r="X90" s="8"/>
      <c r="Y90" s="8"/>
      <c r="Z90" s="8"/>
    </row>
    <row r="91" spans="1:26" ht="12.75">
      <c r="A91" s="11">
        <v>43747.316527777773</v>
      </c>
      <c r="B91" s="12" t="str">
        <f>HYPERLINK("https://twitter.com/LmazerAbdullahy","@LmazerAbdullahy")</f>
        <v>@LmazerAbdullahy</v>
      </c>
      <c r="C91" s="7" t="s">
        <v>900</v>
      </c>
      <c r="D91" s="7" t="s">
        <v>901</v>
      </c>
      <c r="E91" s="12" t="str">
        <f>HYPERLINK("https://twitter.com/LmazerAbdullahy/status/1181941336091643909","1181941336091643909")</f>
        <v>1181941336091643909</v>
      </c>
      <c r="F91" s="15"/>
      <c r="G91" s="14" t="s">
        <v>902</v>
      </c>
      <c r="H91" s="8"/>
      <c r="I91" s="15">
        <v>0</v>
      </c>
      <c r="J91" s="15">
        <v>1</v>
      </c>
      <c r="K91" s="12" t="str">
        <f>HYPERLINK("http://twitter.com/download/iphone","Twitter for iPhone")</f>
        <v>Twitter for iPhone</v>
      </c>
      <c r="L91" s="16">
        <v>678</v>
      </c>
      <c r="M91" s="16">
        <v>3103</v>
      </c>
      <c r="N91" s="16">
        <v>0</v>
      </c>
      <c r="O91" s="17"/>
      <c r="P91" s="18">
        <v>43489.411238425921</v>
      </c>
      <c r="Q91" s="7"/>
      <c r="R91" s="7" t="s">
        <v>903</v>
      </c>
      <c r="S91" s="15"/>
      <c r="T91" s="8"/>
      <c r="U91" s="19" t="str">
        <f>HYPERLINK("https://pbs.twimg.com/profile_images/1148305029385904129/JQYHMZ1T.jpg","View")</f>
        <v>View</v>
      </c>
      <c r="V91" s="8"/>
      <c r="W91" s="8"/>
      <c r="X91" s="8"/>
      <c r="Y91" s="8"/>
      <c r="Z91" s="8"/>
    </row>
    <row r="92" spans="1:26" ht="12.75">
      <c r="A92" s="11">
        <v>43747.316504629634</v>
      </c>
      <c r="B92" s="12" t="str">
        <f>HYPERLINK("https://twitter.com/samettemurtass","@samettemurtass")</f>
        <v>@samettemurtass</v>
      </c>
      <c r="C92" s="7" t="s">
        <v>904</v>
      </c>
      <c r="D92" s="7" t="s">
        <v>905</v>
      </c>
      <c r="E92" s="12" t="str">
        <f>HYPERLINK("https://twitter.com/samettemurtass/status/1181941327690424320","1181941327690424320")</f>
        <v>1181941327690424320</v>
      </c>
      <c r="F92" s="8"/>
      <c r="G92" s="7"/>
      <c r="H92" s="8"/>
      <c r="I92" s="15">
        <v>0</v>
      </c>
      <c r="J92" s="15">
        <v>0</v>
      </c>
      <c r="K92" s="12" t="str">
        <f>HYPERLINK("http://twitter.com/download/android","Twitter for Android")</f>
        <v>Twitter for Android</v>
      </c>
      <c r="L92" s="16">
        <v>75</v>
      </c>
      <c r="M92" s="16">
        <v>74</v>
      </c>
      <c r="N92" s="16">
        <v>0</v>
      </c>
      <c r="O92" s="17"/>
      <c r="P92" s="18">
        <v>43472.43368055555</v>
      </c>
      <c r="Q92" s="7"/>
      <c r="R92" s="7" t="s">
        <v>908</v>
      </c>
      <c r="S92" s="14" t="s">
        <v>909</v>
      </c>
      <c r="T92" s="8"/>
      <c r="U92" s="19" t="str">
        <f>HYPERLINK("https://pbs.twimg.com/profile_images/1095392123023699969/BF1r5A-P.jpg","View")</f>
        <v>View</v>
      </c>
      <c r="V92" s="8"/>
      <c r="W92" s="8"/>
      <c r="X92" s="8"/>
      <c r="Y92" s="8"/>
      <c r="Z92" s="8"/>
    </row>
    <row r="93" spans="1:26" ht="12.75">
      <c r="A93" s="11">
        <v>43747.316458333335</v>
      </c>
      <c r="B93" s="12" t="str">
        <f>HYPERLINK("https://twitter.com/GS0LD13R","@GS0LD13R")</f>
        <v>@GS0LD13R</v>
      </c>
      <c r="C93" s="7" t="s">
        <v>915</v>
      </c>
      <c r="D93" s="7" t="s">
        <v>916</v>
      </c>
      <c r="E93" s="12" t="str">
        <f>HYPERLINK("https://twitter.com/GS0LD13R/status/1181941308522455042","1181941308522455042")</f>
        <v>1181941308522455042</v>
      </c>
      <c r="F93" s="15"/>
      <c r="G93" s="7"/>
      <c r="H93" s="8"/>
      <c r="I93" s="15">
        <v>0</v>
      </c>
      <c r="J93" s="15">
        <v>0</v>
      </c>
      <c r="K93" s="12" t="str">
        <f>HYPERLINK("http://twitter.com/download/android","Twitter for Android")</f>
        <v>Twitter for Android</v>
      </c>
      <c r="L93" s="16">
        <v>134</v>
      </c>
      <c r="M93" s="16">
        <v>353</v>
      </c>
      <c r="N93" s="16">
        <v>0</v>
      </c>
      <c r="O93" s="17"/>
      <c r="P93" s="18">
        <v>40692.621817129628</v>
      </c>
      <c r="Q93" s="7" t="s">
        <v>918</v>
      </c>
      <c r="R93" s="7" t="s">
        <v>919</v>
      </c>
      <c r="S93" s="15"/>
      <c r="T93" s="8"/>
      <c r="U93" s="19" t="str">
        <f>HYPERLINK("https://pbs.twimg.com/profile_images/913166200321998853/hzmMxqob.jpg","View")</f>
        <v>View</v>
      </c>
      <c r="V93" s="8"/>
      <c r="W93" s="8"/>
      <c r="X93" s="8"/>
      <c r="Y93" s="8"/>
      <c r="Z93" s="8"/>
    </row>
    <row r="94" spans="1:26" ht="12.75">
      <c r="A94" s="11">
        <v>43747.316388888888</v>
      </c>
      <c r="B94" s="12" t="str">
        <f>HYPERLINK("https://twitter.com/mahfi____","@mahfi____")</f>
        <v>@mahfi____</v>
      </c>
      <c r="C94" s="7" t="s">
        <v>927</v>
      </c>
      <c r="D94" s="7" t="s">
        <v>901</v>
      </c>
      <c r="E94" s="12" t="str">
        <f>HYPERLINK("https://twitter.com/mahfi____/status/1181941284237402112","1181941284237402112")</f>
        <v>1181941284237402112</v>
      </c>
      <c r="F94" s="8"/>
      <c r="G94" s="14" t="s">
        <v>930</v>
      </c>
      <c r="H94" s="8"/>
      <c r="I94" s="15">
        <v>1</v>
      </c>
      <c r="J94" s="15">
        <v>2</v>
      </c>
      <c r="K94" s="12" t="str">
        <f>HYPERLINK("http://twitter.com/download/android","Twitter for Android")</f>
        <v>Twitter for Android</v>
      </c>
      <c r="L94" s="16">
        <v>246</v>
      </c>
      <c r="M94" s="16">
        <v>1166</v>
      </c>
      <c r="N94" s="16">
        <v>0</v>
      </c>
      <c r="O94" s="17"/>
      <c r="P94" s="18">
        <v>42969.298206018517</v>
      </c>
      <c r="Q94" s="7" t="s">
        <v>934</v>
      </c>
      <c r="R94" s="7" t="s">
        <v>935</v>
      </c>
      <c r="S94" s="7"/>
      <c r="T94" s="8"/>
      <c r="U94" s="19" t="str">
        <f>HYPERLINK("https://pbs.twimg.com/profile_images/1073699878843355136/flXioOSD.jpg","View")</f>
        <v>View</v>
      </c>
      <c r="V94" s="8"/>
      <c r="W94" s="8"/>
      <c r="X94" s="8"/>
      <c r="Y94" s="8"/>
      <c r="Z94" s="8"/>
    </row>
    <row r="95" spans="1:26" ht="12.75">
      <c r="A95" s="11">
        <v>43747.316261574073</v>
      </c>
      <c r="B95" s="12" t="str">
        <f>HYPERLINK("https://twitter.com/akilknurRTE3","@akilknurRTE3")</f>
        <v>@akilknurRTE3</v>
      </c>
      <c r="C95" s="7" t="s">
        <v>946</v>
      </c>
      <c r="D95" s="7" t="s">
        <v>947</v>
      </c>
      <c r="E95" s="12" t="str">
        <f>HYPERLINK("https://twitter.com/akilknurRTE3/status/1181941237764575232","1181941237764575232")</f>
        <v>1181941237764575232</v>
      </c>
      <c r="F95" s="15"/>
      <c r="G95" s="14" t="s">
        <v>948</v>
      </c>
      <c r="H95" s="8"/>
      <c r="I95" s="15">
        <v>0</v>
      </c>
      <c r="J95" s="15">
        <v>0</v>
      </c>
      <c r="K95" s="12" t="str">
        <f>HYPERLINK("http://twitter.com/download/android","Twitter for Android")</f>
        <v>Twitter for Android</v>
      </c>
      <c r="L95" s="16">
        <v>5277</v>
      </c>
      <c r="M95" s="16">
        <v>5246</v>
      </c>
      <c r="N95" s="16">
        <v>2</v>
      </c>
      <c r="O95" s="17"/>
      <c r="P95" s="18">
        <v>43097.084826388891</v>
      </c>
      <c r="Q95" s="7"/>
      <c r="R95" s="7" t="s">
        <v>954</v>
      </c>
      <c r="S95" s="15"/>
      <c r="T95" s="8"/>
      <c r="U95" s="19" t="str">
        <f>HYPERLINK("https://pbs.twimg.com/profile_images/1161662909828796416/JNEPMIrs.jpg","View")</f>
        <v>View</v>
      </c>
      <c r="V95" s="8"/>
      <c r="W95" s="8"/>
      <c r="X95" s="8"/>
      <c r="Y95" s="8"/>
      <c r="Z95" s="8"/>
    </row>
    <row r="96" spans="1:26" ht="12.75">
      <c r="A96" s="11">
        <v>43747.31622685185</v>
      </c>
      <c r="B96" s="12" t="str">
        <f>HYPERLINK("https://twitter.com/metocumhur","@metocumhur")</f>
        <v>@metocumhur</v>
      </c>
      <c r="C96" s="7" t="s">
        <v>956</v>
      </c>
      <c r="D96" s="7" t="s">
        <v>957</v>
      </c>
      <c r="E96" s="12" t="str">
        <f>HYPERLINK("https://twitter.com/metocumhur/status/1181941224787365889","1181941224787365889")</f>
        <v>1181941224787365889</v>
      </c>
      <c r="F96" s="7"/>
      <c r="G96" s="14" t="s">
        <v>958</v>
      </c>
      <c r="H96" s="8"/>
      <c r="I96" s="15">
        <v>2</v>
      </c>
      <c r="J96" s="15">
        <v>18</v>
      </c>
      <c r="K96" s="12" t="str">
        <f>HYPERLINK("http://twitter.com/download/iphone","Twitter for iPhone")</f>
        <v>Twitter for iPhone</v>
      </c>
      <c r="L96" s="16">
        <v>7485</v>
      </c>
      <c r="M96" s="16">
        <v>8084</v>
      </c>
      <c r="N96" s="16">
        <v>0</v>
      </c>
      <c r="O96" s="17"/>
      <c r="P96" s="18">
        <v>43109.296689814815</v>
      </c>
      <c r="Q96" s="7" t="s">
        <v>200</v>
      </c>
      <c r="R96" s="7" t="s">
        <v>960</v>
      </c>
      <c r="S96" s="14" t="s">
        <v>962</v>
      </c>
      <c r="T96" s="8"/>
      <c r="U96" s="19" t="str">
        <f>HYPERLINK("https://pbs.twimg.com/profile_images/1168412408173486081/6LkelHoe.jpg","View")</f>
        <v>View</v>
      </c>
      <c r="V96" s="8"/>
      <c r="W96" s="8"/>
      <c r="X96" s="8"/>
      <c r="Y96" s="8"/>
      <c r="Z96" s="8"/>
    </row>
    <row r="97" spans="1:26" ht="12.75">
      <c r="A97" s="11">
        <v>43747.316157407404</v>
      </c>
      <c r="B97" s="12" t="str">
        <f>HYPERLINK("https://twitter.com/derya6734","@derya6734")</f>
        <v>@derya6734</v>
      </c>
      <c r="C97" s="7" t="s">
        <v>965</v>
      </c>
      <c r="D97" s="7" t="s">
        <v>966</v>
      </c>
      <c r="E97" s="12" t="str">
        <f>HYPERLINK("https://twitter.com/derya6734/status/1181941203560013824","1181941203560013824")</f>
        <v>1181941203560013824</v>
      </c>
      <c r="F97" s="8"/>
      <c r="G97" s="15"/>
      <c r="H97" s="8"/>
      <c r="I97" s="15">
        <v>0</v>
      </c>
      <c r="J97" s="15">
        <v>0</v>
      </c>
      <c r="K97" s="12" t="str">
        <f>HYPERLINK("http://twitter.com/download/android","Twitter for Android")</f>
        <v>Twitter for Android</v>
      </c>
      <c r="L97" s="16">
        <v>73</v>
      </c>
      <c r="M97" s="16">
        <v>634</v>
      </c>
      <c r="N97" s="16">
        <v>0</v>
      </c>
      <c r="O97" s="17"/>
      <c r="P97" s="18">
        <v>43627.407534722224</v>
      </c>
      <c r="Q97" s="7" t="s">
        <v>970</v>
      </c>
      <c r="R97" s="7" t="s">
        <v>971</v>
      </c>
      <c r="S97" s="7"/>
      <c r="T97" s="8"/>
      <c r="U97" s="19" t="str">
        <f>HYPERLINK("https://pbs.twimg.com/profile_images/1180236388353986560/H0zJpaNz.jpg","View")</f>
        <v>View</v>
      </c>
      <c r="V97" s="8"/>
      <c r="W97" s="8"/>
      <c r="X97" s="8"/>
      <c r="Y97" s="8"/>
      <c r="Z97" s="8"/>
    </row>
    <row r="98" spans="1:26" ht="12.75">
      <c r="A98" s="11">
        <v>43747.316145833334</v>
      </c>
      <c r="B98" s="12" t="str">
        <f>HYPERLINK("https://twitter.com/Anda_Ottoman","@Anda_Ottoman")</f>
        <v>@Anda_Ottoman</v>
      </c>
      <c r="C98" s="7" t="s">
        <v>974</v>
      </c>
      <c r="D98" s="7" t="s">
        <v>976</v>
      </c>
      <c r="E98" s="12" t="str">
        <f>HYPERLINK("https://twitter.com/Anda_Ottoman/status/1181941197843107842","1181941197843107842")</f>
        <v>1181941197843107842</v>
      </c>
      <c r="F98" s="15"/>
      <c r="G98" s="7"/>
      <c r="H98" s="8"/>
      <c r="I98" s="15">
        <v>0</v>
      </c>
      <c r="J98" s="15">
        <v>0</v>
      </c>
      <c r="K98" s="12" t="str">
        <f>HYPERLINK("http://twitter.com/download/android","Twitter for Android")</f>
        <v>Twitter for Android</v>
      </c>
      <c r="L98" s="16">
        <v>138</v>
      </c>
      <c r="M98" s="16">
        <v>84</v>
      </c>
      <c r="N98" s="16">
        <v>1</v>
      </c>
      <c r="O98" s="17"/>
      <c r="P98" s="18">
        <v>41887.694027777776</v>
      </c>
      <c r="Q98" s="7" t="s">
        <v>979</v>
      </c>
      <c r="R98" s="7" t="s">
        <v>980</v>
      </c>
      <c r="S98" s="7"/>
      <c r="T98" s="8"/>
      <c r="U98" s="19" t="str">
        <f>HYPERLINK("https://pbs.twimg.com/profile_images/1151038725985636352/8TTn_Lbd.jpg","View")</f>
        <v>View</v>
      </c>
      <c r="V98" s="8"/>
      <c r="W98" s="8"/>
      <c r="X98" s="8"/>
      <c r="Y98" s="8"/>
      <c r="Z98" s="8"/>
    </row>
    <row r="99" spans="1:26" ht="12.75">
      <c r="A99" s="11">
        <v>43747.316145833334</v>
      </c>
      <c r="B99" s="12" t="str">
        <f>HYPERLINK("https://twitter.com/takvim","@takvim")</f>
        <v>@takvim</v>
      </c>
      <c r="C99" s="7" t="s">
        <v>981</v>
      </c>
      <c r="D99" s="7" t="s">
        <v>982</v>
      </c>
      <c r="E99" s="12" t="str">
        <f>HYPERLINK("https://twitter.com/takvim/status/1181941196853256192","1181941196853256192")</f>
        <v>1181941196853256192</v>
      </c>
      <c r="F99" s="14" t="s">
        <v>983</v>
      </c>
      <c r="G99" s="7"/>
      <c r="H99" s="8"/>
      <c r="I99" s="15">
        <v>2</v>
      </c>
      <c r="J99" s="15">
        <v>4</v>
      </c>
      <c r="K99" s="12" t="str">
        <f>HYPERLINK("http://www.takvim.com.tr","PostMessagesForTakvim")</f>
        <v>PostMessagesForTakvim</v>
      </c>
      <c r="L99" s="16">
        <v>163120</v>
      </c>
      <c r="M99" s="16">
        <v>10</v>
      </c>
      <c r="N99" s="16">
        <v>460</v>
      </c>
      <c r="O99" s="17" t="s">
        <v>984</v>
      </c>
      <c r="P99" s="18">
        <v>40100.666446759264</v>
      </c>
      <c r="Q99" s="7" t="s">
        <v>313</v>
      </c>
      <c r="R99" s="7" t="s">
        <v>985</v>
      </c>
      <c r="S99" s="14" t="s">
        <v>986</v>
      </c>
      <c r="T99" s="8"/>
      <c r="U99" s="19" t="str">
        <f>HYPERLINK("https://pbs.twimg.com/profile_images/565099231518531584/ce4aksOj.jpeg","View")</f>
        <v>View</v>
      </c>
      <c r="V99" s="8"/>
      <c r="W99" s="8"/>
      <c r="X99" s="8"/>
      <c r="Y99" s="8"/>
      <c r="Z99" s="8"/>
    </row>
    <row r="100" spans="1:26" ht="12.75">
      <c r="A100" s="11">
        <v>43747.316111111111</v>
      </c>
      <c r="B100" s="12" t="str">
        <f>HYPERLINK("https://twitter.com/ErmanDincel","@ErmanDincel")</f>
        <v>@ErmanDincel</v>
      </c>
      <c r="C100" s="7" t="s">
        <v>987</v>
      </c>
      <c r="D100" s="7" t="s">
        <v>988</v>
      </c>
      <c r="E100" s="12" t="str">
        <f>HYPERLINK("https://twitter.com/ErmanDincel/status/1181941184723243008","1181941184723243008")</f>
        <v>1181941184723243008</v>
      </c>
      <c r="F100" s="8"/>
      <c r="G100" s="14" t="s">
        <v>989</v>
      </c>
      <c r="H100" s="8"/>
      <c r="I100" s="15">
        <v>0</v>
      </c>
      <c r="J100" s="15">
        <v>1</v>
      </c>
      <c r="K100" s="12" t="str">
        <f>HYPERLINK("http://twitter.com/download/iphone","Twitter for iPhone")</f>
        <v>Twitter for iPhone</v>
      </c>
      <c r="L100" s="16">
        <v>591</v>
      </c>
      <c r="M100" s="16">
        <v>813</v>
      </c>
      <c r="N100" s="16">
        <v>2</v>
      </c>
      <c r="O100" s="17"/>
      <c r="P100" s="18">
        <v>40731.237118055556</v>
      </c>
      <c r="Q100" s="7" t="s">
        <v>993</v>
      </c>
      <c r="R100" s="7" t="s">
        <v>994</v>
      </c>
      <c r="S100" s="15"/>
      <c r="T100" s="8"/>
      <c r="U100" s="19" t="str">
        <f>HYPERLINK("https://pbs.twimg.com/profile_images/1171818128764002305/u6b_Jvli.jpg","View")</f>
        <v>View</v>
      </c>
      <c r="V100" s="8"/>
      <c r="W100" s="8"/>
      <c r="X100" s="8"/>
      <c r="Y100" s="8"/>
      <c r="Z100" s="8"/>
    </row>
    <row r="101" spans="1:26" ht="12.75">
      <c r="A101" s="11">
        <v>43747.316076388888</v>
      </c>
      <c r="B101" s="12" t="str">
        <f>HYPERLINK("https://twitter.com/welat1917","@welat1917")</f>
        <v>@welat1917</v>
      </c>
      <c r="C101" s="7" t="s">
        <v>995</v>
      </c>
      <c r="D101" s="7" t="s">
        <v>996</v>
      </c>
      <c r="E101" s="12" t="str">
        <f>HYPERLINK("https://twitter.com/welat1917/status/1181941173008715776","1181941173008715776")</f>
        <v>1181941173008715776</v>
      </c>
      <c r="F101" s="14" t="s">
        <v>999</v>
      </c>
      <c r="G101" s="14" t="s">
        <v>1001</v>
      </c>
      <c r="H101" s="8"/>
      <c r="I101" s="15">
        <v>0</v>
      </c>
      <c r="J101" s="15">
        <v>0</v>
      </c>
      <c r="K101" s="12" t="str">
        <f>HYPERLINK("http://twitter.com/download/android","Twitter for Android")</f>
        <v>Twitter for Android</v>
      </c>
      <c r="L101" s="16">
        <v>69</v>
      </c>
      <c r="M101" s="16">
        <v>444</v>
      </c>
      <c r="N101" s="16">
        <v>0</v>
      </c>
      <c r="O101" s="17"/>
      <c r="P101" s="18">
        <v>43664.445347222223</v>
      </c>
      <c r="Q101" s="7" t="s">
        <v>1004</v>
      </c>
      <c r="R101" s="7" t="s">
        <v>1005</v>
      </c>
      <c r="S101" s="7"/>
      <c r="T101" s="8"/>
      <c r="U101" s="19" t="str">
        <f>HYPERLINK("https://pbs.twimg.com/profile_images/1181903745891934208/xlm7w1qD.jpg","View")</f>
        <v>View</v>
      </c>
      <c r="V101" s="8"/>
      <c r="W101" s="8"/>
      <c r="X101" s="8"/>
      <c r="Y101" s="8"/>
      <c r="Z101" s="8"/>
    </row>
    <row r="102" spans="1:26" ht="12.75">
      <c r="A102" s="11">
        <v>43747.316053240742</v>
      </c>
      <c r="B102" s="12" t="str">
        <f>HYPERLINK("https://twitter.com/eagleshain","@eagleshain")</f>
        <v>@eagleshain</v>
      </c>
      <c r="C102" s="7" t="s">
        <v>1007</v>
      </c>
      <c r="D102" s="7" t="s">
        <v>1008</v>
      </c>
      <c r="E102" s="12" t="str">
        <f>HYPERLINK("https://twitter.com/eagleshain/status/1181941165169483777","1181941165169483777")</f>
        <v>1181941165169483777</v>
      </c>
      <c r="F102" s="8"/>
      <c r="G102" s="14" t="s">
        <v>1009</v>
      </c>
      <c r="H102" s="8"/>
      <c r="I102" s="15">
        <v>0</v>
      </c>
      <c r="J102" s="15">
        <v>2</v>
      </c>
      <c r="K102" s="12" t="str">
        <f>HYPERLINK("http://twitter.com/download/android","Twitter for Android")</f>
        <v>Twitter for Android</v>
      </c>
      <c r="L102" s="16">
        <v>439</v>
      </c>
      <c r="M102" s="16">
        <v>542</v>
      </c>
      <c r="N102" s="16">
        <v>0</v>
      </c>
      <c r="O102" s="17"/>
      <c r="P102" s="18">
        <v>43303.185520833329</v>
      </c>
      <c r="Q102" s="7"/>
      <c r="R102" s="7" t="s">
        <v>1013</v>
      </c>
      <c r="S102" s="7"/>
      <c r="T102" s="8"/>
      <c r="U102" s="19" t="str">
        <f>HYPERLINK("https://pbs.twimg.com/profile_images/1181372674112720896/j0qqC8Vk.jpg","View")</f>
        <v>View</v>
      </c>
      <c r="V102" s="8"/>
      <c r="W102" s="8"/>
      <c r="X102" s="8"/>
      <c r="Y102" s="8"/>
      <c r="Z102" s="8"/>
    </row>
    <row r="103" spans="1:26" ht="12.75">
      <c r="A103" s="11">
        <v>43747.316053240742</v>
      </c>
      <c r="B103" s="12" t="str">
        <f>HYPERLINK("https://twitter.com/sahmalazgirt","@sahmalazgirt")</f>
        <v>@sahmalazgirt</v>
      </c>
      <c r="C103" s="7" t="s">
        <v>1014</v>
      </c>
      <c r="D103" s="7" t="s">
        <v>1015</v>
      </c>
      <c r="E103" s="12" t="str">
        <f>HYPERLINK("https://twitter.com/sahmalazgirt/status/1181941163965734912","1181941163965734912")</f>
        <v>1181941163965734912</v>
      </c>
      <c r="F103" s="15"/>
      <c r="G103" s="15"/>
      <c r="H103" s="8"/>
      <c r="I103" s="15">
        <v>1</v>
      </c>
      <c r="J103" s="15">
        <v>4</v>
      </c>
      <c r="K103" s="12" t="str">
        <f>HYPERLINK("http://twitter.com/download/android","Twitter for Android")</f>
        <v>Twitter for Android</v>
      </c>
      <c r="L103" s="16">
        <v>2590</v>
      </c>
      <c r="M103" s="16">
        <v>65</v>
      </c>
      <c r="N103" s="16">
        <v>9</v>
      </c>
      <c r="O103" s="17"/>
      <c r="P103" s="18">
        <v>43194.482731481483</v>
      </c>
      <c r="Q103" s="7" t="s">
        <v>200</v>
      </c>
      <c r="R103" s="7" t="s">
        <v>1016</v>
      </c>
      <c r="S103" s="7"/>
      <c r="T103" s="8"/>
      <c r="U103" s="19" t="str">
        <f>HYPERLINK("https://pbs.twimg.com/profile_images/1181615656082530304/wQTdLuJn.jpg","View")</f>
        <v>View</v>
      </c>
      <c r="V103" s="8"/>
      <c r="W103" s="8"/>
      <c r="X103" s="8"/>
      <c r="Y103" s="8"/>
      <c r="Z103" s="8"/>
    </row>
    <row r="104" spans="1:26" ht="12.75">
      <c r="A104" s="11">
        <v>43747.315868055557</v>
      </c>
      <c r="B104" s="12" t="str">
        <f>HYPERLINK("https://twitter.com/pinarharekati","@pinarharekati")</f>
        <v>@pinarharekati</v>
      </c>
      <c r="C104" s="7" t="s">
        <v>1019</v>
      </c>
      <c r="D104" s="7" t="s">
        <v>1020</v>
      </c>
      <c r="E104" s="12" t="str">
        <f>HYPERLINK("https://twitter.com/pinarharekati/status/1181941095359553537","1181941095359553537")</f>
        <v>1181941095359553537</v>
      </c>
      <c r="F104" s="8"/>
      <c r="G104" s="14" t="s">
        <v>1021</v>
      </c>
      <c r="H104" s="8"/>
      <c r="I104" s="15">
        <v>6</v>
      </c>
      <c r="J104" s="15">
        <v>23</v>
      </c>
      <c r="K104" s="12" t="str">
        <f>HYPERLINK("https://mobile.twitter.com","Twitter Web App")</f>
        <v>Twitter Web App</v>
      </c>
      <c r="L104" s="16">
        <v>8649</v>
      </c>
      <c r="M104" s="16">
        <v>8</v>
      </c>
      <c r="N104" s="16">
        <v>16</v>
      </c>
      <c r="O104" s="17"/>
      <c r="P104" s="18">
        <v>42208.21293981481</v>
      </c>
      <c r="Q104" s="7"/>
      <c r="R104" s="7" t="s">
        <v>1025</v>
      </c>
      <c r="S104" s="7"/>
      <c r="T104" s="8"/>
      <c r="U104" s="19" t="str">
        <f>HYPERLINK("https://pbs.twimg.com/profile_images/1180923921476063232/374GGzHt.jpg","View")</f>
        <v>View</v>
      </c>
      <c r="V104" s="8"/>
      <c r="W104" s="8"/>
      <c r="X104" s="8"/>
      <c r="Y104" s="8"/>
      <c r="Z104" s="8"/>
    </row>
    <row r="105" spans="1:26" ht="12.75">
      <c r="A105" s="11">
        <v>43747.315833333334</v>
      </c>
      <c r="B105" s="12" t="str">
        <f>HYPERLINK("https://twitter.com/yusufhanedangil","@yusufhanedangil")</f>
        <v>@yusufhanedangil</v>
      </c>
      <c r="C105" s="7" t="s">
        <v>1026</v>
      </c>
      <c r="D105" s="7" t="s">
        <v>1027</v>
      </c>
      <c r="E105" s="12" t="str">
        <f>HYPERLINK("https://twitter.com/yusufhanedangil/status/1181941085360267268","1181941085360267268")</f>
        <v>1181941085360267268</v>
      </c>
      <c r="F105" s="8"/>
      <c r="G105" s="14" t="s">
        <v>1028</v>
      </c>
      <c r="H105" s="8"/>
      <c r="I105" s="15">
        <v>1</v>
      </c>
      <c r="J105" s="15">
        <v>5</v>
      </c>
      <c r="K105" s="12" t="str">
        <f>HYPERLINK("http://twitter.com/download/android","Twitter for Android")</f>
        <v>Twitter for Android</v>
      </c>
      <c r="L105" s="16">
        <v>1202</v>
      </c>
      <c r="M105" s="16">
        <v>160</v>
      </c>
      <c r="N105" s="16">
        <v>0</v>
      </c>
      <c r="O105" s="17"/>
      <c r="P105" s="18">
        <v>42715.608310185184</v>
      </c>
      <c r="Q105" s="7" t="s">
        <v>1032</v>
      </c>
      <c r="R105" s="7" t="s">
        <v>1033</v>
      </c>
      <c r="S105" s="7"/>
      <c r="T105" s="8"/>
      <c r="U105" s="19" t="str">
        <f>HYPERLINK("https://pbs.twimg.com/profile_images/948277731300724736/AcNNPoRE.jpg","View")</f>
        <v>View</v>
      </c>
      <c r="V105" s="8"/>
      <c r="W105" s="8"/>
      <c r="X105" s="8"/>
      <c r="Y105" s="8"/>
      <c r="Z105" s="8"/>
    </row>
    <row r="106" spans="1:26" ht="12.75">
      <c r="A106" s="11">
        <v>43747.315740740742</v>
      </c>
      <c r="B106" s="12" t="str">
        <f>HYPERLINK("https://twitter.com/Kuantum11","@Kuantum11")</f>
        <v>@Kuantum11</v>
      </c>
      <c r="C106" s="7" t="s">
        <v>1038</v>
      </c>
      <c r="D106" s="7" t="s">
        <v>1039</v>
      </c>
      <c r="E106" s="12" t="str">
        <f>HYPERLINK("https://twitter.com/Kuantum11/status/1181941052506292225","1181941052506292225")</f>
        <v>1181941052506292225</v>
      </c>
      <c r="F106" s="8"/>
      <c r="G106" s="15"/>
      <c r="H106" s="8"/>
      <c r="I106" s="15">
        <v>0</v>
      </c>
      <c r="J106" s="15">
        <v>0</v>
      </c>
      <c r="K106" s="12" t="str">
        <f>HYPERLINK("http://twitter.com/download/android","Twitter for Android")</f>
        <v>Twitter for Android</v>
      </c>
      <c r="L106" s="16">
        <v>2892</v>
      </c>
      <c r="M106" s="16">
        <v>2407</v>
      </c>
      <c r="N106" s="16">
        <v>9</v>
      </c>
      <c r="O106" s="17"/>
      <c r="P106" s="18">
        <v>41741.3433912037</v>
      </c>
      <c r="Q106" s="7" t="s">
        <v>1040</v>
      </c>
      <c r="R106" s="7" t="s">
        <v>1041</v>
      </c>
      <c r="S106" s="15"/>
      <c r="T106" s="8"/>
      <c r="U106" s="19" t="str">
        <f>HYPERLINK("https://pbs.twimg.com/profile_images/1113834342302797824/cFsVcZFt.jpg","View")</f>
        <v>View</v>
      </c>
      <c r="V106" s="8"/>
      <c r="W106" s="8"/>
      <c r="X106" s="8"/>
      <c r="Y106" s="8"/>
      <c r="Z106" s="8"/>
    </row>
    <row r="107" spans="1:26" ht="12.75">
      <c r="A107" s="11">
        <v>43747.315729166672</v>
      </c>
      <c r="B107" s="12" t="str">
        <f>HYPERLINK("https://twitter.com/HuseyinTuran_20","@HuseyinTuran_20")</f>
        <v>@HuseyinTuran_20</v>
      </c>
      <c r="C107" s="7" t="s">
        <v>1044</v>
      </c>
      <c r="D107" s="7" t="s">
        <v>1045</v>
      </c>
      <c r="E107" s="12" t="str">
        <f>HYPERLINK("https://twitter.com/HuseyinTuran_20/status/1181941046349062144","1181941046349062144")</f>
        <v>1181941046349062144</v>
      </c>
      <c r="F107" s="8"/>
      <c r="G107" s="15"/>
      <c r="H107" s="8"/>
      <c r="I107" s="15">
        <v>0</v>
      </c>
      <c r="J107" s="15">
        <v>0</v>
      </c>
      <c r="K107" s="12" t="str">
        <f>HYPERLINK("http://twitter.com/download/android","Twitter for Android")</f>
        <v>Twitter for Android</v>
      </c>
      <c r="L107" s="16">
        <v>171</v>
      </c>
      <c r="M107" s="16">
        <v>1831</v>
      </c>
      <c r="N107" s="16">
        <v>0</v>
      </c>
      <c r="O107" s="17"/>
      <c r="P107" s="18">
        <v>43718.558530092589</v>
      </c>
      <c r="Q107" s="7"/>
      <c r="R107" s="7" t="s">
        <v>1047</v>
      </c>
      <c r="S107" s="7"/>
      <c r="T107" s="8"/>
      <c r="U107" s="19" t="str">
        <f>HYPERLINK("https://pbs.twimg.com/profile_images/1181325232532885505/ZgIcDpU9.jpg","View")</f>
        <v>View</v>
      </c>
      <c r="V107" s="8"/>
      <c r="W107" s="8"/>
      <c r="X107" s="8"/>
      <c r="Y107" s="8"/>
      <c r="Z107" s="8"/>
    </row>
    <row r="108" spans="1:26" ht="12.75">
      <c r="A108" s="11">
        <v>43747.315706018519</v>
      </c>
      <c r="B108" s="12" t="str">
        <f>HYPERLINK("https://twitter.com/hseyin_altnok","@hseyin_altnok")</f>
        <v>@hseyin_altnok</v>
      </c>
      <c r="C108" s="7" t="s">
        <v>1048</v>
      </c>
      <c r="D108" s="7" t="s">
        <v>1049</v>
      </c>
      <c r="E108" s="12" t="str">
        <f>HYPERLINK("https://twitter.com/hseyin_altnok/status/1181941038207897600","1181941038207897600")</f>
        <v>1181941038207897600</v>
      </c>
      <c r="F108" s="8"/>
      <c r="G108" s="14" t="s">
        <v>1050</v>
      </c>
      <c r="H108" s="8"/>
      <c r="I108" s="15">
        <v>0</v>
      </c>
      <c r="J108" s="15">
        <v>0</v>
      </c>
      <c r="K108" s="12" t="str">
        <f>HYPERLINK("http://twitter.com/download/android","Twitter for Android")</f>
        <v>Twitter for Android</v>
      </c>
      <c r="L108" s="16">
        <v>48</v>
      </c>
      <c r="M108" s="16">
        <v>238</v>
      </c>
      <c r="N108" s="16">
        <v>0</v>
      </c>
      <c r="O108" s="17"/>
      <c r="P108" s="18">
        <v>41237.474629629629</v>
      </c>
      <c r="Q108" s="7" t="s">
        <v>1051</v>
      </c>
      <c r="R108" s="7"/>
      <c r="S108" s="15"/>
      <c r="T108" s="8"/>
      <c r="U108" s="19" t="str">
        <f>HYPERLINK("https://pbs.twimg.com/profile_images/586541149294215169/0ZBzci2h.jpg","View")</f>
        <v>View</v>
      </c>
      <c r="V108" s="8"/>
      <c r="W108" s="8"/>
      <c r="X108" s="8"/>
      <c r="Y108" s="8"/>
      <c r="Z108" s="8"/>
    </row>
    <row r="109" spans="1:26" ht="12.75">
      <c r="A109" s="11">
        <v>43747.315694444449</v>
      </c>
      <c r="B109" s="12" t="str">
        <f>HYPERLINK("https://twitter.com/KingYujin2","@KingYujin2")</f>
        <v>@KingYujin2</v>
      </c>
      <c r="C109" s="7" t="s">
        <v>1055</v>
      </c>
      <c r="D109" s="7" t="s">
        <v>1056</v>
      </c>
      <c r="E109" s="12" t="str">
        <f>HYPERLINK("https://twitter.com/KingYujin2/status/1181941035540328449","1181941035540328449")</f>
        <v>1181941035540328449</v>
      </c>
      <c r="F109" s="8"/>
      <c r="G109" s="14" t="s">
        <v>1057</v>
      </c>
      <c r="H109" s="8"/>
      <c r="I109" s="15">
        <v>0</v>
      </c>
      <c r="J109" s="15">
        <v>3</v>
      </c>
      <c r="K109" s="12" t="str">
        <f>HYPERLINK("http://twitter.com/download/android","Twitter for Android")</f>
        <v>Twitter for Android</v>
      </c>
      <c r="L109" s="16">
        <v>21</v>
      </c>
      <c r="M109" s="16">
        <v>445</v>
      </c>
      <c r="N109" s="16">
        <v>0</v>
      </c>
      <c r="O109" s="17"/>
      <c r="P109" s="18">
        <v>43483.295023148152</v>
      </c>
      <c r="Q109" s="7"/>
      <c r="R109" s="7" t="s">
        <v>1060</v>
      </c>
      <c r="S109" s="7"/>
      <c r="T109" s="8"/>
      <c r="U109" s="19" t="str">
        <f>HYPERLINK("https://pbs.twimg.com/profile_images/1181942483405742080/KY0mFnNi.jpg","View")</f>
        <v>View</v>
      </c>
      <c r="V109" s="8"/>
      <c r="W109" s="8"/>
      <c r="X109" s="8"/>
      <c r="Y109" s="8"/>
      <c r="Z109" s="8"/>
    </row>
    <row r="110" spans="1:26" ht="12.75">
      <c r="A110" s="11">
        <v>43747.315682870365</v>
      </c>
      <c r="B110" s="12" t="str">
        <f>HYPERLINK("https://twitter.com/CansizCihan","@CansizCihan")</f>
        <v>@CansizCihan</v>
      </c>
      <c r="C110" s="7" t="s">
        <v>1062</v>
      </c>
      <c r="D110" s="7" t="s">
        <v>1063</v>
      </c>
      <c r="E110" s="12" t="str">
        <f>HYPERLINK("https://twitter.com/CansizCihan/status/1181941028733030405","1181941028733030405")</f>
        <v>1181941028733030405</v>
      </c>
      <c r="F110" s="8"/>
      <c r="G110" s="7"/>
      <c r="H110" s="8"/>
      <c r="I110" s="15">
        <v>0</v>
      </c>
      <c r="J110" s="15">
        <v>0</v>
      </c>
      <c r="K110" s="12" t="str">
        <f>HYPERLINK("http://twitter.com/download/android","Twitter for Android")</f>
        <v>Twitter for Android</v>
      </c>
      <c r="L110" s="16">
        <v>28</v>
      </c>
      <c r="M110" s="16">
        <v>16</v>
      </c>
      <c r="N110" s="16">
        <v>0</v>
      </c>
      <c r="O110" s="17"/>
      <c r="P110" s="18">
        <v>43440.459490740745</v>
      </c>
      <c r="Q110" s="7" t="s">
        <v>1066</v>
      </c>
      <c r="R110" s="7" t="s">
        <v>1067</v>
      </c>
      <c r="S110" s="15"/>
      <c r="T110" s="8"/>
      <c r="U110" s="19" t="str">
        <f>HYPERLINK("https://pbs.twimg.com/profile_images/1152012122651594752/RTkewHeZ.jpg","View")</f>
        <v>View</v>
      </c>
      <c r="V110" s="8"/>
      <c r="W110" s="8"/>
      <c r="X110" s="8"/>
      <c r="Y110" s="8"/>
      <c r="Z110" s="8"/>
    </row>
    <row r="111" spans="1:26" ht="12.75">
      <c r="A111" s="11">
        <v>43747.315578703703</v>
      </c>
      <c r="B111" s="12" t="str">
        <f>HYPERLINK("https://twitter.com/o_durmuss","@o_durmuss")</f>
        <v>@o_durmuss</v>
      </c>
      <c r="C111" s="7" t="s">
        <v>1069</v>
      </c>
      <c r="D111" s="7" t="s">
        <v>1070</v>
      </c>
      <c r="E111" s="12" t="str">
        <f>HYPERLINK("https://twitter.com/o_durmuss/status/1181940991852457985","1181940991852457985")</f>
        <v>1181940991852457985</v>
      </c>
      <c r="F111" s="8"/>
      <c r="G111" s="7"/>
      <c r="H111" s="8"/>
      <c r="I111" s="15">
        <v>1</v>
      </c>
      <c r="J111" s="15">
        <v>3</v>
      </c>
      <c r="K111" s="12" t="str">
        <f>HYPERLINK("http://twitter.com/download/iphone","Twitter for iPhone")</f>
        <v>Twitter for iPhone</v>
      </c>
      <c r="L111" s="16">
        <v>65</v>
      </c>
      <c r="M111" s="16">
        <v>57</v>
      </c>
      <c r="N111" s="16">
        <v>0</v>
      </c>
      <c r="O111" s="17"/>
      <c r="P111" s="18">
        <v>43664.598437499997</v>
      </c>
      <c r="Q111" s="7" t="s">
        <v>313</v>
      </c>
      <c r="R111" s="7" t="s">
        <v>1072</v>
      </c>
      <c r="S111" s="14" t="s">
        <v>1073</v>
      </c>
      <c r="T111" s="8"/>
      <c r="U111" s="19" t="str">
        <f>HYPERLINK("https://pbs.twimg.com/profile_images/1151973366326267905/IV7-FuvF.jpg","View")</f>
        <v>View</v>
      </c>
      <c r="V111" s="8"/>
      <c r="W111" s="8"/>
      <c r="X111" s="8"/>
      <c r="Y111" s="8"/>
      <c r="Z111" s="8"/>
    </row>
    <row r="112" spans="1:26" ht="12.75">
      <c r="A112" s="11">
        <v>43747.31549768518</v>
      </c>
      <c r="B112" s="12" t="str">
        <f>HYPERLINK("https://twitter.com/akgencliksavurr","@akgencliksavurr")</f>
        <v>@akgencliksavurr</v>
      </c>
      <c r="C112" s="7" t="s">
        <v>1076</v>
      </c>
      <c r="D112" s="7" t="s">
        <v>1077</v>
      </c>
      <c r="E112" s="12" t="str">
        <f>HYPERLINK("https://twitter.com/akgencliksavurr/status/1181940964237152257","1181940964237152257")</f>
        <v>1181940964237152257</v>
      </c>
      <c r="F112" s="15"/>
      <c r="G112" s="14" t="s">
        <v>1080</v>
      </c>
      <c r="H112" s="8"/>
      <c r="I112" s="15">
        <v>0</v>
      </c>
      <c r="J112" s="15">
        <v>0</v>
      </c>
      <c r="K112" s="12" t="str">
        <f>HYPERLINK("http://twitter.com/download/android","Twitter for Android")</f>
        <v>Twitter for Android</v>
      </c>
      <c r="L112" s="16">
        <v>348</v>
      </c>
      <c r="M112" s="16">
        <v>119</v>
      </c>
      <c r="N112" s="16">
        <v>0</v>
      </c>
      <c r="O112" s="17"/>
      <c r="P112" s="18">
        <v>43168.545312499999</v>
      </c>
      <c r="Q112" s="7" t="s">
        <v>1082</v>
      </c>
      <c r="R112" s="7" t="s">
        <v>1083</v>
      </c>
      <c r="S112" s="14" t="s">
        <v>1084</v>
      </c>
      <c r="T112" s="8"/>
      <c r="U112" s="19" t="str">
        <f>HYPERLINK("https://pbs.twimg.com/profile_images/1019949132071559170/SCqsGFQ1.jpg","View")</f>
        <v>View</v>
      </c>
      <c r="V112" s="8"/>
      <c r="W112" s="8"/>
      <c r="X112" s="8"/>
      <c r="Y112" s="8"/>
      <c r="Z112" s="8"/>
    </row>
    <row r="113" spans="1:26" ht="12.75">
      <c r="A113" s="11">
        <v>43747.315393518518</v>
      </c>
      <c r="B113" s="12" t="str">
        <f>HYPERLINK("https://twitter.com/Gedikoglu61","@Gedikoglu61")</f>
        <v>@Gedikoglu61</v>
      </c>
      <c r="C113" s="7" t="s">
        <v>1091</v>
      </c>
      <c r="D113" s="7" t="s">
        <v>1093</v>
      </c>
      <c r="E113" s="12" t="str">
        <f>HYPERLINK("https://twitter.com/Gedikoglu61/status/1181940923372048385","1181940923372048385")</f>
        <v>1181940923372048385</v>
      </c>
      <c r="F113" s="8"/>
      <c r="G113" s="14" t="s">
        <v>1096</v>
      </c>
      <c r="H113" s="8"/>
      <c r="I113" s="15">
        <v>1</v>
      </c>
      <c r="J113" s="15">
        <v>3</v>
      </c>
      <c r="K113" s="12" t="str">
        <f>HYPERLINK("http://twitter.com/download/android","Twitter for Android")</f>
        <v>Twitter for Android</v>
      </c>
      <c r="L113" s="16">
        <v>1656</v>
      </c>
      <c r="M113" s="16">
        <v>571</v>
      </c>
      <c r="N113" s="16">
        <v>1</v>
      </c>
      <c r="O113" s="17"/>
      <c r="P113" s="18">
        <v>41226.365601851852</v>
      </c>
      <c r="Q113" s="7" t="s">
        <v>313</v>
      </c>
      <c r="R113" s="7" t="s">
        <v>1097</v>
      </c>
      <c r="S113" s="15"/>
      <c r="T113" s="8"/>
      <c r="U113" s="19" t="str">
        <f>HYPERLINK("https://pbs.twimg.com/profile_images/1174710593640681472/NKAPAowO.jpg","View")</f>
        <v>View</v>
      </c>
      <c r="V113" s="8"/>
      <c r="W113" s="8"/>
      <c r="X113" s="8"/>
      <c r="Y113" s="8"/>
      <c r="Z113" s="8"/>
    </row>
    <row r="114" spans="1:26" ht="12.75">
      <c r="A114" s="11">
        <v>43747.31527777778</v>
      </c>
      <c r="B114" s="12" t="str">
        <f>HYPERLINK("https://twitter.com/cagatayozdemirr","@cagatayozdemirr")</f>
        <v>@cagatayozdemirr</v>
      </c>
      <c r="C114" s="7" t="s">
        <v>1104</v>
      </c>
      <c r="D114" s="7" t="s">
        <v>1105</v>
      </c>
      <c r="E114" s="12" t="str">
        <f>HYPERLINK("https://twitter.com/cagatayozdemirr/status/1181940884222435328","1181940884222435328")</f>
        <v>1181940884222435328</v>
      </c>
      <c r="F114" s="8"/>
      <c r="G114" s="14" t="s">
        <v>1108</v>
      </c>
      <c r="H114" s="8"/>
      <c r="I114" s="15">
        <v>11</v>
      </c>
      <c r="J114" s="15">
        <v>15</v>
      </c>
      <c r="K114" s="12" t="str">
        <f>HYPERLINK("http://twitter.com/download/iphone","Twitter for iPhone")</f>
        <v>Twitter for iPhone</v>
      </c>
      <c r="L114" s="16">
        <v>3292</v>
      </c>
      <c r="M114" s="16">
        <v>2050</v>
      </c>
      <c r="N114" s="16">
        <v>13</v>
      </c>
      <c r="O114" s="17"/>
      <c r="P114" s="18">
        <v>41546.595763888887</v>
      </c>
      <c r="Q114" s="7" t="s">
        <v>1111</v>
      </c>
      <c r="R114" s="7" t="s">
        <v>1112</v>
      </c>
      <c r="S114" s="14" t="s">
        <v>1113</v>
      </c>
      <c r="T114" s="8"/>
      <c r="U114" s="19" t="str">
        <f>HYPERLINK("https://pbs.twimg.com/profile_images/1152527718598238208/q0SI-bTy.jpg","View")</f>
        <v>View</v>
      </c>
      <c r="V114" s="8"/>
      <c r="W114" s="8"/>
      <c r="X114" s="8"/>
      <c r="Y114" s="8"/>
      <c r="Z114" s="8"/>
    </row>
    <row r="115" spans="1:26" ht="12.75">
      <c r="A115" s="11">
        <v>43747.31523148148</v>
      </c>
      <c r="B115" s="12" t="str">
        <f>HYPERLINK("https://twitter.com/T_3ag","@T_3ag")</f>
        <v>@T_3ag</v>
      </c>
      <c r="C115" s="7" t="s">
        <v>1117</v>
      </c>
      <c r="D115" s="7" t="s">
        <v>1118</v>
      </c>
      <c r="E115" s="12" t="str">
        <f>HYPERLINK("https://twitter.com/T_3ag/status/1181940864047824896","1181940864047824896")</f>
        <v>1181940864047824896</v>
      </c>
      <c r="F115" s="8"/>
      <c r="G115" s="7"/>
      <c r="H115" s="8"/>
      <c r="I115" s="15">
        <v>0</v>
      </c>
      <c r="J115" s="15">
        <v>0</v>
      </c>
      <c r="K115" s="12" t="str">
        <f>HYPERLINK("http://twitter.com/download/iphone","Twitter for iPhone")</f>
        <v>Twitter for iPhone</v>
      </c>
      <c r="L115" s="16">
        <v>48</v>
      </c>
      <c r="M115" s="16">
        <v>41</v>
      </c>
      <c r="N115" s="16">
        <v>0</v>
      </c>
      <c r="O115" s="17"/>
      <c r="P115" s="18">
        <v>42908.068738425922</v>
      </c>
      <c r="Q115" s="7"/>
      <c r="R115" s="7"/>
      <c r="S115" s="7"/>
      <c r="T115" s="8"/>
      <c r="U115" s="19" t="str">
        <f>HYPERLINK("https://pbs.twimg.com/profile_images/1155626869854822406/Dy6vK5w3.jpg","View")</f>
        <v>View</v>
      </c>
      <c r="V115" s="8"/>
      <c r="W115" s="8"/>
      <c r="X115" s="8"/>
      <c r="Y115" s="8"/>
      <c r="Z115" s="8"/>
    </row>
    <row r="116" spans="1:26" ht="12.75">
      <c r="A116" s="11">
        <v>43747.315196759257</v>
      </c>
      <c r="B116" s="12" t="str">
        <f>HYPERLINK("https://twitter.com/AliMalatyabir","@AliMalatyabir")</f>
        <v>@AliMalatyabir</v>
      </c>
      <c r="C116" s="7" t="s">
        <v>1122</v>
      </c>
      <c r="D116" s="7" t="s">
        <v>1123</v>
      </c>
      <c r="E116" s="12" t="str">
        <f>HYPERLINK("https://twitter.com/AliMalatyabir/status/1181940851695448065","1181940851695448065")</f>
        <v>1181940851695448065</v>
      </c>
      <c r="F116" s="14" t="s">
        <v>1124</v>
      </c>
      <c r="G116" s="15"/>
      <c r="H116" s="8"/>
      <c r="I116" s="15">
        <v>0</v>
      </c>
      <c r="J116" s="15">
        <v>1</v>
      </c>
      <c r="K116" s="12" t="str">
        <f>HYPERLINK("https://twitterrific.com/ios","Twitterrific for iOS")</f>
        <v>Twitterrific for iOS</v>
      </c>
      <c r="L116" s="16">
        <v>2189</v>
      </c>
      <c r="M116" s="16">
        <v>2063</v>
      </c>
      <c r="N116" s="16">
        <v>6</v>
      </c>
      <c r="O116" s="17"/>
      <c r="P116" s="18">
        <v>40699.31517361111</v>
      </c>
      <c r="Q116" s="7" t="s">
        <v>1128</v>
      </c>
      <c r="R116" s="7" t="s">
        <v>1129</v>
      </c>
      <c r="S116" s="7"/>
      <c r="T116" s="8"/>
      <c r="U116" s="19" t="str">
        <f>HYPERLINK("https://pbs.twimg.com/profile_images/1145934983812415488/YfjBGyz3.png","View")</f>
        <v>View</v>
      </c>
      <c r="V116" s="8"/>
      <c r="W116" s="8"/>
      <c r="X116" s="8"/>
      <c r="Y116" s="8"/>
      <c r="Z116" s="8"/>
    </row>
    <row r="117" spans="1:26" ht="12.75">
      <c r="A117" s="11">
        <v>43747.315162037034</v>
      </c>
      <c r="B117" s="12" t="str">
        <f>HYPERLINK("https://twitter.com/seeingblindTR","@seeingblindTR")</f>
        <v>@seeingblindTR</v>
      </c>
      <c r="C117" s="7" t="s">
        <v>1132</v>
      </c>
      <c r="D117" s="7" t="s">
        <v>1134</v>
      </c>
      <c r="E117" s="12" t="str">
        <f>HYPERLINK("https://twitter.com/seeingblindTR/status/1181940839762804737","1181940839762804737")</f>
        <v>1181940839762804737</v>
      </c>
      <c r="F117" s="8"/>
      <c r="G117" s="15"/>
      <c r="H117" s="8"/>
      <c r="I117" s="15">
        <v>0</v>
      </c>
      <c r="J117" s="15">
        <v>2</v>
      </c>
      <c r="K117" s="12" t="str">
        <f>HYPERLINK("http://twitter.com/download/android","Twitter for Android")</f>
        <v>Twitter for Android</v>
      </c>
      <c r="L117" s="16">
        <v>971</v>
      </c>
      <c r="M117" s="16">
        <v>559</v>
      </c>
      <c r="N117" s="16">
        <v>1</v>
      </c>
      <c r="O117" s="17"/>
      <c r="P117" s="18">
        <v>42751.712430555555</v>
      </c>
      <c r="Q117" s="7" t="s">
        <v>1138</v>
      </c>
      <c r="R117" s="7" t="s">
        <v>1139</v>
      </c>
      <c r="S117" s="7"/>
      <c r="T117" s="8"/>
      <c r="U117" s="19" t="str">
        <f>HYPERLINK("https://pbs.twimg.com/profile_images/1178305528314974208/VsrZu2gF.jpg","View")</f>
        <v>View</v>
      </c>
      <c r="V117" s="8"/>
      <c r="W117" s="8"/>
      <c r="X117" s="8"/>
      <c r="Y117" s="8"/>
      <c r="Z117" s="8"/>
    </row>
    <row r="118" spans="1:26" ht="12.75">
      <c r="A118" s="11">
        <v>43747.315127314811</v>
      </c>
      <c r="B118" s="12" t="str">
        <f>HYPERLINK("https://twitter.com/koraihere","@koraihere")</f>
        <v>@koraihere</v>
      </c>
      <c r="C118" s="7" t="s">
        <v>1141</v>
      </c>
      <c r="D118" s="7" t="s">
        <v>1142</v>
      </c>
      <c r="E118" s="12" t="str">
        <f>HYPERLINK("https://twitter.com/koraihere/status/1181940827523883008","1181940827523883008")</f>
        <v>1181940827523883008</v>
      </c>
      <c r="F118" s="8"/>
      <c r="G118" s="15"/>
      <c r="H118" s="8"/>
      <c r="I118" s="15">
        <v>0</v>
      </c>
      <c r="J118" s="15">
        <v>0</v>
      </c>
      <c r="K118" s="12" t="str">
        <f>HYPERLINK("http://twitter.com/download/android","Twitter for Android")</f>
        <v>Twitter for Android</v>
      </c>
      <c r="L118" s="16">
        <v>5</v>
      </c>
      <c r="M118" s="16">
        <v>315</v>
      </c>
      <c r="N118" s="16">
        <v>0</v>
      </c>
      <c r="O118" s="17"/>
      <c r="P118" s="18">
        <v>43736.18476851852</v>
      </c>
      <c r="Q118" s="7"/>
      <c r="R118" s="7" t="s">
        <v>1145</v>
      </c>
      <c r="S118" s="7"/>
      <c r="T118" s="8"/>
      <c r="U118" s="19" t="str">
        <f>HYPERLINK("https://pbs.twimg.com/profile_images/1177907525276098561/9wCuvv8J.jpg","View")</f>
        <v>View</v>
      </c>
      <c r="V118" s="8"/>
      <c r="W118" s="8"/>
      <c r="X118" s="8"/>
      <c r="Y118" s="8"/>
      <c r="Z118" s="8"/>
    </row>
    <row r="119" spans="1:26" ht="12.75">
      <c r="A119" s="11">
        <v>43747.315081018518</v>
      </c>
      <c r="B119" s="12" t="str">
        <f>HYPERLINK("https://twitter.com/FCokgun","@FCokgun")</f>
        <v>@FCokgun</v>
      </c>
      <c r="C119" s="7" t="s">
        <v>1147</v>
      </c>
      <c r="D119" s="7" t="s">
        <v>1148</v>
      </c>
      <c r="E119" s="12" t="str">
        <f>HYPERLINK("https://twitter.com/FCokgun/status/1181940811992375297","1181940811992375297")</f>
        <v>1181940811992375297</v>
      </c>
      <c r="F119" s="8"/>
      <c r="G119" s="7"/>
      <c r="H119" s="8"/>
      <c r="I119" s="15">
        <v>0</v>
      </c>
      <c r="J119" s="15">
        <v>0</v>
      </c>
      <c r="K119" s="12" t="str">
        <f>HYPERLINK("https://mobile.twitter.com","Twitter Web App")</f>
        <v>Twitter Web App</v>
      </c>
      <c r="L119" s="16">
        <v>42</v>
      </c>
      <c r="M119" s="16">
        <v>13</v>
      </c>
      <c r="N119" s="16">
        <v>0</v>
      </c>
      <c r="O119" s="17"/>
      <c r="P119" s="18">
        <v>42039.47038194444</v>
      </c>
      <c r="Q119" s="7" t="s">
        <v>1150</v>
      </c>
      <c r="R119" s="7"/>
      <c r="S119" s="15"/>
      <c r="T119" s="8"/>
      <c r="U119" s="19" t="str">
        <f>HYPERLINK("https://pbs.twimg.com/profile_images/833569242108801024/dWblGCh2.jpg","View")</f>
        <v>View</v>
      </c>
      <c r="V119" s="8"/>
      <c r="W119" s="8"/>
      <c r="X119" s="8"/>
      <c r="Y119" s="8"/>
      <c r="Z119" s="8"/>
    </row>
    <row r="120" spans="1:26" ht="12.75">
      <c r="A120" s="11">
        <v>43747.315023148149</v>
      </c>
      <c r="B120" s="12" t="str">
        <f>HYPERLINK("https://twitter.com/tc_k385","@tc_k385")</f>
        <v>@tc_k385</v>
      </c>
      <c r="C120" s="7" t="s">
        <v>1157</v>
      </c>
      <c r="D120" s="7" t="s">
        <v>1158</v>
      </c>
      <c r="E120" s="12" t="str">
        <f>HYPERLINK("https://twitter.com/tc_k385/status/1181940791587037185","1181940791587037185")</f>
        <v>1181940791587037185</v>
      </c>
      <c r="F120" s="8"/>
      <c r="G120" s="7"/>
      <c r="H120" s="8"/>
      <c r="I120" s="15">
        <v>1</v>
      </c>
      <c r="J120" s="15">
        <v>1</v>
      </c>
      <c r="K120" s="12" t="str">
        <f>HYPERLINK("http://twitter.com/download/android","Twitter for Android")</f>
        <v>Twitter for Android</v>
      </c>
      <c r="L120" s="16">
        <v>81</v>
      </c>
      <c r="M120" s="16">
        <v>197</v>
      </c>
      <c r="N120" s="16">
        <v>1</v>
      </c>
      <c r="O120" s="17"/>
      <c r="P120" s="18">
        <v>43745.608402777776</v>
      </c>
      <c r="Q120" s="7"/>
      <c r="R120" s="7" t="s">
        <v>1161</v>
      </c>
      <c r="S120" s="7"/>
      <c r="T120" s="8"/>
      <c r="U120" s="19" t="str">
        <f>HYPERLINK("https://pbs.twimg.com/profile_images/1181695155092561926/4uMdTBOn.jpg","View")</f>
        <v>View</v>
      </c>
      <c r="V120" s="8"/>
      <c r="W120" s="8"/>
      <c r="X120" s="8"/>
      <c r="Y120" s="8"/>
      <c r="Z120" s="8"/>
    </row>
    <row r="121" spans="1:26" ht="12.75">
      <c r="A121" s="11">
        <v>43747.315000000002</v>
      </c>
      <c r="B121" s="12" t="str">
        <f>HYPERLINK("https://twitter.com/sendenuzak","@sendenuzak")</f>
        <v>@sendenuzak</v>
      </c>
      <c r="C121" s="7" t="s">
        <v>1163</v>
      </c>
      <c r="D121" s="7" t="s">
        <v>1164</v>
      </c>
      <c r="E121" s="12" t="str">
        <f>HYPERLINK("https://twitter.com/sendenuzak/status/1181940783198457856","1181940783198457856")</f>
        <v>1181940783198457856</v>
      </c>
      <c r="F121" s="14" t="s">
        <v>1165</v>
      </c>
      <c r="G121" s="14" t="s">
        <v>1166</v>
      </c>
      <c r="H121" s="8"/>
      <c r="I121" s="15">
        <v>0</v>
      </c>
      <c r="J121" s="15">
        <v>0</v>
      </c>
      <c r="K121" s="12" t="str">
        <f>HYPERLINK("http://twitter.com/download/android","Twitter for Android")</f>
        <v>Twitter for Android</v>
      </c>
      <c r="L121" s="16">
        <v>6940</v>
      </c>
      <c r="M121" s="16">
        <v>5730</v>
      </c>
      <c r="N121" s="16">
        <v>0</v>
      </c>
      <c r="O121" s="17"/>
      <c r="P121" s="18">
        <v>40610.503125000003</v>
      </c>
      <c r="Q121" s="7"/>
      <c r="R121" s="7" t="s">
        <v>1170</v>
      </c>
      <c r="S121" s="7"/>
      <c r="T121" s="8"/>
      <c r="U121" s="19" t="str">
        <f>HYPERLINK("https://pbs.twimg.com/profile_images/767872492232925185/KT9KlFll.jpg","View")</f>
        <v>View</v>
      </c>
      <c r="V121" s="8"/>
      <c r="W121" s="8"/>
      <c r="X121" s="8"/>
      <c r="Y121" s="8"/>
      <c r="Z121" s="8"/>
    </row>
    <row r="122" spans="1:26" ht="12.75">
      <c r="A122" s="11">
        <v>43747.314826388887</v>
      </c>
      <c r="B122" s="12" t="str">
        <f>HYPERLINK("https://twitter.com/Emniyetci_","@Emniyetci_")</f>
        <v>@Emniyetci_</v>
      </c>
      <c r="C122" s="7" t="s">
        <v>1174</v>
      </c>
      <c r="D122" s="7" t="s">
        <v>1175</v>
      </c>
      <c r="E122" s="12" t="str">
        <f>HYPERLINK("https://twitter.com/Emniyetci_/status/1181940717532438528","1181940717532438528")</f>
        <v>1181940717532438528</v>
      </c>
      <c r="F122" s="8"/>
      <c r="G122" s="15"/>
      <c r="H122" s="8"/>
      <c r="I122" s="15">
        <v>0</v>
      </c>
      <c r="J122" s="15">
        <v>17</v>
      </c>
      <c r="K122" s="12" t="str">
        <f>HYPERLINK("http://twitter.com/download/android","Twitter for Android")</f>
        <v>Twitter for Android</v>
      </c>
      <c r="L122" s="16">
        <v>4775</v>
      </c>
      <c r="M122" s="16">
        <v>2130</v>
      </c>
      <c r="N122" s="16">
        <v>2</v>
      </c>
      <c r="O122" s="17"/>
      <c r="P122" s="18">
        <v>42037.359861111108</v>
      </c>
      <c r="Q122" s="7" t="s">
        <v>80</v>
      </c>
      <c r="R122" s="7" t="s">
        <v>1176</v>
      </c>
      <c r="S122" s="7"/>
      <c r="T122" s="8"/>
      <c r="U122" s="19" t="str">
        <f>HYPERLINK("https://pbs.twimg.com/profile_images/1129711757935693824/Ec3OAQTa.png","View")</f>
        <v>View</v>
      </c>
      <c r="V122" s="8"/>
      <c r="W122" s="8"/>
      <c r="X122" s="8"/>
      <c r="Y122" s="8"/>
      <c r="Z122" s="8"/>
    </row>
    <row r="123" spans="1:26" ht="12.75">
      <c r="A123" s="11">
        <v>43747.314803240741</v>
      </c>
      <c r="B123" s="12" t="str">
        <f>HYPERLINK("https://twitter.com/mehmetcankal20","@mehmetcankal20")</f>
        <v>@mehmetcankal20</v>
      </c>
      <c r="C123" s="7" t="s">
        <v>1179</v>
      </c>
      <c r="D123" s="7" t="s">
        <v>1180</v>
      </c>
      <c r="E123" s="12" t="str">
        <f>HYPERLINK("https://twitter.com/mehmetcankal20/status/1181940709932388352","1181940709932388352")</f>
        <v>1181940709932388352</v>
      </c>
      <c r="F123" s="15"/>
      <c r="G123" s="14" t="s">
        <v>1182</v>
      </c>
      <c r="H123" s="8"/>
      <c r="I123" s="15">
        <v>0</v>
      </c>
      <c r="J123" s="15">
        <v>0</v>
      </c>
      <c r="K123" s="12" t="str">
        <f>HYPERLINK("http://twitter.com/download/android","Twitter for Android")</f>
        <v>Twitter for Android</v>
      </c>
      <c r="L123" s="16">
        <v>224</v>
      </c>
      <c r="M123" s="16">
        <v>222</v>
      </c>
      <c r="N123" s="16">
        <v>0</v>
      </c>
      <c r="O123" s="17"/>
      <c r="P123" s="18">
        <v>41372.123032407406</v>
      </c>
      <c r="Q123" s="7" t="s">
        <v>498</v>
      </c>
      <c r="R123" s="7" t="s">
        <v>1183</v>
      </c>
      <c r="S123" s="7"/>
      <c r="T123" s="8"/>
      <c r="U123" s="19" t="str">
        <f>HYPERLINK("https://pbs.twimg.com/profile_images/1130551972451508225/5v9FYtfz.jpg","View")</f>
        <v>View</v>
      </c>
      <c r="V123" s="8"/>
      <c r="W123" s="8"/>
      <c r="X123" s="8"/>
      <c r="Y123" s="8"/>
      <c r="Z123" s="8"/>
    </row>
    <row r="124" spans="1:26" ht="12.75">
      <c r="A124" s="11">
        <v>43747.314768518518</v>
      </c>
      <c r="B124" s="12" t="str">
        <f>HYPERLINK("https://twitter.com/TURAANAAA","@TURAANAAA")</f>
        <v>@TURAANAAA</v>
      </c>
      <c r="C124" s="7" t="s">
        <v>1187</v>
      </c>
      <c r="D124" s="7" t="s">
        <v>1188</v>
      </c>
      <c r="E124" s="12" t="str">
        <f>HYPERLINK("https://twitter.com/TURAANAAA/status/1181940698213486603","1181940698213486603")</f>
        <v>1181940698213486603</v>
      </c>
      <c r="F124" s="8"/>
      <c r="G124" s="14" t="s">
        <v>1190</v>
      </c>
      <c r="H124" s="8"/>
      <c r="I124" s="15">
        <v>0</v>
      </c>
      <c r="J124" s="15">
        <v>0</v>
      </c>
      <c r="K124" s="12" t="str">
        <f>HYPERLINK("http://twitter.com/download/android","Twitter for Android")</f>
        <v>Twitter for Android</v>
      </c>
      <c r="L124" s="16">
        <v>2</v>
      </c>
      <c r="M124" s="16">
        <v>20</v>
      </c>
      <c r="N124" s="16">
        <v>0</v>
      </c>
      <c r="O124" s="17"/>
      <c r="P124" s="18">
        <v>43745.47146990741</v>
      </c>
      <c r="Q124" s="7" t="s">
        <v>1193</v>
      </c>
      <c r="R124" s="7"/>
      <c r="S124" s="7"/>
      <c r="T124" s="8"/>
      <c r="U124" s="20" t="s">
        <v>354</v>
      </c>
      <c r="V124" s="8"/>
      <c r="W124" s="8"/>
      <c r="X124" s="8"/>
      <c r="Y124" s="8"/>
      <c r="Z124" s="8"/>
    </row>
    <row r="125" spans="1:26" ht="12.75">
      <c r="A125" s="11">
        <v>43747.314756944441</v>
      </c>
      <c r="B125" s="12" t="str">
        <f>HYPERLINK("https://twitter.com/ak_tatlibal","@ak_tatlibal")</f>
        <v>@ak_tatlibal</v>
      </c>
      <c r="C125" s="7" t="s">
        <v>1196</v>
      </c>
      <c r="D125" s="7" t="s">
        <v>1197</v>
      </c>
      <c r="E125" s="12" t="str">
        <f>HYPERLINK("https://twitter.com/ak_tatlibal/status/1181940692886704130","1181940692886704130")</f>
        <v>1181940692886704130</v>
      </c>
      <c r="F125" s="8"/>
      <c r="G125" s="14" t="s">
        <v>1199</v>
      </c>
      <c r="H125" s="8"/>
      <c r="I125" s="15">
        <v>26</v>
      </c>
      <c r="J125" s="15">
        <v>63</v>
      </c>
      <c r="K125" s="12" t="str">
        <f>HYPERLINK("http://twitter.com/download/android","Twitter for Android")</f>
        <v>Twitter for Android</v>
      </c>
      <c r="L125" s="16">
        <v>9182</v>
      </c>
      <c r="M125" s="16">
        <v>22</v>
      </c>
      <c r="N125" s="16">
        <v>3</v>
      </c>
      <c r="O125" s="17" t="s">
        <v>984</v>
      </c>
      <c r="P125" s="18">
        <v>42699.305659722224</v>
      </c>
      <c r="Q125" s="7"/>
      <c r="R125" s="7" t="s">
        <v>1200</v>
      </c>
      <c r="S125" s="14" t="s">
        <v>1201</v>
      </c>
      <c r="T125" s="8"/>
      <c r="U125" s="19" t="str">
        <f>HYPERLINK("https://pbs.twimg.com/profile_images/938696236428795904/PN4HIFLF.jpg","View")</f>
        <v>View</v>
      </c>
      <c r="V125" s="8"/>
      <c r="W125" s="8"/>
      <c r="X125" s="8"/>
      <c r="Y125" s="8"/>
      <c r="Z125" s="8"/>
    </row>
    <row r="126" spans="1:26" ht="12.75">
      <c r="A126" s="11">
        <v>43747.314606481479</v>
      </c>
      <c r="B126" s="12" t="str">
        <f>HYPERLINK("https://twitter.com/Kattumskva","@Kattumskva")</f>
        <v>@Kattumskva</v>
      </c>
      <c r="C126" s="7" t="s">
        <v>1205</v>
      </c>
      <c r="D126" s="7" t="s">
        <v>1206</v>
      </c>
      <c r="E126" s="12" t="str">
        <f>HYPERLINK("https://twitter.com/Kattumskva/status/1181940638822146048","1181940638822146048")</f>
        <v>1181940638822146048</v>
      </c>
      <c r="F126" s="8"/>
      <c r="G126" s="7"/>
      <c r="H126" s="8"/>
      <c r="I126" s="15">
        <v>0</v>
      </c>
      <c r="J126" s="15">
        <v>1</v>
      </c>
      <c r="K126" s="12" t="str">
        <f>HYPERLINK("http://twitter.com/download/android","Twitter for Android")</f>
        <v>Twitter for Android</v>
      </c>
      <c r="L126" s="16">
        <v>1490</v>
      </c>
      <c r="M126" s="16">
        <v>231</v>
      </c>
      <c r="N126" s="16">
        <v>12</v>
      </c>
      <c r="O126" s="17"/>
      <c r="P126" s="18">
        <v>40600.477060185185</v>
      </c>
      <c r="Q126" s="7" t="s">
        <v>576</v>
      </c>
      <c r="R126" s="7" t="s">
        <v>1210</v>
      </c>
      <c r="S126" s="7"/>
      <c r="T126" s="8"/>
      <c r="U126" s="19" t="str">
        <f>HYPERLINK("https://pbs.twimg.com/profile_images/1176797370790625280/Z8byLZ9z.jpg","View")</f>
        <v>View</v>
      </c>
      <c r="V126" s="8"/>
      <c r="W126" s="8"/>
      <c r="X126" s="8"/>
      <c r="Y126" s="8"/>
      <c r="Z126" s="8"/>
    </row>
    <row r="127" spans="1:26" ht="12.75">
      <c r="A127" s="11">
        <v>43747.314432870371</v>
      </c>
      <c r="B127" s="12" t="str">
        <f>HYPERLINK("https://twitter.com/sumeyyesultan_","@sumeyyesultan_")</f>
        <v>@sumeyyesultan_</v>
      </c>
      <c r="C127" s="7" t="s">
        <v>1211</v>
      </c>
      <c r="D127" s="7" t="s">
        <v>1212</v>
      </c>
      <c r="E127" s="12" t="str">
        <f>HYPERLINK("https://twitter.com/sumeyyesultan_/status/1181940577954357249","1181940577954357249")</f>
        <v>1181940577954357249</v>
      </c>
      <c r="F127" s="8"/>
      <c r="G127" s="7"/>
      <c r="H127" s="8"/>
      <c r="I127" s="15">
        <v>0</v>
      </c>
      <c r="J127" s="15">
        <v>0</v>
      </c>
      <c r="K127" s="12" t="str">
        <f>HYPERLINK("http://twitter.com/download/android","Twitter for Android")</f>
        <v>Twitter for Android</v>
      </c>
      <c r="L127" s="16">
        <v>52</v>
      </c>
      <c r="M127" s="16">
        <v>145</v>
      </c>
      <c r="N127" s="16">
        <v>0</v>
      </c>
      <c r="O127" s="17"/>
      <c r="P127" s="18">
        <v>43288.765543981484</v>
      </c>
      <c r="Q127" s="7" t="s">
        <v>200</v>
      </c>
      <c r="R127" s="7"/>
      <c r="S127" s="7"/>
      <c r="T127" s="8"/>
      <c r="U127" s="19" t="str">
        <f>HYPERLINK("https://pbs.twimg.com/profile_images/1179145794068402176/wWdSQW9V.jpg","View")</f>
        <v>View</v>
      </c>
      <c r="V127" s="8"/>
      <c r="W127" s="8"/>
      <c r="X127" s="8"/>
      <c r="Y127" s="8"/>
      <c r="Z127" s="8"/>
    </row>
    <row r="128" spans="1:26" ht="12.75">
      <c r="A128" s="11">
        <v>43747.314375000002</v>
      </c>
      <c r="B128" s="12" t="str">
        <f>HYPERLINK("https://twitter.com/YakutAhmet","@YakutAhmet")</f>
        <v>@YakutAhmet</v>
      </c>
      <c r="C128" s="7" t="s">
        <v>807</v>
      </c>
      <c r="D128" s="7" t="s">
        <v>1216</v>
      </c>
      <c r="E128" s="12" t="str">
        <f>HYPERLINK("https://twitter.com/YakutAhmet/status/1181940557406490625","1181940557406490625")</f>
        <v>1181940557406490625</v>
      </c>
      <c r="F128" s="15"/>
      <c r="G128" s="7"/>
      <c r="H128" s="8"/>
      <c r="I128" s="15">
        <v>0</v>
      </c>
      <c r="J128" s="15">
        <v>1</v>
      </c>
      <c r="K128" s="12" t="str">
        <f>HYPERLINK("http://twitter.com/download/android","Twitter for Android")</f>
        <v>Twitter for Android</v>
      </c>
      <c r="L128" s="16">
        <v>1441</v>
      </c>
      <c r="M128" s="16">
        <v>2439</v>
      </c>
      <c r="N128" s="16">
        <v>1</v>
      </c>
      <c r="O128" s="20"/>
      <c r="P128" s="18">
        <v>40666.545636574076</v>
      </c>
      <c r="Q128" s="7" t="s">
        <v>200</v>
      </c>
      <c r="R128" s="7" t="s">
        <v>1220</v>
      </c>
      <c r="S128" s="15"/>
      <c r="T128" s="8"/>
      <c r="U128" s="19" t="str">
        <f>HYPERLINK("https://pbs.twimg.com/profile_images/1149781919481126912/I20MIu-e.jpg","View")</f>
        <v>View</v>
      </c>
      <c r="V128" s="8"/>
      <c r="W128" s="8"/>
      <c r="X128" s="8"/>
      <c r="Y128" s="8"/>
      <c r="Z128" s="8"/>
    </row>
    <row r="129" spans="1:26" ht="12.75">
      <c r="A129" s="11">
        <v>43747.314340277779</v>
      </c>
      <c r="B129" s="12" t="str">
        <f>HYPERLINK("https://twitter.com/videogirlprod","@videogirlprod")</f>
        <v>@videogirlprod</v>
      </c>
      <c r="C129" s="7" t="s">
        <v>1221</v>
      </c>
      <c r="D129" s="7" t="s">
        <v>1222</v>
      </c>
      <c r="E129" s="12" t="str">
        <f>HYPERLINK("https://twitter.com/videogirlprod/status/1181940543682691077","1181940543682691077")</f>
        <v>1181940543682691077</v>
      </c>
      <c r="F129" s="8" t="s">
        <v>1224</v>
      </c>
      <c r="G129" s="15"/>
      <c r="H129" s="8"/>
      <c r="I129" s="15">
        <v>0</v>
      </c>
      <c r="J129" s="15">
        <v>1</v>
      </c>
      <c r="K129" s="12" t="str">
        <f>HYPERLINK("http://twitter.com/download/android","Twitter for Android")</f>
        <v>Twitter for Android</v>
      </c>
      <c r="L129" s="16">
        <v>3803</v>
      </c>
      <c r="M129" s="16">
        <v>3398</v>
      </c>
      <c r="N129" s="16">
        <v>93</v>
      </c>
      <c r="O129" s="17"/>
      <c r="P129" s="18">
        <v>40185.984340277777</v>
      </c>
      <c r="Q129" s="7" t="s">
        <v>1226</v>
      </c>
      <c r="R129" s="7" t="s">
        <v>1227</v>
      </c>
      <c r="S129" s="7"/>
      <c r="T129" s="8"/>
      <c r="U129" s="19" t="str">
        <f>HYPERLINK("https://pbs.twimg.com/profile_images/983506829857746944/_Mr_tZoM.jpg","View")</f>
        <v>View</v>
      </c>
      <c r="V129" s="8"/>
      <c r="W129" s="8"/>
      <c r="X129" s="8"/>
      <c r="Y129" s="8"/>
      <c r="Z129" s="8"/>
    </row>
    <row r="130" spans="1:26" ht="12.75">
      <c r="A130" s="11">
        <v>43747.314340277779</v>
      </c>
      <c r="B130" s="12" t="str">
        <f>HYPERLINK("https://twitter.com/kalicihesap","@kalicihesap")</f>
        <v>@kalicihesap</v>
      </c>
      <c r="C130" s="7" t="s">
        <v>1229</v>
      </c>
      <c r="D130" s="7" t="s">
        <v>1230</v>
      </c>
      <c r="E130" s="12" t="str">
        <f>HYPERLINK("https://twitter.com/kalicihesap/status/1181940543233896448","1181940543233896448")</f>
        <v>1181940543233896448</v>
      </c>
      <c r="F130" s="15"/>
      <c r="G130" s="14" t="s">
        <v>1234</v>
      </c>
      <c r="H130" s="8"/>
      <c r="I130" s="15">
        <v>0</v>
      </c>
      <c r="J130" s="15">
        <v>0</v>
      </c>
      <c r="K130" s="12" t="str">
        <f>HYPERLINK("http://twitter.com/download/iphone","Twitter for iPhone")</f>
        <v>Twitter for iPhone</v>
      </c>
      <c r="L130" s="16">
        <v>379</v>
      </c>
      <c r="M130" s="16">
        <v>304</v>
      </c>
      <c r="N130" s="16">
        <v>3</v>
      </c>
      <c r="O130" s="17"/>
      <c r="P130" s="18">
        <v>41492.358923611115</v>
      </c>
      <c r="Q130" s="7"/>
      <c r="R130" s="7" t="s">
        <v>1235</v>
      </c>
      <c r="S130" s="7"/>
      <c r="T130" s="8"/>
      <c r="U130" s="19" t="str">
        <f>HYPERLINK("https://pbs.twimg.com/profile_images/1135807460021850113/UypV-Cvq.jpg","View")</f>
        <v>View</v>
      </c>
      <c r="V130" s="8"/>
      <c r="W130" s="8"/>
      <c r="X130" s="8"/>
      <c r="Y130" s="8"/>
      <c r="Z130" s="8"/>
    </row>
    <row r="131" spans="1:26" ht="12.75">
      <c r="A131" s="11">
        <v>43747.314270833333</v>
      </c>
      <c r="B131" s="12" t="str">
        <f>HYPERLINK("https://twitter.com/1nur1","@1nur1")</f>
        <v>@1nur1</v>
      </c>
      <c r="C131" s="7" t="s">
        <v>1237</v>
      </c>
      <c r="D131" s="7" t="s">
        <v>1238</v>
      </c>
      <c r="E131" s="12" t="str">
        <f>HYPERLINK("https://twitter.com/1nur1/status/1181940519561236482","1181940519561236482")</f>
        <v>1181940519561236482</v>
      </c>
      <c r="F131" s="14" t="s">
        <v>1239</v>
      </c>
      <c r="G131" s="14" t="s">
        <v>1240</v>
      </c>
      <c r="H131" s="8"/>
      <c r="I131" s="15">
        <v>1</v>
      </c>
      <c r="J131" s="15">
        <v>2</v>
      </c>
      <c r="K131" s="12" t="str">
        <f>HYPERLINK("http://twitter.com/download/android","Twitter for Android")</f>
        <v>Twitter for Android</v>
      </c>
      <c r="L131" s="16">
        <v>1289</v>
      </c>
      <c r="M131" s="16">
        <v>1980</v>
      </c>
      <c r="N131" s="16">
        <v>3</v>
      </c>
      <c r="O131" s="17"/>
      <c r="P131" s="18">
        <v>40574.745868055557</v>
      </c>
      <c r="Q131" s="7"/>
      <c r="R131" s="7"/>
      <c r="S131" s="7"/>
      <c r="T131" s="8"/>
      <c r="U131" s="19" t="str">
        <f>HYPERLINK("https://pbs.twimg.com/profile_images/1743921688/220_nurtv.jpg","View")</f>
        <v>View</v>
      </c>
      <c r="V131" s="8"/>
      <c r="W131" s="8"/>
      <c r="X131" s="8"/>
      <c r="Y131" s="8"/>
      <c r="Z131" s="8"/>
    </row>
    <row r="132" spans="1:26" ht="12.75">
      <c r="A132" s="11">
        <v>43747.314201388886</v>
      </c>
      <c r="B132" s="12" t="str">
        <f>HYPERLINK("https://twitter.com/rsmzfrsmnl","@rsmzfrsmnl")</f>
        <v>@rsmzfrsmnl</v>
      </c>
      <c r="C132" s="7" t="s">
        <v>1244</v>
      </c>
      <c r="D132" s="7" t="s">
        <v>1246</v>
      </c>
      <c r="E132" s="12" t="str">
        <f>HYPERLINK("https://twitter.com/rsmzfrsmnl/status/1181940494357733378","1181940494357733378")</f>
        <v>1181940494357733378</v>
      </c>
      <c r="F132" s="8"/>
      <c r="G132" s="7"/>
      <c r="H132" s="8"/>
      <c r="I132" s="15">
        <v>0</v>
      </c>
      <c r="J132" s="15">
        <v>1</v>
      </c>
      <c r="K132" s="12" t="str">
        <f>HYPERLINK("http://twitter.com/download/android","Twitter for Android")</f>
        <v>Twitter for Android</v>
      </c>
      <c r="L132" s="16">
        <v>202</v>
      </c>
      <c r="M132" s="16">
        <v>276</v>
      </c>
      <c r="N132" s="16">
        <v>1</v>
      </c>
      <c r="O132" s="17"/>
      <c r="P132" s="18">
        <v>40748.455057870371</v>
      </c>
      <c r="Q132" s="7" t="s">
        <v>576</v>
      </c>
      <c r="R132" s="7" t="s">
        <v>1248</v>
      </c>
      <c r="S132" s="7"/>
      <c r="T132" s="8"/>
      <c r="U132" s="19" t="str">
        <f>HYPERLINK("https://pbs.twimg.com/profile_images/1134239735214460928/d0fKIH3H.jpg","View")</f>
        <v>View</v>
      </c>
      <c r="V132" s="8"/>
      <c r="W132" s="8"/>
      <c r="X132" s="8"/>
      <c r="Y132" s="8"/>
      <c r="Z132" s="8"/>
    </row>
    <row r="133" spans="1:26" ht="12.75">
      <c r="A133" s="11">
        <v>43747.314155092594</v>
      </c>
      <c r="B133" s="12" t="str">
        <f>HYPERLINK("https://twitter.com/bySonsuzluk","@bySonsuzluk")</f>
        <v>@bySonsuzluk</v>
      </c>
      <c r="C133" s="7" t="s">
        <v>1250</v>
      </c>
      <c r="D133" s="7" t="s">
        <v>1251</v>
      </c>
      <c r="E133" s="12" t="str">
        <f>HYPERLINK("https://twitter.com/bySonsuzluk/status/1181940475034505217","1181940475034505217")</f>
        <v>1181940475034505217</v>
      </c>
      <c r="F133" s="8"/>
      <c r="G133" s="7"/>
      <c r="H133" s="8"/>
      <c r="I133" s="15">
        <v>0</v>
      </c>
      <c r="J133" s="15">
        <v>2</v>
      </c>
      <c r="K133" s="12" t="str">
        <f>HYPERLINK("http://twitter.com/download/android","Twitter for Android")</f>
        <v>Twitter for Android</v>
      </c>
      <c r="L133" s="16">
        <v>1120</v>
      </c>
      <c r="M133" s="16">
        <v>1292</v>
      </c>
      <c r="N133" s="16">
        <v>0</v>
      </c>
      <c r="O133" s="17"/>
      <c r="P133" s="18">
        <v>40232.477442129632</v>
      </c>
      <c r="Q133" s="7" t="s">
        <v>1254</v>
      </c>
      <c r="R133" s="7" t="s">
        <v>1255</v>
      </c>
      <c r="S133" s="7"/>
      <c r="T133" s="8"/>
      <c r="U133" s="19" t="str">
        <f>HYPERLINK("https://pbs.twimg.com/profile_images/1161951640599048192/Ke1JG-8W.jpg","View")</f>
        <v>View</v>
      </c>
      <c r="V133" s="8"/>
      <c r="W133" s="8"/>
      <c r="X133" s="8"/>
      <c r="Y133" s="8"/>
      <c r="Z133" s="8"/>
    </row>
    <row r="134" spans="1:26" ht="12.75">
      <c r="A134" s="11">
        <v>43747.314143518517</v>
      </c>
      <c r="B134" s="12" t="str">
        <f>HYPERLINK("https://twitter.com/Epikur_TR","@Epikur_TR")</f>
        <v>@Epikur_TR</v>
      </c>
      <c r="C134" s="7" t="s">
        <v>1256</v>
      </c>
      <c r="D134" s="7" t="s">
        <v>1257</v>
      </c>
      <c r="E134" s="12" t="str">
        <f>HYPERLINK("https://twitter.com/Epikur_TR/status/1181940473700737024","1181940473700737024")</f>
        <v>1181940473700737024</v>
      </c>
      <c r="F134" s="8"/>
      <c r="G134" s="15"/>
      <c r="H134" s="8"/>
      <c r="I134" s="15">
        <v>0</v>
      </c>
      <c r="J134" s="15">
        <v>1</v>
      </c>
      <c r="K134" s="12" t="str">
        <f>HYPERLINK("http://twitter.com/download/iphone","Twitter for iPhone")</f>
        <v>Twitter for iPhone</v>
      </c>
      <c r="L134" s="16">
        <v>12</v>
      </c>
      <c r="M134" s="16">
        <v>0</v>
      </c>
      <c r="N134" s="16">
        <v>0</v>
      </c>
      <c r="O134" s="17"/>
      <c r="P134" s="18">
        <v>43128.223495370374</v>
      </c>
      <c r="Q134" s="7" t="s">
        <v>200</v>
      </c>
      <c r="R134" s="7" t="s">
        <v>1262</v>
      </c>
      <c r="S134" s="7"/>
      <c r="T134" s="8"/>
      <c r="U134" s="19" t="str">
        <f>HYPERLINK("https://pbs.twimg.com/profile_images/957634253302398976/UUxYYhQ-.jpg","View")</f>
        <v>View</v>
      </c>
      <c r="V134" s="8"/>
      <c r="W134" s="8"/>
      <c r="X134" s="8"/>
      <c r="Y134" s="8"/>
      <c r="Z134" s="8"/>
    </row>
    <row r="135" spans="1:26" ht="12.75">
      <c r="A135" s="11">
        <v>43747.314120370371</v>
      </c>
      <c r="B135" s="12" t="str">
        <f>HYPERLINK("https://twitter.com/jaemvsual","@jaemvsual")</f>
        <v>@jaemvsual</v>
      </c>
      <c r="C135" s="7" t="s">
        <v>1263</v>
      </c>
      <c r="D135" s="7" t="s">
        <v>1264</v>
      </c>
      <c r="E135" s="12" t="str">
        <f>HYPERLINK("https://twitter.com/jaemvsual/status/1181940461239291905","1181940461239291905")</f>
        <v>1181940461239291905</v>
      </c>
      <c r="F135" s="8"/>
      <c r="G135" s="14" t="s">
        <v>1265</v>
      </c>
      <c r="H135" s="8"/>
      <c r="I135" s="15">
        <v>0</v>
      </c>
      <c r="J135" s="15">
        <v>2</v>
      </c>
      <c r="K135" s="12" t="str">
        <f>HYPERLINK("http://twitter.com/download/android","Twitter for Android")</f>
        <v>Twitter for Android</v>
      </c>
      <c r="L135" s="16">
        <v>1925</v>
      </c>
      <c r="M135" s="16">
        <v>634</v>
      </c>
      <c r="N135" s="16">
        <v>255</v>
      </c>
      <c r="O135" s="17"/>
      <c r="P135" s="18">
        <v>43568.225115740745</v>
      </c>
      <c r="Q135" s="7" t="s">
        <v>1268</v>
      </c>
      <c r="R135" s="7"/>
      <c r="S135" s="7"/>
      <c r="T135" s="8"/>
      <c r="U135" s="19" t="str">
        <f>HYPERLINK("https://pbs.twimg.com/profile_images/1181202068209455104/bIPcIE2U.jpg","View")</f>
        <v>View</v>
      </c>
      <c r="V135" s="8"/>
      <c r="W135" s="8"/>
      <c r="X135" s="8"/>
      <c r="Y135" s="8"/>
      <c r="Z135" s="8"/>
    </row>
    <row r="136" spans="1:26" ht="12.75">
      <c r="A136" s="11">
        <v>43747.314062500001</v>
      </c>
      <c r="B136" s="12" t="str">
        <f>HYPERLINK("https://twitter.com/MuhammadAraib00","@MuhammadAraib00")</f>
        <v>@MuhammadAraib00</v>
      </c>
      <c r="C136" s="7" t="s">
        <v>1269</v>
      </c>
      <c r="D136" s="7" t="s">
        <v>852</v>
      </c>
      <c r="E136" s="12" t="str">
        <f>HYPERLINK("https://twitter.com/MuhammadAraib00/status/1181940444143521792","1181940444143521792")</f>
        <v>1181940444143521792</v>
      </c>
      <c r="F136" s="8"/>
      <c r="G136" s="14" t="s">
        <v>853</v>
      </c>
      <c r="H136" s="8"/>
      <c r="I136" s="15">
        <v>2</v>
      </c>
      <c r="J136" s="15">
        <v>15</v>
      </c>
      <c r="K136" s="12" t="str">
        <f>HYPERLINK("http://twitter.com/download/android","Twitter for Android")</f>
        <v>Twitter for Android</v>
      </c>
      <c r="L136" s="16">
        <v>2938</v>
      </c>
      <c r="M136" s="16">
        <v>3618</v>
      </c>
      <c r="N136" s="16">
        <v>0</v>
      </c>
      <c r="O136" s="17"/>
      <c r="P136" s="18">
        <v>43623.013460648144</v>
      </c>
      <c r="Q136" s="7" t="s">
        <v>1272</v>
      </c>
      <c r="R136" s="7" t="s">
        <v>1273</v>
      </c>
      <c r="S136" s="7"/>
      <c r="T136" s="8"/>
      <c r="U136" s="19" t="str">
        <f>HYPERLINK("https://pbs.twimg.com/profile_images/1162385464961249281/4-wKINjz.jpg","View")</f>
        <v>View</v>
      </c>
      <c r="V136" s="8"/>
      <c r="W136" s="8"/>
      <c r="X136" s="8"/>
      <c r="Y136" s="8"/>
      <c r="Z136" s="8"/>
    </row>
    <row r="137" spans="1:26" ht="12.75">
      <c r="A137" s="11">
        <v>43747.313981481479</v>
      </c>
      <c r="B137" s="12" t="str">
        <f>HYPERLINK("https://twitter.com/1MUVAKKAR","@1MUVAKKAR")</f>
        <v>@1MUVAKKAR</v>
      </c>
      <c r="C137" s="7" t="s">
        <v>1289</v>
      </c>
      <c r="D137" s="7" t="s">
        <v>1290</v>
      </c>
      <c r="E137" s="12" t="str">
        <f>HYPERLINK("https://twitter.com/1MUVAKKAR/status/1181940413449543680","1181940413449543680")</f>
        <v>1181940413449543680</v>
      </c>
      <c r="F137" s="8"/>
      <c r="G137" s="14" t="s">
        <v>1292</v>
      </c>
      <c r="H137" s="8"/>
      <c r="I137" s="15">
        <v>0</v>
      </c>
      <c r="J137" s="15">
        <v>1</v>
      </c>
      <c r="K137" s="12" t="str">
        <f>HYPERLINK("http://twitter.com/download/android","Twitter for Android")</f>
        <v>Twitter for Android</v>
      </c>
      <c r="L137" s="16">
        <v>143</v>
      </c>
      <c r="M137" s="16">
        <v>63</v>
      </c>
      <c r="N137" s="16">
        <v>0</v>
      </c>
      <c r="O137" s="17"/>
      <c r="P137" s="18">
        <v>41711.263865740737</v>
      </c>
      <c r="Q137" s="7" t="s">
        <v>1295</v>
      </c>
      <c r="R137" s="7" t="s">
        <v>1296</v>
      </c>
      <c r="S137" s="7"/>
      <c r="T137" s="8"/>
      <c r="U137" s="19" t="str">
        <f>HYPERLINK("https://pbs.twimg.com/profile_images/1176707157074554881/GnPpO_e0.jpg","View")</f>
        <v>View</v>
      </c>
      <c r="V137" s="8"/>
      <c r="W137" s="8"/>
      <c r="X137" s="8"/>
      <c r="Y137" s="8"/>
      <c r="Z137" s="8"/>
    </row>
    <row r="138" spans="1:26" ht="12.75">
      <c r="A138" s="11">
        <v>43747.313935185186</v>
      </c>
      <c r="B138" s="12" t="str">
        <f>HYPERLINK("https://twitter.com/Mesut_Avci_KR","@Mesut_Avci_KR")</f>
        <v>@Mesut_Avci_KR</v>
      </c>
      <c r="C138" s="7" t="s">
        <v>1298</v>
      </c>
      <c r="D138" s="7" t="s">
        <v>1299</v>
      </c>
      <c r="E138" s="12" t="str">
        <f>HYPERLINK("https://twitter.com/Mesut_Avci_KR/status/1181940397196632064","1181940397196632064")</f>
        <v>1181940397196632064</v>
      </c>
      <c r="F138" s="8"/>
      <c r="G138" s="7"/>
      <c r="H138" s="8"/>
      <c r="I138" s="15">
        <v>0</v>
      </c>
      <c r="J138" s="15">
        <v>0</v>
      </c>
      <c r="K138" s="12" t="str">
        <f>HYPERLINK("http://twitter.com/download/android","Twitter for Android")</f>
        <v>Twitter for Android</v>
      </c>
      <c r="L138" s="16">
        <v>330</v>
      </c>
      <c r="M138" s="16">
        <v>603</v>
      </c>
      <c r="N138" s="16">
        <v>0</v>
      </c>
      <c r="O138" s="17"/>
      <c r="P138" s="18">
        <v>43734.179907407408</v>
      </c>
      <c r="Q138" s="7" t="s">
        <v>1301</v>
      </c>
      <c r="R138" s="7" t="s">
        <v>1302</v>
      </c>
      <c r="S138" s="7"/>
      <c r="T138" s="8"/>
      <c r="U138" s="19" t="str">
        <f>HYPERLINK("https://pbs.twimg.com/profile_images/1177192047704494080/HEv5rE-Z.jpg","View")</f>
        <v>View</v>
      </c>
      <c r="V138" s="8"/>
      <c r="W138" s="8"/>
      <c r="X138" s="8"/>
      <c r="Y138" s="8"/>
      <c r="Z138" s="8"/>
    </row>
    <row r="139" spans="1:26" ht="12.75">
      <c r="A139" s="11">
        <v>43747.31386574074</v>
      </c>
      <c r="B139" s="12" t="str">
        <f>HYPERLINK("https://twitter.com/bburaktunc","@bburaktunc")</f>
        <v>@bburaktunc</v>
      </c>
      <c r="C139" s="7" t="s">
        <v>1306</v>
      </c>
      <c r="D139" s="7" t="s">
        <v>1307</v>
      </c>
      <c r="E139" s="12" t="str">
        <f>HYPERLINK("https://twitter.com/bburaktunc/status/1181940370013347840","1181940370013347840")</f>
        <v>1181940370013347840</v>
      </c>
      <c r="F139" s="8"/>
      <c r="G139" s="15"/>
      <c r="H139" s="8"/>
      <c r="I139" s="15">
        <v>0</v>
      </c>
      <c r="J139" s="15">
        <v>0</v>
      </c>
      <c r="K139" s="12" t="str">
        <f>HYPERLINK("https://mobile.twitter.com","Twitter Web App")</f>
        <v>Twitter Web App</v>
      </c>
      <c r="L139" s="16">
        <v>1</v>
      </c>
      <c r="M139" s="16">
        <v>27</v>
      </c>
      <c r="N139" s="16">
        <v>0</v>
      </c>
      <c r="O139" s="17"/>
      <c r="P139" s="18">
        <v>43574.565844907411</v>
      </c>
      <c r="Q139" s="7"/>
      <c r="R139" s="7" t="s">
        <v>1311</v>
      </c>
      <c r="S139" s="7"/>
      <c r="T139" s="8"/>
      <c r="U139" s="19" t="str">
        <f>HYPERLINK("https://pbs.twimg.com/profile_images/1155020956420726784/jkMoEU0J.jpg","View")</f>
        <v>View</v>
      </c>
      <c r="V139" s="8"/>
      <c r="W139" s="8"/>
      <c r="X139" s="8"/>
      <c r="Y139" s="8"/>
      <c r="Z139" s="8"/>
    </row>
    <row r="140" spans="1:26" ht="12.75">
      <c r="A140" s="11">
        <v>43747.313842592594</v>
      </c>
      <c r="B140" s="12" t="str">
        <f>HYPERLINK("https://twitter.com/Darkwebhaber","@Darkwebhaber")</f>
        <v>@Darkwebhaber</v>
      </c>
      <c r="C140" s="7" t="s">
        <v>1312</v>
      </c>
      <c r="D140" s="7" t="s">
        <v>1313</v>
      </c>
      <c r="E140" s="12" t="str">
        <f>HYPERLINK("https://twitter.com/Darkwebhaber/status/1181940363369558018","1181940363369558018")</f>
        <v>1181940363369558018</v>
      </c>
      <c r="F140" s="8"/>
      <c r="G140" s="14" t="s">
        <v>1314</v>
      </c>
      <c r="H140" s="8"/>
      <c r="I140" s="15">
        <v>3</v>
      </c>
      <c r="J140" s="15">
        <v>53</v>
      </c>
      <c r="K140" s="12" t="str">
        <f>HYPERLINK("http://twitter.com/download/android","Twitter for Android")</f>
        <v>Twitter for Android</v>
      </c>
      <c r="L140" s="16">
        <v>69083</v>
      </c>
      <c r="M140" s="16">
        <v>2</v>
      </c>
      <c r="N140" s="16">
        <v>44</v>
      </c>
      <c r="O140" s="17"/>
      <c r="P140" s="18">
        <v>43388.47729166667</v>
      </c>
      <c r="Q140" s="7" t="s">
        <v>200</v>
      </c>
      <c r="R140" s="7" t="s">
        <v>1318</v>
      </c>
      <c r="S140" s="14" t="s">
        <v>1319</v>
      </c>
      <c r="T140" s="8"/>
      <c r="U140" s="19" t="str">
        <f>HYPERLINK("https://pbs.twimg.com/profile_images/1051903063810854912/LTBKnIC5.jpg","View")</f>
        <v>View</v>
      </c>
      <c r="V140" s="8"/>
      <c r="W140" s="8"/>
      <c r="X140" s="8"/>
      <c r="Y140" s="8"/>
      <c r="Z140" s="8"/>
    </row>
    <row r="141" spans="1:26" ht="12.75">
      <c r="A141" s="11">
        <v>43747.313784722224</v>
      </c>
      <c r="B141" s="12" t="str">
        <f>HYPERLINK("https://twitter.com/ysngraphic","@ysngraphic")</f>
        <v>@ysngraphic</v>
      </c>
      <c r="C141" s="7" t="s">
        <v>1320</v>
      </c>
      <c r="D141" s="7" t="s">
        <v>1321</v>
      </c>
      <c r="E141" s="12" t="str">
        <f>HYPERLINK("https://twitter.com/ysngraphic/status/1181940339835330567","1181940339835330567")</f>
        <v>1181940339835330567</v>
      </c>
      <c r="F141" s="8"/>
      <c r="G141" s="14" t="s">
        <v>1322</v>
      </c>
      <c r="H141" s="8"/>
      <c r="I141" s="15">
        <v>2</v>
      </c>
      <c r="J141" s="15">
        <v>17</v>
      </c>
      <c r="K141" s="12" t="str">
        <f>HYPERLINK("http://twitter.com/download/android","Twitter for Android")</f>
        <v>Twitter for Android</v>
      </c>
      <c r="L141" s="16">
        <v>17546</v>
      </c>
      <c r="M141" s="16">
        <v>14125</v>
      </c>
      <c r="N141" s="16">
        <v>35</v>
      </c>
      <c r="O141" s="17"/>
      <c r="P141" s="18">
        <v>42935.877523148149</v>
      </c>
      <c r="Q141" s="7" t="s">
        <v>1325</v>
      </c>
      <c r="R141" s="7" t="s">
        <v>1326</v>
      </c>
      <c r="S141" s="14" t="s">
        <v>1327</v>
      </c>
      <c r="T141" s="8"/>
      <c r="U141" s="19" t="str">
        <f>HYPERLINK("https://pbs.twimg.com/profile_images/1177957111495626752/yIH54AX4.jpg","View")</f>
        <v>View</v>
      </c>
      <c r="V141" s="8"/>
      <c r="W141" s="8"/>
      <c r="X141" s="8"/>
      <c r="Y141" s="8"/>
      <c r="Z141" s="8"/>
    </row>
    <row r="142" spans="1:26" ht="12.75">
      <c r="A142" s="11">
        <v>43747.313738425924</v>
      </c>
      <c r="B142" s="12" t="str">
        <f>HYPERLINK("https://twitter.com/AtilaMete3","@AtilaMete3")</f>
        <v>@AtilaMete3</v>
      </c>
      <c r="C142" s="7" t="s">
        <v>1331</v>
      </c>
      <c r="D142" s="7" t="s">
        <v>1332</v>
      </c>
      <c r="E142" s="12" t="str">
        <f>HYPERLINK("https://twitter.com/AtilaMete3/status/1181940325188849664","1181940325188849664")</f>
        <v>1181940325188849664</v>
      </c>
      <c r="F142" s="8"/>
      <c r="G142" s="7"/>
      <c r="H142" s="8"/>
      <c r="I142" s="15">
        <v>0</v>
      </c>
      <c r="J142" s="15">
        <v>0</v>
      </c>
      <c r="K142" s="12" t="str">
        <f>HYPERLINK("https://mobile.twitter.com","Twitter Web App")</f>
        <v>Twitter Web App</v>
      </c>
      <c r="L142" s="16">
        <v>3</v>
      </c>
      <c r="M142" s="16">
        <v>21</v>
      </c>
      <c r="N142" s="16">
        <v>0</v>
      </c>
      <c r="O142" s="17"/>
      <c r="P142" s="18">
        <v>43740.301875000005</v>
      </c>
      <c r="Q142" s="7"/>
      <c r="R142" s="7"/>
      <c r="S142" s="15"/>
      <c r="T142" s="8"/>
      <c r="U142" s="19" t="str">
        <f>HYPERLINK("https://pbs.twimg.com/profile_images/1179399461820391427/DuogcxnE.jpg","View")</f>
        <v>View</v>
      </c>
      <c r="V142" s="8"/>
      <c r="W142" s="8"/>
      <c r="X142" s="8"/>
      <c r="Y142" s="8"/>
      <c r="Z142" s="8"/>
    </row>
    <row r="143" spans="1:26" ht="12.75">
      <c r="A143" s="11">
        <v>43747.313680555555</v>
      </c>
      <c r="B143" s="12" t="str">
        <f>HYPERLINK("https://twitter.com/ME_Guevn","@ME_Guevn")</f>
        <v>@ME_Guevn</v>
      </c>
      <c r="C143" s="7" t="s">
        <v>1337</v>
      </c>
      <c r="D143" s="7" t="s">
        <v>1338</v>
      </c>
      <c r="E143" s="12" t="str">
        <f>HYPERLINK("https://twitter.com/ME_Guevn/status/1181940304083075072","1181940304083075072")</f>
        <v>1181940304083075072</v>
      </c>
      <c r="F143" s="8"/>
      <c r="G143" s="14" t="s">
        <v>1339</v>
      </c>
      <c r="H143" s="8"/>
      <c r="I143" s="15">
        <v>0</v>
      </c>
      <c r="J143" s="15">
        <v>2</v>
      </c>
      <c r="K143" s="12" t="str">
        <f>HYPERLINK("http://twitter.com/download/android","Twitter for Android")</f>
        <v>Twitter for Android</v>
      </c>
      <c r="L143" s="16">
        <v>37</v>
      </c>
      <c r="M143" s="16">
        <v>135</v>
      </c>
      <c r="N143" s="16">
        <v>0</v>
      </c>
      <c r="O143" s="17"/>
      <c r="P143" s="18">
        <v>43253.206006944441</v>
      </c>
      <c r="Q143" s="7" t="s">
        <v>1343</v>
      </c>
      <c r="R143" s="7" t="s">
        <v>1344</v>
      </c>
      <c r="S143" s="15"/>
      <c r="T143" s="8"/>
      <c r="U143" s="19" t="str">
        <f>HYPERLINK("https://pbs.twimg.com/profile_images/1114654152070696965/RS7oNcsV.jpg","View")</f>
        <v>View</v>
      </c>
      <c r="V143" s="8"/>
      <c r="W143" s="8"/>
      <c r="X143" s="8"/>
      <c r="Y143" s="8"/>
      <c r="Z143" s="8"/>
    </row>
    <row r="144" spans="1:26" ht="12.75">
      <c r="A144" s="11">
        <v>43747.313657407409</v>
      </c>
      <c r="B144" s="12" t="str">
        <f>HYPERLINK("https://twitter.com/muratsaatli","@muratsaatli")</f>
        <v>@muratsaatli</v>
      </c>
      <c r="C144" s="7" t="s">
        <v>1345</v>
      </c>
      <c r="D144" s="7" t="s">
        <v>1346</v>
      </c>
      <c r="E144" s="12" t="str">
        <f>HYPERLINK("https://twitter.com/muratsaatli/status/1181940294822121472","1181940294822121472")</f>
        <v>1181940294822121472</v>
      </c>
      <c r="F144" s="14" t="s">
        <v>1348</v>
      </c>
      <c r="G144" s="14" t="s">
        <v>1350</v>
      </c>
      <c r="H144" s="8"/>
      <c r="I144" s="15">
        <v>0</v>
      </c>
      <c r="J144" s="15">
        <v>0</v>
      </c>
      <c r="K144" s="12" t="str">
        <f>HYPERLINK("http://twitter.com/download/iphone","Twitter for iPhone")</f>
        <v>Twitter for iPhone</v>
      </c>
      <c r="L144" s="16">
        <v>814</v>
      </c>
      <c r="M144" s="16">
        <v>1693</v>
      </c>
      <c r="N144" s="16">
        <v>4</v>
      </c>
      <c r="O144" s="17"/>
      <c r="P144" s="18">
        <v>40780.36791666667</v>
      </c>
      <c r="Q144" s="7"/>
      <c r="R144" s="7" t="s">
        <v>1352</v>
      </c>
      <c r="S144" s="15"/>
      <c r="T144" s="8"/>
      <c r="U144" s="19" t="str">
        <f>HYPERLINK("https://pbs.twimg.com/profile_images/1132500579056537602/YOrJGdLe.jpg","View")</f>
        <v>View</v>
      </c>
      <c r="V144" s="8"/>
      <c r="W144" s="8"/>
      <c r="X144" s="8"/>
      <c r="Y144" s="8"/>
      <c r="Z144" s="8"/>
    </row>
    <row r="145" spans="1:26" ht="12.75">
      <c r="A145" s="11">
        <v>43747.313599537039</v>
      </c>
      <c r="B145" s="12" t="str">
        <f>HYPERLINK("https://twitter.com/AbdullahElazizi","@AbdullahElazizi")</f>
        <v>@AbdullahElazizi</v>
      </c>
      <c r="C145" s="7" t="s">
        <v>1353</v>
      </c>
      <c r="D145" s="7" t="s">
        <v>1354</v>
      </c>
      <c r="E145" s="12" t="str">
        <f>HYPERLINK("https://twitter.com/AbdullahElazizi/status/1181940276086165504","1181940276086165504")</f>
        <v>1181940276086165504</v>
      </c>
      <c r="F145" s="8"/>
      <c r="G145" s="14" t="s">
        <v>1356</v>
      </c>
      <c r="H145" s="8"/>
      <c r="I145" s="15">
        <v>0</v>
      </c>
      <c r="J145" s="15">
        <v>1</v>
      </c>
      <c r="K145" s="12" t="str">
        <f>HYPERLINK("http://twitter.com/download/android","Twitter for Android")</f>
        <v>Twitter for Android</v>
      </c>
      <c r="L145" s="16">
        <v>2198</v>
      </c>
      <c r="M145" s="16">
        <v>2599</v>
      </c>
      <c r="N145" s="16">
        <v>3</v>
      </c>
      <c r="O145" s="17"/>
      <c r="P145" s="18">
        <v>41786.324421296296</v>
      </c>
      <c r="Q145" s="7" t="s">
        <v>313</v>
      </c>
      <c r="R145" s="7" t="s">
        <v>1360</v>
      </c>
      <c r="S145" s="14" t="s">
        <v>1361</v>
      </c>
      <c r="T145" s="8"/>
      <c r="U145" s="19" t="str">
        <f>HYPERLINK("https://pbs.twimg.com/profile_images/1109112955692638208/g40--opc.jpg","View")</f>
        <v>View</v>
      </c>
      <c r="V145" s="8"/>
      <c r="W145" s="8"/>
      <c r="X145" s="8"/>
      <c r="Y145" s="8"/>
      <c r="Z145" s="8"/>
    </row>
    <row r="146" spans="1:26" ht="12.75">
      <c r="A146" s="11">
        <v>43747.313576388886</v>
      </c>
      <c r="B146" s="12" t="str">
        <f>HYPERLINK("https://twitter.com/abdulhalimklc","@abdulhalimklc")</f>
        <v>@abdulhalimklc</v>
      </c>
      <c r="C146" s="7" t="s">
        <v>1364</v>
      </c>
      <c r="D146" s="7" t="s">
        <v>1365</v>
      </c>
      <c r="E146" s="12" t="str">
        <f>HYPERLINK("https://twitter.com/abdulhalimklc/status/1181940267047424000","1181940267047424000")</f>
        <v>1181940267047424000</v>
      </c>
      <c r="F146" s="8"/>
      <c r="G146" s="14" t="s">
        <v>1366</v>
      </c>
      <c r="H146" s="8"/>
      <c r="I146" s="15">
        <v>0</v>
      </c>
      <c r="J146" s="15">
        <v>1</v>
      </c>
      <c r="K146" s="12" t="str">
        <f>HYPERLINK("http://twitter.com/download/android","Twitter for Android")</f>
        <v>Twitter for Android</v>
      </c>
      <c r="L146" s="16">
        <v>1129</v>
      </c>
      <c r="M146" s="16">
        <v>413</v>
      </c>
      <c r="N146" s="16">
        <v>2</v>
      </c>
      <c r="O146" s="17"/>
      <c r="P146" s="18">
        <v>41955.150555555556</v>
      </c>
      <c r="Q146" s="7" t="s">
        <v>1370</v>
      </c>
      <c r="R146" s="7" t="s">
        <v>1371</v>
      </c>
      <c r="S146" s="15"/>
      <c r="T146" s="8"/>
      <c r="U146" s="19" t="str">
        <f>HYPERLINK("https://pbs.twimg.com/profile_images/1180155942794649601/Y4wHiZi8.jpg","View")</f>
        <v>View</v>
      </c>
      <c r="V146" s="8"/>
      <c r="W146" s="8"/>
      <c r="X146" s="8"/>
      <c r="Y146" s="8"/>
      <c r="Z146" s="8"/>
    </row>
    <row r="147" spans="1:26" ht="12.75">
      <c r="A147" s="11">
        <v>43747.313518518524</v>
      </c>
      <c r="B147" s="12" t="str">
        <f>HYPERLINK("https://twitter.com/miraybckci","@miraybckci")</f>
        <v>@miraybckci</v>
      </c>
      <c r="C147" s="7" t="s">
        <v>1372</v>
      </c>
      <c r="D147" s="7" t="s">
        <v>1373</v>
      </c>
      <c r="E147" s="12" t="str">
        <f>HYPERLINK("https://twitter.com/miraybckci/status/1181940247275462656","1181940247275462656")</f>
        <v>1181940247275462656</v>
      </c>
      <c r="F147" s="8"/>
      <c r="G147" s="14" t="s">
        <v>1374</v>
      </c>
      <c r="H147" s="8"/>
      <c r="I147" s="15">
        <v>0</v>
      </c>
      <c r="J147" s="15">
        <v>3</v>
      </c>
      <c r="K147" s="12" t="str">
        <f>HYPERLINK("http://twitter.com/download/iphone","Twitter for iPhone")</f>
        <v>Twitter for iPhone</v>
      </c>
      <c r="L147" s="16">
        <v>456</v>
      </c>
      <c r="M147" s="16">
        <v>259</v>
      </c>
      <c r="N147" s="16">
        <v>2</v>
      </c>
      <c r="O147" s="17"/>
      <c r="P147" s="18">
        <v>41696.995555555557</v>
      </c>
      <c r="Q147" s="7" t="s">
        <v>1377</v>
      </c>
      <c r="R147" s="7" t="s">
        <v>1378</v>
      </c>
      <c r="S147" s="15"/>
      <c r="T147" s="8"/>
      <c r="U147" s="19" t="str">
        <f>HYPERLINK("https://pbs.twimg.com/profile_images/1170964545319444481/mMPRwfuy.jpg","View")</f>
        <v>View</v>
      </c>
      <c r="V147" s="8"/>
      <c r="W147" s="8"/>
      <c r="X147" s="8"/>
      <c r="Y147" s="8"/>
      <c r="Z147" s="8"/>
    </row>
    <row r="148" spans="1:26" ht="12.75">
      <c r="A148" s="11">
        <v>43747.313449074078</v>
      </c>
      <c r="B148" s="12" t="str">
        <f>HYPERLINK("https://twitter.com/savas2502","@savas2502")</f>
        <v>@savas2502</v>
      </c>
      <c r="C148" s="7" t="s">
        <v>1388</v>
      </c>
      <c r="D148" s="7" t="s">
        <v>1389</v>
      </c>
      <c r="E148" s="12" t="str">
        <f>HYPERLINK("https://twitter.com/savas2502/status/1181940220637396992","1181940220637396992")</f>
        <v>1181940220637396992</v>
      </c>
      <c r="F148" s="8"/>
      <c r="G148" s="14" t="s">
        <v>1390</v>
      </c>
      <c r="H148" s="8"/>
      <c r="I148" s="15">
        <v>0</v>
      </c>
      <c r="J148" s="15">
        <v>0</v>
      </c>
      <c r="K148" s="12" t="str">
        <f>HYPERLINK("http://twitter.com/download/iphone","Twitter for iPhone")</f>
        <v>Twitter for iPhone</v>
      </c>
      <c r="L148" s="16">
        <v>874</v>
      </c>
      <c r="M148" s="16">
        <v>1355</v>
      </c>
      <c r="N148" s="16">
        <v>0</v>
      </c>
      <c r="O148" s="17"/>
      <c r="P148" s="18">
        <v>42614.490347222221</v>
      </c>
      <c r="Q148" s="7" t="s">
        <v>1392</v>
      </c>
      <c r="R148" s="7" t="s">
        <v>1393</v>
      </c>
      <c r="S148" s="7"/>
      <c r="T148" s="8"/>
      <c r="U148" s="19" t="str">
        <f>HYPERLINK("https://pbs.twimg.com/profile_images/1127203733115473920/MilhKJMY.jpg","View")</f>
        <v>View</v>
      </c>
      <c r="V148" s="8"/>
      <c r="W148" s="8"/>
      <c r="X148" s="8"/>
      <c r="Y148" s="8"/>
      <c r="Z148" s="8"/>
    </row>
    <row r="149" spans="1:26" ht="12.75">
      <c r="A149" s="11">
        <v>43747.313414351855</v>
      </c>
      <c r="B149" s="12" t="str">
        <f>HYPERLINK("https://twitter.com/volkan_giritli","@volkan_giritli")</f>
        <v>@volkan_giritli</v>
      </c>
      <c r="C149" s="7" t="s">
        <v>1395</v>
      </c>
      <c r="D149" s="7" t="s">
        <v>1397</v>
      </c>
      <c r="E149" s="12" t="str">
        <f>HYPERLINK("https://twitter.com/volkan_giritli/status/1181940208671117312","1181940208671117312")</f>
        <v>1181940208671117312</v>
      </c>
      <c r="F149" s="15"/>
      <c r="G149" s="14" t="s">
        <v>1398</v>
      </c>
      <c r="H149" s="8"/>
      <c r="I149" s="15">
        <v>0</v>
      </c>
      <c r="J149" s="15">
        <v>1</v>
      </c>
      <c r="K149" s="12" t="str">
        <f>HYPERLINK("https://mobile.twitter.com","Twitter Web App")</f>
        <v>Twitter Web App</v>
      </c>
      <c r="L149" s="16">
        <v>1083</v>
      </c>
      <c r="M149" s="16">
        <v>643</v>
      </c>
      <c r="N149" s="16">
        <v>3</v>
      </c>
      <c r="O149" s="17"/>
      <c r="P149" s="18">
        <v>42768.115474537037</v>
      </c>
      <c r="Q149" s="7" t="s">
        <v>69</v>
      </c>
      <c r="R149" s="7" t="s">
        <v>1399</v>
      </c>
      <c r="S149" s="14" t="s">
        <v>1400</v>
      </c>
      <c r="T149" s="8"/>
      <c r="U149" s="19" t="str">
        <f>HYPERLINK("https://pbs.twimg.com/profile_images/827108997383802880/1dp_UlZS.jpg","View")</f>
        <v>View</v>
      </c>
      <c r="V149" s="8"/>
      <c r="W149" s="8"/>
      <c r="X149" s="8"/>
      <c r="Y149" s="8"/>
      <c r="Z149" s="8"/>
    </row>
    <row r="150" spans="1:26" ht="12.75">
      <c r="A150" s="11">
        <v>43747.313391203701</v>
      </c>
      <c r="B150" s="12" t="str">
        <f>HYPERLINK("https://twitter.com/Orhansa76070769","@Orhansa76070769")</f>
        <v>@Orhansa76070769</v>
      </c>
      <c r="C150" s="7" t="s">
        <v>1403</v>
      </c>
      <c r="D150" s="7" t="s">
        <v>1404</v>
      </c>
      <c r="E150" s="12" t="str">
        <f>HYPERLINK("https://twitter.com/Orhansa76070769/status/1181940197732343811","1181940197732343811")</f>
        <v>1181940197732343811</v>
      </c>
      <c r="F150" s="8"/>
      <c r="G150" s="14" t="s">
        <v>1406</v>
      </c>
      <c r="H150" s="8"/>
      <c r="I150" s="15">
        <v>0</v>
      </c>
      <c r="J150" s="15">
        <v>0</v>
      </c>
      <c r="K150" s="12" t="str">
        <f>HYPERLINK("http://twitter.com/download/iphone","Twitter for iPhone")</f>
        <v>Twitter for iPhone</v>
      </c>
      <c r="L150" s="16">
        <v>1</v>
      </c>
      <c r="M150" s="16">
        <v>34</v>
      </c>
      <c r="N150" s="16">
        <v>0</v>
      </c>
      <c r="O150" s="17"/>
      <c r="P150" s="18">
        <v>43745.637499999997</v>
      </c>
      <c r="Q150" s="7" t="s">
        <v>1408</v>
      </c>
      <c r="R150" s="7" t="s">
        <v>1409</v>
      </c>
      <c r="S150" s="7"/>
      <c r="T150" s="8"/>
      <c r="U150" s="19" t="str">
        <f>HYPERLINK("https://pbs.twimg.com/profile_images/1181456049208999936/8jbbixF_.jpg","View")</f>
        <v>View</v>
      </c>
      <c r="V150" s="8"/>
      <c r="W150" s="8"/>
      <c r="X150" s="8"/>
      <c r="Y150" s="8"/>
      <c r="Z150" s="8"/>
    </row>
    <row r="151" spans="1:26" ht="12.75">
      <c r="A151" s="11">
        <v>43747.313252314816</v>
      </c>
      <c r="B151" s="12" t="str">
        <f>HYPERLINK("https://twitter.com/enesdogan88","@enesdogan88")</f>
        <v>@enesdogan88</v>
      </c>
      <c r="C151" s="7" t="s">
        <v>1413</v>
      </c>
      <c r="D151" s="7" t="s">
        <v>1414</v>
      </c>
      <c r="E151" s="12" t="str">
        <f>HYPERLINK("https://twitter.com/enesdogan88/status/1181940147748839425","1181940147748839425")</f>
        <v>1181940147748839425</v>
      </c>
      <c r="F151" s="8"/>
      <c r="G151" s="14" t="s">
        <v>1415</v>
      </c>
      <c r="H151" s="8"/>
      <c r="I151" s="15">
        <v>0</v>
      </c>
      <c r="J151" s="15">
        <v>1</v>
      </c>
      <c r="K151" s="12" t="str">
        <f>HYPERLINK("http://twitter.com/download/android","Twitter for Android")</f>
        <v>Twitter for Android</v>
      </c>
      <c r="L151" s="16">
        <v>23</v>
      </c>
      <c r="M151" s="16">
        <v>31</v>
      </c>
      <c r="N151" s="16">
        <v>0</v>
      </c>
      <c r="O151" s="17"/>
      <c r="P151" s="18">
        <v>43116.352071759262</v>
      </c>
      <c r="Q151" s="7" t="s">
        <v>313</v>
      </c>
      <c r="R151" s="7" t="s">
        <v>1416</v>
      </c>
      <c r="S151" s="7"/>
      <c r="T151" s="8"/>
      <c r="U151" s="19" t="str">
        <f>HYPERLINK("https://pbs.twimg.com/profile_images/1135209150928105472/YPQccV9N.jpg","View")</f>
        <v>View</v>
      </c>
      <c r="V151" s="8"/>
      <c r="W151" s="8"/>
      <c r="X151" s="8"/>
      <c r="Y151" s="8"/>
      <c r="Z151" s="8"/>
    </row>
    <row r="152" spans="1:26" ht="12.75">
      <c r="A152" s="11">
        <v>43747.313090277778</v>
      </c>
      <c r="B152" s="12" t="str">
        <f>HYPERLINK("https://twitter.com/Fatih__SELCUK","@Fatih__SELCUK")</f>
        <v>@Fatih__SELCUK</v>
      </c>
      <c r="C152" s="7" t="s">
        <v>1417</v>
      </c>
      <c r="D152" s="7" t="s">
        <v>1418</v>
      </c>
      <c r="E152" s="12" t="str">
        <f>HYPERLINK("https://twitter.com/Fatih__SELCUK/status/1181940090005798914","1181940090005798914")</f>
        <v>1181940090005798914</v>
      </c>
      <c r="F152" s="8"/>
      <c r="G152" s="7"/>
      <c r="H152" s="8"/>
      <c r="I152" s="15">
        <v>0</v>
      </c>
      <c r="J152" s="15">
        <v>0</v>
      </c>
      <c r="K152" s="12" t="str">
        <f>HYPERLINK("http://twitter.com/download/android","Twitter for Android")</f>
        <v>Twitter for Android</v>
      </c>
      <c r="L152" s="16">
        <v>163</v>
      </c>
      <c r="M152" s="16">
        <v>418</v>
      </c>
      <c r="N152" s="16">
        <v>0</v>
      </c>
      <c r="O152" s="17"/>
      <c r="P152" s="18">
        <v>40940.308680555558</v>
      </c>
      <c r="Q152" s="7" t="s">
        <v>1421</v>
      </c>
      <c r="R152" s="7"/>
      <c r="S152" s="7"/>
      <c r="T152" s="8"/>
      <c r="U152" s="19" t="str">
        <f>HYPERLINK("https://pbs.twimg.com/profile_images/1074053315271553024/nQDDThCV.jpg","View")</f>
        <v>View</v>
      </c>
      <c r="V152" s="8"/>
      <c r="W152" s="8"/>
      <c r="X152" s="8"/>
      <c r="Y152" s="8"/>
      <c r="Z152" s="8"/>
    </row>
    <row r="153" spans="1:26" ht="12.75">
      <c r="A153" s="11">
        <v>43747.313043981485</v>
      </c>
      <c r="B153" s="12" t="str">
        <f>HYPERLINK("https://twitter.com/sukrumorgul53","@sukrumorgul53")</f>
        <v>@sukrumorgul53</v>
      </c>
      <c r="C153" s="7" t="s">
        <v>1423</v>
      </c>
      <c r="D153" s="7" t="s">
        <v>1424</v>
      </c>
      <c r="E153" s="12" t="str">
        <f>HYPERLINK("https://twitter.com/sukrumorgul53/status/1181940073849393154","1181940073849393154")</f>
        <v>1181940073849393154</v>
      </c>
      <c r="F153" s="8"/>
      <c r="G153" s="14" t="s">
        <v>1425</v>
      </c>
      <c r="H153" s="8"/>
      <c r="I153" s="15">
        <v>0</v>
      </c>
      <c r="J153" s="15">
        <v>0</v>
      </c>
      <c r="K153" s="12" t="str">
        <f>HYPERLINK("http://twitter.com/download/android","Twitter for Android")</f>
        <v>Twitter for Android</v>
      </c>
      <c r="L153" s="16">
        <v>1377</v>
      </c>
      <c r="M153" s="16">
        <v>1087</v>
      </c>
      <c r="N153" s="16">
        <v>1</v>
      </c>
      <c r="O153" s="17"/>
      <c r="P153" s="18">
        <v>42763.299062499995</v>
      </c>
      <c r="Q153" s="7"/>
      <c r="R153" s="7" t="s">
        <v>1430</v>
      </c>
      <c r="S153" s="14" t="s">
        <v>1431</v>
      </c>
      <c r="T153" s="8"/>
      <c r="U153" s="19" t="str">
        <f>HYPERLINK("https://pbs.twimg.com/profile_images/1171207243100041217/ybRn6_sR.jpg","View")</f>
        <v>View</v>
      </c>
      <c r="V153" s="8"/>
      <c r="W153" s="8"/>
      <c r="X153" s="8"/>
      <c r="Y153" s="8"/>
      <c r="Z153" s="8"/>
    </row>
    <row r="154" spans="1:26" ht="12.75">
      <c r="A154" s="11">
        <v>43747.313043981485</v>
      </c>
      <c r="B154" s="12" t="str">
        <f>HYPERLINK("https://twitter.com/senguwave","@senguwave")</f>
        <v>@senguwave</v>
      </c>
      <c r="C154" s="7" t="s">
        <v>1434</v>
      </c>
      <c r="D154" s="7" t="s">
        <v>1435</v>
      </c>
      <c r="E154" s="12" t="str">
        <f>HYPERLINK("https://twitter.com/senguwave/status/1181940071324360706","1181940071324360706")</f>
        <v>1181940071324360706</v>
      </c>
      <c r="F154" s="14" t="s">
        <v>1438</v>
      </c>
      <c r="G154" s="7"/>
      <c r="H154" s="8"/>
      <c r="I154" s="15">
        <v>0</v>
      </c>
      <c r="J154" s="15">
        <v>0</v>
      </c>
      <c r="K154" s="12" t="str">
        <f>HYPERLINK("http://twitter.com/download/android","Twitter for Android")</f>
        <v>Twitter for Android</v>
      </c>
      <c r="L154" s="16">
        <v>41</v>
      </c>
      <c r="M154" s="16">
        <v>44</v>
      </c>
      <c r="N154" s="16">
        <v>0</v>
      </c>
      <c r="O154" s="17"/>
      <c r="P154" s="18">
        <v>43532.523599537039</v>
      </c>
      <c r="Q154" s="7" t="s">
        <v>313</v>
      </c>
      <c r="R154" s="7" t="s">
        <v>1441</v>
      </c>
      <c r="S154" s="15"/>
      <c r="T154" s="8"/>
      <c r="U154" s="19" t="str">
        <f>HYPERLINK("https://pbs.twimg.com/profile_images/1181326060765401088/GuELfhy6.jpg","View")</f>
        <v>View</v>
      </c>
      <c r="V154" s="8"/>
      <c r="W154" s="8"/>
      <c r="X154" s="8"/>
      <c r="Y154" s="8"/>
      <c r="Z154" s="8"/>
    </row>
    <row r="155" spans="1:26" ht="12.75">
      <c r="A155" s="11">
        <v>43747.312986111108</v>
      </c>
      <c r="B155" s="12" t="str">
        <f>HYPERLINK("https://twitter.com/MtnKRTS","@MtnKRTS")</f>
        <v>@MtnKRTS</v>
      </c>
      <c r="C155" s="7" t="s">
        <v>1444</v>
      </c>
      <c r="D155" s="7" t="s">
        <v>1445</v>
      </c>
      <c r="E155" s="12" t="str">
        <f>HYPERLINK("https://twitter.com/MtnKRTS/status/1181940054329106433","1181940054329106433")</f>
        <v>1181940054329106433</v>
      </c>
      <c r="F155" s="8"/>
      <c r="G155" s="14" t="s">
        <v>1447</v>
      </c>
      <c r="H155" s="8"/>
      <c r="I155" s="15">
        <v>0</v>
      </c>
      <c r="J155" s="15">
        <v>0</v>
      </c>
      <c r="K155" s="12" t="str">
        <f>HYPERLINK("http://twitter.com/download/android","Twitter for Android")</f>
        <v>Twitter for Android</v>
      </c>
      <c r="L155" s="16">
        <v>552</v>
      </c>
      <c r="M155" s="16">
        <v>568</v>
      </c>
      <c r="N155" s="16">
        <v>1</v>
      </c>
      <c r="O155" s="17"/>
      <c r="P155" s="18">
        <v>40161.41443287037</v>
      </c>
      <c r="Q155" s="7"/>
      <c r="R155" s="7" t="s">
        <v>1448</v>
      </c>
      <c r="S155" s="7"/>
      <c r="T155" s="8"/>
      <c r="U155" s="19" t="str">
        <f>HYPERLINK("https://pbs.twimg.com/profile_images/1167079089506848771/rGKi62l6.jpg","View")</f>
        <v>View</v>
      </c>
      <c r="V155" s="8"/>
      <c r="W155" s="8"/>
      <c r="X155" s="8"/>
      <c r="Y155" s="8"/>
      <c r="Z155" s="8"/>
    </row>
    <row r="156" spans="1:26" ht="12.75">
      <c r="A156" s="11">
        <v>43747.312800925924</v>
      </c>
      <c r="B156" s="12" t="str">
        <f>HYPERLINK("https://twitter.com/slmhktn_eng","@slmhktn_eng")</f>
        <v>@slmhktn_eng</v>
      </c>
      <c r="C156" s="7" t="s">
        <v>1456</v>
      </c>
      <c r="D156" s="7" t="s">
        <v>1457</v>
      </c>
      <c r="E156" s="12" t="str">
        <f>HYPERLINK("https://twitter.com/slmhktn_eng/status/1181939987081773057","1181939987081773057")</f>
        <v>1181939987081773057</v>
      </c>
      <c r="F156" s="15"/>
      <c r="G156" s="14" t="s">
        <v>1459</v>
      </c>
      <c r="H156" s="8"/>
      <c r="I156" s="15">
        <v>17</v>
      </c>
      <c r="J156" s="15">
        <v>25</v>
      </c>
      <c r="K156" s="12" t="str">
        <f>HYPERLINK("http://twitter.com/download/iphone","Twitter for iPhone")</f>
        <v>Twitter for iPhone</v>
      </c>
      <c r="L156" s="16">
        <v>39854</v>
      </c>
      <c r="M156" s="16">
        <v>36</v>
      </c>
      <c r="N156" s="16">
        <v>21</v>
      </c>
      <c r="O156" s="17"/>
      <c r="P156" s="18">
        <v>41851.326168981483</v>
      </c>
      <c r="Q156" s="7" t="s">
        <v>1461</v>
      </c>
      <c r="R156" s="7" t="s">
        <v>1462</v>
      </c>
      <c r="S156" s="7"/>
      <c r="T156" s="8"/>
      <c r="U156" s="19" t="str">
        <f>HYPERLINK("https://pbs.twimg.com/profile_images/808001430594396160/iJ6vBPCo.jpg","View")</f>
        <v>View</v>
      </c>
      <c r="V156" s="8"/>
      <c r="W156" s="8"/>
      <c r="X156" s="8"/>
      <c r="Y156" s="8"/>
      <c r="Z156" s="8"/>
    </row>
    <row r="157" spans="1:26" ht="12.75">
      <c r="A157" s="11">
        <v>43747.312800925924</v>
      </c>
      <c r="B157" s="12" t="str">
        <f>HYPERLINK("https://twitter.com/rgencosman","@rgencosman")</f>
        <v>@rgencosman</v>
      </c>
      <c r="C157" s="7" t="s">
        <v>1464</v>
      </c>
      <c r="D157" s="7" t="s">
        <v>1466</v>
      </c>
      <c r="E157" s="12" t="str">
        <f>HYPERLINK("https://twitter.com/rgencosman/status/1181939983399161856","1181939983399161856")</f>
        <v>1181939983399161856</v>
      </c>
      <c r="F157" s="8"/>
      <c r="G157" s="7"/>
      <c r="H157" s="8"/>
      <c r="I157" s="15">
        <v>0</v>
      </c>
      <c r="J157" s="15">
        <v>1</v>
      </c>
      <c r="K157" s="12" t="str">
        <f>HYPERLINK("http://twitter.com/download/android","Twitter for Android")</f>
        <v>Twitter for Android</v>
      </c>
      <c r="L157" s="16">
        <v>1026</v>
      </c>
      <c r="M157" s="16">
        <v>292</v>
      </c>
      <c r="N157" s="16">
        <v>6</v>
      </c>
      <c r="O157" s="17"/>
      <c r="P157" s="18">
        <v>41222.491111111114</v>
      </c>
      <c r="Q157" s="7" t="s">
        <v>1468</v>
      </c>
      <c r="R157" s="7" t="s">
        <v>1469</v>
      </c>
      <c r="S157" s="7"/>
      <c r="T157" s="8"/>
      <c r="U157" s="19" t="str">
        <f>HYPERLINK("https://pbs.twimg.com/profile_images/1164235286924201985/DHd7XCpT.jpg","View")</f>
        <v>View</v>
      </c>
      <c r="V157" s="8"/>
      <c r="W157" s="8"/>
      <c r="X157" s="8"/>
      <c r="Y157" s="8"/>
      <c r="Z157" s="8"/>
    </row>
    <row r="158" spans="1:26" ht="12.75">
      <c r="A158" s="11">
        <v>43747.3127662037</v>
      </c>
      <c r="B158" s="12" t="str">
        <f>HYPERLINK("https://twitter.com/BolturkOnder","@BolturkOnder")</f>
        <v>@BolturkOnder</v>
      </c>
      <c r="C158" s="7" t="s">
        <v>1471</v>
      </c>
      <c r="D158" s="7" t="s">
        <v>1472</v>
      </c>
      <c r="E158" s="12" t="str">
        <f>HYPERLINK("https://twitter.com/BolturkOnder/status/1181939972636585984","1181939972636585984")</f>
        <v>1181939972636585984</v>
      </c>
      <c r="F158" s="8"/>
      <c r="G158" s="14" t="s">
        <v>1473</v>
      </c>
      <c r="H158" s="8"/>
      <c r="I158" s="15">
        <v>0</v>
      </c>
      <c r="J158" s="15">
        <v>3</v>
      </c>
      <c r="K158" s="12" t="str">
        <f>HYPERLINK("http://twitter.com/download/android","Twitter for Android")</f>
        <v>Twitter for Android</v>
      </c>
      <c r="L158" s="16">
        <v>8568</v>
      </c>
      <c r="M158" s="16">
        <v>8612</v>
      </c>
      <c r="N158" s="16">
        <v>1</v>
      </c>
      <c r="O158" s="17"/>
      <c r="P158" s="18">
        <v>42375.220636574071</v>
      </c>
      <c r="Q158" s="7"/>
      <c r="R158" s="7" t="s">
        <v>1476</v>
      </c>
      <c r="S158" s="7"/>
      <c r="T158" s="8"/>
      <c r="U158" s="19" t="str">
        <f>HYPERLINK("https://pbs.twimg.com/profile_images/1181915254802063360/rEkYy1au.jpg","View")</f>
        <v>View</v>
      </c>
      <c r="V158" s="8"/>
      <c r="W158" s="8"/>
      <c r="X158" s="8"/>
      <c r="Y158" s="8"/>
      <c r="Z158" s="8"/>
    </row>
    <row r="159" spans="1:26" ht="12.75">
      <c r="A159" s="11">
        <v>43747.312696759254</v>
      </c>
      <c r="B159" s="12" t="str">
        <f>HYPERLINK("https://twitter.com/ANK3406","@ANK3406")</f>
        <v>@ANK3406</v>
      </c>
      <c r="C159" s="7" t="s">
        <v>1478</v>
      </c>
      <c r="D159" s="7" t="s">
        <v>1479</v>
      </c>
      <c r="E159" s="12" t="str">
        <f>HYPERLINK("https://twitter.com/ANK3406/status/1181939946460008449","1181939946460008449")</f>
        <v>1181939946460008449</v>
      </c>
      <c r="F159" s="7"/>
      <c r="G159" s="14" t="s">
        <v>1481</v>
      </c>
      <c r="H159" s="8"/>
      <c r="I159" s="15">
        <v>1</v>
      </c>
      <c r="J159" s="15">
        <v>1</v>
      </c>
      <c r="K159" s="12" t="str">
        <f>HYPERLINK("http://twitter.com/download/android","Twitter for Android")</f>
        <v>Twitter for Android</v>
      </c>
      <c r="L159" s="16">
        <v>3007</v>
      </c>
      <c r="M159" s="16">
        <v>1308</v>
      </c>
      <c r="N159" s="16">
        <v>5</v>
      </c>
      <c r="O159" s="17"/>
      <c r="P159" s="18">
        <v>40706.35087962963</v>
      </c>
      <c r="Q159" s="7" t="s">
        <v>200</v>
      </c>
      <c r="R159" s="7" t="s">
        <v>807</v>
      </c>
      <c r="S159" s="7"/>
      <c r="T159" s="8"/>
      <c r="U159" s="19" t="str">
        <f>HYPERLINK("https://pbs.twimg.com/profile_images/1181270283170324481/vT59RLjA.jpg","View")</f>
        <v>View</v>
      </c>
      <c r="V159" s="8"/>
      <c r="W159" s="8"/>
      <c r="X159" s="8"/>
      <c r="Y159" s="8"/>
      <c r="Z159" s="8"/>
    </row>
    <row r="160" spans="1:26" ht="12.75">
      <c r="A160" s="11">
        <v>43747.312685185185</v>
      </c>
      <c r="B160" s="12" t="str">
        <f>HYPERLINK("https://twitter.com/slmhktn","@slmhktn")</f>
        <v>@slmhktn</v>
      </c>
      <c r="C160" s="7" t="s">
        <v>1485</v>
      </c>
      <c r="D160" s="7" t="s">
        <v>1486</v>
      </c>
      <c r="E160" s="12" t="str">
        <f>HYPERLINK("https://twitter.com/slmhktn/status/1181939941653258240","1181939941653258240")</f>
        <v>1181939941653258240</v>
      </c>
      <c r="F160" s="8"/>
      <c r="G160" s="14" t="s">
        <v>1487</v>
      </c>
      <c r="H160" s="8"/>
      <c r="I160" s="15">
        <v>7</v>
      </c>
      <c r="J160" s="15">
        <v>27</v>
      </c>
      <c r="K160" s="12" t="str">
        <f>HYPERLINK("https://about.twitter.com/products/tweetdeck","TweetDeck")</f>
        <v>TweetDeck</v>
      </c>
      <c r="L160" s="16">
        <v>150212</v>
      </c>
      <c r="M160" s="16">
        <v>780</v>
      </c>
      <c r="N160" s="16">
        <v>322</v>
      </c>
      <c r="O160" s="17"/>
      <c r="P160" s="18">
        <v>41133.662581018521</v>
      </c>
      <c r="Q160" s="7" t="s">
        <v>1489</v>
      </c>
      <c r="R160" s="7" t="s">
        <v>1490</v>
      </c>
      <c r="S160" s="14" t="s">
        <v>1491</v>
      </c>
      <c r="T160" s="8"/>
      <c r="U160" s="19" t="str">
        <f>HYPERLINK("https://pbs.twimg.com/profile_images/1149682913753088000/_aTEynkK.jpg","View")</f>
        <v>View</v>
      </c>
      <c r="V160" s="8"/>
      <c r="W160" s="8"/>
      <c r="X160" s="8"/>
      <c r="Y160" s="8"/>
      <c r="Z160" s="8"/>
    </row>
    <row r="161" spans="1:26" ht="12.75">
      <c r="A161" s="11">
        <v>43747.312638888892</v>
      </c>
      <c r="B161" s="12" t="str">
        <f>HYPERLINK("https://twitter.com/Bercestehayat","@Bercestehayat")</f>
        <v>@Bercestehayat</v>
      </c>
      <c r="C161" s="7" t="s">
        <v>1498</v>
      </c>
      <c r="D161" s="7" t="s">
        <v>1499</v>
      </c>
      <c r="E161" s="12" t="str">
        <f>HYPERLINK("https://twitter.com/Bercestehayat/status/1181939926956433409","1181939926956433409")</f>
        <v>1181939926956433409</v>
      </c>
      <c r="F161" s="14" t="s">
        <v>1500</v>
      </c>
      <c r="G161" s="14" t="s">
        <v>1502</v>
      </c>
      <c r="H161" s="8"/>
      <c r="I161" s="15">
        <v>0</v>
      </c>
      <c r="J161" s="15">
        <v>0</v>
      </c>
      <c r="K161" s="12" t="str">
        <f>HYPERLINK("http://twitter.com/download/android","Twitter for Android")</f>
        <v>Twitter for Android</v>
      </c>
      <c r="L161" s="16">
        <v>45</v>
      </c>
      <c r="M161" s="16">
        <v>400</v>
      </c>
      <c r="N161" s="16">
        <v>0</v>
      </c>
      <c r="O161" s="20"/>
      <c r="P161" s="18">
        <v>43700.576597222222</v>
      </c>
      <c r="Q161" s="7"/>
      <c r="R161" s="7"/>
      <c r="S161" s="15"/>
      <c r="T161" s="8"/>
      <c r="U161" s="19" t="str">
        <f>HYPERLINK("https://pbs.twimg.com/profile_images/1165012503031689225/l7OfmWse.jpg","View")</f>
        <v>View</v>
      </c>
      <c r="V161" s="8"/>
      <c r="W161" s="8"/>
      <c r="X161" s="8"/>
      <c r="Y161" s="8"/>
      <c r="Z161" s="8"/>
    </row>
    <row r="162" spans="1:26" ht="12.75">
      <c r="A162" s="11">
        <v>43747.312604166669</v>
      </c>
      <c r="B162" s="12" t="str">
        <f>HYPERLINK("https://twitter.com/coruh_n","@coruh_n")</f>
        <v>@coruh_n</v>
      </c>
      <c r="C162" s="7" t="s">
        <v>1508</v>
      </c>
      <c r="D162" s="7" t="s">
        <v>1509</v>
      </c>
      <c r="E162" s="12" t="str">
        <f>HYPERLINK("https://twitter.com/coruh_n/status/1181939915434663936","1181939915434663936")</f>
        <v>1181939915434663936</v>
      </c>
      <c r="F162" s="8"/>
      <c r="G162" s="7"/>
      <c r="H162" s="8"/>
      <c r="I162" s="15">
        <v>0</v>
      </c>
      <c r="J162" s="15">
        <v>0</v>
      </c>
      <c r="K162" s="12" t="str">
        <f>HYPERLINK("http://twitter.com/download/android","Twitter for Android")</f>
        <v>Twitter for Android</v>
      </c>
      <c r="L162" s="16">
        <v>12</v>
      </c>
      <c r="M162" s="16">
        <v>78</v>
      </c>
      <c r="N162" s="16">
        <v>0</v>
      </c>
      <c r="O162" s="17"/>
      <c r="P162" s="18">
        <v>43274.379305555558</v>
      </c>
      <c r="Q162" s="7" t="s">
        <v>313</v>
      </c>
      <c r="R162" s="7" t="s">
        <v>1511</v>
      </c>
      <c r="S162" s="7"/>
      <c r="T162" s="8"/>
      <c r="U162" s="19" t="str">
        <f>HYPERLINK("https://pbs.twimg.com/profile_images/1050367881832206343/fdGxNgQJ.jpg","View")</f>
        <v>View</v>
      </c>
      <c r="V162" s="8"/>
      <c r="W162" s="8"/>
      <c r="X162" s="8"/>
      <c r="Y162" s="8"/>
      <c r="Z162" s="8"/>
    </row>
    <row r="163" spans="1:26" ht="12.75">
      <c r="A163" s="11">
        <v>43747.312581018516</v>
      </c>
      <c r="B163" s="12" t="str">
        <f>HYPERLINK("https://twitter.com/savaspostasi1","@savaspostasi1")</f>
        <v>@savaspostasi1</v>
      </c>
      <c r="C163" s="7" t="s">
        <v>1512</v>
      </c>
      <c r="D163" s="7" t="s">
        <v>1513</v>
      </c>
      <c r="E163" s="12" t="str">
        <f>HYPERLINK("https://twitter.com/savaspostasi1/status/1181939905427120133","1181939905427120133")</f>
        <v>1181939905427120133</v>
      </c>
      <c r="F163" s="8"/>
      <c r="G163" s="7"/>
      <c r="H163" s="8"/>
      <c r="I163" s="15">
        <v>0</v>
      </c>
      <c r="J163" s="15">
        <v>7</v>
      </c>
      <c r="K163" s="12" t="str">
        <f>HYPERLINK("https://mobile.twitter.com","Twitter Web App")</f>
        <v>Twitter Web App</v>
      </c>
      <c r="L163" s="16">
        <v>806</v>
      </c>
      <c r="M163" s="16">
        <v>1</v>
      </c>
      <c r="N163" s="16">
        <v>1</v>
      </c>
      <c r="O163" s="17"/>
      <c r="P163" s="18">
        <v>43197.388275462959</v>
      </c>
      <c r="Q163" s="7"/>
      <c r="R163" s="7"/>
      <c r="S163" s="7"/>
      <c r="T163" s="8"/>
      <c r="U163" s="19" t="str">
        <f>HYPERLINK("https://pbs.twimg.com/profile_images/1167424994038730752/T47IU-6-.jpg","View")</f>
        <v>View</v>
      </c>
      <c r="V163" s="8"/>
      <c r="W163" s="8"/>
      <c r="X163" s="8"/>
      <c r="Y163" s="8"/>
      <c r="Z163" s="8"/>
    </row>
    <row r="164" spans="1:26" ht="12.75">
      <c r="A164" s="11">
        <v>43747.312534722223</v>
      </c>
      <c r="B164" s="12" t="str">
        <f>HYPERLINK("https://twitter.com/agreuk61","@agreuk61")</f>
        <v>@agreuk61</v>
      </c>
      <c r="C164" s="7" t="s">
        <v>1516</v>
      </c>
      <c r="D164" s="7" t="s">
        <v>893</v>
      </c>
      <c r="E164" s="12" t="str">
        <f>HYPERLINK("https://twitter.com/agreuk61/status/1181939887634821120","1181939887634821120")</f>
        <v>1181939887634821120</v>
      </c>
      <c r="F164" s="8"/>
      <c r="G164" s="14" t="s">
        <v>1517</v>
      </c>
      <c r="H164" s="8"/>
      <c r="I164" s="15">
        <v>0</v>
      </c>
      <c r="J164" s="15">
        <v>0</v>
      </c>
      <c r="K164" s="12" t="str">
        <f>HYPERLINK("http://twitter.com/download/android","Twitter for Android")</f>
        <v>Twitter for Android</v>
      </c>
      <c r="L164" s="16">
        <v>94</v>
      </c>
      <c r="M164" s="16">
        <v>252</v>
      </c>
      <c r="N164" s="16">
        <v>0</v>
      </c>
      <c r="O164" s="17"/>
      <c r="P164" s="18">
        <v>42321.446192129632</v>
      </c>
      <c r="Q164" s="7"/>
      <c r="R164" s="7"/>
      <c r="S164" s="7"/>
      <c r="T164" s="8"/>
      <c r="U164" s="19" t="str">
        <f>HYPERLINK("https://pbs.twimg.com/profile_images/1117409016089587712/XtSybHQn.jpg","View")</f>
        <v>View</v>
      </c>
      <c r="V164" s="8"/>
      <c r="W164" s="8"/>
      <c r="X164" s="8"/>
      <c r="Y164" s="8"/>
      <c r="Z164" s="8"/>
    </row>
    <row r="165" spans="1:26" ht="12.75">
      <c r="A165" s="11">
        <v>43747.3125</v>
      </c>
      <c r="B165" s="12" t="str">
        <f>HYPERLINK("https://twitter.com/fikirturu","@fikirturu")</f>
        <v>@fikirturu</v>
      </c>
      <c r="C165" s="7" t="s">
        <v>1520</v>
      </c>
      <c r="D165" s="7" t="s">
        <v>1521</v>
      </c>
      <c r="E165" s="12" t="str">
        <f>HYPERLINK("https://twitter.com/fikirturu/status/1181939876251484160","1181939876251484160")</f>
        <v>1181939876251484160</v>
      </c>
      <c r="F165" s="14" t="s">
        <v>1522</v>
      </c>
      <c r="G165" s="7"/>
      <c r="H165" s="8"/>
      <c r="I165" s="15">
        <v>0</v>
      </c>
      <c r="J165" s="15">
        <v>1</v>
      </c>
      <c r="K165" s="12" t="str">
        <f>HYPERLINK("https://about.twitter.com/products/tweetdeck","TweetDeck")</f>
        <v>TweetDeck</v>
      </c>
      <c r="L165" s="16">
        <v>9128</v>
      </c>
      <c r="M165" s="16">
        <v>31</v>
      </c>
      <c r="N165" s="16">
        <v>7</v>
      </c>
      <c r="O165" s="17"/>
      <c r="P165" s="18">
        <v>42911.548310185186</v>
      </c>
      <c r="Q165" s="7"/>
      <c r="R165" s="7" t="s">
        <v>1525</v>
      </c>
      <c r="S165" s="14" t="s">
        <v>1526</v>
      </c>
      <c r="T165" s="8"/>
      <c r="U165" s="19" t="str">
        <f>HYPERLINK("https://pbs.twimg.com/profile_images/1156674086363443200/Wxtf5vns.jpg","View")</f>
        <v>View</v>
      </c>
      <c r="V165" s="8"/>
      <c r="W165" s="8"/>
      <c r="X165" s="8"/>
      <c r="Y165" s="8"/>
      <c r="Z165" s="8"/>
    </row>
    <row r="166" spans="1:26" ht="12.75">
      <c r="A166" s="11">
        <v>43747.3125</v>
      </c>
      <c r="B166" s="12" t="str">
        <f>HYPERLINK("https://twitter.com/sairemunhasir","@sairemunhasir")</f>
        <v>@sairemunhasir</v>
      </c>
      <c r="C166" s="7" t="s">
        <v>1529</v>
      </c>
      <c r="D166" s="7" t="s">
        <v>1530</v>
      </c>
      <c r="E166" s="12" t="str">
        <f>HYPERLINK("https://twitter.com/sairemunhasir/status/1181939875672657920","1181939875672657920")</f>
        <v>1181939875672657920</v>
      </c>
      <c r="F166" s="8"/>
      <c r="G166" s="15"/>
      <c r="H166" s="8"/>
      <c r="I166" s="15">
        <v>0</v>
      </c>
      <c r="J166" s="15">
        <v>0</v>
      </c>
      <c r="K166" s="12" t="str">
        <f>HYPERLINK("http://twitter.com/download/iphone","Twitter for iPhone")</f>
        <v>Twitter for iPhone</v>
      </c>
      <c r="L166" s="16">
        <v>5476</v>
      </c>
      <c r="M166" s="16">
        <v>99</v>
      </c>
      <c r="N166" s="16">
        <v>2</v>
      </c>
      <c r="O166" s="17"/>
      <c r="P166" s="18">
        <v>42301.369479166664</v>
      </c>
      <c r="Q166" s="7"/>
      <c r="R166" s="7" t="s">
        <v>1532</v>
      </c>
      <c r="S166" s="7"/>
      <c r="T166" s="8"/>
      <c r="U166" s="19" t="str">
        <f>HYPERLINK("https://pbs.twimg.com/profile_images/1034113057201549312/dIlDTgf0.jpg","View")</f>
        <v>View</v>
      </c>
      <c r="V166" s="8"/>
      <c r="W166" s="8"/>
      <c r="X166" s="8"/>
      <c r="Y166" s="8"/>
      <c r="Z166" s="8"/>
    </row>
    <row r="167" spans="1:26" ht="12.75">
      <c r="A167" s="11">
        <v>43747.312453703707</v>
      </c>
      <c r="B167" s="12" t="str">
        <f>HYPERLINK("https://twitter.com/birmavisahibi","@birmavisahibi")</f>
        <v>@birmavisahibi</v>
      </c>
      <c r="C167" s="7" t="s">
        <v>1537</v>
      </c>
      <c r="D167" s="7" t="s">
        <v>160</v>
      </c>
      <c r="E167" s="12" t="str">
        <f>HYPERLINK("https://twitter.com/birmavisahibi/status/1181939857649803265","1181939857649803265")</f>
        <v>1181939857649803265</v>
      </c>
      <c r="F167" s="15"/>
      <c r="G167" s="14" t="s">
        <v>1538</v>
      </c>
      <c r="H167" s="8"/>
      <c r="I167" s="15">
        <v>0</v>
      </c>
      <c r="J167" s="15">
        <v>0</v>
      </c>
      <c r="K167" s="12" t="str">
        <f>HYPERLINK("http://twitter.com/download/iphone","Twitter for iPhone")</f>
        <v>Twitter for iPhone</v>
      </c>
      <c r="L167" s="16">
        <v>193</v>
      </c>
      <c r="M167" s="16">
        <v>257</v>
      </c>
      <c r="N167" s="16">
        <v>0</v>
      </c>
      <c r="O167" s="17"/>
      <c r="P167" s="18">
        <v>40730.287615740745</v>
      </c>
      <c r="Q167" s="7" t="s">
        <v>313</v>
      </c>
      <c r="R167" s="7"/>
      <c r="S167" s="7"/>
      <c r="T167" s="8"/>
      <c r="U167" s="19" t="str">
        <f>HYPERLINK("https://pbs.twimg.com/profile_images/1176024946893565953/OMNRIPbz.jpg","View")</f>
        <v>View</v>
      </c>
      <c r="V167" s="8"/>
      <c r="W167" s="8"/>
      <c r="X167" s="8"/>
      <c r="Y167" s="8"/>
      <c r="Z167" s="8"/>
    </row>
    <row r="168" spans="1:26" ht="12.75">
      <c r="A168" s="11">
        <v>43747.312430555554</v>
      </c>
      <c r="B168" s="12" t="str">
        <f>HYPERLINK("https://twitter.com/nisnismo7","@nisnismo7")</f>
        <v>@nisnismo7</v>
      </c>
      <c r="C168" s="7" t="s">
        <v>1545</v>
      </c>
      <c r="D168" s="7" t="s">
        <v>1546</v>
      </c>
      <c r="E168" s="12" t="str">
        <f>HYPERLINK("https://twitter.com/nisnismo7/status/1181939849810579456","1181939849810579456")</f>
        <v>1181939849810579456</v>
      </c>
      <c r="F168" s="8"/>
      <c r="G168" s="7"/>
      <c r="H168" s="8"/>
      <c r="I168" s="15">
        <v>0</v>
      </c>
      <c r="J168" s="15">
        <v>0</v>
      </c>
      <c r="K168" s="12" t="str">
        <f>HYPERLINK("http://twitter.com/download/iphone","Twitter for iPhone")</f>
        <v>Twitter for iPhone</v>
      </c>
      <c r="L168" s="16">
        <v>259</v>
      </c>
      <c r="M168" s="16">
        <v>258</v>
      </c>
      <c r="N168" s="16">
        <v>0</v>
      </c>
      <c r="O168" s="17"/>
      <c r="P168" s="18">
        <v>41226.445740740739</v>
      </c>
      <c r="Q168" s="7" t="s">
        <v>1549</v>
      </c>
      <c r="R168" s="7" t="s">
        <v>1550</v>
      </c>
      <c r="S168" s="7"/>
      <c r="T168" s="8"/>
      <c r="U168" s="19" t="str">
        <f>HYPERLINK("https://pbs.twimg.com/profile_images/1181880560823787521/pHztHTW6.jpg","View")</f>
        <v>View</v>
      </c>
      <c r="V168" s="8"/>
      <c r="W168" s="8"/>
      <c r="X168" s="8"/>
      <c r="Y168" s="8"/>
      <c r="Z168" s="8"/>
    </row>
    <row r="169" spans="1:26" ht="12.75">
      <c r="A169" s="11">
        <v>43747.312326388885</v>
      </c>
      <c r="B169" s="12" t="str">
        <f>HYPERLINK("https://twitter.com/EnesOzbey_","@EnesOzbey_")</f>
        <v>@EnesOzbey_</v>
      </c>
      <c r="C169" s="7" t="s">
        <v>1554</v>
      </c>
      <c r="D169" s="21" t="s">
        <v>1555</v>
      </c>
      <c r="E169" s="12" t="str">
        <f>HYPERLINK("https://twitter.com/EnesOzbey_/status/1181939812904968193","1181939812904968193")</f>
        <v>1181939812904968193</v>
      </c>
      <c r="F169" s="8"/>
      <c r="G169" s="7"/>
      <c r="H169" s="8"/>
      <c r="I169" s="15">
        <v>0</v>
      </c>
      <c r="J169" s="15">
        <v>0</v>
      </c>
      <c r="K169" s="12" t="str">
        <f>HYPERLINK("http://twitter.com/download/iphone","Twitter for iPhone")</f>
        <v>Twitter for iPhone</v>
      </c>
      <c r="L169" s="16">
        <v>481</v>
      </c>
      <c r="M169" s="16">
        <v>340</v>
      </c>
      <c r="N169" s="16">
        <v>0</v>
      </c>
      <c r="O169" s="17"/>
      <c r="P169" s="18">
        <v>42464.255868055552</v>
      </c>
      <c r="Q169" s="7"/>
      <c r="R169" s="7"/>
      <c r="S169" s="7"/>
      <c r="T169" s="8"/>
      <c r="U169" s="19" t="str">
        <f>HYPERLINK("https://pbs.twimg.com/profile_images/1175075498759774208/UfuYe_-r.jpg","View")</f>
        <v>View</v>
      </c>
      <c r="V169" s="8"/>
      <c r="W169" s="8"/>
      <c r="X169" s="8"/>
      <c r="Y169" s="8"/>
      <c r="Z169" s="8"/>
    </row>
    <row r="170" spans="1:26" ht="12.75">
      <c r="A170" s="11">
        <v>43747.312314814815</v>
      </c>
      <c r="B170" s="12" t="str">
        <f>HYPERLINK("https://twitter.com/dadastugra","@dadastugra")</f>
        <v>@dadastugra</v>
      </c>
      <c r="C170" s="7" t="s">
        <v>1561</v>
      </c>
      <c r="D170" s="7" t="s">
        <v>1562</v>
      </c>
      <c r="E170" s="12" t="str">
        <f>HYPERLINK("https://twitter.com/dadastugra/status/1181939807372632064","1181939807372632064")</f>
        <v>1181939807372632064</v>
      </c>
      <c r="F170" s="8"/>
      <c r="G170" s="14" t="s">
        <v>1563</v>
      </c>
      <c r="H170" s="8"/>
      <c r="I170" s="15">
        <v>2</v>
      </c>
      <c r="J170" s="15">
        <v>7</v>
      </c>
      <c r="K170" s="12" t="str">
        <f>HYPERLINK("http://twitter.com/download/android","Twitter for Android")</f>
        <v>Twitter for Android</v>
      </c>
      <c r="L170" s="16">
        <v>3506</v>
      </c>
      <c r="M170" s="16">
        <v>2824</v>
      </c>
      <c r="N170" s="16">
        <v>6</v>
      </c>
      <c r="O170" s="17"/>
      <c r="P170" s="18">
        <v>42748.613356481481</v>
      </c>
      <c r="Q170" s="7" t="s">
        <v>1567</v>
      </c>
      <c r="R170" s="7" t="s">
        <v>1568</v>
      </c>
      <c r="S170" s="14" t="s">
        <v>1569</v>
      </c>
      <c r="T170" s="8"/>
      <c r="U170" s="19" t="str">
        <f>HYPERLINK("https://pbs.twimg.com/profile_images/1180927048736526344/UFqwPvV4.jpg","View")</f>
        <v>View</v>
      </c>
      <c r="V170" s="8"/>
      <c r="W170" s="8"/>
      <c r="X170" s="8"/>
      <c r="Y170" s="8"/>
      <c r="Z170" s="8"/>
    </row>
    <row r="171" spans="1:26" ht="12.75">
      <c r="A171" s="11">
        <v>43747.312268518523</v>
      </c>
      <c r="B171" s="12" t="str">
        <f>HYPERLINK("https://twitter.com/mixerkafam","@mixerkafam")</f>
        <v>@mixerkafam</v>
      </c>
      <c r="C171" s="7" t="s">
        <v>1571</v>
      </c>
      <c r="D171" s="7" t="s">
        <v>1573</v>
      </c>
      <c r="E171" s="12" t="str">
        <f>HYPERLINK("https://twitter.com/mixerkafam/status/1181939793917292544","1181939793917292544")</f>
        <v>1181939793917292544</v>
      </c>
      <c r="F171" s="8"/>
      <c r="G171" s="15"/>
      <c r="H171" s="8"/>
      <c r="I171" s="15">
        <v>0</v>
      </c>
      <c r="J171" s="15">
        <v>1</v>
      </c>
      <c r="K171" s="12" t="str">
        <f>HYPERLINK("http://twitter.com/download/android","Twitter for Android")</f>
        <v>Twitter for Android</v>
      </c>
      <c r="L171" s="16">
        <v>42</v>
      </c>
      <c r="M171" s="16">
        <v>43</v>
      </c>
      <c r="N171" s="16">
        <v>0</v>
      </c>
      <c r="O171" s="17"/>
      <c r="P171" s="18">
        <v>43746.503333333334</v>
      </c>
      <c r="Q171" s="7"/>
      <c r="R171" s="7" t="s">
        <v>1574</v>
      </c>
      <c r="S171" s="7"/>
      <c r="T171" s="8"/>
      <c r="U171" s="19" t="str">
        <f>HYPERLINK("https://pbs.twimg.com/profile_images/1181659027580870656/RW6McaXh.jpg","View")</f>
        <v>View</v>
      </c>
      <c r="V171" s="8"/>
      <c r="W171" s="8"/>
      <c r="X171" s="8"/>
      <c r="Y171" s="8"/>
      <c r="Z171" s="8"/>
    </row>
    <row r="172" spans="1:26" ht="12.75">
      <c r="A172" s="11">
        <v>43747.312175925923</v>
      </c>
      <c r="B172" s="12" t="str">
        <f>HYPERLINK("https://twitter.com/1Asil_kurt","@1Asil_kurt")</f>
        <v>@1Asil_kurt</v>
      </c>
      <c r="C172" s="7" t="s">
        <v>1575</v>
      </c>
      <c r="D172" s="7" t="s">
        <v>1576</v>
      </c>
      <c r="E172" s="12" t="str">
        <f>HYPERLINK("https://twitter.com/1Asil_kurt/status/1181939758676807681","1181939758676807681")</f>
        <v>1181939758676807681</v>
      </c>
      <c r="F172" s="8"/>
      <c r="G172" s="14" t="s">
        <v>1577</v>
      </c>
      <c r="H172" s="8"/>
      <c r="I172" s="15">
        <v>1</v>
      </c>
      <c r="J172" s="15">
        <v>1</v>
      </c>
      <c r="K172" s="12" t="str">
        <f>HYPERLINK("http://twitter.com/download/android","Twitter for Android")</f>
        <v>Twitter for Android</v>
      </c>
      <c r="L172" s="16">
        <v>678</v>
      </c>
      <c r="M172" s="16">
        <v>115</v>
      </c>
      <c r="N172" s="16">
        <v>0</v>
      </c>
      <c r="O172" s="17"/>
      <c r="P172" s="18">
        <v>43155.790266203709</v>
      </c>
      <c r="Q172" s="7" t="s">
        <v>1578</v>
      </c>
      <c r="R172" s="7" t="s">
        <v>1579</v>
      </c>
      <c r="S172" s="7"/>
      <c r="T172" s="8"/>
      <c r="U172" s="19" t="str">
        <f>HYPERLINK("https://pbs.twimg.com/profile_images/1095765414636851206/zLuNx5bj.jpg","View")</f>
        <v>View</v>
      </c>
      <c r="V172" s="8"/>
      <c r="W172" s="8"/>
      <c r="X172" s="8"/>
      <c r="Y172" s="8"/>
      <c r="Z172" s="8"/>
    </row>
    <row r="173" spans="1:26" ht="12.75">
      <c r="A173" s="11">
        <v>43747.312152777777</v>
      </c>
      <c r="B173" s="12" t="str">
        <f>HYPERLINK("https://twitter.com/ibrahmyuksel","@ibrahmyuksel")</f>
        <v>@ibrahmyuksel</v>
      </c>
      <c r="C173" s="7" t="s">
        <v>1581</v>
      </c>
      <c r="D173" s="13" t="s">
        <v>1582</v>
      </c>
      <c r="E173" s="12" t="str">
        <f>HYPERLINK("https://twitter.com/ibrahmyuksel/status/1181939751412228096","1181939751412228096")</f>
        <v>1181939751412228096</v>
      </c>
      <c r="F173" s="8"/>
      <c r="G173" s="7"/>
      <c r="H173" s="8"/>
      <c r="I173" s="15">
        <v>0</v>
      </c>
      <c r="J173" s="15">
        <v>0</v>
      </c>
      <c r="K173" s="12" t="str">
        <f>HYPERLINK("http://twitter.com/download/iphone","Twitter for iPhone")</f>
        <v>Twitter for iPhone</v>
      </c>
      <c r="L173" s="16">
        <v>408</v>
      </c>
      <c r="M173" s="16">
        <v>324</v>
      </c>
      <c r="N173" s="16">
        <v>0</v>
      </c>
      <c r="O173" s="17"/>
      <c r="P173" s="18">
        <v>41113.305196759262</v>
      </c>
      <c r="Q173" s="7"/>
      <c r="R173" s="13" t="s">
        <v>1583</v>
      </c>
      <c r="S173" s="14" t="s">
        <v>1584</v>
      </c>
      <c r="T173" s="8"/>
      <c r="U173" s="19" t="str">
        <f>HYPERLINK("https://pbs.twimg.com/profile_images/1077286553670610946/V1wBSzZZ.jpg","View")</f>
        <v>View</v>
      </c>
      <c r="V173" s="8"/>
      <c r="W173" s="8"/>
      <c r="X173" s="8"/>
      <c r="Y173" s="8"/>
      <c r="Z173" s="8"/>
    </row>
    <row r="174" spans="1:26" ht="12.75">
      <c r="A174" s="11">
        <v>43747.31212962963</v>
      </c>
      <c r="B174" s="12" t="str">
        <f>HYPERLINK("https://twitter.com/SuKatrem","@SuKatrem")</f>
        <v>@SuKatrem</v>
      </c>
      <c r="C174" s="7" t="s">
        <v>1590</v>
      </c>
      <c r="D174" s="7" t="s">
        <v>1591</v>
      </c>
      <c r="E174" s="12" t="str">
        <f>HYPERLINK("https://twitter.com/SuKatrem/status/1181939741006143488","1181939741006143488")</f>
        <v>1181939741006143488</v>
      </c>
      <c r="F174" s="8"/>
      <c r="G174" s="14" t="s">
        <v>1592</v>
      </c>
      <c r="H174" s="8"/>
      <c r="I174" s="15">
        <v>2</v>
      </c>
      <c r="J174" s="15">
        <v>20</v>
      </c>
      <c r="K174" s="12" t="str">
        <f>HYPERLINK("http://twitter.com/download/android","Twitter for Android")</f>
        <v>Twitter for Android</v>
      </c>
      <c r="L174" s="16">
        <v>12775</v>
      </c>
      <c r="M174" s="16">
        <v>2163</v>
      </c>
      <c r="N174" s="16">
        <v>86</v>
      </c>
      <c r="O174" s="17"/>
      <c r="P174" s="18">
        <v>42405.109293981484</v>
      </c>
      <c r="Q174" s="7" t="s">
        <v>1595</v>
      </c>
      <c r="R174" s="7" t="s">
        <v>1596</v>
      </c>
      <c r="S174" s="15"/>
      <c r="T174" s="8"/>
      <c r="U174" s="19" t="str">
        <f>HYPERLINK("https://pbs.twimg.com/profile_images/1150954391572287488/huL_7oqQ.jpg","View")</f>
        <v>View</v>
      </c>
      <c r="V174" s="8"/>
      <c r="W174" s="8"/>
      <c r="X174" s="8"/>
      <c r="Y174" s="8"/>
      <c r="Z174" s="8"/>
    </row>
    <row r="175" spans="1:26" ht="12.75">
      <c r="A175" s="11">
        <v>43747.312118055561</v>
      </c>
      <c r="B175" s="12" t="str">
        <f>HYPERLINK("https://twitter.com/MeteTigli","@MeteTigli")</f>
        <v>@MeteTigli</v>
      </c>
      <c r="C175" s="7" t="s">
        <v>1600</v>
      </c>
      <c r="D175" s="7" t="s">
        <v>1601</v>
      </c>
      <c r="E175" s="12" t="str">
        <f>HYPERLINK("https://twitter.com/MeteTigli/status/1181939737042591745","1181939737042591745")</f>
        <v>1181939737042591745</v>
      </c>
      <c r="F175" s="8"/>
      <c r="G175" s="14" t="s">
        <v>1602</v>
      </c>
      <c r="H175" s="8"/>
      <c r="I175" s="15">
        <v>0</v>
      </c>
      <c r="J175" s="15">
        <v>2</v>
      </c>
      <c r="K175" s="12" t="str">
        <f>HYPERLINK("http://twitter.com/download/android","Twitter for Android")</f>
        <v>Twitter for Android</v>
      </c>
      <c r="L175" s="16">
        <v>220</v>
      </c>
      <c r="M175" s="16">
        <v>214</v>
      </c>
      <c r="N175" s="16">
        <v>0</v>
      </c>
      <c r="O175" s="17"/>
      <c r="P175" s="18">
        <v>42095.774247685185</v>
      </c>
      <c r="Q175" s="7"/>
      <c r="R175" s="7" t="s">
        <v>1605</v>
      </c>
      <c r="S175" s="7"/>
      <c r="T175" s="8"/>
      <c r="U175" s="19" t="str">
        <f>HYPERLINK("https://pbs.twimg.com/profile_images/1111228229497565190/AUCWQw_C.jpg","View")</f>
        <v>View</v>
      </c>
      <c r="V175" s="8"/>
      <c r="W175" s="8"/>
      <c r="X175" s="8"/>
      <c r="Y175" s="8"/>
      <c r="Z175" s="8"/>
    </row>
    <row r="176" spans="1:26" ht="12.75">
      <c r="A176" s="11">
        <v>43747.312118055561</v>
      </c>
      <c r="B176" s="12" t="str">
        <f>HYPERLINK("https://twitter.com/ykerimaygen","@ykerimaygen")</f>
        <v>@ykerimaygen</v>
      </c>
      <c r="C176" s="7" t="s">
        <v>1607</v>
      </c>
      <c r="D176" s="7" t="s">
        <v>1608</v>
      </c>
      <c r="E176" s="12" t="str">
        <f>HYPERLINK("https://twitter.com/ykerimaygen/status/1181939736560197642","1181939736560197642")</f>
        <v>1181939736560197642</v>
      </c>
      <c r="F176" s="8"/>
      <c r="G176" s="14" t="s">
        <v>1610</v>
      </c>
      <c r="H176" s="8"/>
      <c r="I176" s="15">
        <v>0</v>
      </c>
      <c r="J176" s="15">
        <v>1</v>
      </c>
      <c r="K176" s="12" t="str">
        <f>HYPERLINK("http://twitter.com/download/android","Twitter for Android")</f>
        <v>Twitter for Android</v>
      </c>
      <c r="L176" s="16">
        <v>34</v>
      </c>
      <c r="M176" s="16">
        <v>135</v>
      </c>
      <c r="N176" s="16">
        <v>0</v>
      </c>
      <c r="O176" s="17"/>
      <c r="P176" s="18">
        <v>43701.078229166669</v>
      </c>
      <c r="Q176" s="7" t="s">
        <v>200</v>
      </c>
      <c r="R176" s="7" t="s">
        <v>1616</v>
      </c>
      <c r="S176" s="7"/>
      <c r="T176" s="8"/>
      <c r="U176" s="19" t="str">
        <f>HYPERLINK("https://pbs.twimg.com/profile_images/1180577156465876993/KEhXtFwL.jpg","View")</f>
        <v>View</v>
      </c>
      <c r="V176" s="8"/>
      <c r="W176" s="8"/>
      <c r="X176" s="8"/>
      <c r="Y176" s="8"/>
      <c r="Z176" s="8"/>
    </row>
    <row r="177" spans="1:26" ht="12.75">
      <c r="A177" s="11">
        <v>43747.312037037038</v>
      </c>
      <c r="B177" s="12" t="str">
        <f>HYPERLINK("https://twitter.com/msakirsarac","@msakirsarac")</f>
        <v>@msakirsarac</v>
      </c>
      <c r="C177" s="7" t="s">
        <v>1617</v>
      </c>
      <c r="D177" s="7" t="s">
        <v>1618</v>
      </c>
      <c r="E177" s="12" t="str">
        <f>HYPERLINK("https://twitter.com/msakirsarac/status/1181939707036540934","1181939707036540934")</f>
        <v>1181939707036540934</v>
      </c>
      <c r="F177" s="8"/>
      <c r="G177" s="14" t="s">
        <v>1619</v>
      </c>
      <c r="H177" s="8"/>
      <c r="I177" s="15">
        <v>0</v>
      </c>
      <c r="J177" s="15">
        <v>0</v>
      </c>
      <c r="K177" s="12" t="str">
        <f>HYPERLINK("https://mobile.twitter.com","Twitter Web App")</f>
        <v>Twitter Web App</v>
      </c>
      <c r="L177" s="16">
        <v>2113</v>
      </c>
      <c r="M177" s="16">
        <v>2637</v>
      </c>
      <c r="N177" s="16">
        <v>4</v>
      </c>
      <c r="O177" s="17"/>
      <c r="P177" s="18">
        <v>41429.624097222222</v>
      </c>
      <c r="Q177" s="7" t="s">
        <v>1622</v>
      </c>
      <c r="R177" s="7" t="s">
        <v>1623</v>
      </c>
      <c r="S177" s="7"/>
      <c r="T177" s="8"/>
      <c r="U177" s="19" t="str">
        <f>HYPERLINK("https://pbs.twimg.com/profile_images/1057288749724418048/fWswEdxX.jpg","View")</f>
        <v>View</v>
      </c>
      <c r="V177" s="8"/>
      <c r="W177" s="8"/>
      <c r="X177" s="8"/>
      <c r="Y177" s="8"/>
      <c r="Z177" s="8"/>
    </row>
    <row r="178" spans="1:26" ht="12.75">
      <c r="A178" s="11">
        <v>43747.311990740738</v>
      </c>
      <c r="B178" s="12" t="str">
        <f>HYPERLINK("https://twitter.com/kosif0733","@kosif0733")</f>
        <v>@kosif0733</v>
      </c>
      <c r="C178" s="7" t="s">
        <v>1626</v>
      </c>
      <c r="D178" s="7" t="s">
        <v>1627</v>
      </c>
      <c r="E178" s="12" t="str">
        <f>HYPERLINK("https://twitter.com/kosif0733/status/1181939692692021250","1181939692692021250")</f>
        <v>1181939692692021250</v>
      </c>
      <c r="F178" s="8"/>
      <c r="G178" s="7"/>
      <c r="H178" s="8"/>
      <c r="I178" s="15">
        <v>0</v>
      </c>
      <c r="J178" s="15">
        <v>1</v>
      </c>
      <c r="K178" s="12" t="str">
        <f>HYPERLINK("http://twitter.com/download/iphone","Twitter for iPhone")</f>
        <v>Twitter for iPhone</v>
      </c>
      <c r="L178" s="16">
        <v>391</v>
      </c>
      <c r="M178" s="16">
        <v>359</v>
      </c>
      <c r="N178" s="16">
        <v>1</v>
      </c>
      <c r="O178" s="17"/>
      <c r="P178" s="18">
        <v>42616.210023148145</v>
      </c>
      <c r="Q178" s="7" t="s">
        <v>1629</v>
      </c>
      <c r="R178" s="7"/>
      <c r="S178" s="7"/>
      <c r="T178" s="8"/>
      <c r="U178" s="19" t="str">
        <f>HYPERLINK("https://pbs.twimg.com/profile_images/1167450248379338752/HZ_SHFXW.jpg","View")</f>
        <v>View</v>
      </c>
      <c r="V178" s="8"/>
      <c r="W178" s="8"/>
      <c r="X178" s="8"/>
      <c r="Y178" s="8"/>
      <c r="Z178" s="8"/>
    </row>
    <row r="179" spans="1:26" ht="12.75">
      <c r="A179" s="11">
        <v>43747.311990740738</v>
      </c>
      <c r="B179" s="12" t="str">
        <f>HYPERLINK("https://twitter.com/Hades_2727","@Hades_2727")</f>
        <v>@Hades_2727</v>
      </c>
      <c r="C179" s="7" t="s">
        <v>1630</v>
      </c>
      <c r="D179" s="7" t="s">
        <v>160</v>
      </c>
      <c r="E179" s="12" t="str">
        <f>HYPERLINK("https://twitter.com/Hades_2727/status/1181939691647574019","1181939691647574019")</f>
        <v>1181939691647574019</v>
      </c>
      <c r="F179" s="8"/>
      <c r="G179" s="14" t="s">
        <v>1632</v>
      </c>
      <c r="H179" s="8"/>
      <c r="I179" s="15">
        <v>0</v>
      </c>
      <c r="J179" s="15">
        <v>0</v>
      </c>
      <c r="K179" s="12" t="str">
        <f>HYPERLINK("http://twitter.com/download/iphone","Twitter for iPhone")</f>
        <v>Twitter for iPhone</v>
      </c>
      <c r="L179" s="16">
        <v>26</v>
      </c>
      <c r="M179" s="16">
        <v>35</v>
      </c>
      <c r="N179" s="16">
        <v>0</v>
      </c>
      <c r="O179" s="17"/>
      <c r="P179" s="18">
        <v>43455.268472222218</v>
      </c>
      <c r="Q179" s="7"/>
      <c r="R179" s="7" t="s">
        <v>1633</v>
      </c>
      <c r="S179" s="15"/>
      <c r="T179" s="8"/>
      <c r="U179" s="19" t="str">
        <f>HYPERLINK("https://pbs.twimg.com/profile_images/1150163485747232768/9aCFteuu.jpg","View")</f>
        <v>View</v>
      </c>
      <c r="V179" s="8"/>
      <c r="W179" s="8"/>
      <c r="X179" s="8"/>
      <c r="Y179" s="8"/>
      <c r="Z179" s="8"/>
    </row>
    <row r="180" spans="1:26" ht="12.75">
      <c r="A180" s="11">
        <v>43747.311944444446</v>
      </c>
      <c r="B180" s="12" t="str">
        <f>HYPERLINK("https://twitter.com/aysetuuraan","@aysetuuraan")</f>
        <v>@aysetuuraan</v>
      </c>
      <c r="C180" s="7" t="s">
        <v>1636</v>
      </c>
      <c r="D180" s="7" t="s">
        <v>1637</v>
      </c>
      <c r="E180" s="12" t="str">
        <f>HYPERLINK("https://twitter.com/aysetuuraan/status/1181939673448538112","1181939673448538112")</f>
        <v>1181939673448538112</v>
      </c>
      <c r="F180" s="8"/>
      <c r="G180" s="15"/>
      <c r="H180" s="8"/>
      <c r="I180" s="15">
        <v>0</v>
      </c>
      <c r="J180" s="15">
        <v>2</v>
      </c>
      <c r="K180" s="12" t="str">
        <f>HYPERLINK("http://twitter.com/download/iphone","Twitter for iPhone")</f>
        <v>Twitter for iPhone</v>
      </c>
      <c r="L180" s="16">
        <v>342</v>
      </c>
      <c r="M180" s="16">
        <v>745</v>
      </c>
      <c r="N180" s="16">
        <v>1</v>
      </c>
      <c r="O180" s="17"/>
      <c r="P180" s="18">
        <v>42339.591041666667</v>
      </c>
      <c r="Q180" s="7" t="s">
        <v>1639</v>
      </c>
      <c r="R180" s="7" t="s">
        <v>1640</v>
      </c>
      <c r="S180" s="15"/>
      <c r="T180" s="8"/>
      <c r="U180" s="19" t="str">
        <f>HYPERLINK("https://pbs.twimg.com/profile_images/1180975947610296320/VMrbbeUR.jpg","View")</f>
        <v>View</v>
      </c>
      <c r="V180" s="8"/>
      <c r="W180" s="8"/>
      <c r="X180" s="8"/>
      <c r="Y180" s="8"/>
      <c r="Z180" s="8"/>
    </row>
    <row r="181" spans="1:26" ht="12.75">
      <c r="A181" s="11">
        <v>43747.311886574069</v>
      </c>
      <c r="B181" s="12" t="str">
        <f>HYPERLINK("https://twitter.com/saAtik19","@saAtik19")</f>
        <v>@saAtik19</v>
      </c>
      <c r="C181" s="7" t="s">
        <v>1647</v>
      </c>
      <c r="D181" s="7" t="s">
        <v>1648</v>
      </c>
      <c r="E181" s="12" t="str">
        <f>HYPERLINK("https://twitter.com/saAtik19/status/1181939655488524293","1181939655488524293")</f>
        <v>1181939655488524293</v>
      </c>
      <c r="F181" s="8"/>
      <c r="G181" s="14" t="s">
        <v>1649</v>
      </c>
      <c r="H181" s="8"/>
      <c r="I181" s="15">
        <v>0</v>
      </c>
      <c r="J181" s="15">
        <v>1</v>
      </c>
      <c r="K181" s="12" t="str">
        <f>HYPERLINK("http://twitter.com/download/android","Twitter for Android")</f>
        <v>Twitter for Android</v>
      </c>
      <c r="L181" s="16">
        <v>5</v>
      </c>
      <c r="M181" s="16">
        <v>8</v>
      </c>
      <c r="N181" s="16">
        <v>0</v>
      </c>
      <c r="O181" s="17"/>
      <c r="P181" s="18">
        <v>43722.388321759259</v>
      </c>
      <c r="Q181" s="7"/>
      <c r="R181" s="7"/>
      <c r="S181" s="7"/>
      <c r="T181" s="8"/>
      <c r="U181" s="20" t="s">
        <v>354</v>
      </c>
      <c r="V181" s="8"/>
      <c r="W181" s="8"/>
      <c r="X181" s="8"/>
      <c r="Y181" s="8"/>
      <c r="Z181" s="8"/>
    </row>
    <row r="182" spans="1:26" ht="12.75">
      <c r="A182" s="11">
        <v>43747.311874999999</v>
      </c>
      <c r="B182" s="12" t="str">
        <f>HYPERLINK("https://twitter.com/erenali_","@erenali_")</f>
        <v>@erenali_</v>
      </c>
      <c r="C182" s="7" t="s">
        <v>1657</v>
      </c>
      <c r="D182" s="7" t="s">
        <v>1658</v>
      </c>
      <c r="E182" s="12" t="str">
        <f>HYPERLINK("https://twitter.com/erenali_/status/1181939649847218176","1181939649847218176")</f>
        <v>1181939649847218176</v>
      </c>
      <c r="F182" s="8"/>
      <c r="G182" s="14" t="s">
        <v>1660</v>
      </c>
      <c r="H182" s="8"/>
      <c r="I182" s="15">
        <v>9</v>
      </c>
      <c r="J182" s="15">
        <v>50</v>
      </c>
      <c r="K182" s="12" t="str">
        <f>HYPERLINK("http://twitter.com/download/android","Twitter for Android")</f>
        <v>Twitter for Android</v>
      </c>
      <c r="L182" s="16">
        <v>3453</v>
      </c>
      <c r="M182" s="16">
        <v>3128</v>
      </c>
      <c r="N182" s="16">
        <v>2</v>
      </c>
      <c r="O182" s="17"/>
      <c r="P182" s="18">
        <v>42013.536307870367</v>
      </c>
      <c r="Q182" s="7"/>
      <c r="R182" s="7" t="s">
        <v>1661</v>
      </c>
      <c r="S182" s="14" t="s">
        <v>1662</v>
      </c>
      <c r="T182" s="8"/>
      <c r="U182" s="19" t="str">
        <f>HYPERLINK("https://pbs.twimg.com/profile_images/1180067237601972225/ZrF1dDyh.jpg","View")</f>
        <v>View</v>
      </c>
      <c r="V182" s="8"/>
      <c r="W182" s="8"/>
      <c r="X182" s="8"/>
      <c r="Y182" s="8"/>
      <c r="Z182" s="8"/>
    </row>
    <row r="183" spans="1:26" ht="12.75">
      <c r="A183" s="11">
        <v>43747.311759259261</v>
      </c>
      <c r="B183" s="12" t="str">
        <f>HYPERLINK("https://twitter.com/Kunenfes","@Kunenfes")</f>
        <v>@Kunenfes</v>
      </c>
      <c r="C183" s="7" t="s">
        <v>1664</v>
      </c>
      <c r="D183" s="7" t="s">
        <v>1665</v>
      </c>
      <c r="E183" s="12" t="str">
        <f>HYPERLINK("https://twitter.com/Kunenfes/status/1181939609183211521","1181939609183211521")</f>
        <v>1181939609183211521</v>
      </c>
      <c r="F183" s="15"/>
      <c r="G183" s="14" t="s">
        <v>1666</v>
      </c>
      <c r="H183" s="8"/>
      <c r="I183" s="15">
        <v>0</v>
      </c>
      <c r="J183" s="15">
        <v>0</v>
      </c>
      <c r="K183" s="12" t="str">
        <f>HYPERLINK("http://twitter.com/download/iphone","Twitter for iPhone")</f>
        <v>Twitter for iPhone</v>
      </c>
      <c r="L183" s="16">
        <v>7</v>
      </c>
      <c r="M183" s="16">
        <v>0</v>
      </c>
      <c r="N183" s="16">
        <v>0</v>
      </c>
      <c r="O183" s="17"/>
      <c r="P183" s="18">
        <v>42332.26152777778</v>
      </c>
      <c r="Q183" s="7"/>
      <c r="R183" s="7" t="s">
        <v>1670</v>
      </c>
      <c r="S183" s="14" t="s">
        <v>1671</v>
      </c>
      <c r="T183" s="8"/>
      <c r="U183" s="19" t="str">
        <f>HYPERLINK("https://pbs.twimg.com/profile_images/760022222664765440/QESUVrQy.jpg","View")</f>
        <v>View</v>
      </c>
      <c r="V183" s="8"/>
      <c r="W183" s="8"/>
      <c r="X183" s="8"/>
      <c r="Y183" s="8"/>
      <c r="Z183" s="8"/>
    </row>
    <row r="184" spans="1:26" ht="12.75">
      <c r="A184" s="11">
        <v>43747.311736111107</v>
      </c>
      <c r="B184" s="12" t="str">
        <f>HYPERLINK("https://twitter.com/ati0005","@ati0005")</f>
        <v>@ati0005</v>
      </c>
      <c r="C184" s="7" t="s">
        <v>1673</v>
      </c>
      <c r="D184" s="7" t="s">
        <v>1674</v>
      </c>
      <c r="E184" s="12" t="str">
        <f>HYPERLINK("https://twitter.com/ati0005/status/1181939597263155205","1181939597263155205")</f>
        <v>1181939597263155205</v>
      </c>
      <c r="F184" s="8"/>
      <c r="G184" s="15"/>
      <c r="H184" s="8"/>
      <c r="I184" s="15">
        <v>0</v>
      </c>
      <c r="J184" s="15">
        <v>0</v>
      </c>
      <c r="K184" s="12" t="str">
        <f>HYPERLINK("http://twitter.com/download/android","Twitter for Android")</f>
        <v>Twitter for Android</v>
      </c>
      <c r="L184" s="16">
        <v>484</v>
      </c>
      <c r="M184" s="16">
        <v>309</v>
      </c>
      <c r="N184" s="16">
        <v>0</v>
      </c>
      <c r="O184" s="17"/>
      <c r="P184" s="18">
        <v>42267.588171296295</v>
      </c>
      <c r="Q184" s="7" t="s">
        <v>1675</v>
      </c>
      <c r="R184" s="7" t="s">
        <v>1676</v>
      </c>
      <c r="S184" s="15"/>
      <c r="T184" s="8"/>
      <c r="U184" s="19" t="str">
        <f>HYPERLINK("https://pbs.twimg.com/profile_images/1180872318987509766/Wifh57FK.jpg","View")</f>
        <v>View</v>
      </c>
      <c r="V184" s="8"/>
      <c r="W184" s="8"/>
      <c r="X184" s="8"/>
      <c r="Y184" s="8"/>
      <c r="Z184" s="8"/>
    </row>
    <row r="185" spans="1:26" ht="12.75">
      <c r="A185" s="11">
        <v>43747.311724537038</v>
      </c>
      <c r="B185" s="12" t="str">
        <f>HYPERLINK("https://twitter.com/fauxHunter","@fauxHunter")</f>
        <v>@fauxHunter</v>
      </c>
      <c r="C185" s="13" t="s">
        <v>1677</v>
      </c>
      <c r="D185" s="7" t="s">
        <v>1678</v>
      </c>
      <c r="E185" s="12" t="str">
        <f>HYPERLINK("https://twitter.com/fauxHunter/status/1181939593551192066","1181939593551192066")</f>
        <v>1181939593551192066</v>
      </c>
      <c r="F185" s="8"/>
      <c r="G185" s="15"/>
      <c r="H185" s="8"/>
      <c r="I185" s="15">
        <v>0</v>
      </c>
      <c r="J185" s="15">
        <v>0</v>
      </c>
      <c r="K185" s="12" t="str">
        <f>HYPERLINK("http://twitter.com/download/iphone","Twitter for iPhone")</f>
        <v>Twitter for iPhone</v>
      </c>
      <c r="L185" s="16">
        <v>7</v>
      </c>
      <c r="M185" s="16">
        <v>37</v>
      </c>
      <c r="N185" s="16">
        <v>0</v>
      </c>
      <c r="O185" s="17"/>
      <c r="P185" s="18">
        <v>39989.960324074076</v>
      </c>
      <c r="Q185" s="7" t="s">
        <v>1682</v>
      </c>
      <c r="R185" s="7" t="s">
        <v>1683</v>
      </c>
      <c r="S185" s="7"/>
      <c r="T185" s="8"/>
      <c r="U185" s="19" t="str">
        <f>HYPERLINK("https://pbs.twimg.com/profile_images/1216308216/hello_normal.png","View")</f>
        <v>View</v>
      </c>
      <c r="V185" s="8"/>
      <c r="W185" s="8"/>
      <c r="X185" s="8"/>
      <c r="Y185" s="8"/>
      <c r="Z185" s="8"/>
    </row>
    <row r="186" spans="1:26" ht="12.75">
      <c r="A186" s="11">
        <v>43747.311516203699</v>
      </c>
      <c r="B186" s="12" t="str">
        <f>HYPERLINK("https://twitter.com/eoulord","@eoulord")</f>
        <v>@eoulord</v>
      </c>
      <c r="C186" s="7" t="s">
        <v>1684</v>
      </c>
      <c r="D186" s="7" t="s">
        <v>1685</v>
      </c>
      <c r="E186" s="12" t="str">
        <f>HYPERLINK("https://twitter.com/eoulord/status/1181939518498332673","1181939518498332673")</f>
        <v>1181939518498332673</v>
      </c>
      <c r="F186" s="8"/>
      <c r="G186" s="14" t="s">
        <v>1688</v>
      </c>
      <c r="H186" s="8"/>
      <c r="I186" s="15">
        <v>0</v>
      </c>
      <c r="J186" s="15">
        <v>0</v>
      </c>
      <c r="K186" s="12" t="str">
        <f>HYPERLINK("http://twitter.com/download/android","Twitter for Android")</f>
        <v>Twitter for Android</v>
      </c>
      <c r="L186" s="16">
        <v>38</v>
      </c>
      <c r="M186" s="16">
        <v>137</v>
      </c>
      <c r="N186" s="16">
        <v>0</v>
      </c>
      <c r="O186" s="17"/>
      <c r="P186" s="18">
        <v>41809.331608796296</v>
      </c>
      <c r="Q186" s="7"/>
      <c r="R186" s="7" t="s">
        <v>1690</v>
      </c>
      <c r="S186" s="7"/>
      <c r="T186" s="8"/>
      <c r="U186" s="19" t="str">
        <f>HYPERLINK("https://pbs.twimg.com/profile_images/1078020980465983491/HFSNUqoU.jpg","View")</f>
        <v>View</v>
      </c>
      <c r="V186" s="8"/>
      <c r="W186" s="8"/>
      <c r="X186" s="8"/>
      <c r="Y186" s="8"/>
      <c r="Z186" s="8"/>
    </row>
    <row r="187" spans="1:26" ht="12.75">
      <c r="A187" s="11">
        <v>43747.311435185184</v>
      </c>
      <c r="B187" s="12" t="str">
        <f>HYPERLINK("https://twitter.com/DiamondHunter80","@DiamondHunter80")</f>
        <v>@DiamondHunter80</v>
      </c>
      <c r="C187" s="7" t="s">
        <v>1693</v>
      </c>
      <c r="D187" s="7" t="s">
        <v>1694</v>
      </c>
      <c r="E187" s="12" t="str">
        <f>HYPERLINK("https://twitter.com/DiamondHunter80/status/1181939489419255813","1181939489419255813")</f>
        <v>1181939489419255813</v>
      </c>
      <c r="F187" s="8"/>
      <c r="G187" s="7"/>
      <c r="H187" s="8"/>
      <c r="I187" s="15">
        <v>0</v>
      </c>
      <c r="J187" s="15">
        <v>0</v>
      </c>
      <c r="K187" s="12" t="str">
        <f>HYPERLINK("http://twitter.com/download/iphone","Twitter for iPhone")</f>
        <v>Twitter for iPhone</v>
      </c>
      <c r="L187" s="16">
        <v>37</v>
      </c>
      <c r="M187" s="16">
        <v>194</v>
      </c>
      <c r="N187" s="16">
        <v>0</v>
      </c>
      <c r="O187" s="17"/>
      <c r="P187" s="18">
        <v>43720.865960648152</v>
      </c>
      <c r="Q187" s="7" t="s">
        <v>1695</v>
      </c>
      <c r="R187" s="7" t="s">
        <v>1696</v>
      </c>
      <c r="S187" s="7"/>
      <c r="T187" s="8"/>
      <c r="U187" s="19" t="str">
        <f>HYPERLINK("https://pbs.twimg.com/profile_images/1174436071343624193/hdmoi-31.jpg","View")</f>
        <v>View</v>
      </c>
      <c r="V187" s="8"/>
      <c r="W187" s="8"/>
      <c r="X187" s="8"/>
      <c r="Y187" s="8"/>
      <c r="Z187" s="8"/>
    </row>
    <row r="188" spans="1:26" ht="12.75">
      <c r="A188" s="11">
        <v>43747.311354166668</v>
      </c>
      <c r="B188" s="12" t="str">
        <f>HYPERLINK("https://twitter.com/Manos81A","@Manos81A")</f>
        <v>@Manos81A</v>
      </c>
      <c r="C188" s="7" t="s">
        <v>1702</v>
      </c>
      <c r="D188" s="7" t="s">
        <v>1705</v>
      </c>
      <c r="E188" s="12" t="str">
        <f>HYPERLINK("https://twitter.com/Manos81A/status/1181939459950034944","1181939459950034944")</f>
        <v>1181939459950034944</v>
      </c>
      <c r="F188" s="8" t="s">
        <v>1706</v>
      </c>
      <c r="G188" s="7"/>
      <c r="H188" s="8"/>
      <c r="I188" s="15">
        <v>0</v>
      </c>
      <c r="J188" s="15">
        <v>0</v>
      </c>
      <c r="K188" s="12" t="str">
        <f>HYPERLINK("https://mobile.twitter.com","Twitter Web App")</f>
        <v>Twitter Web App</v>
      </c>
      <c r="L188" s="16">
        <v>151</v>
      </c>
      <c r="M188" s="16">
        <v>63</v>
      </c>
      <c r="N188" s="16">
        <v>16</v>
      </c>
      <c r="O188" s="17"/>
      <c r="P188" s="18">
        <v>41916.121041666665</v>
      </c>
      <c r="Q188" s="7"/>
      <c r="R188" s="7" t="s">
        <v>1707</v>
      </c>
      <c r="S188" s="15"/>
      <c r="T188" s="8"/>
      <c r="U188" s="19" t="str">
        <f>HYPERLINK("https://pbs.twimg.com/profile_images/655780067876835328/BnphK9Qr.jpg","View")</f>
        <v>View</v>
      </c>
      <c r="V188" s="8"/>
      <c r="W188" s="8"/>
      <c r="X188" s="8"/>
      <c r="Y188" s="8"/>
      <c r="Z188" s="8"/>
    </row>
    <row r="189" spans="1:26" ht="12.75">
      <c r="A189" s="11">
        <v>43747.311342592591</v>
      </c>
      <c r="B189" s="12" t="str">
        <f>HYPERLINK("https://twitter.com/rustuterzi","@rustuterzi")</f>
        <v>@rustuterzi</v>
      </c>
      <c r="C189" s="7" t="s">
        <v>1711</v>
      </c>
      <c r="D189" s="7" t="s">
        <v>1712</v>
      </c>
      <c r="E189" s="12" t="str">
        <f>HYPERLINK("https://twitter.com/rustuterzi/status/1181939455525085184","1181939455525085184")</f>
        <v>1181939455525085184</v>
      </c>
      <c r="F189" s="8"/>
      <c r="G189" s="15"/>
      <c r="H189" s="8"/>
      <c r="I189" s="15">
        <v>0</v>
      </c>
      <c r="J189" s="15">
        <v>0</v>
      </c>
      <c r="K189" s="12" t="str">
        <f>HYPERLINK("http://twitter.com/download/iphone","Twitter for iPhone")</f>
        <v>Twitter for iPhone</v>
      </c>
      <c r="L189" s="16">
        <v>395</v>
      </c>
      <c r="M189" s="16">
        <v>571</v>
      </c>
      <c r="N189" s="16">
        <v>0</v>
      </c>
      <c r="O189" s="17"/>
      <c r="P189" s="18">
        <v>40781.224374999998</v>
      </c>
      <c r="Q189" s="7" t="s">
        <v>576</v>
      </c>
      <c r="R189" s="7"/>
      <c r="S189" s="7"/>
      <c r="T189" s="8"/>
      <c r="U189" s="19" t="str">
        <f>HYPERLINK("https://pbs.twimg.com/profile_images/378800000340924456/6baa17de65aad8e14355781ca89e38c0.jpeg","View")</f>
        <v>View</v>
      </c>
      <c r="V189" s="8"/>
      <c r="W189" s="8"/>
      <c r="X189" s="8"/>
      <c r="Y189" s="8"/>
      <c r="Z189" s="8"/>
    </row>
    <row r="190" spans="1:26" ht="12.75">
      <c r="A190" s="11">
        <v>43747.311296296291</v>
      </c>
      <c r="B190" s="12" t="str">
        <f>HYPERLINK("https://twitter.com/abdullahnoyan_","@abdullahnoyan_")</f>
        <v>@abdullahnoyan_</v>
      </c>
      <c r="C190" s="7" t="s">
        <v>1715</v>
      </c>
      <c r="D190" s="7" t="s">
        <v>1716</v>
      </c>
      <c r="E190" s="12" t="str">
        <f>HYPERLINK("https://twitter.com/abdullahnoyan_/status/1181939440220098562","1181939440220098562")</f>
        <v>1181939440220098562</v>
      </c>
      <c r="F190" s="8"/>
      <c r="G190" s="14" t="s">
        <v>1718</v>
      </c>
      <c r="H190" s="8"/>
      <c r="I190" s="15">
        <v>0</v>
      </c>
      <c r="J190" s="15">
        <v>0</v>
      </c>
      <c r="K190" s="12" t="str">
        <f>HYPERLINK("http://twitter.com/download/iphone","Twitter for iPhone")</f>
        <v>Twitter for iPhone</v>
      </c>
      <c r="L190" s="16">
        <v>351</v>
      </c>
      <c r="M190" s="16">
        <v>545</v>
      </c>
      <c r="N190" s="16">
        <v>1</v>
      </c>
      <c r="O190" s="17"/>
      <c r="P190" s="18">
        <v>42486.339143518519</v>
      </c>
      <c r="Q190" s="7" t="s">
        <v>313</v>
      </c>
      <c r="R190" s="7" t="s">
        <v>1719</v>
      </c>
      <c r="S190" s="15"/>
      <c r="T190" s="8"/>
      <c r="U190" s="19" t="str">
        <f>HYPERLINK("https://pbs.twimg.com/profile_images/1161601180923039744/NXD11MYg.jpg","View")</f>
        <v>View</v>
      </c>
      <c r="V190" s="8"/>
      <c r="W190" s="8"/>
      <c r="X190" s="8"/>
      <c r="Y190" s="8"/>
      <c r="Z190" s="8"/>
    </row>
    <row r="191" spans="1:26" ht="12.75">
      <c r="A191" s="11">
        <v>43747.311168981483</v>
      </c>
      <c r="B191" s="12" t="str">
        <f>HYPERLINK("https://twitter.com/TrishTess","@TrishTess")</f>
        <v>@TrishTess</v>
      </c>
      <c r="C191" s="7" t="s">
        <v>1724</v>
      </c>
      <c r="D191" s="7" t="s">
        <v>1725</v>
      </c>
      <c r="E191" s="12" t="str">
        <f>HYPERLINK("https://twitter.com/TrishTess/status/1181939393524883464","1181939393524883464")</f>
        <v>1181939393524883464</v>
      </c>
      <c r="F191" s="8" t="s">
        <v>1727</v>
      </c>
      <c r="G191" s="15"/>
      <c r="H191" s="8"/>
      <c r="I191" s="15">
        <v>0</v>
      </c>
      <c r="J191" s="15">
        <v>0</v>
      </c>
      <c r="K191" s="12" t="str">
        <f>HYPERLINK("http://twitter.com/download/android","Twitter for Android")</f>
        <v>Twitter for Android</v>
      </c>
      <c r="L191" s="16">
        <v>6355</v>
      </c>
      <c r="M191" s="16">
        <v>6700</v>
      </c>
      <c r="N191" s="16">
        <v>36</v>
      </c>
      <c r="O191" s="17"/>
      <c r="P191" s="18">
        <v>42378.182164351849</v>
      </c>
      <c r="Q191" s="7" t="s">
        <v>1728</v>
      </c>
      <c r="R191" s="7" t="s">
        <v>1729</v>
      </c>
      <c r="S191" s="7"/>
      <c r="T191" s="8"/>
      <c r="U191" s="19" t="str">
        <f>HYPERLINK("https://pbs.twimg.com/profile_images/1118703363909091329/0cbZW3Em.jpg","View")</f>
        <v>View</v>
      </c>
      <c r="V191" s="8"/>
      <c r="W191" s="8"/>
      <c r="X191" s="8"/>
      <c r="Y191" s="8"/>
      <c r="Z191" s="8"/>
    </row>
    <row r="192" spans="1:26" ht="12.75">
      <c r="A192" s="11">
        <v>43747.311157407406</v>
      </c>
      <c r="B192" s="12" t="str">
        <f>HYPERLINK("https://twitter.com/bilselc","@bilselc")</f>
        <v>@bilselc</v>
      </c>
      <c r="C192" s="7" t="s">
        <v>1730</v>
      </c>
      <c r="D192" s="7" t="s">
        <v>1731</v>
      </c>
      <c r="E192" s="12" t="str">
        <f>HYPERLINK("https://twitter.com/bilselc/status/1181939390236549121","1181939390236549121")</f>
        <v>1181939390236549121</v>
      </c>
      <c r="F192" s="8"/>
      <c r="G192" s="14" t="s">
        <v>1734</v>
      </c>
      <c r="H192" s="8"/>
      <c r="I192" s="15">
        <v>1</v>
      </c>
      <c r="J192" s="15">
        <v>2</v>
      </c>
      <c r="K192" s="12" t="str">
        <f>HYPERLINK("http://twitter.com/download/android","Twitter for Android")</f>
        <v>Twitter for Android</v>
      </c>
      <c r="L192" s="16">
        <v>618</v>
      </c>
      <c r="M192" s="16">
        <v>90</v>
      </c>
      <c r="N192" s="16">
        <v>6</v>
      </c>
      <c r="O192" s="17"/>
      <c r="P192" s="18">
        <v>40602.502037037033</v>
      </c>
      <c r="Q192" s="7"/>
      <c r="R192" s="7" t="s">
        <v>1736</v>
      </c>
      <c r="S192" s="7"/>
      <c r="T192" s="8"/>
      <c r="U192" s="19" t="str">
        <f>HYPERLINK("https://pbs.twimg.com/profile_images/1157961682821484544/JSMAk_ot.jpg","View")</f>
        <v>View</v>
      </c>
      <c r="V192" s="8"/>
      <c r="W192" s="8"/>
      <c r="X192" s="8"/>
      <c r="Y192" s="8"/>
      <c r="Z192" s="8"/>
    </row>
    <row r="193" spans="1:26" ht="12.75">
      <c r="A193" s="11">
        <v>43747.311111111107</v>
      </c>
      <c r="B193" s="12" t="str">
        <f>HYPERLINK("https://twitter.com/_swet_swet_","@_swet_swet_")</f>
        <v>@_swet_swet_</v>
      </c>
      <c r="C193" s="7" t="s">
        <v>1737</v>
      </c>
      <c r="D193" s="7" t="s">
        <v>1738</v>
      </c>
      <c r="E193" s="12" t="str">
        <f>HYPERLINK("https://twitter.com/_swet_swet_/status/1181939374574964737","1181939374574964737")</f>
        <v>1181939374574964737</v>
      </c>
      <c r="F193" s="8"/>
      <c r="G193" s="15"/>
      <c r="H193" s="8"/>
      <c r="I193" s="15">
        <v>0</v>
      </c>
      <c r="J193" s="15">
        <v>1</v>
      </c>
      <c r="K193" s="12" t="str">
        <f>HYPERLINK("http://twitter.com/download/iphone","Twitter for iPhone")</f>
        <v>Twitter for iPhone</v>
      </c>
      <c r="L193" s="16">
        <v>128</v>
      </c>
      <c r="M193" s="16">
        <v>183</v>
      </c>
      <c r="N193" s="16">
        <v>2</v>
      </c>
      <c r="O193" s="17"/>
      <c r="P193" s="18">
        <v>40729.151932870373</v>
      </c>
      <c r="Q193" s="7"/>
      <c r="R193" s="7" t="s">
        <v>1742</v>
      </c>
      <c r="S193" s="7"/>
      <c r="T193" s="8"/>
      <c r="U193" s="19" t="str">
        <f>HYPERLINK("https://pbs.twimg.com/profile_images/1427312430/rrr.jpg","View")</f>
        <v>View</v>
      </c>
      <c r="V193" s="8"/>
      <c r="W193" s="8"/>
      <c r="X193" s="8"/>
      <c r="Y193" s="8"/>
      <c r="Z193" s="8"/>
    </row>
    <row r="194" spans="1:26" ht="12.75">
      <c r="A194" s="11">
        <v>43747.311087962968</v>
      </c>
      <c r="B194" s="12" t="str">
        <f>HYPERLINK("https://twitter.com/BaykusMukremin","@BaykusMukremin")</f>
        <v>@BaykusMukremin</v>
      </c>
      <c r="C194" s="7" t="s">
        <v>1743</v>
      </c>
      <c r="D194" s="7" t="s">
        <v>1744</v>
      </c>
      <c r="E194" s="12" t="str">
        <f>HYPERLINK("https://twitter.com/BaykusMukremin/status/1181939366383538178","1181939366383538178")</f>
        <v>1181939366383538178</v>
      </c>
      <c r="F194" s="8"/>
      <c r="G194" s="14" t="s">
        <v>1745</v>
      </c>
      <c r="H194" s="8"/>
      <c r="I194" s="15">
        <v>0</v>
      </c>
      <c r="J194" s="15">
        <v>1</v>
      </c>
      <c r="K194" s="12" t="str">
        <f>HYPERLINK("http://twitter.com/download/android","Twitter for Android")</f>
        <v>Twitter for Android</v>
      </c>
      <c r="L194" s="16">
        <v>439</v>
      </c>
      <c r="M194" s="16">
        <v>384</v>
      </c>
      <c r="N194" s="16">
        <v>8</v>
      </c>
      <c r="O194" s="17"/>
      <c r="P194" s="18">
        <v>42708.415486111116</v>
      </c>
      <c r="Q194" s="7" t="s">
        <v>1748</v>
      </c>
      <c r="R194" s="7" t="s">
        <v>1749</v>
      </c>
      <c r="S194" s="14" t="s">
        <v>1750</v>
      </c>
      <c r="T194" s="8"/>
      <c r="U194" s="19" t="str">
        <f>HYPERLINK("https://pbs.twimg.com/profile_images/1176919301699375104/klzJmdCr.jpg","View")</f>
        <v>View</v>
      </c>
      <c r="V194" s="8"/>
      <c r="W194" s="8"/>
      <c r="X194" s="8"/>
      <c r="Y194" s="8"/>
      <c r="Z194" s="8"/>
    </row>
    <row r="195" spans="1:26" ht="12.75">
      <c r="A195" s="11">
        <v>43747.311053240745</v>
      </c>
      <c r="B195" s="12" t="str">
        <f>HYPERLINK("https://twitter.com/BerwazNews","@BerwazNews")</f>
        <v>@BerwazNews</v>
      </c>
      <c r="C195" s="7" t="s">
        <v>1754</v>
      </c>
      <c r="D195" s="7" t="s">
        <v>1755</v>
      </c>
      <c r="E195" s="12" t="str">
        <f>HYPERLINK("https://twitter.com/BerwazNews/status/1181939352101949450","1181939352101949450")</f>
        <v>1181939352101949450</v>
      </c>
      <c r="F195" s="14" t="s">
        <v>1756</v>
      </c>
      <c r="G195" s="14" t="s">
        <v>1758</v>
      </c>
      <c r="H195" s="8"/>
      <c r="I195" s="15">
        <v>0</v>
      </c>
      <c r="J195" s="15">
        <v>0</v>
      </c>
      <c r="K195" s="12" t="str">
        <f>HYPERLINK("http://twitter.com/download/android","Twitter for Android")</f>
        <v>Twitter for Android</v>
      </c>
      <c r="L195" s="16">
        <v>9229</v>
      </c>
      <c r="M195" s="16">
        <v>0</v>
      </c>
      <c r="N195" s="16">
        <v>14</v>
      </c>
      <c r="O195" s="17"/>
      <c r="P195" s="18">
        <v>42777.162858796291</v>
      </c>
      <c r="Q195" s="7" t="s">
        <v>1760</v>
      </c>
      <c r="R195" s="7" t="s">
        <v>1761</v>
      </c>
      <c r="S195" s="14" t="s">
        <v>1762</v>
      </c>
      <c r="T195" s="8"/>
      <c r="U195" s="19" t="str">
        <f>HYPERLINK("https://pbs.twimg.com/profile_images/1095309136462516224/TRy_0Z8P.jpg","View")</f>
        <v>View</v>
      </c>
      <c r="V195" s="8"/>
      <c r="W195" s="8"/>
      <c r="X195" s="8"/>
      <c r="Y195" s="8"/>
      <c r="Z195" s="8"/>
    </row>
    <row r="196" spans="1:26" ht="12.75">
      <c r="A196" s="11">
        <v>43747.311041666668</v>
      </c>
      <c r="B196" s="12" t="str">
        <f>HYPERLINK("https://twitter.com/aysglkaragzlu","@aysglkaragzlu")</f>
        <v>@aysglkaragzlu</v>
      </c>
      <c r="C196" s="7" t="s">
        <v>1766</v>
      </c>
      <c r="D196" s="7" t="s">
        <v>1767</v>
      </c>
      <c r="E196" s="12" t="str">
        <f>HYPERLINK("https://twitter.com/aysglkaragzlu/status/1181939347135909888","1181939347135909888")</f>
        <v>1181939347135909888</v>
      </c>
      <c r="F196" s="15"/>
      <c r="G196" s="7"/>
      <c r="H196" s="8"/>
      <c r="I196" s="15">
        <v>0</v>
      </c>
      <c r="J196" s="15">
        <v>0</v>
      </c>
      <c r="K196" s="12" t="str">
        <f>HYPERLINK("http://twitter.com/download/iphone","Twitter for iPhone")</f>
        <v>Twitter for iPhone</v>
      </c>
      <c r="L196" s="16">
        <v>1420</v>
      </c>
      <c r="M196" s="16">
        <v>114</v>
      </c>
      <c r="N196" s="16">
        <v>3</v>
      </c>
      <c r="O196" s="17"/>
      <c r="P196" s="18">
        <v>41580.395486111112</v>
      </c>
      <c r="Q196" s="7"/>
      <c r="R196" s="7"/>
      <c r="S196" s="7"/>
      <c r="T196" s="8"/>
      <c r="U196" s="19" t="str">
        <f>HYPERLINK("https://pbs.twimg.com/profile_images/1165316279110197252/R5FlDeLU.jpg","View")</f>
        <v>View</v>
      </c>
      <c r="V196" s="8"/>
      <c r="W196" s="8"/>
      <c r="X196" s="8"/>
      <c r="Y196" s="8"/>
      <c r="Z196" s="8"/>
    </row>
    <row r="197" spans="1:26" ht="12.75">
      <c r="A197" s="11">
        <v>43747.311006944445</v>
      </c>
      <c r="B197" s="12" t="str">
        <f>HYPERLINK("https://twitter.com/turktugra1","@turktugra1")</f>
        <v>@turktugra1</v>
      </c>
      <c r="C197" s="7" t="s">
        <v>1771</v>
      </c>
      <c r="D197" s="7" t="s">
        <v>1738</v>
      </c>
      <c r="E197" s="12" t="str">
        <f>HYPERLINK("https://twitter.com/turktugra1/status/1181939333923823621","1181939333923823621")</f>
        <v>1181939333923823621</v>
      </c>
      <c r="F197" s="8"/>
      <c r="G197" s="15"/>
      <c r="H197" s="8"/>
      <c r="I197" s="15">
        <v>0</v>
      </c>
      <c r="J197" s="15">
        <v>1</v>
      </c>
      <c r="K197" s="12" t="str">
        <f>HYPERLINK("http://twitter.com/download/iphone","Twitter for iPhone")</f>
        <v>Twitter for iPhone</v>
      </c>
      <c r="L197" s="16">
        <v>51</v>
      </c>
      <c r="M197" s="16">
        <v>65</v>
      </c>
      <c r="N197" s="16">
        <v>0</v>
      </c>
      <c r="O197" s="17"/>
      <c r="P197" s="18">
        <v>43728.224050925928</v>
      </c>
      <c r="Q197" s="7"/>
      <c r="R197" s="7"/>
      <c r="S197" s="7"/>
      <c r="T197" s="8"/>
      <c r="U197" s="19" t="str">
        <f>HYPERLINK("https://pbs.twimg.com/profile_images/1175737654362685446/sku5-yAs.jpg","View")</f>
        <v>View</v>
      </c>
      <c r="V197" s="8"/>
      <c r="W197" s="8"/>
      <c r="X197" s="8"/>
      <c r="Y197" s="8"/>
      <c r="Z197" s="8"/>
    </row>
    <row r="198" spans="1:26" ht="12.75">
      <c r="A198" s="11">
        <v>43747.310995370368</v>
      </c>
      <c r="B198" s="12" t="str">
        <f>HYPERLINK("https://twitter.com/f5haber","@f5haber")</f>
        <v>@f5haber</v>
      </c>
      <c r="C198" s="7" t="s">
        <v>1774</v>
      </c>
      <c r="D198" s="7" t="s">
        <v>1775</v>
      </c>
      <c r="E198" s="12" t="str">
        <f>HYPERLINK("https://twitter.com/f5haber/status/1181939332703236098","1181939332703236098")</f>
        <v>1181939332703236098</v>
      </c>
      <c r="F198" s="8"/>
      <c r="G198" s="14" t="s">
        <v>1776</v>
      </c>
      <c r="H198" s="8"/>
      <c r="I198" s="15">
        <v>0</v>
      </c>
      <c r="J198" s="15">
        <v>12</v>
      </c>
      <c r="K198" s="12" t="str">
        <f>HYPERLINK("https://mobile.twitter.com","Twitter Web App")</f>
        <v>Twitter Web App</v>
      </c>
      <c r="L198" s="16">
        <v>169404</v>
      </c>
      <c r="M198" s="16">
        <v>158347</v>
      </c>
      <c r="N198" s="16">
        <v>118</v>
      </c>
      <c r="O198" s="17" t="s">
        <v>984</v>
      </c>
      <c r="P198" s="18">
        <v>40921.199537037035</v>
      </c>
      <c r="Q198" s="7" t="s">
        <v>313</v>
      </c>
      <c r="R198" s="7" t="s">
        <v>1779</v>
      </c>
      <c r="S198" s="14" t="s">
        <v>1780</v>
      </c>
      <c r="T198" s="8"/>
      <c r="U198" s="19" t="str">
        <f>HYPERLINK("https://pbs.twimg.com/profile_images/1054425328284778498/JqSGhv4Y.jpg","View")</f>
        <v>View</v>
      </c>
      <c r="V198" s="8"/>
      <c r="W198" s="8"/>
      <c r="X198" s="8"/>
      <c r="Y198" s="8"/>
      <c r="Z198" s="8"/>
    </row>
    <row r="199" spans="1:26" ht="12.75">
      <c r="A199" s="11">
        <v>43747.310902777783</v>
      </c>
      <c r="B199" s="12" t="str">
        <f>HYPERLINK("https://twitter.com/beingHuman2029","@beingHuman2029")</f>
        <v>@beingHuman2029</v>
      </c>
      <c r="C199" s="7" t="s">
        <v>1791</v>
      </c>
      <c r="D199" s="7" t="s">
        <v>1792</v>
      </c>
      <c r="E199" s="12" t="str">
        <f>HYPERLINK("https://twitter.com/beingHuman2029/status/1181939298138034180","1181939298138034180")</f>
        <v>1181939298138034180</v>
      </c>
      <c r="F199" s="8"/>
      <c r="G199" s="7"/>
      <c r="H199" s="8"/>
      <c r="I199" s="15">
        <v>0</v>
      </c>
      <c r="J199" s="15">
        <v>0</v>
      </c>
      <c r="K199" s="12" t="str">
        <f>HYPERLINK("http://twitter.com/download/android","Twitter for Android")</f>
        <v>Twitter for Android</v>
      </c>
      <c r="L199" s="16">
        <v>187</v>
      </c>
      <c r="M199" s="16">
        <v>604</v>
      </c>
      <c r="N199" s="16">
        <v>1</v>
      </c>
      <c r="O199" s="17"/>
      <c r="P199" s="18">
        <v>42048.215740740736</v>
      </c>
      <c r="Q199" s="7" t="s">
        <v>1796</v>
      </c>
      <c r="R199" s="7" t="s">
        <v>1797</v>
      </c>
      <c r="S199" s="7"/>
      <c r="T199" s="8"/>
      <c r="U199" s="19" t="str">
        <f>HYPERLINK("https://pbs.twimg.com/profile_images/1162260973610078208/bk1OBqy_.jpg","View")</f>
        <v>View</v>
      </c>
      <c r="V199" s="8"/>
      <c r="W199" s="8"/>
      <c r="X199" s="8"/>
      <c r="Y199" s="8"/>
      <c r="Z199" s="8"/>
    </row>
    <row r="200" spans="1:26" ht="12.75">
      <c r="A200" s="11">
        <v>43747.310902777783</v>
      </c>
      <c r="B200" s="12" t="str">
        <f>HYPERLINK("https://twitter.com/Trafficat","@Trafficat")</f>
        <v>@Trafficat</v>
      </c>
      <c r="C200" s="7" t="s">
        <v>1798</v>
      </c>
      <c r="D200" s="7" t="s">
        <v>1799</v>
      </c>
      <c r="E200" s="12" t="str">
        <f>HYPERLINK("https://twitter.com/Trafficat/status/1181939297102028800","1181939297102028800")</f>
        <v>1181939297102028800</v>
      </c>
      <c r="F200" s="14" t="s">
        <v>1800</v>
      </c>
      <c r="G200" s="15"/>
      <c r="H200" s="8"/>
      <c r="I200" s="15">
        <v>0</v>
      </c>
      <c r="J200" s="15">
        <v>0</v>
      </c>
      <c r="K200" s="12" t="str">
        <f>HYPERLINK("http://twitter.com/download/android","Twitter for Android")</f>
        <v>Twitter for Android</v>
      </c>
      <c r="L200" s="16">
        <v>399</v>
      </c>
      <c r="M200" s="16">
        <v>397</v>
      </c>
      <c r="N200" s="16">
        <v>0</v>
      </c>
      <c r="O200" s="17"/>
      <c r="P200" s="18">
        <v>39679.556331018517</v>
      </c>
      <c r="Q200" s="7" t="s">
        <v>1804</v>
      </c>
      <c r="R200" s="7" t="s">
        <v>1805</v>
      </c>
      <c r="S200" s="14" t="s">
        <v>1806</v>
      </c>
      <c r="T200" s="8"/>
      <c r="U200" s="19" t="str">
        <f>HYPERLINK("https://pbs.twimg.com/profile_images/1020381930645319681/PyAlUR0f.jpg","View")</f>
        <v>View</v>
      </c>
      <c r="V200" s="8"/>
      <c r="W200" s="8"/>
      <c r="X200" s="8"/>
      <c r="Y200" s="8"/>
      <c r="Z200" s="8"/>
    </row>
    <row r="201" spans="1:26" ht="12.75">
      <c r="A201" s="11">
        <v>43747.310891203699</v>
      </c>
      <c r="B201" s="12" t="str">
        <f>HYPERLINK("https://twitter.com/ulusehirbursa","@ulusehirbursa")</f>
        <v>@ulusehirbursa</v>
      </c>
      <c r="C201" s="7" t="s">
        <v>1807</v>
      </c>
      <c r="D201" s="7" t="s">
        <v>1738</v>
      </c>
      <c r="E201" s="12" t="str">
        <f>HYPERLINK("https://twitter.com/ulusehirbursa/status/1181939294094667777","1181939294094667777")</f>
        <v>1181939294094667777</v>
      </c>
      <c r="F201" s="8"/>
      <c r="G201" s="7"/>
      <c r="H201" s="8"/>
      <c r="I201" s="15">
        <v>1</v>
      </c>
      <c r="J201" s="15">
        <v>1</v>
      </c>
      <c r="K201" s="12" t="str">
        <f>HYPERLINK("http://twitter.com/download/iphone","Twitter for iPhone")</f>
        <v>Twitter for iPhone</v>
      </c>
      <c r="L201" s="16">
        <v>1165</v>
      </c>
      <c r="M201" s="16">
        <v>1567</v>
      </c>
      <c r="N201" s="16">
        <v>1</v>
      </c>
      <c r="O201" s="17"/>
      <c r="P201" s="18">
        <v>43651.979976851857</v>
      </c>
      <c r="Q201" s="7"/>
      <c r="R201" s="7" t="s">
        <v>1811</v>
      </c>
      <c r="S201" s="7"/>
      <c r="T201" s="8"/>
      <c r="U201" s="19" t="str">
        <f>HYPERLINK("https://pbs.twimg.com/profile_images/1151538323250393088/dtpn2wri.jpg","View")</f>
        <v>View</v>
      </c>
      <c r="V201" s="8"/>
      <c r="W201" s="8"/>
      <c r="X201" s="8"/>
      <c r="Y201" s="8"/>
      <c r="Z201" s="8"/>
    </row>
    <row r="202" spans="1:26" ht="12.75">
      <c r="A202" s="11">
        <v>43747.310833333337</v>
      </c>
      <c r="B202" s="12" t="str">
        <f>HYPERLINK("https://twitter.com/benjaminatkafa","@benjaminatkafa")</f>
        <v>@benjaminatkafa</v>
      </c>
      <c r="C202" s="7" t="s">
        <v>1812</v>
      </c>
      <c r="D202" s="7" t="s">
        <v>1813</v>
      </c>
      <c r="E202" s="12" t="str">
        <f>HYPERLINK("https://twitter.com/benjaminatkafa/status/1181939272510824452","1181939272510824452")</f>
        <v>1181939272510824452</v>
      </c>
      <c r="F202" s="8"/>
      <c r="G202" s="14" t="s">
        <v>1814</v>
      </c>
      <c r="H202" s="8"/>
      <c r="I202" s="15">
        <v>0</v>
      </c>
      <c r="J202" s="15">
        <v>0</v>
      </c>
      <c r="K202" s="12" t="str">
        <f>HYPERLINK("http://twitter.com/download/android","Twitter for Android")</f>
        <v>Twitter for Android</v>
      </c>
      <c r="L202" s="16">
        <v>357</v>
      </c>
      <c r="M202" s="16">
        <v>421</v>
      </c>
      <c r="N202" s="16">
        <v>3</v>
      </c>
      <c r="O202" s="17"/>
      <c r="P202" s="18">
        <v>40583.67832175926</v>
      </c>
      <c r="Q202" s="7" t="s">
        <v>313</v>
      </c>
      <c r="R202" s="7"/>
      <c r="S202" s="7"/>
      <c r="T202" s="8"/>
      <c r="U202" s="19" t="str">
        <f>HYPERLINK("https://pbs.twimg.com/profile_images/998160987634126848/lzCPRQty.jpg","View")</f>
        <v>View</v>
      </c>
      <c r="V202" s="8"/>
      <c r="W202" s="8"/>
      <c r="X202" s="8"/>
      <c r="Y202" s="8"/>
      <c r="Z202" s="8"/>
    </row>
    <row r="203" spans="1:26" ht="12.75">
      <c r="A203" s="11">
        <v>43747.310798611114</v>
      </c>
      <c r="B203" s="12" t="str">
        <f>HYPERLINK("https://twitter.com/yesil_bursa","@yesil_bursa")</f>
        <v>@yesil_bursa</v>
      </c>
      <c r="C203" s="7" t="s">
        <v>1817</v>
      </c>
      <c r="D203" s="7" t="s">
        <v>1738</v>
      </c>
      <c r="E203" s="12" t="str">
        <f>HYPERLINK("https://twitter.com/yesil_bursa/status/1181939259806232576","1181939259806232576")</f>
        <v>1181939259806232576</v>
      </c>
      <c r="F203" s="8"/>
      <c r="G203" s="15"/>
      <c r="H203" s="8"/>
      <c r="I203" s="15">
        <v>6</v>
      </c>
      <c r="J203" s="15">
        <v>11</v>
      </c>
      <c r="K203" s="12" t="str">
        <f>HYPERLINK("http://twitter.com/download/iphone","Twitter for iPhone")</f>
        <v>Twitter for iPhone</v>
      </c>
      <c r="L203" s="16">
        <v>1134</v>
      </c>
      <c r="M203" s="16">
        <v>1226</v>
      </c>
      <c r="N203" s="16">
        <v>1</v>
      </c>
      <c r="O203" s="17"/>
      <c r="P203" s="18">
        <v>43533.002175925925</v>
      </c>
      <c r="Q203" s="7" t="s">
        <v>69</v>
      </c>
      <c r="R203" s="7"/>
      <c r="S203" s="7"/>
      <c r="T203" s="8"/>
      <c r="U203" s="19" t="str">
        <f>HYPERLINK("https://pbs.twimg.com/profile_images/1145775053155590144/fonX_657.jpg","View")</f>
        <v>View</v>
      </c>
      <c r="V203" s="8"/>
      <c r="W203" s="8"/>
      <c r="X203" s="8"/>
      <c r="Y203" s="8"/>
      <c r="Z203" s="8"/>
    </row>
    <row r="204" spans="1:26" ht="12.75">
      <c r="A204" s="11">
        <v>43747.310787037037</v>
      </c>
      <c r="B204" s="12" t="str">
        <f>HYPERLINK("https://twitter.com/TarikEmreEksi","@TarikEmreEksi")</f>
        <v>@TarikEmreEksi</v>
      </c>
      <c r="C204" s="7" t="s">
        <v>1821</v>
      </c>
      <c r="D204" s="7" t="s">
        <v>1822</v>
      </c>
      <c r="E204" s="12" t="str">
        <f>HYPERLINK("https://twitter.com/TarikEmreEksi/status/1181939255314194432","1181939255314194432")</f>
        <v>1181939255314194432</v>
      </c>
      <c r="F204" s="8"/>
      <c r="G204" s="14" t="s">
        <v>1823</v>
      </c>
      <c r="H204" s="8"/>
      <c r="I204" s="15">
        <v>0</v>
      </c>
      <c r="J204" s="15">
        <v>3</v>
      </c>
      <c r="K204" s="12" t="str">
        <f>HYPERLINK("http://twitter.com/download/iphone","Twitter for iPhone")</f>
        <v>Twitter for iPhone</v>
      </c>
      <c r="L204" s="16">
        <v>293</v>
      </c>
      <c r="M204" s="16">
        <v>321</v>
      </c>
      <c r="N204" s="16">
        <v>0</v>
      </c>
      <c r="O204" s="17"/>
      <c r="P204" s="18">
        <v>40787.54241898148</v>
      </c>
      <c r="Q204" s="7" t="s">
        <v>1827</v>
      </c>
      <c r="R204" s="7" t="s">
        <v>1828</v>
      </c>
      <c r="S204" s="14" t="s">
        <v>1829</v>
      </c>
      <c r="T204" s="8"/>
      <c r="U204" s="19" t="str">
        <f>HYPERLINK("https://pbs.twimg.com/profile_images/1053283357012967424/tGAU4FQ_.jpg","View")</f>
        <v>View</v>
      </c>
      <c r="V204" s="8"/>
      <c r="W204" s="8"/>
      <c r="X204" s="8"/>
      <c r="Y204" s="8"/>
      <c r="Z204" s="8"/>
    </row>
    <row r="205" spans="1:26" ht="12.75">
      <c r="A205" s="11">
        <v>43747.310706018514</v>
      </c>
      <c r="B205" s="12" t="str">
        <f>HYPERLINK("https://twitter.com/1almanyali","@1almanyali")</f>
        <v>@1almanyali</v>
      </c>
      <c r="C205" s="7" t="s">
        <v>1832</v>
      </c>
      <c r="D205" s="7" t="s">
        <v>1833</v>
      </c>
      <c r="E205" s="12" t="str">
        <f>HYPERLINK("https://twitter.com/1almanyali/status/1181939225186447365","1181939225186447365")</f>
        <v>1181939225186447365</v>
      </c>
      <c r="F205" s="15"/>
      <c r="G205" s="7"/>
      <c r="H205" s="8"/>
      <c r="I205" s="15">
        <v>0</v>
      </c>
      <c r="J205" s="15">
        <v>0</v>
      </c>
      <c r="K205" s="12" t="str">
        <f>HYPERLINK("http://twitter.com/download/iphone","Twitter for iPhone")</f>
        <v>Twitter for iPhone</v>
      </c>
      <c r="L205" s="16">
        <v>3857</v>
      </c>
      <c r="M205" s="16">
        <v>3067</v>
      </c>
      <c r="N205" s="16">
        <v>3</v>
      </c>
      <c r="O205" s="17"/>
      <c r="P205" s="18">
        <v>41217.55228009259</v>
      </c>
      <c r="Q205" s="7" t="s">
        <v>1827</v>
      </c>
      <c r="R205" s="7" t="s">
        <v>1834</v>
      </c>
      <c r="S205" s="7"/>
      <c r="T205" s="8"/>
      <c r="U205" s="19" t="str">
        <f>HYPERLINK("https://pbs.twimg.com/profile_images/1014827273374052354/HBA0GCLF.jpg","View")</f>
        <v>View</v>
      </c>
      <c r="V205" s="8"/>
      <c r="W205" s="8"/>
      <c r="X205" s="8"/>
      <c r="Y205" s="8"/>
      <c r="Z205" s="8"/>
    </row>
    <row r="206" spans="1:26" ht="12.75">
      <c r="A206" s="11">
        <v>43747.310636574075</v>
      </c>
      <c r="B206" s="12" t="str">
        <f>HYPERLINK("https://twitter.com/Gurcusel","@Gurcusel")</f>
        <v>@Gurcusel</v>
      </c>
      <c r="C206" s="7" t="s">
        <v>1842</v>
      </c>
      <c r="D206" s="7" t="s">
        <v>1843</v>
      </c>
      <c r="E206" s="12" t="str">
        <f>HYPERLINK("https://twitter.com/Gurcusel/status/1181939199118860288","1181939199118860288")</f>
        <v>1181939199118860288</v>
      </c>
      <c r="F206" s="15"/>
      <c r="G206" s="15"/>
      <c r="H206" s="8"/>
      <c r="I206" s="15">
        <v>2</v>
      </c>
      <c r="J206" s="15">
        <v>7</v>
      </c>
      <c r="K206" s="12" t="str">
        <f>HYPERLINK("http://twitter.com/download/android","Twitter for Android")</f>
        <v>Twitter for Android</v>
      </c>
      <c r="L206" s="16">
        <v>460</v>
      </c>
      <c r="M206" s="16">
        <v>569</v>
      </c>
      <c r="N206" s="16">
        <v>0</v>
      </c>
      <c r="O206" s="17"/>
      <c r="P206" s="18">
        <v>43743.481076388889</v>
      </c>
      <c r="Q206" s="7"/>
      <c r="R206" s="7" t="s">
        <v>1845</v>
      </c>
      <c r="S206" s="7"/>
      <c r="T206" s="8"/>
      <c r="U206" s="19" t="str">
        <f>HYPERLINK("https://pbs.twimg.com/profile_images/1180554075781451776/bJgOWnVT.jpg","View")</f>
        <v>View</v>
      </c>
      <c r="V206" s="8"/>
      <c r="W206" s="8"/>
      <c r="X206" s="8"/>
      <c r="Y206" s="8"/>
      <c r="Z206" s="8"/>
    </row>
    <row r="207" spans="1:26" ht="12.75">
      <c r="A207" s="11">
        <v>43747.310636574075</v>
      </c>
      <c r="B207" s="12" t="str">
        <f>HYPERLINK("https://twitter.com/smsnllu","@smsnllu")</f>
        <v>@smsnllu</v>
      </c>
      <c r="C207" s="7" t="s">
        <v>573</v>
      </c>
      <c r="D207" s="7" t="s">
        <v>1847</v>
      </c>
      <c r="E207" s="12" t="str">
        <f>HYPERLINK("https://twitter.com/smsnllu/status/1181939199030779904","1181939199030779904")</f>
        <v>1181939199030779904</v>
      </c>
      <c r="F207" s="8"/>
      <c r="G207" s="7"/>
      <c r="H207" s="8"/>
      <c r="I207" s="15">
        <v>0</v>
      </c>
      <c r="J207" s="15">
        <v>0</v>
      </c>
      <c r="K207" s="12" t="str">
        <f>HYPERLINK("http://twitter.com/download/android","Twitter for Android")</f>
        <v>Twitter for Android</v>
      </c>
      <c r="L207" s="16">
        <v>261</v>
      </c>
      <c r="M207" s="16">
        <v>231</v>
      </c>
      <c r="N207" s="16">
        <v>0</v>
      </c>
      <c r="O207" s="17"/>
      <c r="P207" s="18">
        <v>42428.476956018523</v>
      </c>
      <c r="Q207" s="7" t="s">
        <v>1850</v>
      </c>
      <c r="R207" s="7"/>
      <c r="S207" s="7"/>
      <c r="T207" s="8"/>
      <c r="U207" s="19" t="str">
        <f>HYPERLINK("https://pbs.twimg.com/profile_images/1159836731031425025/EHltZN6N.jpg","View")</f>
        <v>View</v>
      </c>
      <c r="V207" s="8"/>
      <c r="W207" s="8"/>
      <c r="X207" s="8"/>
      <c r="Y207" s="8"/>
      <c r="Z207" s="8"/>
    </row>
    <row r="208" spans="1:26" ht="12.75">
      <c r="A208" s="11">
        <v>43747.310613425929</v>
      </c>
      <c r="B208" s="12" t="str">
        <f>HYPERLINK("https://twitter.com/AskeriMillet","@AskeriMillet")</f>
        <v>@AskeriMillet</v>
      </c>
      <c r="C208" s="7" t="s">
        <v>1854</v>
      </c>
      <c r="D208" s="7" t="s">
        <v>1855</v>
      </c>
      <c r="E208" s="12" t="str">
        <f>HYPERLINK("https://twitter.com/AskeriMillet/status/1181939193787740160","1181939193787740160")</f>
        <v>1181939193787740160</v>
      </c>
      <c r="F208" s="14" t="s">
        <v>1856</v>
      </c>
      <c r="G208" s="7"/>
      <c r="H208" s="8"/>
      <c r="I208" s="15">
        <v>0</v>
      </c>
      <c r="J208" s="15">
        <v>1</v>
      </c>
      <c r="K208" s="12" t="str">
        <f>HYPERLINK("http://instagram.com","Instagram")</f>
        <v>Instagram</v>
      </c>
      <c r="L208" s="16">
        <v>7</v>
      </c>
      <c r="M208" s="16">
        <v>8</v>
      </c>
      <c r="N208" s="16">
        <v>0</v>
      </c>
      <c r="O208" s="17"/>
      <c r="P208" s="18">
        <v>43743.568923611107</v>
      </c>
      <c r="Q208" s="7"/>
      <c r="R208" s="7" t="s">
        <v>1859</v>
      </c>
      <c r="S208" s="14" t="s">
        <v>1860</v>
      </c>
      <c r="T208" s="8"/>
      <c r="U208" s="19" t="str">
        <f>HYPERLINK("https://pbs.twimg.com/profile_images/1180583545040855042/b0U91AIw.jpg","View")</f>
        <v>View</v>
      </c>
      <c r="V208" s="8"/>
      <c r="W208" s="8"/>
      <c r="X208" s="8"/>
      <c r="Y208" s="8"/>
      <c r="Z208" s="8"/>
    </row>
    <row r="209" spans="1:26" ht="12.75">
      <c r="A209" s="11">
        <v>43747.310613425929</v>
      </c>
      <c r="B209" s="12" t="str">
        <f>HYPERLINK("https://twitter.com/UMTAKDAG","@UMTAKDAG")</f>
        <v>@UMTAKDAG</v>
      </c>
      <c r="C209" s="7" t="s">
        <v>1861</v>
      </c>
      <c r="D209" s="7" t="s">
        <v>1862</v>
      </c>
      <c r="E209" s="12" t="str">
        <f>HYPERLINK("https://twitter.com/UMTAKDAG/status/1181939191409721344","1181939191409721344")</f>
        <v>1181939191409721344</v>
      </c>
      <c r="F209" s="8"/>
      <c r="G209" s="14" t="s">
        <v>1863</v>
      </c>
      <c r="H209" s="8"/>
      <c r="I209" s="15">
        <v>0</v>
      </c>
      <c r="J209" s="15">
        <v>3</v>
      </c>
      <c r="K209" s="12" t="str">
        <f>HYPERLINK("http://twitter.com/download/android","Twitter for Android")</f>
        <v>Twitter for Android</v>
      </c>
      <c r="L209" s="16">
        <v>1322</v>
      </c>
      <c r="M209" s="16">
        <v>1912</v>
      </c>
      <c r="N209" s="16">
        <v>1</v>
      </c>
      <c r="O209" s="17"/>
      <c r="P209" s="18">
        <v>40661.409513888888</v>
      </c>
      <c r="Q209" s="7" t="s">
        <v>287</v>
      </c>
      <c r="R209" s="7" t="s">
        <v>1864</v>
      </c>
      <c r="S209" s="7"/>
      <c r="T209" s="8"/>
      <c r="U209" s="19" t="str">
        <f>HYPERLINK("https://pbs.twimg.com/profile_images/1160267797865385984/m-1H-wy2.jpg","View")</f>
        <v>View</v>
      </c>
      <c r="V209" s="8"/>
      <c r="W209" s="8"/>
      <c r="X209" s="8"/>
      <c r="Y209" s="8"/>
      <c r="Z209" s="8"/>
    </row>
    <row r="210" spans="1:26" ht="12.75">
      <c r="A210" s="11">
        <v>43747.310555555552</v>
      </c>
      <c r="B210" s="12" t="str">
        <f>HYPERLINK("https://twitter.com/vatantim2353","@vatantim2353")</f>
        <v>@vatantim2353</v>
      </c>
      <c r="C210" s="7" t="s">
        <v>1867</v>
      </c>
      <c r="D210" s="7" t="s">
        <v>1868</v>
      </c>
      <c r="E210" s="12" t="str">
        <f>HYPERLINK("https://twitter.com/vatantim2353/status/1181939171591630848","1181939171591630848")</f>
        <v>1181939171591630848</v>
      </c>
      <c r="F210" s="8"/>
      <c r="G210" s="14" t="s">
        <v>1871</v>
      </c>
      <c r="H210" s="8"/>
      <c r="I210" s="15">
        <v>4</v>
      </c>
      <c r="J210" s="15">
        <v>9</v>
      </c>
      <c r="K210" s="12" t="str">
        <f>HYPERLINK("http://twitter.com/download/android","Twitter for Android")</f>
        <v>Twitter for Android</v>
      </c>
      <c r="L210" s="16">
        <v>1679</v>
      </c>
      <c r="M210" s="16">
        <v>201</v>
      </c>
      <c r="N210" s="16">
        <v>4</v>
      </c>
      <c r="O210" s="17"/>
      <c r="P210" s="18">
        <v>40845.354027777779</v>
      </c>
      <c r="Q210" s="7" t="s">
        <v>287</v>
      </c>
      <c r="R210" s="7" t="s">
        <v>1873</v>
      </c>
      <c r="S210" s="14" t="s">
        <v>1875</v>
      </c>
      <c r="T210" s="8"/>
      <c r="U210" s="19" t="str">
        <f>HYPERLINK("https://pbs.twimg.com/profile_images/1103042698112630784/IJZ8OIHO.png","View")</f>
        <v>View</v>
      </c>
      <c r="V210" s="8"/>
      <c r="W210" s="8"/>
      <c r="X210" s="8"/>
      <c r="Y210" s="8"/>
      <c r="Z210" s="8"/>
    </row>
    <row r="211" spans="1:26" ht="12.75">
      <c r="A211" s="11">
        <v>43747.310543981483</v>
      </c>
      <c r="B211" s="12" t="str">
        <f>HYPERLINK("https://twitter.com/MKursadOzer","@MKursadOzer")</f>
        <v>@MKursadOzer</v>
      </c>
      <c r="C211" s="7" t="s">
        <v>1877</v>
      </c>
      <c r="D211" s="7" t="s">
        <v>1878</v>
      </c>
      <c r="E211" s="12" t="str">
        <f>HYPERLINK("https://twitter.com/MKursadOzer/status/1181939166365569025","1181939166365569025")</f>
        <v>1181939166365569025</v>
      </c>
      <c r="F211" s="15"/>
      <c r="G211" s="14" t="s">
        <v>1881</v>
      </c>
      <c r="H211" s="8"/>
      <c r="I211" s="15">
        <v>1</v>
      </c>
      <c r="J211" s="15">
        <v>1</v>
      </c>
      <c r="K211" s="12" t="str">
        <f>HYPERLINK("http://twitter.com/download/iphone","Twitter for iPhone")</f>
        <v>Twitter for iPhone</v>
      </c>
      <c r="L211" s="16">
        <v>175</v>
      </c>
      <c r="M211" s="16">
        <v>231</v>
      </c>
      <c r="N211" s="16">
        <v>0</v>
      </c>
      <c r="O211" s="17"/>
      <c r="P211" s="18">
        <v>40819.036562499998</v>
      </c>
      <c r="Q211" s="7" t="s">
        <v>200</v>
      </c>
      <c r="R211" s="7" t="s">
        <v>1883</v>
      </c>
      <c r="S211" s="15"/>
      <c r="T211" s="8"/>
      <c r="U211" s="19" t="str">
        <f>HYPERLINK("https://pbs.twimg.com/profile_images/809120205590986757/5hez2QOC.jpg","View")</f>
        <v>View</v>
      </c>
      <c r="V211" s="8"/>
      <c r="W211" s="8"/>
      <c r="X211" s="8"/>
      <c r="Y211" s="8"/>
      <c r="Z211" s="8"/>
    </row>
    <row r="212" spans="1:26" ht="12.75">
      <c r="A212" s="11">
        <v>43747.31049768519</v>
      </c>
      <c r="B212" s="12" t="str">
        <f>HYPERLINK("https://twitter.com/SakincaHaber","@SakincaHaber")</f>
        <v>@SakincaHaber</v>
      </c>
      <c r="C212" s="7" t="s">
        <v>1885</v>
      </c>
      <c r="D212" s="7" t="s">
        <v>1886</v>
      </c>
      <c r="E212" s="12" t="str">
        <f>HYPERLINK("https://twitter.com/SakincaHaber/status/1181939151639326721","1181939151639326721")</f>
        <v>1181939151639326721</v>
      </c>
      <c r="F212" s="14" t="s">
        <v>1888</v>
      </c>
      <c r="G212" s="7"/>
      <c r="H212" s="8"/>
      <c r="I212" s="15">
        <v>0</v>
      </c>
      <c r="J212" s="15">
        <v>0</v>
      </c>
      <c r="K212" s="12" t="str">
        <f>HYPERLINK("http://twitter.com","Twitter Web Client")</f>
        <v>Twitter Web Client</v>
      </c>
      <c r="L212" s="16">
        <v>527</v>
      </c>
      <c r="M212" s="16">
        <v>462</v>
      </c>
      <c r="N212" s="16">
        <v>1</v>
      </c>
      <c r="O212" s="17"/>
      <c r="P212" s="18">
        <v>43260.492129629631</v>
      </c>
      <c r="Q212" s="7" t="s">
        <v>313</v>
      </c>
      <c r="R212" s="7" t="s">
        <v>1889</v>
      </c>
      <c r="S212" s="14" t="s">
        <v>1890</v>
      </c>
      <c r="T212" s="8"/>
      <c r="U212" s="19" t="str">
        <f>HYPERLINK("https://pbs.twimg.com/profile_images/1106500181590265856/k5sce0GZ.png","View")</f>
        <v>View</v>
      </c>
      <c r="V212" s="8"/>
      <c r="W212" s="8"/>
      <c r="X212" s="8"/>
      <c r="Y212" s="8"/>
      <c r="Z212" s="8"/>
    </row>
    <row r="213" spans="1:26" ht="12.75">
      <c r="A213" s="11">
        <v>43747.31049768519</v>
      </c>
      <c r="B213" s="12" t="str">
        <f>HYPERLINK("https://twitter.com/YuksekUfuk","@YuksekUfuk")</f>
        <v>@YuksekUfuk</v>
      </c>
      <c r="C213" s="7" t="s">
        <v>1893</v>
      </c>
      <c r="D213" s="7" t="s">
        <v>1894</v>
      </c>
      <c r="E213" s="12" t="str">
        <f>HYPERLINK("https://twitter.com/YuksekUfuk/status/1181939149114347520","1181939149114347520")</f>
        <v>1181939149114347520</v>
      </c>
      <c r="F213" s="8"/>
      <c r="G213" s="14" t="s">
        <v>1895</v>
      </c>
      <c r="H213" s="8"/>
      <c r="I213" s="15">
        <v>0</v>
      </c>
      <c r="J213" s="15">
        <v>0</v>
      </c>
      <c r="K213" s="12" t="str">
        <f>HYPERLINK("http://twitter.com/download/android","Twitter for Android")</f>
        <v>Twitter for Android</v>
      </c>
      <c r="L213" s="16">
        <v>60</v>
      </c>
      <c r="M213" s="16">
        <v>303</v>
      </c>
      <c r="N213" s="16">
        <v>0</v>
      </c>
      <c r="O213" s="17"/>
      <c r="P213" s="18">
        <v>42817.530092592591</v>
      </c>
      <c r="Q213" s="7"/>
      <c r="R213" s="7"/>
      <c r="S213" s="7"/>
      <c r="T213" s="8"/>
      <c r="U213" s="19" t="str">
        <f>HYPERLINK("https://pbs.twimg.com/profile_images/845001748393742337/sdIwaEnl.jpg","View")</f>
        <v>View</v>
      </c>
      <c r="V213" s="8"/>
      <c r="W213" s="8"/>
      <c r="X213" s="8"/>
      <c r="Y213" s="8"/>
      <c r="Z213" s="8"/>
    </row>
    <row r="214" spans="1:26" ht="12.75">
      <c r="A214" s="11">
        <v>43747.310439814813</v>
      </c>
      <c r="B214" s="12" t="str">
        <f>HYPERLINK("https://twitter.com/Boramir_1912","@Boramir_1912")</f>
        <v>@Boramir_1912</v>
      </c>
      <c r="C214" s="7" t="s">
        <v>1899</v>
      </c>
      <c r="D214" s="7" t="s">
        <v>1900</v>
      </c>
      <c r="E214" s="12" t="str">
        <f>HYPERLINK("https://twitter.com/Boramir_1912/status/1181939129958973440","1181939129958973440")</f>
        <v>1181939129958973440</v>
      </c>
      <c r="F214" s="14" t="s">
        <v>1903</v>
      </c>
      <c r="G214" s="14" t="s">
        <v>1905</v>
      </c>
      <c r="H214" s="8"/>
      <c r="I214" s="15">
        <v>0</v>
      </c>
      <c r="J214" s="15">
        <v>0</v>
      </c>
      <c r="K214" s="12" t="str">
        <f>HYPERLINK("https://mobile.twitter.com","Twitter Web App")</f>
        <v>Twitter Web App</v>
      </c>
      <c r="L214" s="16">
        <v>174</v>
      </c>
      <c r="M214" s="16">
        <v>522</v>
      </c>
      <c r="N214" s="16">
        <v>0</v>
      </c>
      <c r="O214" s="17"/>
      <c r="P214" s="18">
        <v>43530.429131944446</v>
      </c>
      <c r="Q214" s="7"/>
      <c r="R214" s="7" t="s">
        <v>1909</v>
      </c>
      <c r="S214" s="7"/>
      <c r="T214" s="8"/>
      <c r="U214" s="19" t="str">
        <f>HYPERLINK("https://pbs.twimg.com/profile_images/1113495179753938944/WnGGCoRw.jpg","View")</f>
        <v>View</v>
      </c>
      <c r="V214" s="8"/>
      <c r="W214" s="8"/>
      <c r="X214" s="8"/>
      <c r="Y214" s="8"/>
      <c r="Z214" s="8"/>
    </row>
    <row r="215" spans="1:26" ht="12.75">
      <c r="A215" s="11">
        <v>43747.310416666667</v>
      </c>
      <c r="B215" s="12" t="str">
        <f>HYPERLINK("https://twitter.com/SerkannG7","@SerkannG7")</f>
        <v>@SerkannG7</v>
      </c>
      <c r="C215" s="7" t="s">
        <v>1910</v>
      </c>
      <c r="D215" s="7" t="s">
        <v>1911</v>
      </c>
      <c r="E215" s="12" t="str">
        <f>HYPERLINK("https://twitter.com/SerkannG7/status/1181939120018464768","1181939120018464768")</f>
        <v>1181939120018464768</v>
      </c>
      <c r="F215" s="8"/>
      <c r="G215" s="15"/>
      <c r="H215" s="8"/>
      <c r="I215" s="15">
        <v>0</v>
      </c>
      <c r="J215" s="15">
        <v>0</v>
      </c>
      <c r="K215" s="12" t="str">
        <f>HYPERLINK("http://twitter.com/download/android","Twitter for Android")</f>
        <v>Twitter for Android</v>
      </c>
      <c r="L215" s="16">
        <v>10</v>
      </c>
      <c r="M215" s="16">
        <v>164</v>
      </c>
      <c r="N215" s="16">
        <v>0</v>
      </c>
      <c r="O215" s="17"/>
      <c r="P215" s="18">
        <v>43599.345833333333</v>
      </c>
      <c r="Q215" s="7"/>
      <c r="R215" s="7"/>
      <c r="S215" s="15"/>
      <c r="T215" s="8"/>
      <c r="U215" s="19" t="str">
        <f>HYPERLINK("https://pbs.twimg.com/profile_images/1146581945121476609/ZLj-SpiW.jpg","View")</f>
        <v>View</v>
      </c>
      <c r="V215" s="8"/>
      <c r="W215" s="8"/>
      <c r="X215" s="8"/>
      <c r="Y215" s="8"/>
      <c r="Z215" s="8"/>
    </row>
    <row r="216" spans="1:26" ht="12.75">
      <c r="A216" s="11">
        <v>43747.310358796298</v>
      </c>
      <c r="B216" s="12" t="str">
        <f>HYPERLINK("https://twitter.com/s_gul_m23","@s_gul_m23")</f>
        <v>@s_gul_m23</v>
      </c>
      <c r="C216" s="7" t="s">
        <v>1918</v>
      </c>
      <c r="D216" s="7" t="s">
        <v>1919</v>
      </c>
      <c r="E216" s="12" t="str">
        <f>HYPERLINK("https://twitter.com/s_gul_m23/status/1181939101915893762","1181939101915893762")</f>
        <v>1181939101915893762</v>
      </c>
      <c r="F216" s="8"/>
      <c r="G216" s="14" t="s">
        <v>1920</v>
      </c>
      <c r="H216" s="8"/>
      <c r="I216" s="15">
        <v>1</v>
      </c>
      <c r="J216" s="15">
        <v>2</v>
      </c>
      <c r="K216" s="12" t="str">
        <f>HYPERLINK("http://twitter.com/download/iphone","Twitter for iPhone")</f>
        <v>Twitter for iPhone</v>
      </c>
      <c r="L216" s="16">
        <v>1557</v>
      </c>
      <c r="M216" s="16">
        <v>1319</v>
      </c>
      <c r="N216" s="16">
        <v>1</v>
      </c>
      <c r="O216" s="17"/>
      <c r="P216" s="18">
        <v>41269.16915509259</v>
      </c>
      <c r="Q216" s="7" t="s">
        <v>200</v>
      </c>
      <c r="R216" s="7" t="s">
        <v>1923</v>
      </c>
      <c r="S216" s="7"/>
      <c r="T216" s="8"/>
      <c r="U216" s="19" t="str">
        <f>HYPERLINK("https://pbs.twimg.com/profile_images/1156112820045524992/Zo1B6YRF.jpg","View")</f>
        <v>View</v>
      </c>
      <c r="V216" s="8"/>
      <c r="W216" s="8"/>
      <c r="X216" s="8"/>
      <c r="Y216" s="8"/>
      <c r="Z216" s="8"/>
    </row>
    <row r="217" spans="1:26" ht="12.75">
      <c r="A217" s="11">
        <v>43747.310335648144</v>
      </c>
      <c r="B217" s="12" t="str">
        <f>HYPERLINK("https://twitter.com/alpi1925","@alpi1925")</f>
        <v>@alpi1925</v>
      </c>
      <c r="C217" s="7" t="s">
        <v>1925</v>
      </c>
      <c r="D217" s="7" t="s">
        <v>1926</v>
      </c>
      <c r="E217" s="12" t="str">
        <f>HYPERLINK("https://twitter.com/alpi1925/status/1181939091522379783","1181939091522379783")</f>
        <v>1181939091522379783</v>
      </c>
      <c r="F217" s="8"/>
      <c r="G217" s="15"/>
      <c r="H217" s="8"/>
      <c r="I217" s="15">
        <v>0</v>
      </c>
      <c r="J217" s="15">
        <v>0</v>
      </c>
      <c r="K217" s="12" t="str">
        <f>HYPERLINK("http://twitter.com/download/android","Twitter for Android")</f>
        <v>Twitter for Android</v>
      </c>
      <c r="L217" s="16">
        <v>129</v>
      </c>
      <c r="M217" s="16">
        <v>396</v>
      </c>
      <c r="N217" s="16">
        <v>1</v>
      </c>
      <c r="O217" s="17"/>
      <c r="P217" s="18">
        <v>40045.188125000001</v>
      </c>
      <c r="Q217" s="7" t="s">
        <v>80</v>
      </c>
      <c r="R217" s="7" t="s">
        <v>1930</v>
      </c>
      <c r="S217" s="7"/>
      <c r="T217" s="8"/>
      <c r="U217" s="19" t="str">
        <f>HYPERLINK("https://pbs.twimg.com/profile_images/1010284819706675200/TOx40O5V.jpg","View")</f>
        <v>View</v>
      </c>
      <c r="V217" s="8"/>
      <c r="W217" s="8"/>
      <c r="X217" s="8"/>
      <c r="Y217" s="8"/>
      <c r="Z217" s="8"/>
    </row>
    <row r="218" spans="1:26" ht="12.75">
      <c r="A218" s="11">
        <v>43747.310335648144</v>
      </c>
      <c r="B218" s="12" t="str">
        <f>HYPERLINK("https://twitter.com/zekiipekcii","@zekiipekcii")</f>
        <v>@zekiipekcii</v>
      </c>
      <c r="C218" s="7" t="s">
        <v>1931</v>
      </c>
      <c r="D218" s="15" t="s">
        <v>1932</v>
      </c>
      <c r="E218" s="12" t="str">
        <f>HYPERLINK("https://twitter.com/zekiipekcii/status/1181939090645753856","1181939090645753856")</f>
        <v>1181939090645753856</v>
      </c>
      <c r="F218" s="8"/>
      <c r="G218" s="7"/>
      <c r="H218" s="8"/>
      <c r="I218" s="15">
        <v>0</v>
      </c>
      <c r="J218" s="15">
        <v>2</v>
      </c>
      <c r="K218" s="12" t="str">
        <f>HYPERLINK("http://twitter.com/download/iphone","Twitter for iPhone")</f>
        <v>Twitter for iPhone</v>
      </c>
      <c r="L218" s="16">
        <v>57</v>
      </c>
      <c r="M218" s="16">
        <v>62</v>
      </c>
      <c r="N218" s="16">
        <v>0</v>
      </c>
      <c r="O218" s="17"/>
      <c r="P218" s="18">
        <v>43571.596273148149</v>
      </c>
      <c r="Q218" s="7"/>
      <c r="R218" s="7" t="s">
        <v>1934</v>
      </c>
      <c r="S218" s="7"/>
      <c r="T218" s="8"/>
      <c r="U218" s="19" t="str">
        <f>HYPERLINK("https://pbs.twimg.com/profile_images/1137668196092264448/Ywzzc5-2.jpg","View")</f>
        <v>View</v>
      </c>
      <c r="V218" s="8"/>
      <c r="W218" s="8"/>
      <c r="X218" s="8"/>
      <c r="Y218" s="8"/>
      <c r="Z218" s="8"/>
    </row>
    <row r="219" spans="1:26" ht="12.75">
      <c r="A219" s="11">
        <v>43747.310312500005</v>
      </c>
      <c r="B219" s="12" t="str">
        <f>HYPERLINK("https://twitter.com/TruTawar","@TruTawar")</f>
        <v>@TruTawar</v>
      </c>
      <c r="C219" s="7" t="s">
        <v>1936</v>
      </c>
      <c r="D219" s="7" t="s">
        <v>1937</v>
      </c>
      <c r="E219" s="12" t="str">
        <f>HYPERLINK("https://twitter.com/TruTawar/status/1181939084824059904","1181939084824059904")</f>
        <v>1181939084824059904</v>
      </c>
      <c r="F219" s="8"/>
      <c r="G219" s="15"/>
      <c r="H219" s="8"/>
      <c r="I219" s="15">
        <v>5</v>
      </c>
      <c r="J219" s="15">
        <v>6</v>
      </c>
      <c r="K219" s="12" t="str">
        <f>HYPERLINK("https://mobile.twitter.com","Twitter Web App")</f>
        <v>Twitter Web App</v>
      </c>
      <c r="L219" s="16">
        <v>4891</v>
      </c>
      <c r="M219" s="16">
        <v>257</v>
      </c>
      <c r="N219" s="16">
        <v>75</v>
      </c>
      <c r="O219" s="17"/>
      <c r="P219" s="18">
        <v>41980.113993055551</v>
      </c>
      <c r="Q219" s="7" t="s">
        <v>1939</v>
      </c>
      <c r="R219" s="7" t="s">
        <v>1941</v>
      </c>
      <c r="S219" s="14" t="s">
        <v>1942</v>
      </c>
      <c r="T219" s="8"/>
      <c r="U219" s="19" t="str">
        <f>HYPERLINK("https://pbs.twimg.com/profile_images/1139873381082370048/yZW1D83r.png","View")</f>
        <v>View</v>
      </c>
      <c r="V219" s="8"/>
      <c r="W219" s="8"/>
      <c r="X219" s="8"/>
      <c r="Y219" s="8"/>
      <c r="Z219" s="8"/>
    </row>
    <row r="220" spans="1:26" ht="12.75">
      <c r="A220" s="11">
        <v>43747.310300925921</v>
      </c>
      <c r="B220" s="12" t="str">
        <f>HYPERLINK("https://twitter.com/gokalp23","@gokalp23")</f>
        <v>@gokalp23</v>
      </c>
      <c r="C220" s="7" t="s">
        <v>1947</v>
      </c>
      <c r="D220" s="7" t="s">
        <v>1948</v>
      </c>
      <c r="E220" s="12" t="str">
        <f>HYPERLINK("https://twitter.com/gokalp23/status/1181939078138417152","1181939078138417152")</f>
        <v>1181939078138417152</v>
      </c>
      <c r="F220" s="8"/>
      <c r="G220" s="15"/>
      <c r="H220" s="8"/>
      <c r="I220" s="15">
        <v>0</v>
      </c>
      <c r="J220" s="15">
        <v>1</v>
      </c>
      <c r="K220" s="12" t="str">
        <f>HYPERLINK("http://twitter.com/download/android","Twitter for Android")</f>
        <v>Twitter for Android</v>
      </c>
      <c r="L220" s="16">
        <v>238</v>
      </c>
      <c r="M220" s="16">
        <v>324</v>
      </c>
      <c r="N220" s="16">
        <v>2</v>
      </c>
      <c r="O220" s="17"/>
      <c r="P220" s="18">
        <v>40769.67564814815</v>
      </c>
      <c r="Q220" s="7" t="s">
        <v>576</v>
      </c>
      <c r="R220" s="7" t="s">
        <v>1949</v>
      </c>
      <c r="S220" s="14" t="s">
        <v>1950</v>
      </c>
      <c r="T220" s="8"/>
      <c r="U220" s="19" t="str">
        <f>HYPERLINK("https://pbs.twimg.com/profile_images/1113403281311662081/Q8LUacm5.png","View")</f>
        <v>View</v>
      </c>
      <c r="V220" s="8"/>
      <c r="W220" s="8"/>
      <c r="X220" s="8"/>
      <c r="Y220" s="8"/>
      <c r="Z220" s="8"/>
    </row>
    <row r="221" spans="1:26" ht="12.75">
      <c r="A221" s="11">
        <v>43747.310254629629</v>
      </c>
      <c r="B221" s="12" t="str">
        <f>HYPERLINK("https://twitter.com/TubaAvc60643060","@TubaAvc60643060")</f>
        <v>@TubaAvc60643060</v>
      </c>
      <c r="C221" s="7" t="s">
        <v>1952</v>
      </c>
      <c r="D221" s="7" t="s">
        <v>1953</v>
      </c>
      <c r="E221" s="12" t="str">
        <f>HYPERLINK("https://twitter.com/TubaAvc60643060/status/1181939062644625412","1181939062644625412")</f>
        <v>1181939062644625412</v>
      </c>
      <c r="F221" s="8"/>
      <c r="G221" s="7"/>
      <c r="H221" s="8"/>
      <c r="I221" s="15">
        <v>0</v>
      </c>
      <c r="J221" s="15">
        <v>0</v>
      </c>
      <c r="K221" s="12" t="str">
        <f>HYPERLINK("http://twitter.com/download/android","Twitter for Android")</f>
        <v>Twitter for Android</v>
      </c>
      <c r="L221" s="16">
        <v>33</v>
      </c>
      <c r="M221" s="16">
        <v>131</v>
      </c>
      <c r="N221" s="16">
        <v>0</v>
      </c>
      <c r="O221" s="17"/>
      <c r="P221" s="18">
        <v>43094.543576388889</v>
      </c>
      <c r="Q221" s="7"/>
      <c r="R221" s="7"/>
      <c r="S221" s="7"/>
      <c r="T221" s="8"/>
      <c r="U221" s="19" t="str">
        <f>HYPERLINK("https://pbs.twimg.com/profile_images/1174263605954535424/qCZugIb9.jpg","View")</f>
        <v>View</v>
      </c>
      <c r="V221" s="8"/>
      <c r="W221" s="8"/>
      <c r="X221" s="8"/>
      <c r="Y221" s="8"/>
      <c r="Z221" s="8"/>
    </row>
    <row r="222" spans="1:26" ht="12.75">
      <c r="A222" s="11">
        <v>43747.310185185182</v>
      </c>
      <c r="B222" s="12" t="str">
        <f>HYPERLINK("https://twitter.com/yusufserbes33","@yusufserbes33")</f>
        <v>@yusufserbes33</v>
      </c>
      <c r="C222" s="7" t="s">
        <v>1959</v>
      </c>
      <c r="D222" s="7" t="s">
        <v>1960</v>
      </c>
      <c r="E222" s="12" t="str">
        <f>HYPERLINK("https://twitter.com/yusufserbes33/status/1181939036795133952","1181939036795133952")</f>
        <v>1181939036795133952</v>
      </c>
      <c r="F222" s="8"/>
      <c r="G222" s="15"/>
      <c r="H222" s="8"/>
      <c r="I222" s="15">
        <v>0</v>
      </c>
      <c r="J222" s="15">
        <v>1</v>
      </c>
      <c r="K222" s="12" t="str">
        <f>HYPERLINK("http://twitter.com/download/android","Twitter for Android")</f>
        <v>Twitter for Android</v>
      </c>
      <c r="L222" s="16">
        <v>996</v>
      </c>
      <c r="M222" s="16">
        <v>682</v>
      </c>
      <c r="N222" s="16">
        <v>2</v>
      </c>
      <c r="O222" s="17"/>
      <c r="P222" s="18">
        <v>41719.879444444443</v>
      </c>
      <c r="Q222" s="7"/>
      <c r="R222" s="7" t="s">
        <v>1962</v>
      </c>
      <c r="S222" s="7"/>
      <c r="T222" s="8"/>
      <c r="U222" s="19" t="str">
        <f>HYPERLINK("https://pbs.twimg.com/profile_images/511762711986708480/Ypp7mzNK.jpeg","View")</f>
        <v>View</v>
      </c>
      <c r="V222" s="8"/>
      <c r="W222" s="8"/>
      <c r="X222" s="8"/>
      <c r="Y222" s="8"/>
      <c r="Z222" s="8"/>
    </row>
    <row r="223" spans="1:26" ht="12.75">
      <c r="A223" s="11">
        <v>43747.310150462959</v>
      </c>
      <c r="B223" s="12" t="str">
        <f>HYPERLINK("https://twitter.com/akl_sey","@akl_sey")</f>
        <v>@akl_sey</v>
      </c>
      <c r="C223" s="7" t="s">
        <v>1971</v>
      </c>
      <c r="D223" s="7" t="s">
        <v>1972</v>
      </c>
      <c r="E223" s="12" t="str">
        <f>HYPERLINK("https://twitter.com/akl_sey/status/1181939023574687744","1181939023574687744")</f>
        <v>1181939023574687744</v>
      </c>
      <c r="F223" s="8"/>
      <c r="G223" s="14" t="s">
        <v>1973</v>
      </c>
      <c r="H223" s="8"/>
      <c r="I223" s="15">
        <v>1</v>
      </c>
      <c r="J223" s="15">
        <v>0</v>
      </c>
      <c r="K223" s="12" t="str">
        <f>HYPERLINK("http://twitter.com/download/android","Twitter for Android")</f>
        <v>Twitter for Android</v>
      </c>
      <c r="L223" s="16">
        <v>0</v>
      </c>
      <c r="M223" s="16">
        <v>10</v>
      </c>
      <c r="N223" s="16">
        <v>0</v>
      </c>
      <c r="O223" s="17"/>
      <c r="P223" s="18">
        <v>43746.005960648152</v>
      </c>
      <c r="Q223" s="7"/>
      <c r="R223" s="7" t="s">
        <v>1976</v>
      </c>
      <c r="S223" s="15"/>
      <c r="T223" s="8"/>
      <c r="U223" s="19" t="str">
        <f>HYPERLINK("https://pbs.twimg.com/profile_images/1181466576912076800/Nn5xbGvN.jpg","View")</f>
        <v>View</v>
      </c>
      <c r="V223" s="8"/>
      <c r="W223" s="8"/>
      <c r="X223" s="8"/>
      <c r="Y223" s="8"/>
      <c r="Z223" s="8"/>
    </row>
    <row r="224" spans="1:26" ht="12.75">
      <c r="A224" s="11">
        <v>43747.310057870374</v>
      </c>
      <c r="B224" s="12" t="str">
        <f>HYPERLINK("https://twitter.com/fadmctnkya","@fadmctnkya")</f>
        <v>@fadmctnkya</v>
      </c>
      <c r="C224" s="7" t="s">
        <v>1981</v>
      </c>
      <c r="D224" s="7" t="s">
        <v>1982</v>
      </c>
      <c r="E224" s="12" t="str">
        <f>HYPERLINK("https://twitter.com/fadmctnkya/status/1181938993052766210","1181938993052766210")</f>
        <v>1181938993052766210</v>
      </c>
      <c r="F224" s="15"/>
      <c r="G224" s="15"/>
      <c r="H224" s="8"/>
      <c r="I224" s="15">
        <v>0</v>
      </c>
      <c r="J224" s="15">
        <v>0</v>
      </c>
      <c r="K224" s="12" t="str">
        <f>HYPERLINK("http://twitter.com/download/iphone","Twitter for iPhone")</f>
        <v>Twitter for iPhone</v>
      </c>
      <c r="L224" s="16">
        <v>282</v>
      </c>
      <c r="M224" s="16">
        <v>777</v>
      </c>
      <c r="N224" s="16">
        <v>3</v>
      </c>
      <c r="O224" s="17"/>
      <c r="P224" s="18">
        <v>41782.493078703701</v>
      </c>
      <c r="Q224" s="7"/>
      <c r="R224" s="7" t="s">
        <v>1983</v>
      </c>
      <c r="S224" s="14" t="s">
        <v>1984</v>
      </c>
      <c r="T224" s="8"/>
      <c r="U224" s="19" t="str">
        <f>HYPERLINK("https://pbs.twimg.com/profile_images/1154406429660459014/iOXmGH6K.jpg","View")</f>
        <v>View</v>
      </c>
      <c r="V224" s="8"/>
      <c r="W224" s="8"/>
      <c r="X224" s="8"/>
      <c r="Y224" s="8"/>
      <c r="Z224" s="8"/>
    </row>
    <row r="225" spans="1:26" ht="12.75">
      <c r="A225" s="11">
        <v>43747.310057870374</v>
      </c>
      <c r="B225" s="12" t="str">
        <f>HYPERLINK("https://twitter.com/Adgzel464646","@Adgzel464646")</f>
        <v>@Adgzel464646</v>
      </c>
      <c r="C225" s="7" t="s">
        <v>1988</v>
      </c>
      <c r="D225" s="7" t="s">
        <v>1989</v>
      </c>
      <c r="E225" s="12" t="str">
        <f>HYPERLINK("https://twitter.com/Adgzel464646/status/1181938993002373121","1181938993002373121")</f>
        <v>1181938993002373121</v>
      </c>
      <c r="F225" s="8"/>
      <c r="G225" s="14" t="s">
        <v>1990</v>
      </c>
      <c r="H225" s="8"/>
      <c r="I225" s="15">
        <v>0</v>
      </c>
      <c r="J225" s="15">
        <v>0</v>
      </c>
      <c r="K225" s="12" t="str">
        <f>HYPERLINK("http://twitter.com/download/android","Twitter for Android")</f>
        <v>Twitter for Android</v>
      </c>
      <c r="L225" s="16">
        <v>493</v>
      </c>
      <c r="M225" s="16">
        <v>433</v>
      </c>
      <c r="N225" s="16">
        <v>2</v>
      </c>
      <c r="O225" s="17"/>
      <c r="P225" s="18">
        <v>42263.478460648148</v>
      </c>
      <c r="Q225" s="7" t="s">
        <v>898</v>
      </c>
      <c r="R225" s="7" t="s">
        <v>1992</v>
      </c>
      <c r="S225" s="7"/>
      <c r="T225" s="8"/>
      <c r="U225" s="19" t="str">
        <f>HYPERLINK("https://pbs.twimg.com/profile_images/1114288253753069569/e19zx44G.jpg","View")</f>
        <v>View</v>
      </c>
      <c r="V225" s="8"/>
      <c r="W225" s="8"/>
      <c r="X225" s="8"/>
      <c r="Y225" s="8"/>
      <c r="Z225" s="8"/>
    </row>
    <row r="226" spans="1:26" ht="12.75">
      <c r="A226" s="11">
        <v>43747.310057870374</v>
      </c>
      <c r="B226" s="12" t="str">
        <f>HYPERLINK("https://twitter.com/ugurkantar55","@ugurkantar55")</f>
        <v>@ugurkantar55</v>
      </c>
      <c r="C226" s="7" t="s">
        <v>1993</v>
      </c>
      <c r="D226" s="7" t="s">
        <v>1994</v>
      </c>
      <c r="E226" s="12" t="str">
        <f>HYPERLINK("https://twitter.com/ugurkantar55/status/1181938989743427584","1181938989743427584")</f>
        <v>1181938989743427584</v>
      </c>
      <c r="F226" s="8"/>
      <c r="G226" s="15"/>
      <c r="H226" s="8"/>
      <c r="I226" s="15">
        <v>0</v>
      </c>
      <c r="J226" s="15">
        <v>0</v>
      </c>
      <c r="K226" s="12" t="str">
        <f>HYPERLINK("http://twitter.com/download/android","Twitter for Android")</f>
        <v>Twitter for Android</v>
      </c>
      <c r="L226" s="16">
        <v>80</v>
      </c>
      <c r="M226" s="16">
        <v>293</v>
      </c>
      <c r="N226" s="16">
        <v>0</v>
      </c>
      <c r="O226" s="17"/>
      <c r="P226" s="18">
        <v>40664.616446759261</v>
      </c>
      <c r="Q226" s="7" t="s">
        <v>1995</v>
      </c>
      <c r="R226" s="7" t="s">
        <v>1996</v>
      </c>
      <c r="S226" s="7"/>
      <c r="T226" s="8"/>
      <c r="U226" s="19" t="str">
        <f>HYPERLINK("https://pbs.twimg.com/profile_images/629538602238758912/ZaRy-Udb.jpg","View")</f>
        <v>View</v>
      </c>
      <c r="V226" s="8"/>
      <c r="W226" s="8"/>
      <c r="X226" s="8"/>
      <c r="Y226" s="8"/>
      <c r="Z226" s="8"/>
    </row>
    <row r="227" spans="1:26" ht="12.75">
      <c r="A227" s="11">
        <v>43747.310046296298</v>
      </c>
      <c r="B227" s="12" t="str">
        <f>HYPERLINK("https://twitter.com/fixtanbul","@fixtanbul")</f>
        <v>@fixtanbul</v>
      </c>
      <c r="C227" s="7" t="s">
        <v>2000</v>
      </c>
      <c r="D227" s="7" t="s">
        <v>2001</v>
      </c>
      <c r="E227" s="12" t="str">
        <f>HYPERLINK("https://twitter.com/fixtanbul/status/1181938985553281026","1181938985553281026")</f>
        <v>1181938985553281026</v>
      </c>
      <c r="F227" s="8"/>
      <c r="G227" s="15"/>
      <c r="H227" s="8"/>
      <c r="I227" s="15">
        <v>0</v>
      </c>
      <c r="J227" s="15">
        <v>0</v>
      </c>
      <c r="K227" s="12" t="str">
        <f>HYPERLINK("http://twitter.com/download/android","Twitter for Android")</f>
        <v>Twitter for Android</v>
      </c>
      <c r="L227" s="16">
        <v>178</v>
      </c>
      <c r="M227" s="16">
        <v>382</v>
      </c>
      <c r="N227" s="16">
        <v>0</v>
      </c>
      <c r="O227" s="17"/>
      <c r="P227" s="18">
        <v>43667.87605324074</v>
      </c>
      <c r="Q227" s="7"/>
      <c r="R227" s="7" t="s">
        <v>860</v>
      </c>
      <c r="S227" s="7"/>
      <c r="T227" s="8"/>
      <c r="U227" s="19" t="str">
        <f>HYPERLINK("https://pbs.twimg.com/profile_images/1169660156814266375/AQsQojVV.jpg","View")</f>
        <v>View</v>
      </c>
      <c r="V227" s="8"/>
      <c r="W227" s="8"/>
      <c r="X227" s="8"/>
      <c r="Y227" s="8"/>
      <c r="Z227" s="8"/>
    </row>
    <row r="228" spans="1:26" ht="12.75">
      <c r="A228" s="11">
        <v>43747.310034722221</v>
      </c>
      <c r="B228" s="12" t="str">
        <f>HYPERLINK("https://twitter.com/ErtugrulTemel_","@ErtugrulTemel_")</f>
        <v>@ErtugrulTemel_</v>
      </c>
      <c r="C228" s="7" t="s">
        <v>2006</v>
      </c>
      <c r="D228" s="7" t="s">
        <v>2007</v>
      </c>
      <c r="E228" s="12" t="str">
        <f>HYPERLINK("https://twitter.com/ErtugrulTemel_/status/1181938982520807425","1181938982520807425")</f>
        <v>1181938982520807425</v>
      </c>
      <c r="F228" s="8"/>
      <c r="G228" s="14" t="s">
        <v>2009</v>
      </c>
      <c r="H228" s="8"/>
      <c r="I228" s="15">
        <v>0</v>
      </c>
      <c r="J228" s="15">
        <v>2</v>
      </c>
      <c r="K228" s="12" t="str">
        <f>HYPERLINK("http://twitter.com/download/android","Twitter for Android")</f>
        <v>Twitter for Android</v>
      </c>
      <c r="L228" s="16">
        <v>217</v>
      </c>
      <c r="M228" s="16">
        <v>531</v>
      </c>
      <c r="N228" s="16">
        <v>1</v>
      </c>
      <c r="O228" s="17"/>
      <c r="P228" s="18">
        <v>42171.549583333333</v>
      </c>
      <c r="Q228" s="7" t="s">
        <v>2012</v>
      </c>
      <c r="R228" s="7" t="s">
        <v>2013</v>
      </c>
      <c r="S228" s="14" t="s">
        <v>2014</v>
      </c>
      <c r="T228" s="8"/>
      <c r="U228" s="19" t="str">
        <f>HYPERLINK("https://pbs.twimg.com/profile_images/1181252255422599168/4z49NptQ.jpg","View")</f>
        <v>View</v>
      </c>
      <c r="V228" s="8"/>
      <c r="W228" s="8"/>
      <c r="X228" s="8"/>
      <c r="Y228" s="8"/>
      <c r="Z228" s="8"/>
    </row>
    <row r="229" spans="1:26" ht="12.75">
      <c r="A229" s="11">
        <v>43747.31</v>
      </c>
      <c r="B229" s="12" t="str">
        <f>HYPERLINK("https://twitter.com/misalizortik","@misalizortik")</f>
        <v>@misalizortik</v>
      </c>
      <c r="C229" s="7" t="s">
        <v>2017</v>
      </c>
      <c r="D229" s="7" t="s">
        <v>2019</v>
      </c>
      <c r="E229" s="12" t="str">
        <f>HYPERLINK("https://twitter.com/misalizortik/status/1181938972123176961","1181938972123176961")</f>
        <v>1181938972123176961</v>
      </c>
      <c r="F229" s="8"/>
      <c r="G229" s="7"/>
      <c r="H229" s="8"/>
      <c r="I229" s="15">
        <v>0</v>
      </c>
      <c r="J229" s="15">
        <v>0</v>
      </c>
      <c r="K229" s="12" t="str">
        <f>HYPERLINK("http://twitter.com/download/iphone","Twitter for iPhone")</f>
        <v>Twitter for iPhone</v>
      </c>
      <c r="L229" s="16">
        <v>52</v>
      </c>
      <c r="M229" s="16">
        <v>80</v>
      </c>
      <c r="N229" s="16">
        <v>1</v>
      </c>
      <c r="O229" s="17"/>
      <c r="P229" s="18">
        <v>43597.640208333338</v>
      </c>
      <c r="Q229" s="7"/>
      <c r="R229" s="7" t="s">
        <v>2020</v>
      </c>
      <c r="S229" s="7"/>
      <c r="T229" s="8"/>
      <c r="U229" s="19" t="str">
        <f>HYPERLINK("https://pbs.twimg.com/profile_images/1172588348457836546/8zertLib.jpg","View")</f>
        <v>View</v>
      </c>
      <c r="V229" s="8"/>
      <c r="W229" s="8"/>
      <c r="X229" s="8"/>
      <c r="Y229" s="8"/>
      <c r="Z229" s="8"/>
    </row>
    <row r="230" spans="1:26" ht="12.75">
      <c r="A230" s="11">
        <v>43747.31</v>
      </c>
      <c r="B230" s="12" t="str">
        <f>HYPERLINK("https://twitter.com/alitugrulkaya","@alitugrulkaya")</f>
        <v>@alitugrulkaya</v>
      </c>
      <c r="C230" s="7" t="s">
        <v>2022</v>
      </c>
      <c r="D230" s="7" t="s">
        <v>2023</v>
      </c>
      <c r="E230" s="12" t="str">
        <f>HYPERLINK("https://twitter.com/alitugrulkaya/status/1181938971997347841","1181938971997347841")</f>
        <v>1181938971997347841</v>
      </c>
      <c r="F230" s="8"/>
      <c r="G230" s="14" t="s">
        <v>2025</v>
      </c>
      <c r="H230" s="8"/>
      <c r="I230" s="15">
        <v>0</v>
      </c>
      <c r="J230" s="15">
        <v>1</v>
      </c>
      <c r="K230" s="12" t="str">
        <f>HYPERLINK("http://twitter.com/download/iphone","Twitter for iPhone")</f>
        <v>Twitter for iPhone</v>
      </c>
      <c r="L230" s="16">
        <v>359</v>
      </c>
      <c r="M230" s="16">
        <v>287</v>
      </c>
      <c r="N230" s="16">
        <v>0</v>
      </c>
      <c r="O230" s="17"/>
      <c r="P230" s="18">
        <v>40777.060196759259</v>
      </c>
      <c r="Q230" s="7" t="s">
        <v>2026</v>
      </c>
      <c r="R230" s="7" t="s">
        <v>2027</v>
      </c>
      <c r="S230" s="7"/>
      <c r="T230" s="8"/>
      <c r="U230" s="19" t="str">
        <f>HYPERLINK("https://pbs.twimg.com/profile_images/1018248639607660545/8uywA93x.jpg","View")</f>
        <v>View</v>
      </c>
      <c r="V230" s="8"/>
      <c r="W230" s="8"/>
      <c r="X230" s="8"/>
      <c r="Y230" s="8"/>
      <c r="Z230" s="8"/>
    </row>
    <row r="231" spans="1:26" ht="12.75">
      <c r="A231" s="11">
        <v>43747.31</v>
      </c>
      <c r="B231" s="12" t="str">
        <f>HYPERLINK("https://twitter.com/TCM1923","@TCM1923")</f>
        <v>@TCM1923</v>
      </c>
      <c r="C231" s="7" t="s">
        <v>2031</v>
      </c>
      <c r="D231" s="7" t="s">
        <v>2032</v>
      </c>
      <c r="E231" s="12" t="str">
        <f>HYPERLINK("https://twitter.com/TCM1923/status/1181938969774305287","1181938969774305287")</f>
        <v>1181938969774305287</v>
      </c>
      <c r="F231" s="8"/>
      <c r="G231" s="14" t="s">
        <v>2033</v>
      </c>
      <c r="H231" s="8"/>
      <c r="I231" s="15">
        <v>0</v>
      </c>
      <c r="J231" s="15">
        <v>0</v>
      </c>
      <c r="K231" s="12" t="str">
        <f>HYPERLINK("http://twitter.com/download/android","Twitter for Android")</f>
        <v>Twitter for Android</v>
      </c>
      <c r="L231" s="16">
        <v>803</v>
      </c>
      <c r="M231" s="16">
        <v>840</v>
      </c>
      <c r="N231" s="16">
        <v>0</v>
      </c>
      <c r="O231" s="17"/>
      <c r="P231" s="18">
        <v>42714.470173611116</v>
      </c>
      <c r="Q231" s="7" t="s">
        <v>2036</v>
      </c>
      <c r="R231" s="7" t="s">
        <v>2037</v>
      </c>
      <c r="S231" s="7"/>
      <c r="T231" s="8"/>
      <c r="U231" s="19" t="str">
        <f>HYPERLINK("https://pbs.twimg.com/profile_images/1180626706077507586/j7HszFTq.jpg","View")</f>
        <v>View</v>
      </c>
      <c r="V231" s="8"/>
      <c r="W231" s="8"/>
      <c r="X231" s="8"/>
      <c r="Y231" s="8"/>
      <c r="Z231" s="8"/>
    </row>
    <row r="232" spans="1:26" ht="12.75">
      <c r="A232" s="11">
        <v>43747.31</v>
      </c>
      <c r="B232" s="12" t="str">
        <f>HYPERLINK("https://twitter.com/i788hl","@i788hl")</f>
        <v>@i788hl</v>
      </c>
      <c r="C232" s="7" t="s">
        <v>2039</v>
      </c>
      <c r="D232" s="7" t="s">
        <v>2041</v>
      </c>
      <c r="E232" s="12" t="str">
        <f>HYPERLINK("https://twitter.com/i788hl/status/1181938968272801793","1181938968272801793")</f>
        <v>1181938968272801793</v>
      </c>
      <c r="F232" s="8"/>
      <c r="G232" s="14" t="s">
        <v>2043</v>
      </c>
      <c r="H232" s="8"/>
      <c r="I232" s="15">
        <v>0</v>
      </c>
      <c r="J232" s="15">
        <v>0</v>
      </c>
      <c r="K232" s="12" t="str">
        <f>HYPERLINK("http://twitter.com/download/iphone","Twitter for iPhone")</f>
        <v>Twitter for iPhone</v>
      </c>
      <c r="L232" s="16">
        <v>1</v>
      </c>
      <c r="M232" s="16">
        <v>2</v>
      </c>
      <c r="N232" s="16">
        <v>0</v>
      </c>
      <c r="O232" s="17"/>
      <c r="P232" s="18">
        <v>43747.241666666669</v>
      </c>
      <c r="Q232" s="7" t="s">
        <v>2044</v>
      </c>
      <c r="R232" s="7"/>
      <c r="S232" s="7"/>
      <c r="T232" s="8"/>
      <c r="U232" s="19" t="str">
        <f>HYPERLINK("https://pbs.twimg.com/profile_images/1181929786446372865/4tHBL3fq.jpg","View")</f>
        <v>View</v>
      </c>
      <c r="V232" s="8"/>
      <c r="W232" s="8"/>
      <c r="X232" s="8"/>
      <c r="Y232" s="8"/>
      <c r="Z232" s="8"/>
    </row>
    <row r="233" spans="1:26" ht="12.75">
      <c r="A233" s="11">
        <v>43747.309988425928</v>
      </c>
      <c r="B233" s="12" t="str">
        <f>HYPERLINK("https://twitter.com/AydogduBey1","@AydogduBey1")</f>
        <v>@AydogduBey1</v>
      </c>
      <c r="C233" s="7" t="s">
        <v>2048</v>
      </c>
      <c r="D233" s="7" t="s">
        <v>2049</v>
      </c>
      <c r="E233" s="12" t="str">
        <f>HYPERLINK("https://twitter.com/AydogduBey1/status/1181938967337426944","1181938967337426944")</f>
        <v>1181938967337426944</v>
      </c>
      <c r="F233" s="8"/>
      <c r="G233" s="15"/>
      <c r="H233" s="8"/>
      <c r="I233" s="15">
        <v>0</v>
      </c>
      <c r="J233" s="15">
        <v>0</v>
      </c>
      <c r="K233" s="12" t="str">
        <f>HYPERLINK("https://mobile.twitter.com","Twitter Web App")</f>
        <v>Twitter Web App</v>
      </c>
      <c r="L233" s="16">
        <v>743</v>
      </c>
      <c r="M233" s="16">
        <v>724</v>
      </c>
      <c r="N233" s="16">
        <v>0</v>
      </c>
      <c r="O233" s="17"/>
      <c r="P233" s="18">
        <v>41980.390497685185</v>
      </c>
      <c r="Q233" s="7" t="s">
        <v>2050</v>
      </c>
      <c r="R233" s="7" t="s">
        <v>2052</v>
      </c>
      <c r="S233" s="7"/>
      <c r="T233" s="8"/>
      <c r="U233" s="19" t="str">
        <f>HYPERLINK("https://pbs.twimg.com/profile_images/1129377353266868226/032eT6c_.jpg","View")</f>
        <v>View</v>
      </c>
      <c r="V233" s="8"/>
      <c r="W233" s="8"/>
      <c r="X233" s="8"/>
      <c r="Y233" s="8"/>
      <c r="Z233" s="8"/>
    </row>
    <row r="234" spans="1:26" ht="12.75">
      <c r="A234" s="11">
        <v>43747.309988425928</v>
      </c>
      <c r="B234" s="12" t="str">
        <f>HYPERLINK("https://twitter.com/Kojonup","@Kojonup")</f>
        <v>@Kojonup</v>
      </c>
      <c r="C234" s="7" t="s">
        <v>2055</v>
      </c>
      <c r="D234" s="7" t="s">
        <v>2056</v>
      </c>
      <c r="E234" s="12" t="str">
        <f>HYPERLINK("https://twitter.com/Kojonup/status/1181938965412102144","1181938965412102144")</f>
        <v>1181938965412102144</v>
      </c>
      <c r="F234" s="8"/>
      <c r="G234" s="15"/>
      <c r="H234" s="8"/>
      <c r="I234" s="15">
        <v>0</v>
      </c>
      <c r="J234" s="15">
        <v>0</v>
      </c>
      <c r="K234" s="12" t="str">
        <f>HYPERLINK("http://twitter.com/download/iphone","Twitter for iPhone")</f>
        <v>Twitter for iPhone</v>
      </c>
      <c r="L234" s="16">
        <v>179</v>
      </c>
      <c r="M234" s="16">
        <v>923</v>
      </c>
      <c r="N234" s="16">
        <v>7</v>
      </c>
      <c r="O234" s="17"/>
      <c r="P234" s="18">
        <v>40025.059050925927</v>
      </c>
      <c r="Q234" s="7" t="s">
        <v>1128</v>
      </c>
      <c r="R234" s="7"/>
      <c r="S234" s="15"/>
      <c r="T234" s="8"/>
      <c r="U234" s="19" t="str">
        <f>HYPERLINK("https://pbs.twimg.com/profile_images/1078570425037148160/21T46TKP.jpg","View")</f>
        <v>View</v>
      </c>
      <c r="V234" s="8"/>
      <c r="W234" s="8"/>
      <c r="X234" s="8"/>
      <c r="Y234" s="8"/>
      <c r="Z234" s="8"/>
    </row>
    <row r="235" spans="1:26" ht="12.75">
      <c r="A235" s="11">
        <v>43747.309965277775</v>
      </c>
      <c r="B235" s="12" t="str">
        <f>HYPERLINK("https://twitter.com/nizamicedidhabr","@nizamicedidhabr")</f>
        <v>@nizamicedidhabr</v>
      </c>
      <c r="C235" s="7" t="s">
        <v>2060</v>
      </c>
      <c r="D235" s="7" t="s">
        <v>2061</v>
      </c>
      <c r="E235" s="12" t="str">
        <f>HYPERLINK("https://twitter.com/nizamicedidhabr/status/1181938958864924673","1181938958864924673")</f>
        <v>1181938958864924673</v>
      </c>
      <c r="F235" s="8"/>
      <c r="G235" s="15"/>
      <c r="H235" s="8"/>
      <c r="I235" s="15">
        <v>0</v>
      </c>
      <c r="J235" s="15">
        <v>0</v>
      </c>
      <c r="K235" s="12" t="str">
        <f>HYPERLINK("http://twitter.com/download/iphone","Twitter for iPhone")</f>
        <v>Twitter for iPhone</v>
      </c>
      <c r="L235" s="16">
        <v>1184</v>
      </c>
      <c r="M235" s="16">
        <v>3</v>
      </c>
      <c r="N235" s="16">
        <v>5</v>
      </c>
      <c r="O235" s="17"/>
      <c r="P235" s="18">
        <v>42765.281134259261</v>
      </c>
      <c r="Q235" s="7" t="s">
        <v>2062</v>
      </c>
      <c r="R235" s="7" t="s">
        <v>2063</v>
      </c>
      <c r="S235" s="14" t="s">
        <v>2064</v>
      </c>
      <c r="T235" s="8"/>
      <c r="U235" s="19" t="str">
        <f>HYPERLINK("https://pbs.twimg.com/profile_images/1172854293386412033/1S5RDjZ4.jpg","View")</f>
        <v>View</v>
      </c>
      <c r="V235" s="8"/>
      <c r="W235" s="8"/>
      <c r="X235" s="8"/>
      <c r="Y235" s="8"/>
      <c r="Z235" s="8"/>
    </row>
    <row r="236" spans="1:26" ht="12.75">
      <c r="A236" s="11">
        <v>43747.309930555552</v>
      </c>
      <c r="B236" s="12" t="str">
        <f>HYPERLINK("https://twitter.com/asapsefa","@asapsefa")</f>
        <v>@asapsefa</v>
      </c>
      <c r="C236" s="7" t="s">
        <v>2072</v>
      </c>
      <c r="D236" s="7" t="s">
        <v>2073</v>
      </c>
      <c r="E236" s="12" t="str">
        <f>HYPERLINK("https://twitter.com/asapsefa/status/1181938945715773445","1181938945715773445")</f>
        <v>1181938945715773445</v>
      </c>
      <c r="F236" s="8"/>
      <c r="G236" s="14" t="s">
        <v>2075</v>
      </c>
      <c r="H236" s="8"/>
      <c r="I236" s="15">
        <v>0</v>
      </c>
      <c r="J236" s="15">
        <v>0</v>
      </c>
      <c r="K236" s="12" t="str">
        <f>HYPERLINK("http://twitter.com/download/android","Twitter for Android")</f>
        <v>Twitter for Android</v>
      </c>
      <c r="L236" s="16">
        <v>1</v>
      </c>
      <c r="M236" s="16">
        <v>29</v>
      </c>
      <c r="N236" s="16">
        <v>0</v>
      </c>
      <c r="O236" s="17"/>
      <c r="P236" s="18">
        <v>42841.485532407409</v>
      </c>
      <c r="Q236" s="7" t="s">
        <v>313</v>
      </c>
      <c r="R236" s="7" t="s">
        <v>2076</v>
      </c>
      <c r="S236" s="15"/>
      <c r="T236" s="8"/>
      <c r="U236" s="19" t="str">
        <f>HYPERLINK("https://pbs.twimg.com/profile_images/1179136672300224517/-HYg6Eeg.jpg","View")</f>
        <v>View</v>
      </c>
      <c r="V236" s="8"/>
      <c r="W236" s="8"/>
      <c r="X236" s="8"/>
      <c r="Y236" s="8"/>
      <c r="Z236" s="8"/>
    </row>
    <row r="237" spans="1:26" ht="12.75">
      <c r="A237" s="11">
        <v>43747.309918981482</v>
      </c>
      <c r="B237" s="12" t="str">
        <f>HYPERLINK("https://twitter.com/kayseriradar1","@kayseriradar1")</f>
        <v>@kayseriradar1</v>
      </c>
      <c r="C237" s="7" t="s">
        <v>2080</v>
      </c>
      <c r="D237" s="7" t="s">
        <v>2081</v>
      </c>
      <c r="E237" s="12" t="str">
        <f>HYPERLINK("https://twitter.com/kayseriradar1/status/1181938939244040192","1181938939244040192")</f>
        <v>1181938939244040192</v>
      </c>
      <c r="F237" s="14" t="s">
        <v>2082</v>
      </c>
      <c r="G237" s="7"/>
      <c r="H237" s="8"/>
      <c r="I237" s="15">
        <v>0</v>
      </c>
      <c r="J237" s="15">
        <v>0</v>
      </c>
      <c r="K237" s="12" t="str">
        <f>HYPERLINK("http://instagram.com","Instagram")</f>
        <v>Instagram</v>
      </c>
      <c r="L237" s="16">
        <v>112</v>
      </c>
      <c r="M237" s="16">
        <v>5</v>
      </c>
      <c r="N237" s="16">
        <v>0</v>
      </c>
      <c r="O237" s="17"/>
      <c r="P237" s="18">
        <v>43397.465960648144</v>
      </c>
      <c r="Q237" s="7" t="s">
        <v>1639</v>
      </c>
      <c r="R237" s="7" t="s">
        <v>2085</v>
      </c>
      <c r="S237" s="7"/>
      <c r="T237" s="8"/>
      <c r="U237" s="19" t="str">
        <f>HYPERLINK("https://pbs.twimg.com/profile_images/1057509772533088256/5kPDHrpv.jpg","View")</f>
        <v>View</v>
      </c>
      <c r="V237" s="8"/>
      <c r="W237" s="8"/>
      <c r="X237" s="8"/>
      <c r="Y237" s="8"/>
      <c r="Z237" s="8"/>
    </row>
    <row r="238" spans="1:26" ht="12.75">
      <c r="A238" s="11">
        <v>43747.309907407413</v>
      </c>
      <c r="B238" s="12" t="str">
        <f>HYPERLINK("https://twitter.com/ahmetumuteltas","@ahmetumuteltas")</f>
        <v>@ahmetumuteltas</v>
      </c>
      <c r="C238" s="7" t="s">
        <v>2086</v>
      </c>
      <c r="D238" s="7" t="s">
        <v>2087</v>
      </c>
      <c r="E238" s="12" t="str">
        <f>HYPERLINK("https://twitter.com/ahmetumuteltas/status/1181938937612382211","1181938937612382211")</f>
        <v>1181938937612382211</v>
      </c>
      <c r="F238" s="8"/>
      <c r="G238" s="7"/>
      <c r="H238" s="8"/>
      <c r="I238" s="15">
        <v>0</v>
      </c>
      <c r="J238" s="15">
        <v>0</v>
      </c>
      <c r="K238" s="12" t="str">
        <f>HYPERLINK("http://twitter.com/download/android","Twitter for Android")</f>
        <v>Twitter for Android</v>
      </c>
      <c r="L238" s="16">
        <v>18</v>
      </c>
      <c r="M238" s="16">
        <v>45</v>
      </c>
      <c r="N238" s="16">
        <v>0</v>
      </c>
      <c r="O238" s="17"/>
      <c r="P238" s="18">
        <v>43019.411539351851</v>
      </c>
      <c r="Q238" s="7" t="s">
        <v>1567</v>
      </c>
      <c r="R238" s="7" t="s">
        <v>2089</v>
      </c>
      <c r="S238" s="7"/>
      <c r="T238" s="8"/>
      <c r="U238" s="19" t="str">
        <f>HYPERLINK("https://pbs.twimg.com/profile_images/918164965307113472/VZBSe5KC.jpg","View")</f>
        <v>View</v>
      </c>
      <c r="V238" s="8"/>
      <c r="W238" s="8"/>
      <c r="X238" s="8"/>
      <c r="Y238" s="8"/>
      <c r="Z238" s="8"/>
    </row>
    <row r="239" spans="1:26" ht="12.75">
      <c r="A239" s="11">
        <v>43747.309861111113</v>
      </c>
      <c r="B239" s="12" t="str">
        <f>HYPERLINK("https://twitter.com/turgaycebir61","@turgaycebir61")</f>
        <v>@turgaycebir61</v>
      </c>
      <c r="C239" s="7" t="s">
        <v>2093</v>
      </c>
      <c r="D239" s="7" t="s">
        <v>2094</v>
      </c>
      <c r="E239" s="12" t="str">
        <f>HYPERLINK("https://twitter.com/turgaycebir61/status/1181938920185053186","1181938920185053186")</f>
        <v>1181938920185053186</v>
      </c>
      <c r="F239" s="8"/>
      <c r="G239" s="14" t="s">
        <v>2095</v>
      </c>
      <c r="H239" s="8"/>
      <c r="I239" s="15">
        <v>0</v>
      </c>
      <c r="J239" s="15">
        <v>0</v>
      </c>
      <c r="K239" s="12" t="str">
        <f>HYPERLINK("http://twitter.com/download/android","Twitter for Android")</f>
        <v>Twitter for Android</v>
      </c>
      <c r="L239" s="16">
        <v>97</v>
      </c>
      <c r="M239" s="16">
        <v>94</v>
      </c>
      <c r="N239" s="16">
        <v>0</v>
      </c>
      <c r="O239" s="17"/>
      <c r="P239" s="18">
        <v>41096.484502314815</v>
      </c>
      <c r="Q239" s="7" t="s">
        <v>2099</v>
      </c>
      <c r="R239" s="7"/>
      <c r="S239" s="7"/>
      <c r="T239" s="8"/>
      <c r="U239" s="19" t="str">
        <f>HYPERLINK("https://pbs.twimg.com/profile_images/1180604978185900035/bOL1vQ-h.jpg","View")</f>
        <v>View</v>
      </c>
      <c r="V239" s="8"/>
      <c r="W239" s="8"/>
      <c r="X239" s="8"/>
      <c r="Y239" s="8"/>
      <c r="Z239" s="8"/>
    </row>
    <row r="240" spans="1:26" ht="12.75">
      <c r="A240" s="11">
        <v>43747.309849537036</v>
      </c>
      <c r="B240" s="12" t="str">
        <f>HYPERLINK("https://twitter.com/halilbukowski","@halilbukowski")</f>
        <v>@halilbukowski</v>
      </c>
      <c r="C240" s="7" t="s">
        <v>2100</v>
      </c>
      <c r="D240" s="7" t="s">
        <v>2101</v>
      </c>
      <c r="E240" s="12" t="str">
        <f>HYPERLINK("https://twitter.com/halilbukowski/status/1181938914224984064","1181938914224984064")</f>
        <v>1181938914224984064</v>
      </c>
      <c r="F240" s="8"/>
      <c r="G240" s="14" t="s">
        <v>2102</v>
      </c>
      <c r="H240" s="8"/>
      <c r="I240" s="15">
        <v>0</v>
      </c>
      <c r="J240" s="15">
        <v>0</v>
      </c>
      <c r="K240" s="12" t="str">
        <f>HYPERLINK("https://mobile.twitter.com","Twitter Web App")</f>
        <v>Twitter Web App</v>
      </c>
      <c r="L240" s="16">
        <v>137</v>
      </c>
      <c r="M240" s="16">
        <v>244</v>
      </c>
      <c r="N240" s="16">
        <v>0</v>
      </c>
      <c r="O240" s="17"/>
      <c r="P240" s="18">
        <v>43725.210879629631</v>
      </c>
      <c r="Q240" s="7"/>
      <c r="R240" s="7" t="s">
        <v>2106</v>
      </c>
      <c r="S240" s="7"/>
      <c r="T240" s="8"/>
      <c r="U240" s="19" t="str">
        <f>HYPERLINK("https://pbs.twimg.com/profile_images/1173934629134487552/lNs4Cjwt.jpg","View")</f>
        <v>View</v>
      </c>
      <c r="V240" s="8"/>
      <c r="W240" s="8"/>
      <c r="X240" s="8"/>
      <c r="Y240" s="8"/>
      <c r="Z240" s="8"/>
    </row>
    <row r="241" spans="1:26" ht="12.75">
      <c r="A241" s="11">
        <v>43747.309699074074</v>
      </c>
      <c r="B241" s="12" t="str">
        <f>HYPERLINK("https://twitter.com/tuuMunasebetsiz","@tuuMunasebetsiz")</f>
        <v>@tuuMunasebetsiz</v>
      </c>
      <c r="C241" s="7" t="s">
        <v>2111</v>
      </c>
      <c r="D241" s="7" t="s">
        <v>2112</v>
      </c>
      <c r="E241" s="12" t="str">
        <f>HYPERLINK("https://twitter.com/tuuMunasebetsiz/status/1181938861569650696","1181938861569650696")</f>
        <v>1181938861569650696</v>
      </c>
      <c r="F241" s="14" t="s">
        <v>2113</v>
      </c>
      <c r="G241" s="14" t="s">
        <v>2116</v>
      </c>
      <c r="H241" s="8"/>
      <c r="I241" s="15">
        <v>0</v>
      </c>
      <c r="J241" s="15">
        <v>0</v>
      </c>
      <c r="K241" s="12" t="str">
        <f>HYPERLINK("http://twitter.com/download/iphone","Twitter for iPhone")</f>
        <v>Twitter for iPhone</v>
      </c>
      <c r="L241" s="16">
        <v>349</v>
      </c>
      <c r="M241" s="16">
        <v>651</v>
      </c>
      <c r="N241" s="16">
        <v>2</v>
      </c>
      <c r="O241" s="17"/>
      <c r="P241" s="18">
        <v>42251.338310185187</v>
      </c>
      <c r="Q241" s="7"/>
      <c r="R241" s="7" t="s">
        <v>2120</v>
      </c>
      <c r="S241" s="15"/>
      <c r="T241" s="8"/>
      <c r="U241" s="19" t="str">
        <f>HYPERLINK("https://pbs.twimg.com/profile_images/1061587008584335360/YBz8-abI.jpg","View")</f>
        <v>View</v>
      </c>
      <c r="V241" s="8"/>
      <c r="W241" s="8"/>
      <c r="X241" s="8"/>
      <c r="Y241" s="8"/>
      <c r="Z241" s="8"/>
    </row>
    <row r="242" spans="1:26" ht="12.75">
      <c r="A242" s="11">
        <v>43747.309675925921</v>
      </c>
      <c r="B242" s="12" t="str">
        <f>HYPERLINK("https://twitter.com/zafermahle","@zafermahle")</f>
        <v>@zafermahle</v>
      </c>
      <c r="C242" s="7" t="s">
        <v>2123</v>
      </c>
      <c r="D242" s="7" t="s">
        <v>2124</v>
      </c>
      <c r="E242" s="12" t="str">
        <f>HYPERLINK("https://twitter.com/zafermahle/status/1181938854313517056","1181938854313517056")</f>
        <v>1181938854313517056</v>
      </c>
      <c r="F242" s="7"/>
      <c r="G242" s="7"/>
      <c r="H242" s="8"/>
      <c r="I242" s="15">
        <v>1</v>
      </c>
      <c r="J242" s="15">
        <v>9</v>
      </c>
      <c r="K242" s="12" t="str">
        <f>HYPERLINK("http://twitter.com/download/android","Twitter for Android")</f>
        <v>Twitter for Android</v>
      </c>
      <c r="L242" s="16">
        <v>1735</v>
      </c>
      <c r="M242" s="16">
        <v>64</v>
      </c>
      <c r="N242" s="16">
        <v>2</v>
      </c>
      <c r="O242" s="17"/>
      <c r="P242" s="18">
        <v>42046.673831018517</v>
      </c>
      <c r="Q242" s="7"/>
      <c r="R242" s="7" t="s">
        <v>2128</v>
      </c>
      <c r="S242" s="7"/>
      <c r="T242" s="8"/>
      <c r="U242" s="19" t="str">
        <f>HYPERLINK("https://pbs.twimg.com/profile_images/1102333571153436672/l2JS0gOE.jpg","View")</f>
        <v>View</v>
      </c>
      <c r="V242" s="8"/>
      <c r="W242" s="8"/>
      <c r="X242" s="8"/>
      <c r="Y242" s="8"/>
      <c r="Z242" s="8"/>
    </row>
    <row r="243" spans="1:26" ht="12.75">
      <c r="A243" s="11">
        <v>43747.309641203705</v>
      </c>
      <c r="B243" s="12" t="str">
        <f>HYPERLINK("https://twitter.com/kurd_ishh","@kurd_ishh")</f>
        <v>@kurd_ishh</v>
      </c>
      <c r="C243" s="7" t="s">
        <v>2129</v>
      </c>
      <c r="D243" s="7" t="s">
        <v>2130</v>
      </c>
      <c r="E243" s="12" t="str">
        <f>HYPERLINK("https://twitter.com/kurd_ishh/status/1181938840258465792","1181938840258465792")</f>
        <v>1181938840258465792</v>
      </c>
      <c r="F243" s="8"/>
      <c r="G243" s="7"/>
      <c r="H243" s="8"/>
      <c r="I243" s="15">
        <v>1</v>
      </c>
      <c r="J243" s="15">
        <v>1</v>
      </c>
      <c r="K243" s="12" t="str">
        <f>HYPERLINK("http://twitter.com/download/android","Twitter for Android")</f>
        <v>Twitter for Android</v>
      </c>
      <c r="L243" s="16">
        <v>29</v>
      </c>
      <c r="M243" s="16">
        <v>57</v>
      </c>
      <c r="N243" s="16">
        <v>0</v>
      </c>
      <c r="O243" s="17"/>
      <c r="P243" s="18">
        <v>43366.991006944445</v>
      </c>
      <c r="Q243" s="7" t="s">
        <v>2132</v>
      </c>
      <c r="R243" s="7" t="s">
        <v>2133</v>
      </c>
      <c r="S243" s="7"/>
      <c r="T243" s="8"/>
      <c r="U243" s="19" t="str">
        <f>HYPERLINK("https://pbs.twimg.com/profile_images/1181413862454812673/lU3cnJfq.jpg","View")</f>
        <v>View</v>
      </c>
      <c r="V243" s="8"/>
      <c r="W243" s="8"/>
      <c r="X243" s="8"/>
      <c r="Y243" s="8"/>
      <c r="Z243" s="8"/>
    </row>
    <row r="244" spans="1:26" ht="12.75">
      <c r="A244" s="11">
        <v>43747.309629629628</v>
      </c>
      <c r="B244" s="12" t="str">
        <f>HYPERLINK("https://twitter.com/sblkkn","@sblkkn")</f>
        <v>@sblkkn</v>
      </c>
      <c r="C244" s="7" t="s">
        <v>2134</v>
      </c>
      <c r="D244" s="7" t="s">
        <v>2135</v>
      </c>
      <c r="E244" s="12" t="str">
        <f>HYPERLINK("https://twitter.com/sblkkn/status/1181938834369589249","1181938834369589249")</f>
        <v>1181938834369589249</v>
      </c>
      <c r="F244" s="8"/>
      <c r="G244" s="15"/>
      <c r="H244" s="8"/>
      <c r="I244" s="15">
        <v>0</v>
      </c>
      <c r="J244" s="15">
        <v>0</v>
      </c>
      <c r="K244" s="12" t="str">
        <f>HYPERLINK("http://twitter.com/download/iphone","Twitter for iPhone")</f>
        <v>Twitter for iPhone</v>
      </c>
      <c r="L244" s="16">
        <v>43</v>
      </c>
      <c r="M244" s="16">
        <v>136</v>
      </c>
      <c r="N244" s="16">
        <v>0</v>
      </c>
      <c r="O244" s="17"/>
      <c r="P244" s="18">
        <v>41990.692453703705</v>
      </c>
      <c r="Q244" s="7" t="s">
        <v>287</v>
      </c>
      <c r="R244" s="7" t="s">
        <v>2139</v>
      </c>
      <c r="S244" s="7"/>
      <c r="T244" s="8"/>
      <c r="U244" s="19" t="str">
        <f>HYPERLINK("https://pbs.twimg.com/profile_images/1172244076315533312/WRllNhPL.jpg","View")</f>
        <v>View</v>
      </c>
      <c r="V244" s="8"/>
      <c r="W244" s="8"/>
      <c r="X244" s="8"/>
      <c r="Y244" s="8"/>
      <c r="Z244" s="8"/>
    </row>
    <row r="245" spans="1:26" ht="12.75">
      <c r="A245" s="11">
        <v>43747.309618055559</v>
      </c>
      <c r="B245" s="12" t="str">
        <f>HYPERLINK("https://twitter.com/61irfanb","@61irfanb")</f>
        <v>@61irfanb</v>
      </c>
      <c r="C245" s="7" t="s">
        <v>2140</v>
      </c>
      <c r="D245" s="7" t="s">
        <v>2141</v>
      </c>
      <c r="E245" s="12" t="str">
        <f>HYPERLINK("https://twitter.com/61irfanb/status/1181938831848857600","1181938831848857600")</f>
        <v>1181938831848857600</v>
      </c>
      <c r="F245" s="8"/>
      <c r="G245" s="14" t="s">
        <v>2142</v>
      </c>
      <c r="H245" s="8"/>
      <c r="I245" s="15">
        <v>0</v>
      </c>
      <c r="J245" s="15">
        <v>1</v>
      </c>
      <c r="K245" s="12" t="str">
        <f>HYPERLINK("http://twitter.com/download/android","Twitter for Android")</f>
        <v>Twitter for Android</v>
      </c>
      <c r="L245" s="16">
        <v>32</v>
      </c>
      <c r="M245" s="16">
        <v>284</v>
      </c>
      <c r="N245" s="16">
        <v>0</v>
      </c>
      <c r="O245" s="17"/>
      <c r="P245" s="18">
        <v>43664.61109953704</v>
      </c>
      <c r="Q245" s="7"/>
      <c r="R245" s="7" t="s">
        <v>2145</v>
      </c>
      <c r="S245" s="7"/>
      <c r="T245" s="8"/>
      <c r="U245" s="19" t="str">
        <f>HYPERLINK("https://pbs.twimg.com/profile_images/1156579021825683456/p5ZUZnQ6.jpg","View")</f>
        <v>View</v>
      </c>
      <c r="V245" s="8"/>
      <c r="W245" s="8"/>
      <c r="X245" s="8"/>
      <c r="Y245" s="8"/>
      <c r="Z245" s="8"/>
    </row>
    <row r="246" spans="1:26" ht="12.75">
      <c r="A246" s="11">
        <v>43747.309606481482</v>
      </c>
      <c r="B246" s="12" t="str">
        <f>HYPERLINK("https://twitter.com/HdDelikurt","@HdDelikurt")</f>
        <v>@HdDelikurt</v>
      </c>
      <c r="C246" s="7" t="s">
        <v>2146</v>
      </c>
      <c r="D246" s="7" t="s">
        <v>2147</v>
      </c>
      <c r="E246" s="12" t="str">
        <f>HYPERLINK("https://twitter.com/HdDelikurt/status/1181938827683868672","1181938827683868672")</f>
        <v>1181938827683868672</v>
      </c>
      <c r="F246" s="7"/>
      <c r="G246" s="14" t="s">
        <v>2149</v>
      </c>
      <c r="H246" s="8"/>
      <c r="I246" s="15">
        <v>0</v>
      </c>
      <c r="J246" s="15">
        <v>1</v>
      </c>
      <c r="K246" s="12" t="str">
        <f>HYPERLINK("http://twitter.com/download/iphone","Twitter for iPhone")</f>
        <v>Twitter for iPhone</v>
      </c>
      <c r="L246" s="16">
        <v>11</v>
      </c>
      <c r="M246" s="16">
        <v>9</v>
      </c>
      <c r="N246" s="16">
        <v>0</v>
      </c>
      <c r="O246" s="17"/>
      <c r="P246" s="18">
        <v>43745.620150462964</v>
      </c>
      <c r="Q246" s="7"/>
      <c r="R246" s="7" t="s">
        <v>2151</v>
      </c>
      <c r="S246" s="7"/>
      <c r="T246" s="8"/>
      <c r="U246" s="19" t="str">
        <f>HYPERLINK("https://pbs.twimg.com/profile_images/1181340771506688000/0gCGl73R.jpg","View")</f>
        <v>View</v>
      </c>
      <c r="V246" s="8"/>
      <c r="W246" s="8"/>
      <c r="X246" s="8"/>
      <c r="Y246" s="8"/>
      <c r="Z246" s="8"/>
    </row>
    <row r="247" spans="1:26" ht="12.75">
      <c r="A247" s="11">
        <v>43747.309594907405</v>
      </c>
      <c r="B247" s="12" t="str">
        <f>HYPERLINK("https://twitter.com/Suleyman_12_","@Suleyman_12_")</f>
        <v>@Suleyman_12_</v>
      </c>
      <c r="C247" s="7" t="s">
        <v>2155</v>
      </c>
      <c r="D247" s="7" t="s">
        <v>2156</v>
      </c>
      <c r="E247" s="12" t="str">
        <f>HYPERLINK("https://twitter.com/Suleyman_12_/status/1181938823409864704","1181938823409864704")</f>
        <v>1181938823409864704</v>
      </c>
      <c r="F247" s="8"/>
      <c r="G247" s="14" t="s">
        <v>2157</v>
      </c>
      <c r="H247" s="8"/>
      <c r="I247" s="15">
        <v>0</v>
      </c>
      <c r="J247" s="15">
        <v>1</v>
      </c>
      <c r="K247" s="12" t="str">
        <f>HYPERLINK("https://mobile.twitter.com","Twitter Web App")</f>
        <v>Twitter Web App</v>
      </c>
      <c r="L247" s="16">
        <v>90</v>
      </c>
      <c r="M247" s="16">
        <v>632</v>
      </c>
      <c r="N247" s="16">
        <v>0</v>
      </c>
      <c r="O247" s="17"/>
      <c r="P247" s="18">
        <v>41530.121087962965</v>
      </c>
      <c r="Q247" s="7"/>
      <c r="R247" s="7"/>
      <c r="S247" s="7"/>
      <c r="T247" s="8"/>
      <c r="U247" s="19" t="str">
        <f>HYPERLINK("https://pbs.twimg.com/profile_images/1181868620101701632/foFm3AuK.jpg","View")</f>
        <v>View</v>
      </c>
      <c r="V247" s="8"/>
      <c r="W247" s="8"/>
      <c r="X247" s="8"/>
      <c r="Y247" s="8"/>
      <c r="Z247" s="8"/>
    </row>
    <row r="248" spans="1:26" ht="12.75">
      <c r="A248" s="11">
        <v>43747.309594907405</v>
      </c>
      <c r="B248" s="12" t="str">
        <f>HYPERLINK("https://twitter.com/SerefKocaman59","@SerefKocaman59")</f>
        <v>@SerefKocaman59</v>
      </c>
      <c r="C248" s="7" t="s">
        <v>2161</v>
      </c>
      <c r="D248" s="7" t="s">
        <v>2162</v>
      </c>
      <c r="E248" s="12" t="str">
        <f>HYPERLINK("https://twitter.com/SerefKocaman59/status/1181938821409185792","1181938821409185792")</f>
        <v>1181938821409185792</v>
      </c>
      <c r="F248" s="8"/>
      <c r="G248" s="14" t="s">
        <v>2164</v>
      </c>
      <c r="H248" s="8"/>
      <c r="I248" s="15">
        <v>0</v>
      </c>
      <c r="J248" s="15">
        <v>1</v>
      </c>
      <c r="K248" s="12" t="str">
        <f>HYPERLINK("http://twitter.com/download/iphone","Twitter for iPhone")</f>
        <v>Twitter for iPhone</v>
      </c>
      <c r="L248" s="16">
        <v>1344</v>
      </c>
      <c r="M248" s="16">
        <v>4121</v>
      </c>
      <c r="N248" s="16">
        <v>3</v>
      </c>
      <c r="O248" s="17"/>
      <c r="P248" s="18">
        <v>40469.56826388889</v>
      </c>
      <c r="Q248" s="7" t="s">
        <v>2167</v>
      </c>
      <c r="R248" s="7" t="s">
        <v>2168</v>
      </c>
      <c r="S248" s="14" t="s">
        <v>2169</v>
      </c>
      <c r="T248" s="8"/>
      <c r="U248" s="19" t="str">
        <f>HYPERLINK("https://pbs.twimg.com/profile_images/1132812145681469440/eNCO8hee.jpg","View")</f>
        <v>View</v>
      </c>
      <c r="V248" s="8"/>
      <c r="W248" s="8"/>
      <c r="X248" s="8"/>
      <c r="Y248" s="8"/>
      <c r="Z248" s="8"/>
    </row>
    <row r="249" spans="1:26" ht="12.75">
      <c r="A249" s="11">
        <v>43747.309548611112</v>
      </c>
      <c r="B249" s="12" t="str">
        <f>HYPERLINK("https://twitter.com/howareyouamigo","@howareyouamigo")</f>
        <v>@howareyouamigo</v>
      </c>
      <c r="C249" s="7" t="s">
        <v>2173</v>
      </c>
      <c r="D249" s="7" t="s">
        <v>2174</v>
      </c>
      <c r="E249" s="12" t="str">
        <f>HYPERLINK("https://twitter.com/howareyouamigo/status/1181938807442202629","1181938807442202629")</f>
        <v>1181938807442202629</v>
      </c>
      <c r="F249" s="8"/>
      <c r="G249" s="14" t="s">
        <v>2175</v>
      </c>
      <c r="H249" s="8"/>
      <c r="I249" s="15">
        <v>0</v>
      </c>
      <c r="J249" s="15">
        <v>1</v>
      </c>
      <c r="K249" s="12" t="str">
        <f>HYPERLINK("http://twitter.com/download/iphone","Twitter for iPhone")</f>
        <v>Twitter for iPhone</v>
      </c>
      <c r="L249" s="16">
        <v>6</v>
      </c>
      <c r="M249" s="16">
        <v>7</v>
      </c>
      <c r="N249" s="16">
        <v>1</v>
      </c>
      <c r="O249" s="17"/>
      <c r="P249" s="18">
        <v>42950.940601851849</v>
      </c>
      <c r="Q249" s="7"/>
      <c r="R249" s="7"/>
      <c r="S249" s="15"/>
      <c r="T249" s="8"/>
      <c r="U249" s="19" t="str">
        <f>HYPERLINK("https://pbs.twimg.com/profile_images/1010452684565082112/emGeNpDX.jpg","View")</f>
        <v>View</v>
      </c>
      <c r="V249" s="8"/>
      <c r="W249" s="8"/>
      <c r="X249" s="8"/>
      <c r="Y249" s="8"/>
      <c r="Z249" s="8"/>
    </row>
    <row r="250" spans="1:26" ht="12.75">
      <c r="A250" s="11">
        <v>43747.309548611112</v>
      </c>
      <c r="B250" s="12" t="str">
        <f>HYPERLINK("https://twitter.com/BirazTedirgin","@BirazTedirgin")</f>
        <v>@BirazTedirgin</v>
      </c>
      <c r="C250" s="13" t="s">
        <v>2178</v>
      </c>
      <c r="D250" s="13" t="s">
        <v>2179</v>
      </c>
      <c r="E250" s="12" t="str">
        <f>HYPERLINK("https://twitter.com/BirazTedirgin/status/1181938804640374784","1181938804640374784")</f>
        <v>1181938804640374784</v>
      </c>
      <c r="F250" s="15"/>
      <c r="G250" s="14" t="s">
        <v>2180</v>
      </c>
      <c r="H250" s="8"/>
      <c r="I250" s="15">
        <v>0</v>
      </c>
      <c r="J250" s="15">
        <v>0</v>
      </c>
      <c r="K250" s="12" t="str">
        <f>HYPERLINK("http://twitter.com/download/iphone","Twitter for iPhone")</f>
        <v>Twitter for iPhone</v>
      </c>
      <c r="L250" s="16">
        <v>289</v>
      </c>
      <c r="M250" s="16">
        <v>302</v>
      </c>
      <c r="N250" s="16">
        <v>0</v>
      </c>
      <c r="O250" s="17"/>
      <c r="P250" s="18">
        <v>41000.166724537034</v>
      </c>
      <c r="Q250" s="7" t="s">
        <v>2183</v>
      </c>
      <c r="R250" s="13" t="s">
        <v>2184</v>
      </c>
      <c r="S250" s="15"/>
      <c r="T250" s="8"/>
      <c r="U250" s="19" t="str">
        <f>HYPERLINK("https://pbs.twimg.com/profile_images/378800000797107194/ea989aa05f60ef395ee68ac5d43adce5.jpeg","View")</f>
        <v>View</v>
      </c>
      <c r="V250" s="8"/>
      <c r="W250" s="8"/>
      <c r="X250" s="8"/>
      <c r="Y250" s="8"/>
      <c r="Z250" s="8"/>
    </row>
    <row r="251" spans="1:26" ht="12.75">
      <c r="A251" s="11">
        <v>43747.309525462959</v>
      </c>
      <c r="B251" s="12" t="str">
        <f>HYPERLINK("https://twitter.com/by_buryy","@by_buryy")</f>
        <v>@by_buryy</v>
      </c>
      <c r="C251" s="7" t="s">
        <v>2185</v>
      </c>
      <c r="D251" s="7" t="s">
        <v>2186</v>
      </c>
      <c r="E251" s="12" t="str">
        <f>HYPERLINK("https://twitter.com/by_buryy/status/1181938796302098432","1181938796302098432")</f>
        <v>1181938796302098432</v>
      </c>
      <c r="F251" s="8"/>
      <c r="G251" s="14" t="s">
        <v>2187</v>
      </c>
      <c r="H251" s="8"/>
      <c r="I251" s="15">
        <v>0</v>
      </c>
      <c r="J251" s="15">
        <v>5</v>
      </c>
      <c r="K251" s="12" t="str">
        <f>HYPERLINK("http://twitter.com/download/iphone","Twitter for iPhone")</f>
        <v>Twitter for iPhone</v>
      </c>
      <c r="L251" s="16">
        <v>2408</v>
      </c>
      <c r="M251" s="16">
        <v>2259</v>
      </c>
      <c r="N251" s="16">
        <v>3</v>
      </c>
      <c r="O251" s="17"/>
      <c r="P251" s="18">
        <v>42811.673252314809</v>
      </c>
      <c r="Q251" s="7" t="s">
        <v>2190</v>
      </c>
      <c r="R251" s="7" t="s">
        <v>2191</v>
      </c>
      <c r="S251" s="14" t="s">
        <v>2192</v>
      </c>
      <c r="T251" s="8"/>
      <c r="U251" s="19" t="str">
        <f>HYPERLINK("https://pbs.twimg.com/profile_images/1179022557577715712/wpNroi4Z.jpg","View")</f>
        <v>View</v>
      </c>
      <c r="V251" s="8"/>
      <c r="W251" s="8"/>
      <c r="X251" s="8"/>
      <c r="Y251" s="8"/>
      <c r="Z251" s="8"/>
    </row>
    <row r="252" spans="1:26" ht="12.75">
      <c r="A252" s="11">
        <v>43747.309513888889</v>
      </c>
      <c r="B252" s="12" t="str">
        <f>HYPERLINK("https://twitter.com/fdemetsari","@fdemetsari")</f>
        <v>@fdemetsari</v>
      </c>
      <c r="C252" s="7" t="s">
        <v>2196</v>
      </c>
      <c r="D252" s="7" t="s">
        <v>2197</v>
      </c>
      <c r="E252" s="12" t="str">
        <f>HYPERLINK("https://twitter.com/fdemetsari/status/1181938793596755968","1181938793596755968")</f>
        <v>1181938793596755968</v>
      </c>
      <c r="F252" s="8"/>
      <c r="G252" s="14" t="s">
        <v>2198</v>
      </c>
      <c r="H252" s="8"/>
      <c r="I252" s="15">
        <v>4</v>
      </c>
      <c r="J252" s="15">
        <v>18</v>
      </c>
      <c r="K252" s="12" t="str">
        <f>HYPERLINK("http://twitter.com/download/iphone","Twitter for iPhone")</f>
        <v>Twitter for iPhone</v>
      </c>
      <c r="L252" s="16">
        <v>105841</v>
      </c>
      <c r="M252" s="16">
        <v>844</v>
      </c>
      <c r="N252" s="16">
        <v>84</v>
      </c>
      <c r="O252" s="17" t="s">
        <v>984</v>
      </c>
      <c r="P252" s="18">
        <v>41851.091979166667</v>
      </c>
      <c r="Q252" s="7" t="s">
        <v>2201</v>
      </c>
      <c r="R252" s="7" t="s">
        <v>2202</v>
      </c>
      <c r="S252" s="14" t="s">
        <v>2203</v>
      </c>
      <c r="T252" s="8"/>
      <c r="U252" s="19" t="str">
        <f>HYPERLINK("https://pbs.twimg.com/profile_images/1161692321328652288/aGVIevZ1.jpg","View")</f>
        <v>View</v>
      </c>
      <c r="V252" s="8"/>
      <c r="W252" s="8"/>
      <c r="X252" s="8"/>
      <c r="Y252" s="8"/>
      <c r="Z252" s="8"/>
    </row>
    <row r="253" spans="1:26" ht="12.75">
      <c r="A253" s="11">
        <v>43747.309444444443</v>
      </c>
      <c r="B253" s="12" t="str">
        <f>HYPERLINK("https://twitter.com/Si_moCostanzo","@Si_moCostanzo")</f>
        <v>@Si_moCostanzo</v>
      </c>
      <c r="C253" s="7" t="s">
        <v>2207</v>
      </c>
      <c r="D253" s="7" t="s">
        <v>2208</v>
      </c>
      <c r="E253" s="12" t="str">
        <f>HYPERLINK("https://twitter.com/Si_moCostanzo/status/1181938766749065220","1181938766749065220")</f>
        <v>1181938766749065220</v>
      </c>
      <c r="F253" s="8"/>
      <c r="G253" s="15"/>
      <c r="H253" s="8"/>
      <c r="I253" s="15">
        <v>0</v>
      </c>
      <c r="J253" s="15">
        <v>0</v>
      </c>
      <c r="K253" s="12" t="str">
        <f>HYPERLINK("http://twitter.com/download/android","Twitter for Android")</f>
        <v>Twitter for Android</v>
      </c>
      <c r="L253" s="16">
        <v>355</v>
      </c>
      <c r="M253" s="16">
        <v>387</v>
      </c>
      <c r="N253" s="16">
        <v>2</v>
      </c>
      <c r="O253" s="20"/>
      <c r="P253" s="18">
        <v>40701.17359953704</v>
      </c>
      <c r="Q253" s="7" t="s">
        <v>2212</v>
      </c>
      <c r="R253" s="7" t="s">
        <v>2213</v>
      </c>
      <c r="S253" s="15"/>
      <c r="T253" s="8"/>
      <c r="U253" s="19" t="str">
        <f>HYPERLINK("https://pbs.twimg.com/profile_images/900288487727005696/Ns5AbZFz.jpg","View")</f>
        <v>View</v>
      </c>
      <c r="V253" s="8"/>
      <c r="W253" s="8"/>
      <c r="X253" s="8"/>
      <c r="Y253" s="8"/>
      <c r="Z253" s="8"/>
    </row>
    <row r="254" spans="1:26" ht="12.75">
      <c r="A254" s="11">
        <v>43747.309421296297</v>
      </c>
      <c r="B254" s="12" t="str">
        <f>HYPERLINK("https://twitter.com/BayramaydinCom","@BayramaydinCom")</f>
        <v>@BayramaydinCom</v>
      </c>
      <c r="C254" s="7" t="s">
        <v>2214</v>
      </c>
      <c r="D254" s="7" t="s">
        <v>2215</v>
      </c>
      <c r="E254" s="12" t="str">
        <f>HYPERLINK("https://twitter.com/BayramaydinCom/status/1181938758754717696","1181938758754717696")</f>
        <v>1181938758754717696</v>
      </c>
      <c r="F254" s="8"/>
      <c r="G254" s="7"/>
      <c r="H254" s="8"/>
      <c r="I254" s="15">
        <v>0</v>
      </c>
      <c r="J254" s="15">
        <v>0</v>
      </c>
      <c r="K254" s="12" t="str">
        <f>HYPERLINK("http://twitter.com/download/iphone","Twitter for iPhone")</f>
        <v>Twitter for iPhone</v>
      </c>
      <c r="L254" s="16">
        <v>2333</v>
      </c>
      <c r="M254" s="16">
        <v>417</v>
      </c>
      <c r="N254" s="16">
        <v>0</v>
      </c>
      <c r="O254" s="17"/>
      <c r="P254" s="18">
        <v>42533.410185185188</v>
      </c>
      <c r="Q254" s="7" t="s">
        <v>313</v>
      </c>
      <c r="R254" s="7" t="s">
        <v>2218</v>
      </c>
      <c r="S254" s="14" t="s">
        <v>2219</v>
      </c>
      <c r="T254" s="8"/>
      <c r="U254" s="19" t="str">
        <f>HYPERLINK("https://pbs.twimg.com/profile_images/742835522654113796/kCCkKDI7.jpg","View")</f>
        <v>View</v>
      </c>
      <c r="V254" s="8"/>
      <c r="W254" s="8"/>
      <c r="X254" s="8"/>
      <c r="Y254" s="8"/>
      <c r="Z254" s="8"/>
    </row>
    <row r="255" spans="1:26" ht="12.75">
      <c r="A255" s="11">
        <v>43747.309398148151</v>
      </c>
      <c r="B255" s="12" t="str">
        <f>HYPERLINK("https://twitter.com/TugrulBekar24","@TugrulBekar24")</f>
        <v>@TugrulBekar24</v>
      </c>
      <c r="C255" s="7" t="s">
        <v>2221</v>
      </c>
      <c r="D255" s="7" t="s">
        <v>2222</v>
      </c>
      <c r="E255" s="12" t="str">
        <f>HYPERLINK("https://twitter.com/TugrulBekar24/status/1181938751125233666","1181938751125233666")</f>
        <v>1181938751125233666</v>
      </c>
      <c r="F255" s="15"/>
      <c r="G255" s="14" t="s">
        <v>2224</v>
      </c>
      <c r="H255" s="8"/>
      <c r="I255" s="15">
        <v>0</v>
      </c>
      <c r="J255" s="15">
        <v>0</v>
      </c>
      <c r="K255" s="12" t="str">
        <f>HYPERLINK("http://twitter.com/download/android","Twitter for Android")</f>
        <v>Twitter for Android</v>
      </c>
      <c r="L255" s="16">
        <v>39</v>
      </c>
      <c r="M255" s="16">
        <v>95</v>
      </c>
      <c r="N255" s="16">
        <v>0</v>
      </c>
      <c r="O255" s="17"/>
      <c r="P255" s="18">
        <v>40784.281041666669</v>
      </c>
      <c r="Q255" s="7" t="s">
        <v>2225</v>
      </c>
      <c r="R255" s="7" t="s">
        <v>2226</v>
      </c>
      <c r="S255" s="14" t="s">
        <v>2227</v>
      </c>
      <c r="T255" s="8"/>
      <c r="U255" s="19" t="str">
        <f>HYPERLINK("https://pbs.twimg.com/profile_images/1164142467832262657/0krFa6fF.jpg","View")</f>
        <v>View</v>
      </c>
      <c r="V255" s="8"/>
      <c r="W255" s="8"/>
      <c r="X255" s="8"/>
      <c r="Y255" s="8"/>
      <c r="Z255" s="8"/>
    </row>
    <row r="256" spans="1:26" ht="12.75">
      <c r="A256" s="11">
        <v>43747.309363425928</v>
      </c>
      <c r="B256" s="12" t="str">
        <f>HYPERLINK("https://twitter.com/Y_Z0629","@Y_Z0629")</f>
        <v>@Y_Z0629</v>
      </c>
      <c r="C256" s="7" t="s">
        <v>2229</v>
      </c>
      <c r="D256" s="7" t="s">
        <v>2230</v>
      </c>
      <c r="E256" s="12" t="str">
        <f>HYPERLINK("https://twitter.com/Y_Z0629/status/1181938738903109633","1181938738903109633")</f>
        <v>1181938738903109633</v>
      </c>
      <c r="F256" s="8"/>
      <c r="G256" s="14" t="s">
        <v>2231</v>
      </c>
      <c r="H256" s="8"/>
      <c r="I256" s="15">
        <v>0</v>
      </c>
      <c r="J256" s="15">
        <v>0</v>
      </c>
      <c r="K256" s="12" t="str">
        <f>HYPERLINK("http://twitter.com/download/iphone","Twitter for iPhone")</f>
        <v>Twitter for iPhone</v>
      </c>
      <c r="L256" s="16">
        <v>1306</v>
      </c>
      <c r="M256" s="16">
        <v>957</v>
      </c>
      <c r="N256" s="16">
        <v>3</v>
      </c>
      <c r="O256" s="17"/>
      <c r="P256" s="18">
        <v>41488.315358796295</v>
      </c>
      <c r="Q256" s="7" t="s">
        <v>2234</v>
      </c>
      <c r="R256" s="7" t="s">
        <v>2235</v>
      </c>
      <c r="S256" s="15"/>
      <c r="T256" s="8"/>
      <c r="U256" s="19" t="str">
        <f>HYPERLINK("https://pbs.twimg.com/profile_images/1151074072220053511/srefxz-z.jpg","View")</f>
        <v>View</v>
      </c>
      <c r="V256" s="8"/>
      <c r="W256" s="8"/>
      <c r="X256" s="8"/>
      <c r="Y256" s="8"/>
      <c r="Z256" s="8"/>
    </row>
    <row r="257" spans="1:26" ht="12.75">
      <c r="A257" s="11">
        <v>43747.309328703705</v>
      </c>
      <c r="B257" s="12" t="str">
        <f>HYPERLINK("https://twitter.com/SerpilOzkan99","@SerpilOzkan99")</f>
        <v>@SerpilOzkan99</v>
      </c>
      <c r="C257" s="7" t="s">
        <v>2242</v>
      </c>
      <c r="D257" s="7" t="s">
        <v>2243</v>
      </c>
      <c r="E257" s="12" t="str">
        <f>HYPERLINK("https://twitter.com/SerpilOzkan99/status/1181938727716872196","1181938727716872196")</f>
        <v>1181938727716872196</v>
      </c>
      <c r="F257" s="8"/>
      <c r="G257" s="14" t="s">
        <v>2244</v>
      </c>
      <c r="H257" s="8"/>
      <c r="I257" s="15">
        <v>0</v>
      </c>
      <c r="J257" s="15">
        <v>1</v>
      </c>
      <c r="K257" s="12" t="str">
        <f>HYPERLINK("http://twitter.com/download/android","Twitter for Android")</f>
        <v>Twitter for Android</v>
      </c>
      <c r="L257" s="16">
        <v>218</v>
      </c>
      <c r="M257" s="16">
        <v>120</v>
      </c>
      <c r="N257" s="16">
        <v>0</v>
      </c>
      <c r="O257" s="17"/>
      <c r="P257" s="18">
        <v>43491.506666666668</v>
      </c>
      <c r="Q257" s="7" t="s">
        <v>313</v>
      </c>
      <c r="R257" s="7" t="s">
        <v>2245</v>
      </c>
      <c r="S257" s="14" t="s">
        <v>2246</v>
      </c>
      <c r="T257" s="8"/>
      <c r="U257" s="19" t="str">
        <f>HYPERLINK("https://pbs.twimg.com/profile_images/1106935979045208066/r-1QO1nq.jpg","View")</f>
        <v>View</v>
      </c>
      <c r="V257" s="8"/>
      <c r="W257" s="8"/>
      <c r="X257" s="8"/>
      <c r="Y257" s="8"/>
      <c r="Z257" s="8"/>
    </row>
    <row r="258" spans="1:26" ht="12.75">
      <c r="A258" s="11">
        <v>43747.309282407412</v>
      </c>
      <c r="B258" s="12" t="str">
        <f>HYPERLINK("https://twitter.com/ben_eczaci","@ben_eczaci")</f>
        <v>@ben_eczaci</v>
      </c>
      <c r="C258" s="7" t="s">
        <v>2250</v>
      </c>
      <c r="D258" s="7" t="s">
        <v>2251</v>
      </c>
      <c r="E258" s="12" t="str">
        <f>HYPERLINK("https://twitter.com/ben_eczaci/status/1181938710524436485","1181938710524436485")</f>
        <v>1181938710524436485</v>
      </c>
      <c r="F258" s="15"/>
      <c r="G258" s="14" t="s">
        <v>2252</v>
      </c>
      <c r="H258" s="8"/>
      <c r="I258" s="15">
        <v>0</v>
      </c>
      <c r="J258" s="15">
        <v>0</v>
      </c>
      <c r="K258" s="12" t="str">
        <f>HYPERLINK("http://twitter.com/download/android","Twitter for Android")</f>
        <v>Twitter for Android</v>
      </c>
      <c r="L258" s="16">
        <v>0</v>
      </c>
      <c r="M258" s="16">
        <v>13</v>
      </c>
      <c r="N258" s="16">
        <v>0</v>
      </c>
      <c r="O258" s="17"/>
      <c r="P258" s="18">
        <v>43732.227037037039</v>
      </c>
      <c r="Q258" s="7"/>
      <c r="R258" s="7"/>
      <c r="S258" s="15"/>
      <c r="T258" s="8"/>
      <c r="U258" s="19" t="str">
        <f>HYPERLINK("https://pbs.twimg.com/profile_images/1179853595111559171/uQg5uCb5.jpg","View")</f>
        <v>View</v>
      </c>
      <c r="V258" s="8"/>
      <c r="W258" s="8"/>
      <c r="X258" s="8"/>
      <c r="Y258" s="8"/>
      <c r="Z258" s="8"/>
    </row>
    <row r="259" spans="1:26" ht="12.75">
      <c r="A259" s="11">
        <v>43747.309270833328</v>
      </c>
      <c r="B259" s="12" t="str">
        <f>HYPERLINK("https://twitter.com/celenk1967","@celenk1967")</f>
        <v>@celenk1967</v>
      </c>
      <c r="C259" s="7" t="s">
        <v>2261</v>
      </c>
      <c r="D259" s="7" t="s">
        <v>2262</v>
      </c>
      <c r="E259" s="12" t="str">
        <f>HYPERLINK("https://twitter.com/celenk1967/status/1181938705407328256","1181938705407328256")</f>
        <v>1181938705407328256</v>
      </c>
      <c r="F259" s="8"/>
      <c r="G259" s="14" t="s">
        <v>2263</v>
      </c>
      <c r="H259" s="8"/>
      <c r="I259" s="15">
        <v>0</v>
      </c>
      <c r="J259" s="15">
        <v>3</v>
      </c>
      <c r="K259" s="12" t="str">
        <f>HYPERLINK("http://twitter.com/download/iphone","Twitter for iPhone")</f>
        <v>Twitter for iPhone</v>
      </c>
      <c r="L259" s="16">
        <v>716</v>
      </c>
      <c r="M259" s="16">
        <v>494</v>
      </c>
      <c r="N259" s="16">
        <v>0</v>
      </c>
      <c r="O259" s="17"/>
      <c r="P259" s="18">
        <v>41073.023668981477</v>
      </c>
      <c r="Q259" s="7" t="s">
        <v>2267</v>
      </c>
      <c r="R259" s="7" t="s">
        <v>2268</v>
      </c>
      <c r="S259" s="14" t="s">
        <v>2269</v>
      </c>
      <c r="T259" s="8"/>
      <c r="U259" s="19" t="str">
        <f>HYPERLINK("https://pbs.twimg.com/profile_images/1137376694204084225/n89N3ETM.jpg","View")</f>
        <v>View</v>
      </c>
      <c r="V259" s="8"/>
      <c r="W259" s="8"/>
      <c r="X259" s="8"/>
      <c r="Y259" s="8"/>
      <c r="Z259" s="8"/>
    </row>
    <row r="260" spans="1:26" ht="12.75">
      <c r="A260" s="11">
        <v>43747.309259259258</v>
      </c>
      <c r="B260" s="12" t="str">
        <f>HYPERLINK("https://twitter.com/Harunkksal26","@Harunkksal26")</f>
        <v>@Harunkksal26</v>
      </c>
      <c r="C260" s="7" t="s">
        <v>2273</v>
      </c>
      <c r="D260" s="7" t="s">
        <v>2274</v>
      </c>
      <c r="E260" s="12" t="str">
        <f>HYPERLINK("https://twitter.com/Harunkksal26/status/1181938703666679808","1181938703666679808")</f>
        <v>1181938703666679808</v>
      </c>
      <c r="F260" s="8"/>
      <c r="G260" s="14" t="s">
        <v>2275</v>
      </c>
      <c r="H260" s="8"/>
      <c r="I260" s="15">
        <v>0</v>
      </c>
      <c r="J260" s="15">
        <v>0</v>
      </c>
      <c r="K260" s="12" t="str">
        <f>HYPERLINK("http://twitter.com/download/android","Twitter for Android")</f>
        <v>Twitter for Android</v>
      </c>
      <c r="L260" s="16">
        <v>863</v>
      </c>
      <c r="M260" s="16">
        <v>788</v>
      </c>
      <c r="N260" s="16">
        <v>1</v>
      </c>
      <c r="O260" s="17"/>
      <c r="P260" s="18">
        <v>42253.068888888884</v>
      </c>
      <c r="Q260" s="7" t="s">
        <v>2277</v>
      </c>
      <c r="R260" s="7" t="s">
        <v>2278</v>
      </c>
      <c r="S260" s="7"/>
      <c r="T260" s="8"/>
      <c r="U260" s="19" t="str">
        <f>HYPERLINK("https://pbs.twimg.com/profile_images/997105513929367554/rgC2ZQhu.jpg","View")</f>
        <v>View</v>
      </c>
      <c r="V260" s="8"/>
      <c r="W260" s="8"/>
      <c r="X260" s="8"/>
      <c r="Y260" s="8"/>
      <c r="Z260" s="8"/>
    </row>
    <row r="261" spans="1:26" ht="12.75">
      <c r="A261" s="11">
        <v>43747.309247685189</v>
      </c>
      <c r="B261" s="12" t="str">
        <f>HYPERLINK("https://twitter.com/tayecemlk_","@tayecemlk_")</f>
        <v>@tayecemlk_</v>
      </c>
      <c r="C261" s="7" t="s">
        <v>2280</v>
      </c>
      <c r="D261" s="7" t="s">
        <v>2281</v>
      </c>
      <c r="E261" s="12" t="str">
        <f>HYPERLINK("https://twitter.com/tayecemlk_/status/1181938697123614721","1181938697123614721")</f>
        <v>1181938697123614721</v>
      </c>
      <c r="F261" s="8"/>
      <c r="G261" s="7"/>
      <c r="H261" s="8"/>
      <c r="I261" s="15">
        <v>0</v>
      </c>
      <c r="J261" s="15">
        <v>0</v>
      </c>
      <c r="K261" s="12" t="str">
        <f>HYPERLINK("http://twitter.com/download/android","Twitter for Android")</f>
        <v>Twitter for Android</v>
      </c>
      <c r="L261" s="16">
        <v>24</v>
      </c>
      <c r="M261" s="16">
        <v>128</v>
      </c>
      <c r="N261" s="16">
        <v>0</v>
      </c>
      <c r="O261" s="17"/>
      <c r="P261" s="18">
        <v>43589.530763888892</v>
      </c>
      <c r="Q261" s="7"/>
      <c r="R261" s="7" t="s">
        <v>2283</v>
      </c>
      <c r="S261" s="7"/>
      <c r="T261" s="8"/>
      <c r="U261" s="19" t="str">
        <f>HYPERLINK("https://pbs.twimg.com/profile_images/1141305184053792768/vT55_2WV.jpg","View")</f>
        <v>View</v>
      </c>
      <c r="V261" s="8"/>
      <c r="W261" s="8"/>
      <c r="X261" s="8"/>
      <c r="Y261" s="8"/>
      <c r="Z261" s="8"/>
    </row>
    <row r="262" spans="1:26" ht="12.75">
      <c r="A262" s="11">
        <v>43747.309236111112</v>
      </c>
      <c r="B262" s="12" t="str">
        <f>HYPERLINK("https://twitter.com/r_salime","@r_salime")</f>
        <v>@r_salime</v>
      </c>
      <c r="C262" s="7" t="s">
        <v>2285</v>
      </c>
      <c r="D262" s="7" t="s">
        <v>1313</v>
      </c>
      <c r="E262" s="12" t="str">
        <f>HYPERLINK("https://twitter.com/r_salime/status/1181938694116270080","1181938694116270080")</f>
        <v>1181938694116270080</v>
      </c>
      <c r="F262" s="8"/>
      <c r="G262" s="14" t="s">
        <v>2286</v>
      </c>
      <c r="H262" s="8"/>
      <c r="I262" s="15">
        <v>0</v>
      </c>
      <c r="J262" s="15">
        <v>2</v>
      </c>
      <c r="K262" s="12" t="str">
        <f>HYPERLINK("http://twitter.com/download/android","Twitter for Android")</f>
        <v>Twitter for Android</v>
      </c>
      <c r="L262" s="16">
        <v>23</v>
      </c>
      <c r="M262" s="16">
        <v>58</v>
      </c>
      <c r="N262" s="16">
        <v>0</v>
      </c>
      <c r="O262" s="17"/>
      <c r="P262" s="18">
        <v>43528.834398148145</v>
      </c>
      <c r="Q262" s="7"/>
      <c r="R262" s="7" t="s">
        <v>2289</v>
      </c>
      <c r="S262" s="15"/>
      <c r="T262" s="8"/>
      <c r="U262" s="19" t="str">
        <f>HYPERLINK("https://pbs.twimg.com/profile_images/1102783628583600128/guWK5NJY.jpg","View")</f>
        <v>View</v>
      </c>
      <c r="V262" s="8"/>
      <c r="W262" s="8"/>
      <c r="X262" s="8"/>
      <c r="Y262" s="8"/>
      <c r="Z262" s="8"/>
    </row>
    <row r="263" spans="1:26" ht="12.75">
      <c r="A263" s="11">
        <v>43747.309224537035</v>
      </c>
      <c r="B263" s="12" t="str">
        <f>HYPERLINK("https://twitter.com/iyLdrmm","@iyLdrmm")</f>
        <v>@iyLdrmm</v>
      </c>
      <c r="C263" s="7" t="s">
        <v>2290</v>
      </c>
      <c r="D263" s="7" t="s">
        <v>2291</v>
      </c>
      <c r="E263" s="12" t="str">
        <f>HYPERLINK("https://twitter.com/iyLdrmm/status/1181938690848968704","1181938690848968704")</f>
        <v>1181938690848968704</v>
      </c>
      <c r="F263" s="8"/>
      <c r="G263" s="14" t="s">
        <v>2292</v>
      </c>
      <c r="H263" s="8"/>
      <c r="I263" s="15">
        <v>0</v>
      </c>
      <c r="J263" s="15">
        <v>0</v>
      </c>
      <c r="K263" s="12" t="str">
        <f>HYPERLINK("http://twitter.com/download/iphone","Twitter for iPhone")</f>
        <v>Twitter for iPhone</v>
      </c>
      <c r="L263" s="16">
        <v>59</v>
      </c>
      <c r="M263" s="16">
        <v>60</v>
      </c>
      <c r="N263" s="16">
        <v>0</v>
      </c>
      <c r="O263" s="17"/>
      <c r="P263" s="18">
        <v>43337.579525462963</v>
      </c>
      <c r="Q263" s="7"/>
      <c r="R263" s="7" t="s">
        <v>2294</v>
      </c>
      <c r="S263" s="7"/>
      <c r="T263" s="8"/>
      <c r="U263" s="19" t="str">
        <f>HYPERLINK("https://pbs.twimg.com/profile_images/1175840371479318530/zKYSuwIX.jpg","View")</f>
        <v>View</v>
      </c>
      <c r="V263" s="8"/>
      <c r="W263" s="8"/>
      <c r="X263" s="8"/>
      <c r="Y263" s="8"/>
      <c r="Z263" s="8"/>
    </row>
    <row r="264" spans="1:26" ht="12.75">
      <c r="A264" s="11">
        <v>43747.309212962966</v>
      </c>
      <c r="B264" s="12" t="str">
        <f>HYPERLINK("https://twitter.com/ghacoooo","@ghacoooo")</f>
        <v>@ghacoooo</v>
      </c>
      <c r="C264" s="7" t="s">
        <v>2295</v>
      </c>
      <c r="D264" s="7" t="s">
        <v>2296</v>
      </c>
      <c r="E264" s="12" t="str">
        <f>HYPERLINK("https://twitter.com/ghacoooo/status/1181938686981750790","1181938686981750790")</f>
        <v>1181938686981750790</v>
      </c>
      <c r="F264" s="8"/>
      <c r="G264" s="14" t="s">
        <v>2297</v>
      </c>
      <c r="H264" s="8"/>
      <c r="I264" s="15">
        <v>1</v>
      </c>
      <c r="J264" s="15">
        <v>1</v>
      </c>
      <c r="K264" s="12" t="str">
        <f>HYPERLINK("http://twitter.com/download/android","Twitter for Android")</f>
        <v>Twitter for Android</v>
      </c>
      <c r="L264" s="16">
        <v>26</v>
      </c>
      <c r="M264" s="16">
        <v>77</v>
      </c>
      <c r="N264" s="16">
        <v>0</v>
      </c>
      <c r="O264" s="17"/>
      <c r="P264" s="18">
        <v>42396.173692129625</v>
      </c>
      <c r="Q264" s="7"/>
      <c r="R264" s="7" t="s">
        <v>2299</v>
      </c>
      <c r="S264" s="15"/>
      <c r="T264" s="8"/>
      <c r="U264" s="19" t="str">
        <f>HYPERLINK("https://pbs.twimg.com/profile_images/1167205737145257989/LVoCJqwZ.jpg","View")</f>
        <v>View</v>
      </c>
      <c r="V264" s="8"/>
      <c r="W264" s="8"/>
      <c r="X264" s="8"/>
      <c r="Y264" s="8"/>
      <c r="Z264" s="8"/>
    </row>
    <row r="265" spans="1:26" ht="12.75">
      <c r="A265" s="11">
        <v>43747.309155092589</v>
      </c>
      <c r="B265" s="12" t="str">
        <f>HYPERLINK("https://twitter.com/kupabeyii1905","@kupabeyii1905")</f>
        <v>@kupabeyii1905</v>
      </c>
      <c r="C265" s="7" t="s">
        <v>2303</v>
      </c>
      <c r="D265" s="7" t="s">
        <v>2304</v>
      </c>
      <c r="E265" s="12" t="str">
        <f>HYPERLINK("https://twitter.com/kupabeyii1905/status/1181938665100054529","1181938665100054529")</f>
        <v>1181938665100054529</v>
      </c>
      <c r="F265" s="8"/>
      <c r="G265" s="14" t="s">
        <v>2305</v>
      </c>
      <c r="H265" s="8"/>
      <c r="I265" s="15">
        <v>0</v>
      </c>
      <c r="J265" s="15">
        <v>0</v>
      </c>
      <c r="K265" s="12" t="str">
        <f>HYPERLINK("http://twitter.com/download/android","Twitter for Android")</f>
        <v>Twitter for Android</v>
      </c>
      <c r="L265" s="16">
        <v>1163</v>
      </c>
      <c r="M265" s="16">
        <v>1277</v>
      </c>
      <c r="N265" s="16">
        <v>1</v>
      </c>
      <c r="O265" s="17"/>
      <c r="P265" s="18">
        <v>39989.213576388887</v>
      </c>
      <c r="Q265" s="7" t="s">
        <v>2306</v>
      </c>
      <c r="R265" s="7" t="s">
        <v>2307</v>
      </c>
      <c r="S265" s="14" t="s">
        <v>2308</v>
      </c>
      <c r="T265" s="8"/>
      <c r="U265" s="19" t="str">
        <f>HYPERLINK("https://pbs.twimg.com/profile_images/1168620878856413185/v0EeHV_K.jpg","View")</f>
        <v>View</v>
      </c>
      <c r="V265" s="8"/>
      <c r="W265" s="8"/>
      <c r="X265" s="8"/>
      <c r="Y265" s="8"/>
      <c r="Z265" s="8"/>
    </row>
    <row r="266" spans="1:26" ht="12.75">
      <c r="A266" s="11">
        <v>43747.309131944443</v>
      </c>
      <c r="B266" s="12" t="str">
        <f>HYPERLINK("https://twitter.com/ScopeMarketsKE","@ScopeMarketsKE")</f>
        <v>@ScopeMarketsKE</v>
      </c>
      <c r="C266" s="7" t="s">
        <v>2312</v>
      </c>
      <c r="D266" s="7" t="s">
        <v>2313</v>
      </c>
      <c r="E266" s="12" t="str">
        <f>HYPERLINK("https://twitter.com/ScopeMarketsKE/status/1181938657223200768","1181938657223200768")</f>
        <v>1181938657223200768</v>
      </c>
      <c r="F266" s="8"/>
      <c r="G266" s="7"/>
      <c r="H266" s="8"/>
      <c r="I266" s="15">
        <v>2</v>
      </c>
      <c r="J266" s="15">
        <v>0</v>
      </c>
      <c r="K266" s="12" t="str">
        <f>HYPERLINK("https://mobile.twitter.com","Twitter Web App")</f>
        <v>Twitter Web App</v>
      </c>
      <c r="L266" s="16">
        <v>19</v>
      </c>
      <c r="M266" s="16">
        <v>1</v>
      </c>
      <c r="N266" s="16">
        <v>0</v>
      </c>
      <c r="O266" s="17"/>
      <c r="P266" s="18">
        <v>43686.027557870373</v>
      </c>
      <c r="Q266" s="7" t="s">
        <v>2314</v>
      </c>
      <c r="R266" s="7" t="s">
        <v>2315</v>
      </c>
      <c r="S266" s="14" t="s">
        <v>2316</v>
      </c>
      <c r="T266" s="8"/>
      <c r="U266" s="19" t="str">
        <f>HYPERLINK("https://pbs.twimg.com/profile_images/1165868588038873089/z-TOlGyd.jpg","View")</f>
        <v>View</v>
      </c>
      <c r="V266" s="8"/>
      <c r="W266" s="8"/>
      <c r="X266" s="8"/>
      <c r="Y266" s="8"/>
      <c r="Z266" s="8"/>
    </row>
    <row r="267" spans="1:26" ht="12.75">
      <c r="A267" s="11">
        <v>43747.309097222227</v>
      </c>
      <c r="B267" s="12" t="str">
        <f>HYPERLINK("https://twitter.com/elasss_","@elasss_")</f>
        <v>@elasss_</v>
      </c>
      <c r="C267" s="7" t="s">
        <v>2319</v>
      </c>
      <c r="D267" s="7" t="s">
        <v>2320</v>
      </c>
      <c r="E267" s="12" t="str">
        <f>HYPERLINK("https://twitter.com/elasss_/status/1181938644719951872","1181938644719951872")</f>
        <v>1181938644719951872</v>
      </c>
      <c r="F267" s="14" t="s">
        <v>2321</v>
      </c>
      <c r="G267" s="14" t="s">
        <v>2322</v>
      </c>
      <c r="H267" s="8"/>
      <c r="I267" s="15">
        <v>0</v>
      </c>
      <c r="J267" s="15">
        <v>3</v>
      </c>
      <c r="K267" s="12" t="str">
        <f>HYPERLINK("http://twitter.com/download/iphone","Twitter for iPhone")</f>
        <v>Twitter for iPhone</v>
      </c>
      <c r="L267" s="16">
        <v>1569</v>
      </c>
      <c r="M267" s="16">
        <v>1163</v>
      </c>
      <c r="N267" s="16">
        <v>0</v>
      </c>
      <c r="O267" s="17"/>
      <c r="P267" s="18">
        <v>42950.202013888891</v>
      </c>
      <c r="Q267" s="7" t="s">
        <v>2324</v>
      </c>
      <c r="R267" s="7" t="s">
        <v>2325</v>
      </c>
      <c r="S267" s="15"/>
      <c r="T267" s="8"/>
      <c r="U267" s="19" t="str">
        <f>HYPERLINK("https://pbs.twimg.com/profile_images/1181896275253481472/YXGLITse.jpg","View")</f>
        <v>View</v>
      </c>
      <c r="V267" s="8"/>
      <c r="W267" s="8"/>
      <c r="X267" s="8"/>
      <c r="Y267" s="8"/>
      <c r="Z267" s="8"/>
    </row>
    <row r="268" spans="1:26" ht="12.75">
      <c r="A268" s="11">
        <v>43747.309097222227</v>
      </c>
      <c r="B268" s="12" t="str">
        <f>HYPERLINK("https://twitter.com/alibzkrt4","@alibzkrt4")</f>
        <v>@alibzkrt4</v>
      </c>
      <c r="C268" s="7" t="s">
        <v>2327</v>
      </c>
      <c r="D268" s="7" t="s">
        <v>2328</v>
      </c>
      <c r="E268" s="12" t="str">
        <f>HYPERLINK("https://twitter.com/alibzkrt4/status/1181938643512053761","1181938643512053761")</f>
        <v>1181938643512053761</v>
      </c>
      <c r="F268" s="8"/>
      <c r="G268" s="15"/>
      <c r="H268" s="8"/>
      <c r="I268" s="15">
        <v>0</v>
      </c>
      <c r="J268" s="15">
        <v>1</v>
      </c>
      <c r="K268" s="12" t="str">
        <f>HYPERLINK("http://twitter.com/download/iphone","Twitter for iPhone")</f>
        <v>Twitter for iPhone</v>
      </c>
      <c r="L268" s="16">
        <v>97</v>
      </c>
      <c r="M268" s="16">
        <v>156</v>
      </c>
      <c r="N268" s="16">
        <v>0</v>
      </c>
      <c r="O268" s="17"/>
      <c r="P268" s="18">
        <v>42187.94604166667</v>
      </c>
      <c r="Q268" s="7" t="s">
        <v>2183</v>
      </c>
      <c r="R268" s="7" t="s">
        <v>2329</v>
      </c>
      <c r="S268" s="7"/>
      <c r="T268" s="8"/>
      <c r="U268" s="19" t="str">
        <f>HYPERLINK("https://pbs.twimg.com/profile_images/1155074451240886272/o7cJRRIz.jpg","View")</f>
        <v>View</v>
      </c>
      <c r="V268" s="8"/>
      <c r="W268" s="8"/>
      <c r="X268" s="8"/>
      <c r="Y268" s="8"/>
      <c r="Z268" s="8"/>
    </row>
    <row r="269" spans="1:26" ht="12.75">
      <c r="A269" s="11">
        <v>43747.309085648143</v>
      </c>
      <c r="B269" s="12" t="str">
        <f>HYPERLINK("https://twitter.com/Official_THT","@Official_THT")</f>
        <v>@Official_THT</v>
      </c>
      <c r="C269" s="7" t="s">
        <v>2330</v>
      </c>
      <c r="D269" s="7" t="s">
        <v>2331</v>
      </c>
      <c r="E269" s="12" t="str">
        <f>HYPERLINK("https://twitter.com/Official_THT/status/1181938638772461569","1181938638772461569")</f>
        <v>1181938638772461569</v>
      </c>
      <c r="F269" s="8"/>
      <c r="G269" s="14" t="s">
        <v>2334</v>
      </c>
      <c r="H269" s="8"/>
      <c r="I269" s="15">
        <v>6</v>
      </c>
      <c r="J269" s="15">
        <v>11</v>
      </c>
      <c r="K269" s="12" t="str">
        <f>HYPERLINK("https://about.twitter.com/products/tweetdeck","TweetDeck")</f>
        <v>TweetDeck</v>
      </c>
      <c r="L269" s="16">
        <v>11800</v>
      </c>
      <c r="M269" s="16">
        <v>7</v>
      </c>
      <c r="N269" s="16">
        <v>32</v>
      </c>
      <c r="O269" s="17"/>
      <c r="P269" s="18">
        <v>41356.766412037039</v>
      </c>
      <c r="Q269" s="7" t="s">
        <v>2336</v>
      </c>
      <c r="R269" s="7" t="s">
        <v>2337</v>
      </c>
      <c r="S269" s="14" t="s">
        <v>2338</v>
      </c>
      <c r="T269" s="8"/>
      <c r="U269" s="19" t="str">
        <f>HYPERLINK("https://pbs.twimg.com/profile_images/846405122758524928/4WV0ljS2.jpg","View")</f>
        <v>View</v>
      </c>
      <c r="V269" s="8"/>
      <c r="W269" s="8"/>
      <c r="X269" s="8"/>
      <c r="Y269" s="8"/>
      <c r="Z269" s="8"/>
    </row>
    <row r="270" spans="1:26" ht="12.75">
      <c r="A270" s="11">
        <v>43747.309039351851</v>
      </c>
      <c r="B270" s="12" t="str">
        <f>HYPERLINK("https://twitter.com/Ahmetsivasss","@Ahmetsivasss")</f>
        <v>@Ahmetsivasss</v>
      </c>
      <c r="C270" s="7" t="s">
        <v>2347</v>
      </c>
      <c r="D270" s="7" t="s">
        <v>2349</v>
      </c>
      <c r="E270" s="12" t="str">
        <f>HYPERLINK("https://twitter.com/Ahmetsivasss/status/1181938622737653760","1181938622737653760")</f>
        <v>1181938622737653760</v>
      </c>
      <c r="F270" s="8"/>
      <c r="G270" s="15"/>
      <c r="H270" s="8"/>
      <c r="I270" s="15">
        <v>0</v>
      </c>
      <c r="J270" s="15">
        <v>0</v>
      </c>
      <c r="K270" s="12" t="str">
        <f>HYPERLINK("http://twitter.com/download/android","Twitter for Android")</f>
        <v>Twitter for Android</v>
      </c>
      <c r="L270" s="16">
        <v>22</v>
      </c>
      <c r="M270" s="16">
        <v>36</v>
      </c>
      <c r="N270" s="16">
        <v>0</v>
      </c>
      <c r="O270" s="17"/>
      <c r="P270" s="18">
        <v>43608.145694444444</v>
      </c>
      <c r="Q270" s="7" t="s">
        <v>2350</v>
      </c>
      <c r="R270" s="7"/>
      <c r="S270" s="7"/>
      <c r="T270" s="8"/>
      <c r="U270" s="19" t="str">
        <f>HYPERLINK("https://pbs.twimg.com/profile_images/1131531830912536576/o_CCWVqV.jpg","View")</f>
        <v>View</v>
      </c>
      <c r="V270" s="8"/>
      <c r="W270" s="8"/>
      <c r="X270" s="8"/>
      <c r="Y270" s="8"/>
      <c r="Z270" s="8"/>
    </row>
    <row r="271" spans="1:26" ht="12.75">
      <c r="A271" s="11">
        <v>43747.309027777781</v>
      </c>
      <c r="B271" s="12" t="str">
        <f>HYPERLINK("https://twitter.com/polatoz","@polatoz")</f>
        <v>@polatoz</v>
      </c>
      <c r="C271" s="7" t="s">
        <v>2351</v>
      </c>
      <c r="D271" s="7" t="s">
        <v>2352</v>
      </c>
      <c r="E271" s="12" t="str">
        <f>HYPERLINK("https://twitter.com/polatoz/status/1181938615993163781","1181938615993163781")</f>
        <v>1181938615993163781</v>
      </c>
      <c r="F271" s="15"/>
      <c r="G271" s="14" t="s">
        <v>2353</v>
      </c>
      <c r="H271" s="8"/>
      <c r="I271" s="15">
        <v>0</v>
      </c>
      <c r="J271" s="15">
        <v>2</v>
      </c>
      <c r="K271" s="12" t="str">
        <f>HYPERLINK("http://twitter.com/download/android","Twitter for Android")</f>
        <v>Twitter for Android</v>
      </c>
      <c r="L271" s="16">
        <v>336</v>
      </c>
      <c r="M271" s="16">
        <v>301</v>
      </c>
      <c r="N271" s="16">
        <v>0</v>
      </c>
      <c r="O271" s="17"/>
      <c r="P271" s="18">
        <v>41060.279085648144</v>
      </c>
      <c r="Q271" s="7"/>
      <c r="R271" s="7"/>
      <c r="S271" s="15"/>
      <c r="T271" s="8"/>
      <c r="U271" s="19" t="str">
        <f>HYPERLINK("https://pbs.twimg.com/profile_images/766331715019309057/DtoiAlJ3.jpg","View")</f>
        <v>View</v>
      </c>
      <c r="V271" s="8"/>
      <c r="W271" s="8"/>
      <c r="X271" s="8"/>
      <c r="Y271" s="8"/>
      <c r="Z271" s="8"/>
    </row>
    <row r="272" spans="1:26" ht="12.75">
      <c r="A272" s="11">
        <v>43747.309016203704</v>
      </c>
      <c r="B272" s="12" t="str">
        <f>HYPERLINK("https://twitter.com/isaperi","@isaperi")</f>
        <v>@isaperi</v>
      </c>
      <c r="C272" s="7" t="s">
        <v>2357</v>
      </c>
      <c r="D272" s="7" t="s">
        <v>2358</v>
      </c>
      <c r="E272" s="12" t="str">
        <f>HYPERLINK("https://twitter.com/isaperi/status/1181938614672003073","1181938614672003073")</f>
        <v>1181938614672003073</v>
      </c>
      <c r="F272" s="8"/>
      <c r="G272" s="14" t="s">
        <v>2359</v>
      </c>
      <c r="H272" s="8"/>
      <c r="I272" s="15">
        <v>0</v>
      </c>
      <c r="J272" s="15">
        <v>1</v>
      </c>
      <c r="K272" s="12" t="str">
        <f>HYPERLINK("http://twitter.com/download/android","Twitter for Android")</f>
        <v>Twitter for Android</v>
      </c>
      <c r="L272" s="16">
        <v>3002</v>
      </c>
      <c r="M272" s="16">
        <v>2606</v>
      </c>
      <c r="N272" s="16">
        <v>1</v>
      </c>
      <c r="O272" s="17"/>
      <c r="P272" s="18">
        <v>40029.668391203704</v>
      </c>
      <c r="Q272" s="7" t="s">
        <v>313</v>
      </c>
      <c r="R272" s="7" t="s">
        <v>2363</v>
      </c>
      <c r="S272" s="14" t="s">
        <v>2364</v>
      </c>
      <c r="T272" s="8"/>
      <c r="U272" s="19" t="str">
        <f>HYPERLINK("https://pbs.twimg.com/profile_images/612361086046613504/R5So5Wx6.jpg","View")</f>
        <v>View</v>
      </c>
      <c r="V272" s="8"/>
      <c r="W272" s="8"/>
      <c r="X272" s="8"/>
      <c r="Y272" s="8"/>
      <c r="Z272" s="8"/>
    </row>
    <row r="273" spans="1:26" ht="12.75">
      <c r="A273" s="11">
        <v>43747.309004629627</v>
      </c>
      <c r="B273" s="12" t="str">
        <f>HYPERLINK("https://twitter.com/huysuzyazar2","@huysuzyazar2")</f>
        <v>@huysuzyazar2</v>
      </c>
      <c r="C273" s="7" t="s">
        <v>2368</v>
      </c>
      <c r="D273" s="7" t="s">
        <v>2369</v>
      </c>
      <c r="E273" s="12" t="str">
        <f>HYPERLINK("https://twitter.com/huysuzyazar2/status/1181938610834161667","1181938610834161667")</f>
        <v>1181938610834161667</v>
      </c>
      <c r="F273" s="15"/>
      <c r="G273" s="14" t="s">
        <v>2370</v>
      </c>
      <c r="H273" s="8"/>
      <c r="I273" s="15">
        <v>0</v>
      </c>
      <c r="J273" s="15">
        <v>0</v>
      </c>
      <c r="K273" s="12" t="str">
        <f>HYPERLINK("http://twitter.com/download/iphone","Twitter for iPhone")</f>
        <v>Twitter for iPhone</v>
      </c>
      <c r="L273" s="16">
        <v>0</v>
      </c>
      <c r="M273" s="16">
        <v>26</v>
      </c>
      <c r="N273" s="16">
        <v>0</v>
      </c>
      <c r="O273" s="17"/>
      <c r="P273" s="18">
        <v>43632.615439814814</v>
      </c>
      <c r="Q273" s="7" t="s">
        <v>200</v>
      </c>
      <c r="R273" s="7" t="s">
        <v>2372</v>
      </c>
      <c r="S273" s="14" t="s">
        <v>2373</v>
      </c>
      <c r="T273" s="8"/>
      <c r="U273" s="19" t="str">
        <f>HYPERLINK("https://pbs.twimg.com/profile_images/1181336181272915968/xrxFHZmG.jpg","View")</f>
        <v>View</v>
      </c>
      <c r="V273" s="8"/>
      <c r="W273" s="8"/>
      <c r="X273" s="8"/>
      <c r="Y273" s="8"/>
      <c r="Z273" s="8"/>
    </row>
    <row r="274" spans="1:26" ht="12.75">
      <c r="A274" s="11">
        <v>43747.308993055558</v>
      </c>
      <c r="B274" s="12" t="str">
        <f>HYPERLINK("https://twitter.com/FurkanARMAN","@FurkanARMAN")</f>
        <v>@FurkanARMAN</v>
      </c>
      <c r="C274" s="7" t="s">
        <v>2377</v>
      </c>
      <c r="D274" s="7" t="s">
        <v>2378</v>
      </c>
      <c r="E274" s="12" t="str">
        <f>HYPERLINK("https://twitter.com/FurkanARMAN/status/1181938606258184192","1181938606258184192")</f>
        <v>1181938606258184192</v>
      </c>
      <c r="F274" s="8"/>
      <c r="G274" s="7"/>
      <c r="H274" s="8"/>
      <c r="I274" s="15">
        <v>0</v>
      </c>
      <c r="J274" s="15">
        <v>0</v>
      </c>
      <c r="K274" s="12" t="str">
        <f>HYPERLINK("http://twitter.com/download/iphone","Twitter for iPhone")</f>
        <v>Twitter for iPhone</v>
      </c>
      <c r="L274" s="16">
        <v>356</v>
      </c>
      <c r="M274" s="16">
        <v>231</v>
      </c>
      <c r="N274" s="16">
        <v>0</v>
      </c>
      <c r="O274" s="17"/>
      <c r="P274" s="18">
        <v>40196.391446759255</v>
      </c>
      <c r="Q274" s="7" t="s">
        <v>2013</v>
      </c>
      <c r="R274" s="7"/>
      <c r="S274" s="7"/>
      <c r="T274" s="8"/>
      <c r="U274" s="19" t="str">
        <f>HYPERLINK("https://pbs.twimg.com/profile_images/842479106881216513/EufnnSoE.jpg","View")</f>
        <v>View</v>
      </c>
      <c r="V274" s="8"/>
      <c r="W274" s="8"/>
      <c r="X274" s="8"/>
      <c r="Y274" s="8"/>
      <c r="Z274" s="8"/>
    </row>
    <row r="275" spans="1:26" ht="12.75">
      <c r="A275" s="11">
        <v>43747.308912037042</v>
      </c>
      <c r="B275" s="12" t="str">
        <f>HYPERLINK("https://twitter.com/Aort_Abi","@Aort_Abi")</f>
        <v>@Aort_Abi</v>
      </c>
      <c r="C275" s="7" t="s">
        <v>2386</v>
      </c>
      <c r="D275" s="7" t="s">
        <v>2387</v>
      </c>
      <c r="E275" s="12" t="str">
        <f>HYPERLINK("https://twitter.com/Aort_Abi/status/1181938576583516160","1181938576583516160")</f>
        <v>1181938576583516160</v>
      </c>
      <c r="F275" s="8"/>
      <c r="G275" s="14" t="s">
        <v>2388</v>
      </c>
      <c r="H275" s="8"/>
      <c r="I275" s="15">
        <v>0</v>
      </c>
      <c r="J275" s="15">
        <v>0</v>
      </c>
      <c r="K275" s="12" t="str">
        <f>HYPERLINK("http://twitter.com/download/android","Twitter for Android")</f>
        <v>Twitter for Android</v>
      </c>
      <c r="L275" s="16">
        <v>370</v>
      </c>
      <c r="M275" s="16">
        <v>930</v>
      </c>
      <c r="N275" s="16">
        <v>0</v>
      </c>
      <c r="O275" s="17"/>
      <c r="P275" s="18">
        <v>43161.184201388889</v>
      </c>
      <c r="Q275" s="7" t="s">
        <v>313</v>
      </c>
      <c r="R275" s="7" t="s">
        <v>2390</v>
      </c>
      <c r="S275" s="15"/>
      <c r="T275" s="8"/>
      <c r="U275" s="19" t="str">
        <f>HYPERLINK("https://pbs.twimg.com/profile_images/969559129504337922/rOBgjzsi.jpg","View")</f>
        <v>View</v>
      </c>
      <c r="V275" s="8"/>
      <c r="W275" s="8"/>
      <c r="X275" s="8"/>
      <c r="Y275" s="8"/>
      <c r="Z275" s="8"/>
    </row>
    <row r="276" spans="1:26" ht="12.75">
      <c r="A276" s="11">
        <v>43747.308865740742</v>
      </c>
      <c r="B276" s="12" t="str">
        <f>HYPERLINK("https://twitter.com/guclugoymen","@guclugoymen")</f>
        <v>@guclugoymen</v>
      </c>
      <c r="C276" s="7" t="s">
        <v>2394</v>
      </c>
      <c r="D276" s="7" t="s">
        <v>2395</v>
      </c>
      <c r="E276" s="12" t="str">
        <f>HYPERLINK("https://twitter.com/guclugoymen/status/1181938560347361280","1181938560347361280")</f>
        <v>1181938560347361280</v>
      </c>
      <c r="F276" s="8"/>
      <c r="G276" s="14" t="s">
        <v>2396</v>
      </c>
      <c r="H276" s="8"/>
      <c r="I276" s="15">
        <v>0</v>
      </c>
      <c r="J276" s="15">
        <v>2</v>
      </c>
      <c r="K276" s="12" t="str">
        <f>HYPERLINK("http://twitter.com/download/iphone","Twitter for iPhone")</f>
        <v>Twitter for iPhone</v>
      </c>
      <c r="L276" s="16">
        <v>1571</v>
      </c>
      <c r="M276" s="16">
        <v>1488</v>
      </c>
      <c r="N276" s="16">
        <v>3</v>
      </c>
      <c r="O276" s="17"/>
      <c r="P276" s="18">
        <v>40235.830694444448</v>
      </c>
      <c r="Q276" s="7" t="s">
        <v>313</v>
      </c>
      <c r="R276" s="7" t="s">
        <v>2398</v>
      </c>
      <c r="S276" s="7"/>
      <c r="T276" s="8"/>
      <c r="U276" s="19" t="str">
        <f>HYPERLINK("https://pbs.twimg.com/profile_images/1119732362970058753/XOKVquDH.jpg","View")</f>
        <v>View</v>
      </c>
      <c r="V276" s="8"/>
      <c r="W276" s="8"/>
      <c r="X276" s="8"/>
      <c r="Y276" s="8"/>
      <c r="Z276" s="8"/>
    </row>
    <row r="277" spans="1:26" ht="12.75">
      <c r="A277" s="11">
        <v>43747.308842592596</v>
      </c>
      <c r="B277" s="12" t="str">
        <f>HYPERLINK("https://twitter.com/CeciliaBTory","@CeciliaBTory")</f>
        <v>@CeciliaBTory</v>
      </c>
      <c r="C277" s="7" t="s">
        <v>2400</v>
      </c>
      <c r="D277" s="7" t="s">
        <v>2401</v>
      </c>
      <c r="E277" s="12" t="str">
        <f>HYPERLINK("https://twitter.com/CeciliaBTory/status/1181938548817170433","1181938548817170433")</f>
        <v>1181938548817170433</v>
      </c>
      <c r="F277" s="8" t="s">
        <v>2402</v>
      </c>
      <c r="G277" s="7"/>
      <c r="H277" s="8"/>
      <c r="I277" s="15">
        <v>0</v>
      </c>
      <c r="J277" s="15">
        <v>0</v>
      </c>
      <c r="K277" s="12" t="str">
        <f>HYPERLINK("https://mobile.twitter.com","Twitter Web App")</f>
        <v>Twitter Web App</v>
      </c>
      <c r="L277" s="16">
        <v>357</v>
      </c>
      <c r="M277" s="16">
        <v>209</v>
      </c>
      <c r="N277" s="16">
        <v>22</v>
      </c>
      <c r="O277" s="17"/>
      <c r="P277" s="18">
        <v>40273.956678240742</v>
      </c>
      <c r="Q277" s="7" t="s">
        <v>2404</v>
      </c>
      <c r="R277" s="7" t="s">
        <v>2405</v>
      </c>
      <c r="S277" s="7"/>
      <c r="T277" s="8"/>
      <c r="U277" s="19" t="str">
        <f>HYPERLINK("https://pbs.twimg.com/profile_images/801262323/chriskiller.jpg","View")</f>
        <v>View</v>
      </c>
      <c r="V277" s="8"/>
      <c r="W277" s="8"/>
      <c r="X277" s="8"/>
      <c r="Y277" s="8"/>
      <c r="Z277" s="8"/>
    </row>
    <row r="278" spans="1:26" ht="12.75">
      <c r="A278" s="11">
        <v>43747.308831018519</v>
      </c>
      <c r="B278" s="12" t="str">
        <f>HYPERLINK("https://twitter.com/burhan_dinler","@burhan_dinler")</f>
        <v>@burhan_dinler</v>
      </c>
      <c r="C278" s="7" t="s">
        <v>2409</v>
      </c>
      <c r="D278" s="7" t="s">
        <v>2410</v>
      </c>
      <c r="E278" s="12" t="str">
        <f>HYPERLINK("https://twitter.com/burhan_dinler/status/1181938547059777541","1181938547059777541")</f>
        <v>1181938547059777541</v>
      </c>
      <c r="F278" s="8" t="s">
        <v>2411</v>
      </c>
      <c r="G278" s="14" t="s">
        <v>2412</v>
      </c>
      <c r="H278" s="8"/>
      <c r="I278" s="15">
        <v>0</v>
      </c>
      <c r="J278" s="15">
        <v>1</v>
      </c>
      <c r="K278" s="12" t="str">
        <f>HYPERLINK("http://twitter.com/download/android","Twitter for Android")</f>
        <v>Twitter for Android</v>
      </c>
      <c r="L278" s="16">
        <v>36</v>
      </c>
      <c r="M278" s="16">
        <v>80</v>
      </c>
      <c r="N278" s="16">
        <v>0</v>
      </c>
      <c r="O278" s="17"/>
      <c r="P278" s="18">
        <v>42092.478680555556</v>
      </c>
      <c r="Q278" s="7"/>
      <c r="R278" s="7" t="s">
        <v>2415</v>
      </c>
      <c r="S278" s="7"/>
      <c r="T278" s="8"/>
      <c r="U278" s="19" t="str">
        <f>HYPERLINK("https://pbs.twimg.com/profile_images/1053968438597746688/bI6g1fsl.jpg","View")</f>
        <v>View</v>
      </c>
      <c r="V278" s="8"/>
      <c r="W278" s="8"/>
      <c r="X278" s="8"/>
      <c r="Y278" s="8"/>
      <c r="Z278" s="8"/>
    </row>
    <row r="279" spans="1:26" ht="12.75">
      <c r="A279" s="11">
        <v>43747.308819444443</v>
      </c>
      <c r="B279" s="12" t="str">
        <f>HYPERLINK("https://twitter.com/Hussein79707041","@Hussein79707041")</f>
        <v>@Hussein79707041</v>
      </c>
      <c r="C279" s="7" t="s">
        <v>2416</v>
      </c>
      <c r="D279" s="7" t="s">
        <v>2418</v>
      </c>
      <c r="E279" s="12" t="str">
        <f>HYPERLINK("https://twitter.com/Hussein79707041/status/1181938542861340672","1181938542861340672")</f>
        <v>1181938542861340672</v>
      </c>
      <c r="F279" s="8"/>
      <c r="G279" s="14" t="s">
        <v>2419</v>
      </c>
      <c r="H279" s="8"/>
      <c r="I279" s="15">
        <v>0</v>
      </c>
      <c r="J279" s="15">
        <v>1</v>
      </c>
      <c r="K279" s="12" t="str">
        <f>HYPERLINK("http://twitter.com/download/android","Twitter for Android")</f>
        <v>Twitter for Android</v>
      </c>
      <c r="L279" s="16">
        <v>23</v>
      </c>
      <c r="M279" s="16">
        <v>123</v>
      </c>
      <c r="N279" s="16">
        <v>0</v>
      </c>
      <c r="O279" s="17"/>
      <c r="P279" s="18">
        <v>43627.664965277778</v>
      </c>
      <c r="Q279" s="7"/>
      <c r="R279" s="7" t="s">
        <v>2421</v>
      </c>
      <c r="S279" s="15"/>
      <c r="T279" s="8"/>
      <c r="U279" s="19" t="str">
        <f>HYPERLINK("https://pbs.twimg.com/profile_images/1148499944455753728/E3cUMTP8.jpg","View")</f>
        <v>View</v>
      </c>
      <c r="V279" s="8"/>
      <c r="W279" s="8"/>
      <c r="X279" s="8"/>
      <c r="Y279" s="8"/>
      <c r="Z279" s="8"/>
    </row>
    <row r="280" spans="1:26" ht="12.75">
      <c r="A280" s="11">
        <v>43747.308738425927</v>
      </c>
      <c r="B280" s="12" t="str">
        <f>HYPERLINK("https://twitter.com/vera571_","@vera571_")</f>
        <v>@vera571_</v>
      </c>
      <c r="C280" s="7" t="s">
        <v>2427</v>
      </c>
      <c r="D280" s="7" t="s">
        <v>2428</v>
      </c>
      <c r="E280" s="12" t="str">
        <f>HYPERLINK("https://twitter.com/vera571_/status/1181938512146378752","1181938512146378752")</f>
        <v>1181938512146378752</v>
      </c>
      <c r="F280" s="8"/>
      <c r="G280" s="14" t="s">
        <v>2429</v>
      </c>
      <c r="H280" s="8"/>
      <c r="I280" s="15">
        <v>1</v>
      </c>
      <c r="J280" s="15">
        <v>13</v>
      </c>
      <c r="K280" s="12" t="str">
        <f>HYPERLINK("http://twitter.com/download/android","Twitter for Android")</f>
        <v>Twitter for Android</v>
      </c>
      <c r="L280" s="16">
        <v>2727</v>
      </c>
      <c r="M280" s="16">
        <v>2576</v>
      </c>
      <c r="N280" s="16">
        <v>1</v>
      </c>
      <c r="O280" s="17"/>
      <c r="P280" s="18">
        <v>43400.92392361111</v>
      </c>
      <c r="Q280" s="7" t="s">
        <v>200</v>
      </c>
      <c r="R280" s="7" t="s">
        <v>2433</v>
      </c>
      <c r="S280" s="15"/>
      <c r="T280" s="8"/>
      <c r="U280" s="19" t="str">
        <f>HYPERLINK("https://pbs.twimg.com/profile_images/1151815379007750144/prcDsrGC.jpg","View")</f>
        <v>View</v>
      </c>
      <c r="V280" s="8"/>
      <c r="W280" s="8"/>
      <c r="X280" s="8"/>
      <c r="Y280" s="8"/>
      <c r="Z280" s="8"/>
    </row>
    <row r="281" spans="1:26" ht="12.75">
      <c r="A281" s="11">
        <v>43747.30868055555</v>
      </c>
      <c r="B281" s="12" t="str">
        <f>HYPERLINK("https://twitter.com/sonustundag","@sonustundag")</f>
        <v>@sonustundag</v>
      </c>
      <c r="C281" s="7" t="s">
        <v>2440</v>
      </c>
      <c r="D281" s="7" t="s">
        <v>2441</v>
      </c>
      <c r="E281" s="12" t="str">
        <f>HYPERLINK("https://twitter.com/sonustundag/status/1181938493515321344","1181938493515321344")</f>
        <v>1181938493515321344</v>
      </c>
      <c r="F281" s="8"/>
      <c r="G281" s="14" t="s">
        <v>2442</v>
      </c>
      <c r="H281" s="8"/>
      <c r="I281" s="15">
        <v>0</v>
      </c>
      <c r="J281" s="15">
        <v>0</v>
      </c>
      <c r="K281" s="12" t="str">
        <f>HYPERLINK("http://twitter.com/download/iphone","Twitter for iPhone")</f>
        <v>Twitter for iPhone</v>
      </c>
      <c r="L281" s="16">
        <v>167</v>
      </c>
      <c r="M281" s="16">
        <v>314</v>
      </c>
      <c r="N281" s="16">
        <v>0</v>
      </c>
      <c r="O281" s="17"/>
      <c r="P281" s="18">
        <v>41319.018564814818</v>
      </c>
      <c r="Q281" s="7"/>
      <c r="R281" s="7" t="s">
        <v>2445</v>
      </c>
      <c r="S281" s="7"/>
      <c r="T281" s="8"/>
      <c r="U281" s="19" t="str">
        <f>HYPERLINK("https://pbs.twimg.com/profile_images/823458354915868672/nMYxjJqp.jpg","View")</f>
        <v>View</v>
      </c>
      <c r="V281" s="8"/>
      <c r="W281" s="8"/>
      <c r="X281" s="8"/>
      <c r="Y281" s="8"/>
      <c r="Z281" s="8"/>
    </row>
    <row r="282" spans="1:26" ht="12.75">
      <c r="A282" s="11">
        <v>43747.308668981481</v>
      </c>
      <c r="B282" s="12" t="str">
        <f>HYPERLINK("https://twitter.com/turkotello","@turkotello")</f>
        <v>@turkotello</v>
      </c>
      <c r="C282" s="7" t="s">
        <v>2447</v>
      </c>
      <c r="D282" s="7" t="s">
        <v>2448</v>
      </c>
      <c r="E282" s="12" t="str">
        <f>HYPERLINK("https://twitter.com/turkotello/status/1181938489706893313","1181938489706893313")</f>
        <v>1181938489706893313</v>
      </c>
      <c r="F282" s="8"/>
      <c r="G282" s="7"/>
      <c r="H282" s="8"/>
      <c r="I282" s="15">
        <v>0</v>
      </c>
      <c r="J282" s="15">
        <v>1</v>
      </c>
      <c r="K282" s="12" t="str">
        <f>HYPERLINK("http://twitter.com/download/android","Twitter for Android")</f>
        <v>Twitter for Android</v>
      </c>
      <c r="L282" s="16">
        <v>104</v>
      </c>
      <c r="M282" s="16">
        <v>399</v>
      </c>
      <c r="N282" s="16">
        <v>0</v>
      </c>
      <c r="O282" s="17"/>
      <c r="P282" s="18">
        <v>40251.082314814819</v>
      </c>
      <c r="Q282" s="7"/>
      <c r="R282" s="7" t="s">
        <v>2450</v>
      </c>
      <c r="S282" s="7"/>
      <c r="T282" s="8"/>
      <c r="U282" s="19" t="str">
        <f>HYPERLINK("https://pbs.twimg.com/profile_images/966865720809345024/LuJoT1TN.jpg","View")</f>
        <v>View</v>
      </c>
      <c r="V282" s="8"/>
      <c r="W282" s="8"/>
      <c r="X282" s="8"/>
      <c r="Y282" s="8"/>
      <c r="Z282" s="8"/>
    </row>
    <row r="283" spans="1:26" ht="12.75">
      <c r="A283" s="11">
        <v>43747.308657407411</v>
      </c>
      <c r="B283" s="12" t="str">
        <f>HYPERLINK("https://twitter.com/YesiltasSeyhmus","@YesiltasSeyhmus")</f>
        <v>@YesiltasSeyhmus</v>
      </c>
      <c r="C283" s="7" t="s">
        <v>2451</v>
      </c>
      <c r="D283" s="7" t="s">
        <v>2452</v>
      </c>
      <c r="E283" s="12" t="str">
        <f>HYPERLINK("https://twitter.com/YesiltasSeyhmus/status/1181938481808982016","1181938481808982016")</f>
        <v>1181938481808982016</v>
      </c>
      <c r="F283" s="8"/>
      <c r="G283" s="14" t="s">
        <v>2453</v>
      </c>
      <c r="H283" s="8"/>
      <c r="I283" s="15">
        <v>0</v>
      </c>
      <c r="J283" s="15">
        <v>1</v>
      </c>
      <c r="K283" s="12" t="str">
        <f>HYPERLINK("http://twitter.com/download/android","Twitter for Android")</f>
        <v>Twitter for Android</v>
      </c>
      <c r="L283" s="16">
        <v>57</v>
      </c>
      <c r="M283" s="16">
        <v>49</v>
      </c>
      <c r="N283" s="16">
        <v>0</v>
      </c>
      <c r="O283" s="17"/>
      <c r="P283" s="18">
        <v>43447.161111111112</v>
      </c>
      <c r="Q283" s="7" t="s">
        <v>80</v>
      </c>
      <c r="R283" s="7" t="s">
        <v>2457</v>
      </c>
      <c r="S283" s="7"/>
      <c r="T283" s="8"/>
      <c r="U283" s="19" t="str">
        <f>HYPERLINK("https://pbs.twimg.com/profile_images/1173852284939382785/sIlIplo9.jpg","View")</f>
        <v>View</v>
      </c>
      <c r="V283" s="8"/>
      <c r="W283" s="8"/>
      <c r="X283" s="8"/>
      <c r="Y283" s="8"/>
      <c r="Z283" s="8"/>
    </row>
    <row r="284" spans="1:26" ht="12.75">
      <c r="A284" s="11">
        <v>43747.308622685188</v>
      </c>
      <c r="B284" s="12" t="str">
        <f>HYPERLINK("https://twitter.com/hudereskisehir","@hudereskisehir")</f>
        <v>@hudereskisehir</v>
      </c>
      <c r="C284" s="7" t="s">
        <v>2458</v>
      </c>
      <c r="D284" s="7" t="s">
        <v>1077</v>
      </c>
      <c r="E284" s="12" t="str">
        <f>HYPERLINK("https://twitter.com/hudereskisehir/status/1181938472065683456","1181938472065683456")</f>
        <v>1181938472065683456</v>
      </c>
      <c r="F284" s="8"/>
      <c r="G284" s="14" t="s">
        <v>2459</v>
      </c>
      <c r="H284" s="8"/>
      <c r="I284" s="15">
        <v>0</v>
      </c>
      <c r="J284" s="15">
        <v>1</v>
      </c>
      <c r="K284" s="12" t="str">
        <f>HYPERLINK("http://twitter.com/download/iphone","Twitter for iPhone")</f>
        <v>Twitter for iPhone</v>
      </c>
      <c r="L284" s="16">
        <v>309</v>
      </c>
      <c r="M284" s="16">
        <v>117</v>
      </c>
      <c r="N284" s="16">
        <v>0</v>
      </c>
      <c r="O284" s="17"/>
      <c r="P284" s="18">
        <v>42783.023495370369</v>
      </c>
      <c r="Q284" s="7"/>
      <c r="R284" s="7" t="s">
        <v>2463</v>
      </c>
      <c r="S284" s="7"/>
      <c r="T284" s="8"/>
      <c r="U284" s="19" t="str">
        <f>HYPERLINK("https://pbs.twimg.com/profile_images/943167635184914432/EHd6_oNN.jpg","View")</f>
        <v>View</v>
      </c>
      <c r="V284" s="8"/>
      <c r="W284" s="8"/>
      <c r="X284" s="8"/>
      <c r="Y284" s="8"/>
      <c r="Z284" s="8"/>
    </row>
    <row r="285" spans="1:26" ht="12.75">
      <c r="A285" s="11">
        <v>43747.308611111112</v>
      </c>
      <c r="B285" s="12" t="str">
        <f>HYPERLINK("https://twitter.com/apakay06","@apakay06")</f>
        <v>@apakay06</v>
      </c>
      <c r="C285" s="7" t="s">
        <v>2465</v>
      </c>
      <c r="D285" s="7" t="s">
        <v>2466</v>
      </c>
      <c r="E285" s="12" t="str">
        <f>HYPERLINK("https://twitter.com/apakay06/status/1181938467988791299","1181938467988791299")</f>
        <v>1181938467988791299</v>
      </c>
      <c r="F285" s="8"/>
      <c r="G285" s="14" t="s">
        <v>2468</v>
      </c>
      <c r="H285" s="8"/>
      <c r="I285" s="15">
        <v>0</v>
      </c>
      <c r="J285" s="15">
        <v>1</v>
      </c>
      <c r="K285" s="12" t="str">
        <f>HYPERLINK("http://twitter.com/download/android","Twitter for Android")</f>
        <v>Twitter for Android</v>
      </c>
      <c r="L285" s="16">
        <v>383</v>
      </c>
      <c r="M285" s="16">
        <v>186</v>
      </c>
      <c r="N285" s="16">
        <v>0</v>
      </c>
      <c r="O285" s="17"/>
      <c r="P285" s="18">
        <v>42164.2341087963</v>
      </c>
      <c r="Q285" s="7"/>
      <c r="R285" s="7" t="s">
        <v>2470</v>
      </c>
      <c r="S285" s="7"/>
      <c r="T285" s="8"/>
      <c r="U285" s="19" t="str">
        <f>HYPERLINK("https://pbs.twimg.com/profile_images/1178068508837650443/B_clBXTw.jpg","View")</f>
        <v>View</v>
      </c>
      <c r="V285" s="8"/>
      <c r="W285" s="8"/>
      <c r="X285" s="8"/>
      <c r="Y285" s="8"/>
      <c r="Z285" s="8"/>
    </row>
    <row r="286" spans="1:26" ht="12.75">
      <c r="A286" s="11">
        <v>43747.308587962965</v>
      </c>
      <c r="B286" s="12" t="str">
        <f>HYPERLINK("https://twitter.com/barisgltkn5","@barisgltkn5")</f>
        <v>@barisgltkn5</v>
      </c>
      <c r="C286" s="7" t="s">
        <v>2474</v>
      </c>
      <c r="D286" s="7" t="s">
        <v>2475</v>
      </c>
      <c r="E286" s="12" t="str">
        <f>HYPERLINK("https://twitter.com/barisgltkn5/status/1181938460019560449","1181938460019560449")</f>
        <v>1181938460019560449</v>
      </c>
      <c r="F286" s="14" t="s">
        <v>2476</v>
      </c>
      <c r="G286" s="14" t="s">
        <v>2477</v>
      </c>
      <c r="H286" s="8"/>
      <c r="I286" s="15">
        <v>0</v>
      </c>
      <c r="J286" s="15">
        <v>0</v>
      </c>
      <c r="K286" s="12" t="str">
        <f>HYPERLINK("http://twitter.com/download/iphone","Twitter for iPhone")</f>
        <v>Twitter for iPhone</v>
      </c>
      <c r="L286" s="16">
        <v>140</v>
      </c>
      <c r="M286" s="16">
        <v>136</v>
      </c>
      <c r="N286" s="16">
        <v>0</v>
      </c>
      <c r="O286" s="17"/>
      <c r="P286" s="18">
        <v>42778.240324074075</v>
      </c>
      <c r="Q286" s="7" t="s">
        <v>313</v>
      </c>
      <c r="R286" s="7" t="s">
        <v>2481</v>
      </c>
      <c r="S286" s="7"/>
      <c r="T286" s="8"/>
      <c r="U286" s="19" t="str">
        <f>HYPERLINK("https://pbs.twimg.com/profile_images/1141816685952942086/71E6AcqO.jpg","View")</f>
        <v>View</v>
      </c>
      <c r="V286" s="8"/>
      <c r="W286" s="8"/>
      <c r="X286" s="8"/>
      <c r="Y286" s="8"/>
      <c r="Z286" s="8"/>
    </row>
    <row r="287" spans="1:26" ht="12.75">
      <c r="A287" s="11">
        <v>43747.308530092589</v>
      </c>
      <c r="B287" s="12" t="str">
        <f>HYPERLINK("https://twitter.com/Gyropolis","@Gyropolis")</f>
        <v>@Gyropolis</v>
      </c>
      <c r="C287" s="7" t="s">
        <v>2483</v>
      </c>
      <c r="D287" s="7" t="s">
        <v>2485</v>
      </c>
      <c r="E287" s="12" t="str">
        <f>HYPERLINK("https://twitter.com/Gyropolis/status/1181938438511235072","1181938438511235072")</f>
        <v>1181938438511235072</v>
      </c>
      <c r="F287" s="8"/>
      <c r="G287" s="7"/>
      <c r="H287" s="8"/>
      <c r="I287" s="15">
        <v>0</v>
      </c>
      <c r="J287" s="15">
        <v>0</v>
      </c>
      <c r="K287" s="12" t="str">
        <f>HYPERLINK("http://twitter.com/download/iphone","Twitter for iPhone")</f>
        <v>Twitter for iPhone</v>
      </c>
      <c r="L287" s="16">
        <v>174</v>
      </c>
      <c r="M287" s="16">
        <v>1102</v>
      </c>
      <c r="N287" s="16">
        <v>0</v>
      </c>
      <c r="O287" s="17"/>
      <c r="P287" s="18">
        <v>40483.686180555553</v>
      </c>
      <c r="Q287" s="7"/>
      <c r="R287" s="7"/>
      <c r="S287" s="14" t="s">
        <v>2486</v>
      </c>
      <c r="T287" s="8"/>
      <c r="U287" s="19" t="str">
        <f>HYPERLINK("https://pbs.twimg.com/profile_images/1081657881538322435/hye_ylzu.jpg","View")</f>
        <v>View</v>
      </c>
      <c r="V287" s="8"/>
      <c r="W287" s="8"/>
      <c r="X287" s="8"/>
      <c r="Y287" s="8"/>
      <c r="Z287" s="8"/>
    </row>
    <row r="288" spans="1:26" ht="12.75">
      <c r="A288" s="11">
        <v>43747.30850694445</v>
      </c>
      <c r="B288" s="12" t="str">
        <f>HYPERLINK("https://twitter.com/HarunYlkn","@HarunYlkn")</f>
        <v>@HarunYlkn</v>
      </c>
      <c r="C288" s="7" t="s">
        <v>2490</v>
      </c>
      <c r="D288" s="7" t="s">
        <v>2491</v>
      </c>
      <c r="E288" s="12" t="str">
        <f>HYPERLINK("https://twitter.com/HarunYlkn/status/1181938427664699392","1181938427664699392")</f>
        <v>1181938427664699392</v>
      </c>
      <c r="F288" s="8"/>
      <c r="G288" s="7"/>
      <c r="H288" s="8"/>
      <c r="I288" s="15">
        <v>0</v>
      </c>
      <c r="J288" s="15">
        <v>0</v>
      </c>
      <c r="K288" s="12" t="str">
        <f>HYPERLINK("http://twitter.com/download/android","Twitter for Android")</f>
        <v>Twitter for Android</v>
      </c>
      <c r="L288" s="16">
        <v>58</v>
      </c>
      <c r="M288" s="16">
        <v>166</v>
      </c>
      <c r="N288" s="16">
        <v>0</v>
      </c>
      <c r="O288" s="17"/>
      <c r="P288" s="18">
        <v>40434.135821759257</v>
      </c>
      <c r="Q288" s="7" t="s">
        <v>668</v>
      </c>
      <c r="R288" s="7"/>
      <c r="S288" s="15"/>
      <c r="T288" s="8"/>
      <c r="U288" s="19" t="str">
        <f>HYPERLINK("https://pbs.twimg.com/profile_images/756152084555268101/ZKPVUXFt.jpg","View")</f>
        <v>View</v>
      </c>
      <c r="V288" s="8"/>
      <c r="W288" s="8"/>
      <c r="X288" s="8"/>
      <c r="Y288" s="8"/>
      <c r="Z288" s="8"/>
    </row>
    <row r="289" spans="1:26" ht="12.75">
      <c r="A289" s="11">
        <v>43747.30850694445</v>
      </c>
      <c r="B289" s="12" t="str">
        <f>HYPERLINK("https://twitter.com/vahitaksuy","@vahitaksuy")</f>
        <v>@vahitaksuy</v>
      </c>
      <c r="C289" s="7" t="s">
        <v>2494</v>
      </c>
      <c r="D289" s="7" t="s">
        <v>2495</v>
      </c>
      <c r="E289" s="12" t="str">
        <f>HYPERLINK("https://twitter.com/vahitaksuy/status/1181938427169841152","1181938427169841152")</f>
        <v>1181938427169841152</v>
      </c>
      <c r="F289" s="8"/>
      <c r="G289" s="15"/>
      <c r="H289" s="8"/>
      <c r="I289" s="15">
        <v>0</v>
      </c>
      <c r="J289" s="15">
        <v>1</v>
      </c>
      <c r="K289" s="12" t="str">
        <f>HYPERLINK("http://twitter.com/download/iphone","Twitter for iPhone")</f>
        <v>Twitter for iPhone</v>
      </c>
      <c r="L289" s="16">
        <v>77</v>
      </c>
      <c r="M289" s="16">
        <v>121</v>
      </c>
      <c r="N289" s="16">
        <v>0</v>
      </c>
      <c r="O289" s="17"/>
      <c r="P289" s="18">
        <v>41682.448425925926</v>
      </c>
      <c r="Q289" s="7"/>
      <c r="R289" s="7"/>
      <c r="S289" s="7"/>
      <c r="T289" s="8"/>
      <c r="U289" s="19" t="str">
        <f>HYPERLINK("https://pbs.twimg.com/profile_images/1162004473360920578/Je1vwKOR.jpg","View")</f>
        <v>View</v>
      </c>
      <c r="V289" s="8"/>
      <c r="W289" s="8"/>
      <c r="X289" s="8"/>
      <c r="Y289" s="8"/>
      <c r="Z289" s="8"/>
    </row>
    <row r="290" spans="1:26" ht="12.75">
      <c r="A290" s="11">
        <v>43747.308495370366</v>
      </c>
      <c r="B290" s="12" t="str">
        <f>HYPERLINK("https://twitter.com/engin1974","@engin1974")</f>
        <v>@engin1974</v>
      </c>
      <c r="C290" s="7" t="s">
        <v>2499</v>
      </c>
      <c r="D290" s="7" t="s">
        <v>2500</v>
      </c>
      <c r="E290" s="12" t="str">
        <f>HYPERLINK("https://twitter.com/engin1974/status/1181938425718611969","1181938425718611969")</f>
        <v>1181938425718611969</v>
      </c>
      <c r="F290" s="14" t="s">
        <v>2501</v>
      </c>
      <c r="G290" s="14" t="s">
        <v>2502</v>
      </c>
      <c r="H290" s="8"/>
      <c r="I290" s="15">
        <v>0</v>
      </c>
      <c r="J290" s="15">
        <v>0</v>
      </c>
      <c r="K290" s="12" t="str">
        <f>HYPERLINK("http://twitter.com/download/iphone","Twitter for iPhone")</f>
        <v>Twitter for iPhone</v>
      </c>
      <c r="L290" s="16">
        <v>882</v>
      </c>
      <c r="M290" s="16">
        <v>2139</v>
      </c>
      <c r="N290" s="16">
        <v>0</v>
      </c>
      <c r="O290" s="17"/>
      <c r="P290" s="18">
        <v>40706.157488425924</v>
      </c>
      <c r="Q290" s="7" t="s">
        <v>313</v>
      </c>
      <c r="R290" s="7" t="s">
        <v>2504</v>
      </c>
      <c r="S290" s="7"/>
      <c r="T290" s="8"/>
      <c r="U290" s="19" t="str">
        <f>HYPERLINK("https://pbs.twimg.com/profile_images/1126584251317719040/lLQCqjCw.jpg","View")</f>
        <v>View</v>
      </c>
      <c r="V290" s="8"/>
      <c r="W290" s="8"/>
      <c r="X290" s="8"/>
      <c r="Y290" s="8"/>
      <c r="Z290" s="8"/>
    </row>
    <row r="291" spans="1:26" ht="12.75">
      <c r="A291" s="11">
        <v>43747.308495370366</v>
      </c>
      <c r="B291" s="12" t="str">
        <f>HYPERLINK("https://twitter.com/komashin502","@komashin502")</f>
        <v>@komashin502</v>
      </c>
      <c r="C291" s="7" t="s">
        <v>2505</v>
      </c>
      <c r="D291" s="7" t="s">
        <v>2506</v>
      </c>
      <c r="E291" s="12" t="str">
        <f>HYPERLINK("https://twitter.com/komashin502/status/1181938423759884288","1181938423759884288")</f>
        <v>1181938423759884288</v>
      </c>
      <c r="F291" s="8"/>
      <c r="G291" s="7"/>
      <c r="H291" s="8"/>
      <c r="I291" s="15">
        <v>0</v>
      </c>
      <c r="J291" s="15">
        <v>0</v>
      </c>
      <c r="K291" s="12" t="str">
        <f>HYPERLINK("http://twitter.com/download/iphone","Twitter for iPhone")</f>
        <v>Twitter for iPhone</v>
      </c>
      <c r="L291" s="16">
        <v>1311</v>
      </c>
      <c r="M291" s="16">
        <v>378</v>
      </c>
      <c r="N291" s="16">
        <v>34</v>
      </c>
      <c r="O291" s="17"/>
      <c r="P291" s="18">
        <v>40715.137638888889</v>
      </c>
      <c r="Q291" s="7" t="s">
        <v>2509</v>
      </c>
      <c r="R291" s="7" t="s">
        <v>2510</v>
      </c>
      <c r="S291" s="14" t="s">
        <v>2511</v>
      </c>
      <c r="T291" s="8"/>
      <c r="U291" s="19" t="str">
        <f>HYPERLINK("https://pbs.twimg.com/profile_images/1166809266302439426/nlR2a_Lj.jpg","View")</f>
        <v>View</v>
      </c>
      <c r="V291" s="8"/>
      <c r="W291" s="8"/>
      <c r="X291" s="8"/>
      <c r="Y291" s="8"/>
      <c r="Z291" s="8"/>
    </row>
    <row r="292" spans="1:26" ht="12.75">
      <c r="A292" s="11">
        <v>43747.30846064815</v>
      </c>
      <c r="B292" s="12" t="str">
        <f>HYPERLINK("https://twitter.com/Hakannen11","@Hakannen11")</f>
        <v>@Hakannen11</v>
      </c>
      <c r="C292" s="7" t="s">
        <v>2515</v>
      </c>
      <c r="D292" s="7" t="s">
        <v>2516</v>
      </c>
      <c r="E292" s="12" t="str">
        <f>HYPERLINK("https://twitter.com/Hakannen11/status/1181938413357936640","1181938413357936640")</f>
        <v>1181938413357936640</v>
      </c>
      <c r="F292" s="8"/>
      <c r="G292" s="14" t="s">
        <v>2517</v>
      </c>
      <c r="H292" s="8"/>
      <c r="I292" s="15">
        <v>0</v>
      </c>
      <c r="J292" s="15">
        <v>1</v>
      </c>
      <c r="K292" s="12" t="str">
        <f>HYPERLINK("http://twitter.com/download/iphone","Twitter for iPhone")</f>
        <v>Twitter for iPhone</v>
      </c>
      <c r="L292" s="16">
        <v>99</v>
      </c>
      <c r="M292" s="16">
        <v>136</v>
      </c>
      <c r="N292" s="16">
        <v>0</v>
      </c>
      <c r="O292" s="17"/>
      <c r="P292" s="18">
        <v>43534.389224537037</v>
      </c>
      <c r="Q292" s="7" t="s">
        <v>2520</v>
      </c>
      <c r="R292" s="7"/>
      <c r="S292" s="15"/>
      <c r="T292" s="8"/>
      <c r="U292" s="19" t="str">
        <f>HYPERLINK("https://pbs.twimg.com/profile_images/1107090214617518080/MNFUaaju.jpg","View")</f>
        <v>View</v>
      </c>
      <c r="V292" s="8"/>
      <c r="W292" s="8"/>
      <c r="X292" s="8"/>
      <c r="Y292" s="8"/>
      <c r="Z292" s="8"/>
    </row>
    <row r="293" spans="1:26" ht="12.75">
      <c r="A293" s="11">
        <v>43747.308425925927</v>
      </c>
      <c r="B293" s="12" t="str">
        <f>HYPERLINK("https://twitter.com/ResulParlak25","@ResulParlak25")</f>
        <v>@ResulParlak25</v>
      </c>
      <c r="C293" s="7" t="s">
        <v>2532</v>
      </c>
      <c r="D293" s="7" t="s">
        <v>2533</v>
      </c>
      <c r="E293" s="12" t="str">
        <f>HYPERLINK("https://twitter.com/ResulParlak25/status/1181938400292720641","1181938400292720641")</f>
        <v>1181938400292720641</v>
      </c>
      <c r="F293" s="8"/>
      <c r="G293" s="14" t="s">
        <v>2534</v>
      </c>
      <c r="H293" s="8"/>
      <c r="I293" s="15">
        <v>0</v>
      </c>
      <c r="J293" s="15">
        <v>1</v>
      </c>
      <c r="K293" s="12" t="str">
        <f>HYPERLINK("http://twitter.com/download/android","Twitter for Android")</f>
        <v>Twitter for Android</v>
      </c>
      <c r="L293" s="16">
        <v>482</v>
      </c>
      <c r="M293" s="16">
        <v>426</v>
      </c>
      <c r="N293" s="16">
        <v>1</v>
      </c>
      <c r="O293" s="17"/>
      <c r="P293" s="18">
        <v>41226.256655092591</v>
      </c>
      <c r="Q293" s="7"/>
      <c r="R293" s="7" t="s">
        <v>2538</v>
      </c>
      <c r="S293" s="15"/>
      <c r="T293" s="8"/>
      <c r="U293" s="19" t="str">
        <f>HYPERLINK("https://pbs.twimg.com/profile_images/1171151019268628481/kIaNY4vO.jpg","View")</f>
        <v>View</v>
      </c>
      <c r="V293" s="8"/>
      <c r="W293" s="8"/>
      <c r="X293" s="8"/>
      <c r="Y293" s="8"/>
      <c r="Z293" s="8"/>
    </row>
    <row r="294" spans="1:26" ht="12.75">
      <c r="A294" s="11">
        <v>43747.308379629627</v>
      </c>
      <c r="B294" s="12" t="str">
        <f>HYPERLINK("https://twitter.com/mertemiroglu3","@mertemiroglu3")</f>
        <v>@mertemiroglu3</v>
      </c>
      <c r="C294" s="7" t="s">
        <v>2540</v>
      </c>
      <c r="D294" s="7" t="s">
        <v>2541</v>
      </c>
      <c r="E294" s="12" t="str">
        <f>HYPERLINK("https://twitter.com/mertemiroglu3/status/1181938383490297861","1181938383490297861")</f>
        <v>1181938383490297861</v>
      </c>
      <c r="F294" s="8"/>
      <c r="G294" s="7"/>
      <c r="H294" s="8"/>
      <c r="I294" s="15">
        <v>0</v>
      </c>
      <c r="J294" s="15">
        <v>20</v>
      </c>
      <c r="K294" s="12" t="str">
        <f>HYPERLINK("http://twitter.com/download/iphone","Twitter for iPhone")</f>
        <v>Twitter for iPhone</v>
      </c>
      <c r="L294" s="16">
        <v>1588</v>
      </c>
      <c r="M294" s="16">
        <v>758</v>
      </c>
      <c r="N294" s="16">
        <v>0</v>
      </c>
      <c r="O294" s="17"/>
      <c r="P294" s="18">
        <v>43141.531284722223</v>
      </c>
      <c r="Q294" s="7"/>
      <c r="R294" s="7"/>
      <c r="S294" s="7"/>
      <c r="T294" s="8"/>
      <c r="U294" s="19" t="str">
        <f>HYPERLINK("https://pbs.twimg.com/profile_images/1176891121718439940/4BLCGvuO.jpg","View")</f>
        <v>View</v>
      </c>
      <c r="V294" s="8"/>
      <c r="W294" s="8"/>
      <c r="X294" s="8"/>
      <c r="Y294" s="8"/>
      <c r="Z294" s="8"/>
    </row>
    <row r="295" spans="1:26" ht="12.75">
      <c r="A295" s="11">
        <v>43747.308344907404</v>
      </c>
      <c r="B295" s="12" t="str">
        <f>HYPERLINK("https://twitter.com/xSoulHunterDKx","@xSoulHunterDKx")</f>
        <v>@xSoulHunterDKx</v>
      </c>
      <c r="C295" s="7" t="s">
        <v>2548</v>
      </c>
      <c r="D295" s="7" t="s">
        <v>2549</v>
      </c>
      <c r="E295" s="12" t="str">
        <f>HYPERLINK("https://twitter.com/xSoulHunterDKx/status/1181938370664108032","1181938370664108032")</f>
        <v>1181938370664108032</v>
      </c>
      <c r="F295" s="8"/>
      <c r="G295" s="15"/>
      <c r="H295" s="8"/>
      <c r="I295" s="15">
        <v>0</v>
      </c>
      <c r="J295" s="15">
        <v>0</v>
      </c>
      <c r="K295" s="12" t="str">
        <f>HYPERLINK("http://twitter.com/download/iphone","Twitter for iPhone")</f>
        <v>Twitter for iPhone</v>
      </c>
      <c r="L295" s="16">
        <v>34</v>
      </c>
      <c r="M295" s="16">
        <v>193</v>
      </c>
      <c r="N295" s="16">
        <v>7</v>
      </c>
      <c r="O295" s="17"/>
      <c r="P295" s="18">
        <v>42360.110671296294</v>
      </c>
      <c r="Q295" s="7" t="s">
        <v>2550</v>
      </c>
      <c r="R295" s="7" t="s">
        <v>2551</v>
      </c>
      <c r="S295" s="7"/>
      <c r="T295" s="8"/>
      <c r="U295" s="19" t="str">
        <f>HYPERLINK("https://pbs.twimg.com/profile_images/881241631579656193/euzvyU65.jpg","View")</f>
        <v>View</v>
      </c>
      <c r="V295" s="8"/>
      <c r="W295" s="8"/>
      <c r="X295" s="8"/>
      <c r="Y295" s="8"/>
      <c r="Z295" s="8"/>
    </row>
    <row r="296" spans="1:26" ht="12.75">
      <c r="A296" s="11">
        <v>43747.308298611111</v>
      </c>
      <c r="B296" s="12" t="str">
        <f>HYPERLINK("https://twitter.com/drsibility","@drsibility")</f>
        <v>@drsibility</v>
      </c>
      <c r="C296" s="7" t="s">
        <v>2555</v>
      </c>
      <c r="D296" s="7" t="s">
        <v>2556</v>
      </c>
      <c r="E296" s="12" t="str">
        <f>HYPERLINK("https://twitter.com/drsibility/status/1181938355128459266","1181938355128459266")</f>
        <v>1181938355128459266</v>
      </c>
      <c r="F296" s="8"/>
      <c r="G296" s="15"/>
      <c r="H296" s="8"/>
      <c r="I296" s="15">
        <v>0</v>
      </c>
      <c r="J296" s="15">
        <v>0</v>
      </c>
      <c r="K296" s="12" t="str">
        <f>HYPERLINK("http://twitter.com/download/iphone","Twitter for iPhone")</f>
        <v>Twitter for iPhone</v>
      </c>
      <c r="L296" s="16">
        <v>1166</v>
      </c>
      <c r="M296" s="16">
        <v>536</v>
      </c>
      <c r="N296" s="16">
        <v>0</v>
      </c>
      <c r="O296" s="17"/>
      <c r="P296" s="18">
        <v>42916.423136574071</v>
      </c>
      <c r="Q296" s="7"/>
      <c r="R296" s="7"/>
      <c r="S296" s="7"/>
      <c r="T296" s="8"/>
      <c r="U296" s="19" t="str">
        <f>HYPERLINK("https://pbs.twimg.com/profile_images/988901378193051649/h8SH0rmK.jpg","View")</f>
        <v>View</v>
      </c>
      <c r="V296" s="8"/>
      <c r="W296" s="8"/>
      <c r="X296" s="8"/>
      <c r="Y296" s="8"/>
      <c r="Z296" s="8"/>
    </row>
    <row r="297" spans="1:26" ht="12.75">
      <c r="A297" s="11">
        <v>43747.308298611111</v>
      </c>
      <c r="B297" s="12" t="str">
        <f>HYPERLINK("https://twitter.com/Turgut_Celik7","@Turgut_Celik7")</f>
        <v>@Turgut_Celik7</v>
      </c>
      <c r="C297" s="13" t="s">
        <v>2559</v>
      </c>
      <c r="D297" s="7" t="s">
        <v>2560</v>
      </c>
      <c r="E297" s="12" t="str">
        <f>HYPERLINK("https://twitter.com/Turgut_Celik7/status/1181938353798877184","1181938353798877184")</f>
        <v>1181938353798877184</v>
      </c>
      <c r="F297" s="8"/>
      <c r="G297" s="14" t="s">
        <v>2561</v>
      </c>
      <c r="H297" s="8"/>
      <c r="I297" s="15">
        <v>0</v>
      </c>
      <c r="J297" s="15">
        <v>0</v>
      </c>
      <c r="K297" s="12" t="str">
        <f>HYPERLINK("http://twitter.com/download/iphone","Twitter for iPhone")</f>
        <v>Twitter for iPhone</v>
      </c>
      <c r="L297" s="16">
        <v>108</v>
      </c>
      <c r="M297" s="16">
        <v>113</v>
      </c>
      <c r="N297" s="16">
        <v>1</v>
      </c>
      <c r="O297" s="17"/>
      <c r="P297" s="18">
        <v>41268.388368055559</v>
      </c>
      <c r="Q297" s="7" t="s">
        <v>2563</v>
      </c>
      <c r="R297" s="7" t="s">
        <v>2564</v>
      </c>
      <c r="S297" s="14" t="s">
        <v>2565</v>
      </c>
      <c r="T297" s="8"/>
      <c r="U297" s="19" t="str">
        <f>HYPERLINK("https://pbs.twimg.com/profile_images/1163113605593817088/31qzWZQ8.jpg","View")</f>
        <v>View</v>
      </c>
      <c r="V297" s="8"/>
      <c r="W297" s="8"/>
      <c r="X297" s="8"/>
      <c r="Y297" s="8"/>
      <c r="Z297" s="8"/>
    </row>
    <row r="298" spans="1:26" ht="12.75">
      <c r="A298" s="11">
        <v>43747.308217592596</v>
      </c>
      <c r="B298" s="12" t="str">
        <f>HYPERLINK("https://twitter.com/MuratKe95920876","@MuratKe95920876")</f>
        <v>@MuratKe95920876</v>
      </c>
      <c r="C298" s="7" t="s">
        <v>2571</v>
      </c>
      <c r="D298" s="7" t="s">
        <v>2572</v>
      </c>
      <c r="E298" s="12" t="str">
        <f>HYPERLINK("https://twitter.com/MuratKe95920876/status/1181938322475769856","1181938322475769856")</f>
        <v>1181938322475769856</v>
      </c>
      <c r="F298" s="8"/>
      <c r="G298" s="14" t="s">
        <v>2573</v>
      </c>
      <c r="H298" s="8"/>
      <c r="I298" s="15">
        <v>0</v>
      </c>
      <c r="J298" s="15">
        <v>0</v>
      </c>
      <c r="K298" s="12" t="str">
        <f>HYPERLINK("http://twitter.com/download/android","Twitter for Android")</f>
        <v>Twitter for Android</v>
      </c>
      <c r="L298" s="16">
        <v>90</v>
      </c>
      <c r="M298" s="16">
        <v>238</v>
      </c>
      <c r="N298" s="16">
        <v>0</v>
      </c>
      <c r="O298" s="17"/>
      <c r="P298" s="18">
        <v>43671.973171296297</v>
      </c>
      <c r="Q298" s="7" t="s">
        <v>2576</v>
      </c>
      <c r="R298" s="7" t="s">
        <v>2577</v>
      </c>
      <c r="S298" s="7"/>
      <c r="T298" s="8"/>
      <c r="U298" s="19" t="str">
        <f>HYPERLINK("https://pbs.twimg.com/profile_images/1154638026015985665/lwR-rZEJ.jpg","View")</f>
        <v>View</v>
      </c>
      <c r="V298" s="8"/>
      <c r="W298" s="8"/>
      <c r="X298" s="8"/>
      <c r="Y298" s="8"/>
      <c r="Z298" s="8"/>
    </row>
    <row r="299" spans="1:26" ht="12.75">
      <c r="A299" s="11">
        <v>43747.308206018519</v>
      </c>
      <c r="B299" s="12" t="str">
        <f>HYPERLINK("https://twitter.com/Yahya_Ali00","@Yahya_Ali00")</f>
        <v>@Yahya_Ali00</v>
      </c>
      <c r="C299" s="7" t="s">
        <v>2579</v>
      </c>
      <c r="D299" s="7" t="s">
        <v>2580</v>
      </c>
      <c r="E299" s="12" t="str">
        <f>HYPERLINK("https://twitter.com/Yahya_Ali00/status/1181938319518777346","1181938319518777346")</f>
        <v>1181938319518777346</v>
      </c>
      <c r="F299" s="8"/>
      <c r="G299" s="7"/>
      <c r="H299" s="8"/>
      <c r="I299" s="15">
        <v>0</v>
      </c>
      <c r="J299" s="15">
        <v>0</v>
      </c>
      <c r="K299" s="12" t="str">
        <f>HYPERLINK("http://twitter.com/download/android","Twitter for Android")</f>
        <v>Twitter for Android</v>
      </c>
      <c r="L299" s="16">
        <v>1629</v>
      </c>
      <c r="M299" s="16">
        <v>1897</v>
      </c>
      <c r="N299" s="16">
        <v>4</v>
      </c>
      <c r="O299" s="17"/>
      <c r="P299" s="18">
        <v>41644.015555555554</v>
      </c>
      <c r="Q299" s="7" t="s">
        <v>2582</v>
      </c>
      <c r="R299" s="7" t="s">
        <v>2584</v>
      </c>
      <c r="S299" s="7"/>
      <c r="T299" s="8"/>
      <c r="U299" s="19" t="str">
        <f>HYPERLINK("https://pbs.twimg.com/profile_images/1127078229410570240/vb9ayg1e.jpg","View")</f>
        <v>View</v>
      </c>
      <c r="V299" s="8"/>
      <c r="W299" s="8"/>
      <c r="X299" s="8"/>
      <c r="Y299" s="8"/>
      <c r="Z299" s="8"/>
    </row>
    <row r="300" spans="1:26" ht="12.75">
      <c r="A300" s="11">
        <v>43747.308171296296</v>
      </c>
      <c r="B300" s="12" t="str">
        <f>HYPERLINK("https://twitter.com/mehmetkornus","@mehmetkornus")</f>
        <v>@mehmetkornus</v>
      </c>
      <c r="C300" s="7" t="s">
        <v>2586</v>
      </c>
      <c r="D300" s="7" t="s">
        <v>2587</v>
      </c>
      <c r="E300" s="12" t="str">
        <f>HYPERLINK("https://twitter.com/mehmetkornus/status/1181938308181565440","1181938308181565440")</f>
        <v>1181938308181565440</v>
      </c>
      <c r="F300" s="14" t="s">
        <v>2588</v>
      </c>
      <c r="G300" s="7"/>
      <c r="H300" s="8"/>
      <c r="I300" s="15">
        <v>0</v>
      </c>
      <c r="J300" s="15">
        <v>0</v>
      </c>
      <c r="K300" s="12" t="str">
        <f>HYPERLINK("http://twitter.com/download/android","Twitter for Android")</f>
        <v>Twitter for Android</v>
      </c>
      <c r="L300" s="16">
        <v>4673</v>
      </c>
      <c r="M300" s="16">
        <v>4562</v>
      </c>
      <c r="N300" s="16">
        <v>5</v>
      </c>
      <c r="O300" s="17"/>
      <c r="P300" s="18">
        <v>41461.214224537034</v>
      </c>
      <c r="Q300" s="7" t="s">
        <v>2592</v>
      </c>
      <c r="R300" s="7" t="s">
        <v>2593</v>
      </c>
      <c r="S300" s="15"/>
      <c r="T300" s="8"/>
      <c r="U300" s="19" t="str">
        <f>HYPERLINK("https://pbs.twimg.com/profile_images/1163579069411287045/DXtdxsyg.jpg","View")</f>
        <v>View</v>
      </c>
      <c r="V300" s="8"/>
      <c r="W300" s="8"/>
      <c r="X300" s="8"/>
      <c r="Y300" s="8"/>
      <c r="Z300" s="8"/>
    </row>
    <row r="301" spans="1:26" ht="12.75">
      <c r="A301" s="11">
        <v>43747.308148148149</v>
      </c>
      <c r="B301" s="12" t="str">
        <f>HYPERLINK("https://twitter.com/RMelskaa_1","@RMelskaa_1")</f>
        <v>@RMelskaa_1</v>
      </c>
      <c r="C301" s="7" t="s">
        <v>2594</v>
      </c>
      <c r="D301" s="7" t="s">
        <v>2595</v>
      </c>
      <c r="E301" s="12" t="str">
        <f>HYPERLINK("https://twitter.com/RMelskaa_1/status/1181938301131001857","1181938301131001857")</f>
        <v>1181938301131001857</v>
      </c>
      <c r="F301" s="8"/>
      <c r="G301" s="14" t="s">
        <v>2596</v>
      </c>
      <c r="H301" s="8"/>
      <c r="I301" s="15">
        <v>0</v>
      </c>
      <c r="J301" s="15">
        <v>7</v>
      </c>
      <c r="K301" s="12" t="str">
        <f>HYPERLINK("https://mobile.twitter.com","Twitter Web App")</f>
        <v>Twitter Web App</v>
      </c>
      <c r="L301" s="16">
        <v>7255</v>
      </c>
      <c r="M301" s="16">
        <v>4191</v>
      </c>
      <c r="N301" s="16">
        <v>8</v>
      </c>
      <c r="O301" s="17"/>
      <c r="P301" s="18">
        <v>42541.334004629629</v>
      </c>
      <c r="Q301" s="7" t="s">
        <v>200</v>
      </c>
      <c r="R301" s="7" t="s">
        <v>2600</v>
      </c>
      <c r="S301" s="7"/>
      <c r="T301" s="8"/>
      <c r="U301" s="19" t="str">
        <f>HYPERLINK("https://pbs.twimg.com/profile_images/1091757284034859010/khS-9W8w.jpg","View")</f>
        <v>View</v>
      </c>
      <c r="V301" s="8"/>
      <c r="W301" s="8"/>
      <c r="X301" s="8"/>
      <c r="Y301" s="8"/>
      <c r="Z301" s="8"/>
    </row>
    <row r="302" spans="1:26" ht="12.75">
      <c r="A302" s="11">
        <v>43747.308136574073</v>
      </c>
      <c r="B302" s="12" t="str">
        <f>HYPERLINK("https://twitter.com/TmcGzm","@TmcGzm")</f>
        <v>@TmcGzm</v>
      </c>
      <c r="C302" s="7" t="s">
        <v>2601</v>
      </c>
      <c r="D302" s="7" t="s">
        <v>2602</v>
      </c>
      <c r="E302" s="12" t="str">
        <f>HYPERLINK("https://twitter.com/TmcGzm/status/1181938294059421697","1181938294059421697")</f>
        <v>1181938294059421697</v>
      </c>
      <c r="F302" s="8"/>
      <c r="G302" s="14" t="s">
        <v>2604</v>
      </c>
      <c r="H302" s="8"/>
      <c r="I302" s="15">
        <v>0</v>
      </c>
      <c r="J302" s="15">
        <v>1</v>
      </c>
      <c r="K302" s="12" t="str">
        <f>HYPERLINK("http://twitter.com/download/iphone","Twitter for iPhone")</f>
        <v>Twitter for iPhone</v>
      </c>
      <c r="L302" s="16">
        <v>7285</v>
      </c>
      <c r="M302" s="16">
        <v>557</v>
      </c>
      <c r="N302" s="16">
        <v>38</v>
      </c>
      <c r="O302" s="17"/>
      <c r="P302" s="18">
        <v>42272.171365740738</v>
      </c>
      <c r="Q302" s="7"/>
      <c r="R302" s="7" t="s">
        <v>2606</v>
      </c>
      <c r="S302" s="7"/>
      <c r="T302" s="8"/>
      <c r="U302" s="19" t="str">
        <f>HYPERLINK("https://pbs.twimg.com/profile_images/1150876370806935553/4kyLdtXu.jpg","View")</f>
        <v>View</v>
      </c>
      <c r="V302" s="8"/>
      <c r="W302" s="8"/>
      <c r="X302" s="8"/>
      <c r="Y302" s="8"/>
      <c r="Z302" s="8"/>
    </row>
    <row r="303" spans="1:26" ht="12.75">
      <c r="A303" s="11">
        <v>43747.308113425926</v>
      </c>
      <c r="B303" s="12" t="str">
        <f>HYPERLINK("https://twitter.com/filmbasliyor","@filmbasliyor")</f>
        <v>@filmbasliyor</v>
      </c>
      <c r="C303" s="7" t="s">
        <v>2610</v>
      </c>
      <c r="D303" s="7" t="s">
        <v>2611</v>
      </c>
      <c r="E303" s="12" t="str">
        <f>HYPERLINK("https://twitter.com/filmbasliyor/status/1181938287583399941","1181938287583399941")</f>
        <v>1181938287583399941</v>
      </c>
      <c r="F303" s="15"/>
      <c r="G303" s="14" t="s">
        <v>2612</v>
      </c>
      <c r="H303" s="8"/>
      <c r="I303" s="15">
        <v>0</v>
      </c>
      <c r="J303" s="15">
        <v>0</v>
      </c>
      <c r="K303" s="12" t="str">
        <f>HYPERLINK("http://twitter.com/download/android","Twitter for Android")</f>
        <v>Twitter for Android</v>
      </c>
      <c r="L303" s="16">
        <v>1686</v>
      </c>
      <c r="M303" s="16">
        <v>57</v>
      </c>
      <c r="N303" s="16">
        <v>3</v>
      </c>
      <c r="O303" s="17"/>
      <c r="P303" s="18">
        <v>41484.324675925927</v>
      </c>
      <c r="Q303" s="7"/>
      <c r="R303" s="7"/>
      <c r="S303" s="7"/>
      <c r="T303" s="8"/>
      <c r="U303" s="19" t="str">
        <f>HYPERLINK("https://pbs.twimg.com/profile_images/1181505759131181064/48em5RSC.jpg","View")</f>
        <v>View</v>
      </c>
      <c r="V303" s="8"/>
      <c r="W303" s="8"/>
      <c r="X303" s="8"/>
      <c r="Y303" s="8"/>
      <c r="Z303" s="8"/>
    </row>
    <row r="304" spans="1:26" ht="12.75">
      <c r="A304" s="11">
        <v>43747.308113425926</v>
      </c>
      <c r="B304" s="12" t="str">
        <f>HYPERLINK("https://twitter.com/Masonx33x","@Masonx33x")</f>
        <v>@Masonx33x</v>
      </c>
      <c r="C304" s="7" t="s">
        <v>2613</v>
      </c>
      <c r="D304" s="7" t="s">
        <v>2614</v>
      </c>
      <c r="E304" s="12" t="str">
        <f>HYPERLINK("https://twitter.com/Masonx33x/status/1181938286748680193","1181938286748680193")</f>
        <v>1181938286748680193</v>
      </c>
      <c r="F304" s="8"/>
      <c r="G304" s="14" t="s">
        <v>2615</v>
      </c>
      <c r="H304" s="8"/>
      <c r="I304" s="15">
        <v>0</v>
      </c>
      <c r="J304" s="15">
        <v>0</v>
      </c>
      <c r="K304" s="12" t="str">
        <f>HYPERLINK("http://twitter.com","Twitter Web Client")</f>
        <v>Twitter Web Client</v>
      </c>
      <c r="L304" s="16">
        <v>184</v>
      </c>
      <c r="M304" s="16">
        <v>533</v>
      </c>
      <c r="N304" s="16">
        <v>5</v>
      </c>
      <c r="O304" s="17"/>
      <c r="P304" s="18">
        <v>43259.93954861111</v>
      </c>
      <c r="Q304" s="7"/>
      <c r="R304" s="7" t="s">
        <v>2619</v>
      </c>
      <c r="S304" s="7"/>
      <c r="T304" s="8"/>
      <c r="U304" s="19" t="str">
        <f>HYPERLINK("https://pbs.twimg.com/profile_images/1005337903545761792/G5LsXpd5.jpg","View")</f>
        <v>View</v>
      </c>
      <c r="V304" s="8"/>
      <c r="W304" s="8"/>
      <c r="X304" s="8"/>
      <c r="Y304" s="8"/>
      <c r="Z304" s="8"/>
    </row>
    <row r="305" spans="1:26" ht="12.75">
      <c r="A305" s="11">
        <v>43747.308067129634</v>
      </c>
      <c r="B305" s="12" t="str">
        <f>HYPERLINK("https://twitter.com/thisisoguzhan","@thisisoguzhan")</f>
        <v>@thisisoguzhan</v>
      </c>
      <c r="C305" s="7" t="s">
        <v>2620</v>
      </c>
      <c r="D305" s="7" t="s">
        <v>2621</v>
      </c>
      <c r="E305" s="12" t="str">
        <f>HYPERLINK("https://twitter.com/thisisoguzhan/status/1181938269782761473","1181938269782761473")</f>
        <v>1181938269782761473</v>
      </c>
      <c r="F305" s="14" t="s">
        <v>2622</v>
      </c>
      <c r="G305" s="14" t="s">
        <v>2624</v>
      </c>
      <c r="H305" s="8"/>
      <c r="I305" s="15">
        <v>0</v>
      </c>
      <c r="J305" s="15">
        <v>0</v>
      </c>
      <c r="K305" s="12" t="str">
        <f>HYPERLINK("http://twitter.com/download/android","Twitter for Android")</f>
        <v>Twitter for Android</v>
      </c>
      <c r="L305" s="16">
        <v>175</v>
      </c>
      <c r="M305" s="16">
        <v>251</v>
      </c>
      <c r="N305" s="16">
        <v>1</v>
      </c>
      <c r="O305" s="17"/>
      <c r="P305" s="18">
        <v>42303.669791666667</v>
      </c>
      <c r="Q305" s="7"/>
      <c r="R305" s="7" t="s">
        <v>2625</v>
      </c>
      <c r="S305" s="7"/>
      <c r="T305" s="8"/>
      <c r="U305" s="19" t="str">
        <f>HYPERLINK("https://pbs.twimg.com/profile_images/1136746129545207815/F0_8EZ3s.jpg","View")</f>
        <v>View</v>
      </c>
      <c r="V305" s="8"/>
      <c r="W305" s="8"/>
      <c r="X305" s="8"/>
      <c r="Y305" s="8"/>
      <c r="Z305" s="8"/>
    </row>
    <row r="306" spans="1:26" ht="12.75">
      <c r="A306" s="11">
        <v>43747.308055555557</v>
      </c>
      <c r="B306" s="12" t="str">
        <f>HYPERLINK("https://twitter.com/dadas__1903","@dadas__1903")</f>
        <v>@dadas__1903</v>
      </c>
      <c r="C306" s="7" t="s">
        <v>2629</v>
      </c>
      <c r="D306" s="7" t="s">
        <v>2630</v>
      </c>
      <c r="E306" s="12" t="str">
        <f>HYPERLINK("https://twitter.com/dadas__1903/status/1181938266565726208","1181938266565726208")</f>
        <v>1181938266565726208</v>
      </c>
      <c r="F306" s="14" t="s">
        <v>2631</v>
      </c>
      <c r="G306" s="14" t="s">
        <v>2632</v>
      </c>
      <c r="H306" s="8"/>
      <c r="I306" s="15">
        <v>0</v>
      </c>
      <c r="J306" s="15">
        <v>0</v>
      </c>
      <c r="K306" s="12" t="str">
        <f>HYPERLINK("https://mobile.twitter.com","Twitter Web App")</f>
        <v>Twitter Web App</v>
      </c>
      <c r="L306" s="16">
        <v>154</v>
      </c>
      <c r="M306" s="16">
        <v>692</v>
      </c>
      <c r="N306" s="16">
        <v>0</v>
      </c>
      <c r="O306" s="17"/>
      <c r="P306" s="18">
        <v>40199.600671296299</v>
      </c>
      <c r="Q306" s="7" t="s">
        <v>668</v>
      </c>
      <c r="R306" s="7" t="s">
        <v>2635</v>
      </c>
      <c r="S306" s="7"/>
      <c r="T306" s="8"/>
      <c r="U306" s="19" t="str">
        <f>HYPERLINK("https://pbs.twimg.com/profile_images/506071072404668416/MNmPu7X_.jpeg","View")</f>
        <v>View</v>
      </c>
      <c r="V306" s="8"/>
      <c r="W306" s="8"/>
      <c r="X306" s="8"/>
      <c r="Y306" s="8"/>
      <c r="Z306" s="8"/>
    </row>
    <row r="307" spans="1:26" ht="12.75">
      <c r="A307" s="11">
        <v>43747.30804398148</v>
      </c>
      <c r="B307" s="12" t="str">
        <f>HYPERLINK("https://twitter.com/BaySukutTR","@BaySukutTR")</f>
        <v>@BaySukutTR</v>
      </c>
      <c r="C307" s="7" t="s">
        <v>2636</v>
      </c>
      <c r="D307" s="7" t="s">
        <v>2637</v>
      </c>
      <c r="E307" s="12" t="str">
        <f>HYPERLINK("https://twitter.com/BaySukutTR/status/1181938260890832896","1181938260890832896")</f>
        <v>1181938260890832896</v>
      </c>
      <c r="F307" s="8"/>
      <c r="G307" s="14" t="s">
        <v>2640</v>
      </c>
      <c r="H307" s="8"/>
      <c r="I307" s="15">
        <v>1</v>
      </c>
      <c r="J307" s="15">
        <v>14</v>
      </c>
      <c r="K307" s="12" t="str">
        <f>HYPERLINK("https://studio.twitter.com","Twitter Media Studio")</f>
        <v>Twitter Media Studio</v>
      </c>
      <c r="L307" s="16">
        <v>2869</v>
      </c>
      <c r="M307" s="16">
        <v>2657</v>
      </c>
      <c r="N307" s="16">
        <v>26</v>
      </c>
      <c r="O307" s="17"/>
      <c r="P307" s="18">
        <v>40099.269490740742</v>
      </c>
      <c r="Q307" s="7" t="s">
        <v>2642</v>
      </c>
      <c r="R307" s="7" t="s">
        <v>2643</v>
      </c>
      <c r="S307" s="15"/>
      <c r="T307" s="8"/>
      <c r="U307" s="19" t="str">
        <f>HYPERLINK("https://pbs.twimg.com/profile_images/1175443021263003651/pxUk5Y26.jpg","View")</f>
        <v>View</v>
      </c>
      <c r="V307" s="8"/>
      <c r="W307" s="8"/>
      <c r="X307" s="8"/>
      <c r="Y307" s="8"/>
      <c r="Z307" s="8"/>
    </row>
    <row r="308" spans="1:26" ht="12.75">
      <c r="A308" s="11">
        <v>43747.30804398148</v>
      </c>
      <c r="B308" s="12" t="str">
        <f>HYPERLINK("https://twitter.com/Suatbaskaya","@Suatbaskaya")</f>
        <v>@Suatbaskaya</v>
      </c>
      <c r="C308" s="7" t="s">
        <v>2647</v>
      </c>
      <c r="D308" s="7" t="s">
        <v>2648</v>
      </c>
      <c r="E308" s="12" t="str">
        <f>HYPERLINK("https://twitter.com/Suatbaskaya/status/1181938259871617024","1181938259871617024")</f>
        <v>1181938259871617024</v>
      </c>
      <c r="F308" s="15"/>
      <c r="G308" s="14" t="s">
        <v>2649</v>
      </c>
      <c r="H308" s="8"/>
      <c r="I308" s="15">
        <v>0</v>
      </c>
      <c r="J308" s="15">
        <v>3</v>
      </c>
      <c r="K308" s="12" t="str">
        <f>HYPERLINK("http://twitter.com/download/iphone","Twitter for iPhone")</f>
        <v>Twitter for iPhone</v>
      </c>
      <c r="L308" s="16">
        <v>415</v>
      </c>
      <c r="M308" s="16">
        <v>754</v>
      </c>
      <c r="N308" s="16">
        <v>3</v>
      </c>
      <c r="O308" s="17"/>
      <c r="P308" s="18">
        <v>40334.489814814813</v>
      </c>
      <c r="Q308" s="7" t="s">
        <v>2651</v>
      </c>
      <c r="R308" s="7" t="s">
        <v>2652</v>
      </c>
      <c r="S308" s="14" t="s">
        <v>2653</v>
      </c>
      <c r="T308" s="8"/>
      <c r="U308" s="19" t="str">
        <f>HYPERLINK("https://pbs.twimg.com/profile_images/1178595575467532289/533FAhO_.jpg","View")</f>
        <v>View</v>
      </c>
      <c r="V308" s="8"/>
      <c r="W308" s="8"/>
      <c r="X308" s="8"/>
      <c r="Y308" s="8"/>
      <c r="Z308" s="8"/>
    </row>
    <row r="309" spans="1:26" ht="12.75">
      <c r="A309" s="11">
        <v>43747.30804398148</v>
      </c>
      <c r="B309" s="12" t="str">
        <f>HYPERLINK("https://twitter.com/ErdogduHalill","@ErdogduHalill")</f>
        <v>@ErdogduHalill</v>
      </c>
      <c r="C309" s="7" t="s">
        <v>2654</v>
      </c>
      <c r="D309" s="7" t="s">
        <v>2655</v>
      </c>
      <c r="E309" s="12" t="str">
        <f>HYPERLINK("https://twitter.com/ErdogduHalill/status/1181938259255087104","1181938259255087104")</f>
        <v>1181938259255087104</v>
      </c>
      <c r="F309" s="8"/>
      <c r="G309" s="14" t="s">
        <v>2658</v>
      </c>
      <c r="H309" s="8"/>
      <c r="I309" s="15">
        <v>0</v>
      </c>
      <c r="J309" s="15">
        <v>0</v>
      </c>
      <c r="K309" s="12" t="str">
        <f>HYPERLINK("http://twitter.com/download/iphone","Twitter for iPhone")</f>
        <v>Twitter for iPhone</v>
      </c>
      <c r="L309" s="16">
        <v>174</v>
      </c>
      <c r="M309" s="16">
        <v>189</v>
      </c>
      <c r="N309" s="16">
        <v>0</v>
      </c>
      <c r="O309" s="17"/>
      <c r="P309" s="18">
        <v>43682.358622685184</v>
      </c>
      <c r="Q309" s="7"/>
      <c r="R309" s="7"/>
      <c r="S309" s="7"/>
      <c r="T309" s="8"/>
      <c r="U309" s="19" t="str">
        <f>HYPERLINK("https://pbs.twimg.com/profile_images/1158401893514850305/fdgfOMl1.jpg","View")</f>
        <v>View</v>
      </c>
      <c r="V309" s="8"/>
      <c r="W309" s="8"/>
      <c r="X309" s="8"/>
      <c r="Y309" s="8"/>
      <c r="Z309" s="8"/>
    </row>
    <row r="310" spans="1:26" ht="12.75">
      <c r="A310" s="11">
        <v>43747.307986111111</v>
      </c>
      <c r="B310" s="12" t="str">
        <f>HYPERLINK("https://twitter.com/gozacanlrturker","@gozacanlrturker")</f>
        <v>@gozacanlrturker</v>
      </c>
      <c r="C310" s="7" t="s">
        <v>2665</v>
      </c>
      <c r="D310" s="7" t="s">
        <v>2666</v>
      </c>
      <c r="E310" s="12" t="str">
        <f>HYPERLINK("https://twitter.com/gozacanlrturker/status/1181938240187781121","1181938240187781121")</f>
        <v>1181938240187781121</v>
      </c>
      <c r="F310" s="8"/>
      <c r="G310" s="14" t="s">
        <v>2667</v>
      </c>
      <c r="H310" s="8"/>
      <c r="I310" s="15">
        <v>0</v>
      </c>
      <c r="J310" s="15">
        <v>0</v>
      </c>
      <c r="K310" s="12" t="str">
        <f>HYPERLINK("http://twitter.com/download/android","Twitter for Android")</f>
        <v>Twitter for Android</v>
      </c>
      <c r="L310" s="16">
        <v>762</v>
      </c>
      <c r="M310" s="16">
        <v>103</v>
      </c>
      <c r="N310" s="16">
        <v>0</v>
      </c>
      <c r="O310" s="17"/>
      <c r="P310" s="18">
        <v>40571.556550925925</v>
      </c>
      <c r="Q310" s="7" t="s">
        <v>80</v>
      </c>
      <c r="R310" s="7">
        <v>22</v>
      </c>
      <c r="S310" s="7"/>
      <c r="T310" s="8"/>
      <c r="U310" s="19" t="str">
        <f>HYPERLINK("https://pbs.twimg.com/profile_images/1176117938430066688/WbuQkWRg.jpg","View")</f>
        <v>View</v>
      </c>
      <c r="V310" s="8"/>
      <c r="W310" s="8"/>
      <c r="X310" s="8"/>
      <c r="Y310" s="8"/>
      <c r="Z310" s="8"/>
    </row>
    <row r="311" spans="1:26" ht="12.75">
      <c r="A311" s="11">
        <v>43747.307870370365</v>
      </c>
      <c r="B311" s="12" t="str">
        <f>HYPERLINK("https://twitter.com/hedef_omer","@hedef_omer")</f>
        <v>@hedef_omer</v>
      </c>
      <c r="C311" s="7" t="s">
        <v>2672</v>
      </c>
      <c r="D311" s="7" t="s">
        <v>2673</v>
      </c>
      <c r="E311" s="12" t="str">
        <f>HYPERLINK("https://twitter.com/hedef_omer/status/1181938198001459200","1181938198001459200")</f>
        <v>1181938198001459200</v>
      </c>
      <c r="F311" s="8"/>
      <c r="G311" s="14" t="s">
        <v>2675</v>
      </c>
      <c r="H311" s="8"/>
      <c r="I311" s="15">
        <v>0</v>
      </c>
      <c r="J311" s="15">
        <v>0</v>
      </c>
      <c r="K311" s="12" t="str">
        <f>HYPERLINK("http://twitter.com/download/android","Twitter for Android")</f>
        <v>Twitter for Android</v>
      </c>
      <c r="L311" s="16">
        <v>218</v>
      </c>
      <c r="M311" s="16">
        <v>772</v>
      </c>
      <c r="N311" s="16">
        <v>0</v>
      </c>
      <c r="O311" s="17"/>
      <c r="P311" s="18">
        <v>41951.456886574073</v>
      </c>
      <c r="Q311" s="7" t="s">
        <v>2679</v>
      </c>
      <c r="R311" s="7" t="s">
        <v>2680</v>
      </c>
      <c r="S311" s="7"/>
      <c r="T311" s="8"/>
      <c r="U311" s="19" t="str">
        <f>HYPERLINK("https://pbs.twimg.com/profile_images/1150880943550476288/iWJbS5I2.jpg","View")</f>
        <v>View</v>
      </c>
      <c r="V311" s="8"/>
      <c r="W311" s="8"/>
      <c r="X311" s="8"/>
      <c r="Y311" s="8"/>
      <c r="Z311" s="8"/>
    </row>
    <row r="312" spans="1:26" ht="12.75">
      <c r="A312" s="11">
        <v>43747.307870370365</v>
      </c>
      <c r="B312" s="12" t="str">
        <f>HYPERLINK("https://twitter.com/haruntatlipinar","@haruntatlipinar")</f>
        <v>@haruntatlipinar</v>
      </c>
      <c r="C312" s="7" t="s">
        <v>2681</v>
      </c>
      <c r="D312" s="7" t="s">
        <v>2682</v>
      </c>
      <c r="E312" s="12" t="str">
        <f>HYPERLINK("https://twitter.com/haruntatlipinar/status/1181938197292621825","1181938197292621825")</f>
        <v>1181938197292621825</v>
      </c>
      <c r="F312" s="8"/>
      <c r="G312" s="15"/>
      <c r="H312" s="8"/>
      <c r="I312" s="15">
        <v>0</v>
      </c>
      <c r="J312" s="15">
        <v>0</v>
      </c>
      <c r="K312" s="12" t="str">
        <f>HYPERLINK("http://twitter.com/download/iphone","Twitter for iPhone")</f>
        <v>Twitter for iPhone</v>
      </c>
      <c r="L312" s="16">
        <v>313</v>
      </c>
      <c r="M312" s="16">
        <v>371</v>
      </c>
      <c r="N312" s="16">
        <v>0</v>
      </c>
      <c r="O312" s="17"/>
      <c r="P312" s="18">
        <v>42820.283738425926</v>
      </c>
      <c r="Q312" s="7" t="s">
        <v>2684</v>
      </c>
      <c r="R312" s="7" t="s">
        <v>2685</v>
      </c>
      <c r="S312" s="7"/>
      <c r="T312" s="8"/>
      <c r="U312" s="19" t="str">
        <f>HYPERLINK("https://pbs.twimg.com/profile_images/1097231425689006081/nvh_Tkvd.jpg","View")</f>
        <v>View</v>
      </c>
      <c r="V312" s="8"/>
      <c r="W312" s="8"/>
      <c r="X312" s="8"/>
      <c r="Y312" s="8"/>
      <c r="Z312" s="8"/>
    </row>
    <row r="313" spans="1:26" ht="12.75">
      <c r="A313" s="11">
        <v>43747.307858796295</v>
      </c>
      <c r="B313" s="12" t="str">
        <f>HYPERLINK("https://twitter.com/FreezerCSGO","@FreezerCSGO")</f>
        <v>@FreezerCSGO</v>
      </c>
      <c r="C313" s="7" t="s">
        <v>2686</v>
      </c>
      <c r="D313" s="7" t="s">
        <v>2689</v>
      </c>
      <c r="E313" s="12" t="str">
        <f>HYPERLINK("https://twitter.com/FreezerCSGO/status/1181938194348199936","1181938194348199936")</f>
        <v>1181938194348199936</v>
      </c>
      <c r="F313" s="8"/>
      <c r="G313" s="15"/>
      <c r="H313" s="8"/>
      <c r="I313" s="15">
        <v>0</v>
      </c>
      <c r="J313" s="15">
        <v>0</v>
      </c>
      <c r="K313" s="12" t="str">
        <f>HYPERLINK("http://twitter.com/download/android","Twitter for Android")</f>
        <v>Twitter for Android</v>
      </c>
      <c r="L313" s="16">
        <v>101</v>
      </c>
      <c r="M313" s="16">
        <v>143</v>
      </c>
      <c r="N313" s="16">
        <v>0</v>
      </c>
      <c r="O313" s="17"/>
      <c r="P313" s="18">
        <v>43426.273854166662</v>
      </c>
      <c r="Q313" s="7" t="s">
        <v>200</v>
      </c>
      <c r="R313" s="7" t="s">
        <v>2691</v>
      </c>
      <c r="S313" s="7"/>
      <c r="T313" s="8"/>
      <c r="U313" s="19" t="str">
        <f>HYPERLINK("https://pbs.twimg.com/profile_images/1164831682215571457/0tZWiNbE.jpg","View")</f>
        <v>View</v>
      </c>
      <c r="V313" s="8"/>
      <c r="W313" s="8"/>
      <c r="X313" s="8"/>
      <c r="Y313" s="8"/>
      <c r="Z313" s="8"/>
    </row>
    <row r="314" spans="1:26" ht="12.75">
      <c r="A314" s="11">
        <v>43747.30777777778</v>
      </c>
      <c r="B314" s="12" t="str">
        <f>HYPERLINK("https://twitter.com/simphiwe_majola","@simphiwe_majola")</f>
        <v>@simphiwe_majola</v>
      </c>
      <c r="C314" s="7" t="s">
        <v>2697</v>
      </c>
      <c r="D314" s="7" t="s">
        <v>2699</v>
      </c>
      <c r="E314" s="12" t="str">
        <f>HYPERLINK("https://twitter.com/simphiwe_majola/status/1181938163717218306","1181938163717218306")</f>
        <v>1181938163717218306</v>
      </c>
      <c r="F314" s="8" t="s">
        <v>2702</v>
      </c>
      <c r="G314" s="14" t="s">
        <v>2703</v>
      </c>
      <c r="H314" s="8"/>
      <c r="I314" s="15">
        <v>0</v>
      </c>
      <c r="J314" s="15">
        <v>0</v>
      </c>
      <c r="K314" s="12" t="str">
        <f>HYPERLINK("http://twitter.com/download/android","Twitter for Android")</f>
        <v>Twitter for Android</v>
      </c>
      <c r="L314" s="16">
        <v>953</v>
      </c>
      <c r="M314" s="16">
        <v>437</v>
      </c>
      <c r="N314" s="16">
        <v>14</v>
      </c>
      <c r="O314" s="17"/>
      <c r="P314" s="18">
        <v>40328.112372685187</v>
      </c>
      <c r="Q314" s="7" t="s">
        <v>2704</v>
      </c>
      <c r="R314" s="7" t="s">
        <v>2705</v>
      </c>
      <c r="S314" s="7"/>
      <c r="T314" s="8"/>
      <c r="U314" s="19" t="str">
        <f>HYPERLINK("https://pbs.twimg.com/profile_images/1180049224496492544/TzPvuRcX.jpg","View")</f>
        <v>View</v>
      </c>
      <c r="V314" s="8"/>
      <c r="W314" s="8"/>
      <c r="X314" s="8"/>
      <c r="Y314" s="8"/>
      <c r="Z314" s="8"/>
    </row>
    <row r="315" spans="1:26" ht="12.75">
      <c r="A315" s="11">
        <v>43747.307766203703</v>
      </c>
      <c r="B315" s="12" t="str">
        <f>HYPERLINK("https://twitter.com/MrFeri53","@MrFeri53")</f>
        <v>@MrFeri53</v>
      </c>
      <c r="C315" s="7" t="s">
        <v>2709</v>
      </c>
      <c r="D315" s="7" t="s">
        <v>2710</v>
      </c>
      <c r="E315" s="12" t="str">
        <f>HYPERLINK("https://twitter.com/MrFeri53/status/1181938162588930049","1181938162588930049")</f>
        <v>1181938162588930049</v>
      </c>
      <c r="F315" s="8"/>
      <c r="G315" s="14" t="s">
        <v>2711</v>
      </c>
      <c r="H315" s="8"/>
      <c r="I315" s="15">
        <v>0</v>
      </c>
      <c r="J315" s="15">
        <v>2</v>
      </c>
      <c r="K315" s="12" t="str">
        <f>HYPERLINK("http://twitter.com/download/iphone","Twitter for iPhone")</f>
        <v>Twitter for iPhone</v>
      </c>
      <c r="L315" s="16">
        <v>664</v>
      </c>
      <c r="M315" s="16">
        <v>737</v>
      </c>
      <c r="N315" s="16">
        <v>0</v>
      </c>
      <c r="O315" s="17"/>
      <c r="P315" s="18">
        <v>43677.313784722224</v>
      </c>
      <c r="Q315" s="7" t="s">
        <v>2712</v>
      </c>
      <c r="R315" s="7" t="s">
        <v>2713</v>
      </c>
      <c r="S315" s="15"/>
      <c r="T315" s="8"/>
      <c r="U315" s="19" t="str">
        <f>HYPERLINK("https://pbs.twimg.com/profile_images/1178731664605945857/LM3aaUEZ.jpg","View")</f>
        <v>View</v>
      </c>
      <c r="V315" s="8"/>
      <c r="W315" s="8"/>
      <c r="X315" s="8"/>
      <c r="Y315" s="8"/>
      <c r="Z315" s="8"/>
    </row>
    <row r="316" spans="1:26" ht="12.75">
      <c r="A316" s="11">
        <v>43747.307650462964</v>
      </c>
      <c r="B316" s="12" t="str">
        <f>HYPERLINK("https://twitter.com/suhi031","@suhi031")</f>
        <v>@suhi031</v>
      </c>
      <c r="C316" s="7" t="s">
        <v>2717</v>
      </c>
      <c r="D316" s="7" t="s">
        <v>2718</v>
      </c>
      <c r="E316" s="12" t="str">
        <f>HYPERLINK("https://twitter.com/suhi031/status/1181938120645906433","1181938120645906433")</f>
        <v>1181938120645906433</v>
      </c>
      <c r="F316" s="14" t="s">
        <v>2719</v>
      </c>
      <c r="G316" s="14" t="s">
        <v>2720</v>
      </c>
      <c r="H316" s="8"/>
      <c r="I316" s="15">
        <v>0</v>
      </c>
      <c r="J316" s="15">
        <v>1</v>
      </c>
      <c r="K316" s="12" t="str">
        <f>HYPERLINK("http://twitter.com/download/iphone","Twitter for iPhone")</f>
        <v>Twitter for iPhone</v>
      </c>
      <c r="L316" s="16">
        <v>201</v>
      </c>
      <c r="M316" s="16">
        <v>228</v>
      </c>
      <c r="N316" s="16">
        <v>0</v>
      </c>
      <c r="O316" s="17"/>
      <c r="P316" s="18">
        <v>42759.573368055557</v>
      </c>
      <c r="Q316" s="7" t="s">
        <v>2721</v>
      </c>
      <c r="R316" s="7" t="s">
        <v>2722</v>
      </c>
      <c r="S316" s="7"/>
      <c r="T316" s="8"/>
      <c r="U316" s="19" t="str">
        <f>HYPERLINK("https://pbs.twimg.com/profile_images/1147415822106804224/W4wSpXyp.jpg","View")</f>
        <v>View</v>
      </c>
      <c r="V316" s="8"/>
      <c r="W316" s="8"/>
      <c r="X316" s="8"/>
      <c r="Y316" s="8"/>
      <c r="Z316" s="8"/>
    </row>
    <row r="317" spans="1:26" ht="12.75">
      <c r="A317" s="11">
        <v>43747.307650462964</v>
      </c>
      <c r="B317" s="12" t="str">
        <f>HYPERLINK("https://twitter.com/miskeceli1","@miskeceli1")</f>
        <v>@miskeceli1</v>
      </c>
      <c r="C317" s="7" t="s">
        <v>2724</v>
      </c>
      <c r="D317" s="7" t="s">
        <v>2725</v>
      </c>
      <c r="E317" s="12" t="str">
        <f>HYPERLINK("https://twitter.com/miskeceli1/status/1181938118066397185","1181938118066397185")</f>
        <v>1181938118066397185</v>
      </c>
      <c r="F317" s="8"/>
      <c r="G317" s="14" t="s">
        <v>2726</v>
      </c>
      <c r="H317" s="8"/>
      <c r="I317" s="15">
        <v>1</v>
      </c>
      <c r="J317" s="15">
        <v>20</v>
      </c>
      <c r="K317" s="12" t="str">
        <f>HYPERLINK("http://twitter.com/download/android","Twitter for Android")</f>
        <v>Twitter for Android</v>
      </c>
      <c r="L317" s="16">
        <v>7449</v>
      </c>
      <c r="M317" s="16">
        <v>2579</v>
      </c>
      <c r="N317" s="16">
        <v>69</v>
      </c>
      <c r="O317" s="17"/>
      <c r="P317" s="18">
        <v>42295.971817129626</v>
      </c>
      <c r="Q317" s="7" t="s">
        <v>2728</v>
      </c>
      <c r="R317" s="7" t="s">
        <v>2729</v>
      </c>
      <c r="S317" s="14" t="s">
        <v>2730</v>
      </c>
      <c r="T317" s="8"/>
      <c r="U317" s="19" t="str">
        <f>HYPERLINK("https://pbs.twimg.com/profile_images/1120677903887413248/5FZXLJHM.jpg","View")</f>
        <v>View</v>
      </c>
      <c r="V317" s="8"/>
      <c r="W317" s="8"/>
      <c r="X317" s="8"/>
      <c r="Y317" s="8"/>
      <c r="Z317" s="8"/>
    </row>
    <row r="318" spans="1:26" ht="12.75">
      <c r="A318" s="11">
        <v>43747.307638888888</v>
      </c>
      <c r="B318" s="12" t="str">
        <f>HYPERLINK("https://twitter.com/filizkayan1907","@filizkayan1907")</f>
        <v>@filizkayan1907</v>
      </c>
      <c r="C318" s="7" t="s">
        <v>2734</v>
      </c>
      <c r="D318" s="7" t="s">
        <v>2735</v>
      </c>
      <c r="E318" s="12" t="str">
        <f>HYPERLINK("https://twitter.com/filizkayan1907/status/1181938115629518851","1181938115629518851")</f>
        <v>1181938115629518851</v>
      </c>
      <c r="F318" s="8"/>
      <c r="G318" s="15"/>
      <c r="H318" s="8"/>
      <c r="I318" s="15">
        <v>0</v>
      </c>
      <c r="J318" s="15">
        <v>1</v>
      </c>
      <c r="K318" s="12" t="str">
        <f>HYPERLINK("http://twitter.com/download/android","Twitter for Android")</f>
        <v>Twitter for Android</v>
      </c>
      <c r="L318" s="16">
        <v>210</v>
      </c>
      <c r="M318" s="16">
        <v>270</v>
      </c>
      <c r="N318" s="16">
        <v>1</v>
      </c>
      <c r="O318" s="17"/>
      <c r="P318" s="18">
        <v>42246.117129629631</v>
      </c>
      <c r="Q318" s="7" t="s">
        <v>313</v>
      </c>
      <c r="R318" s="7" t="s">
        <v>2736</v>
      </c>
      <c r="S318" s="15"/>
      <c r="T318" s="8"/>
      <c r="U318" s="19" t="str">
        <f>HYPERLINK("https://pbs.twimg.com/profile_images/1153282588095799304/_H15sZkj.jpg","View")</f>
        <v>View</v>
      </c>
      <c r="V318" s="8"/>
      <c r="W318" s="8"/>
      <c r="X318" s="8"/>
      <c r="Y318" s="8"/>
      <c r="Z318" s="8"/>
    </row>
    <row r="319" spans="1:26" ht="12.75">
      <c r="A319" s="11">
        <v>43747.307557870372</v>
      </c>
      <c r="B319" s="12" t="str">
        <f>HYPERLINK("https://twitter.com/alppdkc","@alppdkc")</f>
        <v>@alppdkc</v>
      </c>
      <c r="C319" s="7" t="s">
        <v>2741</v>
      </c>
      <c r="D319" s="7" t="s">
        <v>2742</v>
      </c>
      <c r="E319" s="12" t="str">
        <f>HYPERLINK("https://twitter.com/alppdkc/status/1181938085313105922","1181938085313105922")</f>
        <v>1181938085313105922</v>
      </c>
      <c r="F319" s="8"/>
      <c r="G319" s="15"/>
      <c r="H319" s="8"/>
      <c r="I319" s="15">
        <v>0</v>
      </c>
      <c r="J319" s="15">
        <v>0</v>
      </c>
      <c r="K319" s="12" t="str">
        <f>HYPERLINK("http://twitter.com/download/iphone","Twitter for iPhone")</f>
        <v>Twitter for iPhone</v>
      </c>
      <c r="L319" s="16">
        <v>359</v>
      </c>
      <c r="M319" s="16">
        <v>322</v>
      </c>
      <c r="N319" s="16">
        <v>2</v>
      </c>
      <c r="O319" s="20"/>
      <c r="P319" s="18">
        <v>40938.321076388893</v>
      </c>
      <c r="Q319" s="7" t="s">
        <v>2324</v>
      </c>
      <c r="R319" s="7" t="s">
        <v>2743</v>
      </c>
      <c r="S319" s="14" t="s">
        <v>2744</v>
      </c>
      <c r="T319" s="8"/>
      <c r="U319" s="19" t="str">
        <f>HYPERLINK("https://pbs.twimg.com/profile_images/1177654520119205888/HYqTsiST.jpg","View")</f>
        <v>View</v>
      </c>
      <c r="V319" s="8"/>
      <c r="W319" s="8"/>
      <c r="X319" s="8"/>
      <c r="Y319" s="8"/>
      <c r="Z319" s="8"/>
    </row>
    <row r="320" spans="1:26" ht="12.75">
      <c r="A320" s="11">
        <v>43747.307557870372</v>
      </c>
      <c r="B320" s="12" t="str">
        <f>HYPERLINK("https://twitter.com/nihashilas","@nihashilas")</f>
        <v>@nihashilas</v>
      </c>
      <c r="C320" s="7" t="s">
        <v>2748</v>
      </c>
      <c r="D320" s="7" t="s">
        <v>1313</v>
      </c>
      <c r="E320" s="12" t="str">
        <f>HYPERLINK("https://twitter.com/nihashilas/status/1181938083144577026","1181938083144577026")</f>
        <v>1181938083144577026</v>
      </c>
      <c r="F320" s="8"/>
      <c r="G320" s="14" t="s">
        <v>2749</v>
      </c>
      <c r="H320" s="8"/>
      <c r="I320" s="15">
        <v>0</v>
      </c>
      <c r="J320" s="15">
        <v>2</v>
      </c>
      <c r="K320" s="12" t="str">
        <f>HYPERLINK("http://twitter.com/download/iphone","Twitter for iPhone")</f>
        <v>Twitter for iPhone</v>
      </c>
      <c r="L320" s="16">
        <v>738</v>
      </c>
      <c r="M320" s="16">
        <v>568</v>
      </c>
      <c r="N320" s="16">
        <v>3</v>
      </c>
      <c r="O320" s="17"/>
      <c r="P320" s="18">
        <v>41149.055185185185</v>
      </c>
      <c r="Q320" s="7" t="s">
        <v>1461</v>
      </c>
      <c r="R320" s="7"/>
      <c r="S320" s="7"/>
      <c r="T320" s="8"/>
      <c r="U320" s="19" t="str">
        <f>HYPERLINK("https://pbs.twimg.com/profile_images/1181308450707394560/_1pC6rR2.jpg","View")</f>
        <v>View</v>
      </c>
      <c r="V320" s="8"/>
      <c r="W320" s="8"/>
      <c r="X320" s="8"/>
      <c r="Y320" s="8"/>
      <c r="Z320" s="8"/>
    </row>
    <row r="321" spans="1:26" ht="12.75">
      <c r="A321" s="11">
        <v>43747.307523148149</v>
      </c>
      <c r="B321" s="12" t="str">
        <f>HYPERLINK("https://twitter.com/DengisOzgur","@DengisOzgur")</f>
        <v>@DengisOzgur</v>
      </c>
      <c r="C321" s="7" t="s">
        <v>2753</v>
      </c>
      <c r="D321" s="7" t="s">
        <v>2754</v>
      </c>
      <c r="E321" s="12" t="str">
        <f>HYPERLINK("https://twitter.com/DengisOzgur/status/1181938072344305667","1181938072344305667")</f>
        <v>1181938072344305667</v>
      </c>
      <c r="F321" s="8"/>
      <c r="G321" s="14" t="s">
        <v>2755</v>
      </c>
      <c r="H321" s="8"/>
      <c r="I321" s="15">
        <v>0</v>
      </c>
      <c r="J321" s="15">
        <v>0</v>
      </c>
      <c r="K321" s="12" t="str">
        <f>HYPERLINK("http://twitter.com/download/android","Twitter for Android")</f>
        <v>Twitter for Android</v>
      </c>
      <c r="L321" s="16">
        <v>28</v>
      </c>
      <c r="M321" s="16">
        <v>113</v>
      </c>
      <c r="N321" s="16">
        <v>0</v>
      </c>
      <c r="O321" s="17"/>
      <c r="P321" s="18">
        <v>43540.38680555555</v>
      </c>
      <c r="Q321" s="7"/>
      <c r="R321" s="7" t="s">
        <v>2758</v>
      </c>
      <c r="S321" s="7"/>
      <c r="T321" s="8"/>
      <c r="U321" s="19" t="str">
        <f>HYPERLINK("https://pbs.twimg.com/profile_images/1147405902187835393/gBGXveKq.jpg","View")</f>
        <v>View</v>
      </c>
      <c r="V321" s="8"/>
      <c r="W321" s="8"/>
      <c r="X321" s="8"/>
      <c r="Y321" s="8"/>
      <c r="Z321" s="8"/>
    </row>
    <row r="322" spans="1:26" ht="12.75">
      <c r="A322" s="11">
        <v>43747.307488425926</v>
      </c>
      <c r="B322" s="12" t="str">
        <f>HYPERLINK("https://twitter.com/AhmtdrmsTek","@AhmtdrmsTek")</f>
        <v>@AhmtdrmsTek</v>
      </c>
      <c r="C322" s="7" t="s">
        <v>2760</v>
      </c>
      <c r="D322" s="7" t="s">
        <v>2761</v>
      </c>
      <c r="E322" s="12" t="str">
        <f>HYPERLINK("https://twitter.com/AhmtdrmsTek/status/1181938058721136640","1181938058721136640")</f>
        <v>1181938058721136640</v>
      </c>
      <c r="F322" s="8"/>
      <c r="G322" s="14" t="s">
        <v>2762</v>
      </c>
      <c r="H322" s="8"/>
      <c r="I322" s="15">
        <v>0</v>
      </c>
      <c r="J322" s="15">
        <v>0</v>
      </c>
      <c r="K322" s="12" t="str">
        <f>HYPERLINK("http://twitter.com/download/android","Twitter for Android")</f>
        <v>Twitter for Android</v>
      </c>
      <c r="L322" s="16">
        <v>294</v>
      </c>
      <c r="M322" s="16">
        <v>1727</v>
      </c>
      <c r="N322" s="16">
        <v>1</v>
      </c>
      <c r="O322" s="17"/>
      <c r="P322" s="18">
        <v>41824.761400462965</v>
      </c>
      <c r="Q322" s="7" t="s">
        <v>2765</v>
      </c>
      <c r="R322" s="7" t="s">
        <v>2767</v>
      </c>
      <c r="S322" s="14" t="s">
        <v>2768</v>
      </c>
      <c r="T322" s="8"/>
      <c r="U322" s="19" t="str">
        <f>HYPERLINK("https://pbs.twimg.com/profile_images/1138462068682760193/rxuwSEDL.jpg","View")</f>
        <v>View</v>
      </c>
      <c r="V322" s="8"/>
      <c r="W322" s="8"/>
      <c r="X322" s="8"/>
      <c r="Y322" s="8"/>
      <c r="Z322" s="8"/>
    </row>
    <row r="323" spans="1:26" ht="12.75">
      <c r="A323" s="11">
        <v>43747.30746527778</v>
      </c>
      <c r="B323" s="12" t="str">
        <f>HYPERLINK("https://twitter.com/FerhatiAlem","@FerhatiAlem")</f>
        <v>@FerhatiAlem</v>
      </c>
      <c r="C323" s="7" t="s">
        <v>2769</v>
      </c>
      <c r="D323" s="7" t="s">
        <v>2770</v>
      </c>
      <c r="E323" s="12" t="str">
        <f>HYPERLINK("https://twitter.com/FerhatiAlem/status/1181938051527917574","1181938051527917574")</f>
        <v>1181938051527917574</v>
      </c>
      <c r="F323" s="8"/>
      <c r="G323" s="14" t="s">
        <v>2772</v>
      </c>
      <c r="H323" s="8"/>
      <c r="I323" s="15">
        <v>0</v>
      </c>
      <c r="J323" s="15">
        <v>0</v>
      </c>
      <c r="K323" s="12" t="str">
        <f>HYPERLINK("http://twitter.com/download/android","Twitter for Android")</f>
        <v>Twitter for Android</v>
      </c>
      <c r="L323" s="16">
        <v>237</v>
      </c>
      <c r="M323" s="16">
        <v>553</v>
      </c>
      <c r="N323" s="16">
        <v>1</v>
      </c>
      <c r="O323" s="17"/>
      <c r="P323" s="18">
        <v>40186.579432870371</v>
      </c>
      <c r="Q323" s="7" t="s">
        <v>2775</v>
      </c>
      <c r="R323" s="7" t="s">
        <v>2776</v>
      </c>
      <c r="S323" s="15"/>
      <c r="T323" s="8"/>
      <c r="U323" s="19" t="str">
        <f>HYPERLINK("https://pbs.twimg.com/profile_images/1146493789583921152/Z3_kGxzk.jpg","View")</f>
        <v>View</v>
      </c>
      <c r="V323" s="8"/>
      <c r="W323" s="8"/>
      <c r="X323" s="8"/>
      <c r="Y323" s="8"/>
      <c r="Z323" s="8"/>
    </row>
    <row r="324" spans="1:26" ht="12.75">
      <c r="A324" s="11">
        <v>43747.307442129633</v>
      </c>
      <c r="B324" s="12" t="str">
        <f>HYPERLINK("https://twitter.com/gflowersss","@gflowersss")</f>
        <v>@gflowersss</v>
      </c>
      <c r="C324" s="7" t="s">
        <v>2780</v>
      </c>
      <c r="D324" s="7" t="s">
        <v>2781</v>
      </c>
      <c r="E324" s="12" t="str">
        <f>HYPERLINK("https://twitter.com/gflowersss/status/1181938042573086723","1181938042573086723")</f>
        <v>1181938042573086723</v>
      </c>
      <c r="F324" s="8"/>
      <c r="G324" s="15"/>
      <c r="H324" s="8"/>
      <c r="I324" s="15">
        <v>0</v>
      </c>
      <c r="J324" s="15">
        <v>0</v>
      </c>
      <c r="K324" s="12" t="str">
        <f>HYPERLINK("http://twitter.com/download/iphone","Twitter for iPhone")</f>
        <v>Twitter for iPhone</v>
      </c>
      <c r="L324" s="16">
        <v>1281</v>
      </c>
      <c r="M324" s="16">
        <v>3514</v>
      </c>
      <c r="N324" s="16">
        <v>1</v>
      </c>
      <c r="O324" s="17"/>
      <c r="P324" s="18">
        <v>39861.730844907404</v>
      </c>
      <c r="Q324" s="7" t="s">
        <v>2782</v>
      </c>
      <c r="R324" s="7" t="s">
        <v>2783</v>
      </c>
      <c r="S324" s="7"/>
      <c r="T324" s="8"/>
      <c r="U324" s="19" t="str">
        <f>HYPERLINK("https://pbs.twimg.com/profile_images/1160979205980639233/xn0qR7nD.jpg","View")</f>
        <v>View</v>
      </c>
      <c r="V324" s="8"/>
      <c r="W324" s="8"/>
      <c r="X324" s="8"/>
      <c r="Y324" s="8"/>
      <c r="Z324" s="8"/>
    </row>
    <row r="325" spans="1:26" ht="12.75">
      <c r="A325" s="11">
        <v>43747.307199074072</v>
      </c>
      <c r="B325" s="12" t="str">
        <f>HYPERLINK("https://twitter.com/KblyKzldnzl","@KblyKzldnzl")</f>
        <v>@KblyKzldnzl</v>
      </c>
      <c r="C325" s="7" t="s">
        <v>2795</v>
      </c>
      <c r="D325" s="7" t="s">
        <v>2796</v>
      </c>
      <c r="E325" s="12" t="str">
        <f>HYPERLINK("https://twitter.com/KblyKzldnzl/status/1181937954652069888","1181937954652069888")</f>
        <v>1181937954652069888</v>
      </c>
      <c r="F325" s="8"/>
      <c r="G325" s="14" t="s">
        <v>2798</v>
      </c>
      <c r="H325" s="8"/>
      <c r="I325" s="15">
        <v>0</v>
      </c>
      <c r="J325" s="15">
        <v>0</v>
      </c>
      <c r="K325" s="12" t="str">
        <f>HYPERLINK("http://twitter.com/download/iphone","Twitter for iPhone")</f>
        <v>Twitter for iPhone</v>
      </c>
      <c r="L325" s="16">
        <v>228</v>
      </c>
      <c r="M325" s="16">
        <v>215</v>
      </c>
      <c r="N325" s="16">
        <v>0</v>
      </c>
      <c r="O325" s="17"/>
      <c r="P325" s="18">
        <v>43476.351724537039</v>
      </c>
      <c r="Q325" s="7" t="s">
        <v>313</v>
      </c>
      <c r="R325" s="7" t="s">
        <v>2800</v>
      </c>
      <c r="S325" s="15"/>
      <c r="T325" s="8"/>
      <c r="U325" s="19" t="str">
        <f>HYPERLINK("https://pbs.twimg.com/profile_images/1083762210097319936/9MBZbcZo.jpg","View")</f>
        <v>View</v>
      </c>
      <c r="V325" s="8"/>
      <c r="W325" s="8"/>
      <c r="X325" s="8"/>
      <c r="Y325" s="8"/>
      <c r="Z325" s="8"/>
    </row>
    <row r="326" spans="1:26" ht="12.75">
      <c r="A326" s="11">
        <v>43747.307199074072</v>
      </c>
      <c r="B326" s="12" t="str">
        <f>HYPERLINK("https://twitter.com/faruukomerr","@faruukomerr")</f>
        <v>@faruukomerr</v>
      </c>
      <c r="C326" s="7" t="s">
        <v>2801</v>
      </c>
      <c r="D326" s="7" t="s">
        <v>2802</v>
      </c>
      <c r="E326" s="12" t="str">
        <f>HYPERLINK("https://twitter.com/faruukomerr/status/1181937953595170817","1181937953595170817")</f>
        <v>1181937953595170817</v>
      </c>
      <c r="F326" s="8"/>
      <c r="G326" s="14" t="s">
        <v>2806</v>
      </c>
      <c r="H326" s="8"/>
      <c r="I326" s="15">
        <v>0</v>
      </c>
      <c r="J326" s="15">
        <v>1</v>
      </c>
      <c r="K326" s="12" t="str">
        <f>HYPERLINK("http://twitter.com/download/iphone","Twitter for iPhone")</f>
        <v>Twitter for iPhone</v>
      </c>
      <c r="L326" s="16">
        <v>71</v>
      </c>
      <c r="M326" s="16">
        <v>252</v>
      </c>
      <c r="N326" s="16">
        <v>0</v>
      </c>
      <c r="O326" s="17"/>
      <c r="P326" s="18">
        <v>41996.394131944442</v>
      </c>
      <c r="Q326" s="7" t="s">
        <v>287</v>
      </c>
      <c r="R326" s="7" t="s">
        <v>2807</v>
      </c>
      <c r="S326" s="15"/>
      <c r="T326" s="8"/>
      <c r="U326" s="19" t="str">
        <f>HYPERLINK("https://pbs.twimg.com/profile_images/1179436297032781824/Kr5H6jPM.jpg","View")</f>
        <v>View</v>
      </c>
      <c r="V326" s="8"/>
      <c r="W326" s="8"/>
      <c r="X326" s="8"/>
      <c r="Y326" s="8"/>
      <c r="Z326" s="8"/>
    </row>
    <row r="327" spans="1:26" ht="12.75">
      <c r="A327" s="11">
        <v>43747.307187500002</v>
      </c>
      <c r="B327" s="12" t="str">
        <f>HYPERLINK("https://twitter.com/1071twit","@1071twit")</f>
        <v>@1071twit</v>
      </c>
      <c r="C327" s="7">
        <v>1071</v>
      </c>
      <c r="D327" s="7" t="s">
        <v>2808</v>
      </c>
      <c r="E327" s="12" t="str">
        <f>HYPERLINK("https://twitter.com/1071twit/status/1181937950571077632","1181937950571077632")</f>
        <v>1181937950571077632</v>
      </c>
      <c r="F327" s="8"/>
      <c r="G327" s="15"/>
      <c r="H327" s="8"/>
      <c r="I327" s="15">
        <v>0</v>
      </c>
      <c r="J327" s="15">
        <v>0</v>
      </c>
      <c r="K327" s="12" t="str">
        <f>HYPERLINK("http://twitter.com/download/android","Twitter for Android")</f>
        <v>Twitter for Android</v>
      </c>
      <c r="L327" s="16">
        <v>12</v>
      </c>
      <c r="M327" s="16">
        <v>57</v>
      </c>
      <c r="N327" s="16">
        <v>0</v>
      </c>
      <c r="O327" s="17"/>
      <c r="P327" s="18">
        <v>40925.449537037035</v>
      </c>
      <c r="Q327" s="7"/>
      <c r="R327" s="7"/>
      <c r="S327" s="7"/>
      <c r="T327" s="8"/>
      <c r="U327" s="19" t="str">
        <f>HYPERLINK("https://pbs.twimg.com/profile_images/490636027128971264/du2KEbYH.jpeg","View")</f>
        <v>View</v>
      </c>
      <c r="V327" s="8"/>
      <c r="W327" s="8"/>
      <c r="X327" s="8"/>
      <c r="Y327" s="8"/>
      <c r="Z327" s="8"/>
    </row>
    <row r="328" spans="1:26" ht="12.75">
      <c r="A328" s="11">
        <v>43747.307164351849</v>
      </c>
      <c r="B328" s="12" t="str">
        <f>HYPERLINK("https://twitter.com/sagduyuluerkan","@sagduyuluerkan")</f>
        <v>@sagduyuluerkan</v>
      </c>
      <c r="C328" s="7" t="s">
        <v>2812</v>
      </c>
      <c r="D328" s="7" t="s">
        <v>2813</v>
      </c>
      <c r="E328" s="12" t="str">
        <f>HYPERLINK("https://twitter.com/sagduyuluerkan/status/1181937943587500039","1181937943587500039")</f>
        <v>1181937943587500039</v>
      </c>
      <c r="F328" s="8"/>
      <c r="G328" s="14" t="s">
        <v>2814</v>
      </c>
      <c r="H328" s="8"/>
      <c r="I328" s="15">
        <v>0</v>
      </c>
      <c r="J328" s="15">
        <v>1</v>
      </c>
      <c r="K328" s="12" t="str">
        <f>HYPERLINK("https://mobile.twitter.com","Twitter Web App")</f>
        <v>Twitter Web App</v>
      </c>
      <c r="L328" s="16">
        <v>1396</v>
      </c>
      <c r="M328" s="16">
        <v>605</v>
      </c>
      <c r="N328" s="16">
        <v>9</v>
      </c>
      <c r="O328" s="17"/>
      <c r="P328" s="18">
        <v>41940.661145833335</v>
      </c>
      <c r="Q328" s="7" t="s">
        <v>2818</v>
      </c>
      <c r="R328" s="7" t="s">
        <v>2819</v>
      </c>
      <c r="S328" s="7"/>
      <c r="T328" s="8"/>
      <c r="U328" s="19" t="str">
        <f>HYPERLINK("https://pbs.twimg.com/profile_images/1153073585151459333/ReuZRVLt.jpg","View")</f>
        <v>View</v>
      </c>
      <c r="V328" s="8"/>
      <c r="W328" s="8"/>
      <c r="X328" s="8"/>
      <c r="Y328" s="8"/>
      <c r="Z328" s="8"/>
    </row>
    <row r="329" spans="1:26" ht="12.75">
      <c r="A329" s="11">
        <v>43747.307118055556</v>
      </c>
      <c r="B329" s="12" t="str">
        <f>HYPERLINK("https://twitter.com/CKoncagul","@CKoncagul")</f>
        <v>@CKoncagul</v>
      </c>
      <c r="C329" s="7" t="s">
        <v>2820</v>
      </c>
      <c r="D329" s="7" t="s">
        <v>2821</v>
      </c>
      <c r="E329" s="12" t="str">
        <f>HYPERLINK("https://twitter.com/CKoncagul/status/1181937926311206912","1181937926311206912")</f>
        <v>1181937926311206912</v>
      </c>
      <c r="F329" s="8"/>
      <c r="G329" s="14" t="s">
        <v>2822</v>
      </c>
      <c r="H329" s="8"/>
      <c r="I329" s="15">
        <v>2</v>
      </c>
      <c r="J329" s="15">
        <v>3</v>
      </c>
      <c r="K329" s="12" t="str">
        <f>HYPERLINK("https://mobile.twitter.com","Twitter Web App")</f>
        <v>Twitter Web App</v>
      </c>
      <c r="L329" s="16">
        <v>8451</v>
      </c>
      <c r="M329" s="16">
        <v>1345</v>
      </c>
      <c r="N329" s="16">
        <v>18</v>
      </c>
      <c r="O329" s="17" t="s">
        <v>984</v>
      </c>
      <c r="P329" s="18">
        <v>41797.483935185184</v>
      </c>
      <c r="Q329" s="7"/>
      <c r="R329" s="7" t="s">
        <v>2824</v>
      </c>
      <c r="S329" s="15"/>
      <c r="T329" s="8"/>
      <c r="U329" s="19" t="str">
        <f>HYPERLINK("https://pbs.twimg.com/profile_images/1152302242655080448/pQPTTI0g.jpg","View")</f>
        <v>View</v>
      </c>
      <c r="V329" s="8"/>
      <c r="W329" s="8"/>
      <c r="X329" s="8"/>
      <c r="Y329" s="8"/>
      <c r="Z329" s="8"/>
    </row>
    <row r="330" spans="1:26" ht="12.75">
      <c r="A330" s="11">
        <v>43747.307106481487</v>
      </c>
      <c r="B330" s="12" t="str">
        <f>HYPERLINK("https://twitter.com/Yusufftasx","@Yusufftasx")</f>
        <v>@Yusufftasx</v>
      </c>
      <c r="C330" s="7" t="s">
        <v>2826</v>
      </c>
      <c r="D330" s="7" t="s">
        <v>2827</v>
      </c>
      <c r="E330" s="12" t="str">
        <f>HYPERLINK("https://twitter.com/Yusufftasx/status/1181937919889682433","1181937919889682433")</f>
        <v>1181937919889682433</v>
      </c>
      <c r="F330" s="8"/>
      <c r="G330" s="14" t="s">
        <v>2830</v>
      </c>
      <c r="H330" s="8"/>
      <c r="I330" s="15">
        <v>0</v>
      </c>
      <c r="J330" s="15">
        <v>1</v>
      </c>
      <c r="K330" s="12" t="str">
        <f>HYPERLINK("http://twitter.com/download/iphone","Twitter for iPhone")</f>
        <v>Twitter for iPhone</v>
      </c>
      <c r="L330" s="16">
        <v>166</v>
      </c>
      <c r="M330" s="16">
        <v>196</v>
      </c>
      <c r="N330" s="16">
        <v>0</v>
      </c>
      <c r="O330" s="17"/>
      <c r="P330" s="18">
        <v>43275.123067129629</v>
      </c>
      <c r="Q330" s="7" t="s">
        <v>445</v>
      </c>
      <c r="R330" s="7" t="s">
        <v>2832</v>
      </c>
      <c r="S330" s="14" t="s">
        <v>2833</v>
      </c>
      <c r="T330" s="8"/>
      <c r="U330" s="19" t="str">
        <f>HYPERLINK("https://pbs.twimg.com/profile_images/1162495918442188801/4hGTds28.jpg","View")</f>
        <v>View</v>
      </c>
      <c r="V330" s="8"/>
      <c r="W330" s="8"/>
      <c r="X330" s="8"/>
      <c r="Y330" s="8"/>
      <c r="Z330" s="8"/>
    </row>
    <row r="331" spans="1:26" ht="12.75">
      <c r="A331" s="11">
        <v>43747.307071759264</v>
      </c>
      <c r="B331" s="12" t="str">
        <f>HYPERLINK("https://twitter.com/eralp_orhan","@eralp_orhan")</f>
        <v>@eralp_orhan</v>
      </c>
      <c r="C331" s="7" t="s">
        <v>2839</v>
      </c>
      <c r="D331" s="7" t="s">
        <v>2840</v>
      </c>
      <c r="E331" s="12" t="str">
        <f>HYPERLINK("https://twitter.com/eralp_orhan/status/1181937910108565505","1181937910108565505")</f>
        <v>1181937910108565505</v>
      </c>
      <c r="F331" s="8"/>
      <c r="G331" s="7"/>
      <c r="H331" s="8"/>
      <c r="I331" s="15">
        <v>0</v>
      </c>
      <c r="J331" s="15">
        <v>0</v>
      </c>
      <c r="K331" s="12" t="str">
        <f>HYPERLINK("http://twitter.com/download/android","Twitter for Android")</f>
        <v>Twitter for Android</v>
      </c>
      <c r="L331" s="16">
        <v>10</v>
      </c>
      <c r="M331" s="16">
        <v>65</v>
      </c>
      <c r="N331" s="16">
        <v>0</v>
      </c>
      <c r="O331" s="17"/>
      <c r="P331" s="18">
        <v>40853.512094907404</v>
      </c>
      <c r="Q331" s="7" t="s">
        <v>2843</v>
      </c>
      <c r="R331" s="7" t="s">
        <v>2844</v>
      </c>
      <c r="S331" s="7"/>
      <c r="T331" s="8"/>
      <c r="U331" s="19" t="str">
        <f>HYPERLINK("https://pbs.twimg.com/profile_images/1164199818262188033/wvtniRD3.jpg","View")</f>
        <v>View</v>
      </c>
      <c r="V331" s="8"/>
      <c r="W331" s="8"/>
      <c r="X331" s="8"/>
      <c r="Y331" s="8"/>
      <c r="Z331" s="8"/>
    </row>
    <row r="332" spans="1:26" ht="12.75">
      <c r="A332" s="11">
        <v>43747.307071759264</v>
      </c>
      <c r="B332" s="12" t="str">
        <f>HYPERLINK("https://twitter.com/ebrk2240","@ebrk2240")</f>
        <v>@ebrk2240</v>
      </c>
      <c r="C332" s="7" t="s">
        <v>2845</v>
      </c>
      <c r="D332" s="7" t="s">
        <v>2846</v>
      </c>
      <c r="E332" s="12" t="str">
        <f>HYPERLINK("https://twitter.com/ebrk2240/status/1181937909580156928","1181937909580156928")</f>
        <v>1181937909580156928</v>
      </c>
      <c r="F332" s="8"/>
      <c r="G332" s="14" t="s">
        <v>2847</v>
      </c>
      <c r="H332" s="8"/>
      <c r="I332" s="15">
        <v>0</v>
      </c>
      <c r="J332" s="15">
        <v>2</v>
      </c>
      <c r="K332" s="12" t="str">
        <f>HYPERLINK("http://twitter.com/download/android","Twitter for Android")</f>
        <v>Twitter for Android</v>
      </c>
      <c r="L332" s="16">
        <v>91</v>
      </c>
      <c r="M332" s="16">
        <v>89</v>
      </c>
      <c r="N332" s="16">
        <v>0</v>
      </c>
      <c r="O332" s="17"/>
      <c r="P332" s="18">
        <v>43734.578263888892</v>
      </c>
      <c r="Q332" s="7"/>
      <c r="R332" s="7" t="s">
        <v>2851</v>
      </c>
      <c r="S332" s="7"/>
      <c r="T332" s="8"/>
      <c r="U332" s="19" t="str">
        <f>HYPERLINK("https://pbs.twimg.com/profile_images/1178326789862694912/c6RBoGra.jpg","View")</f>
        <v>View</v>
      </c>
      <c r="V332" s="8"/>
      <c r="W332" s="8"/>
      <c r="X332" s="8"/>
      <c r="Y332" s="8"/>
      <c r="Z332" s="8"/>
    </row>
    <row r="333" spans="1:26" ht="12.75">
      <c r="A333" s="11">
        <v>43747.30704861111</v>
      </c>
      <c r="B333" s="12" t="str">
        <f>HYPERLINK("https://twitter.com/dogukanincii","@dogukanincii")</f>
        <v>@dogukanincii</v>
      </c>
      <c r="C333" s="7" t="s">
        <v>2853</v>
      </c>
      <c r="D333" s="7" t="s">
        <v>2854</v>
      </c>
      <c r="E333" s="12" t="str">
        <f>HYPERLINK("https://twitter.com/dogukanincii/status/1181937901929734144","1181937901929734144")</f>
        <v>1181937901929734144</v>
      </c>
      <c r="F333" s="14" t="s">
        <v>2501</v>
      </c>
      <c r="G333" s="14" t="s">
        <v>2502</v>
      </c>
      <c r="H333" s="8"/>
      <c r="I333" s="15">
        <v>0</v>
      </c>
      <c r="J333" s="15">
        <v>0</v>
      </c>
      <c r="K333" s="12" t="str">
        <f>HYPERLINK("http://twitter.com/download/iphone","Twitter for iPhone")</f>
        <v>Twitter for iPhone</v>
      </c>
      <c r="L333" s="16">
        <v>131</v>
      </c>
      <c r="M333" s="16">
        <v>161</v>
      </c>
      <c r="N333" s="16">
        <v>0</v>
      </c>
      <c r="O333" s="17"/>
      <c r="P333" s="18">
        <v>40875.999525462961</v>
      </c>
      <c r="Q333" s="7" t="s">
        <v>2858</v>
      </c>
      <c r="R333" s="7" t="s">
        <v>2860</v>
      </c>
      <c r="S333" s="7"/>
      <c r="T333" s="8"/>
      <c r="U333" s="19" t="str">
        <f>HYPERLINK("https://pbs.twimg.com/profile_images/1112654745318100992/afz82zu-.jpg","View")</f>
        <v>View</v>
      </c>
      <c r="V333" s="8"/>
      <c r="W333" s="8"/>
      <c r="X333" s="8"/>
      <c r="Y333" s="8"/>
      <c r="Z333" s="8"/>
    </row>
    <row r="334" spans="1:26" ht="12.75">
      <c r="A334" s="11">
        <v>43747.307037037041</v>
      </c>
      <c r="B334" s="12" t="str">
        <f>HYPERLINK("https://twitter.com/maroon2019","@maroon2019")</f>
        <v>@maroon2019</v>
      </c>
      <c r="C334" s="7" t="s">
        <v>2869</v>
      </c>
      <c r="D334" s="7" t="s">
        <v>2870</v>
      </c>
      <c r="E334" s="12" t="str">
        <f>HYPERLINK("https://twitter.com/maroon2019/status/1181937895025860608","1181937895025860608")</f>
        <v>1181937895025860608</v>
      </c>
      <c r="F334" s="8"/>
      <c r="G334" s="14" t="s">
        <v>2871</v>
      </c>
      <c r="H334" s="8"/>
      <c r="I334" s="15">
        <v>0</v>
      </c>
      <c r="J334" s="15">
        <v>0</v>
      </c>
      <c r="K334" s="12" t="str">
        <f>HYPERLINK("https://mobile.twitter.com","Twitter Web App")</f>
        <v>Twitter Web App</v>
      </c>
      <c r="L334" s="16">
        <v>0</v>
      </c>
      <c r="M334" s="16">
        <v>26</v>
      </c>
      <c r="N334" s="16">
        <v>0</v>
      </c>
      <c r="O334" s="17"/>
      <c r="P334" s="18">
        <v>43625.080196759256</v>
      </c>
      <c r="Q334" s="7"/>
      <c r="R334" s="7"/>
      <c r="S334" s="7"/>
      <c r="T334" s="8"/>
      <c r="U334" s="19" t="str">
        <f>HYPERLINK("https://pbs.twimg.com/profile_images/1179098856912490502/A0OJQeTC.jpg","View")</f>
        <v>View</v>
      </c>
      <c r="V334" s="8"/>
      <c r="W334" s="8"/>
      <c r="X334" s="8"/>
      <c r="Y334" s="8"/>
      <c r="Z334" s="8"/>
    </row>
    <row r="335" spans="1:26" ht="12.75">
      <c r="A335" s="11">
        <v>43747.306990740741</v>
      </c>
      <c r="B335" s="12" t="str">
        <f>HYPERLINK("https://twitter.com/RahimTurk","@RahimTurk")</f>
        <v>@RahimTurk</v>
      </c>
      <c r="C335" s="7" t="s">
        <v>2875</v>
      </c>
      <c r="D335" s="7" t="s">
        <v>2876</v>
      </c>
      <c r="E335" s="12" t="str">
        <f>HYPERLINK("https://twitter.com/RahimTurk/status/1181937881545428993","1181937881545428993")</f>
        <v>1181937881545428993</v>
      </c>
      <c r="F335" s="8"/>
      <c r="G335" s="14" t="s">
        <v>2878</v>
      </c>
      <c r="H335" s="8"/>
      <c r="I335" s="15">
        <v>0</v>
      </c>
      <c r="J335" s="15">
        <v>1</v>
      </c>
      <c r="K335" s="12" t="str">
        <f>HYPERLINK("http://twitter.com/download/iphone","Twitter for iPhone")</f>
        <v>Twitter for iPhone</v>
      </c>
      <c r="L335" s="16">
        <v>23229</v>
      </c>
      <c r="M335" s="16">
        <v>201</v>
      </c>
      <c r="N335" s="16">
        <v>9</v>
      </c>
      <c r="O335" s="17"/>
      <c r="P335" s="18">
        <v>40616.663969907408</v>
      </c>
      <c r="Q335" s="7" t="s">
        <v>2881</v>
      </c>
      <c r="R335" s="7" t="s">
        <v>2882</v>
      </c>
      <c r="S335" s="14" t="s">
        <v>2883</v>
      </c>
      <c r="T335" s="8"/>
      <c r="U335" s="19" t="str">
        <f>HYPERLINK("https://pbs.twimg.com/profile_images/1155604013250994178/r4NUT0RE.jpg","View")</f>
        <v>View</v>
      </c>
      <c r="V335" s="8"/>
      <c r="W335" s="8"/>
      <c r="X335" s="8"/>
      <c r="Y335" s="8"/>
      <c r="Z335" s="8"/>
    </row>
    <row r="336" spans="1:26" ht="12.75">
      <c r="A336" s="11">
        <v>43747.306956018518</v>
      </c>
      <c r="B336" s="12" t="str">
        <f>HYPERLINK("https://twitter.com/Harryslaststand","@Harryslaststand")</f>
        <v>@Harryslaststand</v>
      </c>
      <c r="C336" s="7" t="s">
        <v>2890</v>
      </c>
      <c r="D336" s="7" t="s">
        <v>2892</v>
      </c>
      <c r="E336" s="12" t="str">
        <f>HYPERLINK("https://twitter.com/Harryslaststand/status/1181937869113511936","1181937869113511936")</f>
        <v>1181937869113511936</v>
      </c>
      <c r="F336" s="8"/>
      <c r="G336" s="7"/>
      <c r="H336" s="8"/>
      <c r="I336" s="15">
        <v>21</v>
      </c>
      <c r="J336" s="15">
        <v>41</v>
      </c>
      <c r="K336" s="12" t="str">
        <f>HYPERLINK("https://mobile.twitter.com","Twitter Web App")</f>
        <v>Twitter Web App</v>
      </c>
      <c r="L336" s="16">
        <v>217928</v>
      </c>
      <c r="M336" s="16">
        <v>8114</v>
      </c>
      <c r="N336" s="16">
        <v>1501</v>
      </c>
      <c r="O336" s="17" t="s">
        <v>984</v>
      </c>
      <c r="P336" s="18">
        <v>40479.432824074072</v>
      </c>
      <c r="Q336" s="7" t="s">
        <v>2782</v>
      </c>
      <c r="R336" s="7" t="s">
        <v>2893</v>
      </c>
      <c r="S336" s="14" t="s">
        <v>2894</v>
      </c>
      <c r="T336" s="8"/>
      <c r="U336" s="19" t="str">
        <f>HYPERLINK("https://pbs.twimg.com/profile_images/1070783591263555584/QhLjDE1Q.jpg","View")</f>
        <v>View</v>
      </c>
      <c r="V336" s="8"/>
      <c r="W336" s="8"/>
      <c r="X336" s="8"/>
      <c r="Y336" s="8"/>
      <c r="Z336" s="8"/>
    </row>
    <row r="337" spans="1:26" ht="12.75">
      <c r="A337" s="11">
        <v>43747.306874999995</v>
      </c>
      <c r="B337" s="12" t="str">
        <f>HYPERLINK("https://twitter.com/yigityazgili","@yigityazgili")</f>
        <v>@yigityazgili</v>
      </c>
      <c r="C337" s="7" t="s">
        <v>2905</v>
      </c>
      <c r="D337" s="7" t="s">
        <v>2907</v>
      </c>
      <c r="E337" s="12" t="str">
        <f>HYPERLINK("https://twitter.com/yigityazgili/status/1181937839761743872","1181937839761743872")</f>
        <v>1181937839761743872</v>
      </c>
      <c r="F337" s="8"/>
      <c r="G337" s="14" t="s">
        <v>2909</v>
      </c>
      <c r="H337" s="8"/>
      <c r="I337" s="15">
        <v>1</v>
      </c>
      <c r="J337" s="15">
        <v>4</v>
      </c>
      <c r="K337" s="12" t="str">
        <f>HYPERLINK("http://twitter.com/download/android","Twitter for Android")</f>
        <v>Twitter for Android</v>
      </c>
      <c r="L337" s="16">
        <v>302</v>
      </c>
      <c r="M337" s="16">
        <v>244</v>
      </c>
      <c r="N337" s="16">
        <v>1</v>
      </c>
      <c r="O337" s="17"/>
      <c r="P337" s="18">
        <v>41147.591111111113</v>
      </c>
      <c r="Q337" s="7"/>
      <c r="R337" s="7" t="s">
        <v>2910</v>
      </c>
      <c r="S337" s="15"/>
      <c r="T337" s="8"/>
      <c r="U337" s="19" t="str">
        <f>HYPERLINK("https://pbs.twimg.com/profile_images/1144119963604701184/DlzkhM5e.jpg","View")</f>
        <v>View</v>
      </c>
      <c r="V337" s="8"/>
      <c r="W337" s="8"/>
      <c r="X337" s="8"/>
      <c r="Y337" s="8"/>
      <c r="Z337" s="8"/>
    </row>
    <row r="338" spans="1:26" ht="12.75">
      <c r="A338" s="11">
        <v>43747.306874999995</v>
      </c>
      <c r="B338" s="12" t="str">
        <f>HYPERLINK("https://twitter.com/ErdemOzbulbul","@ErdemOzbulbul")</f>
        <v>@ErdemOzbulbul</v>
      </c>
      <c r="C338" s="7" t="s">
        <v>2914</v>
      </c>
      <c r="D338" s="7" t="s">
        <v>2915</v>
      </c>
      <c r="E338" s="12" t="str">
        <f>HYPERLINK("https://twitter.com/ErdemOzbulbul/status/1181937838218207233","1181937838218207233")</f>
        <v>1181937838218207233</v>
      </c>
      <c r="F338" s="8"/>
      <c r="G338" s="14" t="s">
        <v>2916</v>
      </c>
      <c r="H338" s="8"/>
      <c r="I338" s="15">
        <v>0</v>
      </c>
      <c r="J338" s="15">
        <v>0</v>
      </c>
      <c r="K338" s="12" t="str">
        <f>HYPERLINK("http://twitter.com/download/iphone","Twitter for iPhone")</f>
        <v>Twitter for iPhone</v>
      </c>
      <c r="L338" s="16">
        <v>7</v>
      </c>
      <c r="M338" s="16">
        <v>11</v>
      </c>
      <c r="N338" s="16">
        <v>0</v>
      </c>
      <c r="O338" s="17"/>
      <c r="P338" s="18">
        <v>40707.13652777778</v>
      </c>
      <c r="Q338" s="7"/>
      <c r="R338" s="7"/>
      <c r="S338" s="15"/>
      <c r="T338" s="8"/>
      <c r="U338" s="19" t="str">
        <f>HYPERLINK("https://pbs.twimg.com/profile_images/1175043077221863424/I76OgLfn.jpg","View")</f>
        <v>View</v>
      </c>
      <c r="V338" s="8"/>
      <c r="W338" s="8"/>
      <c r="X338" s="8"/>
      <c r="Y338" s="8"/>
      <c r="Z338" s="8"/>
    </row>
    <row r="339" spans="1:26" ht="12.75">
      <c r="A339" s="11">
        <v>43747.306874999995</v>
      </c>
      <c r="B339" s="12" t="str">
        <f>HYPERLINK("https://twitter.com/Yase24405405","@Yase24405405")</f>
        <v>@Yase24405405</v>
      </c>
      <c r="C339" s="7" t="s">
        <v>2920</v>
      </c>
      <c r="D339" s="7" t="s">
        <v>2921</v>
      </c>
      <c r="E339" s="12" t="str">
        <f>HYPERLINK("https://twitter.com/Yase24405405/status/1181937836167172098","1181937836167172098")</f>
        <v>1181937836167172098</v>
      </c>
      <c r="F339" s="15"/>
      <c r="G339" s="15"/>
      <c r="H339" s="8"/>
      <c r="I339" s="15">
        <v>0</v>
      </c>
      <c r="J339" s="15">
        <v>0</v>
      </c>
      <c r="K339" s="12" t="str">
        <f>HYPERLINK("http://twitter.com/download/android","Twitter for Android")</f>
        <v>Twitter for Android</v>
      </c>
      <c r="L339" s="16">
        <v>22</v>
      </c>
      <c r="M339" s="16">
        <v>44</v>
      </c>
      <c r="N339" s="16">
        <v>0</v>
      </c>
      <c r="O339" s="17"/>
      <c r="P339" s="18">
        <v>43726.715358796297</v>
      </c>
      <c r="Q339" s="7"/>
      <c r="R339" s="7"/>
      <c r="S339" s="7"/>
      <c r="T339" s="8"/>
      <c r="U339" s="19" t="str">
        <f>HYPERLINK("https://pbs.twimg.com/profile_images/1181678278416969741/fSu34QLT.jpg","View")</f>
        <v>View</v>
      </c>
      <c r="V339" s="8"/>
      <c r="W339" s="8"/>
      <c r="X339" s="8"/>
      <c r="Y339" s="8"/>
      <c r="Z339" s="8"/>
    </row>
    <row r="340" spans="1:26" ht="12.75">
      <c r="A340" s="11">
        <v>43747.306851851856</v>
      </c>
      <c r="B340" s="12" t="str">
        <f>HYPERLINK("https://twitter.com/saribassalih81","@saribassalih81")</f>
        <v>@saribassalih81</v>
      </c>
      <c r="C340" s="7" t="s">
        <v>2925</v>
      </c>
      <c r="D340" s="7" t="s">
        <v>2926</v>
      </c>
      <c r="E340" s="12" t="str">
        <f>HYPERLINK("https://twitter.com/saribassalih81/status/1181937830458744832","1181937830458744832")</f>
        <v>1181937830458744832</v>
      </c>
      <c r="F340" s="8"/>
      <c r="G340" s="14" t="s">
        <v>2927</v>
      </c>
      <c r="H340" s="8"/>
      <c r="I340" s="15">
        <v>0</v>
      </c>
      <c r="J340" s="15">
        <v>0</v>
      </c>
      <c r="K340" s="12" t="str">
        <f>HYPERLINK("http://twitter.com/download/android","Twitter for Android")</f>
        <v>Twitter for Android</v>
      </c>
      <c r="L340" s="16">
        <v>172</v>
      </c>
      <c r="M340" s="16">
        <v>154</v>
      </c>
      <c r="N340" s="16">
        <v>1</v>
      </c>
      <c r="O340" s="17"/>
      <c r="P340" s="18">
        <v>43579.578750000001</v>
      </c>
      <c r="Q340" s="7" t="s">
        <v>2931</v>
      </c>
      <c r="R340" s="7" t="s">
        <v>2932</v>
      </c>
      <c r="S340" s="14" t="s">
        <v>2933</v>
      </c>
      <c r="T340" s="8"/>
      <c r="U340" s="19" t="str">
        <f>HYPERLINK("https://pbs.twimg.com/profile_images/1181570137339637761/73tzv0ix.jpg","View")</f>
        <v>View</v>
      </c>
      <c r="V340" s="8"/>
      <c r="W340" s="8"/>
      <c r="X340" s="8"/>
      <c r="Y340" s="8"/>
      <c r="Z340" s="8"/>
    </row>
    <row r="341" spans="1:26" ht="12.75">
      <c r="A341" s="11">
        <v>43747.306851851856</v>
      </c>
      <c r="B341" s="12" t="str">
        <f>HYPERLINK("https://twitter.com/korkmazerhan","@korkmazerhan")</f>
        <v>@korkmazerhan</v>
      </c>
      <c r="C341" s="7" t="s">
        <v>2936</v>
      </c>
      <c r="D341" s="7" t="s">
        <v>2937</v>
      </c>
      <c r="E341" s="12" t="str">
        <f>HYPERLINK("https://twitter.com/korkmazerhan/status/1181937829393379330","1181937829393379330")</f>
        <v>1181937829393379330</v>
      </c>
      <c r="F341" s="8"/>
      <c r="G341" s="15"/>
      <c r="H341" s="8"/>
      <c r="I341" s="15">
        <v>0</v>
      </c>
      <c r="J341" s="15">
        <v>0</v>
      </c>
      <c r="K341" s="12" t="str">
        <f>HYPERLINK("http://twitter.com/download/android","Twitter for Android")</f>
        <v>Twitter for Android</v>
      </c>
      <c r="L341" s="16">
        <v>40</v>
      </c>
      <c r="M341" s="16">
        <v>242</v>
      </c>
      <c r="N341" s="16">
        <v>0</v>
      </c>
      <c r="O341" s="17"/>
      <c r="P341" s="18">
        <v>42814.394606481481</v>
      </c>
      <c r="Q341" s="7"/>
      <c r="R341" s="7"/>
      <c r="S341" s="15"/>
      <c r="T341" s="8"/>
      <c r="U341" s="19" t="str">
        <f>HYPERLINK("https://pbs.twimg.com/profile_images/844037063120949248/1ZZYQfck.jpg","View")</f>
        <v>View</v>
      </c>
      <c r="V341" s="8"/>
      <c r="W341" s="8"/>
      <c r="X341" s="8"/>
      <c r="Y341" s="8"/>
      <c r="Z341" s="8"/>
    </row>
    <row r="342" spans="1:26" ht="12.75">
      <c r="A342" s="11">
        <v>43747.306851851856</v>
      </c>
      <c r="B342" s="12" t="str">
        <f>HYPERLINK("https://twitter.com/SELCUKTASALI","@SELCUKTASALI")</f>
        <v>@SELCUKTASALI</v>
      </c>
      <c r="C342" s="7" t="s">
        <v>2942</v>
      </c>
      <c r="D342" s="7" t="s">
        <v>2943</v>
      </c>
      <c r="E342" s="12" t="str">
        <f>HYPERLINK("https://twitter.com/SELCUKTASALI/status/1181937828701315073","1181937828701315073")</f>
        <v>1181937828701315073</v>
      </c>
      <c r="F342" s="8"/>
      <c r="G342" s="15"/>
      <c r="H342" s="8"/>
      <c r="I342" s="15">
        <v>0</v>
      </c>
      <c r="J342" s="15">
        <v>2</v>
      </c>
      <c r="K342" s="12" t="str">
        <f>HYPERLINK("https://mobile.twitter.com","Twitter Web App")</f>
        <v>Twitter Web App</v>
      </c>
      <c r="L342" s="16">
        <v>436</v>
      </c>
      <c r="M342" s="16">
        <v>744</v>
      </c>
      <c r="N342" s="16">
        <v>13</v>
      </c>
      <c r="O342" s="17"/>
      <c r="P342" s="18">
        <v>41130.547060185185</v>
      </c>
      <c r="Q342" s="7" t="s">
        <v>860</v>
      </c>
      <c r="R342" s="7" t="s">
        <v>2946</v>
      </c>
      <c r="S342" s="15"/>
      <c r="T342" s="8"/>
      <c r="U342" s="19" t="str">
        <f>HYPERLINK("https://pbs.twimg.com/profile_images/1083049214177890304/0Xwf4lOV.jpg","View")</f>
        <v>View</v>
      </c>
      <c r="V342" s="8"/>
      <c r="W342" s="8"/>
      <c r="X342" s="8"/>
      <c r="Y342" s="8"/>
      <c r="Z342" s="8"/>
    </row>
    <row r="343" spans="1:26" ht="12.75">
      <c r="A343" s="11">
        <v>43747.306805555556</v>
      </c>
      <c r="B343" s="12" t="str">
        <f>HYPERLINK("https://twitter.com/kalender_semavi","@kalender_semavi")</f>
        <v>@kalender_semavi</v>
      </c>
      <c r="C343" s="7" t="s">
        <v>2948</v>
      </c>
      <c r="D343" s="7" t="s">
        <v>2949</v>
      </c>
      <c r="E343" s="12" t="str">
        <f>HYPERLINK("https://twitter.com/kalender_semavi/status/1181937812737871872","1181937812737871872")</f>
        <v>1181937812737871872</v>
      </c>
      <c r="F343" s="8"/>
      <c r="G343" s="15"/>
      <c r="H343" s="8"/>
      <c r="I343" s="15">
        <v>0</v>
      </c>
      <c r="J343" s="15">
        <v>0</v>
      </c>
      <c r="K343" s="12" t="str">
        <f>HYPERLINK("http://twitter.com/download/iphone","Twitter for iPhone")</f>
        <v>Twitter for iPhone</v>
      </c>
      <c r="L343" s="16">
        <v>12</v>
      </c>
      <c r="M343" s="16">
        <v>108</v>
      </c>
      <c r="N343" s="16">
        <v>0</v>
      </c>
      <c r="O343" s="17"/>
      <c r="P343" s="18">
        <v>42170.264502314814</v>
      </c>
      <c r="Q343" s="7"/>
      <c r="R343" s="7" t="s">
        <v>2950</v>
      </c>
      <c r="S343" s="7"/>
      <c r="T343" s="8"/>
      <c r="U343" s="19" t="str">
        <f>HYPERLINK("https://pbs.twimg.com/profile_images/1143631279465947137/fg3v_gb0.jpg","View")</f>
        <v>View</v>
      </c>
      <c r="V343" s="8"/>
      <c r="W343" s="8"/>
      <c r="X343" s="8"/>
      <c r="Y343" s="8"/>
      <c r="Z343" s="8"/>
    </row>
    <row r="344" spans="1:26" ht="12.75">
      <c r="A344" s="11">
        <v>43747.30678240741</v>
      </c>
      <c r="B344" s="12" t="str">
        <f>HYPERLINK("https://twitter.com/kartallkerem","@kartallkerem")</f>
        <v>@kartallkerem</v>
      </c>
      <c r="C344" s="7" t="s">
        <v>2953</v>
      </c>
      <c r="D344" s="7" t="s">
        <v>2954</v>
      </c>
      <c r="E344" s="12" t="str">
        <f>HYPERLINK("https://twitter.com/kartallkerem/status/1181937803762049025","1181937803762049025")</f>
        <v>1181937803762049025</v>
      </c>
      <c r="F344" s="8"/>
      <c r="G344" s="14" t="s">
        <v>2955</v>
      </c>
      <c r="H344" s="8"/>
      <c r="I344" s="15">
        <v>0</v>
      </c>
      <c r="J344" s="15">
        <v>0</v>
      </c>
      <c r="K344" s="12" t="str">
        <f>HYPERLINK("http://twitter.com/download/android","Twitter for Android")</f>
        <v>Twitter for Android</v>
      </c>
      <c r="L344" s="16">
        <v>22</v>
      </c>
      <c r="M344" s="16">
        <v>173</v>
      </c>
      <c r="N344" s="16">
        <v>0</v>
      </c>
      <c r="O344" s="17"/>
      <c r="P344" s="18">
        <v>42055.412372685183</v>
      </c>
      <c r="Q344" s="7" t="s">
        <v>287</v>
      </c>
      <c r="R344" s="7" t="s">
        <v>2959</v>
      </c>
      <c r="S344" s="7"/>
      <c r="T344" s="8"/>
      <c r="U344" s="19" t="str">
        <f>HYPERLINK("https://pbs.twimg.com/profile_images/1155960992116826114/ponTSpwg.jpg","View")</f>
        <v>View</v>
      </c>
      <c r="V344" s="8"/>
      <c r="W344" s="8"/>
      <c r="X344" s="8"/>
      <c r="Y344" s="8"/>
      <c r="Z344" s="8"/>
    </row>
    <row r="345" spans="1:26" ht="12.75">
      <c r="A345" s="11">
        <v>43747.306770833333</v>
      </c>
      <c r="B345" s="12" t="str">
        <f>HYPERLINK("https://twitter.com/adnanozaydiin","@adnanozaydiin")</f>
        <v>@adnanozaydiin</v>
      </c>
      <c r="C345" s="7" t="s">
        <v>2961</v>
      </c>
      <c r="D345" s="7" t="s">
        <v>2962</v>
      </c>
      <c r="E345" s="12" t="str">
        <f>HYPERLINK("https://twitter.com/adnanozaydiin/status/1181937801996177408","1181937801996177408")</f>
        <v>1181937801996177408</v>
      </c>
      <c r="F345" s="8"/>
      <c r="G345" s="14" t="s">
        <v>2963</v>
      </c>
      <c r="H345" s="8"/>
      <c r="I345" s="15">
        <v>0</v>
      </c>
      <c r="J345" s="15">
        <v>2</v>
      </c>
      <c r="K345" s="12" t="str">
        <f>HYPERLINK("http://twitter.com/download/iphone","Twitter for iPhone")</f>
        <v>Twitter for iPhone</v>
      </c>
      <c r="L345" s="16">
        <v>170</v>
      </c>
      <c r="M345" s="16">
        <v>82</v>
      </c>
      <c r="N345" s="16">
        <v>0</v>
      </c>
      <c r="O345" s="17"/>
      <c r="P345" s="18">
        <v>41122.311724537038</v>
      </c>
      <c r="Q345" s="7" t="s">
        <v>2966</v>
      </c>
      <c r="R345" s="7" t="s">
        <v>2967</v>
      </c>
      <c r="S345" s="7"/>
      <c r="T345" s="8"/>
      <c r="U345" s="19" t="str">
        <f>HYPERLINK("https://pbs.twimg.com/profile_images/1168640279697666051/jVjSMJ2C.jpg","View")</f>
        <v>View</v>
      </c>
      <c r="V345" s="8"/>
      <c r="W345" s="8"/>
      <c r="X345" s="8"/>
      <c r="Y345" s="8"/>
      <c r="Z345" s="8"/>
    </row>
    <row r="346" spans="1:26" ht="12.75">
      <c r="A346" s="11">
        <v>43747.306770833333</v>
      </c>
      <c r="B346" s="12" t="str">
        <f>HYPERLINK("https://twitter.com/yusufusta72","@yusufusta72")</f>
        <v>@yusufusta72</v>
      </c>
      <c r="C346" s="7" t="s">
        <v>2971</v>
      </c>
      <c r="D346" s="7" t="s">
        <v>2972</v>
      </c>
      <c r="E346" s="12" t="str">
        <f>HYPERLINK("https://twitter.com/yusufusta72/status/1181937801744523264","1181937801744523264")</f>
        <v>1181937801744523264</v>
      </c>
      <c r="F346" s="8"/>
      <c r="G346" s="15"/>
      <c r="H346" s="8"/>
      <c r="I346" s="15">
        <v>0</v>
      </c>
      <c r="J346" s="15">
        <v>0</v>
      </c>
      <c r="K346" s="12" t="str">
        <f>HYPERLINK("http://twitter.com/download/android","Twitter for Android")</f>
        <v>Twitter for Android</v>
      </c>
      <c r="L346" s="16">
        <v>757</v>
      </c>
      <c r="M346" s="16">
        <v>800</v>
      </c>
      <c r="N346" s="16">
        <v>1</v>
      </c>
      <c r="O346" s="17"/>
      <c r="P346" s="18">
        <v>41329.534861111111</v>
      </c>
      <c r="Q346" s="7"/>
      <c r="R346" s="7" t="s">
        <v>2974</v>
      </c>
      <c r="S346" s="15"/>
      <c r="T346" s="8"/>
      <c r="U346" s="19" t="str">
        <f>HYPERLINK("https://pbs.twimg.com/profile_images/960232378877857793/qYSr7G4W.jpg","View")</f>
        <v>View</v>
      </c>
      <c r="V346" s="8"/>
      <c r="W346" s="8"/>
      <c r="X346" s="8"/>
      <c r="Y346" s="8"/>
      <c r="Z346" s="8"/>
    </row>
    <row r="347" spans="1:26" ht="12.75">
      <c r="A347" s="11">
        <v>43747.30673611111</v>
      </c>
      <c r="B347" s="12" t="str">
        <f>HYPERLINK("https://twitter.com/Emregmsbs","@Emregmsbs")</f>
        <v>@Emregmsbs</v>
      </c>
      <c r="C347" s="7" t="s">
        <v>2975</v>
      </c>
      <c r="D347" s="7" t="s">
        <v>1744</v>
      </c>
      <c r="E347" s="12" t="str">
        <f>HYPERLINK("https://twitter.com/Emregmsbs/status/1181937786062086146","1181937786062086146")</f>
        <v>1181937786062086146</v>
      </c>
      <c r="F347" s="8"/>
      <c r="G347" s="14" t="s">
        <v>2979</v>
      </c>
      <c r="H347" s="8"/>
      <c r="I347" s="15">
        <v>3</v>
      </c>
      <c r="J347" s="15">
        <v>2</v>
      </c>
      <c r="K347" s="12" t="str">
        <f>HYPERLINK("https://mobile.twitter.com","Twitter Web App")</f>
        <v>Twitter Web App</v>
      </c>
      <c r="L347" s="16">
        <v>393</v>
      </c>
      <c r="M347" s="16">
        <v>576</v>
      </c>
      <c r="N347" s="16">
        <v>1</v>
      </c>
      <c r="O347" s="17"/>
      <c r="P347" s="18">
        <v>41013.455763888887</v>
      </c>
      <c r="Q347" s="7"/>
      <c r="R347" s="7">
        <v>61.5</v>
      </c>
      <c r="S347" s="14" t="s">
        <v>2980</v>
      </c>
      <c r="T347" s="8"/>
      <c r="U347" s="19" t="str">
        <f>HYPERLINK("https://pbs.twimg.com/profile_images/1171369387707838465/1u0pbbEU.jpg","View")</f>
        <v>View</v>
      </c>
      <c r="V347" s="8"/>
      <c r="W347" s="8"/>
      <c r="X347" s="8"/>
      <c r="Y347" s="8"/>
      <c r="Z347" s="8"/>
    </row>
    <row r="348" spans="1:26" ht="12.75">
      <c r="A348" s="11">
        <v>43747.30668981481</v>
      </c>
      <c r="B348" s="12" t="str">
        <f>HYPERLINK("https://twitter.com/10mehmetcali10","@10mehmetcali10")</f>
        <v>@10mehmetcali10</v>
      </c>
      <c r="C348" s="7" t="s">
        <v>2991</v>
      </c>
      <c r="D348" s="7" t="s">
        <v>2992</v>
      </c>
      <c r="E348" s="12" t="str">
        <f>HYPERLINK("https://twitter.com/10mehmetcali10/status/1181937770144653316","1181937770144653316")</f>
        <v>1181937770144653316</v>
      </c>
      <c r="F348" s="8"/>
      <c r="G348" s="7"/>
      <c r="H348" s="8"/>
      <c r="I348" s="15">
        <v>3</v>
      </c>
      <c r="J348" s="15">
        <v>4</v>
      </c>
      <c r="K348" s="12" t="str">
        <f>HYPERLINK("http://twitter.com/download/iphone","Twitter for iPhone")</f>
        <v>Twitter for iPhone</v>
      </c>
      <c r="L348" s="16">
        <v>74</v>
      </c>
      <c r="M348" s="16">
        <v>237</v>
      </c>
      <c r="N348" s="16">
        <v>0</v>
      </c>
      <c r="O348" s="17"/>
      <c r="P348" s="18">
        <v>41772.518240740741</v>
      </c>
      <c r="Q348" s="7"/>
      <c r="R348" s="7"/>
      <c r="S348" s="7"/>
      <c r="T348" s="8"/>
      <c r="U348" s="19" t="str">
        <f>HYPERLINK("https://pbs.twimg.com/profile_images/539831011408760834/ouJUuvTA.jpeg","View")</f>
        <v>View</v>
      </c>
      <c r="V348" s="8"/>
      <c r="W348" s="8"/>
      <c r="X348" s="8"/>
      <c r="Y348" s="8"/>
      <c r="Z348" s="8"/>
    </row>
    <row r="349" spans="1:26" ht="12.75">
      <c r="A349" s="11">
        <v>43747.306655092594</v>
      </c>
      <c r="B349" s="12" t="str">
        <f>HYPERLINK("https://twitter.com/halitbaskent","@halitbaskent")</f>
        <v>@halitbaskent</v>
      </c>
      <c r="C349" s="7" t="s">
        <v>2996</v>
      </c>
      <c r="D349" s="7" t="s">
        <v>2997</v>
      </c>
      <c r="E349" s="12" t="str">
        <f>HYPERLINK("https://twitter.com/halitbaskent/status/1181937758559973376","1181937758559973376")</f>
        <v>1181937758559973376</v>
      </c>
      <c r="F349" s="8"/>
      <c r="G349" s="14" t="s">
        <v>2999</v>
      </c>
      <c r="H349" s="8"/>
      <c r="I349" s="15">
        <v>0</v>
      </c>
      <c r="J349" s="15">
        <v>0</v>
      </c>
      <c r="K349" s="12" t="str">
        <f>HYPERLINK("http://twitter.com/download/iphone","Twitter for iPhone")</f>
        <v>Twitter for iPhone</v>
      </c>
      <c r="L349" s="16">
        <v>31</v>
      </c>
      <c r="M349" s="16">
        <v>66</v>
      </c>
      <c r="N349" s="16">
        <v>0</v>
      </c>
      <c r="O349" s="17"/>
      <c r="P349" s="18">
        <v>41813.246967592597</v>
      </c>
      <c r="Q349" s="7"/>
      <c r="R349" s="7" t="s">
        <v>3000</v>
      </c>
      <c r="S349" s="15"/>
      <c r="T349" s="8"/>
      <c r="U349" s="19" t="str">
        <f>HYPERLINK("https://pbs.twimg.com/profile_images/1159316570436509696/nFhVQYHF.jpg","View")</f>
        <v>View</v>
      </c>
      <c r="V349" s="8"/>
      <c r="W349" s="8"/>
      <c r="X349" s="8"/>
      <c r="Y349" s="8"/>
      <c r="Z349" s="8"/>
    </row>
    <row r="350" spans="1:26" ht="12.75">
      <c r="A350" s="11">
        <v>43747.306643518517</v>
      </c>
      <c r="B350" s="12" t="str">
        <f>HYPERLINK("https://twitter.com/hilal_kukku","@hilal_kukku")</f>
        <v>@hilal_kukku</v>
      </c>
      <c r="C350" s="7" t="s">
        <v>3004</v>
      </c>
      <c r="D350" s="7" t="s">
        <v>3005</v>
      </c>
      <c r="E350" s="12" t="str">
        <f>HYPERLINK("https://twitter.com/hilal_kukku/status/1181937752344059904","1181937752344059904")</f>
        <v>1181937752344059904</v>
      </c>
      <c r="F350" s="8"/>
      <c r="G350" s="15"/>
      <c r="H350" s="8"/>
      <c r="I350" s="15">
        <v>0</v>
      </c>
      <c r="J350" s="15">
        <v>1</v>
      </c>
      <c r="K350" s="12" t="str">
        <f>HYPERLINK("http://twitter.com/download/iphone","Twitter for iPhone")</f>
        <v>Twitter for iPhone</v>
      </c>
      <c r="L350" s="16">
        <v>2680</v>
      </c>
      <c r="M350" s="16">
        <v>983</v>
      </c>
      <c r="N350" s="16">
        <v>2</v>
      </c>
      <c r="O350" s="17"/>
      <c r="P350" s="18">
        <v>41095.372118055559</v>
      </c>
      <c r="Q350" s="7" t="s">
        <v>860</v>
      </c>
      <c r="R350" s="7" t="s">
        <v>3008</v>
      </c>
      <c r="S350" s="7"/>
      <c r="T350" s="8"/>
      <c r="U350" s="19" t="str">
        <f>HYPERLINK("https://pbs.twimg.com/profile_images/1125855011337060352/ctIxRLbc.jpg","View")</f>
        <v>View</v>
      </c>
      <c r="V350" s="8"/>
      <c r="W350" s="8"/>
      <c r="X350" s="8"/>
      <c r="Y350" s="8"/>
      <c r="Z350" s="8"/>
    </row>
    <row r="351" spans="1:26" ht="12.75">
      <c r="A351" s="11">
        <v>43747.306631944448</v>
      </c>
      <c r="B351" s="12" t="str">
        <f>HYPERLINK("https://twitter.com/GreatWO10682613","@GreatWO10682613")</f>
        <v>@GreatWO10682613</v>
      </c>
      <c r="C351" s="7" t="s">
        <v>3010</v>
      </c>
      <c r="D351" s="7" t="s">
        <v>3011</v>
      </c>
      <c r="E351" s="12" t="str">
        <f>HYPERLINK("https://twitter.com/GreatWO10682613/status/1181937751391952896","1181937751391952896")</f>
        <v>1181937751391952896</v>
      </c>
      <c r="F351" s="8"/>
      <c r="G351" s="15"/>
      <c r="H351" s="8"/>
      <c r="I351" s="15">
        <v>0</v>
      </c>
      <c r="J351" s="15">
        <v>2</v>
      </c>
      <c r="K351" s="12" t="str">
        <f>HYPERLINK("http://twitter.com/download/android","Twitter for Android")</f>
        <v>Twitter for Android</v>
      </c>
      <c r="L351" s="16">
        <v>1105</v>
      </c>
      <c r="M351" s="16">
        <v>1798</v>
      </c>
      <c r="N351" s="16">
        <v>1</v>
      </c>
      <c r="O351" s="17"/>
      <c r="P351" s="18">
        <v>43643.109675925924</v>
      </c>
      <c r="Q351" s="7" t="s">
        <v>287</v>
      </c>
      <c r="R351" s="7" t="s">
        <v>3012</v>
      </c>
      <c r="S351" s="7"/>
      <c r="T351" s="8"/>
      <c r="U351" s="19" t="str">
        <f>HYPERLINK("https://pbs.twimg.com/profile_images/1180340311421272064/9jNYJbsP.jpg","View")</f>
        <v>View</v>
      </c>
      <c r="V351" s="8"/>
      <c r="W351" s="8"/>
      <c r="X351" s="8"/>
      <c r="Y351" s="8"/>
      <c r="Z351" s="8"/>
    </row>
    <row r="352" spans="1:26" ht="12.75">
      <c r="A352" s="11">
        <v>43747.306585648148</v>
      </c>
      <c r="B352" s="12" t="str">
        <f>HYPERLINK("https://twitter.com/nathalivh","@nathalivh")</f>
        <v>@nathalivh</v>
      </c>
      <c r="C352" s="7" t="s">
        <v>3016</v>
      </c>
      <c r="D352" s="7" t="s">
        <v>3017</v>
      </c>
      <c r="E352" s="12" t="str">
        <f>HYPERLINK("https://twitter.com/nathalivh/status/1181937732584710144","1181937732584710144")</f>
        <v>1181937732584710144</v>
      </c>
      <c r="F352" s="14" t="s">
        <v>3018</v>
      </c>
      <c r="G352" s="14" t="s">
        <v>3019</v>
      </c>
      <c r="H352" s="8"/>
      <c r="I352" s="15">
        <v>0</v>
      </c>
      <c r="J352" s="15">
        <v>1</v>
      </c>
      <c r="K352" s="12" t="str">
        <f>HYPERLINK("http://twitter.com/download/android","Twitter for Android")</f>
        <v>Twitter for Android</v>
      </c>
      <c r="L352" s="16">
        <v>2045</v>
      </c>
      <c r="M352" s="16">
        <v>2079</v>
      </c>
      <c r="N352" s="16">
        <v>104</v>
      </c>
      <c r="O352" s="17"/>
      <c r="P352" s="18">
        <v>41432.691712962966</v>
      </c>
      <c r="Q352" s="7" t="s">
        <v>3022</v>
      </c>
      <c r="R352" s="7" t="s">
        <v>3023</v>
      </c>
      <c r="S352" s="7"/>
      <c r="T352" s="8"/>
      <c r="U352" s="19" t="str">
        <f>HYPERLINK("https://pbs.twimg.com/profile_images/1058636995503837184/SLOUYHy8.jpg","View")</f>
        <v>View</v>
      </c>
      <c r="V352" s="8"/>
      <c r="W352" s="8"/>
      <c r="X352" s="8"/>
      <c r="Y352" s="8"/>
      <c r="Z352" s="8"/>
    </row>
    <row r="353" spans="1:26" ht="12.75">
      <c r="A353" s="11">
        <v>43747.306562500002</v>
      </c>
      <c r="B353" s="12" t="str">
        <f>HYPERLINK("https://twitter.com/omrbrncii","@omrbrncii")</f>
        <v>@omrbrncii</v>
      </c>
      <c r="C353" s="7" t="s">
        <v>3027</v>
      </c>
      <c r="D353" s="7" t="s">
        <v>3028</v>
      </c>
      <c r="E353" s="12" t="str">
        <f>HYPERLINK("https://twitter.com/omrbrncii/status/1181937722535137280","1181937722535137280")</f>
        <v>1181937722535137280</v>
      </c>
      <c r="F353" s="15"/>
      <c r="G353" s="14" t="s">
        <v>3030</v>
      </c>
      <c r="H353" s="8"/>
      <c r="I353" s="15">
        <v>0</v>
      </c>
      <c r="J353" s="15">
        <v>3</v>
      </c>
      <c r="K353" s="12" t="str">
        <f>HYPERLINK("http://twitter.com/download/android","Twitter for Android")</f>
        <v>Twitter for Android</v>
      </c>
      <c r="L353" s="16">
        <v>352</v>
      </c>
      <c r="M353" s="16">
        <v>356</v>
      </c>
      <c r="N353" s="16">
        <v>0</v>
      </c>
      <c r="O353" s="17"/>
      <c r="P353" s="18">
        <v>42320.363020833334</v>
      </c>
      <c r="Q353" s="7"/>
      <c r="R353" s="7" t="s">
        <v>3033</v>
      </c>
      <c r="S353" s="14" t="s">
        <v>3034</v>
      </c>
      <c r="T353" s="8"/>
      <c r="U353" s="19" t="str">
        <f>HYPERLINK("https://pbs.twimg.com/profile_images/1102606137172602881/NRx8CkUH.jpg","View")</f>
        <v>View</v>
      </c>
      <c r="V353" s="8"/>
      <c r="W353" s="8"/>
      <c r="X353" s="8"/>
      <c r="Y353" s="8"/>
      <c r="Z353" s="8"/>
    </row>
    <row r="354" spans="1:26" ht="12.75">
      <c r="A354" s="11">
        <v>43747.306527777779</v>
      </c>
      <c r="B354" s="12" t="str">
        <f>HYPERLINK("https://twitter.com/berkaykabalarr","@berkaykabalarr")</f>
        <v>@berkaykabalarr</v>
      </c>
      <c r="C354" s="7" t="s">
        <v>3036</v>
      </c>
      <c r="D354" s="7" t="s">
        <v>3037</v>
      </c>
      <c r="E354" s="12" t="str">
        <f>HYPERLINK("https://twitter.com/berkaykabalarr/status/1181937713198632960","1181937713198632960")</f>
        <v>1181937713198632960</v>
      </c>
      <c r="F354" s="14" t="s">
        <v>3039</v>
      </c>
      <c r="G354" s="14" t="s">
        <v>61</v>
      </c>
      <c r="H354" s="8"/>
      <c r="I354" s="15">
        <v>1</v>
      </c>
      <c r="J354" s="15">
        <v>1</v>
      </c>
      <c r="K354" s="12" t="str">
        <f>HYPERLINK("http://twitter.com/download/iphone","Twitter for iPhone")</f>
        <v>Twitter for iPhone</v>
      </c>
      <c r="L354" s="16">
        <v>279</v>
      </c>
      <c r="M354" s="16">
        <v>259</v>
      </c>
      <c r="N354" s="16">
        <v>0</v>
      </c>
      <c r="O354" s="17"/>
      <c r="P354" s="18">
        <v>43223.08320601852</v>
      </c>
      <c r="Q354" s="7" t="s">
        <v>313</v>
      </c>
      <c r="R354" s="7" t="s">
        <v>3041</v>
      </c>
      <c r="S354" s="14" t="s">
        <v>3042</v>
      </c>
      <c r="T354" s="8"/>
      <c r="U354" s="19" t="str">
        <f>HYPERLINK("https://pbs.twimg.com/profile_images/1181663211038416896/Xne74XoL.jpg","View")</f>
        <v>View</v>
      </c>
      <c r="V354" s="8"/>
      <c r="W354" s="8"/>
      <c r="X354" s="8"/>
      <c r="Y354" s="8"/>
      <c r="Z354" s="8"/>
    </row>
    <row r="355" spans="1:26" ht="12.75">
      <c r="A355" s="11">
        <v>43747.306527777779</v>
      </c>
      <c r="B355" s="12" t="str">
        <f>HYPERLINK("https://twitter.com/esra_esrayucel","@esra_esrayucel")</f>
        <v>@esra_esrayucel</v>
      </c>
      <c r="C355" s="7" t="s">
        <v>3043</v>
      </c>
      <c r="D355" s="7" t="s">
        <v>3044</v>
      </c>
      <c r="E355" s="12" t="str">
        <f>HYPERLINK("https://twitter.com/esra_esrayucel/status/1181937713026621440","1181937713026621440")</f>
        <v>1181937713026621440</v>
      </c>
      <c r="F355" s="8"/>
      <c r="G355" s="15"/>
      <c r="H355" s="8"/>
      <c r="I355" s="15">
        <v>0</v>
      </c>
      <c r="J355" s="15">
        <v>3</v>
      </c>
      <c r="K355" s="12" t="str">
        <f>HYPERLINK("http://twitter.com/download/android","Twitter for Android")</f>
        <v>Twitter for Android</v>
      </c>
      <c r="L355" s="16">
        <v>127</v>
      </c>
      <c r="M355" s="16">
        <v>965</v>
      </c>
      <c r="N355" s="16">
        <v>0</v>
      </c>
      <c r="O355" s="17"/>
      <c r="P355" s="18">
        <v>43365.513842592598</v>
      </c>
      <c r="Q355" s="7"/>
      <c r="R355" s="7"/>
      <c r="S355" s="7"/>
      <c r="T355" s="8"/>
      <c r="U355" s="19" t="str">
        <f>HYPERLINK("https://pbs.twimg.com/profile_images/1126133581187776514/1R7shYn2.jpg","View")</f>
        <v>View</v>
      </c>
      <c r="V355" s="8"/>
      <c r="W355" s="8"/>
      <c r="X355" s="8"/>
      <c r="Y355" s="8"/>
      <c r="Z355" s="8"/>
    </row>
    <row r="356" spans="1:26" ht="12.75">
      <c r="A356" s="11">
        <v>43747.306527777779</v>
      </c>
      <c r="B356" s="12" t="str">
        <f>HYPERLINK("https://twitter.com/suatyldrm49","@suatyldrm49")</f>
        <v>@suatyldrm49</v>
      </c>
      <c r="C356" s="7" t="s">
        <v>3048</v>
      </c>
      <c r="D356" s="7" t="s">
        <v>3049</v>
      </c>
      <c r="E356" s="12" t="str">
        <f>HYPERLINK("https://twitter.com/suatyldrm49/status/1181937712858877959","1181937712858877959")</f>
        <v>1181937712858877959</v>
      </c>
      <c r="F356" s="8"/>
      <c r="G356" s="14" t="s">
        <v>3050</v>
      </c>
      <c r="H356" s="8"/>
      <c r="I356" s="15">
        <v>0</v>
      </c>
      <c r="J356" s="15">
        <v>0</v>
      </c>
      <c r="K356" s="12" t="str">
        <f>HYPERLINK("http://twitter.com/download/android","Twitter for Android")</f>
        <v>Twitter for Android</v>
      </c>
      <c r="L356" s="16">
        <v>253</v>
      </c>
      <c r="M356" s="16">
        <v>210</v>
      </c>
      <c r="N356" s="16">
        <v>0</v>
      </c>
      <c r="O356" s="17"/>
      <c r="P356" s="18">
        <v>42174.607731481483</v>
      </c>
      <c r="Q356" s="7" t="s">
        <v>3054</v>
      </c>
      <c r="R356" s="7" t="s">
        <v>3055</v>
      </c>
      <c r="S356" s="7"/>
      <c r="T356" s="8"/>
      <c r="U356" s="19" t="str">
        <f>HYPERLINK("https://pbs.twimg.com/profile_images/1033824585073020929/IDsNCdU6.jpg","View")</f>
        <v>View</v>
      </c>
      <c r="V356" s="8"/>
      <c r="W356" s="8"/>
      <c r="X356" s="8"/>
      <c r="Y356" s="8"/>
      <c r="Z356" s="8"/>
    </row>
    <row r="357" spans="1:26" ht="12.75">
      <c r="A357" s="11">
        <v>43747.306527777779</v>
      </c>
      <c r="B357" s="12" t="str">
        <f>HYPERLINK("https://twitter.com/petrodom","@petrodom")</f>
        <v>@petrodom</v>
      </c>
      <c r="C357" s="7" t="s">
        <v>3056</v>
      </c>
      <c r="D357" s="7" t="s">
        <v>3057</v>
      </c>
      <c r="E357" s="12" t="str">
        <f>HYPERLINK("https://twitter.com/petrodom/status/1181937710522683392","1181937710522683392")</f>
        <v>1181937710522683392</v>
      </c>
      <c r="F357" s="14" t="s">
        <v>3060</v>
      </c>
      <c r="G357" s="15"/>
      <c r="H357" s="8"/>
      <c r="I357" s="15">
        <v>0</v>
      </c>
      <c r="J357" s="15">
        <v>0</v>
      </c>
      <c r="K357" s="12" t="str">
        <f>HYPERLINK("http://twitter.com/download/android","Twitter for Android")</f>
        <v>Twitter for Android</v>
      </c>
      <c r="L357" s="16">
        <v>3094</v>
      </c>
      <c r="M357" s="16">
        <v>1624</v>
      </c>
      <c r="N357" s="16">
        <v>184</v>
      </c>
      <c r="O357" s="17"/>
      <c r="P357" s="18">
        <v>39985.413807870369</v>
      </c>
      <c r="Q357" s="7" t="s">
        <v>3063</v>
      </c>
      <c r="R357" s="7" t="s">
        <v>3065</v>
      </c>
      <c r="S357" s="14" t="s">
        <v>3066</v>
      </c>
      <c r="T357" s="8"/>
      <c r="U357" s="19" t="str">
        <f>HYPERLINK("https://pbs.twimg.com/profile_images/1153188254776221696/rOt6ayzN.jpg","View")</f>
        <v>View</v>
      </c>
      <c r="V357" s="8"/>
      <c r="W357" s="8"/>
      <c r="X357" s="8"/>
      <c r="Y357" s="8"/>
      <c r="Z357" s="8"/>
    </row>
    <row r="358" spans="1:26" ht="12.75">
      <c r="A358" s="11">
        <v>43747.306516203702</v>
      </c>
      <c r="B358" s="12" t="str">
        <f>HYPERLINK("https://twitter.com/zeynemetin","@zeynemetin")</f>
        <v>@zeynemetin</v>
      </c>
      <c r="C358" s="7" t="s">
        <v>3068</v>
      </c>
      <c r="D358" s="7" t="s">
        <v>3069</v>
      </c>
      <c r="E358" s="12" t="str">
        <f>HYPERLINK("https://twitter.com/zeynemetin/status/1181937706915565568","1181937706915565568")</f>
        <v>1181937706915565568</v>
      </c>
      <c r="F358" s="8"/>
      <c r="G358" s="14" t="s">
        <v>3070</v>
      </c>
      <c r="H358" s="8"/>
      <c r="I358" s="15">
        <v>6</v>
      </c>
      <c r="J358" s="15">
        <v>8</v>
      </c>
      <c r="K358" s="12" t="str">
        <f>HYPERLINK("http://twitter.com/download/iphone","Twitter for iPhone")</f>
        <v>Twitter for iPhone</v>
      </c>
      <c r="L358" s="16">
        <v>16905</v>
      </c>
      <c r="M358" s="16">
        <v>17985</v>
      </c>
      <c r="N358" s="16">
        <v>7</v>
      </c>
      <c r="O358" s="17"/>
      <c r="P358" s="18">
        <v>42061.54959490741</v>
      </c>
      <c r="Q358" s="7"/>
      <c r="R358" s="7"/>
      <c r="S358" s="7"/>
      <c r="T358" s="8"/>
      <c r="U358" s="19" t="str">
        <f>HYPERLINK("https://pbs.twimg.com/profile_images/1141679643092836352/AqTMrFBE.jpg","View")</f>
        <v>View</v>
      </c>
      <c r="V358" s="8"/>
      <c r="W358" s="8"/>
      <c r="X358" s="8"/>
      <c r="Y358" s="8"/>
      <c r="Z358" s="8"/>
    </row>
    <row r="359" spans="1:26" ht="12.75">
      <c r="A359" s="11">
        <v>43747.306504629625</v>
      </c>
      <c r="B359" s="12" t="str">
        <f>HYPERLINK("https://twitter.com/birhatunkisi_","@birhatunkisi_")</f>
        <v>@birhatunkisi_</v>
      </c>
      <c r="C359" s="7" t="s">
        <v>3077</v>
      </c>
      <c r="D359" s="7" t="s">
        <v>3078</v>
      </c>
      <c r="E359" s="12" t="str">
        <f>HYPERLINK("https://twitter.com/birhatunkisi_/status/1181937704705155072","1181937704705155072")</f>
        <v>1181937704705155072</v>
      </c>
      <c r="F359" s="8" t="s">
        <v>3079</v>
      </c>
      <c r="G359" s="14" t="s">
        <v>3080</v>
      </c>
      <c r="H359" s="8"/>
      <c r="I359" s="15">
        <v>0</v>
      </c>
      <c r="J359" s="15">
        <v>8</v>
      </c>
      <c r="K359" s="12" t="str">
        <f>HYPERLINK("http://twitter.com/download/iphone","Twitter for iPhone")</f>
        <v>Twitter for iPhone</v>
      </c>
      <c r="L359" s="16">
        <v>872</v>
      </c>
      <c r="M359" s="16">
        <v>678</v>
      </c>
      <c r="N359" s="16">
        <v>0</v>
      </c>
      <c r="O359" s="17"/>
      <c r="P359" s="18">
        <v>41624.648865740739</v>
      </c>
      <c r="Q359" s="7"/>
      <c r="R359" s="7"/>
      <c r="S359" s="7"/>
      <c r="T359" s="8"/>
      <c r="U359" s="19" t="str">
        <f>HYPERLINK("https://pbs.twimg.com/profile_images/1181815026077851649/-hD3oj4W.jpg","View")</f>
        <v>View</v>
      </c>
      <c r="V359" s="8"/>
      <c r="W359" s="8"/>
      <c r="X359" s="8"/>
      <c r="Y359" s="8"/>
      <c r="Z359" s="8"/>
    </row>
    <row r="360" spans="1:26" ht="12.75">
      <c r="A360" s="11">
        <v>43747.306481481486</v>
      </c>
      <c r="B360" s="12" t="str">
        <f>HYPERLINK("https://twitter.com/mademoyle_","@mademoyle_")</f>
        <v>@mademoyle_</v>
      </c>
      <c r="C360" s="7" t="s">
        <v>3084</v>
      </c>
      <c r="D360" s="7" t="s">
        <v>3085</v>
      </c>
      <c r="E360" s="12" t="str">
        <f>HYPERLINK("https://twitter.com/mademoyle_/status/1181937696094261248","1181937696094261248")</f>
        <v>1181937696094261248</v>
      </c>
      <c r="F360" s="8"/>
      <c r="G360" s="14" t="s">
        <v>3086</v>
      </c>
      <c r="H360" s="8"/>
      <c r="I360" s="15">
        <v>1</v>
      </c>
      <c r="J360" s="15">
        <v>3</v>
      </c>
      <c r="K360" s="12" t="str">
        <f>HYPERLINK("http://twitter.com/download/android","Twitter for Android")</f>
        <v>Twitter for Android</v>
      </c>
      <c r="L360" s="16">
        <v>12269</v>
      </c>
      <c r="M360" s="16">
        <v>10614</v>
      </c>
      <c r="N360" s="16">
        <v>1</v>
      </c>
      <c r="O360" s="17"/>
      <c r="P360" s="18">
        <v>42293.050833333335</v>
      </c>
      <c r="Q360" s="7" t="s">
        <v>200</v>
      </c>
      <c r="R360" s="7"/>
      <c r="S360" s="7"/>
      <c r="T360" s="8"/>
      <c r="U360" s="19" t="str">
        <f>HYPERLINK("https://pbs.twimg.com/profile_images/1147859405553176576/pjC3Zi5C.jpg","View")</f>
        <v>View</v>
      </c>
      <c r="V360" s="8"/>
      <c r="W360" s="8"/>
      <c r="X360" s="8"/>
      <c r="Y360" s="8"/>
      <c r="Z360" s="8"/>
    </row>
    <row r="361" spans="1:26" ht="12.75">
      <c r="A361" s="11">
        <v>43747.306469907402</v>
      </c>
      <c r="B361" s="12" t="str">
        <f>HYPERLINK("https://twitter.com/ayyildizhakan","@ayyildizhakan")</f>
        <v>@ayyildizhakan</v>
      </c>
      <c r="C361" s="7" t="s">
        <v>3092</v>
      </c>
      <c r="D361" s="7" t="s">
        <v>3093</v>
      </c>
      <c r="E361" s="12" t="str">
        <f>HYPERLINK("https://twitter.com/ayyildizhakan/status/1181937692789149696","1181937692789149696")</f>
        <v>1181937692789149696</v>
      </c>
      <c r="F361" s="8"/>
      <c r="G361" s="14" t="s">
        <v>3095</v>
      </c>
      <c r="H361" s="8"/>
      <c r="I361" s="15">
        <v>0</v>
      </c>
      <c r="J361" s="15">
        <v>0</v>
      </c>
      <c r="K361" s="12" t="str">
        <f>HYPERLINK("https://mobile.twitter.com","Twitter Web App")</f>
        <v>Twitter Web App</v>
      </c>
      <c r="L361" s="16">
        <v>144</v>
      </c>
      <c r="M361" s="16">
        <v>328</v>
      </c>
      <c r="N361" s="16">
        <v>0</v>
      </c>
      <c r="O361" s="17"/>
      <c r="P361" s="18">
        <v>40417.274456018517</v>
      </c>
      <c r="Q361" s="7" t="s">
        <v>860</v>
      </c>
      <c r="R361" s="13" t="s">
        <v>3097</v>
      </c>
      <c r="S361" s="14" t="s">
        <v>3098</v>
      </c>
      <c r="T361" s="8"/>
      <c r="U361" s="19" t="str">
        <f>HYPERLINK("https://pbs.twimg.com/profile_images/2272648493/image.jpg","View")</f>
        <v>View</v>
      </c>
      <c r="V361" s="8"/>
      <c r="W361" s="8"/>
      <c r="X361" s="8"/>
      <c r="Y361" s="8"/>
      <c r="Z361" s="8"/>
    </row>
    <row r="362" spans="1:26" ht="12.75">
      <c r="A362" s="11">
        <v>43747.30641203704</v>
      </c>
      <c r="B362" s="12" t="str">
        <f>HYPERLINK("https://twitter.com/uaeren34","@uaeren34")</f>
        <v>@uaeren34</v>
      </c>
      <c r="C362" s="7" t="s">
        <v>3106</v>
      </c>
      <c r="D362" s="7" t="s">
        <v>3107</v>
      </c>
      <c r="E362" s="12" t="str">
        <f>HYPERLINK("https://twitter.com/uaeren34/status/1181937668382482439","1181937668382482439")</f>
        <v>1181937668382482439</v>
      </c>
      <c r="F362" s="8"/>
      <c r="G362" s="14" t="s">
        <v>3108</v>
      </c>
      <c r="H362" s="8"/>
      <c r="I362" s="15">
        <v>0</v>
      </c>
      <c r="J362" s="15">
        <v>1</v>
      </c>
      <c r="K362" s="12" t="str">
        <f>HYPERLINK("http://twitter.com/download/android","Twitter for Android")</f>
        <v>Twitter for Android</v>
      </c>
      <c r="L362" s="16">
        <v>22</v>
      </c>
      <c r="M362" s="16">
        <v>21</v>
      </c>
      <c r="N362" s="16">
        <v>0</v>
      </c>
      <c r="O362" s="17"/>
      <c r="P362" s="18">
        <v>43572.021157407406</v>
      </c>
      <c r="Q362" s="7"/>
      <c r="R362" s="7" t="s">
        <v>3110</v>
      </c>
      <c r="S362" s="7"/>
      <c r="T362" s="8"/>
      <c r="U362" s="19" t="str">
        <f>HYPERLINK("https://pbs.twimg.com/profile_images/1118417827063582720/H0mXxsg_.jpg","View")</f>
        <v>View</v>
      </c>
      <c r="V362" s="8"/>
      <c r="W362" s="8"/>
      <c r="X362" s="8"/>
      <c r="Y362" s="8"/>
      <c r="Z362" s="8"/>
    </row>
    <row r="363" spans="1:26" ht="12.75">
      <c r="A363" s="11">
        <v>43747.306354166663</v>
      </c>
      <c r="B363" s="12" t="str">
        <f>HYPERLINK("https://twitter.com/Y1LD1R1M_","@Y1LD1R1M_")</f>
        <v>@Y1LD1R1M_</v>
      </c>
      <c r="C363" s="7" t="s">
        <v>3112</v>
      </c>
      <c r="D363" s="7" t="s">
        <v>3113</v>
      </c>
      <c r="E363" s="12" t="str">
        <f>HYPERLINK("https://twitter.com/Y1LD1R1M_/status/1181937650925785093","1181937650925785093")</f>
        <v>1181937650925785093</v>
      </c>
      <c r="F363" s="8"/>
      <c r="G363" s="14" t="s">
        <v>3115</v>
      </c>
      <c r="H363" s="8"/>
      <c r="I363" s="15">
        <v>0</v>
      </c>
      <c r="J363" s="15">
        <v>0</v>
      </c>
      <c r="K363" s="12" t="str">
        <f>HYPERLINK("http://twitter.com/download/iphone","Twitter for iPhone")</f>
        <v>Twitter for iPhone</v>
      </c>
      <c r="L363" s="16">
        <v>105</v>
      </c>
      <c r="M363" s="16">
        <v>304</v>
      </c>
      <c r="N363" s="16">
        <v>0</v>
      </c>
      <c r="O363" s="17"/>
      <c r="P363" s="18">
        <v>42150.706828703704</v>
      </c>
      <c r="Q363" s="7"/>
      <c r="R363" s="7"/>
      <c r="S363" s="7"/>
      <c r="T363" s="8"/>
      <c r="U363" s="19" t="str">
        <f>HYPERLINK("https://pbs.twimg.com/profile_images/1009527165237547008/sCeh86gO.jpg","View")</f>
        <v>View</v>
      </c>
      <c r="V363" s="8"/>
      <c r="W363" s="8"/>
      <c r="X363" s="8"/>
      <c r="Y363" s="8"/>
      <c r="Z363" s="8"/>
    </row>
    <row r="364" spans="1:26" ht="12.75">
      <c r="A364" s="11">
        <v>43747.30631944444</v>
      </c>
      <c r="B364" s="12" t="str">
        <f>HYPERLINK("https://twitter.com/TurgayYESILKAYA","@TurgayYESILKAYA")</f>
        <v>@TurgayYESILKAYA</v>
      </c>
      <c r="C364" s="7" t="s">
        <v>3119</v>
      </c>
      <c r="D364" s="7" t="s">
        <v>3120</v>
      </c>
      <c r="E364" s="12" t="str">
        <f>HYPERLINK("https://twitter.com/TurgayYESILKAYA/status/1181937636711321600","1181937636711321600")</f>
        <v>1181937636711321600</v>
      </c>
      <c r="F364" s="8"/>
      <c r="G364" s="15"/>
      <c r="H364" s="8"/>
      <c r="I364" s="15">
        <v>0</v>
      </c>
      <c r="J364" s="15">
        <v>8</v>
      </c>
      <c r="K364" s="12" t="str">
        <f>HYPERLINK("http://twitter.com/download/android","Twitter for Android")</f>
        <v>Twitter for Android</v>
      </c>
      <c r="L364" s="16">
        <v>101785</v>
      </c>
      <c r="M364" s="16">
        <v>100811</v>
      </c>
      <c r="N364" s="16">
        <v>73</v>
      </c>
      <c r="O364" s="17"/>
      <c r="P364" s="18">
        <v>40574.556840277779</v>
      </c>
      <c r="Q364" s="7" t="s">
        <v>576</v>
      </c>
      <c r="R364" s="7" t="s">
        <v>3123</v>
      </c>
      <c r="S364" s="14" t="s">
        <v>3124</v>
      </c>
      <c r="T364" s="8"/>
      <c r="U364" s="19" t="str">
        <f>HYPERLINK("https://pbs.twimg.com/profile_images/1105918464781365248/kKv4LKmh.jpg","View")</f>
        <v>View</v>
      </c>
      <c r="V364" s="8"/>
      <c r="W364" s="8"/>
      <c r="X364" s="8"/>
      <c r="Y364" s="8"/>
      <c r="Z364" s="8"/>
    </row>
    <row r="365" spans="1:26" ht="12.75">
      <c r="A365" s="11">
        <v>43747.30631944444</v>
      </c>
      <c r="B365" s="12" t="str">
        <f>HYPERLINK("https://twitter.com/ahmetkkhvc","@ahmetkkhvc")</f>
        <v>@ahmetkkhvc</v>
      </c>
      <c r="C365" s="7" t="s">
        <v>3126</v>
      </c>
      <c r="D365" s="7" t="s">
        <v>3127</v>
      </c>
      <c r="E365" s="12" t="str">
        <f>HYPERLINK("https://twitter.com/ahmetkkhvc/status/1181937634513473536","1181937634513473536")</f>
        <v>1181937634513473536</v>
      </c>
      <c r="F365" s="15"/>
      <c r="G365" s="14" t="s">
        <v>3128</v>
      </c>
      <c r="H365" s="8"/>
      <c r="I365" s="15">
        <v>0</v>
      </c>
      <c r="J365" s="15">
        <v>0</v>
      </c>
      <c r="K365" s="12" t="str">
        <f>HYPERLINK("http://twitter.com/download/iphone","Twitter for iPhone")</f>
        <v>Twitter for iPhone</v>
      </c>
      <c r="L365" s="16">
        <v>143</v>
      </c>
      <c r="M365" s="16">
        <v>403</v>
      </c>
      <c r="N365" s="16">
        <v>0</v>
      </c>
      <c r="O365" s="17"/>
      <c r="P365" s="18">
        <v>41624.376226851848</v>
      </c>
      <c r="Q365" s="7" t="s">
        <v>3131</v>
      </c>
      <c r="R365" s="7" t="s">
        <v>3132</v>
      </c>
      <c r="S365" s="7"/>
      <c r="T365" s="8"/>
      <c r="U365" s="19" t="str">
        <f>HYPERLINK("https://pbs.twimg.com/profile_images/1148335459434676226/gYZiTiYq.jpg","View")</f>
        <v>View</v>
      </c>
      <c r="V365" s="8"/>
      <c r="W365" s="8"/>
      <c r="X365" s="8"/>
      <c r="Y365" s="8"/>
      <c r="Z365" s="8"/>
    </row>
    <row r="366" spans="1:26" ht="12.75">
      <c r="A366" s="11">
        <v>43747.306296296301</v>
      </c>
      <c r="B366" s="12" t="str">
        <f>HYPERLINK("https://twitter.com/kirbacofgod","@kirbacofgod")</f>
        <v>@kirbacofgod</v>
      </c>
      <c r="C366" s="7" t="s">
        <v>3134</v>
      </c>
      <c r="D366" s="7" t="s">
        <v>3135</v>
      </c>
      <c r="E366" s="12" t="str">
        <f>HYPERLINK("https://twitter.com/kirbacofgod/status/1181937628633092096","1181937628633092096")</f>
        <v>1181937628633092096</v>
      </c>
      <c r="F366" s="8"/>
      <c r="G366" s="14" t="s">
        <v>3136</v>
      </c>
      <c r="H366" s="8"/>
      <c r="I366" s="15">
        <v>0</v>
      </c>
      <c r="J366" s="15">
        <v>0</v>
      </c>
      <c r="K366" s="12" t="str">
        <f>HYPERLINK("http://twitter.com/download/android","Twitter for Android")</f>
        <v>Twitter for Android</v>
      </c>
      <c r="L366" s="16">
        <v>63</v>
      </c>
      <c r="M366" s="16">
        <v>213</v>
      </c>
      <c r="N366" s="16">
        <v>0</v>
      </c>
      <c r="O366" s="17"/>
      <c r="P366" s="18">
        <v>43514.522303240738</v>
      </c>
      <c r="Q366" s="7" t="s">
        <v>3140</v>
      </c>
      <c r="R366" s="7"/>
      <c r="S366" s="15"/>
      <c r="T366" s="8"/>
      <c r="U366" s="19" t="str">
        <f>HYPERLINK("https://pbs.twimg.com/profile_images/1164823120990990336/MxGOU8-l.jpg","View")</f>
        <v>View</v>
      </c>
      <c r="V366" s="8"/>
      <c r="W366" s="8"/>
      <c r="X366" s="8"/>
      <c r="Y366" s="8"/>
      <c r="Z366" s="8"/>
    </row>
    <row r="367" spans="1:26" ht="12.75">
      <c r="A367" s="11">
        <v>43747.306296296301</v>
      </c>
      <c r="B367" s="12" t="str">
        <f>HYPERLINK("https://twitter.com/Furkancayl","@Furkancayl")</f>
        <v>@Furkancayl</v>
      </c>
      <c r="C367" s="7" t="s">
        <v>3141</v>
      </c>
      <c r="D367" s="7" t="s">
        <v>3142</v>
      </c>
      <c r="E367" s="12" t="str">
        <f>HYPERLINK("https://twitter.com/Furkancayl/status/1181937628595269632","1181937628595269632")</f>
        <v>1181937628595269632</v>
      </c>
      <c r="F367" s="8" t="s">
        <v>3079</v>
      </c>
      <c r="G367" s="14" t="s">
        <v>3080</v>
      </c>
      <c r="H367" s="8"/>
      <c r="I367" s="15">
        <v>0</v>
      </c>
      <c r="J367" s="15">
        <v>0</v>
      </c>
      <c r="K367" s="12" t="str">
        <f>HYPERLINK("http://twitter.com/download/iphone","Twitter for iPhone")</f>
        <v>Twitter for iPhone</v>
      </c>
      <c r="L367" s="16">
        <v>132</v>
      </c>
      <c r="M367" s="16">
        <v>135</v>
      </c>
      <c r="N367" s="16">
        <v>1</v>
      </c>
      <c r="O367" s="17"/>
      <c r="P367" s="18">
        <v>41620.529409722221</v>
      </c>
      <c r="Q367" s="7" t="s">
        <v>3146</v>
      </c>
      <c r="R367" s="7" t="s">
        <v>3147</v>
      </c>
      <c r="S367" s="14" t="s">
        <v>3148</v>
      </c>
      <c r="T367" s="8"/>
      <c r="U367" s="19" t="str">
        <f>HYPERLINK("https://pbs.twimg.com/profile_images/1156176910365409281/QYXp-cMT.jpg","View")</f>
        <v>View</v>
      </c>
      <c r="V367" s="8"/>
      <c r="W367" s="8"/>
      <c r="X367" s="8"/>
      <c r="Y367" s="8"/>
      <c r="Z367" s="8"/>
    </row>
    <row r="368" spans="1:26" ht="12.75">
      <c r="A368" s="11">
        <v>43747.306296296301</v>
      </c>
      <c r="B368" s="12" t="str">
        <f>HYPERLINK("https://twitter.com/ahmetsukru_","@ahmetsukru_")</f>
        <v>@ahmetsukru_</v>
      </c>
      <c r="C368" s="7" t="s">
        <v>3152</v>
      </c>
      <c r="D368" s="7" t="s">
        <v>3153</v>
      </c>
      <c r="E368" s="12" t="str">
        <f>HYPERLINK("https://twitter.com/ahmetsukru_/status/1181937626116427776","1181937626116427776")</f>
        <v>1181937626116427776</v>
      </c>
      <c r="F368" s="8"/>
      <c r="G368" s="14" t="s">
        <v>3154</v>
      </c>
      <c r="H368" s="8"/>
      <c r="I368" s="15">
        <v>0</v>
      </c>
      <c r="J368" s="15">
        <v>1</v>
      </c>
      <c r="K368" s="12" t="str">
        <f>HYPERLINK("http://twitter.com/download/iphone","Twitter for iPhone")</f>
        <v>Twitter for iPhone</v>
      </c>
      <c r="L368" s="16">
        <v>441</v>
      </c>
      <c r="M368" s="16">
        <v>541</v>
      </c>
      <c r="N368" s="16">
        <v>1</v>
      </c>
      <c r="O368" s="17"/>
      <c r="P368" s="18">
        <v>40753.22934027778</v>
      </c>
      <c r="Q368" s="7"/>
      <c r="R368" s="7" t="s">
        <v>3158</v>
      </c>
      <c r="S368" s="7"/>
      <c r="T368" s="8"/>
      <c r="U368" s="19" t="str">
        <f>HYPERLINK("https://pbs.twimg.com/profile_images/1157944921892052993/4k47FVLb.jpg","View")</f>
        <v>View</v>
      </c>
      <c r="V368" s="8"/>
      <c r="W368" s="8"/>
      <c r="X368" s="8"/>
      <c r="Y368" s="8"/>
      <c r="Z368" s="8"/>
    </row>
    <row r="369" spans="1:26" ht="12.75">
      <c r="A369" s="11">
        <v>43747.306273148148</v>
      </c>
      <c r="B369" s="12" t="str">
        <f>HYPERLINK("https://twitter.com/Axyleaxlen","@Axyleaxlen")</f>
        <v>@Axyleaxlen</v>
      </c>
      <c r="C369" s="7" t="s">
        <v>3159</v>
      </c>
      <c r="D369" s="7" t="s">
        <v>3160</v>
      </c>
      <c r="E369" s="12" t="str">
        <f>HYPERLINK("https://twitter.com/Axyleaxlen/status/1181937620194152450","1181937620194152450")</f>
        <v>1181937620194152450</v>
      </c>
      <c r="F369" s="15"/>
      <c r="G369" s="15"/>
      <c r="H369" s="8"/>
      <c r="I369" s="15">
        <v>0</v>
      </c>
      <c r="J369" s="15">
        <v>1</v>
      </c>
      <c r="K369" s="12" t="str">
        <f>HYPERLINK("http://twitter.com/download/iphone","Twitter for iPhone")</f>
        <v>Twitter for iPhone</v>
      </c>
      <c r="L369" s="16">
        <v>303</v>
      </c>
      <c r="M369" s="16">
        <v>156</v>
      </c>
      <c r="N369" s="16">
        <v>0</v>
      </c>
      <c r="O369" s="17"/>
      <c r="P369" s="18">
        <v>40378.284456018519</v>
      </c>
      <c r="Q369" s="7" t="s">
        <v>918</v>
      </c>
      <c r="R369" s="7" t="s">
        <v>3163</v>
      </c>
      <c r="S369" s="7"/>
      <c r="T369" s="8"/>
      <c r="U369" s="19" t="str">
        <f>HYPERLINK("https://pbs.twimg.com/profile_images/925480500193619969/WUomGnOZ.jpg","View")</f>
        <v>View</v>
      </c>
      <c r="V369" s="8"/>
      <c r="W369" s="8"/>
      <c r="X369" s="8"/>
      <c r="Y369" s="8"/>
      <c r="Z369" s="8"/>
    </row>
    <row r="370" spans="1:26" ht="12.75">
      <c r="A370" s="11">
        <v>43747.306273148148</v>
      </c>
      <c r="B370" s="12" t="str">
        <f>HYPERLINK("https://twitter.com/ebaltik98","@ebaltik98")</f>
        <v>@ebaltik98</v>
      </c>
      <c r="C370" s="7" t="s">
        <v>3167</v>
      </c>
      <c r="D370" s="7" t="s">
        <v>3168</v>
      </c>
      <c r="E370" s="12" t="str">
        <f>HYPERLINK("https://twitter.com/ebaltik98/status/1181937617966907393","1181937617966907393")</f>
        <v>1181937617966907393</v>
      </c>
      <c r="F370" s="8"/>
      <c r="G370" s="14" t="s">
        <v>3170</v>
      </c>
      <c r="H370" s="8"/>
      <c r="I370" s="15">
        <v>0</v>
      </c>
      <c r="J370" s="15">
        <v>0</v>
      </c>
      <c r="K370" s="12" t="str">
        <f>HYPERLINK("https://mobile.twitter.com","Twitter Web App")</f>
        <v>Twitter Web App</v>
      </c>
      <c r="L370" s="16">
        <v>15</v>
      </c>
      <c r="M370" s="16">
        <v>17</v>
      </c>
      <c r="N370" s="16">
        <v>0</v>
      </c>
      <c r="O370" s="17"/>
      <c r="P370" s="18">
        <v>43716.154317129629</v>
      </c>
      <c r="Q370" s="7" t="s">
        <v>3173</v>
      </c>
      <c r="R370" s="7" t="s">
        <v>3174</v>
      </c>
      <c r="S370" s="15"/>
      <c r="T370" s="8"/>
      <c r="U370" s="19" t="str">
        <f>HYPERLINK("https://pbs.twimg.com/profile_images/1170851472562692096/_zgyAtYU.jpg","View")</f>
        <v>View</v>
      </c>
      <c r="V370" s="8"/>
      <c r="W370" s="8"/>
      <c r="X370" s="8"/>
      <c r="Y370" s="8"/>
      <c r="Z370" s="8"/>
    </row>
    <row r="371" spans="1:26" ht="12.75">
      <c r="A371" s="11">
        <v>43747.306250000001</v>
      </c>
      <c r="B371" s="12" t="str">
        <f>HYPERLINK("https://twitter.com/tikizsefa","@tikizsefa")</f>
        <v>@tikizsefa</v>
      </c>
      <c r="C371" s="7" t="s">
        <v>3182</v>
      </c>
      <c r="D371" s="7" t="s">
        <v>3183</v>
      </c>
      <c r="E371" s="12" t="str">
        <f>HYPERLINK("https://twitter.com/tikizsefa/status/1181937611235102720","1181937611235102720")</f>
        <v>1181937611235102720</v>
      </c>
      <c r="F371" s="8"/>
      <c r="G371" s="14" t="s">
        <v>3184</v>
      </c>
      <c r="H371" s="8"/>
      <c r="I371" s="15">
        <v>0</v>
      </c>
      <c r="J371" s="15">
        <v>2</v>
      </c>
      <c r="K371" s="12" t="str">
        <f>HYPERLINK("http://twitter.com/download/android","Twitter for Android")</f>
        <v>Twitter for Android</v>
      </c>
      <c r="L371" s="16">
        <v>220</v>
      </c>
      <c r="M371" s="16">
        <v>203</v>
      </c>
      <c r="N371" s="16">
        <v>0</v>
      </c>
      <c r="O371" s="17"/>
      <c r="P371" s="18">
        <v>43384.515231481477</v>
      </c>
      <c r="Q371" s="7" t="s">
        <v>313</v>
      </c>
      <c r="R371" s="7" t="s">
        <v>3186</v>
      </c>
      <c r="S371" s="14" t="s">
        <v>3187</v>
      </c>
      <c r="T371" s="8"/>
      <c r="U371" s="19" t="str">
        <f>HYPERLINK("https://pbs.twimg.com/profile_images/1176903681503039491/37PDgw4Z.jpg","View")</f>
        <v>View</v>
      </c>
      <c r="V371" s="8"/>
      <c r="W371" s="8"/>
      <c r="X371" s="8"/>
      <c r="Y371" s="8"/>
      <c r="Z371" s="8"/>
    </row>
    <row r="372" spans="1:26" ht="12.75">
      <c r="A372" s="11">
        <v>43747.306226851855</v>
      </c>
      <c r="B372" s="12" t="str">
        <f>HYPERLINK("https://twitter.com/bpasakaymakamlk","@bpasakaymakamlk")</f>
        <v>@bpasakaymakamlk</v>
      </c>
      <c r="C372" s="7" t="s">
        <v>3188</v>
      </c>
      <c r="D372" s="7" t="s">
        <v>3189</v>
      </c>
      <c r="E372" s="12" t="str">
        <f>HYPERLINK("https://twitter.com/bpasakaymakamlk/status/1181937604566175746","1181937604566175746")</f>
        <v>1181937604566175746</v>
      </c>
      <c r="F372" s="8"/>
      <c r="G372" s="14" t="s">
        <v>3192</v>
      </c>
      <c r="H372" s="8"/>
      <c r="I372" s="15">
        <v>2</v>
      </c>
      <c r="J372" s="15">
        <v>1</v>
      </c>
      <c r="K372" s="12" t="str">
        <f>HYPERLINK("http://twitter.com/download/android","Twitter for Android")</f>
        <v>Twitter for Android</v>
      </c>
      <c r="L372" s="16">
        <v>165</v>
      </c>
      <c r="M372" s="16">
        <v>44</v>
      </c>
      <c r="N372" s="16">
        <v>0</v>
      </c>
      <c r="O372" s="17"/>
      <c r="P372" s="18">
        <v>42836.193611111114</v>
      </c>
      <c r="Q372" s="7" t="s">
        <v>146</v>
      </c>
      <c r="R372" s="7" t="s">
        <v>3194</v>
      </c>
      <c r="S372" s="14" t="s">
        <v>3195</v>
      </c>
      <c r="T372" s="8"/>
      <c r="U372" s="19" t="str">
        <f>HYPERLINK("https://pbs.twimg.com/profile_images/1175000975330959360/JZwYemcA.jpg","View")</f>
        <v>View</v>
      </c>
      <c r="V372" s="8"/>
      <c r="W372" s="8"/>
      <c r="X372" s="8"/>
      <c r="Y372" s="8"/>
      <c r="Z372" s="8"/>
    </row>
    <row r="373" spans="1:26" ht="12.75">
      <c r="A373" s="11">
        <v>43747.306226851855</v>
      </c>
      <c r="B373" s="12" t="str">
        <f>HYPERLINK("https://twitter.com/Georgeej123","@Georgeej123")</f>
        <v>@Georgeej123</v>
      </c>
      <c r="C373" s="7" t="s">
        <v>3199</v>
      </c>
      <c r="D373" s="7" t="s">
        <v>3200</v>
      </c>
      <c r="E373" s="12" t="str">
        <f>HYPERLINK("https://twitter.com/Georgeej123/status/1181937603987283973","1181937603987283973")</f>
        <v>1181937603987283973</v>
      </c>
      <c r="F373" s="8"/>
      <c r="G373" s="7"/>
      <c r="H373" s="8"/>
      <c r="I373" s="15">
        <v>0</v>
      </c>
      <c r="J373" s="15">
        <v>0</v>
      </c>
      <c r="K373" s="12" t="str">
        <f>HYPERLINK("https://mobile.twitter.com","Twitter Web App")</f>
        <v>Twitter Web App</v>
      </c>
      <c r="L373" s="16">
        <v>86</v>
      </c>
      <c r="M373" s="16">
        <v>375</v>
      </c>
      <c r="N373" s="16">
        <v>0</v>
      </c>
      <c r="O373" s="17"/>
      <c r="P373" s="18">
        <v>42579.656087962961</v>
      </c>
      <c r="Q373" s="7"/>
      <c r="R373" s="7" t="s">
        <v>3202</v>
      </c>
      <c r="S373" s="7"/>
      <c r="T373" s="8"/>
      <c r="U373" s="19" t="str">
        <f>HYPERLINK("https://pbs.twimg.com/profile_images/1065501081533407234/J2k3NR4w.jpg","View")</f>
        <v>View</v>
      </c>
      <c r="V373" s="8"/>
      <c r="W373" s="8"/>
      <c r="X373" s="8"/>
      <c r="Y373" s="8"/>
      <c r="Z373" s="8"/>
    </row>
    <row r="374" spans="1:26" ht="12.75">
      <c r="A374" s="11">
        <v>43747.306203703702</v>
      </c>
      <c r="B374" s="12" t="str">
        <f>HYPERLINK("https://twitter.com/KdrAkpnr","@KdrAkpnr")</f>
        <v>@KdrAkpnr</v>
      </c>
      <c r="C374" s="7" t="s">
        <v>3205</v>
      </c>
      <c r="D374" s="7" t="s">
        <v>3206</v>
      </c>
      <c r="E374" s="12" t="str">
        <f>HYPERLINK("https://twitter.com/KdrAkpnr/status/1181937592998252545","1181937592998252545")</f>
        <v>1181937592998252545</v>
      </c>
      <c r="F374" s="14" t="s">
        <v>3207</v>
      </c>
      <c r="G374" s="15"/>
      <c r="H374" s="8"/>
      <c r="I374" s="15">
        <v>0</v>
      </c>
      <c r="J374" s="15">
        <v>1</v>
      </c>
      <c r="K374" s="12" t="str">
        <f>HYPERLINK("http://twitter.com/download/android","Twitter for Android")</f>
        <v>Twitter for Android</v>
      </c>
      <c r="L374" s="16">
        <v>103</v>
      </c>
      <c r="M374" s="16">
        <v>287</v>
      </c>
      <c r="N374" s="16">
        <v>0</v>
      </c>
      <c r="O374" s="17"/>
      <c r="P374" s="18">
        <v>43060.989872685182</v>
      </c>
      <c r="Q374" s="7" t="s">
        <v>3210</v>
      </c>
      <c r="R374" s="7" t="s">
        <v>3211</v>
      </c>
      <c r="S374" s="7"/>
      <c r="T374" s="8"/>
      <c r="U374" s="19" t="str">
        <f>HYPERLINK("https://pbs.twimg.com/profile_images/963055833557938176/4iUXbL0C.jpg","View")</f>
        <v>View</v>
      </c>
      <c r="V374" s="8"/>
      <c r="W374" s="8"/>
      <c r="X374" s="8"/>
      <c r="Y374" s="8"/>
      <c r="Z374" s="8"/>
    </row>
    <row r="375" spans="1:26" ht="12.75">
      <c r="A375" s="11">
        <v>43747.306168981479</v>
      </c>
      <c r="B375" s="12" t="str">
        <f>HYPERLINK("https://twitter.com/Haberturk","@Haberturk")</f>
        <v>@Haberturk</v>
      </c>
      <c r="C375" s="7" t="s">
        <v>3212</v>
      </c>
      <c r="D375" s="7" t="s">
        <v>1775</v>
      </c>
      <c r="E375" s="12" t="str">
        <f>HYPERLINK("https://twitter.com/Haberturk/status/1181937582306971648","1181937582306971648")</f>
        <v>1181937582306971648</v>
      </c>
      <c r="F375" s="14" t="s">
        <v>3213</v>
      </c>
      <c r="G375" s="14" t="s">
        <v>3217</v>
      </c>
      <c r="H375" s="8"/>
      <c r="I375" s="15">
        <v>5</v>
      </c>
      <c r="J375" s="15">
        <v>43</v>
      </c>
      <c r="K375" s="12" t="str">
        <f>HYPERLINK("https://mobile.twitter.com","Twitter Web App")</f>
        <v>Twitter Web App</v>
      </c>
      <c r="L375" s="16">
        <v>4056283</v>
      </c>
      <c r="M375" s="16">
        <v>59</v>
      </c>
      <c r="N375" s="16">
        <v>3644</v>
      </c>
      <c r="O375" s="17" t="s">
        <v>984</v>
      </c>
      <c r="P375" s="18">
        <v>40023.255925925929</v>
      </c>
      <c r="Q375" s="7" t="s">
        <v>576</v>
      </c>
      <c r="R375" s="7" t="s">
        <v>3220</v>
      </c>
      <c r="S375" s="14" t="s">
        <v>3221</v>
      </c>
      <c r="T375" s="8"/>
      <c r="U375" s="19" t="str">
        <f>HYPERLINK("https://pbs.twimg.com/profile_images/1029710990336831490/G1caVC0i.jpg","View")</f>
        <v>View</v>
      </c>
      <c r="V375" s="8"/>
      <c r="W375" s="8"/>
      <c r="X375" s="8"/>
      <c r="Y375" s="8"/>
      <c r="Z375" s="8"/>
    </row>
    <row r="376" spans="1:26" ht="12.75">
      <c r="A376" s="11">
        <v>43747.306168981479</v>
      </c>
      <c r="B376" s="12" t="str">
        <f>HYPERLINK("https://twitter.com/ridone_comeali","@ridone_comeali")</f>
        <v>@ridone_comeali</v>
      </c>
      <c r="C376" s="7" t="s">
        <v>3226</v>
      </c>
      <c r="D376" s="7" t="s">
        <v>3227</v>
      </c>
      <c r="E376" s="12" t="str">
        <f>HYPERLINK("https://twitter.com/ridone_comeali/status/1181937580088188929","1181937580088188929")</f>
        <v>1181937580088188929</v>
      </c>
      <c r="F376" s="8"/>
      <c r="G376" s="7"/>
      <c r="H376" s="8"/>
      <c r="I376" s="15">
        <v>0</v>
      </c>
      <c r="J376" s="15">
        <v>2</v>
      </c>
      <c r="K376" s="12" t="str">
        <f>HYPERLINK("http://twitter.com/download/android","Twitter for Android")</f>
        <v>Twitter for Android</v>
      </c>
      <c r="L376" s="16">
        <v>169</v>
      </c>
      <c r="M376" s="16">
        <v>210</v>
      </c>
      <c r="N376" s="16">
        <v>0</v>
      </c>
      <c r="O376" s="17"/>
      <c r="P376" s="18">
        <v>41551.369097222225</v>
      </c>
      <c r="Q376" s="7"/>
      <c r="R376" s="7"/>
      <c r="S376" s="7"/>
      <c r="T376" s="8"/>
      <c r="U376" s="19" t="str">
        <f>HYPERLINK("https://pbs.twimg.com/profile_images/1094286997382938631/90jle7q_.jpg","View")</f>
        <v>View</v>
      </c>
      <c r="V376" s="8"/>
      <c r="W376" s="8"/>
      <c r="X376" s="8"/>
      <c r="Y376" s="8"/>
      <c r="Z376" s="8"/>
    </row>
    <row r="377" spans="1:26" ht="12.75">
      <c r="A377" s="11">
        <v>43747.306122685186</v>
      </c>
      <c r="B377" s="12" t="str">
        <f>HYPERLINK("https://twitter.com/mahmutyahya","@mahmutyahya")</f>
        <v>@mahmutyahya</v>
      </c>
      <c r="C377" s="7" t="s">
        <v>3230</v>
      </c>
      <c r="D377" s="7" t="s">
        <v>3231</v>
      </c>
      <c r="E377" s="12" t="str">
        <f>HYPERLINK("https://twitter.com/mahmutyahya/status/1181937563180965888","1181937563180965888")</f>
        <v>1181937563180965888</v>
      </c>
      <c r="F377" s="8"/>
      <c r="G377" s="14" t="s">
        <v>3233</v>
      </c>
      <c r="H377" s="8"/>
      <c r="I377" s="15">
        <v>0</v>
      </c>
      <c r="J377" s="15">
        <v>0</v>
      </c>
      <c r="K377" s="12" t="str">
        <f>HYPERLINK("http://twitter.com/download/android","Twitter for Android")</f>
        <v>Twitter for Android</v>
      </c>
      <c r="L377" s="16">
        <v>179</v>
      </c>
      <c r="M377" s="16">
        <v>338</v>
      </c>
      <c r="N377" s="16">
        <v>0</v>
      </c>
      <c r="O377" s="17"/>
      <c r="P377" s="18">
        <v>40723.00439814815</v>
      </c>
      <c r="Q377" s="7"/>
      <c r="R377" s="7"/>
      <c r="S377" s="7"/>
      <c r="T377" s="8"/>
      <c r="U377" s="19" t="str">
        <f>HYPERLINK("https://pbs.twimg.com/profile_images/1042221731828695041/DWmA-5U-.jpg","View")</f>
        <v>View</v>
      </c>
      <c r="V377" s="8"/>
      <c r="W377" s="8"/>
      <c r="X377" s="8"/>
      <c r="Y377" s="8"/>
      <c r="Z377" s="8"/>
    </row>
    <row r="378" spans="1:26" ht="12.75">
      <c r="A378" s="11">
        <v>43747.306076388893</v>
      </c>
      <c r="B378" s="12" t="str">
        <f>HYPERLINK("https://twitter.com/ay_aydinyagiz","@ay_aydinyagiz")</f>
        <v>@ay_aydinyagiz</v>
      </c>
      <c r="C378" s="7" t="s">
        <v>3236</v>
      </c>
      <c r="D378" s="7" t="s">
        <v>3237</v>
      </c>
      <c r="E378" s="12" t="str">
        <f>HYPERLINK("https://twitter.com/ay_aydinyagiz/status/1181937549482369024","1181937549482369024")</f>
        <v>1181937549482369024</v>
      </c>
      <c r="F378" s="8"/>
      <c r="G378" s="7"/>
      <c r="H378" s="8"/>
      <c r="I378" s="15">
        <v>0</v>
      </c>
      <c r="J378" s="15">
        <v>2</v>
      </c>
      <c r="K378" s="12" t="str">
        <f>HYPERLINK("http://twitter.com/download/android","Twitter for Android")</f>
        <v>Twitter for Android</v>
      </c>
      <c r="L378" s="16">
        <v>193</v>
      </c>
      <c r="M378" s="16">
        <v>569</v>
      </c>
      <c r="N378" s="16">
        <v>1</v>
      </c>
      <c r="O378" s="17"/>
      <c r="P378" s="18">
        <v>40994.555474537039</v>
      </c>
      <c r="Q378" s="7"/>
      <c r="R378" s="7" t="s">
        <v>3238</v>
      </c>
      <c r="S378" s="7"/>
      <c r="T378" s="8"/>
      <c r="U378" s="19" t="str">
        <f>HYPERLINK("https://pbs.twimg.com/profile_images/1171818123973935104/ja6_7KMf.jpg","View")</f>
        <v>View</v>
      </c>
      <c r="V378" s="8"/>
      <c r="W378" s="8"/>
      <c r="X378" s="8"/>
      <c r="Y378" s="8"/>
      <c r="Z378" s="8"/>
    </row>
    <row r="379" spans="1:26" ht="12.75">
      <c r="A379" s="11">
        <v>43747.306076388893</v>
      </c>
      <c r="B379" s="12" t="str">
        <f>HYPERLINK("https://twitter.com/junziforhire","@junziforhire")</f>
        <v>@junziforhire</v>
      </c>
      <c r="C379" s="7" t="s">
        <v>3241</v>
      </c>
      <c r="D379" s="7" t="s">
        <v>3242</v>
      </c>
      <c r="E379" s="12" t="str">
        <f>HYPERLINK("https://twitter.com/junziforhire/status/1181937548786053120","1181937548786053120")</f>
        <v>1181937548786053120</v>
      </c>
      <c r="F379" s="14" t="s">
        <v>3244</v>
      </c>
      <c r="G379" s="14" t="s">
        <v>3245</v>
      </c>
      <c r="H379" s="8"/>
      <c r="I379" s="15">
        <v>0</v>
      </c>
      <c r="J379" s="15">
        <v>0</v>
      </c>
      <c r="K379" s="12" t="str">
        <f>HYPERLINK("http://twitter.com/download/android","Twitter for Android")</f>
        <v>Twitter for Android</v>
      </c>
      <c r="L379" s="16">
        <v>704</v>
      </c>
      <c r="M379" s="16">
        <v>857</v>
      </c>
      <c r="N379" s="16">
        <v>16</v>
      </c>
      <c r="O379" s="17"/>
      <c r="P379" s="18">
        <v>40893.78770833333</v>
      </c>
      <c r="Q379" s="7" t="s">
        <v>3249</v>
      </c>
      <c r="R379" s="7" t="s">
        <v>3250</v>
      </c>
      <c r="S379" s="15"/>
      <c r="T379" s="8"/>
      <c r="U379" s="19" t="str">
        <f>HYPERLINK("https://pbs.twimg.com/profile_images/1800001790/GH57UhLF","View")</f>
        <v>View</v>
      </c>
      <c r="V379" s="8"/>
      <c r="W379" s="8"/>
      <c r="X379" s="8"/>
      <c r="Y379" s="8"/>
      <c r="Z379" s="8"/>
    </row>
    <row r="380" spans="1:26" ht="12.75">
      <c r="A380" s="11">
        <v>43747.30605324074</v>
      </c>
      <c r="B380" s="12" t="str">
        <f>HYPERLINK("https://twitter.com/MasumUYGUN","@MasumUYGUN")</f>
        <v>@MasumUYGUN</v>
      </c>
      <c r="C380" s="7" t="s">
        <v>3256</v>
      </c>
      <c r="D380" s="7" t="s">
        <v>3257</v>
      </c>
      <c r="E380" s="12" t="str">
        <f>HYPERLINK("https://twitter.com/MasumUYGUN/status/1181937540955287553","1181937540955287553")</f>
        <v>1181937540955287553</v>
      </c>
      <c r="F380" s="8"/>
      <c r="G380" s="7"/>
      <c r="H380" s="8"/>
      <c r="I380" s="15">
        <v>0</v>
      </c>
      <c r="J380" s="15">
        <v>1</v>
      </c>
      <c r="K380" s="12" t="str">
        <f>HYPERLINK("http://twitter.com/download/android","Twitter for Android")</f>
        <v>Twitter for Android</v>
      </c>
      <c r="L380" s="16">
        <v>178</v>
      </c>
      <c r="M380" s="16">
        <v>305</v>
      </c>
      <c r="N380" s="16">
        <v>1</v>
      </c>
      <c r="O380" s="17"/>
      <c r="P380" s="18">
        <v>42214.284594907411</v>
      </c>
      <c r="Q380" s="7" t="s">
        <v>3259</v>
      </c>
      <c r="R380" s="7" t="s">
        <v>3260</v>
      </c>
      <c r="S380" s="15"/>
      <c r="T380" s="8"/>
      <c r="U380" s="19" t="str">
        <f>HYPERLINK("https://pbs.twimg.com/profile_images/1164505751135690752/vzB-Xf_l.jpg","View")</f>
        <v>View</v>
      </c>
      <c r="V380" s="8"/>
      <c r="W380" s="8"/>
      <c r="X380" s="8"/>
      <c r="Y380" s="8"/>
      <c r="Z380" s="8"/>
    </row>
    <row r="381" spans="1:26" ht="12.75">
      <c r="A381" s="11">
        <v>43747.306018518517</v>
      </c>
      <c r="B381" s="12" t="str">
        <f>HYPERLINK("https://twitter.com/mucahitseker_","@mucahitseker_")</f>
        <v>@mucahitseker_</v>
      </c>
      <c r="C381" s="7" t="s">
        <v>3264</v>
      </c>
      <c r="D381" s="7" t="s">
        <v>3265</v>
      </c>
      <c r="E381" s="12" t="str">
        <f>HYPERLINK("https://twitter.com/mucahitseker_/status/1181937528565305345","1181937528565305345")</f>
        <v>1181937528565305345</v>
      </c>
      <c r="F381" s="8"/>
      <c r="G381" s="7"/>
      <c r="H381" s="8"/>
      <c r="I381" s="15">
        <v>0</v>
      </c>
      <c r="J381" s="15">
        <v>0</v>
      </c>
      <c r="K381" s="12" t="str">
        <f>HYPERLINK("http://twitter.com/download/iphone","Twitter for iPhone")</f>
        <v>Twitter for iPhone</v>
      </c>
      <c r="L381" s="16">
        <v>128</v>
      </c>
      <c r="M381" s="16">
        <v>199</v>
      </c>
      <c r="N381" s="16">
        <v>0</v>
      </c>
      <c r="O381" s="17"/>
      <c r="P381" s="18">
        <v>40993.876157407409</v>
      </c>
      <c r="Q381" s="7"/>
      <c r="R381" s="7" t="s">
        <v>3266</v>
      </c>
      <c r="S381" s="7"/>
      <c r="T381" s="8"/>
      <c r="U381" s="19" t="str">
        <f>HYPERLINK("https://pbs.twimg.com/profile_images/656018780380860416/Zf6X1oqw.png","View")</f>
        <v>View</v>
      </c>
      <c r="V381" s="8"/>
      <c r="W381" s="8"/>
      <c r="X381" s="8"/>
      <c r="Y381" s="8"/>
      <c r="Z381" s="8"/>
    </row>
    <row r="382" spans="1:26" ht="12.75">
      <c r="A382" s="11">
        <v>43747.306006944447</v>
      </c>
      <c r="B382" s="12" t="str">
        <f>HYPERLINK("https://twitter.com/istanbul1_4_5_3","@istanbul1_4_5_3")</f>
        <v>@istanbul1_4_5_3</v>
      </c>
      <c r="C382" s="7" t="s">
        <v>3269</v>
      </c>
      <c r="D382" s="7" t="s">
        <v>3270</v>
      </c>
      <c r="E382" s="12" t="str">
        <f>HYPERLINK("https://twitter.com/istanbul1_4_5_3/status/1181937524421402624","1181937524421402624")</f>
        <v>1181937524421402624</v>
      </c>
      <c r="F382" s="8"/>
      <c r="G382" s="15"/>
      <c r="H382" s="8"/>
      <c r="I382" s="15">
        <v>0</v>
      </c>
      <c r="J382" s="15">
        <v>1</v>
      </c>
      <c r="K382" s="12" t="str">
        <f>HYPERLINK("http://twitter.com/download/android","Twitter for Android")</f>
        <v>Twitter for Android</v>
      </c>
      <c r="L382" s="16">
        <v>409</v>
      </c>
      <c r="M382" s="16">
        <v>388</v>
      </c>
      <c r="N382" s="16">
        <v>0</v>
      </c>
      <c r="O382" s="17"/>
      <c r="P382" s="18">
        <v>43427.710243055553</v>
      </c>
      <c r="Q382" s="7" t="s">
        <v>313</v>
      </c>
      <c r="R382" s="7" t="s">
        <v>3271</v>
      </c>
      <c r="S382" s="7"/>
      <c r="T382" s="8"/>
      <c r="U382" s="19" t="str">
        <f>HYPERLINK("https://pbs.twimg.com/profile_images/1181834165337100289/kHdaQ10L.jpg","View")</f>
        <v>View</v>
      </c>
      <c r="V382" s="8"/>
      <c r="W382" s="8"/>
      <c r="X382" s="8"/>
      <c r="Y382" s="8"/>
      <c r="Z382" s="8"/>
    </row>
    <row r="383" spans="1:26" ht="12.75">
      <c r="A383" s="11">
        <v>43747.305937500001</v>
      </c>
      <c r="B383" s="12" t="str">
        <f>HYPERLINK("https://twitter.com/Heyyoo58612590","@Heyyoo58612590")</f>
        <v>@Heyyoo58612590</v>
      </c>
      <c r="C383" s="7" t="s">
        <v>3278</v>
      </c>
      <c r="D383" s="7" t="s">
        <v>3279</v>
      </c>
      <c r="E383" s="12" t="str">
        <f>HYPERLINK("https://twitter.com/Heyyoo58612590/status/1181937495874953217","1181937495874953217")</f>
        <v>1181937495874953217</v>
      </c>
      <c r="F383" s="8"/>
      <c r="G383" s="7"/>
      <c r="H383" s="8"/>
      <c r="I383" s="15">
        <v>0</v>
      </c>
      <c r="J383" s="15">
        <v>0</v>
      </c>
      <c r="K383" s="12" t="str">
        <f>HYPERLINK("http://twitter.com/download/iphone","Twitter for iPhone")</f>
        <v>Twitter for iPhone</v>
      </c>
      <c r="L383" s="16">
        <v>6</v>
      </c>
      <c r="M383" s="16">
        <v>19</v>
      </c>
      <c r="N383" s="16">
        <v>0</v>
      </c>
      <c r="O383" s="17"/>
      <c r="P383" s="18">
        <v>43480.481689814813</v>
      </c>
      <c r="Q383" s="7"/>
      <c r="R383" s="7"/>
      <c r="S383" s="7"/>
      <c r="T383" s="8"/>
      <c r="U383" s="19" t="str">
        <f>HYPERLINK("https://pbs.twimg.com/profile_images/1085259140769955842/kAJuYlzY.jpg","View")</f>
        <v>View</v>
      </c>
      <c r="V383" s="8"/>
      <c r="W383" s="8"/>
      <c r="X383" s="8"/>
      <c r="Y383" s="8"/>
      <c r="Z383" s="8"/>
    </row>
    <row r="384" spans="1:26" ht="12.75">
      <c r="A384" s="11">
        <v>43747.305925925924</v>
      </c>
      <c r="B384" s="12" t="str">
        <f>HYPERLINK("https://twitter.com/AhmetGoren1997","@AhmetGoren1997")</f>
        <v>@AhmetGoren1997</v>
      </c>
      <c r="C384" s="7" t="s">
        <v>3284</v>
      </c>
      <c r="D384" s="7" t="s">
        <v>3286</v>
      </c>
      <c r="E384" s="12" t="str">
        <f>HYPERLINK("https://twitter.com/AhmetGoren1997/status/1181937494318825472","1181937494318825472")</f>
        <v>1181937494318825472</v>
      </c>
      <c r="F384" s="15"/>
      <c r="G384" s="14" t="s">
        <v>3288</v>
      </c>
      <c r="H384" s="8"/>
      <c r="I384" s="15">
        <v>0</v>
      </c>
      <c r="J384" s="15">
        <v>0</v>
      </c>
      <c r="K384" s="12" t="str">
        <f>HYPERLINK("http://twitter.com/download/android","Twitter for Android")</f>
        <v>Twitter for Android</v>
      </c>
      <c r="L384" s="16">
        <v>3030</v>
      </c>
      <c r="M384" s="16">
        <v>4330</v>
      </c>
      <c r="N384" s="16">
        <v>3</v>
      </c>
      <c r="O384" s="17"/>
      <c r="P384" s="18">
        <v>42015.488518518519</v>
      </c>
      <c r="Q384" s="7"/>
      <c r="R384" s="7"/>
      <c r="S384" s="7"/>
      <c r="T384" s="8"/>
      <c r="U384" s="19" t="str">
        <f>HYPERLINK("https://pbs.twimg.com/profile_images/1177733978599673856/GYIIMK8-.jpg","View")</f>
        <v>View</v>
      </c>
      <c r="V384" s="8"/>
      <c r="W384" s="8"/>
      <c r="X384" s="8"/>
      <c r="Y384" s="8"/>
      <c r="Z384" s="8"/>
    </row>
    <row r="385" spans="1:26" ht="12.75">
      <c r="A385" s="11">
        <v>43747.305879629625</v>
      </c>
      <c r="B385" s="12" t="str">
        <f>HYPERLINK("https://twitter.com/CavusSerhat","@CavusSerhat")</f>
        <v>@CavusSerhat</v>
      </c>
      <c r="C385" s="7" t="s">
        <v>3295</v>
      </c>
      <c r="D385" s="7" t="s">
        <v>160</v>
      </c>
      <c r="E385" s="12" t="str">
        <f>HYPERLINK("https://twitter.com/CavusSerhat/status/1181937476157526016","1181937476157526016")</f>
        <v>1181937476157526016</v>
      </c>
      <c r="F385" s="8"/>
      <c r="G385" s="15"/>
      <c r="H385" s="8"/>
      <c r="I385" s="15">
        <v>0</v>
      </c>
      <c r="J385" s="15">
        <v>0</v>
      </c>
      <c r="K385" s="12" t="str">
        <f>HYPERLINK("http://twitter.com/download/android","Twitter for Android")</f>
        <v>Twitter for Android</v>
      </c>
      <c r="L385" s="16">
        <v>72</v>
      </c>
      <c r="M385" s="16">
        <v>139</v>
      </c>
      <c r="N385" s="16">
        <v>0</v>
      </c>
      <c r="O385" s="17"/>
      <c r="P385" s="18">
        <v>41946.353622685187</v>
      </c>
      <c r="Q385" s="7"/>
      <c r="R385" s="7"/>
      <c r="S385" s="7"/>
      <c r="T385" s="8"/>
      <c r="U385" s="19" t="str">
        <f>HYPERLINK("https://pbs.twimg.com/profile_images/1177661060989497344/D5RndzLd.jpg","View")</f>
        <v>View</v>
      </c>
      <c r="V385" s="8"/>
      <c r="W385" s="8"/>
      <c r="X385" s="8"/>
      <c r="Y385" s="8"/>
      <c r="Z385" s="8"/>
    </row>
    <row r="386" spans="1:26" ht="12.75">
      <c r="A386" s="11">
        <v>43747.305810185186</v>
      </c>
      <c r="B386" s="12" t="str">
        <f>HYPERLINK("https://twitter.com/umrumatakmam","@umrumatakmam")</f>
        <v>@umrumatakmam</v>
      </c>
      <c r="C386" s="7" t="s">
        <v>3299</v>
      </c>
      <c r="D386" s="7" t="s">
        <v>3300</v>
      </c>
      <c r="E386" s="12" t="str">
        <f>HYPERLINK("https://twitter.com/umrumatakmam/status/1181937452887478272","1181937452887478272")</f>
        <v>1181937452887478272</v>
      </c>
      <c r="F386" s="8"/>
      <c r="G386" s="14" t="s">
        <v>3301</v>
      </c>
      <c r="H386" s="8"/>
      <c r="I386" s="15">
        <v>0</v>
      </c>
      <c r="J386" s="15">
        <v>0</v>
      </c>
      <c r="K386" s="12" t="str">
        <f>HYPERLINK("https://mobile.twitter.com","Twitter Web App")</f>
        <v>Twitter Web App</v>
      </c>
      <c r="L386" s="16">
        <v>315</v>
      </c>
      <c r="M386" s="16">
        <v>152</v>
      </c>
      <c r="N386" s="16">
        <v>0</v>
      </c>
      <c r="O386" s="17"/>
      <c r="P386" s="18">
        <v>40692.205914351856</v>
      </c>
      <c r="Q386" s="7" t="s">
        <v>3304</v>
      </c>
      <c r="R386" s="7" t="s">
        <v>3305</v>
      </c>
      <c r="S386" s="7"/>
      <c r="T386" s="8"/>
      <c r="U386" s="19" t="str">
        <f>HYPERLINK("https://pbs.twimg.com/profile_images/1181891673548304384/_f2_DCd5.jpg","View")</f>
        <v>View</v>
      </c>
      <c r="V386" s="8"/>
      <c r="W386" s="8"/>
      <c r="X386" s="8"/>
      <c r="Y386" s="8"/>
      <c r="Z386" s="8"/>
    </row>
    <row r="387" spans="1:26" ht="12.75">
      <c r="A387" s="11">
        <v>43747.305810185186</v>
      </c>
      <c r="B387" s="12" t="str">
        <f>HYPERLINK("https://twitter.com/recep_tekin","@recep_tekin")</f>
        <v>@recep_tekin</v>
      </c>
      <c r="C387" s="7" t="s">
        <v>3307</v>
      </c>
      <c r="D387" s="7" t="s">
        <v>3308</v>
      </c>
      <c r="E387" s="12" t="str">
        <f>HYPERLINK("https://twitter.com/recep_tekin/status/1181937450136084480","1181937450136084480")</f>
        <v>1181937450136084480</v>
      </c>
      <c r="F387" s="8"/>
      <c r="G387" s="15"/>
      <c r="H387" s="8"/>
      <c r="I387" s="15">
        <v>0</v>
      </c>
      <c r="J387" s="15">
        <v>0</v>
      </c>
      <c r="K387" s="12" t="str">
        <f>HYPERLINK("http://twitter.com/download/android","Twitter for Android")</f>
        <v>Twitter for Android</v>
      </c>
      <c r="L387" s="16">
        <v>6</v>
      </c>
      <c r="M387" s="16">
        <v>85</v>
      </c>
      <c r="N387" s="16">
        <v>0</v>
      </c>
      <c r="O387" s="17"/>
      <c r="P387" s="18">
        <v>40055.225578703699</v>
      </c>
      <c r="Q387" s="7" t="s">
        <v>3311</v>
      </c>
      <c r="R387" s="7"/>
      <c r="S387" s="7"/>
      <c r="T387" s="8"/>
      <c r="U387" s="19" t="str">
        <f>HYPERLINK("https://pbs.twimg.com/profile_images/1161697330824916994/R01RSZJp.jpg","View")</f>
        <v>View</v>
      </c>
      <c r="V387" s="8"/>
      <c r="W387" s="8"/>
      <c r="X387" s="8"/>
      <c r="Y387" s="8"/>
      <c r="Z387" s="8"/>
    </row>
    <row r="388" spans="1:26" ht="12.75">
      <c r="A388" s="11">
        <v>43747.305787037039</v>
      </c>
      <c r="B388" s="12" t="str">
        <f>HYPERLINK("https://twitter.com/sosyalenkaz1","@sosyalenkaz1")</f>
        <v>@sosyalenkaz1</v>
      </c>
      <c r="C388" s="7" t="s">
        <v>3316</v>
      </c>
      <c r="D388" s="7" t="s">
        <v>3317</v>
      </c>
      <c r="E388" s="12" t="str">
        <f>HYPERLINK("https://twitter.com/sosyalenkaz1/status/1181937443433525250","1181937443433525250")</f>
        <v>1181937443433525250</v>
      </c>
      <c r="F388" s="8" t="s">
        <v>3079</v>
      </c>
      <c r="G388" s="14" t="s">
        <v>3080</v>
      </c>
      <c r="H388" s="8"/>
      <c r="I388" s="15">
        <v>1</v>
      </c>
      <c r="J388" s="15">
        <v>1</v>
      </c>
      <c r="K388" s="12" t="str">
        <f>HYPERLINK("http://twitter.com/download/iphone","Twitter for iPhone")</f>
        <v>Twitter for iPhone</v>
      </c>
      <c r="L388" s="16">
        <v>172</v>
      </c>
      <c r="M388" s="16">
        <v>33</v>
      </c>
      <c r="N388" s="16">
        <v>0</v>
      </c>
      <c r="O388" s="17"/>
      <c r="P388" s="18">
        <v>43316.272824074069</v>
      </c>
      <c r="Q388" s="7" t="s">
        <v>3321</v>
      </c>
      <c r="R388" s="7" t="s">
        <v>3322</v>
      </c>
      <c r="S388" s="7"/>
      <c r="T388" s="8"/>
      <c r="U388" s="19" t="str">
        <f>HYPERLINK("https://pbs.twimg.com/profile_images/1180278811885293577/q3YF8try.jpg","View")</f>
        <v>View</v>
      </c>
      <c r="V388" s="8"/>
      <c r="W388" s="8"/>
      <c r="X388" s="8"/>
      <c r="Y388" s="8"/>
      <c r="Z388" s="8"/>
    </row>
    <row r="389" spans="1:26" ht="12.75">
      <c r="A389" s="11">
        <v>43747.305706018524</v>
      </c>
      <c r="B389" s="12" t="str">
        <f>HYPERLINK("https://twitter.com/idikutalp","@idikutalp")</f>
        <v>@idikutalp</v>
      </c>
      <c r="C389" s="7" t="s">
        <v>3329</v>
      </c>
      <c r="D389" s="7" t="s">
        <v>3330</v>
      </c>
      <c r="E389" s="12" t="str">
        <f>HYPERLINK("https://twitter.com/idikutalp/status/1181937414048223235","1181937414048223235")</f>
        <v>1181937414048223235</v>
      </c>
      <c r="F389" s="15"/>
      <c r="G389" s="14" t="s">
        <v>3331</v>
      </c>
      <c r="H389" s="8"/>
      <c r="I389" s="15">
        <v>0</v>
      </c>
      <c r="J389" s="15">
        <v>0</v>
      </c>
      <c r="K389" s="12" t="str">
        <f>HYPERLINK("http://twitter.com/download/android","Twitter for Android")</f>
        <v>Twitter for Android</v>
      </c>
      <c r="L389" s="16">
        <v>357</v>
      </c>
      <c r="M389" s="16">
        <v>349</v>
      </c>
      <c r="N389" s="16">
        <v>0</v>
      </c>
      <c r="O389" s="17"/>
      <c r="P389" s="18">
        <v>43228.483032407406</v>
      </c>
      <c r="Q389" s="7" t="s">
        <v>2201</v>
      </c>
      <c r="R389" s="7"/>
      <c r="S389" s="14" t="s">
        <v>3334</v>
      </c>
      <c r="T389" s="8"/>
      <c r="U389" s="19" t="str">
        <f>HYPERLINK("https://pbs.twimg.com/profile_images/1167132168008720384/O5Cig1rp.jpg","View")</f>
        <v>View</v>
      </c>
      <c r="V389" s="8"/>
      <c r="W389" s="8"/>
      <c r="X389" s="8"/>
      <c r="Y389" s="8"/>
      <c r="Z389" s="8"/>
    </row>
    <row r="390" spans="1:26" ht="12.75">
      <c r="A390" s="11">
        <v>43747.305659722224</v>
      </c>
      <c r="B390" s="12" t="str">
        <f>HYPERLINK("https://twitter.com/bravenhaurten","@bravenhaurten")</f>
        <v>@bravenhaurten</v>
      </c>
      <c r="C390" s="7" t="s">
        <v>3341</v>
      </c>
      <c r="D390" s="7" t="s">
        <v>3342</v>
      </c>
      <c r="E390" s="12" t="str">
        <f>HYPERLINK("https://twitter.com/bravenhaurten/status/1181937397606617088","1181937397606617088")</f>
        <v>1181937397606617088</v>
      </c>
      <c r="F390" s="15"/>
      <c r="G390" s="15"/>
      <c r="H390" s="8"/>
      <c r="I390" s="15">
        <v>0</v>
      </c>
      <c r="J390" s="15">
        <v>0</v>
      </c>
      <c r="K390" s="12" t="str">
        <f>HYPERLINK("http://twitter.com/download/android","Twitter for Android")</f>
        <v>Twitter for Android</v>
      </c>
      <c r="L390" s="16">
        <v>31</v>
      </c>
      <c r="M390" s="16">
        <v>103</v>
      </c>
      <c r="N390" s="16">
        <v>2</v>
      </c>
      <c r="O390" s="17"/>
      <c r="P390" s="18">
        <v>43711.528703703705</v>
      </c>
      <c r="Q390" s="7"/>
      <c r="R390" s="7" t="s">
        <v>3343</v>
      </c>
      <c r="S390" s="7"/>
      <c r="T390" s="8"/>
      <c r="U390" s="19" t="str">
        <f>HYPERLINK("https://pbs.twimg.com/profile_images/1178065698721030144/E-0hOBmV.jpg","View")</f>
        <v>View</v>
      </c>
      <c r="V390" s="8"/>
      <c r="W390" s="8"/>
      <c r="X390" s="8"/>
      <c r="Y390" s="8"/>
      <c r="Z390" s="8"/>
    </row>
    <row r="391" spans="1:26" ht="12.75">
      <c r="A391" s="11">
        <v>43747.305648148147</v>
      </c>
      <c r="B391" s="12" t="str">
        <f>HYPERLINK("https://twitter.com/Mert_Aslan96","@Mert_Aslan96")</f>
        <v>@Mert_Aslan96</v>
      </c>
      <c r="C391" s="7" t="s">
        <v>3347</v>
      </c>
      <c r="D391" s="7" t="s">
        <v>3348</v>
      </c>
      <c r="E391" s="12" t="str">
        <f>HYPERLINK("https://twitter.com/Mert_Aslan96/status/1181937393127043072","1181937393127043072")</f>
        <v>1181937393127043072</v>
      </c>
      <c r="F391" s="14" t="s">
        <v>3349</v>
      </c>
      <c r="G391" s="14" t="s">
        <v>3350</v>
      </c>
      <c r="H391" s="8"/>
      <c r="I391" s="15">
        <v>0</v>
      </c>
      <c r="J391" s="15">
        <v>1</v>
      </c>
      <c r="K391" s="12" t="str">
        <f>HYPERLINK("http://twitter.com/download/android","Twitter for Android")</f>
        <v>Twitter for Android</v>
      </c>
      <c r="L391" s="16">
        <v>125</v>
      </c>
      <c r="M391" s="16">
        <v>155</v>
      </c>
      <c r="N391" s="16">
        <v>0</v>
      </c>
      <c r="O391" s="17"/>
      <c r="P391" s="18">
        <v>43277.239733796298</v>
      </c>
      <c r="Q391" s="7"/>
      <c r="R391" s="7" t="s">
        <v>3354</v>
      </c>
      <c r="S391" s="7"/>
      <c r="T391" s="8"/>
      <c r="U391" s="19" t="str">
        <f>HYPERLINK("https://pbs.twimg.com/profile_images/1178805326285545472/Hz5o0Pix.jpg","View")</f>
        <v>View</v>
      </c>
      <c r="V391" s="8"/>
      <c r="W391" s="8"/>
      <c r="X391" s="8"/>
      <c r="Y391" s="8"/>
      <c r="Z391" s="8"/>
    </row>
    <row r="392" spans="1:26" ht="12.75">
      <c r="A392" s="11">
        <v>43747.305648148147</v>
      </c>
      <c r="B392" s="12" t="str">
        <f>HYPERLINK("https://twitter.com/hasans_soydan","@hasans_soydan")</f>
        <v>@hasans_soydan</v>
      </c>
      <c r="C392" s="7" t="s">
        <v>3355</v>
      </c>
      <c r="D392" s="7" t="s">
        <v>3356</v>
      </c>
      <c r="E392" s="12" t="str">
        <f>HYPERLINK("https://twitter.com/hasans_soydan/status/1181937391642300417","1181937391642300417")</f>
        <v>1181937391642300417</v>
      </c>
      <c r="F392" s="8" t="s">
        <v>3079</v>
      </c>
      <c r="G392" s="14" t="s">
        <v>3080</v>
      </c>
      <c r="H392" s="8"/>
      <c r="I392" s="15">
        <v>0</v>
      </c>
      <c r="J392" s="15">
        <v>1</v>
      </c>
      <c r="K392" s="12" t="str">
        <f>HYPERLINK("http://twitter.com/download/iphone","Twitter for iPhone")</f>
        <v>Twitter for iPhone</v>
      </c>
      <c r="L392" s="16">
        <v>64</v>
      </c>
      <c r="M392" s="16">
        <v>83</v>
      </c>
      <c r="N392" s="16">
        <v>0</v>
      </c>
      <c r="O392" s="17"/>
      <c r="P392" s="18">
        <v>43579.293703703705</v>
      </c>
      <c r="Q392" s="7"/>
      <c r="R392" s="7" t="s">
        <v>3360</v>
      </c>
      <c r="S392" s="15"/>
      <c r="T392" s="8"/>
      <c r="U392" s="19" t="str">
        <f>HYPERLINK("https://pbs.twimg.com/profile_images/1160327160349057030/2KHaqc5N.jpg","View")</f>
        <v>View</v>
      </c>
      <c r="V392" s="8"/>
      <c r="W392" s="8"/>
      <c r="X392" s="8"/>
      <c r="Y392" s="8"/>
      <c r="Z392" s="8"/>
    </row>
    <row r="393" spans="1:26" ht="12.75">
      <c r="A393" s="11">
        <v>43747.305636574078</v>
      </c>
      <c r="B393" s="12" t="str">
        <f>HYPERLINK("https://twitter.com/AliCetiinkaya","@AliCetiinkaya")</f>
        <v>@AliCetiinkaya</v>
      </c>
      <c r="C393" s="7" t="s">
        <v>3361</v>
      </c>
      <c r="D393" s="7" t="s">
        <v>3362</v>
      </c>
      <c r="E393" s="12" t="str">
        <f>HYPERLINK("https://twitter.com/AliCetiinkaya/status/1181937388853047297","1181937388853047297")</f>
        <v>1181937388853047297</v>
      </c>
      <c r="F393" s="8"/>
      <c r="G393" s="15"/>
      <c r="H393" s="8"/>
      <c r="I393" s="15">
        <v>0</v>
      </c>
      <c r="J393" s="15">
        <v>0</v>
      </c>
      <c r="K393" s="12" t="str">
        <f>HYPERLINK("http://twitter.com/download/iphone","Twitter for iPhone")</f>
        <v>Twitter for iPhone</v>
      </c>
      <c r="L393" s="16">
        <v>510</v>
      </c>
      <c r="M393" s="16">
        <v>81</v>
      </c>
      <c r="N393" s="16">
        <v>0</v>
      </c>
      <c r="O393" s="17"/>
      <c r="P393" s="18">
        <v>41903.234884259262</v>
      </c>
      <c r="Q393" s="7" t="s">
        <v>313</v>
      </c>
      <c r="R393" s="7" t="s">
        <v>3366</v>
      </c>
      <c r="S393" s="14" t="s">
        <v>3367</v>
      </c>
      <c r="T393" s="8"/>
      <c r="U393" s="19" t="str">
        <f>HYPERLINK("https://pbs.twimg.com/profile_images/1123909855775948809/eWI8rxne.jpg","View")</f>
        <v>View</v>
      </c>
      <c r="V393" s="8"/>
      <c r="W393" s="8"/>
      <c r="X393" s="8"/>
      <c r="Y393" s="8"/>
      <c r="Z393" s="8"/>
    </row>
    <row r="394" spans="1:26" ht="12.75">
      <c r="A394" s="11">
        <v>43747.305601851855</v>
      </c>
      <c r="B394" s="12" t="str">
        <f>HYPERLINK("https://twitter.com/aydogan_1900","@aydogan_1900")</f>
        <v>@aydogan_1900</v>
      </c>
      <c r="C394" s="7" t="s">
        <v>3368</v>
      </c>
      <c r="D394" s="7" t="s">
        <v>3369</v>
      </c>
      <c r="E394" s="12" t="str">
        <f>HYPERLINK("https://twitter.com/aydogan_1900/status/1181937374684700672","1181937374684700672")</f>
        <v>1181937374684700672</v>
      </c>
      <c r="F394" s="8"/>
      <c r="G394" s="7"/>
      <c r="H394" s="8"/>
      <c r="I394" s="15">
        <v>0</v>
      </c>
      <c r="J394" s="15">
        <v>0</v>
      </c>
      <c r="K394" s="12" t="str">
        <f>HYPERLINK("http://twitter.com/download/android","Twitter for Android")</f>
        <v>Twitter for Android</v>
      </c>
      <c r="L394" s="16">
        <v>212</v>
      </c>
      <c r="M394" s="16">
        <v>3</v>
      </c>
      <c r="N394" s="16">
        <v>0</v>
      </c>
      <c r="O394" s="17"/>
      <c r="P394" s="18">
        <v>40266.220937500002</v>
      </c>
      <c r="Q394" s="7" t="s">
        <v>3373</v>
      </c>
      <c r="R394" s="7" t="s">
        <v>3374</v>
      </c>
      <c r="S394" s="7"/>
      <c r="T394" s="8"/>
      <c r="U394" s="19" t="str">
        <f>HYPERLINK("https://pbs.twimg.com/profile_images/1178733387391148033/Pbb30XwY.jpg","View")</f>
        <v>View</v>
      </c>
      <c r="V394" s="8"/>
      <c r="W394" s="8"/>
      <c r="X394" s="8"/>
      <c r="Y394" s="8"/>
      <c r="Z394" s="8"/>
    </row>
    <row r="395" spans="1:26" ht="12.75">
      <c r="A395" s="11">
        <v>43747.305555555555</v>
      </c>
      <c r="B395" s="12" t="str">
        <f>HYPERLINK("https://twitter.com/TUNAHANBEDiRHAN","@TUNAHANBEDiRHAN")</f>
        <v>@TUNAHANBEDiRHAN</v>
      </c>
      <c r="C395" s="7" t="s">
        <v>3375</v>
      </c>
      <c r="D395" s="7" t="s">
        <v>3376</v>
      </c>
      <c r="E395" s="12" t="str">
        <f>HYPERLINK("https://twitter.com/TUNAHANBEDiRHAN/status/1181937360898023425","1181937360898023425")</f>
        <v>1181937360898023425</v>
      </c>
      <c r="F395" s="14" t="s">
        <v>3377</v>
      </c>
      <c r="G395" s="15"/>
      <c r="H395" s="8"/>
      <c r="I395" s="15">
        <v>0</v>
      </c>
      <c r="J395" s="15">
        <v>0</v>
      </c>
      <c r="K395" s="12" t="str">
        <f>HYPERLINK("http://twitter.com/download/android","Twitter for Android")</f>
        <v>Twitter for Android</v>
      </c>
      <c r="L395" s="16">
        <v>991</v>
      </c>
      <c r="M395" s="16">
        <v>933</v>
      </c>
      <c r="N395" s="16">
        <v>0</v>
      </c>
      <c r="O395" s="17"/>
      <c r="P395" s="18">
        <v>40914.654317129629</v>
      </c>
      <c r="Q395" s="7" t="s">
        <v>3140</v>
      </c>
      <c r="R395" s="7" t="s">
        <v>3381</v>
      </c>
      <c r="S395" s="7"/>
      <c r="T395" s="8"/>
      <c r="U395" s="19" t="str">
        <f>HYPERLINK("https://pbs.twimg.com/profile_images/1128031720387878912/5GGnMe4G.jpg","View")</f>
        <v>View</v>
      </c>
      <c r="V395" s="8"/>
      <c r="W395" s="8"/>
      <c r="X395" s="8"/>
      <c r="Y395" s="8"/>
      <c r="Z395" s="8"/>
    </row>
    <row r="396" spans="1:26" ht="12.75">
      <c r="A396" s="11">
        <v>43747.305555555555</v>
      </c>
      <c r="B396" s="12" t="str">
        <f>HYPERLINK("https://twitter.com/ihacomtr","@ihacomtr")</f>
        <v>@ihacomtr</v>
      </c>
      <c r="C396" s="7" t="s">
        <v>3382</v>
      </c>
      <c r="D396" s="7" t="s">
        <v>3383</v>
      </c>
      <c r="E396" s="12" t="str">
        <f>HYPERLINK("https://twitter.com/ihacomtr/status/1181937358381277187","1181937358381277187")</f>
        <v>1181937358381277187</v>
      </c>
      <c r="F396" s="8"/>
      <c r="G396" s="14" t="s">
        <v>3384</v>
      </c>
      <c r="H396" s="8"/>
      <c r="I396" s="15">
        <v>7</v>
      </c>
      <c r="J396" s="15">
        <v>26</v>
      </c>
      <c r="K396" s="12" t="str">
        <f>HYPERLINK("https://ads.twitter.com","Twitter Ads")</f>
        <v>Twitter Ads</v>
      </c>
      <c r="L396" s="16">
        <v>690262</v>
      </c>
      <c r="M396" s="16">
        <v>29</v>
      </c>
      <c r="N396" s="16">
        <v>1216</v>
      </c>
      <c r="O396" s="17" t="s">
        <v>984</v>
      </c>
      <c r="P396" s="18">
        <v>40558.390960648147</v>
      </c>
      <c r="Q396" s="7" t="s">
        <v>576</v>
      </c>
      <c r="R396" s="7" t="s">
        <v>3388</v>
      </c>
      <c r="S396" s="14" t="s">
        <v>3389</v>
      </c>
      <c r="T396" s="8"/>
      <c r="U396" s="19" t="str">
        <f>HYPERLINK("https://pbs.twimg.com/profile_images/1087061403939340289/w6sw1tCh.jpg","View")</f>
        <v>View</v>
      </c>
      <c r="V396" s="8"/>
      <c r="W396" s="8"/>
      <c r="X396" s="8"/>
      <c r="Y396" s="8"/>
      <c r="Z396" s="8"/>
    </row>
    <row r="397" spans="1:26" ht="12.75">
      <c r="A397" s="11">
        <v>43747.305509259255</v>
      </c>
      <c r="B397" s="12" t="str">
        <f>HYPERLINK("https://twitter.com/sessizceozlemek","@sessizceozlemek")</f>
        <v>@sessizceozlemek</v>
      </c>
      <c r="C397" s="7" t="s">
        <v>3390</v>
      </c>
      <c r="D397" s="7" t="s">
        <v>3391</v>
      </c>
      <c r="E397" s="12" t="str">
        <f>HYPERLINK("https://twitter.com/sessizceozlemek/status/1181937341398695938","1181937341398695938")</f>
        <v>1181937341398695938</v>
      </c>
      <c r="F397" s="8"/>
      <c r="G397" s="14" t="s">
        <v>3394</v>
      </c>
      <c r="H397" s="8"/>
      <c r="I397" s="15">
        <v>12</v>
      </c>
      <c r="J397" s="15">
        <v>35</v>
      </c>
      <c r="K397" s="12" t="str">
        <f>HYPERLINK("http://twitter.com/download/android","Twitter for Android")</f>
        <v>Twitter for Android</v>
      </c>
      <c r="L397" s="16">
        <v>64055</v>
      </c>
      <c r="M397" s="16">
        <v>62256</v>
      </c>
      <c r="N397" s="16">
        <v>45</v>
      </c>
      <c r="O397" s="17"/>
      <c r="P397" s="18">
        <v>41977.281053240746</v>
      </c>
      <c r="Q397" s="7" t="s">
        <v>558</v>
      </c>
      <c r="R397" s="7" t="s">
        <v>3396</v>
      </c>
      <c r="S397" s="14" t="s">
        <v>3397</v>
      </c>
      <c r="T397" s="8"/>
      <c r="U397" s="19" t="str">
        <f>HYPERLINK("https://pbs.twimg.com/profile_images/945667036142764037/d06DkWPj.jpg","View")</f>
        <v>View</v>
      </c>
      <c r="V397" s="8"/>
      <c r="W397" s="8"/>
      <c r="X397" s="8"/>
      <c r="Y397" s="8"/>
      <c r="Z397" s="8"/>
    </row>
    <row r="398" spans="1:26" ht="12.75">
      <c r="A398" s="11">
        <v>43747.305474537032</v>
      </c>
      <c r="B398" s="12" t="str">
        <f>HYPERLINK("https://twitter.com/Qbracoach","@Qbracoach")</f>
        <v>@Qbracoach</v>
      </c>
      <c r="C398" s="7" t="s">
        <v>3401</v>
      </c>
      <c r="D398" s="7" t="s">
        <v>3402</v>
      </c>
      <c r="E398" s="12" t="str">
        <f>HYPERLINK("https://twitter.com/Qbracoach/status/1181937329256243201","1181937329256243201")</f>
        <v>1181937329256243201</v>
      </c>
      <c r="F398" s="14" t="s">
        <v>3403</v>
      </c>
      <c r="G398" s="14" t="s">
        <v>3404</v>
      </c>
      <c r="H398" s="8"/>
      <c r="I398" s="15">
        <v>0</v>
      </c>
      <c r="J398" s="15">
        <v>0</v>
      </c>
      <c r="K398" s="12" t="str">
        <f>HYPERLINK("http://twitter.com/download/iphone","Twitter for iPhone")</f>
        <v>Twitter for iPhone</v>
      </c>
      <c r="L398" s="16">
        <v>205</v>
      </c>
      <c r="M398" s="16">
        <v>110</v>
      </c>
      <c r="N398" s="16">
        <v>0</v>
      </c>
      <c r="O398" s="17"/>
      <c r="P398" s="18">
        <v>41864.575578703705</v>
      </c>
      <c r="Q398" s="7" t="s">
        <v>313</v>
      </c>
      <c r="R398" s="7" t="s">
        <v>3408</v>
      </c>
      <c r="S398" s="7"/>
      <c r="T398" s="8"/>
      <c r="U398" s="19" t="str">
        <f>HYPERLINK("https://pbs.twimg.com/profile_images/1180246319039840257/28MK01Xs.jpg","View")</f>
        <v>View</v>
      </c>
      <c r="V398" s="8"/>
      <c r="W398" s="8"/>
      <c r="X398" s="8"/>
      <c r="Y398" s="8"/>
      <c r="Z398" s="8"/>
    </row>
    <row r="399" spans="1:26" ht="12.75">
      <c r="A399" s="11">
        <v>43747.305474537032</v>
      </c>
      <c r="B399" s="12" t="str">
        <f>HYPERLINK("https://twitter.com/Ahmet_Parto","@Ahmet_Parto")</f>
        <v>@Ahmet_Parto</v>
      </c>
      <c r="C399" s="7" t="s">
        <v>3412</v>
      </c>
      <c r="D399" s="7" t="s">
        <v>3413</v>
      </c>
      <c r="E399" s="12" t="str">
        <f>HYPERLINK("https://twitter.com/Ahmet_Parto/status/1181937328723550209","1181937328723550209")</f>
        <v>1181937328723550209</v>
      </c>
      <c r="F399" s="8"/>
      <c r="G399" s="14" t="s">
        <v>3414</v>
      </c>
      <c r="H399" s="8"/>
      <c r="I399" s="15">
        <v>0</v>
      </c>
      <c r="J399" s="15">
        <v>1</v>
      </c>
      <c r="K399" s="12" t="str">
        <f>HYPERLINK("http://twitter.com/download/iphone","Twitter for iPhone")</f>
        <v>Twitter for iPhone</v>
      </c>
      <c r="L399" s="16">
        <v>217</v>
      </c>
      <c r="M399" s="16">
        <v>190</v>
      </c>
      <c r="N399" s="16">
        <v>0</v>
      </c>
      <c r="O399" s="17"/>
      <c r="P399" s="18">
        <v>42209.420127314814</v>
      </c>
      <c r="Q399" s="7" t="s">
        <v>2881</v>
      </c>
      <c r="R399" s="7" t="s">
        <v>3415</v>
      </c>
      <c r="S399" s="14" t="s">
        <v>3416</v>
      </c>
      <c r="T399" s="8"/>
      <c r="U399" s="19" t="str">
        <f>HYPERLINK("https://pbs.twimg.com/profile_images/1150296813964013568/UkvhaCzN.jpg","View")</f>
        <v>View</v>
      </c>
      <c r="V399" s="8"/>
      <c r="W399" s="8"/>
      <c r="X399" s="8"/>
      <c r="Y399" s="8"/>
      <c r="Z399" s="8"/>
    </row>
    <row r="400" spans="1:26" ht="12.75">
      <c r="A400" s="11">
        <v>43747.305439814816</v>
      </c>
      <c r="B400" s="12" t="str">
        <f>HYPERLINK("https://twitter.com/LkayaEbubekir","@LkayaEbubekir")</f>
        <v>@LkayaEbubekir</v>
      </c>
      <c r="C400" s="7" t="s">
        <v>3423</v>
      </c>
      <c r="D400" s="7" t="s">
        <v>3424</v>
      </c>
      <c r="E400" s="12" t="str">
        <f>HYPERLINK("https://twitter.com/LkayaEbubekir/status/1181937317344419842","1181937317344419842")</f>
        <v>1181937317344419842</v>
      </c>
      <c r="F400" s="7"/>
      <c r="G400" s="14" t="s">
        <v>3425</v>
      </c>
      <c r="H400" s="8"/>
      <c r="I400" s="15">
        <v>0</v>
      </c>
      <c r="J400" s="15">
        <v>1</v>
      </c>
      <c r="K400" s="12" t="str">
        <f>HYPERLINK("http://twitter.com/download/android","Twitter for Android")</f>
        <v>Twitter for Android</v>
      </c>
      <c r="L400" s="16">
        <v>21</v>
      </c>
      <c r="M400" s="16">
        <v>192</v>
      </c>
      <c r="N400" s="16">
        <v>0</v>
      </c>
      <c r="O400" s="17"/>
      <c r="P400" s="18">
        <v>43532.51697916667</v>
      </c>
      <c r="Q400" s="7"/>
      <c r="R400" s="7" t="s">
        <v>3429</v>
      </c>
      <c r="S400" s="7"/>
      <c r="T400" s="8"/>
      <c r="U400" s="19" t="str">
        <f>HYPERLINK("https://pbs.twimg.com/profile_images/1104117138283999235/HpZvkc59.jpg","View")</f>
        <v>View</v>
      </c>
      <c r="V400" s="8"/>
      <c r="W400" s="8"/>
      <c r="X400" s="8"/>
      <c r="Y400" s="8"/>
      <c r="Z400" s="8"/>
    </row>
    <row r="401" spans="1:26" ht="12.75">
      <c r="A401" s="11">
        <v>43747.305428240739</v>
      </c>
      <c r="B401" s="12" t="str">
        <f>HYPERLINK("https://twitter.com/suuece","@suuece")</f>
        <v>@suuece</v>
      </c>
      <c r="C401" s="7" t="s">
        <v>3432</v>
      </c>
      <c r="D401" s="7" t="s">
        <v>3433</v>
      </c>
      <c r="E401" s="12" t="str">
        <f>HYPERLINK("https://twitter.com/suuece/status/1181937314081234944","1181937314081234944")</f>
        <v>1181937314081234944</v>
      </c>
      <c r="F401" s="14" t="s">
        <v>3434</v>
      </c>
      <c r="G401" s="14" t="s">
        <v>3437</v>
      </c>
      <c r="H401" s="8"/>
      <c r="I401" s="15">
        <v>4</v>
      </c>
      <c r="J401" s="15">
        <v>9</v>
      </c>
      <c r="K401" s="12" t="str">
        <f>HYPERLINK("http://twitter.com/download/iphone","Twitter for iPhone")</f>
        <v>Twitter for iPhone</v>
      </c>
      <c r="L401" s="16">
        <v>1954</v>
      </c>
      <c r="M401" s="16">
        <v>924</v>
      </c>
      <c r="N401" s="16">
        <v>1</v>
      </c>
      <c r="O401" s="17"/>
      <c r="P401" s="18">
        <v>40721.309467592597</v>
      </c>
      <c r="Q401" s="7" t="s">
        <v>313</v>
      </c>
      <c r="R401" s="7" t="s">
        <v>3441</v>
      </c>
      <c r="S401" s="14" t="s">
        <v>3442</v>
      </c>
      <c r="T401" s="8"/>
      <c r="U401" s="19" t="str">
        <f>HYPERLINK("https://pbs.twimg.com/profile_images/1179827270980177922/MuPP3Sbz.jpg","View")</f>
        <v>View</v>
      </c>
      <c r="V401" s="8"/>
      <c r="W401" s="8"/>
      <c r="X401" s="8"/>
      <c r="Y401" s="8"/>
      <c r="Z401" s="8"/>
    </row>
    <row r="402" spans="1:26" ht="12.75">
      <c r="A402" s="11">
        <v>43747.30541666667</v>
      </c>
      <c r="B402" s="12" t="str">
        <f>HYPERLINK("https://twitter.com/Grkmertas","@Grkmertas")</f>
        <v>@Grkmertas</v>
      </c>
      <c r="C402" s="7" t="s">
        <v>3446</v>
      </c>
      <c r="D402" s="7" t="s">
        <v>3447</v>
      </c>
      <c r="E402" s="12" t="str">
        <f>HYPERLINK("https://twitter.com/Grkmertas/status/1181937308611891201","1181937308611891201")</f>
        <v>1181937308611891201</v>
      </c>
      <c r="F402" s="15"/>
      <c r="G402" s="14" t="s">
        <v>3448</v>
      </c>
      <c r="H402" s="8"/>
      <c r="I402" s="15">
        <v>0</v>
      </c>
      <c r="J402" s="15">
        <v>32</v>
      </c>
      <c r="K402" s="12" t="str">
        <f>HYPERLINK("https://mobile.twitter.com","Twitter Web App")</f>
        <v>Twitter Web App</v>
      </c>
      <c r="L402" s="16">
        <v>122</v>
      </c>
      <c r="M402" s="16">
        <v>27</v>
      </c>
      <c r="N402" s="16">
        <v>0</v>
      </c>
      <c r="O402" s="17"/>
      <c r="P402" s="18">
        <v>41070.154293981483</v>
      </c>
      <c r="Q402" s="7"/>
      <c r="R402" s="7" t="s">
        <v>3451</v>
      </c>
      <c r="S402" s="7"/>
      <c r="T402" s="8"/>
      <c r="U402" s="19" t="str">
        <f>HYPERLINK("https://pbs.twimg.com/profile_images/1180963563600564224/-3bA5rxp.jpg","View")</f>
        <v>View</v>
      </c>
      <c r="V402" s="8"/>
      <c r="W402" s="8"/>
      <c r="X402" s="8"/>
      <c r="Y402" s="8"/>
      <c r="Z402" s="8"/>
    </row>
    <row r="403" spans="1:26" ht="12.75">
      <c r="A403" s="11">
        <v>43747.305381944447</v>
      </c>
      <c r="B403" s="12" t="str">
        <f>HYPERLINK("https://twitter.com/aslan_arena_","@aslan_arena_")</f>
        <v>@aslan_arena_</v>
      </c>
      <c r="C403" s="7" t="s">
        <v>3453</v>
      </c>
      <c r="D403" s="7" t="s">
        <v>3454</v>
      </c>
      <c r="E403" s="12" t="str">
        <f>HYPERLINK("https://twitter.com/aslan_arena_/status/1181937296213499905","1181937296213499905")</f>
        <v>1181937296213499905</v>
      </c>
      <c r="F403" s="8"/>
      <c r="G403" s="14" t="s">
        <v>3455</v>
      </c>
      <c r="H403" s="8"/>
      <c r="I403" s="15">
        <v>3</v>
      </c>
      <c r="J403" s="15">
        <v>3</v>
      </c>
      <c r="K403" s="12" t="str">
        <f>HYPERLINK("http://twitter.com/download/android","Twitter for Android")</f>
        <v>Twitter for Android</v>
      </c>
      <c r="L403" s="16">
        <v>729</v>
      </c>
      <c r="M403" s="16">
        <v>399</v>
      </c>
      <c r="N403" s="16">
        <v>1</v>
      </c>
      <c r="O403" s="17"/>
      <c r="P403" s="18">
        <v>43671.505219907413</v>
      </c>
      <c r="Q403" s="7"/>
      <c r="R403" s="7" t="s">
        <v>3459</v>
      </c>
      <c r="S403" s="15"/>
      <c r="T403" s="8"/>
      <c r="U403" s="19" t="str">
        <f>HYPERLINK("https://pbs.twimg.com/profile_images/1155924955412008965/R1a-dMc7.jpg","View")</f>
        <v>View</v>
      </c>
      <c r="V403" s="8"/>
      <c r="W403" s="8"/>
      <c r="X403" s="8"/>
      <c r="Y403" s="8"/>
      <c r="Z403" s="8"/>
    </row>
    <row r="404" spans="1:26" ht="12.75">
      <c r="A404" s="11">
        <v>43747.305358796293</v>
      </c>
      <c r="B404" s="12" t="str">
        <f>HYPERLINK("https://twitter.com/tuncaykanca","@tuncaykanca")</f>
        <v>@tuncaykanca</v>
      </c>
      <c r="C404" s="7" t="s">
        <v>3460</v>
      </c>
      <c r="D404" s="7" t="s">
        <v>3461</v>
      </c>
      <c r="E404" s="12" t="str">
        <f>HYPERLINK("https://twitter.com/tuncaykanca/status/1181937288630153216","1181937288630153216")</f>
        <v>1181937288630153216</v>
      </c>
      <c r="F404" s="8"/>
      <c r="G404" s="14" t="s">
        <v>3463</v>
      </c>
      <c r="H404" s="8"/>
      <c r="I404" s="15">
        <v>0</v>
      </c>
      <c r="J404" s="15">
        <v>0</v>
      </c>
      <c r="K404" s="12" t="str">
        <f>HYPERLINK("http://twitter.com/download/iphone","Twitter for iPhone")</f>
        <v>Twitter for iPhone</v>
      </c>
      <c r="L404" s="16">
        <v>73</v>
      </c>
      <c r="M404" s="16">
        <v>159</v>
      </c>
      <c r="N404" s="16">
        <v>0</v>
      </c>
      <c r="O404" s="17"/>
      <c r="P404" s="18">
        <v>42843.549837962964</v>
      </c>
      <c r="Q404" s="7"/>
      <c r="R404" s="7"/>
      <c r="S404" s="7"/>
      <c r="T404" s="8"/>
      <c r="U404" s="19" t="str">
        <f>HYPERLINK("https://pbs.twimg.com/profile_images/1154463070418296832/O8rravLS.jpg","View")</f>
        <v>View</v>
      </c>
      <c r="V404" s="8"/>
      <c r="W404" s="8"/>
      <c r="X404" s="8"/>
      <c r="Y404" s="8"/>
      <c r="Z404" s="8"/>
    </row>
    <row r="405" spans="1:26" ht="12.75">
      <c r="A405" s="11">
        <v>43747.305266203708</v>
      </c>
      <c r="B405" s="12" t="str">
        <f>HYPERLINK("https://twitter.com/MCihatCelik","@MCihatCelik")</f>
        <v>@MCihatCelik</v>
      </c>
      <c r="C405" s="7" t="s">
        <v>3469</v>
      </c>
      <c r="D405" s="7" t="s">
        <v>3471</v>
      </c>
      <c r="E405" s="12" t="str">
        <f>HYPERLINK("https://twitter.com/MCihatCelik/status/1181937256384389120","1181937256384389120")</f>
        <v>1181937256384389120</v>
      </c>
      <c r="F405" s="8"/>
      <c r="G405" s="14" t="s">
        <v>3474</v>
      </c>
      <c r="H405" s="8"/>
      <c r="I405" s="15">
        <v>0</v>
      </c>
      <c r="J405" s="15">
        <v>1</v>
      </c>
      <c r="K405" s="12" t="str">
        <f>HYPERLINK("http://twitter.com/download/iphone","Twitter for iPhone")</f>
        <v>Twitter for iPhone</v>
      </c>
      <c r="L405" s="16">
        <v>751</v>
      </c>
      <c r="M405" s="16">
        <v>1317</v>
      </c>
      <c r="N405" s="16">
        <v>0</v>
      </c>
      <c r="O405" s="17"/>
      <c r="P405" s="18">
        <v>41447.396018518521</v>
      </c>
      <c r="Q405" s="7" t="s">
        <v>200</v>
      </c>
      <c r="R405" s="7" t="s">
        <v>3475</v>
      </c>
      <c r="S405" s="7"/>
      <c r="T405" s="8"/>
      <c r="U405" s="19" t="str">
        <f>HYPERLINK("https://pbs.twimg.com/profile_images/1168463105300582403/L5rOb_ze.jpg","View")</f>
        <v>View</v>
      </c>
      <c r="V405" s="8"/>
      <c r="W405" s="8"/>
      <c r="X405" s="8"/>
      <c r="Y405" s="8"/>
      <c r="Z405" s="8"/>
    </row>
    <row r="406" spans="1:26" ht="12.75">
      <c r="A406" s="11">
        <v>43747.305208333331</v>
      </c>
      <c r="B406" s="12" t="str">
        <f>HYPERLINK("https://twitter.com/jadepachimari","@jadepachimari")</f>
        <v>@jadepachimari</v>
      </c>
      <c r="C406" s="7" t="s">
        <v>3485</v>
      </c>
      <c r="D406" s="7" t="s">
        <v>3486</v>
      </c>
      <c r="E406" s="12" t="str">
        <f>HYPERLINK("https://twitter.com/jadepachimari/status/1181937232132882438","1181937232132882438")</f>
        <v>1181937232132882438</v>
      </c>
      <c r="F406" s="8"/>
      <c r="G406" s="7"/>
      <c r="H406" s="8"/>
      <c r="I406" s="15">
        <v>0</v>
      </c>
      <c r="J406" s="15">
        <v>0</v>
      </c>
      <c r="K406" s="12" t="str">
        <f>HYPERLINK("http://twitter.com/download/iphone","Twitter for iPhone")</f>
        <v>Twitter for iPhone</v>
      </c>
      <c r="L406" s="16">
        <v>72</v>
      </c>
      <c r="M406" s="16">
        <v>192</v>
      </c>
      <c r="N406" s="16">
        <v>0</v>
      </c>
      <c r="O406" s="17"/>
      <c r="P406" s="18">
        <v>41637.484085648146</v>
      </c>
      <c r="Q406" s="7"/>
      <c r="R406" s="7" t="s">
        <v>3487</v>
      </c>
      <c r="S406" s="7"/>
      <c r="T406" s="8"/>
      <c r="U406" s="19" t="str">
        <f>HYPERLINK("https://pbs.twimg.com/profile_images/1179338564225642496/psJxmJlp.jpg","View")</f>
        <v>View</v>
      </c>
      <c r="V406" s="8"/>
      <c r="W406" s="8"/>
      <c r="X406" s="8"/>
      <c r="Y406" s="8"/>
      <c r="Z406" s="8"/>
    </row>
    <row r="407" spans="1:26" ht="12.75">
      <c r="A407" s="11">
        <v>43747.305185185185</v>
      </c>
      <c r="B407" s="12" t="str">
        <f>HYPERLINK("https://twitter.com/OzgeTunak","@OzgeTunak")</f>
        <v>@OzgeTunak</v>
      </c>
      <c r="C407" s="7" t="s">
        <v>3491</v>
      </c>
      <c r="D407" s="7" t="s">
        <v>3492</v>
      </c>
      <c r="E407" s="12" t="str">
        <f>HYPERLINK("https://twitter.com/OzgeTunak/status/1181937227376529409","1181937227376529409")</f>
        <v>1181937227376529409</v>
      </c>
      <c r="F407" s="8"/>
      <c r="G407" s="7"/>
      <c r="H407" s="8"/>
      <c r="I407" s="15">
        <v>0</v>
      </c>
      <c r="J407" s="15">
        <v>0</v>
      </c>
      <c r="K407" s="12" t="str">
        <f>HYPERLINK("https://mobile.twitter.com","Twitter Web App")</f>
        <v>Twitter Web App</v>
      </c>
      <c r="L407" s="16">
        <v>43</v>
      </c>
      <c r="M407" s="16">
        <v>279</v>
      </c>
      <c r="N407" s="16">
        <v>0</v>
      </c>
      <c r="O407" s="17"/>
      <c r="P407" s="18">
        <v>43686.124664351853</v>
      </c>
      <c r="Q407" s="7" t="s">
        <v>80</v>
      </c>
      <c r="R407" s="7" t="s">
        <v>3495</v>
      </c>
      <c r="S407" s="15"/>
      <c r="T407" s="8"/>
      <c r="U407" s="19" t="str">
        <f>HYPERLINK("https://pbs.twimg.com/profile_images/1178007293935398912/P98R6ZDw.jpg","View")</f>
        <v>View</v>
      </c>
      <c r="V407" s="8"/>
      <c r="W407" s="8"/>
      <c r="X407" s="8"/>
      <c r="Y407" s="8"/>
      <c r="Z407" s="8"/>
    </row>
    <row r="408" spans="1:26" ht="12.75">
      <c r="A408" s="11">
        <v>43747.305115740739</v>
      </c>
      <c r="B408" s="12" t="str">
        <f>HYPERLINK("https://twitter.com/sametciftcioglu","@sametciftcioglu")</f>
        <v>@sametciftcioglu</v>
      </c>
      <c r="C408" s="7" t="s">
        <v>3497</v>
      </c>
      <c r="D408" s="7" t="s">
        <v>3498</v>
      </c>
      <c r="E408" s="12" t="str">
        <f>HYPERLINK("https://twitter.com/sametciftcioglu/status/1181937201837412353","1181937201837412353")</f>
        <v>1181937201837412353</v>
      </c>
      <c r="F408" s="8"/>
      <c r="G408" s="15"/>
      <c r="H408" s="8"/>
      <c r="I408" s="15">
        <v>0</v>
      </c>
      <c r="J408" s="15">
        <v>0</v>
      </c>
      <c r="K408" s="12" t="str">
        <f>HYPERLINK("http://twitter.com/download/iphone","Twitter for iPhone")</f>
        <v>Twitter for iPhone</v>
      </c>
      <c r="L408" s="16">
        <v>182</v>
      </c>
      <c r="M408" s="16">
        <v>152</v>
      </c>
      <c r="N408" s="16">
        <v>0</v>
      </c>
      <c r="O408" s="17"/>
      <c r="P408" s="18">
        <v>40765.235543981486</v>
      </c>
      <c r="Q408" s="7"/>
      <c r="R408" s="7" t="s">
        <v>3501</v>
      </c>
      <c r="S408" s="7"/>
      <c r="T408" s="8"/>
      <c r="U408" s="19" t="str">
        <f>HYPERLINK("https://pbs.twimg.com/profile_images/1128705101001121793/0GJr-TmO.jpg","View")</f>
        <v>View</v>
      </c>
      <c r="V408" s="8"/>
      <c r="W408" s="8"/>
      <c r="X408" s="8"/>
      <c r="Y408" s="8"/>
      <c r="Z408" s="8"/>
    </row>
    <row r="409" spans="1:26" ht="12.75">
      <c r="A409" s="11">
        <v>43747.305115740739</v>
      </c>
      <c r="B409" s="12" t="str">
        <f>HYPERLINK("https://twitter.com/matematikcinizx","@matematikcinizx")</f>
        <v>@matematikcinizx</v>
      </c>
      <c r="C409" s="7" t="s">
        <v>3503</v>
      </c>
      <c r="D409" s="7" t="s">
        <v>3504</v>
      </c>
      <c r="E409" s="12" t="str">
        <f>HYPERLINK("https://twitter.com/matematikcinizx/status/1181937199819960330","1181937199819960330")</f>
        <v>1181937199819960330</v>
      </c>
      <c r="F409" s="8"/>
      <c r="G409" s="14" t="s">
        <v>3505</v>
      </c>
      <c r="H409" s="8"/>
      <c r="I409" s="15">
        <v>1</v>
      </c>
      <c r="J409" s="15">
        <v>3</v>
      </c>
      <c r="K409" s="12" t="str">
        <f>HYPERLINK("http://twitter.com/download/iphone","Twitter for iPhone")</f>
        <v>Twitter for iPhone</v>
      </c>
      <c r="L409" s="16">
        <v>1399</v>
      </c>
      <c r="M409" s="16">
        <v>1279</v>
      </c>
      <c r="N409" s="16">
        <v>1</v>
      </c>
      <c r="O409" s="17"/>
      <c r="P409" s="18">
        <v>43328.115381944444</v>
      </c>
      <c r="Q409" s="7" t="s">
        <v>1150</v>
      </c>
      <c r="R409" s="7" t="s">
        <v>3509</v>
      </c>
      <c r="S409" s="14" t="s">
        <v>3510</v>
      </c>
      <c r="T409" s="8"/>
      <c r="U409" s="19" t="str">
        <f>HYPERLINK("https://pbs.twimg.com/profile_images/1181873359296061441/T49jbT-D.jpg","View")</f>
        <v>View</v>
      </c>
      <c r="V409" s="8"/>
      <c r="W409" s="8"/>
      <c r="X409" s="8"/>
      <c r="Y409" s="8"/>
      <c r="Z409" s="8"/>
    </row>
    <row r="410" spans="1:26" ht="12.75">
      <c r="A410" s="11">
        <v>43747.305104166662</v>
      </c>
      <c r="B410" s="12" t="str">
        <f>HYPERLINK("https://twitter.com/shkurta_rama","@shkurta_rama")</f>
        <v>@shkurta_rama</v>
      </c>
      <c r="C410" s="7" t="s">
        <v>3512</v>
      </c>
      <c r="D410" s="7" t="s">
        <v>160</v>
      </c>
      <c r="E410" s="12" t="str">
        <f>HYPERLINK("https://twitter.com/shkurta_rama/status/1181937193935347712","1181937193935347712")</f>
        <v>1181937193935347712</v>
      </c>
      <c r="F410" s="8"/>
      <c r="G410" s="14" t="s">
        <v>3513</v>
      </c>
      <c r="H410" s="8"/>
      <c r="I410" s="15">
        <v>0</v>
      </c>
      <c r="J410" s="15">
        <v>0</v>
      </c>
      <c r="K410" s="12" t="str">
        <f>HYPERLINK("http://twitter.com/download/iphone","Twitter for iPhone")</f>
        <v>Twitter for iPhone</v>
      </c>
      <c r="L410" s="16">
        <v>84</v>
      </c>
      <c r="M410" s="16">
        <v>20</v>
      </c>
      <c r="N410" s="16">
        <v>0</v>
      </c>
      <c r="O410" s="17"/>
      <c r="P410" s="18">
        <v>41423.166550925926</v>
      </c>
      <c r="Q410" s="7" t="s">
        <v>3517</v>
      </c>
      <c r="R410" s="7" t="s">
        <v>3518</v>
      </c>
      <c r="S410" s="14" t="s">
        <v>3519</v>
      </c>
      <c r="T410" s="8"/>
      <c r="U410" s="19" t="str">
        <f>HYPERLINK("https://pbs.twimg.com/profile_images/1178652327722528769/AfAUwkcK.jpg","View")</f>
        <v>View</v>
      </c>
      <c r="V410" s="8"/>
      <c r="W410" s="8"/>
      <c r="X410" s="8"/>
      <c r="Y410" s="8"/>
      <c r="Z410" s="8"/>
    </row>
    <row r="411" spans="1:26" ht="12.75">
      <c r="A411" s="11">
        <v>43747.305092592593</v>
      </c>
      <c r="B411" s="12" t="str">
        <f>HYPERLINK("https://twitter.com/Oddsmeter","@Oddsmeter")</f>
        <v>@Oddsmeter</v>
      </c>
      <c r="C411" s="7" t="s">
        <v>3522</v>
      </c>
      <c r="D411" s="7" t="s">
        <v>3523</v>
      </c>
      <c r="E411" s="12" t="str">
        <f>HYPERLINK("https://twitter.com/Oddsmeter/status/1181937193524350976","1181937193524350976")</f>
        <v>1181937193524350976</v>
      </c>
      <c r="F411" s="8" t="s">
        <v>3525</v>
      </c>
      <c r="G411" s="15"/>
      <c r="H411" s="8"/>
      <c r="I411" s="15">
        <v>0</v>
      </c>
      <c r="J411" s="15">
        <v>0</v>
      </c>
      <c r="K411" s="12" t="str">
        <f>HYPERLINK("https://mobile.twitter.com","Twitter Web App")</f>
        <v>Twitter Web App</v>
      </c>
      <c r="L411" s="16">
        <v>13982</v>
      </c>
      <c r="M411" s="16">
        <v>2417</v>
      </c>
      <c r="N411" s="16">
        <v>55</v>
      </c>
      <c r="O411" s="17"/>
      <c r="P411" s="18">
        <v>39880.551354166666</v>
      </c>
      <c r="Q411" s="7"/>
      <c r="R411" s="7" t="s">
        <v>3526</v>
      </c>
      <c r="S411" s="14" t="s">
        <v>3527</v>
      </c>
      <c r="T411" s="8"/>
      <c r="U411" s="19" t="str">
        <f>HYPERLINK("https://pbs.twimg.com/profile_images/1606254271/OddsMeterTwitter.png","View")</f>
        <v>View</v>
      </c>
      <c r="V411" s="8"/>
      <c r="W411" s="8"/>
      <c r="X411" s="8"/>
      <c r="Y411" s="8"/>
      <c r="Z411" s="8"/>
    </row>
    <row r="412" spans="1:26" ht="12.75">
      <c r="A412" s="11">
        <v>43747.305081018523</v>
      </c>
      <c r="B412" s="12" t="str">
        <f>HYPERLINK("https://twitter.com/ustuner_arif","@ustuner_arif")</f>
        <v>@ustuner_arif</v>
      </c>
      <c r="C412" s="7" t="s">
        <v>3531</v>
      </c>
      <c r="D412" s="7" t="s">
        <v>3532</v>
      </c>
      <c r="E412" s="12" t="str">
        <f>HYPERLINK("https://twitter.com/ustuner_arif/status/1181937189434867715","1181937189434867715")</f>
        <v>1181937189434867715</v>
      </c>
      <c r="F412" s="8"/>
      <c r="G412" s="14" t="s">
        <v>3533</v>
      </c>
      <c r="H412" s="8"/>
      <c r="I412" s="15">
        <v>0</v>
      </c>
      <c r="J412" s="15">
        <v>2</v>
      </c>
      <c r="K412" s="12" t="str">
        <f>HYPERLINK("http://twitter.com/download/iphone","Twitter for iPhone")</f>
        <v>Twitter for iPhone</v>
      </c>
      <c r="L412" s="16">
        <v>376</v>
      </c>
      <c r="M412" s="16">
        <v>293</v>
      </c>
      <c r="N412" s="16">
        <v>0</v>
      </c>
      <c r="O412" s="17"/>
      <c r="P412" s="18">
        <v>43364.173726851848</v>
      </c>
      <c r="Q412" s="7" t="s">
        <v>3537</v>
      </c>
      <c r="R412" s="7" t="s">
        <v>3538</v>
      </c>
      <c r="S412" s="7"/>
      <c r="T412" s="8"/>
      <c r="U412" s="19" t="str">
        <f>HYPERLINK("https://pbs.twimg.com/profile_images/1179461577164111873/y-M7gcH6.jpg","View")</f>
        <v>View</v>
      </c>
      <c r="V412" s="8"/>
      <c r="W412" s="8"/>
      <c r="X412" s="8"/>
      <c r="Y412" s="8"/>
      <c r="Z412" s="8"/>
    </row>
    <row r="413" spans="1:26" ht="12.75">
      <c r="A413" s="11">
        <v>43747.305023148147</v>
      </c>
      <c r="B413" s="12" t="str">
        <f>HYPERLINK("https://twitter.com/Sadecegs5","@Sadecegs5")</f>
        <v>@Sadecegs5</v>
      </c>
      <c r="C413" s="7" t="s">
        <v>3539</v>
      </c>
      <c r="D413" s="7" t="s">
        <v>3540</v>
      </c>
      <c r="E413" s="12" t="str">
        <f>HYPERLINK("https://twitter.com/Sadecegs5/status/1181937165636427787","1181937165636427787")</f>
        <v>1181937165636427787</v>
      </c>
      <c r="F413" s="8"/>
      <c r="G413" s="14" t="s">
        <v>3541</v>
      </c>
      <c r="H413" s="8"/>
      <c r="I413" s="15">
        <v>0</v>
      </c>
      <c r="J413" s="15">
        <v>0</v>
      </c>
      <c r="K413" s="12" t="str">
        <f>HYPERLINK("http://twitter.com/download/android","Twitter for Android")</f>
        <v>Twitter for Android</v>
      </c>
      <c r="L413" s="16">
        <v>13</v>
      </c>
      <c r="M413" s="16">
        <v>58</v>
      </c>
      <c r="N413" s="16">
        <v>0</v>
      </c>
      <c r="O413" s="17"/>
      <c r="P413" s="18">
        <v>43466.534953703704</v>
      </c>
      <c r="Q413" s="7"/>
      <c r="R413" s="7"/>
      <c r="S413" s="15"/>
      <c r="T413" s="8"/>
      <c r="U413" s="20" t="s">
        <v>354</v>
      </c>
      <c r="V413" s="8"/>
      <c r="W413" s="8"/>
      <c r="X413" s="8"/>
      <c r="Y413" s="8"/>
      <c r="Z413" s="8"/>
    </row>
    <row r="414" spans="1:26" ht="12.75">
      <c r="A414" s="11">
        <v>43747.305011574077</v>
      </c>
      <c r="B414" s="12" t="str">
        <f>HYPERLINK("https://twitter.com/toprakercument","@toprakercument")</f>
        <v>@toprakercument</v>
      </c>
      <c r="C414" s="13" t="s">
        <v>3545</v>
      </c>
      <c r="D414" s="7" t="s">
        <v>3546</v>
      </c>
      <c r="E414" s="12" t="str">
        <f>HYPERLINK("https://twitter.com/toprakercument/status/1181937160401948673","1181937160401948673")</f>
        <v>1181937160401948673</v>
      </c>
      <c r="F414" s="8"/>
      <c r="G414" s="15"/>
      <c r="H414" s="8"/>
      <c r="I414" s="15">
        <v>0</v>
      </c>
      <c r="J414" s="15">
        <v>3</v>
      </c>
      <c r="K414" s="12" t="str">
        <f>HYPERLINK("http://twitter.com/download/iphone","Twitter for iPhone")</f>
        <v>Twitter for iPhone</v>
      </c>
      <c r="L414" s="16">
        <v>518</v>
      </c>
      <c r="M414" s="16">
        <v>317</v>
      </c>
      <c r="N414" s="16">
        <v>0</v>
      </c>
      <c r="O414" s="17"/>
      <c r="P414" s="18">
        <v>40454.504363425927</v>
      </c>
      <c r="Q414" s="7"/>
      <c r="R414" s="7" t="s">
        <v>3549</v>
      </c>
      <c r="S414" s="7"/>
      <c r="T414" s="8"/>
      <c r="U414" s="19" t="str">
        <f>HYPERLINK("https://pbs.twimg.com/profile_images/797763064225472512/sZnEjTid.jpg","View")</f>
        <v>View</v>
      </c>
      <c r="V414" s="8"/>
      <c r="W414" s="8"/>
      <c r="X414" s="8"/>
      <c r="Y414" s="8"/>
      <c r="Z414" s="8"/>
    </row>
    <row r="415" spans="1:26" ht="12.75">
      <c r="A415" s="11">
        <v>43747.3049537037</v>
      </c>
      <c r="B415" s="12" t="str">
        <f>HYPERLINK("https://twitter.com/fuckbulut","@fuckbulut")</f>
        <v>@fuckbulut</v>
      </c>
      <c r="C415" s="7" t="s">
        <v>3551</v>
      </c>
      <c r="D415" s="7" t="s">
        <v>3552</v>
      </c>
      <c r="E415" s="12" t="str">
        <f>HYPERLINK("https://twitter.com/fuckbulut/status/1181937141796020224","1181937141796020224")</f>
        <v>1181937141796020224</v>
      </c>
      <c r="F415" s="8"/>
      <c r="G415" s="15"/>
      <c r="H415" s="8"/>
      <c r="I415" s="15">
        <v>0</v>
      </c>
      <c r="J415" s="15">
        <v>2</v>
      </c>
      <c r="K415" s="12" t="str">
        <f>HYPERLINK("http://twitter.com/download/android","Twitter for Android")</f>
        <v>Twitter for Android</v>
      </c>
      <c r="L415" s="16">
        <v>142</v>
      </c>
      <c r="M415" s="16">
        <v>178</v>
      </c>
      <c r="N415" s="16">
        <v>0</v>
      </c>
      <c r="O415" s="17"/>
      <c r="P415" s="18">
        <v>43416.631111111114</v>
      </c>
      <c r="Q415" s="7"/>
      <c r="R415" s="7" t="s">
        <v>3555</v>
      </c>
      <c r="S415" s="7"/>
      <c r="T415" s="8"/>
      <c r="U415" s="19" t="str">
        <f>HYPERLINK("https://pbs.twimg.com/profile_images/1146429661318209536/cDmWEF5h.jpg","View")</f>
        <v>View</v>
      </c>
      <c r="V415" s="8"/>
      <c r="W415" s="8"/>
      <c r="X415" s="8"/>
      <c r="Y415" s="8"/>
      <c r="Z415" s="8"/>
    </row>
    <row r="416" spans="1:26" ht="12.75">
      <c r="A416" s="11">
        <v>43747.304930555554</v>
      </c>
      <c r="B416" s="12" t="str">
        <f>HYPERLINK("https://twitter.com/DuyguKG","@DuyguKG")</f>
        <v>@DuyguKG</v>
      </c>
      <c r="C416" s="7" t="s">
        <v>3557</v>
      </c>
      <c r="D416" s="7" t="s">
        <v>3558</v>
      </c>
      <c r="E416" s="12" t="str">
        <f>HYPERLINK("https://twitter.com/DuyguKG/status/1181937132425957379","1181937132425957379")</f>
        <v>1181937132425957379</v>
      </c>
      <c r="F416" s="8"/>
      <c r="G416" s="15"/>
      <c r="H416" s="8"/>
      <c r="I416" s="15">
        <v>0</v>
      </c>
      <c r="J416" s="15">
        <v>5</v>
      </c>
      <c r="K416" s="12" t="str">
        <f>HYPERLINK("http://twitter.com/download/android","Twitter for Android")</f>
        <v>Twitter for Android</v>
      </c>
      <c r="L416" s="16">
        <v>1746</v>
      </c>
      <c r="M416" s="16">
        <v>620</v>
      </c>
      <c r="N416" s="16">
        <v>1</v>
      </c>
      <c r="O416" s="17"/>
      <c r="P416" s="18">
        <v>40322.339432870373</v>
      </c>
      <c r="Q416" s="7" t="s">
        <v>918</v>
      </c>
      <c r="R416" s="7" t="s">
        <v>3559</v>
      </c>
      <c r="S416" s="7"/>
      <c r="T416" s="8"/>
      <c r="U416" s="19" t="str">
        <f>HYPERLINK("https://pbs.twimg.com/profile_images/1012406594217406464/fGixu3Lo.jpg","View")</f>
        <v>View</v>
      </c>
      <c r="V416" s="8"/>
      <c r="W416" s="8"/>
      <c r="X416" s="8"/>
      <c r="Y416" s="8"/>
      <c r="Z416" s="8"/>
    </row>
    <row r="417" spans="1:26" ht="12.75">
      <c r="A417" s="11">
        <v>43747.304918981477</v>
      </c>
      <c r="B417" s="12" t="str">
        <f>HYPERLINK("https://twitter.com/steveatkins1969","@steveatkins1969")</f>
        <v>@steveatkins1969</v>
      </c>
      <c r="C417" s="7" t="s">
        <v>3563</v>
      </c>
      <c r="D417" s="7" t="s">
        <v>3564</v>
      </c>
      <c r="E417" s="12" t="str">
        <f>HYPERLINK("https://twitter.com/steveatkins1969/status/1181937128802078726","1181937128802078726")</f>
        <v>1181937128802078726</v>
      </c>
      <c r="F417" s="8"/>
      <c r="G417" s="15"/>
      <c r="H417" s="8"/>
      <c r="I417" s="15">
        <v>1</v>
      </c>
      <c r="J417" s="15">
        <v>1</v>
      </c>
      <c r="K417" s="12" t="str">
        <f>HYPERLINK("http://twitter.com/download/android","Twitter for Android")</f>
        <v>Twitter for Android</v>
      </c>
      <c r="L417" s="16">
        <v>1081</v>
      </c>
      <c r="M417" s="16">
        <v>975</v>
      </c>
      <c r="N417" s="16">
        <v>4</v>
      </c>
      <c r="O417" s="17"/>
      <c r="P417" s="18">
        <v>42105.402731481481</v>
      </c>
      <c r="Q417" s="7" t="s">
        <v>3565</v>
      </c>
      <c r="R417" s="7" t="s">
        <v>3566</v>
      </c>
      <c r="S417" s="7"/>
      <c r="T417" s="8"/>
      <c r="U417" s="19" t="str">
        <f>HYPERLINK("https://pbs.twimg.com/profile_images/1181232937234305024/Ewqf9Rwn.jpg","View")</f>
        <v>View</v>
      </c>
      <c r="V417" s="8"/>
      <c r="W417" s="8"/>
      <c r="X417" s="8"/>
      <c r="Y417" s="8"/>
      <c r="Z417" s="8"/>
    </row>
    <row r="418" spans="1:26" ht="12.75">
      <c r="A418" s="11">
        <v>43747.304884259254</v>
      </c>
      <c r="B418" s="12" t="str">
        <f>HYPERLINK("https://twitter.com/Blacksearch1","@Blacksearch1")</f>
        <v>@Blacksearch1</v>
      </c>
      <c r="C418" s="7" t="s">
        <v>3567</v>
      </c>
      <c r="D418" s="7" t="s">
        <v>3568</v>
      </c>
      <c r="E418" s="12" t="str">
        <f>HYPERLINK("https://twitter.com/Blacksearch1/status/1181937118123302912","1181937118123302912")</f>
        <v>1181937118123302912</v>
      </c>
      <c r="F418" s="8" t="s">
        <v>3569</v>
      </c>
      <c r="G418" s="14" t="s">
        <v>3570</v>
      </c>
      <c r="H418" s="8"/>
      <c r="I418" s="15">
        <v>0</v>
      </c>
      <c r="J418" s="15">
        <v>0</v>
      </c>
      <c r="K418" s="12" t="str">
        <f>HYPERLINK("http://twitter.com/download/android","Twitter for Android")</f>
        <v>Twitter for Android</v>
      </c>
      <c r="L418" s="16">
        <v>265</v>
      </c>
      <c r="M418" s="16">
        <v>237</v>
      </c>
      <c r="N418" s="16">
        <v>0</v>
      </c>
      <c r="O418" s="17"/>
      <c r="P418" s="18">
        <v>43386.333518518513</v>
      </c>
      <c r="Q418" s="7" t="s">
        <v>3571</v>
      </c>
      <c r="R418" s="7" t="s">
        <v>3572</v>
      </c>
      <c r="S418" s="14" t="s">
        <v>3573</v>
      </c>
      <c r="T418" s="8"/>
      <c r="U418" s="19" t="str">
        <f>HYPERLINK("https://pbs.twimg.com/profile_images/1159106656560668672/lRCRoXog.jpg","View")</f>
        <v>View</v>
      </c>
      <c r="V418" s="8"/>
      <c r="W418" s="8"/>
      <c r="X418" s="8"/>
      <c r="Y418" s="8"/>
      <c r="Z418" s="8"/>
    </row>
    <row r="419" spans="1:26" ht="12.75">
      <c r="A419" s="11">
        <v>43747.304884259254</v>
      </c>
      <c r="B419" s="12" t="str">
        <f>HYPERLINK("https://twitter.com/AbulSmtBekar61","@AbulSmtBekar61")</f>
        <v>@AbulSmtBekar61</v>
      </c>
      <c r="C419" s="7" t="s">
        <v>3577</v>
      </c>
      <c r="D419" s="7" t="s">
        <v>3578</v>
      </c>
      <c r="E419" s="12" t="str">
        <f>HYPERLINK("https://twitter.com/AbulSmtBekar61/status/1181937115325706240","1181937115325706240")</f>
        <v>1181937115325706240</v>
      </c>
      <c r="F419" s="8"/>
      <c r="G419" s="7"/>
      <c r="H419" s="8"/>
      <c r="I419" s="15">
        <v>0</v>
      </c>
      <c r="J419" s="15">
        <v>1</v>
      </c>
      <c r="K419" s="12" t="str">
        <f>HYPERLINK("http://twitter.com/download/android","Twitter for Android")</f>
        <v>Twitter for Android</v>
      </c>
      <c r="L419" s="16">
        <v>1294</v>
      </c>
      <c r="M419" s="16">
        <v>2696</v>
      </c>
      <c r="N419" s="16">
        <v>10</v>
      </c>
      <c r="O419" s="17"/>
      <c r="P419" s="18">
        <v>41075.63585648148</v>
      </c>
      <c r="Q419" s="7" t="s">
        <v>3579</v>
      </c>
      <c r="R419" s="7" t="s">
        <v>3580</v>
      </c>
      <c r="S419" s="14" t="s">
        <v>3581</v>
      </c>
      <c r="T419" s="8"/>
      <c r="U419" s="19" t="str">
        <f>HYPERLINK("https://pbs.twimg.com/profile_images/1178219241855705088/Vfw8xcrg.jpg","View")</f>
        <v>View</v>
      </c>
      <c r="V419" s="8"/>
      <c r="W419" s="8"/>
      <c r="X419" s="8"/>
      <c r="Y419" s="8"/>
      <c r="Z419" s="8"/>
    </row>
    <row r="420" spans="1:26" ht="12.75">
      <c r="A420" s="11">
        <v>43747.304872685185</v>
      </c>
      <c r="B420" s="12" t="str">
        <f>HYPERLINK("https://twitter.com/kadirdogan110","@kadirdogan110")</f>
        <v>@kadirdogan110</v>
      </c>
      <c r="C420" s="7" t="s">
        <v>3584</v>
      </c>
      <c r="D420" s="7" t="s">
        <v>3585</v>
      </c>
      <c r="E420" s="12" t="str">
        <f>HYPERLINK("https://twitter.com/kadirdogan110/status/1181937114113544192","1181937114113544192")</f>
        <v>1181937114113544192</v>
      </c>
      <c r="F420" s="8"/>
      <c r="G420" s="14" t="s">
        <v>3586</v>
      </c>
      <c r="H420" s="8"/>
      <c r="I420" s="15">
        <v>0</v>
      </c>
      <c r="J420" s="15">
        <v>0</v>
      </c>
      <c r="K420" s="12" t="str">
        <f>HYPERLINK("http://twitter.com/download/android","Twitter for Android")</f>
        <v>Twitter for Android</v>
      </c>
      <c r="L420" s="16">
        <v>221</v>
      </c>
      <c r="M420" s="16">
        <v>355</v>
      </c>
      <c r="N420" s="16">
        <v>0</v>
      </c>
      <c r="O420" s="17"/>
      <c r="P420" s="18">
        <v>42089.285729166666</v>
      </c>
      <c r="Q420" s="7" t="s">
        <v>3589</v>
      </c>
      <c r="R420" s="7"/>
      <c r="S420" s="7"/>
      <c r="T420" s="8"/>
      <c r="U420" s="19" t="str">
        <f>HYPERLINK("https://pbs.twimg.com/profile_images/1154991929953832960/PEAKXUSJ.jpg","View")</f>
        <v>View</v>
      </c>
      <c r="V420" s="8"/>
      <c r="W420" s="8"/>
      <c r="X420" s="8"/>
      <c r="Y420" s="8"/>
      <c r="Z420" s="8"/>
    </row>
    <row r="421" spans="1:26" ht="12.75">
      <c r="A421" s="11">
        <v>43747.304837962962</v>
      </c>
      <c r="B421" s="12" t="str">
        <f>HYPERLINK("https://twitter.com/NuriAsiroglu","@NuriAsiroglu")</f>
        <v>@NuriAsiroglu</v>
      </c>
      <c r="C421" s="7" t="s">
        <v>3590</v>
      </c>
      <c r="D421" s="7" t="s">
        <v>3591</v>
      </c>
      <c r="E421" s="12" t="str">
        <f>HYPERLINK("https://twitter.com/NuriAsiroglu/status/1181937101484515328","1181937101484515328")</f>
        <v>1181937101484515328</v>
      </c>
      <c r="F421" s="8"/>
      <c r="G421" s="15"/>
      <c r="H421" s="8"/>
      <c r="I421" s="15">
        <v>0</v>
      </c>
      <c r="J421" s="15">
        <v>2</v>
      </c>
      <c r="K421" s="12" t="str">
        <f>HYPERLINK("http://twitter.com/download/iphone","Twitter for iPhone")</f>
        <v>Twitter for iPhone</v>
      </c>
      <c r="L421" s="16">
        <v>909</v>
      </c>
      <c r="M421" s="16">
        <v>217</v>
      </c>
      <c r="N421" s="16">
        <v>3</v>
      </c>
      <c r="O421" s="20"/>
      <c r="P421" s="18">
        <v>41074.239016203705</v>
      </c>
      <c r="Q421" s="7" t="s">
        <v>2765</v>
      </c>
      <c r="R421" s="7" t="s">
        <v>3594</v>
      </c>
      <c r="S421" s="7"/>
      <c r="T421" s="8"/>
      <c r="U421" s="19" t="str">
        <f>HYPERLINK("https://pbs.twimg.com/profile_images/1162722822109782016/aHmbmR6-.jpg","View")</f>
        <v>View</v>
      </c>
      <c r="V421" s="8"/>
      <c r="W421" s="8"/>
      <c r="X421" s="8"/>
      <c r="Y421" s="8"/>
      <c r="Z421" s="8"/>
    </row>
    <row r="422" spans="1:26" ht="12.75">
      <c r="A422" s="11">
        <v>43747.304837962962</v>
      </c>
      <c r="B422" s="12" t="str">
        <f>HYPERLINK("https://twitter.com/SongelenFurkan","@SongelenFurkan")</f>
        <v>@SongelenFurkan</v>
      </c>
      <c r="C422" s="7" t="s">
        <v>3598</v>
      </c>
      <c r="D422" s="7" t="s">
        <v>3599</v>
      </c>
      <c r="E422" s="12" t="str">
        <f>HYPERLINK("https://twitter.com/SongelenFurkan/status/1181937097885802496","1181937097885802496")</f>
        <v>1181937097885802496</v>
      </c>
      <c r="F422" s="8"/>
      <c r="G422" s="14" t="s">
        <v>3600</v>
      </c>
      <c r="H422" s="8"/>
      <c r="I422" s="15">
        <v>0</v>
      </c>
      <c r="J422" s="15">
        <v>0</v>
      </c>
      <c r="K422" s="12" t="str">
        <f>HYPERLINK("http://twitter.com/download/iphone","Twitter for iPhone")</f>
        <v>Twitter for iPhone</v>
      </c>
      <c r="L422" s="16">
        <v>7</v>
      </c>
      <c r="M422" s="16">
        <v>21</v>
      </c>
      <c r="N422" s="16">
        <v>0</v>
      </c>
      <c r="O422" s="17"/>
      <c r="P422" s="18">
        <v>42119.397488425922</v>
      </c>
      <c r="Q422" s="7"/>
      <c r="R422" s="7"/>
      <c r="S422" s="15"/>
      <c r="T422" s="8"/>
      <c r="U422" s="19" t="str">
        <f>HYPERLINK("https://pbs.twimg.com/profile_images/630658851327635456/pnjfy5X8.jpg","View")</f>
        <v>View</v>
      </c>
      <c r="V422" s="8"/>
      <c r="W422" s="8"/>
      <c r="X422" s="8"/>
      <c r="Y422" s="8"/>
      <c r="Z422" s="8"/>
    </row>
    <row r="423" spans="1:26" ht="12.75">
      <c r="A423" s="11">
        <v>43747.304826388892</v>
      </c>
      <c r="B423" s="12" t="str">
        <f>HYPERLINK("https://twitter.com/MuhammedARF1","@MuhammedARF1")</f>
        <v>@MuhammedARF1</v>
      </c>
      <c r="C423" s="7" t="s">
        <v>3604</v>
      </c>
      <c r="D423" s="7" t="s">
        <v>3605</v>
      </c>
      <c r="E423" s="12" t="str">
        <f>HYPERLINK("https://twitter.com/MuhammedARF1/status/1181937093578240000","1181937093578240000")</f>
        <v>1181937093578240000</v>
      </c>
      <c r="F423" s="15"/>
      <c r="G423" s="14" t="s">
        <v>3606</v>
      </c>
      <c r="H423" s="8"/>
      <c r="I423" s="15">
        <v>0</v>
      </c>
      <c r="J423" s="15">
        <v>0</v>
      </c>
      <c r="K423" s="12" t="str">
        <f>HYPERLINK("http://twitter.com/download/android","Twitter for Android")</f>
        <v>Twitter for Android</v>
      </c>
      <c r="L423" s="16">
        <v>383</v>
      </c>
      <c r="M423" s="16">
        <v>367</v>
      </c>
      <c r="N423" s="16">
        <v>0</v>
      </c>
      <c r="O423" s="17"/>
      <c r="P423" s="18">
        <v>43322.443182870367</v>
      </c>
      <c r="Q423" s="7" t="s">
        <v>80</v>
      </c>
      <c r="R423" s="7"/>
      <c r="S423" s="7"/>
      <c r="T423" s="8"/>
      <c r="U423" s="19" t="str">
        <f>HYPERLINK("https://pbs.twimg.com/profile_images/1027973059771355144/7klWeHFT.jpg","View")</f>
        <v>View</v>
      </c>
      <c r="V423" s="8"/>
      <c r="W423" s="8"/>
      <c r="X423" s="8"/>
      <c r="Y423" s="8"/>
      <c r="Z423" s="8"/>
    </row>
    <row r="424" spans="1:26" ht="12.75">
      <c r="A424" s="11">
        <v>43747.304780092592</v>
      </c>
      <c r="B424" s="12" t="str">
        <f>HYPERLINK("https://twitter.com/bysnglr21","@bysnglr21")</f>
        <v>@bysnglr21</v>
      </c>
      <c r="C424" s="7" t="s">
        <v>3613</v>
      </c>
      <c r="D424" s="7" t="s">
        <v>3614</v>
      </c>
      <c r="E424" s="12" t="str">
        <f>HYPERLINK("https://twitter.com/bysnglr21/status/1181937077165920259","1181937077165920259")</f>
        <v>1181937077165920259</v>
      </c>
      <c r="F424" s="8"/>
      <c r="G424" s="7"/>
      <c r="H424" s="8"/>
      <c r="I424" s="15">
        <v>0</v>
      </c>
      <c r="J424" s="15">
        <v>0</v>
      </c>
      <c r="K424" s="12" t="str">
        <f>HYPERLINK("http://twitter.com/download/android","Twitter for Android")</f>
        <v>Twitter for Android</v>
      </c>
      <c r="L424" s="16">
        <v>550</v>
      </c>
      <c r="M424" s="16">
        <v>358</v>
      </c>
      <c r="N424" s="16">
        <v>0</v>
      </c>
      <c r="O424" s="17"/>
      <c r="P424" s="18">
        <v>40216.625810185185</v>
      </c>
      <c r="Q424" s="7" t="s">
        <v>3618</v>
      </c>
      <c r="R424" s="7" t="s">
        <v>3619</v>
      </c>
      <c r="S424" s="7"/>
      <c r="T424" s="8"/>
      <c r="U424" s="19" t="str">
        <f>HYPERLINK("https://pbs.twimg.com/profile_images/1035228694174941184/H250pvjH.jpg","View")</f>
        <v>View</v>
      </c>
      <c r="V424" s="8"/>
      <c r="W424" s="8"/>
      <c r="X424" s="8"/>
      <c r="Y424" s="8"/>
      <c r="Z424" s="8"/>
    </row>
    <row r="425" spans="1:26" ht="12.75">
      <c r="A425" s="11">
        <v>43747.304768518516</v>
      </c>
      <c r="B425" s="12" t="str">
        <f>HYPERLINK("https://twitter.com/ferit_seckin","@ferit_seckin")</f>
        <v>@ferit_seckin</v>
      </c>
      <c r="C425" s="7" t="s">
        <v>3620</v>
      </c>
      <c r="D425" s="7" t="s">
        <v>3621</v>
      </c>
      <c r="E425" s="12" t="str">
        <f>HYPERLINK("https://twitter.com/ferit_seckin/status/1181937073739182082","1181937073739182082")</f>
        <v>1181937073739182082</v>
      </c>
      <c r="F425" s="14" t="s">
        <v>3623</v>
      </c>
      <c r="G425" s="15"/>
      <c r="H425" s="8"/>
      <c r="I425" s="15">
        <v>0</v>
      </c>
      <c r="J425" s="15">
        <v>0</v>
      </c>
      <c r="K425" s="12" t="str">
        <f>HYPERLINK("https://mobile.twitter.com","Twitter Web App")</f>
        <v>Twitter Web App</v>
      </c>
      <c r="L425" s="16">
        <v>0</v>
      </c>
      <c r="M425" s="16">
        <v>3</v>
      </c>
      <c r="N425" s="16">
        <v>0</v>
      </c>
      <c r="O425" s="17"/>
      <c r="P425" s="18">
        <v>43557.501828703702</v>
      </c>
      <c r="Q425" s="7" t="s">
        <v>1461</v>
      </c>
      <c r="R425" s="7" t="s">
        <v>3626</v>
      </c>
      <c r="S425" s="14" t="s">
        <v>3627</v>
      </c>
      <c r="T425" s="8"/>
      <c r="U425" s="19" t="str">
        <f>HYPERLINK("https://pbs.twimg.com/profile_images/1114142892191354880/Noz9Jwgm.png","View")</f>
        <v>View</v>
      </c>
      <c r="V425" s="8"/>
      <c r="W425" s="8"/>
      <c r="X425" s="8"/>
      <c r="Y425" s="8"/>
      <c r="Z425" s="8"/>
    </row>
    <row r="426" spans="1:26" ht="12.75">
      <c r="A426" s="11">
        <v>43747.304768518516</v>
      </c>
      <c r="B426" s="12" t="str">
        <f>HYPERLINK("https://twitter.com/HAKKIBLGEN","@HAKKIBLGEN")</f>
        <v>@HAKKIBLGEN</v>
      </c>
      <c r="C426" s="7" t="s">
        <v>3631</v>
      </c>
      <c r="D426" s="7" t="s">
        <v>3632</v>
      </c>
      <c r="E426" s="12" t="str">
        <f>HYPERLINK("https://twitter.com/HAKKIBLGEN/status/1181937073504292864","1181937073504292864")</f>
        <v>1181937073504292864</v>
      </c>
      <c r="F426" s="15"/>
      <c r="G426" s="15"/>
      <c r="H426" s="8"/>
      <c r="I426" s="15">
        <v>0</v>
      </c>
      <c r="J426" s="15">
        <v>0</v>
      </c>
      <c r="K426" s="12" t="str">
        <f>HYPERLINK("http://twitter.com/download/android","Twitter for Android")</f>
        <v>Twitter for Android</v>
      </c>
      <c r="L426" s="16">
        <v>78</v>
      </c>
      <c r="M426" s="16">
        <v>332</v>
      </c>
      <c r="N426" s="16">
        <v>0</v>
      </c>
      <c r="O426" s="17"/>
      <c r="P426" s="18">
        <v>40758.42024305556</v>
      </c>
      <c r="Q426" s="7"/>
      <c r="R426" s="7" t="s">
        <v>3635</v>
      </c>
      <c r="S426" s="7"/>
      <c r="T426" s="8"/>
      <c r="U426" s="19" t="str">
        <f>HYPERLINK("https://pbs.twimg.com/profile_images/1181938240540033024/K64O_yF8.jpg","View")</f>
        <v>View</v>
      </c>
      <c r="V426" s="8"/>
      <c r="W426" s="8"/>
      <c r="X426" s="8"/>
      <c r="Y426" s="8"/>
      <c r="Z426" s="8"/>
    </row>
    <row r="427" spans="1:26" ht="12.75">
      <c r="A427" s="11">
        <v>43747.304710648154</v>
      </c>
      <c r="B427" s="12" t="str">
        <f>HYPERLINK("https://twitter.com/kocayureklim","@kocayureklim")</f>
        <v>@kocayureklim</v>
      </c>
      <c r="C427" s="7" t="s">
        <v>3640</v>
      </c>
      <c r="D427" s="7" t="s">
        <v>3641</v>
      </c>
      <c r="E427" s="12" t="str">
        <f>HYPERLINK("https://twitter.com/kocayureklim/status/1181937052281180163","1181937052281180163")</f>
        <v>1181937052281180163</v>
      </c>
      <c r="F427" s="8"/>
      <c r="G427" s="14" t="s">
        <v>3642</v>
      </c>
      <c r="H427" s="8"/>
      <c r="I427" s="15">
        <v>0</v>
      </c>
      <c r="J427" s="15">
        <v>2</v>
      </c>
      <c r="K427" s="12" t="str">
        <f>HYPERLINK("http://twitter.com/download/android","Twitter for Android")</f>
        <v>Twitter for Android</v>
      </c>
      <c r="L427" s="16">
        <v>909</v>
      </c>
      <c r="M427" s="16">
        <v>770</v>
      </c>
      <c r="N427" s="16">
        <v>1</v>
      </c>
      <c r="O427" s="17"/>
      <c r="P427" s="18">
        <v>42891.156423611115</v>
      </c>
      <c r="Q427" s="7"/>
      <c r="R427" s="7" t="s">
        <v>3646</v>
      </c>
      <c r="S427" s="7"/>
      <c r="T427" s="8"/>
      <c r="U427" s="19" t="str">
        <f>HYPERLINK("https://pbs.twimg.com/profile_images/1171691779923595267/OIossNHu.jpg","View")</f>
        <v>View</v>
      </c>
      <c r="V427" s="8"/>
      <c r="W427" s="8"/>
      <c r="X427" s="8"/>
      <c r="Y427" s="8"/>
      <c r="Z427" s="8"/>
    </row>
    <row r="428" spans="1:26" ht="12.75">
      <c r="A428" s="11">
        <v>43747.30469907407</v>
      </c>
      <c r="B428" s="12" t="str">
        <f>HYPERLINK("https://twitter.com/onurr_agca","@onurr_agca")</f>
        <v>@onurr_agca</v>
      </c>
      <c r="C428" s="7" t="s">
        <v>3647</v>
      </c>
      <c r="D428" s="7" t="s">
        <v>3648</v>
      </c>
      <c r="E428" s="12" t="str">
        <f>HYPERLINK("https://twitter.com/onurr_agca/status/1181937047830958080","1181937047830958080")</f>
        <v>1181937047830958080</v>
      </c>
      <c r="F428" s="8"/>
      <c r="G428" s="14" t="s">
        <v>3649</v>
      </c>
      <c r="H428" s="8"/>
      <c r="I428" s="15">
        <v>0</v>
      </c>
      <c r="J428" s="15">
        <v>0</v>
      </c>
      <c r="K428" s="12" t="str">
        <f>HYPERLINK("http://twitter.com/download/iphone","Twitter for iPhone")</f>
        <v>Twitter for iPhone</v>
      </c>
      <c r="L428" s="16">
        <v>134</v>
      </c>
      <c r="M428" s="16">
        <v>129</v>
      </c>
      <c r="N428" s="16">
        <v>1</v>
      </c>
      <c r="O428" s="17"/>
      <c r="P428" s="18">
        <v>40801.489317129628</v>
      </c>
      <c r="Q428" s="7" t="s">
        <v>2765</v>
      </c>
      <c r="R428" s="7" t="s">
        <v>3653</v>
      </c>
      <c r="S428" s="7"/>
      <c r="T428" s="8"/>
      <c r="U428" s="19" t="str">
        <f>HYPERLINK("https://pbs.twimg.com/profile_images/1030129997804126208/p4V2S0VD.jpg","View")</f>
        <v>View</v>
      </c>
      <c r="V428" s="8"/>
      <c r="W428" s="8"/>
      <c r="X428" s="8"/>
      <c r="Y428" s="8"/>
      <c r="Z428" s="8"/>
    </row>
    <row r="429" spans="1:26" ht="12.75">
      <c r="A429" s="11">
        <v>43747.30469907407</v>
      </c>
      <c r="B429" s="12" t="str">
        <f>HYPERLINK("https://twitter.com/mustafakynk","@mustafakynk")</f>
        <v>@mustafakynk</v>
      </c>
      <c r="C429" s="7" t="s">
        <v>3656</v>
      </c>
      <c r="D429" s="7" t="s">
        <v>3657</v>
      </c>
      <c r="E429" s="12" t="str">
        <f>HYPERLINK("https://twitter.com/mustafakynk/status/1181937047294169093","1181937047294169093")</f>
        <v>1181937047294169093</v>
      </c>
      <c r="F429" s="8"/>
      <c r="G429" s="15"/>
      <c r="H429" s="8"/>
      <c r="I429" s="15">
        <v>0</v>
      </c>
      <c r="J429" s="15">
        <v>0</v>
      </c>
      <c r="K429" s="12" t="str">
        <f>HYPERLINK("http://twitter.com/download/android","Twitter for Android")</f>
        <v>Twitter for Android</v>
      </c>
      <c r="L429" s="16">
        <v>9006</v>
      </c>
      <c r="M429" s="16">
        <v>9812</v>
      </c>
      <c r="N429" s="16">
        <v>3</v>
      </c>
      <c r="O429" s="17"/>
      <c r="P429" s="18">
        <v>40753.512465277774</v>
      </c>
      <c r="Q429" s="7" t="s">
        <v>69</v>
      </c>
      <c r="R429" s="7" t="s">
        <v>3661</v>
      </c>
      <c r="S429" s="15"/>
      <c r="T429" s="8"/>
      <c r="U429" s="19" t="str">
        <f>HYPERLINK("https://pbs.twimg.com/profile_images/1125491313258979329/-ROrT6Oc.jpg","View")</f>
        <v>View</v>
      </c>
      <c r="V429" s="8"/>
      <c r="W429" s="8"/>
      <c r="X429" s="8"/>
      <c r="Y429" s="8"/>
      <c r="Z429" s="8"/>
    </row>
    <row r="430" spans="1:26" ht="12.75">
      <c r="A430" s="11">
        <v>43747.304641203707</v>
      </c>
      <c r="B430" s="12" t="str">
        <f>HYPERLINK("https://twitter.com/emreu0","@emreu0")</f>
        <v>@emreu0</v>
      </c>
      <c r="C430" s="7" t="s">
        <v>3662</v>
      </c>
      <c r="D430" s="7" t="s">
        <v>3663</v>
      </c>
      <c r="E430" s="12" t="str">
        <f>HYPERLINK("https://twitter.com/emreu0/status/1181937028679815173","1181937028679815173")</f>
        <v>1181937028679815173</v>
      </c>
      <c r="F430" s="15"/>
      <c r="G430" s="14" t="s">
        <v>3664</v>
      </c>
      <c r="H430" s="8"/>
      <c r="I430" s="15">
        <v>0</v>
      </c>
      <c r="J430" s="15">
        <v>7</v>
      </c>
      <c r="K430" s="12" t="str">
        <f>HYPERLINK("http://twitter.com/download/android","Twitter for Android")</f>
        <v>Twitter for Android</v>
      </c>
      <c r="L430" s="16">
        <v>4327</v>
      </c>
      <c r="M430" s="16">
        <v>4758</v>
      </c>
      <c r="N430" s="16">
        <v>0</v>
      </c>
      <c r="O430" s="17"/>
      <c r="P430" s="18">
        <v>41365.602881944447</v>
      </c>
      <c r="Q430" s="7"/>
      <c r="R430" s="7" t="s">
        <v>3668</v>
      </c>
      <c r="S430" s="14" t="s">
        <v>3669</v>
      </c>
      <c r="T430" s="8"/>
      <c r="U430" s="19" t="str">
        <f>HYPERLINK("https://pbs.twimg.com/profile_images/1180882967771717632/eqeOoaeL.jpg","View")</f>
        <v>View</v>
      </c>
      <c r="V430" s="8"/>
      <c r="W430" s="8"/>
      <c r="X430" s="8"/>
      <c r="Y430" s="8"/>
      <c r="Z430" s="8"/>
    </row>
    <row r="431" spans="1:26" ht="12.75">
      <c r="A431" s="11">
        <v>43747.304641203707</v>
      </c>
      <c r="B431" s="12" t="str">
        <f>HYPERLINK("https://twitter.com/Benhurozubek","@Benhurozubek")</f>
        <v>@Benhurozubek</v>
      </c>
      <c r="C431" s="7" t="s">
        <v>3670</v>
      </c>
      <c r="D431" s="7" t="s">
        <v>3671</v>
      </c>
      <c r="E431" s="12" t="str">
        <f>HYPERLINK("https://twitter.com/Benhurozubek/status/1181937026872090625","1181937026872090625")</f>
        <v>1181937026872090625</v>
      </c>
      <c r="F431" s="8"/>
      <c r="G431" s="14" t="s">
        <v>3674</v>
      </c>
      <c r="H431" s="8"/>
      <c r="I431" s="15">
        <v>1</v>
      </c>
      <c r="J431" s="15">
        <v>3</v>
      </c>
      <c r="K431" s="12" t="str">
        <f>HYPERLINK("http://twitter.com/download/android","Twitter for Android")</f>
        <v>Twitter for Android</v>
      </c>
      <c r="L431" s="16">
        <v>350</v>
      </c>
      <c r="M431" s="16">
        <v>131</v>
      </c>
      <c r="N431" s="16">
        <v>0</v>
      </c>
      <c r="O431" s="20"/>
      <c r="P431" s="18">
        <v>41644.349780092591</v>
      </c>
      <c r="Q431" s="7"/>
      <c r="R431" s="7"/>
      <c r="S431" s="15"/>
      <c r="T431" s="8"/>
      <c r="U431" s="19" t="str">
        <f>HYPERLINK("https://pbs.twimg.com/profile_images/1089096834012856320/u7k18Pt_.jpg","View")</f>
        <v>View</v>
      </c>
      <c r="V431" s="8"/>
      <c r="W431" s="8"/>
      <c r="X431" s="8"/>
      <c r="Y431" s="8"/>
      <c r="Z431" s="8"/>
    </row>
    <row r="432" spans="1:26" ht="12.75">
      <c r="A432" s="11">
        <v>43747.304641203707</v>
      </c>
      <c r="B432" s="12" t="str">
        <f>HYPERLINK("https://twitter.com/plaka68","@plaka68")</f>
        <v>@plaka68</v>
      </c>
      <c r="C432" s="7" t="s">
        <v>3677</v>
      </c>
      <c r="D432" s="7" t="s">
        <v>2876</v>
      </c>
      <c r="E432" s="12" t="str">
        <f>HYPERLINK("https://twitter.com/plaka68/status/1181937026205175812","1181937026205175812")</f>
        <v>1181937026205175812</v>
      </c>
      <c r="F432" s="8"/>
      <c r="G432" s="14" t="s">
        <v>3679</v>
      </c>
      <c r="H432" s="8"/>
      <c r="I432" s="15">
        <v>0</v>
      </c>
      <c r="J432" s="15">
        <v>0</v>
      </c>
      <c r="K432" s="12" t="str">
        <f>HYPERLINK("http://twitter.com/download/iphone","Twitter for iPhone")</f>
        <v>Twitter for iPhone</v>
      </c>
      <c r="L432" s="16">
        <v>111</v>
      </c>
      <c r="M432" s="16">
        <v>361</v>
      </c>
      <c r="N432" s="16">
        <v>0</v>
      </c>
      <c r="O432" s="17"/>
      <c r="P432" s="18">
        <v>41129.377893518518</v>
      </c>
      <c r="Q432" s="7"/>
      <c r="R432" s="7"/>
      <c r="S432" s="15"/>
      <c r="T432" s="8"/>
      <c r="U432" s="19" t="str">
        <f>HYPERLINK("https://pbs.twimg.com/profile_images/378800000435325671/21dacc745606425122d558ccf5eeb614.jpeg","View")</f>
        <v>View</v>
      </c>
      <c r="V432" s="8"/>
      <c r="W432" s="8"/>
      <c r="X432" s="8"/>
      <c r="Y432" s="8"/>
      <c r="Z432" s="8"/>
    </row>
    <row r="433" spans="1:26" ht="12.75">
      <c r="A433" s="11">
        <v>43747.304583333331</v>
      </c>
      <c r="B433" s="12" t="str">
        <f>HYPERLINK("https://twitter.com/SAMETSERBEST","@SAMETSERBEST")</f>
        <v>@SAMETSERBEST</v>
      </c>
      <c r="C433" s="7" t="s">
        <v>3687</v>
      </c>
      <c r="D433" s="7" t="s">
        <v>3688</v>
      </c>
      <c r="E433" s="12" t="str">
        <f>HYPERLINK("https://twitter.com/SAMETSERBEST/status/1181937006731038720","1181937006731038720")</f>
        <v>1181937006731038720</v>
      </c>
      <c r="F433" s="14" t="s">
        <v>30</v>
      </c>
      <c r="G433" s="14" t="s">
        <v>61</v>
      </c>
      <c r="H433" s="8"/>
      <c r="I433" s="15">
        <v>1</v>
      </c>
      <c r="J433" s="15">
        <v>2</v>
      </c>
      <c r="K433" s="12" t="str">
        <f>HYPERLINK("https://mobile.twitter.com","Twitter Web App")</f>
        <v>Twitter Web App</v>
      </c>
      <c r="L433" s="16">
        <v>35585</v>
      </c>
      <c r="M433" s="16">
        <v>1017</v>
      </c>
      <c r="N433" s="16">
        <v>34</v>
      </c>
      <c r="O433" s="17" t="s">
        <v>984</v>
      </c>
      <c r="P433" s="18">
        <v>40373.515046296292</v>
      </c>
      <c r="Q433" s="7" t="s">
        <v>200</v>
      </c>
      <c r="R433" s="7" t="s">
        <v>3692</v>
      </c>
      <c r="S433" s="14" t="s">
        <v>3693</v>
      </c>
      <c r="T433" s="8"/>
      <c r="U433" s="19" t="str">
        <f>HYPERLINK("https://pbs.twimg.com/profile_images/983065068479963137/IPNMmRwI.jpg","View")</f>
        <v>View</v>
      </c>
      <c r="V433" s="8"/>
      <c r="W433" s="8"/>
      <c r="X433" s="8"/>
      <c r="Y433" s="8"/>
      <c r="Z433" s="8"/>
    </row>
    <row r="434" spans="1:26" ht="12.75">
      <c r="A434" s="11">
        <v>43747.304548611108</v>
      </c>
      <c r="B434" s="12" t="str">
        <f>HYPERLINK("https://twitter.com/haliloztu","@haliloztu")</f>
        <v>@haliloztu</v>
      </c>
      <c r="C434" s="7" t="s">
        <v>3700</v>
      </c>
      <c r="D434" s="7" t="s">
        <v>3701</v>
      </c>
      <c r="E434" s="12" t="str">
        <f>HYPERLINK("https://twitter.com/haliloztu/status/1181936992961142784","1181936992961142784")</f>
        <v>1181936992961142784</v>
      </c>
      <c r="F434" s="8"/>
      <c r="G434" s="15"/>
      <c r="H434" s="8"/>
      <c r="I434" s="15">
        <v>0</v>
      </c>
      <c r="J434" s="15">
        <v>0</v>
      </c>
      <c r="K434" s="12" t="str">
        <f>HYPERLINK("https://mobile.twitter.com","Twitter Web App")</f>
        <v>Twitter Web App</v>
      </c>
      <c r="L434" s="16">
        <v>55</v>
      </c>
      <c r="M434" s="16">
        <v>120</v>
      </c>
      <c r="N434" s="16">
        <v>0</v>
      </c>
      <c r="O434" s="17"/>
      <c r="P434" s="18">
        <v>41437.832754629628</v>
      </c>
      <c r="Q434" s="7"/>
      <c r="R434" s="7" t="s">
        <v>3705</v>
      </c>
      <c r="S434" s="7"/>
      <c r="T434" s="8"/>
      <c r="U434" s="19" t="str">
        <f>HYPERLINK("https://pbs.twimg.com/profile_images/920695064535461890/uOyboDuU.jpg","View")</f>
        <v>View</v>
      </c>
      <c r="V434" s="8"/>
      <c r="W434" s="8"/>
      <c r="X434" s="8"/>
      <c r="Y434" s="8"/>
      <c r="Z434" s="8"/>
    </row>
    <row r="435" spans="1:26" ht="12.75">
      <c r="A435" s="11">
        <v>43747.304502314815</v>
      </c>
      <c r="B435" s="12" t="str">
        <f>HYPERLINK("https://twitter.com/EnesMhammedd","@EnesMhammedd")</f>
        <v>@EnesMhammedd</v>
      </c>
      <c r="C435" s="7" t="s">
        <v>3712</v>
      </c>
      <c r="D435" s="7" t="s">
        <v>3713</v>
      </c>
      <c r="E435" s="12" t="str">
        <f>HYPERLINK("https://twitter.com/EnesMhammedd/status/1181936978608177158","1181936978608177158")</f>
        <v>1181936978608177158</v>
      </c>
      <c r="F435" s="8"/>
      <c r="G435" s="15"/>
      <c r="H435" s="8"/>
      <c r="I435" s="15">
        <v>0</v>
      </c>
      <c r="J435" s="15">
        <v>2</v>
      </c>
      <c r="K435" s="12" t="str">
        <f>HYPERLINK("http://twitter.com/download/android","Twitter for Android")</f>
        <v>Twitter for Android</v>
      </c>
      <c r="L435" s="16">
        <v>107</v>
      </c>
      <c r="M435" s="16">
        <v>116</v>
      </c>
      <c r="N435" s="16">
        <v>0</v>
      </c>
      <c r="O435" s="17"/>
      <c r="P435" s="18">
        <v>42655.359537037039</v>
      </c>
      <c r="Q435" s="7" t="s">
        <v>1150</v>
      </c>
      <c r="R435" s="7" t="s">
        <v>3714</v>
      </c>
      <c r="S435" s="14" t="s">
        <v>3715</v>
      </c>
      <c r="T435" s="8"/>
      <c r="U435" s="19" t="str">
        <f>HYPERLINK("https://pbs.twimg.com/profile_images/1172564259819184131/EjxEYeeo.jpg","View")</f>
        <v>View</v>
      </c>
      <c r="V435" s="8"/>
      <c r="W435" s="8"/>
      <c r="X435" s="8"/>
      <c r="Y435" s="8"/>
      <c r="Z435" s="8"/>
    </row>
    <row r="436" spans="1:26" ht="12.75">
      <c r="A436" s="11">
        <v>43747.304479166662</v>
      </c>
      <c r="B436" s="12" t="str">
        <f>HYPERLINK("https://twitter.com/asliikocaa","@asliikocaa")</f>
        <v>@asliikocaa</v>
      </c>
      <c r="C436" s="7" t="s">
        <v>3721</v>
      </c>
      <c r="D436" s="7" t="s">
        <v>3722</v>
      </c>
      <c r="E436" s="12" t="str">
        <f>HYPERLINK("https://twitter.com/asliikocaa/status/1181936971205287937","1181936971205287937")</f>
        <v>1181936971205287937</v>
      </c>
      <c r="F436" s="8"/>
      <c r="G436" s="7"/>
      <c r="H436" s="8"/>
      <c r="I436" s="15">
        <v>0</v>
      </c>
      <c r="J436" s="15">
        <v>0</v>
      </c>
      <c r="K436" s="12" t="str">
        <f>HYPERLINK("http://twitter.com/download/iphone","Twitter for iPhone")</f>
        <v>Twitter for iPhone</v>
      </c>
      <c r="L436" s="16">
        <v>381</v>
      </c>
      <c r="M436" s="16">
        <v>73</v>
      </c>
      <c r="N436" s="16">
        <v>1</v>
      </c>
      <c r="O436" s="17"/>
      <c r="P436" s="18">
        <v>41540.299004629633</v>
      </c>
      <c r="Q436" s="7"/>
      <c r="R436" s="7" t="s">
        <v>3724</v>
      </c>
      <c r="S436" s="7"/>
      <c r="T436" s="8"/>
      <c r="U436" s="19" t="str">
        <f>HYPERLINK("https://pbs.twimg.com/profile_images/1127669974359789569/7HQXhisx.jpg","View")</f>
        <v>View</v>
      </c>
      <c r="V436" s="8"/>
      <c r="W436" s="8"/>
      <c r="X436" s="8"/>
      <c r="Y436" s="8"/>
      <c r="Z436" s="8"/>
    </row>
    <row r="437" spans="1:26" ht="12.75">
      <c r="A437" s="11">
        <v>43747.304456018523</v>
      </c>
      <c r="B437" s="12" t="str">
        <f>HYPERLINK("https://twitter.com/kosogluarif","@kosogluarif")</f>
        <v>@kosogluarif</v>
      </c>
      <c r="C437" s="7" t="s">
        <v>3728</v>
      </c>
      <c r="D437" s="7" t="s">
        <v>3729</v>
      </c>
      <c r="E437" s="12" t="str">
        <f>HYPERLINK("https://twitter.com/kosogluarif/status/1181936961679962113","1181936961679962113")</f>
        <v>1181936961679962113</v>
      </c>
      <c r="F437" s="8"/>
      <c r="G437" s="15"/>
      <c r="H437" s="8"/>
      <c r="I437" s="15">
        <v>0</v>
      </c>
      <c r="J437" s="15">
        <v>0</v>
      </c>
      <c r="K437" s="12" t="str">
        <f>HYPERLINK("http://twitter.com/download/android","Twitter for Android")</f>
        <v>Twitter for Android</v>
      </c>
      <c r="L437" s="16">
        <v>47</v>
      </c>
      <c r="M437" s="16">
        <v>217</v>
      </c>
      <c r="N437" s="16">
        <v>0</v>
      </c>
      <c r="O437" s="17"/>
      <c r="P437" s="18">
        <v>42050.033194444448</v>
      </c>
      <c r="Q437" s="7"/>
      <c r="R437" s="7"/>
      <c r="S437" s="15"/>
      <c r="T437" s="8"/>
      <c r="U437" s="19" t="str">
        <f>HYPERLINK("https://pbs.twimg.com/profile_images/1177721024240128000/2smWy93d.jpg","View")</f>
        <v>View</v>
      </c>
      <c r="V437" s="8"/>
      <c r="W437" s="8"/>
      <c r="X437" s="8"/>
      <c r="Y437" s="8"/>
      <c r="Z437" s="8"/>
    </row>
    <row r="438" spans="1:26" ht="12.75">
      <c r="A438" s="11">
        <v>43747.304456018523</v>
      </c>
      <c r="B438" s="12" t="str">
        <f>HYPERLINK("https://twitter.com/esadclk9","@esadclk9")</f>
        <v>@esadclk9</v>
      </c>
      <c r="C438" s="7" t="s">
        <v>3733</v>
      </c>
      <c r="D438" s="7" t="s">
        <v>3734</v>
      </c>
      <c r="E438" s="12" t="str">
        <f>HYPERLINK("https://twitter.com/esadclk9/status/1181936960962777093","1181936960962777093")</f>
        <v>1181936960962777093</v>
      </c>
      <c r="F438" s="8"/>
      <c r="G438" s="7"/>
      <c r="H438" s="8"/>
      <c r="I438" s="15">
        <v>0</v>
      </c>
      <c r="J438" s="15">
        <v>0</v>
      </c>
      <c r="K438" s="12" t="str">
        <f>HYPERLINK("http://twitter.com/download/android","Twitter for Android")</f>
        <v>Twitter for Android</v>
      </c>
      <c r="L438" s="16">
        <v>19</v>
      </c>
      <c r="M438" s="16">
        <v>51</v>
      </c>
      <c r="N438" s="16">
        <v>0</v>
      </c>
      <c r="O438" s="17"/>
      <c r="P438" s="18">
        <v>42930.327314814815</v>
      </c>
      <c r="Q438" s="7"/>
      <c r="R438" s="7" t="s">
        <v>3738</v>
      </c>
      <c r="S438" s="7"/>
      <c r="T438" s="8"/>
      <c r="U438" s="19" t="str">
        <f>HYPERLINK("https://pbs.twimg.com/profile_images/1168970923162181632/Sp_iHuH_.jpg","View")</f>
        <v>View</v>
      </c>
      <c r="V438" s="8"/>
      <c r="W438" s="8"/>
      <c r="X438" s="8"/>
      <c r="Y438" s="8"/>
      <c r="Z438" s="8"/>
    </row>
    <row r="439" spans="1:26" ht="12.75">
      <c r="A439" s="11">
        <v>43747.304432870369</v>
      </c>
      <c r="B439" s="12" t="str">
        <f>HYPERLINK("https://twitter.com/gencarslanjpg","@gencarslanjpg")</f>
        <v>@gencarslanjpg</v>
      </c>
      <c r="C439" s="7" t="s">
        <v>3741</v>
      </c>
      <c r="D439" s="7" t="s">
        <v>3743</v>
      </c>
      <c r="E439" s="12" t="str">
        <f>HYPERLINK("https://twitter.com/gencarslanjpg/status/1181936952024674304","1181936952024674304")</f>
        <v>1181936952024674304</v>
      </c>
      <c r="F439" s="8"/>
      <c r="G439" s="7"/>
      <c r="H439" s="8"/>
      <c r="I439" s="15">
        <v>0</v>
      </c>
      <c r="J439" s="15">
        <v>0</v>
      </c>
      <c r="K439" s="12" t="str">
        <f>HYPERLINK("http://twitter.com/download/iphone","Twitter for iPhone")</f>
        <v>Twitter for iPhone</v>
      </c>
      <c r="L439" s="16">
        <v>15</v>
      </c>
      <c r="M439" s="16">
        <v>6</v>
      </c>
      <c r="N439" s="16">
        <v>0</v>
      </c>
      <c r="O439" s="17"/>
      <c r="P439" s="18">
        <v>43517.457997685182</v>
      </c>
      <c r="Q439" s="7"/>
      <c r="R439" s="7" t="s">
        <v>3744</v>
      </c>
      <c r="S439" s="7"/>
      <c r="T439" s="8"/>
      <c r="U439" s="19" t="str">
        <f>HYPERLINK("https://pbs.twimg.com/profile_images/1139993511619682310/8teyeB57.jpg","View")</f>
        <v>View</v>
      </c>
      <c r="V439" s="8"/>
      <c r="W439" s="8"/>
      <c r="X439" s="8"/>
      <c r="Y439" s="8"/>
      <c r="Z439" s="8"/>
    </row>
    <row r="440" spans="1:26" ht="12.75">
      <c r="A440" s="11">
        <v>43747.304432870369</v>
      </c>
      <c r="B440" s="12" t="str">
        <f>HYPERLINK("https://twitter.com/recon_officer","@recon_officer")</f>
        <v>@recon_officer</v>
      </c>
      <c r="C440" s="7" t="s">
        <v>3748</v>
      </c>
      <c r="D440" s="7" t="s">
        <v>3749</v>
      </c>
      <c r="E440" s="12" t="str">
        <f>HYPERLINK("https://twitter.com/recon_officer/status/1181936951051608066","1181936951051608066")</f>
        <v>1181936951051608066</v>
      </c>
      <c r="F440" s="14" t="s">
        <v>3750</v>
      </c>
      <c r="G440" s="7"/>
      <c r="H440" s="8"/>
      <c r="I440" s="15">
        <v>0</v>
      </c>
      <c r="J440" s="15">
        <v>1</v>
      </c>
      <c r="K440" s="12" t="str">
        <f>HYPERLINK("http://twitter.com/download/android","Twitter for Android")</f>
        <v>Twitter for Android</v>
      </c>
      <c r="L440" s="16">
        <v>2229</v>
      </c>
      <c r="M440" s="16">
        <v>1069</v>
      </c>
      <c r="N440" s="16">
        <v>67</v>
      </c>
      <c r="O440" s="17"/>
      <c r="P440" s="18">
        <v>41840.368576388893</v>
      </c>
      <c r="Q440" s="7" t="s">
        <v>3754</v>
      </c>
      <c r="R440" s="7" t="s">
        <v>3755</v>
      </c>
      <c r="S440" s="7"/>
      <c r="T440" s="8"/>
      <c r="U440" s="19" t="str">
        <f>HYPERLINK("https://pbs.twimg.com/profile_images/1109852618711597056/oVWBejGc.jpg","View")</f>
        <v>View</v>
      </c>
      <c r="V440" s="8"/>
      <c r="W440" s="8"/>
      <c r="X440" s="8"/>
      <c r="Y440" s="8"/>
      <c r="Z440" s="8"/>
    </row>
    <row r="441" spans="1:26" ht="12.75">
      <c r="A441" s="11">
        <v>43747.3044212963</v>
      </c>
      <c r="B441" s="12" t="str">
        <f>HYPERLINK("https://twitter.com/zeynepgungortr","@zeynepgungortr")</f>
        <v>@zeynepgungortr</v>
      </c>
      <c r="C441" s="7" t="s">
        <v>3758</v>
      </c>
      <c r="D441" s="7" t="s">
        <v>3759</v>
      </c>
      <c r="E441" s="12" t="str">
        <f>HYPERLINK("https://twitter.com/zeynepgungortr/status/1181936950456004608","1181936950456004608")</f>
        <v>1181936950456004608</v>
      </c>
      <c r="F441" s="8"/>
      <c r="G441" s="14" t="s">
        <v>3760</v>
      </c>
      <c r="H441" s="8"/>
      <c r="I441" s="15">
        <v>4</v>
      </c>
      <c r="J441" s="15">
        <v>13</v>
      </c>
      <c r="K441" s="12" t="str">
        <f>HYPERLINK("http://twitter.com/download/android","Twitter for Android")</f>
        <v>Twitter for Android</v>
      </c>
      <c r="L441" s="16">
        <v>2894</v>
      </c>
      <c r="M441" s="16">
        <v>2543</v>
      </c>
      <c r="N441" s="16">
        <v>1</v>
      </c>
      <c r="O441" s="17"/>
      <c r="P441" s="18">
        <v>40768.396296296298</v>
      </c>
      <c r="Q441" s="7" t="s">
        <v>3764</v>
      </c>
      <c r="R441" s="7" t="s">
        <v>3766</v>
      </c>
      <c r="S441" s="14" t="s">
        <v>3767</v>
      </c>
      <c r="T441" s="8"/>
      <c r="U441" s="19" t="str">
        <f>HYPERLINK("https://pbs.twimg.com/profile_images/1180884062778613761/8B8g1Xnj.jpg","View")</f>
        <v>View</v>
      </c>
      <c r="V441" s="8"/>
      <c r="W441" s="8"/>
      <c r="X441" s="8"/>
      <c r="Y441" s="8"/>
      <c r="Z441" s="8"/>
    </row>
    <row r="442" spans="1:26" ht="12.75">
      <c r="A442" s="11">
        <v>43747.304409722223</v>
      </c>
      <c r="B442" s="12" t="str">
        <f>HYPERLINK("https://twitter.com/ZgrCetinkaya","@ZgrCetinkaya")</f>
        <v>@ZgrCetinkaya</v>
      </c>
      <c r="C442" s="7" t="s">
        <v>3768</v>
      </c>
      <c r="D442" s="7" t="s">
        <v>3769</v>
      </c>
      <c r="E442" s="12" t="str">
        <f>HYPERLINK("https://twitter.com/ZgrCetinkaya/status/1181936944474972167","1181936944474972167")</f>
        <v>1181936944474972167</v>
      </c>
      <c r="F442" s="8"/>
      <c r="G442" s="14" t="s">
        <v>3772</v>
      </c>
      <c r="H442" s="8"/>
      <c r="I442" s="15">
        <v>0</v>
      </c>
      <c r="J442" s="15">
        <v>0</v>
      </c>
      <c r="K442" s="12" t="str">
        <f>HYPERLINK("http://twitter.com/download/android","Twitter for Android")</f>
        <v>Twitter for Android</v>
      </c>
      <c r="L442" s="16">
        <v>16</v>
      </c>
      <c r="M442" s="16">
        <v>82</v>
      </c>
      <c r="N442" s="16">
        <v>0</v>
      </c>
      <c r="O442" s="17"/>
      <c r="P442" s="18">
        <v>40964.192928240736</v>
      </c>
      <c r="Q442" s="7"/>
      <c r="R442" s="7" t="s">
        <v>3774</v>
      </c>
      <c r="S442" s="7"/>
      <c r="T442" s="8"/>
      <c r="U442" s="19" t="str">
        <f>HYPERLINK("https://pbs.twimg.com/profile_images/1077310270014439425/mI9Z5Owk.jpg","View")</f>
        <v>View</v>
      </c>
      <c r="V442" s="8"/>
      <c r="W442" s="8"/>
      <c r="X442" s="8"/>
      <c r="Y442" s="8"/>
      <c r="Z442" s="8"/>
    </row>
    <row r="443" spans="1:26" ht="12.75">
      <c r="A443" s="11">
        <v>43747.304363425923</v>
      </c>
      <c r="B443" s="12" t="str">
        <f>HYPERLINK("https://twitter.com/EfkanYILMAZ61","@EfkanYILMAZ61")</f>
        <v>@EfkanYILMAZ61</v>
      </c>
      <c r="C443" s="7" t="s">
        <v>3778</v>
      </c>
      <c r="D443" s="7" t="s">
        <v>3779</v>
      </c>
      <c r="E443" s="12" t="str">
        <f>HYPERLINK("https://twitter.com/EfkanYILMAZ61/status/1181936926837952514","1181936926837952514")</f>
        <v>1181936926837952514</v>
      </c>
      <c r="F443" s="8"/>
      <c r="G443" s="14" t="s">
        <v>3780</v>
      </c>
      <c r="H443" s="8"/>
      <c r="I443" s="15">
        <v>0</v>
      </c>
      <c r="J443" s="15">
        <v>0</v>
      </c>
      <c r="K443" s="12" t="str">
        <f>HYPERLINK("http://twitter.com/download/android","Twitter for Android")</f>
        <v>Twitter for Android</v>
      </c>
      <c r="L443" s="16">
        <v>29</v>
      </c>
      <c r="M443" s="16">
        <v>89</v>
      </c>
      <c r="N443" s="16">
        <v>0</v>
      </c>
      <c r="O443" s="17"/>
      <c r="P443" s="18">
        <v>43691.433819444443</v>
      </c>
      <c r="Q443" s="7" t="s">
        <v>3784</v>
      </c>
      <c r="R443" s="7" t="s">
        <v>3785</v>
      </c>
      <c r="S443" s="7"/>
      <c r="T443" s="8"/>
      <c r="U443" s="19" t="str">
        <f>HYPERLINK("https://pbs.twimg.com/profile_images/1161713916831047682/FC2tABmT.jpg","View")</f>
        <v>View</v>
      </c>
      <c r="V443" s="8"/>
      <c r="W443" s="8"/>
      <c r="X443" s="8"/>
      <c r="Y443" s="8"/>
      <c r="Z443" s="8"/>
    </row>
    <row r="444" spans="1:26" ht="12.75">
      <c r="A444" s="11">
        <v>43747.3043287037</v>
      </c>
      <c r="B444" s="12" t="str">
        <f>HYPERLINK("https://twitter.com/iamorhanoguz","@iamorhanoguz")</f>
        <v>@iamorhanoguz</v>
      </c>
      <c r="C444" s="7" t="s">
        <v>3787</v>
      </c>
      <c r="D444" s="7" t="s">
        <v>3788</v>
      </c>
      <c r="E444" s="12" t="str">
        <f>HYPERLINK("https://twitter.com/iamorhanoguz/status/1181936913986592768","1181936913986592768")</f>
        <v>1181936913986592768</v>
      </c>
      <c r="F444" s="8"/>
      <c r="G444" s="14" t="s">
        <v>3789</v>
      </c>
      <c r="H444" s="8"/>
      <c r="I444" s="15">
        <v>0</v>
      </c>
      <c r="J444" s="15">
        <v>0</v>
      </c>
      <c r="K444" s="12" t="str">
        <f>HYPERLINK("http://twitter.com/download/iphone","Twitter for iPhone")</f>
        <v>Twitter for iPhone</v>
      </c>
      <c r="L444" s="16">
        <v>137</v>
      </c>
      <c r="M444" s="16">
        <v>102</v>
      </c>
      <c r="N444" s="16">
        <v>1</v>
      </c>
      <c r="O444" s="17"/>
      <c r="P444" s="18">
        <v>40617.055937500001</v>
      </c>
      <c r="Q444" s="7"/>
      <c r="R444" s="7"/>
      <c r="S444" s="15"/>
      <c r="T444" s="8"/>
      <c r="U444" s="19" t="str">
        <f>HYPERLINK("https://pbs.twimg.com/profile_images/1152132306888462336/LF1g2y_O.jpg","View")</f>
        <v>View</v>
      </c>
      <c r="V444" s="8"/>
      <c r="W444" s="8"/>
      <c r="X444" s="8"/>
      <c r="Y444" s="8"/>
      <c r="Z444" s="8"/>
    </row>
    <row r="445" spans="1:26" ht="12.75">
      <c r="A445" s="11">
        <v>43747.3043287037</v>
      </c>
      <c r="B445" s="12" t="str">
        <f>HYPERLINK("https://twitter.com/mailruurliam","@mailruurliam")</f>
        <v>@mailruurliam</v>
      </c>
      <c r="C445" s="7" t="s">
        <v>3795</v>
      </c>
      <c r="D445" s="7" t="s">
        <v>3796</v>
      </c>
      <c r="E445" s="12" t="str">
        <f>HYPERLINK("https://twitter.com/mailruurliam/status/1181936913781010432","1181936913781010432")</f>
        <v>1181936913781010432</v>
      </c>
      <c r="F445" s="8"/>
      <c r="G445" s="7"/>
      <c r="H445" s="8"/>
      <c r="I445" s="15">
        <v>0</v>
      </c>
      <c r="J445" s="15">
        <v>0</v>
      </c>
      <c r="K445" s="12" t="str">
        <f>HYPERLINK("http://twitter.com/download/android","Twitter for Android")</f>
        <v>Twitter for Android</v>
      </c>
      <c r="L445" s="16">
        <v>10</v>
      </c>
      <c r="M445" s="16">
        <v>180</v>
      </c>
      <c r="N445" s="16">
        <v>0</v>
      </c>
      <c r="O445" s="17"/>
      <c r="P445" s="18">
        <v>43069.44253472222</v>
      </c>
      <c r="Q445" s="7"/>
      <c r="R445" s="7" t="s">
        <v>200</v>
      </c>
      <c r="S445" s="7"/>
      <c r="T445" s="8"/>
      <c r="U445" s="19" t="str">
        <f>HYPERLINK("https://pbs.twimg.com/profile_images/938343433000890369/6zfdmN_f.jpg","View")</f>
        <v>View</v>
      </c>
      <c r="V445" s="8"/>
      <c r="W445" s="8"/>
      <c r="X445" s="8"/>
      <c r="Y445" s="8"/>
      <c r="Z445" s="8"/>
    </row>
    <row r="446" spans="1:26" ht="12.75">
      <c r="A446" s="11">
        <v>43747.30431712963</v>
      </c>
      <c r="B446" s="12" t="str">
        <f>HYPERLINK("https://twitter.com/ismettarda","@ismettarda")</f>
        <v>@ismettarda</v>
      </c>
      <c r="C446" s="7" t="s">
        <v>3800</v>
      </c>
      <c r="D446" s="7" t="s">
        <v>3801</v>
      </c>
      <c r="E446" s="12" t="str">
        <f>HYPERLINK("https://twitter.com/ismettarda/status/1181936910467522564","1181936910467522564")</f>
        <v>1181936910467522564</v>
      </c>
      <c r="F446" s="8"/>
      <c r="G446" s="14" t="s">
        <v>3802</v>
      </c>
      <c r="H446" s="8"/>
      <c r="I446" s="15">
        <v>0</v>
      </c>
      <c r="J446" s="15">
        <v>2</v>
      </c>
      <c r="K446" s="12" t="str">
        <f>HYPERLINK("http://twitter.com/download/android","Twitter for Android")</f>
        <v>Twitter for Android</v>
      </c>
      <c r="L446" s="16">
        <v>267</v>
      </c>
      <c r="M446" s="16">
        <v>286</v>
      </c>
      <c r="N446" s="16">
        <v>0</v>
      </c>
      <c r="O446" s="17"/>
      <c r="P446" s="18">
        <v>43656.337777777779</v>
      </c>
      <c r="Q446" s="7" t="s">
        <v>313</v>
      </c>
      <c r="R446" s="7" t="s">
        <v>3806</v>
      </c>
      <c r="S446" s="7"/>
      <c r="T446" s="8"/>
      <c r="U446" s="19" t="str">
        <f>HYPERLINK("https://pbs.twimg.com/profile_images/1161772867773763585/39BledJc.jpg","View")</f>
        <v>View</v>
      </c>
      <c r="V446" s="8"/>
      <c r="W446" s="8"/>
      <c r="X446" s="8"/>
      <c r="Y446" s="8"/>
      <c r="Z446" s="8"/>
    </row>
    <row r="447" spans="1:26" ht="12.75">
      <c r="A447" s="11">
        <v>43747.304212962961</v>
      </c>
      <c r="B447" s="12" t="str">
        <f>HYPERLINK("https://twitter.com/UBKurt","@UBKurt")</f>
        <v>@UBKurt</v>
      </c>
      <c r="C447" s="7" t="s">
        <v>3807</v>
      </c>
      <c r="D447" s="7" t="s">
        <v>3808</v>
      </c>
      <c r="E447" s="12" t="str">
        <f>HYPERLINK("https://twitter.com/UBKurt/status/1181936874241318919","1181936874241318919")</f>
        <v>1181936874241318919</v>
      </c>
      <c r="F447" s="8"/>
      <c r="G447" s="14" t="s">
        <v>3809</v>
      </c>
      <c r="H447" s="8"/>
      <c r="I447" s="15">
        <v>0</v>
      </c>
      <c r="J447" s="15">
        <v>3</v>
      </c>
      <c r="K447" s="12" t="str">
        <f>HYPERLINK("http://twitter.com/download/iphone","Twitter for iPhone")</f>
        <v>Twitter for iPhone</v>
      </c>
      <c r="L447" s="16">
        <v>7260</v>
      </c>
      <c r="M447" s="16">
        <v>13</v>
      </c>
      <c r="N447" s="16">
        <v>14</v>
      </c>
      <c r="O447" s="17"/>
      <c r="P447" s="18">
        <v>42261.614247685182</v>
      </c>
      <c r="Q447" s="7" t="s">
        <v>3814</v>
      </c>
      <c r="R447" s="7" t="s">
        <v>3815</v>
      </c>
      <c r="S447" s="14" t="s">
        <v>3816</v>
      </c>
      <c r="T447" s="8"/>
      <c r="U447" s="19" t="str">
        <f>HYPERLINK("https://pbs.twimg.com/profile_images/875395230236913664/_ePB8-PQ.jpg","View")</f>
        <v>View</v>
      </c>
      <c r="V447" s="8"/>
      <c r="W447" s="8"/>
      <c r="X447" s="8"/>
      <c r="Y447" s="8"/>
      <c r="Z447" s="8"/>
    </row>
    <row r="448" spans="1:26" ht="12.75">
      <c r="A448" s="11">
        <v>43747.304201388892</v>
      </c>
      <c r="B448" s="12" t="str">
        <f>HYPERLINK("https://twitter.com/DakikaHABER1","@DakikaHABER1")</f>
        <v>@DakikaHABER1</v>
      </c>
      <c r="C448" s="7" t="s">
        <v>3820</v>
      </c>
      <c r="D448" s="7" t="s">
        <v>3821</v>
      </c>
      <c r="E448" s="12" t="str">
        <f>HYPERLINK("https://twitter.com/DakikaHABER1/status/1181936870277763072","1181936870277763072")</f>
        <v>1181936870277763072</v>
      </c>
      <c r="F448" s="8"/>
      <c r="G448" s="15"/>
      <c r="H448" s="8"/>
      <c r="I448" s="15">
        <v>0</v>
      </c>
      <c r="J448" s="15">
        <v>0</v>
      </c>
      <c r="K448" s="12" t="str">
        <f>HYPERLINK("http://twitter.com/download/android","Twitter for Android")</f>
        <v>Twitter for Android</v>
      </c>
      <c r="L448" s="16">
        <v>0</v>
      </c>
      <c r="M448" s="16">
        <v>0</v>
      </c>
      <c r="N448" s="16">
        <v>0</v>
      </c>
      <c r="O448" s="17"/>
      <c r="P448" s="18">
        <v>43746.505995370375</v>
      </c>
      <c r="Q448" s="7"/>
      <c r="R448" s="7" t="s">
        <v>3822</v>
      </c>
      <c r="S448" s="7"/>
      <c r="T448" s="8"/>
      <c r="U448" s="19" t="str">
        <f>HYPERLINK("https://pbs.twimg.com/profile_images/1181651041915408390/__f8Fw0j.jpg","View")</f>
        <v>View</v>
      </c>
      <c r="V448" s="8"/>
      <c r="W448" s="8"/>
      <c r="X448" s="8"/>
      <c r="Y448" s="8"/>
      <c r="Z448" s="8"/>
    </row>
    <row r="449" spans="1:26" ht="12.75">
      <c r="A449" s="11">
        <v>43747.304201388892</v>
      </c>
      <c r="B449" s="12" t="str">
        <f>HYPERLINK("https://twitter.com/metin_nurlu","@metin_nurlu")</f>
        <v>@metin_nurlu</v>
      </c>
      <c r="C449" s="7" t="s">
        <v>3826</v>
      </c>
      <c r="D449" s="7" t="s">
        <v>3827</v>
      </c>
      <c r="E449" s="12" t="str">
        <f>HYPERLINK("https://twitter.com/metin_nurlu/status/1181936868616740865","1181936868616740865")</f>
        <v>1181936868616740865</v>
      </c>
      <c r="F449" s="8"/>
      <c r="G449" s="14" t="s">
        <v>3828</v>
      </c>
      <c r="H449" s="8"/>
      <c r="I449" s="15">
        <v>0</v>
      </c>
      <c r="J449" s="15">
        <v>0</v>
      </c>
      <c r="K449" s="12" t="str">
        <f>HYPERLINK("http://twitter.com/download/iphone","Twitter for iPhone")</f>
        <v>Twitter for iPhone</v>
      </c>
      <c r="L449" s="16">
        <v>5091</v>
      </c>
      <c r="M449" s="16">
        <v>81</v>
      </c>
      <c r="N449" s="16">
        <v>3</v>
      </c>
      <c r="O449" s="17"/>
      <c r="P449" s="18">
        <v>40909.0705787037</v>
      </c>
      <c r="Q449" s="7"/>
      <c r="R449" s="7"/>
      <c r="S449" s="7"/>
      <c r="T449" s="8"/>
      <c r="U449" s="19" t="str">
        <f>HYPERLINK("https://pbs.twimg.com/profile_images/1124644332315787264/0jsbd_bB.jpg","View")</f>
        <v>View</v>
      </c>
      <c r="V449" s="8"/>
      <c r="W449" s="8"/>
      <c r="X449" s="8"/>
      <c r="Y449" s="8"/>
      <c r="Z449" s="8"/>
    </row>
    <row r="450" spans="1:26" ht="12.75">
      <c r="A450" s="11">
        <v>43747.304201388892</v>
      </c>
      <c r="B450" s="12" t="str">
        <f>HYPERLINK("https://twitter.com/_64933_","@_64933_")</f>
        <v>@_64933_</v>
      </c>
      <c r="C450" s="7">
        <v>64933</v>
      </c>
      <c r="D450" s="7" t="s">
        <v>3831</v>
      </c>
      <c r="E450" s="12" t="str">
        <f>HYPERLINK("https://twitter.com/_64933_/status/1181936867715010560","1181936867715010560")</f>
        <v>1181936867715010560</v>
      </c>
      <c r="F450" s="8"/>
      <c r="G450" s="14" t="s">
        <v>3833</v>
      </c>
      <c r="H450" s="8"/>
      <c r="I450" s="15">
        <v>0</v>
      </c>
      <c r="J450" s="15">
        <v>4</v>
      </c>
      <c r="K450" s="12" t="str">
        <f>HYPERLINK("http://twitter.com/download/android","Twitter for Android")</f>
        <v>Twitter for Android</v>
      </c>
      <c r="L450" s="16">
        <v>160</v>
      </c>
      <c r="M450" s="16">
        <v>243</v>
      </c>
      <c r="N450" s="16">
        <v>7</v>
      </c>
      <c r="O450" s="17"/>
      <c r="P450" s="18">
        <v>41590.012465277774</v>
      </c>
      <c r="Q450" s="7" t="s">
        <v>3836</v>
      </c>
      <c r="R450" s="7" t="s">
        <v>3837</v>
      </c>
      <c r="S450" s="7"/>
      <c r="T450" s="8"/>
      <c r="U450" s="19" t="str">
        <f>HYPERLINK("https://pbs.twimg.com/profile_images/768239797445988352/eTM7vRxQ.jpg","View")</f>
        <v>View</v>
      </c>
      <c r="V450" s="8"/>
      <c r="W450" s="8"/>
      <c r="X450" s="8"/>
      <c r="Y450" s="8"/>
      <c r="Z450" s="8"/>
    </row>
    <row r="451" spans="1:26" ht="12.75">
      <c r="A451" s="11">
        <v>43747.304143518515</v>
      </c>
      <c r="B451" s="12" t="str">
        <f>HYPERLINK("https://twitter.com/iyyu_ideal","@iyyu_ideal")</f>
        <v>@iyyu_ideal</v>
      </c>
      <c r="C451" s="7" t="s">
        <v>3842</v>
      </c>
      <c r="D451" s="7" t="s">
        <v>3843</v>
      </c>
      <c r="E451" s="12" t="str">
        <f>HYPERLINK("https://twitter.com/iyyu_ideal/status/1181936846063968257","1181936846063968257")</f>
        <v>1181936846063968257</v>
      </c>
      <c r="F451" s="15"/>
      <c r="G451" s="15"/>
      <c r="H451" s="8"/>
      <c r="I451" s="15">
        <v>1</v>
      </c>
      <c r="J451" s="15">
        <v>1</v>
      </c>
      <c r="K451" s="12" t="str">
        <f>HYPERLINK("http://twitter.com/download/iphone","Twitter for iPhone")</f>
        <v>Twitter for iPhone</v>
      </c>
      <c r="L451" s="16">
        <v>34</v>
      </c>
      <c r="M451" s="16">
        <v>12</v>
      </c>
      <c r="N451" s="16">
        <v>0</v>
      </c>
      <c r="O451" s="17"/>
      <c r="P451" s="18">
        <v>43073.521238425921</v>
      </c>
      <c r="Q451" s="7"/>
      <c r="R451" s="7" t="s">
        <v>3846</v>
      </c>
      <c r="S451" s="7"/>
      <c r="T451" s="8"/>
      <c r="U451" s="19" t="str">
        <f>HYPERLINK("https://pbs.twimg.com/profile_images/1180468102544445440/hZQi__XA.jpg","View")</f>
        <v>View</v>
      </c>
      <c r="V451" s="8"/>
      <c r="W451" s="8"/>
      <c r="X451" s="8"/>
      <c r="Y451" s="8"/>
      <c r="Z451" s="8"/>
    </row>
    <row r="452" spans="1:26" ht="12.75">
      <c r="A452" s="11">
        <v>43747.304131944446</v>
      </c>
      <c r="B452" s="12" t="str">
        <f>HYPERLINK("https://twitter.com/sturridgeee","@sturridgeee")</f>
        <v>@sturridgeee</v>
      </c>
      <c r="C452" s="13" t="s">
        <v>3848</v>
      </c>
      <c r="D452" s="7" t="s">
        <v>3849</v>
      </c>
      <c r="E452" s="12" t="str">
        <f>HYPERLINK("https://twitter.com/sturridgeee/status/1181936843824209921","1181936843824209921")</f>
        <v>1181936843824209921</v>
      </c>
      <c r="F452" s="8"/>
      <c r="G452" s="15"/>
      <c r="H452" s="8"/>
      <c r="I452" s="15">
        <v>0</v>
      </c>
      <c r="J452" s="15">
        <v>0</v>
      </c>
      <c r="K452" s="12" t="str">
        <f>HYPERLINK("http://twitter.com/download/android","Twitter for Android")</f>
        <v>Twitter for Android</v>
      </c>
      <c r="L452" s="16">
        <v>1</v>
      </c>
      <c r="M452" s="16">
        <v>15</v>
      </c>
      <c r="N452" s="16">
        <v>0</v>
      </c>
      <c r="O452" s="17"/>
      <c r="P452" s="18">
        <v>43696.584768518514</v>
      </c>
      <c r="Q452" s="7"/>
      <c r="R452" s="7"/>
      <c r="S452" s="15"/>
      <c r="T452" s="8"/>
      <c r="U452" s="19" t="str">
        <f>HYPERLINK("https://pbs.twimg.com/profile_images/1180945062026461188/aCQHZo31.jpg","View")</f>
        <v>View</v>
      </c>
      <c r="V452" s="8"/>
      <c r="W452" s="8"/>
      <c r="X452" s="8"/>
      <c r="Y452" s="8"/>
      <c r="Z452" s="8"/>
    </row>
    <row r="453" spans="1:26" ht="12.75">
      <c r="A453" s="11">
        <v>43747.304108796292</v>
      </c>
      <c r="B453" s="12" t="str">
        <f>HYPERLINK("https://twitter.com/semalandiniz","@semalandiniz")</f>
        <v>@semalandiniz</v>
      </c>
      <c r="C453" s="7" t="s">
        <v>3853</v>
      </c>
      <c r="D453" s="7" t="s">
        <v>3854</v>
      </c>
      <c r="E453" s="12" t="str">
        <f>HYPERLINK("https://twitter.com/semalandiniz/status/1181936836693970945","1181936836693970945")</f>
        <v>1181936836693970945</v>
      </c>
      <c r="F453" s="15"/>
      <c r="G453" s="14" t="s">
        <v>3855</v>
      </c>
      <c r="H453" s="8"/>
      <c r="I453" s="15">
        <v>0</v>
      </c>
      <c r="J453" s="15">
        <v>2</v>
      </c>
      <c r="K453" s="12" t="str">
        <f>HYPERLINK("http://twitter.com/download/android","Twitter for Android")</f>
        <v>Twitter for Android</v>
      </c>
      <c r="L453" s="16">
        <v>151</v>
      </c>
      <c r="M453" s="16">
        <v>327</v>
      </c>
      <c r="N453" s="16">
        <v>0</v>
      </c>
      <c r="O453" s="17"/>
      <c r="P453" s="18">
        <v>43075.570740740739</v>
      </c>
      <c r="Q453" s="7" t="s">
        <v>3859</v>
      </c>
      <c r="R453" s="7" t="s">
        <v>3860</v>
      </c>
      <c r="S453" s="15"/>
      <c r="T453" s="8"/>
      <c r="U453" s="19" t="str">
        <f>HYPERLINK("https://pbs.twimg.com/profile_images/1178309829217198081/ykBAhZ97.jpg","View")</f>
        <v>View</v>
      </c>
      <c r="V453" s="8"/>
      <c r="W453" s="8"/>
      <c r="X453" s="8"/>
      <c r="Y453" s="8"/>
      <c r="Z453" s="8"/>
    </row>
    <row r="454" spans="1:26" ht="12.75">
      <c r="A454" s="11">
        <v>43747.304074074069</v>
      </c>
      <c r="B454" s="12" t="str">
        <f>HYPERLINK("https://twitter.com/Gatmaan","@Gatmaan")</f>
        <v>@Gatmaan</v>
      </c>
      <c r="C454" s="7" t="s">
        <v>3861</v>
      </c>
      <c r="D454" s="7" t="s">
        <v>3862</v>
      </c>
      <c r="E454" s="12" t="str">
        <f>HYPERLINK("https://twitter.com/Gatmaan/status/1181936820629708800","1181936820629708800")</f>
        <v>1181936820629708800</v>
      </c>
      <c r="F454" s="8"/>
      <c r="G454" s="7"/>
      <c r="H454" s="8"/>
      <c r="I454" s="15">
        <v>0</v>
      </c>
      <c r="J454" s="15">
        <v>0</v>
      </c>
      <c r="K454" s="12" t="str">
        <f>HYPERLINK("http://twitter.com/download/android","Twitter for Android")</f>
        <v>Twitter for Android</v>
      </c>
      <c r="L454" s="16">
        <v>67</v>
      </c>
      <c r="M454" s="16">
        <v>112</v>
      </c>
      <c r="N454" s="16">
        <v>3</v>
      </c>
      <c r="O454" s="17"/>
      <c r="P454" s="18">
        <v>41835.345914351856</v>
      </c>
      <c r="Q454" s="7" t="s">
        <v>3866</v>
      </c>
      <c r="R454" s="7" t="s">
        <v>3867</v>
      </c>
      <c r="S454" s="7"/>
      <c r="T454" s="8"/>
      <c r="U454" s="19" t="str">
        <f>HYPERLINK("https://pbs.twimg.com/profile_images/972235429939437569/GuEcy_7f.jpg","View")</f>
        <v>View</v>
      </c>
      <c r="V454" s="8"/>
      <c r="W454" s="8"/>
      <c r="X454" s="8"/>
      <c r="Y454" s="8"/>
      <c r="Z454" s="8"/>
    </row>
    <row r="455" spans="1:26" ht="12.75">
      <c r="A455" s="11">
        <v>43747.304062499999</v>
      </c>
      <c r="B455" s="12" t="str">
        <f>HYPERLINK("https://twitter.com/StefHermens","@StefHermens")</f>
        <v>@StefHermens</v>
      </c>
      <c r="C455" s="7" t="s">
        <v>3868</v>
      </c>
      <c r="D455" s="7" t="s">
        <v>3869</v>
      </c>
      <c r="E455" s="12" t="str">
        <f>HYPERLINK("https://twitter.com/StefHermens/status/1181936819190919169","1181936819190919169")</f>
        <v>1181936819190919169</v>
      </c>
      <c r="F455" s="8" t="s">
        <v>3870</v>
      </c>
      <c r="G455" s="15"/>
      <c r="H455" s="8"/>
      <c r="I455" s="15">
        <v>0</v>
      </c>
      <c r="J455" s="15">
        <v>0</v>
      </c>
      <c r="K455" s="12" t="str">
        <f>HYPERLINK("https://mobile.twitter.com","Twitter Web App")</f>
        <v>Twitter Web App</v>
      </c>
      <c r="L455" s="16">
        <v>190</v>
      </c>
      <c r="M455" s="16">
        <v>470</v>
      </c>
      <c r="N455" s="16">
        <v>1</v>
      </c>
      <c r="O455" s="17"/>
      <c r="P455" s="18">
        <v>43401.174097222218</v>
      </c>
      <c r="Q455" s="7"/>
      <c r="R455" s="7"/>
      <c r="S455" s="7"/>
      <c r="T455" s="8"/>
      <c r="U455" s="19" t="str">
        <f>HYPERLINK("https://pbs.twimg.com/profile_images/1155629823466848256/VuC8m55D.jpg","View")</f>
        <v>View</v>
      </c>
      <c r="V455" s="8"/>
      <c r="W455" s="8"/>
      <c r="X455" s="8"/>
      <c r="Y455" s="8"/>
      <c r="Z455" s="8"/>
    </row>
    <row r="456" spans="1:26" ht="12.75">
      <c r="A456" s="11">
        <v>43747.304027777776</v>
      </c>
      <c r="B456" s="12" t="str">
        <f>HYPERLINK("https://twitter.com/frtdmr77","@frtdmr77")</f>
        <v>@frtdmr77</v>
      </c>
      <c r="C456" s="7" t="s">
        <v>3874</v>
      </c>
      <c r="D456" s="7" t="s">
        <v>3875</v>
      </c>
      <c r="E456" s="12" t="str">
        <f>HYPERLINK("https://twitter.com/frtdmr77/status/1181936807321182216","1181936807321182216")</f>
        <v>1181936807321182216</v>
      </c>
      <c r="F456" s="15"/>
      <c r="G456" s="7"/>
      <c r="H456" s="8"/>
      <c r="I456" s="15">
        <v>0</v>
      </c>
      <c r="J456" s="15">
        <v>0</v>
      </c>
      <c r="K456" s="12" t="str">
        <f>HYPERLINK("http://twitter.com/download/iphone","Twitter for iPhone")</f>
        <v>Twitter for iPhone</v>
      </c>
      <c r="L456" s="16">
        <v>406</v>
      </c>
      <c r="M456" s="16">
        <v>68</v>
      </c>
      <c r="N456" s="16">
        <v>0</v>
      </c>
      <c r="O456" s="17"/>
      <c r="P456" s="18">
        <v>42873.964062500003</v>
      </c>
      <c r="Q456" s="7" t="s">
        <v>200</v>
      </c>
      <c r="R456" s="7" t="s">
        <v>3879</v>
      </c>
      <c r="S456" s="14" t="s">
        <v>3880</v>
      </c>
      <c r="T456" s="8"/>
      <c r="U456" s="19" t="str">
        <f>HYPERLINK("https://pbs.twimg.com/profile_images/1180931559047741440/VcL-9LT5.jpg","View")</f>
        <v>View</v>
      </c>
      <c r="V456" s="8"/>
      <c r="W456" s="8"/>
      <c r="X456" s="8"/>
      <c r="Y456" s="8"/>
      <c r="Z456" s="8"/>
    </row>
    <row r="457" spans="1:26" ht="12.75">
      <c r="A457" s="11">
        <v>43747.304027777776</v>
      </c>
      <c r="B457" s="12" t="str">
        <f>HYPERLINK("https://twitter.com/OkutanMine","@OkutanMine")</f>
        <v>@OkutanMine</v>
      </c>
      <c r="C457" s="7" t="s">
        <v>3883</v>
      </c>
      <c r="D457" s="7" t="s">
        <v>3884</v>
      </c>
      <c r="E457" s="12" t="str">
        <f>HYPERLINK("https://twitter.com/OkutanMine/status/1181936805786116096","1181936805786116096")</f>
        <v>1181936805786116096</v>
      </c>
      <c r="F457" s="8"/>
      <c r="G457" s="15"/>
      <c r="H457" s="8"/>
      <c r="I457" s="15">
        <v>0</v>
      </c>
      <c r="J457" s="15">
        <v>1</v>
      </c>
      <c r="K457" s="12" t="str">
        <f>HYPERLINK("http://twitter.com/download/iphone","Twitter for iPhone")</f>
        <v>Twitter for iPhone</v>
      </c>
      <c r="L457" s="16">
        <v>128</v>
      </c>
      <c r="M457" s="16">
        <v>140</v>
      </c>
      <c r="N457" s="16">
        <v>0</v>
      </c>
      <c r="O457" s="17"/>
      <c r="P457" s="18">
        <v>41775.120833333334</v>
      </c>
      <c r="Q457" s="7" t="s">
        <v>3888</v>
      </c>
      <c r="R457" s="7" t="s">
        <v>3889</v>
      </c>
      <c r="S457" s="7"/>
      <c r="T457" s="8"/>
      <c r="U457" s="19" t="str">
        <f>HYPERLINK("https://pbs.twimg.com/profile_images/601736004479930368/RWID8HcG.jpg","View")</f>
        <v>View</v>
      </c>
      <c r="V457" s="8"/>
      <c r="W457" s="8"/>
      <c r="X457" s="8"/>
      <c r="Y457" s="8"/>
      <c r="Z457" s="8"/>
    </row>
    <row r="458" spans="1:26" ht="12.75">
      <c r="A458" s="11">
        <v>43747.304016203707</v>
      </c>
      <c r="B458" s="12" t="str">
        <f>HYPERLINK("https://twitter.com/123izzie","@123izzie")</f>
        <v>@123izzie</v>
      </c>
      <c r="C458" s="7" t="s">
        <v>3890</v>
      </c>
      <c r="D458" s="7" t="s">
        <v>3891</v>
      </c>
      <c r="E458" s="12" t="str">
        <f>HYPERLINK("https://twitter.com/123izzie/status/1181936801054900224","1181936801054900224")</f>
        <v>1181936801054900224</v>
      </c>
      <c r="F458" s="14" t="s">
        <v>3892</v>
      </c>
      <c r="G458" s="15"/>
      <c r="H458" s="8"/>
      <c r="I458" s="15">
        <v>4</v>
      </c>
      <c r="J458" s="15">
        <v>1</v>
      </c>
      <c r="K458" s="12" t="str">
        <f>HYPERLINK("https://mobile.twitter.com","Twitter Web App")</f>
        <v>Twitter Web App</v>
      </c>
      <c r="L458" s="16">
        <v>1675</v>
      </c>
      <c r="M458" s="16">
        <v>1165</v>
      </c>
      <c r="N458" s="16">
        <v>23</v>
      </c>
      <c r="O458" s="17"/>
      <c r="P458" s="18">
        <v>39945.376944444448</v>
      </c>
      <c r="Q458" s="7"/>
      <c r="R458" s="7" t="s">
        <v>3896</v>
      </c>
      <c r="S458" s="7"/>
      <c r="T458" s="8"/>
      <c r="U458" s="19" t="str">
        <f>HYPERLINK("https://pbs.twimg.com/profile_images/1118189198421499910/pAKjZzDA.jpg","View")</f>
        <v>View</v>
      </c>
      <c r="V458" s="8"/>
      <c r="W458" s="8"/>
      <c r="X458" s="8"/>
      <c r="Y458" s="8"/>
      <c r="Z458" s="8"/>
    </row>
    <row r="459" spans="1:26" ht="12.75">
      <c r="A459" s="11">
        <v>43747.303993055553</v>
      </c>
      <c r="B459" s="12" t="str">
        <f>HYPERLINK("https://twitter.com/serncelebi","@serncelebi")</f>
        <v>@serncelebi</v>
      </c>
      <c r="C459" s="7" t="s">
        <v>3900</v>
      </c>
      <c r="D459" s="7" t="s">
        <v>3901</v>
      </c>
      <c r="E459" s="12" t="str">
        <f>HYPERLINK("https://twitter.com/serncelebi/status/1181936794272780288","1181936794272780288")</f>
        <v>1181936794272780288</v>
      </c>
      <c r="F459" s="8"/>
      <c r="G459" s="14" t="s">
        <v>3904</v>
      </c>
      <c r="H459" s="8"/>
      <c r="I459" s="15">
        <v>0</v>
      </c>
      <c r="J459" s="15">
        <v>1</v>
      </c>
      <c r="K459" s="12" t="str">
        <f>HYPERLINK("http://twitter.com/download/iphone","Twitter for iPhone")</f>
        <v>Twitter for iPhone</v>
      </c>
      <c r="L459" s="16">
        <v>79</v>
      </c>
      <c r="M459" s="16">
        <v>87</v>
      </c>
      <c r="N459" s="16">
        <v>0</v>
      </c>
      <c r="O459" s="17"/>
      <c r="P459" s="18">
        <v>43004.256527777776</v>
      </c>
      <c r="Q459" s="7" t="s">
        <v>3906</v>
      </c>
      <c r="R459" s="7" t="s">
        <v>3907</v>
      </c>
      <c r="S459" s="7"/>
      <c r="T459" s="8"/>
      <c r="U459" s="19" t="str">
        <f>HYPERLINK("https://pbs.twimg.com/profile_images/1117925521638285318/TVDqwDri.jpg","View")</f>
        <v>View</v>
      </c>
      <c r="V459" s="8"/>
      <c r="W459" s="8"/>
      <c r="X459" s="8"/>
      <c r="Y459" s="8"/>
      <c r="Z459" s="8"/>
    </row>
    <row r="460" spans="1:26" ht="12.75">
      <c r="A460" s="11">
        <v>43747.303969907407</v>
      </c>
      <c r="B460" s="12" t="str">
        <f>HYPERLINK("https://twitter.com/hilallondra","@hilallondra")</f>
        <v>@hilallondra</v>
      </c>
      <c r="C460" s="7" t="s">
        <v>3004</v>
      </c>
      <c r="D460" s="7" t="s">
        <v>3910</v>
      </c>
      <c r="E460" s="12" t="str">
        <f>HYPERLINK("https://twitter.com/hilallondra/status/1181936785947009024","1181936785947009024")</f>
        <v>1181936785947009024</v>
      </c>
      <c r="F460" s="8"/>
      <c r="G460" s="15"/>
      <c r="H460" s="8"/>
      <c r="I460" s="15">
        <v>0</v>
      </c>
      <c r="J460" s="15">
        <v>0</v>
      </c>
      <c r="K460" s="12" t="str">
        <f>HYPERLINK("http://twitter.com/download/iphone","Twitter for iPhone")</f>
        <v>Twitter for iPhone</v>
      </c>
      <c r="L460" s="16">
        <v>398</v>
      </c>
      <c r="M460" s="16">
        <v>324</v>
      </c>
      <c r="N460" s="16">
        <v>3</v>
      </c>
      <c r="O460" s="17"/>
      <c r="P460" s="18">
        <v>41066.018784722226</v>
      </c>
      <c r="Q460" s="7" t="s">
        <v>576</v>
      </c>
      <c r="R460" s="7" t="s">
        <v>3911</v>
      </c>
      <c r="S460" s="15"/>
      <c r="T460" s="8"/>
      <c r="U460" s="19" t="str">
        <f>HYPERLINK("https://pbs.twimg.com/profile_images/746833472753393664/4vw6XcVr.jpg","View")</f>
        <v>View</v>
      </c>
      <c r="V460" s="8"/>
      <c r="W460" s="8"/>
      <c r="X460" s="8"/>
      <c r="Y460" s="8"/>
      <c r="Z460" s="8"/>
    </row>
    <row r="461" spans="1:26" ht="12.75">
      <c r="A461" s="11">
        <v>43747.303935185184</v>
      </c>
      <c r="B461" s="12" t="str">
        <f>HYPERLINK("https://twitter.com/sebb_er","@sebb_er")</f>
        <v>@sebb_er</v>
      </c>
      <c r="C461" s="7" t="s">
        <v>3914</v>
      </c>
      <c r="D461" s="7" t="s">
        <v>3915</v>
      </c>
      <c r="E461" s="12" t="str">
        <f>HYPERLINK("https://twitter.com/sebb_er/status/1181936770646183937","1181936770646183937")</f>
        <v>1181936770646183937</v>
      </c>
      <c r="F461" s="8"/>
      <c r="G461" s="14" t="s">
        <v>3916</v>
      </c>
      <c r="H461" s="8"/>
      <c r="I461" s="15">
        <v>0</v>
      </c>
      <c r="J461" s="15">
        <v>1</v>
      </c>
      <c r="K461" s="12" t="str">
        <f>HYPERLINK("http://twitter.com/download/android","Twitter for Android")</f>
        <v>Twitter for Android</v>
      </c>
      <c r="L461" s="16">
        <v>44</v>
      </c>
      <c r="M461" s="16">
        <v>48</v>
      </c>
      <c r="N461" s="16">
        <v>0</v>
      </c>
      <c r="O461" s="17"/>
      <c r="P461" s="18">
        <v>40414.268391203703</v>
      </c>
      <c r="Q461" s="7"/>
      <c r="R461" s="7" t="s">
        <v>3922</v>
      </c>
      <c r="S461" s="7"/>
      <c r="T461" s="8"/>
      <c r="U461" s="19" t="str">
        <f>HYPERLINK("https://pbs.twimg.com/profile_images/561081937331511297/aUkMt9ir.jpeg","View")</f>
        <v>View</v>
      </c>
      <c r="V461" s="8"/>
      <c r="W461" s="8"/>
      <c r="X461" s="8"/>
      <c r="Y461" s="8"/>
      <c r="Z461" s="8"/>
    </row>
    <row r="462" spans="1:26" ht="12.75">
      <c r="A462" s="11">
        <v>43747.303923611107</v>
      </c>
      <c r="B462" s="12" t="str">
        <f>HYPERLINK("https://twitter.com/Melo33789495","@Melo33789495")</f>
        <v>@Melo33789495</v>
      </c>
      <c r="C462" s="7" t="s">
        <v>2280</v>
      </c>
      <c r="D462" s="7" t="s">
        <v>3923</v>
      </c>
      <c r="E462" s="12" t="str">
        <f>HYPERLINK("https://twitter.com/Melo33789495/status/1181936768624599041","1181936768624599041")</f>
        <v>1181936768624599041</v>
      </c>
      <c r="F462" s="8"/>
      <c r="G462" s="15"/>
      <c r="H462" s="8"/>
      <c r="I462" s="15">
        <v>0</v>
      </c>
      <c r="J462" s="15">
        <v>3</v>
      </c>
      <c r="K462" s="12" t="str">
        <f>HYPERLINK("http://twitter.com/download/android","Twitter for Android")</f>
        <v>Twitter for Android</v>
      </c>
      <c r="L462" s="16">
        <v>36</v>
      </c>
      <c r="M462" s="16">
        <v>63</v>
      </c>
      <c r="N462" s="16">
        <v>0</v>
      </c>
      <c r="O462" s="17"/>
      <c r="P462" s="18">
        <v>43519.558692129634</v>
      </c>
      <c r="Q462" s="7"/>
      <c r="R462" s="7" t="s">
        <v>3927</v>
      </c>
      <c r="S462" s="7"/>
      <c r="T462" s="8"/>
      <c r="U462" s="19" t="str">
        <f>HYPERLINK("https://pbs.twimg.com/profile_images/1173719294804410369/a-g4kcj-.jpg","View")</f>
        <v>View</v>
      </c>
      <c r="V462" s="8"/>
      <c r="W462" s="8"/>
      <c r="X462" s="8"/>
      <c r="Y462" s="8"/>
      <c r="Z462" s="8"/>
    </row>
    <row r="463" spans="1:26" ht="12.75">
      <c r="A463" s="11">
        <v>43747.303900462968</v>
      </c>
      <c r="B463" s="12" t="str">
        <f>HYPERLINK("https://twitter.com/AlganGulisan","@AlganGulisan")</f>
        <v>@AlganGulisan</v>
      </c>
      <c r="C463" s="7" t="s">
        <v>3929</v>
      </c>
      <c r="D463" s="7" t="s">
        <v>3931</v>
      </c>
      <c r="E463" s="12" t="str">
        <f>HYPERLINK("https://twitter.com/AlganGulisan/status/1181936760294649856","1181936760294649856")</f>
        <v>1181936760294649856</v>
      </c>
      <c r="F463" s="8"/>
      <c r="G463" s="15"/>
      <c r="H463" s="8"/>
      <c r="I463" s="15">
        <v>0</v>
      </c>
      <c r="J463" s="15">
        <v>1</v>
      </c>
      <c r="K463" s="12" t="str">
        <f>HYPERLINK("http://twitter.com/download/android","Twitter for Android")</f>
        <v>Twitter for Android</v>
      </c>
      <c r="L463" s="16">
        <v>75</v>
      </c>
      <c r="M463" s="16">
        <v>60</v>
      </c>
      <c r="N463" s="16">
        <v>0</v>
      </c>
      <c r="O463" s="17"/>
      <c r="P463" s="18">
        <v>42249.573749999996</v>
      </c>
      <c r="Q463" s="7"/>
      <c r="R463" s="7" t="s">
        <v>3933</v>
      </c>
      <c r="S463" s="7"/>
      <c r="T463" s="8"/>
      <c r="U463" s="19" t="str">
        <f>HYPERLINK("https://pbs.twimg.com/profile_images/1171953061935374341/xc6Baa9J.jpg","View")</f>
        <v>View</v>
      </c>
      <c r="V463" s="8"/>
      <c r="W463" s="8"/>
      <c r="X463" s="8"/>
      <c r="Y463" s="8"/>
      <c r="Z463" s="8"/>
    </row>
    <row r="464" spans="1:26" ht="12.75">
      <c r="A464" s="11">
        <v>43747.303877314815</v>
      </c>
      <c r="B464" s="12" t="str">
        <f>HYPERLINK("https://twitter.com/trolliten","@trolliten")</f>
        <v>@trolliten</v>
      </c>
      <c r="C464" s="7" t="s">
        <v>3942</v>
      </c>
      <c r="D464" s="7" t="s">
        <v>3943</v>
      </c>
      <c r="E464" s="12" t="str">
        <f>HYPERLINK("https://twitter.com/trolliten/status/1181936752312885248","1181936752312885248")</f>
        <v>1181936752312885248</v>
      </c>
      <c r="F464" s="14" t="s">
        <v>3945</v>
      </c>
      <c r="G464" s="7"/>
      <c r="H464" s="8"/>
      <c r="I464" s="15">
        <v>0</v>
      </c>
      <c r="J464" s="15">
        <v>0</v>
      </c>
      <c r="K464" s="12" t="str">
        <f>HYPERLINK("https://mobile.twitter.com","Twitter Web App")</f>
        <v>Twitter Web App</v>
      </c>
      <c r="L464" s="16">
        <v>58</v>
      </c>
      <c r="M464" s="16">
        <v>89</v>
      </c>
      <c r="N464" s="16">
        <v>0</v>
      </c>
      <c r="O464" s="17"/>
      <c r="P464" s="18">
        <v>43255.549641203703</v>
      </c>
      <c r="Q464" s="7"/>
      <c r="R464" s="7" t="s">
        <v>3949</v>
      </c>
      <c r="S464" s="15"/>
      <c r="T464" s="8"/>
      <c r="U464" s="19" t="str">
        <f>HYPERLINK("https://pbs.twimg.com/profile_images/1121068041398292482/cdOa1mYl.png","View")</f>
        <v>View</v>
      </c>
      <c r="V464" s="8"/>
      <c r="W464" s="8"/>
      <c r="X464" s="8"/>
      <c r="Y464" s="8"/>
      <c r="Z464" s="8"/>
    </row>
    <row r="465" spans="1:26" ht="12.75">
      <c r="A465" s="11">
        <v>43747.303865740745</v>
      </c>
      <c r="B465" s="12" t="str">
        <f>HYPERLINK("https://twitter.com/erisahmet27","@erisahmet27")</f>
        <v>@erisahmet27</v>
      </c>
      <c r="C465" s="7" t="s">
        <v>3952</v>
      </c>
      <c r="D465" s="7" t="s">
        <v>3953</v>
      </c>
      <c r="E465" s="12" t="str">
        <f>HYPERLINK("https://twitter.com/erisahmet27/status/1181936748441587712","1181936748441587712")</f>
        <v>1181936748441587712</v>
      </c>
      <c r="F465" s="8"/>
      <c r="G465" s="14" t="s">
        <v>3957</v>
      </c>
      <c r="H465" s="8"/>
      <c r="I465" s="15">
        <v>0</v>
      </c>
      <c r="J465" s="15">
        <v>0</v>
      </c>
      <c r="K465" s="12" t="str">
        <f>HYPERLINK("http://twitter.com/download/android","Twitter for Android")</f>
        <v>Twitter for Android</v>
      </c>
      <c r="L465" s="16">
        <v>16</v>
      </c>
      <c r="M465" s="16">
        <v>64</v>
      </c>
      <c r="N465" s="16">
        <v>0</v>
      </c>
      <c r="O465" s="17"/>
      <c r="P465" s="18">
        <v>43659.073009259257</v>
      </c>
      <c r="Q465" s="7"/>
      <c r="R465" s="7" t="s">
        <v>3962</v>
      </c>
      <c r="S465" s="7"/>
      <c r="T465" s="8"/>
      <c r="U465" s="19" t="str">
        <f>HYPERLINK("https://pbs.twimg.com/profile_images/1149963730245103622/CROb68r2.jpg","View")</f>
        <v>View</v>
      </c>
      <c r="V465" s="8"/>
      <c r="W465" s="8"/>
      <c r="X465" s="8"/>
      <c r="Y465" s="8"/>
      <c r="Z465" s="8"/>
    </row>
    <row r="466" spans="1:26" ht="12.75">
      <c r="A466" s="11">
        <v>43747.303831018522</v>
      </c>
      <c r="B466" s="12" t="str">
        <f>HYPERLINK("https://twitter.com/Cigoman","@Cigoman")</f>
        <v>@Cigoman</v>
      </c>
      <c r="C466" s="7" t="s">
        <v>3975</v>
      </c>
      <c r="D466" s="7" t="s">
        <v>3976</v>
      </c>
      <c r="E466" s="12" t="str">
        <f>HYPERLINK("https://twitter.com/Cigoman/status/1181936733329543168","1181936733329543168")</f>
        <v>1181936733329543168</v>
      </c>
      <c r="F466" s="8"/>
      <c r="G466" s="15"/>
      <c r="H466" s="8"/>
      <c r="I466" s="15">
        <v>0</v>
      </c>
      <c r="J466" s="15">
        <v>1</v>
      </c>
      <c r="K466" s="12" t="str">
        <f>HYPERLINK("http://twitter.com/download/iphone","Twitter for iPhone")</f>
        <v>Twitter for iPhone</v>
      </c>
      <c r="L466" s="16">
        <v>425</v>
      </c>
      <c r="M466" s="16">
        <v>665</v>
      </c>
      <c r="N466" s="16">
        <v>0</v>
      </c>
      <c r="O466" s="17"/>
      <c r="P466" s="18">
        <v>40375.571053240739</v>
      </c>
      <c r="Q466" s="7" t="s">
        <v>918</v>
      </c>
      <c r="R466" s="7" t="s">
        <v>3979</v>
      </c>
      <c r="S466" s="7"/>
      <c r="T466" s="8"/>
      <c r="U466" s="19" t="str">
        <f>HYPERLINK("https://pbs.twimg.com/profile_images/1154446629015117826/lUt29bnr.jpg","View")</f>
        <v>View</v>
      </c>
      <c r="V466" s="8"/>
      <c r="W466" s="8"/>
      <c r="X466" s="8"/>
      <c r="Y466" s="8"/>
      <c r="Z466" s="8"/>
    </row>
    <row r="467" spans="1:26" ht="12.75">
      <c r="A467" s="11">
        <v>43747.303773148145</v>
      </c>
      <c r="B467" s="12" t="str">
        <f>HYPERLINK("https://twitter.com/AhmadiKamyar","@AhmadiKamyar")</f>
        <v>@AhmadiKamyar</v>
      </c>
      <c r="C467" s="7" t="s">
        <v>3983</v>
      </c>
      <c r="D467" s="7" t="s">
        <v>3984</v>
      </c>
      <c r="E467" s="12" t="str">
        <f>HYPERLINK("https://twitter.com/AhmadiKamyar/status/1181936711896576002","1181936711896576002")</f>
        <v>1181936711896576002</v>
      </c>
      <c r="F467" s="7"/>
      <c r="G467" s="14" t="s">
        <v>3985</v>
      </c>
      <c r="H467" s="8"/>
      <c r="I467" s="15">
        <v>1</v>
      </c>
      <c r="J467" s="15">
        <v>3</v>
      </c>
      <c r="K467" s="12" t="str">
        <f>HYPERLINK("http://twitter.com/download/android","Twitter for Android")</f>
        <v>Twitter for Android</v>
      </c>
      <c r="L467" s="16">
        <v>420</v>
      </c>
      <c r="M467" s="16">
        <v>551</v>
      </c>
      <c r="N467" s="16">
        <v>2</v>
      </c>
      <c r="O467" s="17"/>
      <c r="P467" s="18">
        <v>43102.681030092594</v>
      </c>
      <c r="Q467" s="7"/>
      <c r="R467" s="7"/>
      <c r="S467" s="15"/>
      <c r="T467" s="8"/>
      <c r="U467" s="19" t="str">
        <f>HYPERLINK("https://pbs.twimg.com/profile_images/1169301605142945792/7xh70y2l.jpg","View")</f>
        <v>View</v>
      </c>
      <c r="V467" s="8"/>
      <c r="W467" s="8"/>
      <c r="X467" s="8"/>
      <c r="Y467" s="8"/>
      <c r="Z467" s="8"/>
    </row>
    <row r="468" spans="1:26" ht="12.75">
      <c r="A468" s="11">
        <v>43747.303715277776</v>
      </c>
      <c r="B468" s="12" t="str">
        <f>HYPERLINK("https://twitter.com/Melike_Soyluu","@Melike_Soyluu")</f>
        <v>@Melike_Soyluu</v>
      </c>
      <c r="C468" s="7" t="s">
        <v>3993</v>
      </c>
      <c r="D468" s="7" t="s">
        <v>3994</v>
      </c>
      <c r="E468" s="12" t="str">
        <f>HYPERLINK("https://twitter.com/Melike_Soyluu/status/1181936693227724800","1181936693227724800")</f>
        <v>1181936693227724800</v>
      </c>
      <c r="F468" s="8"/>
      <c r="G468" s="15"/>
      <c r="H468" s="8"/>
      <c r="I468" s="15">
        <v>0</v>
      </c>
      <c r="J468" s="15">
        <v>18</v>
      </c>
      <c r="K468" s="12" t="str">
        <f>HYPERLINK("http://twitter.com/download/android","Twitter for Android")</f>
        <v>Twitter for Android</v>
      </c>
      <c r="L468" s="16">
        <v>4361</v>
      </c>
      <c r="M468" s="16">
        <v>3490</v>
      </c>
      <c r="N468" s="16">
        <v>2</v>
      </c>
      <c r="O468" s="17"/>
      <c r="P468" s="18">
        <v>43179.323576388888</v>
      </c>
      <c r="Q468" s="7"/>
      <c r="R468" s="7" t="s">
        <v>3998</v>
      </c>
      <c r="S468" s="7"/>
      <c r="T468" s="8"/>
      <c r="U468" s="19" t="str">
        <f>HYPERLINK("https://pbs.twimg.com/profile_images/1106168205297573888/lfx3w_J-.jpg","View")</f>
        <v>View</v>
      </c>
      <c r="V468" s="8"/>
      <c r="W468" s="8"/>
      <c r="X468" s="8"/>
      <c r="Y468" s="8"/>
      <c r="Z468" s="8"/>
    </row>
    <row r="469" spans="1:26" ht="12.75">
      <c r="A469" s="11">
        <v>43747.30368055556</v>
      </c>
      <c r="B469" s="12" t="str">
        <f>HYPERLINK("https://twitter.com/melihsenTR","@melihsenTR")</f>
        <v>@melihsenTR</v>
      </c>
      <c r="C469" s="7" t="s">
        <v>3999</v>
      </c>
      <c r="D469" s="7" t="s">
        <v>4000</v>
      </c>
      <c r="E469" s="12" t="str">
        <f>HYPERLINK("https://twitter.com/melihsenTR/status/1181936679973769217","1181936679973769217")</f>
        <v>1181936679973769217</v>
      </c>
      <c r="F469" s="8"/>
      <c r="G469" s="14" t="s">
        <v>4002</v>
      </c>
      <c r="H469" s="8"/>
      <c r="I469" s="15">
        <v>0</v>
      </c>
      <c r="J469" s="15">
        <v>0</v>
      </c>
      <c r="K469" s="12" t="str">
        <f>HYPERLINK("http://twitter.com/download/android","Twitter for Android")</f>
        <v>Twitter for Android</v>
      </c>
      <c r="L469" s="16">
        <v>12</v>
      </c>
      <c r="M469" s="16">
        <v>165</v>
      </c>
      <c r="N469" s="16">
        <v>0</v>
      </c>
      <c r="O469" s="17"/>
      <c r="P469" s="18">
        <v>43545.414884259255</v>
      </c>
      <c r="Q469" s="7"/>
      <c r="R469" s="7" t="s">
        <v>4006</v>
      </c>
      <c r="S469" s="7"/>
      <c r="T469" s="8"/>
      <c r="U469" s="19" t="str">
        <f>HYPERLINK("https://pbs.twimg.com/profile_images/1108774864666660864/dCwWxcew.jpg","View")</f>
        <v>View</v>
      </c>
      <c r="V469" s="8"/>
      <c r="W469" s="8"/>
      <c r="X469" s="8"/>
      <c r="Y469" s="8"/>
      <c r="Z469" s="8"/>
    </row>
    <row r="470" spans="1:26" ht="12.75">
      <c r="A470" s="11">
        <v>43747.30368055556</v>
      </c>
      <c r="B470" s="12" t="str">
        <f>HYPERLINK("https://twitter.com/ENDERSARILACVRT","@ENDERSARILACVRT")</f>
        <v>@ENDERSARILACVRT</v>
      </c>
      <c r="C470" s="7" t="s">
        <v>4009</v>
      </c>
      <c r="D470" s="7" t="s">
        <v>4010</v>
      </c>
      <c r="E470" s="12" t="str">
        <f>HYPERLINK("https://twitter.com/ENDERSARILACVRT/status/1181936678509961227","1181936678509961227")</f>
        <v>1181936678509961227</v>
      </c>
      <c r="F470" s="8" t="s">
        <v>3079</v>
      </c>
      <c r="G470" s="14" t="s">
        <v>3080</v>
      </c>
      <c r="H470" s="8"/>
      <c r="I470" s="15">
        <v>0</v>
      </c>
      <c r="J470" s="15">
        <v>4</v>
      </c>
      <c r="K470" s="12" t="str">
        <f>HYPERLINK("http://twitter.com/download/android","Twitter for Android")</f>
        <v>Twitter for Android</v>
      </c>
      <c r="L470" s="16">
        <v>3412</v>
      </c>
      <c r="M470" s="16">
        <v>3413</v>
      </c>
      <c r="N470" s="16">
        <v>2</v>
      </c>
      <c r="O470" s="17"/>
      <c r="P470" s="18">
        <v>40870.013749999998</v>
      </c>
      <c r="Q470" s="7" t="s">
        <v>4014</v>
      </c>
      <c r="R470" s="7" t="s">
        <v>4015</v>
      </c>
      <c r="S470" s="7"/>
      <c r="T470" s="8"/>
      <c r="U470" s="19" t="str">
        <f>HYPERLINK("https://pbs.twimg.com/profile_images/1083440502257737728/H42a6w-L.jpg","View")</f>
        <v>View</v>
      </c>
      <c r="V470" s="8"/>
      <c r="W470" s="8"/>
      <c r="X470" s="8"/>
      <c r="Y470" s="8"/>
      <c r="Z470" s="8"/>
    </row>
    <row r="471" spans="1:26" ht="12.75">
      <c r="A471" s="11">
        <v>43747.303668981476</v>
      </c>
      <c r="B471" s="12" t="str">
        <f>HYPERLINK("https://twitter.com/yahyaihsani","@yahyaihsani")</f>
        <v>@yahyaihsani</v>
      </c>
      <c r="C471" s="7" t="s">
        <v>4020</v>
      </c>
      <c r="D471" s="7" t="s">
        <v>4021</v>
      </c>
      <c r="E471" s="12" t="str">
        <f>HYPERLINK("https://twitter.com/yahyaihsani/status/1181936674823168000","1181936674823168000")</f>
        <v>1181936674823168000</v>
      </c>
      <c r="F471" s="14" t="s">
        <v>4022</v>
      </c>
      <c r="G471" s="14" t="s">
        <v>4025</v>
      </c>
      <c r="H471" s="8"/>
      <c r="I471" s="15">
        <v>0</v>
      </c>
      <c r="J471" s="15">
        <v>6</v>
      </c>
      <c r="K471" s="12" t="str">
        <f>HYPERLINK("http://twitter.com/download/android","Twitter for Android")</f>
        <v>Twitter for Android</v>
      </c>
      <c r="L471" s="16">
        <v>631</v>
      </c>
      <c r="M471" s="16">
        <v>47</v>
      </c>
      <c r="N471" s="16">
        <v>4</v>
      </c>
      <c r="O471" s="17"/>
      <c r="P471" s="18">
        <v>42623.370925925927</v>
      </c>
      <c r="Q471" s="7" t="s">
        <v>4029</v>
      </c>
      <c r="R471" s="7" t="s">
        <v>4030</v>
      </c>
      <c r="S471" s="7"/>
      <c r="T471" s="8"/>
      <c r="U471" s="19" t="str">
        <f>HYPERLINK("https://pbs.twimg.com/profile_images/1008064042618048513/9YqCCQIC.jpg","View")</f>
        <v>View</v>
      </c>
      <c r="V471" s="8"/>
      <c r="W471" s="8"/>
      <c r="X471" s="8"/>
      <c r="Y471" s="8"/>
      <c r="Z471" s="8"/>
    </row>
    <row r="472" spans="1:26" ht="12.75">
      <c r="A472" s="11">
        <v>43747.303657407407</v>
      </c>
      <c r="B472" s="12" t="str">
        <f>HYPERLINK("https://twitter.com/AhmetSOLGUN","@AhmetSOLGUN")</f>
        <v>@AhmetSOLGUN</v>
      </c>
      <c r="C472" s="7" t="s">
        <v>4032</v>
      </c>
      <c r="D472" s="7" t="s">
        <v>4033</v>
      </c>
      <c r="E472" s="12" t="str">
        <f>HYPERLINK("https://twitter.com/AhmetSOLGUN/status/1181936670989602816","1181936670989602816")</f>
        <v>1181936670989602816</v>
      </c>
      <c r="F472" s="8"/>
      <c r="G472" s="14" t="s">
        <v>4034</v>
      </c>
      <c r="H472" s="8"/>
      <c r="I472" s="15">
        <v>0</v>
      </c>
      <c r="J472" s="15">
        <v>0</v>
      </c>
      <c r="K472" s="12" t="str">
        <f>HYPERLINK("http://twitter.com/download/iphone","Twitter for iPhone")</f>
        <v>Twitter for iPhone</v>
      </c>
      <c r="L472" s="16">
        <v>68</v>
      </c>
      <c r="M472" s="16">
        <v>102</v>
      </c>
      <c r="N472" s="16">
        <v>0</v>
      </c>
      <c r="O472" s="17"/>
      <c r="P472" s="18">
        <v>41404.141319444447</v>
      </c>
      <c r="Q472" s="7" t="s">
        <v>4038</v>
      </c>
      <c r="R472" s="7" t="s">
        <v>4039</v>
      </c>
      <c r="S472" s="15"/>
      <c r="T472" s="8"/>
      <c r="U472" s="19" t="str">
        <f>HYPERLINK("https://pbs.twimg.com/profile_images/1150429650948108288/sXIrhqhI.jpg","View")</f>
        <v>View</v>
      </c>
      <c r="V472" s="8"/>
      <c r="W472" s="8"/>
      <c r="X472" s="8"/>
      <c r="Y472" s="8"/>
      <c r="Z472" s="8"/>
    </row>
    <row r="473" spans="1:26" ht="12.75">
      <c r="A473" s="11">
        <v>43747.303611111114</v>
      </c>
      <c r="B473" s="12" t="str">
        <f>HYPERLINK("https://twitter.com/BnyaminB","@BnyaminB")</f>
        <v>@BnyaminB</v>
      </c>
      <c r="C473" s="7" t="s">
        <v>4044</v>
      </c>
      <c r="D473" s="7" t="s">
        <v>4045</v>
      </c>
      <c r="E473" s="12" t="str">
        <f>HYPERLINK("https://twitter.com/BnyaminB/status/1181936656074588160","1181936656074588160")</f>
        <v>1181936656074588160</v>
      </c>
      <c r="F473" s="8"/>
      <c r="G473" s="15"/>
      <c r="H473" s="8"/>
      <c r="I473" s="15">
        <v>0</v>
      </c>
      <c r="J473" s="15">
        <v>0</v>
      </c>
      <c r="K473" s="12" t="str">
        <f>HYPERLINK("http://twitter.com/download/android","Twitter for Android")</f>
        <v>Twitter for Android</v>
      </c>
      <c r="L473" s="16">
        <v>34</v>
      </c>
      <c r="M473" s="16">
        <v>235</v>
      </c>
      <c r="N473" s="16">
        <v>0</v>
      </c>
      <c r="O473" s="17"/>
      <c r="P473" s="18">
        <v>40682.253391203703</v>
      </c>
      <c r="Q473" s="7"/>
      <c r="R473" s="7"/>
      <c r="S473" s="15"/>
      <c r="T473" s="8"/>
      <c r="U473" s="19" t="str">
        <f>HYPERLINK("https://pbs.twimg.com/profile_images/1035976321044807682/FYKKwHIf.jpg","View")</f>
        <v>View</v>
      </c>
      <c r="V473" s="8"/>
      <c r="W473" s="8"/>
      <c r="X473" s="8"/>
      <c r="Y473" s="8"/>
      <c r="Z473" s="8"/>
    </row>
    <row r="474" spans="1:26" ht="12.75">
      <c r="A474" s="11">
        <v>43747.303599537037</v>
      </c>
      <c r="B474" s="12" t="str">
        <f>HYPERLINK("https://twitter.com/AhmetCanKocatr2","@AhmetCanKocatr2")</f>
        <v>@AhmetCanKocatr2</v>
      </c>
      <c r="C474" s="7" t="s">
        <v>2347</v>
      </c>
      <c r="D474" s="7" t="s">
        <v>4050</v>
      </c>
      <c r="E474" s="12" t="str">
        <f>HYPERLINK("https://twitter.com/AhmetCanKocatr2/status/1181936650022264832","1181936650022264832")</f>
        <v>1181936650022264832</v>
      </c>
      <c r="F474" s="8"/>
      <c r="G474" s="14" t="s">
        <v>4053</v>
      </c>
      <c r="H474" s="8"/>
      <c r="I474" s="15">
        <v>0</v>
      </c>
      <c r="J474" s="15">
        <v>2</v>
      </c>
      <c r="K474" s="12" t="str">
        <f>HYPERLINK("http://twitter.com/download/android","Twitter for Android")</f>
        <v>Twitter for Android</v>
      </c>
      <c r="L474" s="16">
        <v>35</v>
      </c>
      <c r="M474" s="16">
        <v>147</v>
      </c>
      <c r="N474" s="16">
        <v>0</v>
      </c>
      <c r="O474" s="17"/>
      <c r="P474" s="18">
        <v>43366.509351851855</v>
      </c>
      <c r="Q474" s="7" t="s">
        <v>4058</v>
      </c>
      <c r="R474" s="7" t="s">
        <v>918</v>
      </c>
      <c r="S474" s="7"/>
      <c r="T474" s="8"/>
      <c r="U474" s="19" t="str">
        <f>HYPERLINK("https://pbs.twimg.com/profile_images/1175656617578311680/_VI6Oogd.jpg","View")</f>
        <v>View</v>
      </c>
      <c r="V474" s="8"/>
      <c r="W474" s="8"/>
      <c r="X474" s="8"/>
      <c r="Y474" s="8"/>
      <c r="Z474" s="8"/>
    </row>
    <row r="475" spans="1:26" ht="12.75">
      <c r="A475" s="11">
        <v>43747.303553240738</v>
      </c>
      <c r="B475" s="12" t="str">
        <f>HYPERLINK("https://twitter.com/MertTan24","@MertTan24")</f>
        <v>@MertTan24</v>
      </c>
      <c r="C475" s="7" t="s">
        <v>4062</v>
      </c>
      <c r="D475" s="7" t="s">
        <v>4063</v>
      </c>
      <c r="E475" s="12" t="str">
        <f>HYPERLINK("https://twitter.com/MertTan24/status/1181936632951447552","1181936632951447552")</f>
        <v>1181936632951447552</v>
      </c>
      <c r="F475" s="15"/>
      <c r="G475" s="7"/>
      <c r="H475" s="8"/>
      <c r="I475" s="15">
        <v>1</v>
      </c>
      <c r="J475" s="15">
        <v>10</v>
      </c>
      <c r="K475" s="12" t="str">
        <f>HYPERLINK("https://mobile.twitter.com","Twitter Web App")</f>
        <v>Twitter Web App</v>
      </c>
      <c r="L475" s="16">
        <v>507</v>
      </c>
      <c r="M475" s="16">
        <v>448</v>
      </c>
      <c r="N475" s="16">
        <v>1</v>
      </c>
      <c r="O475" s="17"/>
      <c r="P475" s="18">
        <v>43535.069039351853</v>
      </c>
      <c r="Q475" s="7"/>
      <c r="R475" s="7" t="s">
        <v>4066</v>
      </c>
      <c r="S475" s="7"/>
      <c r="T475" s="8"/>
      <c r="U475" s="19" t="str">
        <f>HYPERLINK("https://pbs.twimg.com/profile_images/1105026396231995392/AOyqpqq-.jpg","View")</f>
        <v>View</v>
      </c>
      <c r="V475" s="8"/>
      <c r="W475" s="8"/>
      <c r="X475" s="8"/>
      <c r="Y475" s="8"/>
      <c r="Z475" s="8"/>
    </row>
    <row r="476" spans="1:26" ht="12.75">
      <c r="A476" s="11">
        <v>43747.303541666668</v>
      </c>
      <c r="B476" s="12" t="str">
        <f>HYPERLINK("https://twitter.com/SametAydgn","@SametAydgn")</f>
        <v>@SametAydgn</v>
      </c>
      <c r="C476" s="7" t="s">
        <v>4070</v>
      </c>
      <c r="D476" s="7" t="s">
        <v>4071</v>
      </c>
      <c r="E476" s="12" t="str">
        <f>HYPERLINK("https://twitter.com/SametAydgn/status/1181936628924854272","1181936628924854272")</f>
        <v>1181936628924854272</v>
      </c>
      <c r="F476" s="15"/>
      <c r="G476" s="15"/>
      <c r="H476" s="8"/>
      <c r="I476" s="15">
        <v>0</v>
      </c>
      <c r="J476" s="15">
        <v>0</v>
      </c>
      <c r="K476" s="12" t="str">
        <f>HYPERLINK("http://twitter.com/download/iphone","Twitter for iPhone")</f>
        <v>Twitter for iPhone</v>
      </c>
      <c r="L476" s="16">
        <v>302</v>
      </c>
      <c r="M476" s="16">
        <v>1240</v>
      </c>
      <c r="N476" s="16">
        <v>0</v>
      </c>
      <c r="O476" s="20"/>
      <c r="P476" s="18">
        <v>40735.294236111113</v>
      </c>
      <c r="Q476" s="7" t="s">
        <v>313</v>
      </c>
      <c r="R476" s="7" t="s">
        <v>4072</v>
      </c>
      <c r="S476" s="15"/>
      <c r="T476" s="8"/>
      <c r="U476" s="19" t="str">
        <f>HYPERLINK("https://pbs.twimg.com/profile_images/1154671048127852544/kho3wTN3.jpg","View")</f>
        <v>View</v>
      </c>
      <c r="V476" s="8"/>
      <c r="W476" s="8"/>
      <c r="X476" s="8"/>
      <c r="Y476" s="8"/>
      <c r="Z476" s="8"/>
    </row>
    <row r="477" spans="1:26" ht="12.75">
      <c r="A477" s="11">
        <v>43747.303541666668</v>
      </c>
      <c r="B477" s="12" t="str">
        <f>HYPERLINK("https://twitter.com/gokhanaltay04","@gokhanaltay04")</f>
        <v>@gokhanaltay04</v>
      </c>
      <c r="C477" s="7" t="s">
        <v>4076</v>
      </c>
      <c r="D477" s="7" t="s">
        <v>4077</v>
      </c>
      <c r="E477" s="12" t="str">
        <f>HYPERLINK("https://twitter.com/gokhanaltay04/status/1181936628018946053","1181936628018946053")</f>
        <v>1181936628018946053</v>
      </c>
      <c r="F477" s="8"/>
      <c r="G477" s="7"/>
      <c r="H477" s="8"/>
      <c r="I477" s="15">
        <v>0</v>
      </c>
      <c r="J477" s="15">
        <v>0</v>
      </c>
      <c r="K477" s="12" t="str">
        <f>HYPERLINK("http://twitter.com/download/iphone","Twitter for iPhone")</f>
        <v>Twitter for iPhone</v>
      </c>
      <c r="L477" s="16">
        <v>179</v>
      </c>
      <c r="M477" s="16">
        <v>206</v>
      </c>
      <c r="N477" s="16">
        <v>3</v>
      </c>
      <c r="O477" s="17"/>
      <c r="P477" s="18">
        <v>42706.151400462964</v>
      </c>
      <c r="Q477" s="7" t="s">
        <v>4079</v>
      </c>
      <c r="R477" s="7" t="s">
        <v>4080</v>
      </c>
      <c r="S477" s="14" t="s">
        <v>4082</v>
      </c>
      <c r="T477" s="8"/>
      <c r="U477" s="19" t="str">
        <f>HYPERLINK("https://pbs.twimg.com/profile_images/1152988733131632640/fLxlxU6O.jpg","View")</f>
        <v>View</v>
      </c>
      <c r="V477" s="8"/>
      <c r="W477" s="8"/>
      <c r="X477" s="8"/>
      <c r="Y477" s="8"/>
      <c r="Z477" s="8"/>
    </row>
    <row r="478" spans="1:26" ht="12.75">
      <c r="A478" s="11">
        <v>43747.303506944445</v>
      </c>
      <c r="B478" s="12" t="str">
        <f>HYPERLINK("https://twitter.com/t_ares","@t_ares")</f>
        <v>@t_ares</v>
      </c>
      <c r="C478" s="7" t="s">
        <v>4087</v>
      </c>
      <c r="D478" s="7" t="s">
        <v>4088</v>
      </c>
      <c r="E478" s="12" t="str">
        <f>HYPERLINK("https://twitter.com/t_ares/status/1181936618334277633","1181936618334277633")</f>
        <v>1181936618334277633</v>
      </c>
      <c r="F478" s="14" t="s">
        <v>4089</v>
      </c>
      <c r="G478" s="14" t="s">
        <v>4093</v>
      </c>
      <c r="H478" s="8"/>
      <c r="I478" s="15">
        <v>0</v>
      </c>
      <c r="J478" s="15">
        <v>1</v>
      </c>
      <c r="K478" s="12" t="str">
        <f>HYPERLINK("https://mobile.twitter.com","Twitter Web App")</f>
        <v>Twitter Web App</v>
      </c>
      <c r="L478" s="16">
        <v>1228</v>
      </c>
      <c r="M478" s="16">
        <v>345</v>
      </c>
      <c r="N478" s="16">
        <v>13</v>
      </c>
      <c r="O478" s="17"/>
      <c r="P478" s="18">
        <v>41258.344826388886</v>
      </c>
      <c r="Q478" s="7"/>
      <c r="R478" s="7" t="s">
        <v>4099</v>
      </c>
      <c r="S478" s="14" t="s">
        <v>4101</v>
      </c>
      <c r="T478" s="8"/>
      <c r="U478" s="19" t="str">
        <f>HYPERLINK("https://pbs.twimg.com/profile_images/1088191463849119744/ypCJuye0.jpg","View")</f>
        <v>View</v>
      </c>
      <c r="V478" s="8"/>
      <c r="W478" s="8"/>
      <c r="X478" s="8"/>
      <c r="Y478" s="8"/>
      <c r="Z478" s="8"/>
    </row>
    <row r="479" spans="1:26" ht="12.75">
      <c r="A479" s="11">
        <v>43747.303506944445</v>
      </c>
      <c r="B479" s="12" t="str">
        <f>HYPERLINK("https://twitter.com/ArtJakobsson","@ArtJakobsson")</f>
        <v>@ArtJakobsson</v>
      </c>
      <c r="C479" s="7" t="s">
        <v>4105</v>
      </c>
      <c r="D479" s="7" t="s">
        <v>4106</v>
      </c>
      <c r="E479" s="12" t="str">
        <f>HYPERLINK("https://twitter.com/ArtJakobsson/status/1181936615092101120","1181936615092101120")</f>
        <v>1181936615092101120</v>
      </c>
      <c r="F479" s="8"/>
      <c r="G479" s="14" t="s">
        <v>4108</v>
      </c>
      <c r="H479" s="8"/>
      <c r="I479" s="15">
        <v>0</v>
      </c>
      <c r="J479" s="15">
        <v>0</v>
      </c>
      <c r="K479" s="12" t="str">
        <f>HYPERLINK("http://twitter.com/download/android","Twitter for Android")</f>
        <v>Twitter for Android</v>
      </c>
      <c r="L479" s="16">
        <v>0</v>
      </c>
      <c r="M479" s="16">
        <v>18</v>
      </c>
      <c r="N479" s="16">
        <v>0</v>
      </c>
      <c r="O479" s="17"/>
      <c r="P479" s="18">
        <v>43747.173518518517</v>
      </c>
      <c r="Q479" s="7"/>
      <c r="R479" s="7" t="s">
        <v>4114</v>
      </c>
      <c r="S479" s="7"/>
      <c r="T479" s="8"/>
      <c r="U479" s="19" t="str">
        <f>HYPERLINK("https://pbs.twimg.com/profile_images/1181889716565811201/JvZBkhB8.jpg","View")</f>
        <v>View</v>
      </c>
      <c r="V479" s="8"/>
      <c r="W479" s="8"/>
      <c r="X479" s="8"/>
      <c r="Y479" s="8"/>
      <c r="Z479" s="8"/>
    </row>
    <row r="480" spans="1:26" ht="12.75">
      <c r="A480" s="11">
        <v>43747.303472222222</v>
      </c>
      <c r="B480" s="12" t="str">
        <f>HYPERLINK("https://twitter.com/Osman12973118","@Osman12973118")</f>
        <v>@Osman12973118</v>
      </c>
      <c r="C480" s="7" t="s">
        <v>4124</v>
      </c>
      <c r="D480" s="7" t="s">
        <v>4125</v>
      </c>
      <c r="E480" s="12" t="str">
        <f>HYPERLINK("https://twitter.com/Osman12973118/status/1181936602869841923","1181936602869841923")</f>
        <v>1181936602869841923</v>
      </c>
      <c r="F480" s="15"/>
      <c r="G480" s="15"/>
      <c r="H480" s="8"/>
      <c r="I480" s="15">
        <v>0</v>
      </c>
      <c r="J480" s="15">
        <v>0</v>
      </c>
      <c r="K480" s="12" t="str">
        <f>HYPERLINK("http://twitter.com/download/android","Twitter for Android")</f>
        <v>Twitter for Android</v>
      </c>
      <c r="L480" s="16">
        <v>83</v>
      </c>
      <c r="M480" s="16">
        <v>249</v>
      </c>
      <c r="N480" s="16">
        <v>0</v>
      </c>
      <c r="O480" s="17"/>
      <c r="P480" s="18">
        <v>43567.53601851852</v>
      </c>
      <c r="Q480" s="7"/>
      <c r="R480" s="7" t="s">
        <v>4129</v>
      </c>
      <c r="S480" s="7"/>
      <c r="T480" s="8"/>
      <c r="U480" s="19" t="str">
        <f>HYPERLINK("https://pbs.twimg.com/profile_images/1154365277355855872/RKb9VOUl.jpg","View")</f>
        <v>View</v>
      </c>
      <c r="V480" s="8"/>
      <c r="W480" s="8"/>
      <c r="X480" s="8"/>
      <c r="Y480" s="8"/>
      <c r="Z480" s="8"/>
    </row>
    <row r="481" spans="1:26" ht="12.75">
      <c r="A481" s="11">
        <v>43747.303437499999</v>
      </c>
      <c r="B481" s="12" t="str">
        <f>HYPERLINK("https://twitter.com/Arjunprasad_44","@Arjunprasad_44")</f>
        <v>@Arjunprasad_44</v>
      </c>
      <c r="C481" s="7" t="s">
        <v>4144</v>
      </c>
      <c r="D481" s="7" t="s">
        <v>4145</v>
      </c>
      <c r="E481" s="12" t="str">
        <f>HYPERLINK("https://twitter.com/Arjunprasad_44/status/1181936593197658113","1181936593197658113")</f>
        <v>1181936593197658113</v>
      </c>
      <c r="F481" s="8"/>
      <c r="G481" s="14" t="s">
        <v>4147</v>
      </c>
      <c r="H481" s="8"/>
      <c r="I481" s="15">
        <v>0</v>
      </c>
      <c r="J481" s="15">
        <v>0</v>
      </c>
      <c r="K481" s="12" t="str">
        <f>HYPERLINK("https://mobile.twitter.com","Twitter Web App")</f>
        <v>Twitter Web App</v>
      </c>
      <c r="L481" s="16">
        <v>25</v>
      </c>
      <c r="M481" s="16">
        <v>111</v>
      </c>
      <c r="N481" s="16">
        <v>0</v>
      </c>
      <c r="O481" s="17"/>
      <c r="P481" s="18">
        <v>43450.027662037042</v>
      </c>
      <c r="Q481" s="7" t="s">
        <v>4152</v>
      </c>
      <c r="R481" s="7" t="s">
        <v>4153</v>
      </c>
      <c r="S481" s="7"/>
      <c r="T481" s="8"/>
      <c r="U481" s="19" t="str">
        <f>HYPERLINK("https://pbs.twimg.com/profile_images/1112214779995709440/zmExqnVF.jpg","View")</f>
        <v>View</v>
      </c>
      <c r="V481" s="8"/>
      <c r="W481" s="8"/>
      <c r="X481" s="8"/>
      <c r="Y481" s="8"/>
      <c r="Z481" s="8"/>
    </row>
    <row r="482" spans="1:26" ht="12.75">
      <c r="A482" s="11">
        <v>43747.30332175926</v>
      </c>
      <c r="B482" s="12" t="str">
        <f>HYPERLINK("https://twitter.com/0tonommPiyade","@0tonommPiyade")</f>
        <v>@0tonommPiyade</v>
      </c>
      <c r="C482" s="7" t="s">
        <v>4155</v>
      </c>
      <c r="D482" s="7" t="s">
        <v>4156</v>
      </c>
      <c r="E482" s="12" t="str">
        <f>HYPERLINK("https://twitter.com/0tonommPiyade/status/1181936548603928577","1181936548603928577")</f>
        <v>1181936548603928577</v>
      </c>
      <c r="F482" s="8"/>
      <c r="G482" s="14" t="s">
        <v>4159</v>
      </c>
      <c r="H482" s="8"/>
      <c r="I482" s="15">
        <v>0</v>
      </c>
      <c r="J482" s="15">
        <v>0</v>
      </c>
      <c r="K482" s="12" t="str">
        <f>HYPERLINK("http://twitter.com/download/android","Twitter for Android")</f>
        <v>Twitter for Android</v>
      </c>
      <c r="L482" s="16">
        <v>73</v>
      </c>
      <c r="M482" s="16">
        <v>132</v>
      </c>
      <c r="N482" s="16">
        <v>0</v>
      </c>
      <c r="O482" s="17"/>
      <c r="P482" s="18">
        <v>41932.5158912037</v>
      </c>
      <c r="Q482" s="7" t="s">
        <v>1639</v>
      </c>
      <c r="R482" s="7" t="s">
        <v>4163</v>
      </c>
      <c r="S482" s="14" t="s">
        <v>4164</v>
      </c>
      <c r="T482" s="8"/>
      <c r="U482" s="19" t="str">
        <f>HYPERLINK("https://pbs.twimg.com/profile_images/1166450627003781121/8yZMXCoK.jpg","View")</f>
        <v>View</v>
      </c>
      <c r="V482" s="8"/>
      <c r="W482" s="8"/>
      <c r="X482" s="8"/>
      <c r="Y482" s="8"/>
      <c r="Z482" s="8"/>
    </row>
    <row r="483" spans="1:26" ht="12.75">
      <c r="A483" s="11">
        <v>43747.303298611107</v>
      </c>
      <c r="B483" s="12" t="str">
        <f>HYPERLINK("https://twitter.com/fikiristTr","@fikiristTr")</f>
        <v>@fikiristTr</v>
      </c>
      <c r="C483" s="7" t="s">
        <v>4168</v>
      </c>
      <c r="D483" s="7" t="s">
        <v>4169</v>
      </c>
      <c r="E483" s="12" t="str">
        <f>HYPERLINK("https://twitter.com/fikiristTr/status/1181936542702546945","1181936542702546945")</f>
        <v>1181936542702546945</v>
      </c>
      <c r="F483" s="8"/>
      <c r="G483" s="7"/>
      <c r="H483" s="8"/>
      <c r="I483" s="15">
        <v>6</v>
      </c>
      <c r="J483" s="15">
        <v>38</v>
      </c>
      <c r="K483" s="12" t="str">
        <f>HYPERLINK("http://twitter.com/download/android","Twitter for Android")</f>
        <v>Twitter for Android</v>
      </c>
      <c r="L483" s="16">
        <v>9759</v>
      </c>
      <c r="M483" s="16">
        <v>8476</v>
      </c>
      <c r="N483" s="16">
        <v>5</v>
      </c>
      <c r="O483" s="17"/>
      <c r="P483" s="18">
        <v>41492.368020833332</v>
      </c>
      <c r="Q483" s="7" t="s">
        <v>576</v>
      </c>
      <c r="R483" s="7" t="s">
        <v>4172</v>
      </c>
      <c r="S483" s="14" t="s">
        <v>4173</v>
      </c>
      <c r="T483" s="8"/>
      <c r="U483" s="19" t="str">
        <f>HYPERLINK("https://pbs.twimg.com/profile_images/1108881144773337088/cn27A2kj.jpg","View")</f>
        <v>View</v>
      </c>
      <c r="V483" s="8"/>
      <c r="W483" s="8"/>
      <c r="X483" s="8"/>
      <c r="Y483" s="8"/>
      <c r="Z483" s="8"/>
    </row>
    <row r="484" spans="1:26" ht="12.75">
      <c r="A484" s="11">
        <v>43747.303287037037</v>
      </c>
      <c r="B484" s="12" t="str">
        <f>HYPERLINK("https://twitter.com/IslerNasil","@IslerNasil")</f>
        <v>@IslerNasil</v>
      </c>
      <c r="C484" s="7" t="s">
        <v>4178</v>
      </c>
      <c r="D484" s="7" t="s">
        <v>4179</v>
      </c>
      <c r="E484" s="12" t="str">
        <f>HYPERLINK("https://twitter.com/IslerNasil/status/1181936536524394497","1181936536524394497")</f>
        <v>1181936536524394497</v>
      </c>
      <c r="F484" s="8"/>
      <c r="G484" s="7"/>
      <c r="H484" s="8"/>
      <c r="I484" s="15">
        <v>0</v>
      </c>
      <c r="J484" s="15">
        <v>1</v>
      </c>
      <c r="K484" s="12" t="str">
        <f>HYPERLINK("http://twitter.com/download/android","Twitter for Android")</f>
        <v>Twitter for Android</v>
      </c>
      <c r="L484" s="16">
        <v>109</v>
      </c>
      <c r="M484" s="16">
        <v>131</v>
      </c>
      <c r="N484" s="16">
        <v>1</v>
      </c>
      <c r="O484" s="17"/>
      <c r="P484" s="18">
        <v>41327.155706018515</v>
      </c>
      <c r="Q484" s="7" t="s">
        <v>4183</v>
      </c>
      <c r="R484" s="7" t="s">
        <v>4184</v>
      </c>
      <c r="S484" s="7"/>
      <c r="T484" s="8"/>
      <c r="U484" s="19" t="str">
        <f>HYPERLINK("https://pbs.twimg.com/profile_images/755560779118673920/rp72BT2U.jpg","View")</f>
        <v>View</v>
      </c>
      <c r="V484" s="8"/>
      <c r="W484" s="8"/>
      <c r="X484" s="8"/>
      <c r="Y484" s="8"/>
      <c r="Z484" s="8"/>
    </row>
    <row r="485" spans="1:26" ht="12.75">
      <c r="A485" s="11">
        <v>43747.303263888884</v>
      </c>
      <c r="B485" s="12" t="str">
        <f>HYPERLINK("https://twitter.com/Murat_Efe_IE","@Murat_Efe_IE")</f>
        <v>@Murat_Efe_IE</v>
      </c>
      <c r="C485" s="13" t="s">
        <v>4193</v>
      </c>
      <c r="D485" s="13" t="s">
        <v>4194</v>
      </c>
      <c r="E485" s="12" t="str">
        <f>HYPERLINK("https://twitter.com/Murat_Efe_IE/status/1181936531122085889","1181936531122085889")</f>
        <v>1181936531122085889</v>
      </c>
      <c r="F485" s="8"/>
      <c r="G485" s="14" t="s">
        <v>4197</v>
      </c>
      <c r="H485" s="8"/>
      <c r="I485" s="15">
        <v>0</v>
      </c>
      <c r="J485" s="15">
        <v>0</v>
      </c>
      <c r="K485" s="12" t="str">
        <f>HYPERLINK("http://twitter.com/download/iphone","Twitter for iPhone")</f>
        <v>Twitter for iPhone</v>
      </c>
      <c r="L485" s="16">
        <v>1147</v>
      </c>
      <c r="M485" s="16">
        <v>178</v>
      </c>
      <c r="N485" s="16">
        <v>16</v>
      </c>
      <c r="O485" s="17"/>
      <c r="P485" s="18">
        <v>40766.223807870367</v>
      </c>
      <c r="Q485" s="7" t="s">
        <v>313</v>
      </c>
      <c r="R485" s="13" t="s">
        <v>4201</v>
      </c>
      <c r="S485" s="14" t="s">
        <v>4202</v>
      </c>
      <c r="T485" s="8"/>
      <c r="U485" s="19" t="str">
        <f>HYPERLINK("https://pbs.twimg.com/profile_images/1141660400527843330/XcmCiRn6.jpg","View")</f>
        <v>View</v>
      </c>
      <c r="V485" s="8"/>
      <c r="W485" s="8"/>
      <c r="X485" s="8"/>
      <c r="Y485" s="8"/>
      <c r="Z485" s="8"/>
    </row>
    <row r="486" spans="1:26" ht="12.75">
      <c r="A486" s="11">
        <v>43747.303240740745</v>
      </c>
      <c r="B486" s="12" t="str">
        <f>HYPERLINK("https://twitter.com/SiyasiCambaz","@SiyasiCambaz")</f>
        <v>@SiyasiCambaz</v>
      </c>
      <c r="C486" s="7" t="s">
        <v>4208</v>
      </c>
      <c r="D486" s="7" t="s">
        <v>4209</v>
      </c>
      <c r="E486" s="12" t="str">
        <f>HYPERLINK("https://twitter.com/SiyasiCambaz/status/1181936520464404480","1181936520464404480")</f>
        <v>1181936520464404480</v>
      </c>
      <c r="F486" s="8"/>
      <c r="G486" s="14" t="s">
        <v>4210</v>
      </c>
      <c r="H486" s="8"/>
      <c r="I486" s="15">
        <v>0</v>
      </c>
      <c r="J486" s="15">
        <v>1</v>
      </c>
      <c r="K486" s="12" t="str">
        <f>HYPERLINK("http://twitter.com/download/android","Twitter for Android")</f>
        <v>Twitter for Android</v>
      </c>
      <c r="L486" s="16">
        <v>779</v>
      </c>
      <c r="M486" s="16">
        <v>2006</v>
      </c>
      <c r="N486" s="16">
        <v>0</v>
      </c>
      <c r="O486" s="17"/>
      <c r="P486" s="18">
        <v>43591.784039351856</v>
      </c>
      <c r="Q486" s="7" t="s">
        <v>200</v>
      </c>
      <c r="R486" s="7" t="s">
        <v>4214</v>
      </c>
      <c r="S486" s="7"/>
      <c r="T486" s="8"/>
      <c r="U486" s="19" t="str">
        <f>HYPERLINK("https://pbs.twimg.com/profile_images/1148168239597445120/ZFU2RlQ4.jpg","View")</f>
        <v>View</v>
      </c>
      <c r="V486" s="8"/>
      <c r="W486" s="8"/>
      <c r="X486" s="8"/>
      <c r="Y486" s="8"/>
      <c r="Z486" s="8"/>
    </row>
    <row r="487" spans="1:26" ht="12.75">
      <c r="A487" s="11">
        <v>43747.303217592591</v>
      </c>
      <c r="B487" s="12" t="str">
        <f>HYPERLINK("https://twitter.com/askarrkerim33","@askarrkerim33")</f>
        <v>@askarrkerim33</v>
      </c>
      <c r="C487" s="7" t="s">
        <v>4226</v>
      </c>
      <c r="D487" s="7" t="s">
        <v>4227</v>
      </c>
      <c r="E487" s="12" t="str">
        <f>HYPERLINK("https://twitter.com/askarrkerim33/status/1181936512209960960","1181936512209960960")</f>
        <v>1181936512209960960</v>
      </c>
      <c r="F487" s="8"/>
      <c r="G487" s="14" t="s">
        <v>4228</v>
      </c>
      <c r="H487" s="8"/>
      <c r="I487" s="15">
        <v>0</v>
      </c>
      <c r="J487" s="15">
        <v>1</v>
      </c>
      <c r="K487" s="12" t="str">
        <f>HYPERLINK("http://twitter.com/download/android","Twitter for Android")</f>
        <v>Twitter for Android</v>
      </c>
      <c r="L487" s="16">
        <v>160</v>
      </c>
      <c r="M487" s="16">
        <v>200</v>
      </c>
      <c r="N487" s="16">
        <v>0</v>
      </c>
      <c r="O487" s="17"/>
      <c r="P487" s="18">
        <v>43592.544270833328</v>
      </c>
      <c r="Q487" s="7" t="s">
        <v>1150</v>
      </c>
      <c r="R487" s="7" t="s">
        <v>4234</v>
      </c>
      <c r="S487" s="14" t="s">
        <v>4235</v>
      </c>
      <c r="T487" s="8"/>
      <c r="U487" s="19" t="str">
        <f>HYPERLINK("https://pbs.twimg.com/profile_images/1181924613573492738/4M51z8dA.jpg","View")</f>
        <v>View</v>
      </c>
      <c r="V487" s="8"/>
      <c r="W487" s="8"/>
      <c r="X487" s="8"/>
      <c r="Y487" s="8"/>
      <c r="Z487" s="8"/>
    </row>
    <row r="488" spans="1:26" ht="12.75">
      <c r="A488" s="11">
        <v>43747.303206018521</v>
      </c>
      <c r="B488" s="12" t="str">
        <f>HYPERLINK("https://twitter.com/Mirakuru_APO","@Mirakuru_APO")</f>
        <v>@Mirakuru_APO</v>
      </c>
      <c r="C488" s="13" t="s">
        <v>4238</v>
      </c>
      <c r="D488" s="7" t="s">
        <v>4239</v>
      </c>
      <c r="E488" s="12" t="str">
        <f>HYPERLINK("https://twitter.com/Mirakuru_APO/status/1181936510100213766","1181936510100213766")</f>
        <v>1181936510100213766</v>
      </c>
      <c r="F488" s="8"/>
      <c r="G488" s="15"/>
      <c r="H488" s="8"/>
      <c r="I488" s="15">
        <v>0</v>
      </c>
      <c r="J488" s="15">
        <v>0</v>
      </c>
      <c r="K488" s="12" t="str">
        <f>HYPERLINK("http://twitter.com/download/android","Twitter for Android")</f>
        <v>Twitter for Android</v>
      </c>
      <c r="L488" s="16">
        <v>44</v>
      </c>
      <c r="M488" s="16">
        <v>197</v>
      </c>
      <c r="N488" s="16">
        <v>0</v>
      </c>
      <c r="O488" s="17"/>
      <c r="P488" s="18">
        <v>41576.145983796298</v>
      </c>
      <c r="Q488" s="7" t="s">
        <v>4241</v>
      </c>
      <c r="R488" s="7" t="s">
        <v>4242</v>
      </c>
      <c r="S488" s="7"/>
      <c r="T488" s="8"/>
      <c r="U488" s="19" t="str">
        <f>HYPERLINK("https://pbs.twimg.com/profile_images/1116057614234861570/FqijVCP7.jpg","View")</f>
        <v>View</v>
      </c>
      <c r="V488" s="8"/>
      <c r="W488" s="8"/>
      <c r="X488" s="8"/>
      <c r="Y488" s="8"/>
      <c r="Z488" s="8"/>
    </row>
    <row r="489" spans="1:26" ht="12.75">
      <c r="A489" s="11">
        <v>43747.303171296298</v>
      </c>
      <c r="B489" s="12" t="str">
        <f>HYPERLINK("https://twitter.com/uluyunusss","@uluyunusss")</f>
        <v>@uluyunusss</v>
      </c>
      <c r="C489" s="7" t="s">
        <v>4245</v>
      </c>
      <c r="D489" s="7" t="s">
        <v>4246</v>
      </c>
      <c r="E489" s="12" t="str">
        <f>HYPERLINK("https://twitter.com/uluyunusss/status/1181936495474741250","1181936495474741250")</f>
        <v>1181936495474741250</v>
      </c>
      <c r="F489" s="14" t="s">
        <v>3207</v>
      </c>
      <c r="G489" s="7"/>
      <c r="H489" s="8"/>
      <c r="I489" s="15">
        <v>0</v>
      </c>
      <c r="J489" s="15">
        <v>0</v>
      </c>
      <c r="K489" s="12" t="str">
        <f>HYPERLINK("http://twitter.com/download/android","Twitter for Android")</f>
        <v>Twitter for Android</v>
      </c>
      <c r="L489" s="16">
        <v>67</v>
      </c>
      <c r="M489" s="16">
        <v>152</v>
      </c>
      <c r="N489" s="16">
        <v>1</v>
      </c>
      <c r="O489" s="17"/>
      <c r="P489" s="18">
        <v>42660.984942129631</v>
      </c>
      <c r="Q489" s="7" t="s">
        <v>4250</v>
      </c>
      <c r="R489" s="7" t="s">
        <v>4251</v>
      </c>
      <c r="S489" s="7"/>
      <c r="T489" s="8"/>
      <c r="U489" s="19" t="str">
        <f>HYPERLINK("https://pbs.twimg.com/profile_images/1179286807290114049/MPvkm2Uh.jpg","View")</f>
        <v>View</v>
      </c>
      <c r="V489" s="8"/>
      <c r="W489" s="8"/>
      <c r="X489" s="8"/>
      <c r="Y489" s="8"/>
      <c r="Z489" s="8"/>
    </row>
    <row r="490" spans="1:26" ht="12.75">
      <c r="A490" s="11">
        <v>43747.303148148145</v>
      </c>
      <c r="B490" s="12" t="str">
        <f>HYPERLINK("https://twitter.com/G74M74","@G74M74")</f>
        <v>@G74M74</v>
      </c>
      <c r="C490" s="7" t="s">
        <v>4253</v>
      </c>
      <c r="D490" s="7" t="s">
        <v>4254</v>
      </c>
      <c r="E490" s="12" t="str">
        <f>HYPERLINK("https://twitter.com/G74M74/status/1181936487056773124","1181936487056773124")</f>
        <v>1181936487056773124</v>
      </c>
      <c r="F490" s="8"/>
      <c r="G490" s="15"/>
      <c r="H490" s="8"/>
      <c r="I490" s="15">
        <v>0</v>
      </c>
      <c r="J490" s="15">
        <v>0</v>
      </c>
      <c r="K490" s="12" t="str">
        <f>HYPERLINK("http://twitter.com/download/android","Twitter for Android")</f>
        <v>Twitter for Android</v>
      </c>
      <c r="L490" s="16">
        <v>104</v>
      </c>
      <c r="M490" s="16">
        <v>418</v>
      </c>
      <c r="N490" s="16">
        <v>5</v>
      </c>
      <c r="O490" s="17"/>
      <c r="P490" s="18">
        <v>40986.427581018521</v>
      </c>
      <c r="Q490" s="7" t="s">
        <v>4258</v>
      </c>
      <c r="R490" s="7" t="s">
        <v>4259</v>
      </c>
      <c r="S490" s="7"/>
      <c r="T490" s="8"/>
      <c r="U490" s="19" t="str">
        <f>HYPERLINK("https://pbs.twimg.com/profile_images/937454225315041281/8xJny8hF.jpg","View")</f>
        <v>View</v>
      </c>
      <c r="V490" s="8"/>
      <c r="W490" s="8"/>
      <c r="X490" s="8"/>
      <c r="Y490" s="8"/>
      <c r="Z490" s="8"/>
    </row>
    <row r="491" spans="1:26" ht="12.75">
      <c r="A491" s="11">
        <v>43747.303113425922</v>
      </c>
      <c r="B491" s="12" t="str">
        <f>HYPERLINK("https://twitter.com/Emrullahkkucuk","@Emrullahkkucuk")</f>
        <v>@Emrullahkkucuk</v>
      </c>
      <c r="C491" s="7" t="s">
        <v>4261</v>
      </c>
      <c r="D491" s="7" t="s">
        <v>4262</v>
      </c>
      <c r="E491" s="12" t="str">
        <f>HYPERLINK("https://twitter.com/Emrullahkkucuk/status/1181936474620604421","1181936474620604421")</f>
        <v>1181936474620604421</v>
      </c>
      <c r="F491" s="14" t="s">
        <v>4263</v>
      </c>
      <c r="G491" s="14" t="s">
        <v>4267</v>
      </c>
      <c r="H491" s="8"/>
      <c r="I491" s="15">
        <v>0</v>
      </c>
      <c r="J491" s="15">
        <v>0</v>
      </c>
      <c r="K491" s="12" t="str">
        <f>HYPERLINK("http://twitter.com/download/iphone","Twitter for iPhone")</f>
        <v>Twitter for iPhone</v>
      </c>
      <c r="L491" s="16">
        <v>70</v>
      </c>
      <c r="M491" s="16">
        <v>107</v>
      </c>
      <c r="N491" s="16">
        <v>0</v>
      </c>
      <c r="O491" s="17"/>
      <c r="P491" s="18">
        <v>42783.392500000002</v>
      </c>
      <c r="Q491" s="7" t="s">
        <v>200</v>
      </c>
      <c r="R491" s="7" t="s">
        <v>4270</v>
      </c>
      <c r="S491" s="7"/>
      <c r="T491" s="8"/>
      <c r="U491" s="19" t="str">
        <f>HYPERLINK("https://pbs.twimg.com/profile_images/1169492858354765825/R_dY-tXM.jpg","View")</f>
        <v>View</v>
      </c>
      <c r="V491" s="8"/>
      <c r="W491" s="8"/>
      <c r="X491" s="8"/>
      <c r="Y491" s="8"/>
      <c r="Z491" s="8"/>
    </row>
    <row r="492" spans="1:26" ht="12.75">
      <c r="A492" s="11">
        <v>43747.303090277783</v>
      </c>
      <c r="B492" s="12" t="str">
        <f>HYPERLINK("https://twitter.com/BunlarHepMecaz","@BunlarHepMecaz")</f>
        <v>@BunlarHepMecaz</v>
      </c>
      <c r="C492" s="7" t="s">
        <v>4274</v>
      </c>
      <c r="D492" s="7" t="s">
        <v>4275</v>
      </c>
      <c r="E492" s="12" t="str">
        <f>HYPERLINK("https://twitter.com/BunlarHepMecaz/status/1181936465766428672","1181936465766428672")</f>
        <v>1181936465766428672</v>
      </c>
      <c r="F492" s="8"/>
      <c r="G492" s="14" t="s">
        <v>4278</v>
      </c>
      <c r="H492" s="8"/>
      <c r="I492" s="15">
        <v>0</v>
      </c>
      <c r="J492" s="15">
        <v>1</v>
      </c>
      <c r="K492" s="12" t="str">
        <f>HYPERLINK("http://twitter.com/download/android","Twitter for Android")</f>
        <v>Twitter for Android</v>
      </c>
      <c r="L492" s="16">
        <v>349</v>
      </c>
      <c r="M492" s="16">
        <v>622</v>
      </c>
      <c r="N492" s="16">
        <v>0</v>
      </c>
      <c r="O492" s="17"/>
      <c r="P492" s="18">
        <v>43090.458553240736</v>
      </c>
      <c r="Q492" s="7" t="s">
        <v>69</v>
      </c>
      <c r="R492" s="7" t="s">
        <v>4282</v>
      </c>
      <c r="S492" s="7"/>
      <c r="T492" s="8"/>
      <c r="U492" s="19" t="str">
        <f>HYPERLINK("https://pbs.twimg.com/profile_images/1159759879147532289/uWYPYbli.jpg","View")</f>
        <v>View</v>
      </c>
      <c r="V492" s="8"/>
      <c r="W492" s="8"/>
      <c r="X492" s="8"/>
      <c r="Y492" s="8"/>
      <c r="Z492" s="8"/>
    </row>
    <row r="493" spans="1:26" ht="12.75">
      <c r="A493" s="11">
        <v>43747.303078703699</v>
      </c>
      <c r="B493" s="12" t="str">
        <f>HYPERLINK("https://twitter.com/adnandani41","@adnandani41")</f>
        <v>@adnandani41</v>
      </c>
      <c r="C493" s="7" t="s">
        <v>4293</v>
      </c>
      <c r="D493" s="7" t="s">
        <v>4294</v>
      </c>
      <c r="E493" s="12" t="str">
        <f>HYPERLINK("https://twitter.com/adnandani41/status/1181936461664411648","1181936461664411648")</f>
        <v>1181936461664411648</v>
      </c>
      <c r="F493" s="7"/>
      <c r="G493" s="14" t="s">
        <v>4295</v>
      </c>
      <c r="H493" s="8"/>
      <c r="I493" s="15">
        <v>1</v>
      </c>
      <c r="J493" s="15">
        <v>4</v>
      </c>
      <c r="K493" s="12" t="str">
        <f>HYPERLINK("http://twitter.com/download/android","Twitter for Android")</f>
        <v>Twitter for Android</v>
      </c>
      <c r="L493" s="16">
        <v>1131</v>
      </c>
      <c r="M493" s="16">
        <v>293</v>
      </c>
      <c r="N493" s="16">
        <v>0</v>
      </c>
      <c r="O493" s="17"/>
      <c r="P493" s="18">
        <v>41965.468877314815</v>
      </c>
      <c r="Q493" s="7" t="s">
        <v>4299</v>
      </c>
      <c r="R493" s="7"/>
      <c r="S493" s="7"/>
      <c r="T493" s="8"/>
      <c r="U493" s="19" t="str">
        <f>HYPERLINK("https://pbs.twimg.com/profile_images/1170266465666289667/Jvt97P5u.jpg","View")</f>
        <v>View</v>
      </c>
      <c r="V493" s="8"/>
      <c r="W493" s="8"/>
      <c r="X493" s="8"/>
      <c r="Y493" s="8"/>
      <c r="Z493" s="8"/>
    </row>
    <row r="494" spans="1:26" ht="12.75">
      <c r="A494" s="11">
        <v>43747.303078703699</v>
      </c>
      <c r="B494" s="12" t="str">
        <f>HYPERLINK("https://twitter.com/vildantopak","@vildantopak")</f>
        <v>@vildantopak</v>
      </c>
      <c r="C494" s="7" t="s">
        <v>4302</v>
      </c>
      <c r="D494" s="7" t="s">
        <v>160</v>
      </c>
      <c r="E494" s="12" t="str">
        <f>HYPERLINK("https://twitter.com/vildantopak/status/1181936460884254720","1181936460884254720")</f>
        <v>1181936460884254720</v>
      </c>
      <c r="F494" s="8"/>
      <c r="G494" s="14" t="s">
        <v>4305</v>
      </c>
      <c r="H494" s="8"/>
      <c r="I494" s="15">
        <v>0</v>
      </c>
      <c r="J494" s="15">
        <v>0</v>
      </c>
      <c r="K494" s="12" t="str">
        <f>HYPERLINK("http://twitter.com/download/iphone","Twitter for iPhone")</f>
        <v>Twitter for iPhone</v>
      </c>
      <c r="L494" s="16">
        <v>91</v>
      </c>
      <c r="M494" s="16">
        <v>244</v>
      </c>
      <c r="N494" s="16">
        <v>1</v>
      </c>
      <c r="O494" s="17"/>
      <c r="P494" s="18">
        <v>42047.272048611107</v>
      </c>
      <c r="Q494" s="7" t="s">
        <v>1639</v>
      </c>
      <c r="R494" s="7"/>
      <c r="S494" s="15"/>
      <c r="T494" s="8"/>
      <c r="U494" s="19" t="str">
        <f>HYPERLINK("https://pbs.twimg.com/profile_images/1157431533260685313/upwOrlN-.jpg","View")</f>
        <v>View</v>
      </c>
      <c r="V494" s="8"/>
      <c r="W494" s="8"/>
      <c r="X494" s="8"/>
      <c r="Y494" s="8"/>
      <c r="Z494" s="8"/>
    </row>
    <row r="495" spans="1:26" ht="12.75">
      <c r="A495" s="11">
        <v>43747.303067129629</v>
      </c>
      <c r="B495" s="12" t="str">
        <f>HYPERLINK("https://twitter.com/testoni_michele","@testoni_michele")</f>
        <v>@testoni_michele</v>
      </c>
      <c r="C495" s="7" t="s">
        <v>4311</v>
      </c>
      <c r="D495" s="7" t="s">
        <v>4312</v>
      </c>
      <c r="E495" s="12" t="str">
        <f>HYPERLINK("https://twitter.com/testoni_michele/status/1181936456929087488","1181936456929087488")</f>
        <v>1181936456929087488</v>
      </c>
      <c r="F495" s="8"/>
      <c r="G495" s="15"/>
      <c r="H495" s="8"/>
      <c r="I495" s="15">
        <v>0</v>
      </c>
      <c r="J495" s="15">
        <v>1</v>
      </c>
      <c r="K495" s="12" t="str">
        <f>HYPERLINK("http://twitter.com/download/android","Twitter for Android")</f>
        <v>Twitter for Android</v>
      </c>
      <c r="L495" s="16">
        <v>141</v>
      </c>
      <c r="M495" s="16">
        <v>519</v>
      </c>
      <c r="N495" s="16">
        <v>1</v>
      </c>
      <c r="O495" s="17"/>
      <c r="P495" s="18">
        <v>43285.199479166666</v>
      </c>
      <c r="Q495" s="7" t="s">
        <v>4314</v>
      </c>
      <c r="R495" s="7" t="s">
        <v>4315</v>
      </c>
      <c r="S495" s="14" t="s">
        <v>4316</v>
      </c>
      <c r="T495" s="8"/>
      <c r="U495" s="19" t="str">
        <f>HYPERLINK("https://pbs.twimg.com/profile_images/1014477049661153280/C7BZzZjD.jpg","View")</f>
        <v>View</v>
      </c>
      <c r="V495" s="8"/>
      <c r="W495" s="8"/>
      <c r="X495" s="8"/>
      <c r="Y495" s="8"/>
      <c r="Z495" s="8"/>
    </row>
    <row r="496" spans="1:26" ht="12.75">
      <c r="A496" s="11">
        <v>43747.303032407406</v>
      </c>
      <c r="B496" s="12" t="str">
        <f>HYPERLINK("https://twitter.com/YukselMinic","@YukselMinic")</f>
        <v>@YukselMinic</v>
      </c>
      <c r="C496" s="7" t="s">
        <v>4322</v>
      </c>
      <c r="D496" s="7" t="s">
        <v>4323</v>
      </c>
      <c r="E496" s="12" t="str">
        <f>HYPERLINK("https://twitter.com/YukselMinic/status/1181936443909984256","1181936443909984256")</f>
        <v>1181936443909984256</v>
      </c>
      <c r="F496" s="8"/>
      <c r="G496" s="14" t="s">
        <v>4324</v>
      </c>
      <c r="H496" s="8"/>
      <c r="I496" s="15">
        <v>0</v>
      </c>
      <c r="J496" s="15">
        <v>0</v>
      </c>
      <c r="K496" s="12" t="str">
        <f>HYPERLINK("http://twitter.com/download/iphone","Twitter for iPhone")</f>
        <v>Twitter for iPhone</v>
      </c>
      <c r="L496" s="16">
        <v>293</v>
      </c>
      <c r="M496" s="16">
        <v>293</v>
      </c>
      <c r="N496" s="16">
        <v>1</v>
      </c>
      <c r="O496" s="17"/>
      <c r="P496" s="18">
        <v>40710.145254629628</v>
      </c>
      <c r="Q496" s="7"/>
      <c r="R496" s="7" t="s">
        <v>4328</v>
      </c>
      <c r="S496" s="7"/>
      <c r="T496" s="8"/>
      <c r="U496" s="19" t="str">
        <f>HYPERLINK("https://pbs.twimg.com/profile_images/462210643148668928/jK8FgHP6.jpeg","View")</f>
        <v>View</v>
      </c>
      <c r="V496" s="8"/>
      <c r="W496" s="8"/>
      <c r="X496" s="8"/>
      <c r="Y496" s="8"/>
      <c r="Z496" s="8"/>
    </row>
    <row r="497" spans="1:26" ht="12.75">
      <c r="A497" s="11">
        <v>43747.302986111114</v>
      </c>
      <c r="B497" s="12" t="str">
        <f>HYPERLINK("https://twitter.com/m_furkankoca","@m_furkankoca")</f>
        <v>@m_furkankoca</v>
      </c>
      <c r="C497" s="7" t="s">
        <v>4335</v>
      </c>
      <c r="D497" s="7" t="s">
        <v>4336</v>
      </c>
      <c r="E497" s="12" t="str">
        <f>HYPERLINK("https://twitter.com/m_furkankoca/status/1181936429678637057","1181936429678637057")</f>
        <v>1181936429678637057</v>
      </c>
      <c r="F497" s="8"/>
      <c r="G497" s="14" t="s">
        <v>4340</v>
      </c>
      <c r="H497" s="8"/>
      <c r="I497" s="15">
        <v>0</v>
      </c>
      <c r="J497" s="15">
        <v>7</v>
      </c>
      <c r="K497" s="12" t="str">
        <f>HYPERLINK("http://twitter.com/download/android","Twitter for Android")</f>
        <v>Twitter for Android</v>
      </c>
      <c r="L497" s="16">
        <v>298</v>
      </c>
      <c r="M497" s="16">
        <v>295</v>
      </c>
      <c r="N497" s="16">
        <v>0</v>
      </c>
      <c r="O497" s="17"/>
      <c r="P497" s="18">
        <v>40988.421053240745</v>
      </c>
      <c r="Q497" s="7" t="s">
        <v>287</v>
      </c>
      <c r="R497" s="7" t="s">
        <v>4343</v>
      </c>
      <c r="S497" s="7"/>
      <c r="T497" s="8"/>
      <c r="U497" s="19" t="str">
        <f>HYPERLINK("https://pbs.twimg.com/profile_images/1155164735412850688/Tenuvgqj.jpg","View")</f>
        <v>View</v>
      </c>
      <c r="V497" s="8"/>
      <c r="W497" s="8"/>
      <c r="X497" s="8"/>
      <c r="Y497" s="8"/>
      <c r="Z497" s="8"/>
    </row>
    <row r="498" spans="1:26" ht="12.75">
      <c r="A498" s="11">
        <v>43747.302986111114</v>
      </c>
      <c r="B498" s="12" t="str">
        <f>HYPERLINK("https://twitter.com/ozkurmuhammet","@ozkurmuhammet")</f>
        <v>@ozkurmuhammet</v>
      </c>
      <c r="C498" s="7" t="s">
        <v>4345</v>
      </c>
      <c r="D498" s="7" t="s">
        <v>4347</v>
      </c>
      <c r="E498" s="12" t="str">
        <f>HYPERLINK("https://twitter.com/ozkurmuhammet/status/1181936427568898054","1181936427568898054")</f>
        <v>1181936427568898054</v>
      </c>
      <c r="F498" s="15"/>
      <c r="G498" s="15"/>
      <c r="H498" s="8"/>
      <c r="I498" s="15">
        <v>0</v>
      </c>
      <c r="J498" s="15">
        <v>1</v>
      </c>
      <c r="K498" s="12" t="str">
        <f>HYPERLINK("http://twitter.com/download/android","Twitter for Android")</f>
        <v>Twitter for Android</v>
      </c>
      <c r="L498" s="16">
        <v>102</v>
      </c>
      <c r="M498" s="16">
        <v>262</v>
      </c>
      <c r="N498" s="16">
        <v>0</v>
      </c>
      <c r="O498" s="17"/>
      <c r="P498" s="18">
        <v>41272.229953703703</v>
      </c>
      <c r="Q498" s="7" t="s">
        <v>4352</v>
      </c>
      <c r="R498" s="7" t="s">
        <v>4353</v>
      </c>
      <c r="S498" s="7"/>
      <c r="T498" s="8"/>
      <c r="U498" s="19" t="str">
        <f>HYPERLINK("https://pbs.twimg.com/profile_images/1031569055415771137/8exG7LAj.jpg","View")</f>
        <v>View</v>
      </c>
      <c r="V498" s="8"/>
      <c r="W498" s="8"/>
      <c r="X498" s="8"/>
      <c r="Y498" s="8"/>
      <c r="Z498" s="8"/>
    </row>
    <row r="499" spans="1:26" ht="12.75">
      <c r="A499" s="11">
        <v>43747.302951388891</v>
      </c>
      <c r="B499" s="12" t="str">
        <f>HYPERLINK("https://twitter.com/ferhatbengisu","@ferhatbengisu")</f>
        <v>@ferhatbengisu</v>
      </c>
      <c r="C499" s="7" t="s">
        <v>4364</v>
      </c>
      <c r="D499" s="7" t="s">
        <v>4365</v>
      </c>
      <c r="E499" s="12" t="str">
        <f>HYPERLINK("https://twitter.com/ferhatbengisu/status/1181936416890277888","1181936416890277888")</f>
        <v>1181936416890277888</v>
      </c>
      <c r="F499" s="7"/>
      <c r="G499" s="14" t="s">
        <v>4366</v>
      </c>
      <c r="H499" s="8"/>
      <c r="I499" s="15">
        <v>0</v>
      </c>
      <c r="J499" s="15">
        <v>0</v>
      </c>
      <c r="K499" s="12" t="str">
        <f>HYPERLINK("http://twitter.com/download/android","Twitter for Android")</f>
        <v>Twitter for Android</v>
      </c>
      <c r="L499" s="16">
        <v>528</v>
      </c>
      <c r="M499" s="16">
        <v>1329</v>
      </c>
      <c r="N499" s="16">
        <v>0</v>
      </c>
      <c r="O499" s="17"/>
      <c r="P499" s="18">
        <v>40399.61383101852</v>
      </c>
      <c r="Q499" s="7" t="s">
        <v>4371</v>
      </c>
      <c r="R499" s="7" t="s">
        <v>4372</v>
      </c>
      <c r="S499" s="7"/>
      <c r="T499" s="8"/>
      <c r="U499" s="19" t="str">
        <f>HYPERLINK("https://pbs.twimg.com/profile_images/1168768477294936066/gs12IRYd.jpg","View")</f>
        <v>View</v>
      </c>
      <c r="V499" s="8"/>
      <c r="W499" s="8"/>
      <c r="X499" s="8"/>
      <c r="Y499" s="8"/>
      <c r="Z499" s="8"/>
    </row>
    <row r="500" spans="1:26" ht="12.75">
      <c r="A500" s="11">
        <v>43747.302928240737</v>
      </c>
      <c r="B500" s="12" t="str">
        <f>HYPERLINK("https://twitter.com/Blackst80000776","@Blackst80000776")</f>
        <v>@Blackst80000776</v>
      </c>
      <c r="C500" s="7" t="s">
        <v>4374</v>
      </c>
      <c r="D500" s="7" t="s">
        <v>160</v>
      </c>
      <c r="E500" s="12" t="str">
        <f>HYPERLINK("https://twitter.com/Blackst80000776/status/1181936406429609985","1181936406429609985")</f>
        <v>1181936406429609985</v>
      </c>
      <c r="F500" s="8"/>
      <c r="G500" s="7"/>
      <c r="H500" s="8"/>
      <c r="I500" s="15">
        <v>0</v>
      </c>
      <c r="J500" s="15">
        <v>0</v>
      </c>
      <c r="K500" s="12" t="str">
        <f>HYPERLINK("http://twitter.com/download/android","Twitter for Android")</f>
        <v>Twitter for Android</v>
      </c>
      <c r="L500" s="16">
        <v>1</v>
      </c>
      <c r="M500" s="16">
        <v>13</v>
      </c>
      <c r="N500" s="16">
        <v>0</v>
      </c>
      <c r="O500" s="17"/>
      <c r="P500" s="18">
        <v>43376.187627314815</v>
      </c>
      <c r="Q500" s="7"/>
      <c r="R500" s="7"/>
      <c r="S500" s="15"/>
      <c r="T500" s="8"/>
      <c r="U500" s="19" t="str">
        <f>HYPERLINK("https://pbs.twimg.com/profile_images/1047449293962006528/mfMQT8hL.jpg","View")</f>
        <v>View</v>
      </c>
      <c r="V500" s="8"/>
      <c r="W500" s="8"/>
      <c r="X500" s="8"/>
      <c r="Y500" s="8"/>
      <c r="Z500" s="8"/>
    </row>
    <row r="501" spans="1:26" ht="12.75">
      <c r="A501" s="11">
        <v>43747.302916666667</v>
      </c>
      <c r="B501" s="12" t="str">
        <f>HYPERLINK("https://twitter.com/SivasMttb","@SivasMttb")</f>
        <v>@SivasMttb</v>
      </c>
      <c r="C501" s="7" t="s">
        <v>4379</v>
      </c>
      <c r="D501" s="7" t="s">
        <v>3843</v>
      </c>
      <c r="E501" s="12" t="str">
        <f>HYPERLINK("https://twitter.com/SivasMttb/status/1181936402860253184","1181936402860253184")</f>
        <v>1181936402860253184</v>
      </c>
      <c r="F501" s="8"/>
      <c r="G501" s="14" t="s">
        <v>4381</v>
      </c>
      <c r="H501" s="8"/>
      <c r="I501" s="15">
        <v>1</v>
      </c>
      <c r="J501" s="15">
        <v>1</v>
      </c>
      <c r="K501" s="12" t="str">
        <f>HYPERLINK("http://twitter.com/download/android","Twitter for Android")</f>
        <v>Twitter for Android</v>
      </c>
      <c r="L501" s="16">
        <v>306</v>
      </c>
      <c r="M501" s="16">
        <v>41</v>
      </c>
      <c r="N501" s="16">
        <v>1</v>
      </c>
      <c r="O501" s="17"/>
      <c r="P501" s="18">
        <v>42825.167256944449</v>
      </c>
      <c r="Q501" s="7" t="s">
        <v>1193</v>
      </c>
      <c r="R501" s="7" t="s">
        <v>4385</v>
      </c>
      <c r="S501" s="14" t="s">
        <v>4386</v>
      </c>
      <c r="T501" s="8"/>
      <c r="U501" s="19" t="str">
        <f>HYPERLINK("https://pbs.twimg.com/profile_images/906071583164391424/lpW34edS.jpg","View")</f>
        <v>View</v>
      </c>
      <c r="V501" s="8"/>
      <c r="W501" s="8"/>
      <c r="X501" s="8"/>
      <c r="Y501" s="8"/>
      <c r="Z501" s="8"/>
    </row>
    <row r="502" spans="1:26" ht="12.75">
      <c r="A502" s="11">
        <v>43747.302858796298</v>
      </c>
      <c r="B502" s="12" t="str">
        <f>HYPERLINK("https://twitter.com/settar_ali","@settar_ali")</f>
        <v>@settar_ali</v>
      </c>
      <c r="C502" s="7" t="s">
        <v>4393</v>
      </c>
      <c r="D502" s="7" t="s">
        <v>4395</v>
      </c>
      <c r="E502" s="12" t="str">
        <f>HYPERLINK("https://twitter.com/settar_ali/status/1181936380768849922","1181936380768849922")</f>
        <v>1181936380768849922</v>
      </c>
      <c r="F502" s="15"/>
      <c r="G502" s="14" t="s">
        <v>4397</v>
      </c>
      <c r="H502" s="8"/>
      <c r="I502" s="15">
        <v>0</v>
      </c>
      <c r="J502" s="15">
        <v>0</v>
      </c>
      <c r="K502" s="12" t="str">
        <f>HYPERLINK("http://twitter.com/download/iphone","Twitter for iPhone")</f>
        <v>Twitter for iPhone</v>
      </c>
      <c r="L502" s="16">
        <v>53</v>
      </c>
      <c r="M502" s="16">
        <v>87</v>
      </c>
      <c r="N502" s="16">
        <v>0</v>
      </c>
      <c r="O502" s="17"/>
      <c r="P502" s="18">
        <v>42818.556539351848</v>
      </c>
      <c r="Q502" s="7" t="s">
        <v>4399</v>
      </c>
      <c r="R502" s="7" t="s">
        <v>4400</v>
      </c>
      <c r="S502" s="7"/>
      <c r="T502" s="8"/>
      <c r="U502" s="19" t="str">
        <f>HYPERLINK("https://pbs.twimg.com/profile_images/1009827784783486977/houUuOnn.jpg","View")</f>
        <v>View</v>
      </c>
      <c r="V502" s="8"/>
      <c r="W502" s="8"/>
      <c r="X502" s="8"/>
      <c r="Y502" s="8"/>
      <c r="Z502" s="8"/>
    </row>
    <row r="503" spans="1:26" ht="12.75">
      <c r="A503" s="11">
        <v>43747.302858796298</v>
      </c>
      <c r="B503" s="12" t="str">
        <f>HYPERLINK("https://twitter.com/engnardaa","@engnardaa")</f>
        <v>@engnardaa</v>
      </c>
      <c r="C503" s="7" t="s">
        <v>4403</v>
      </c>
      <c r="D503" s="7" t="s">
        <v>4404</v>
      </c>
      <c r="E503" s="12" t="str">
        <f>HYPERLINK("https://twitter.com/engnardaa/status/1181936380219408389","1181936380219408389")</f>
        <v>1181936380219408389</v>
      </c>
      <c r="F503" s="8"/>
      <c r="G503" s="15"/>
      <c r="H503" s="8"/>
      <c r="I503" s="15">
        <v>0</v>
      </c>
      <c r="J503" s="15">
        <v>3</v>
      </c>
      <c r="K503" s="12" t="str">
        <f>HYPERLINK("http://twitter.com/download/iphone","Twitter for iPhone")</f>
        <v>Twitter for iPhone</v>
      </c>
      <c r="L503" s="16">
        <v>201</v>
      </c>
      <c r="M503" s="16">
        <v>266</v>
      </c>
      <c r="N503" s="16">
        <v>0</v>
      </c>
      <c r="O503" s="20"/>
      <c r="P503" s="18">
        <v>40896.176134259258</v>
      </c>
      <c r="Q503" s="7"/>
      <c r="R503" s="7" t="s">
        <v>4406</v>
      </c>
      <c r="S503" s="15"/>
      <c r="T503" s="8"/>
      <c r="U503" s="19" t="str">
        <f>HYPERLINK("https://pbs.twimg.com/profile_images/1121050926884753408/ko8yPtSg.jpg","View")</f>
        <v>View</v>
      </c>
      <c r="V503" s="8"/>
      <c r="W503" s="8"/>
      <c r="X503" s="8"/>
      <c r="Y503" s="8"/>
      <c r="Z503" s="8"/>
    </row>
    <row r="504" spans="1:26" ht="12.75">
      <c r="A504" s="11">
        <v>43747.302835648152</v>
      </c>
      <c r="B504" s="12" t="str">
        <f>HYPERLINK("https://twitter.com/kptylmz","@kptylmz")</f>
        <v>@kptylmz</v>
      </c>
      <c r="C504" s="7" t="s">
        <v>4410</v>
      </c>
      <c r="D504" s="7" t="s">
        <v>4411</v>
      </c>
      <c r="E504" s="12" t="str">
        <f>HYPERLINK("https://twitter.com/kptylmz/status/1181936374229983233","1181936374229983233")</f>
        <v>1181936374229983233</v>
      </c>
      <c r="F504" s="8"/>
      <c r="G504" s="15"/>
      <c r="H504" s="8"/>
      <c r="I504" s="15">
        <v>0</v>
      </c>
      <c r="J504" s="15">
        <v>1</v>
      </c>
      <c r="K504" s="12" t="str">
        <f>HYPERLINK("http://twitter.com/download/android","Twitter for Android")</f>
        <v>Twitter for Android</v>
      </c>
      <c r="L504" s="16">
        <v>253</v>
      </c>
      <c r="M504" s="16">
        <v>207</v>
      </c>
      <c r="N504" s="16">
        <v>0</v>
      </c>
      <c r="O504" s="17"/>
      <c r="P504" s="18">
        <v>43113.455821759257</v>
      </c>
      <c r="Q504" s="7" t="s">
        <v>4415</v>
      </c>
      <c r="R504" s="7" t="s">
        <v>4416</v>
      </c>
      <c r="S504" s="15"/>
      <c r="T504" s="8"/>
      <c r="U504" s="19" t="str">
        <f>HYPERLINK("https://pbs.twimg.com/profile_images/1164607553663373315/CMj6xHBU.jpg","View")</f>
        <v>View</v>
      </c>
      <c r="V504" s="8"/>
      <c r="W504" s="8"/>
      <c r="X504" s="8"/>
      <c r="Y504" s="8"/>
      <c r="Z504" s="8"/>
    </row>
    <row r="505" spans="1:26" ht="12.75">
      <c r="A505" s="11">
        <v>43747.302824074075</v>
      </c>
      <c r="B505" s="12" t="str">
        <f>HYPERLINK("https://twitter.com/okanturan1903","@okanturan1903")</f>
        <v>@okanturan1903</v>
      </c>
      <c r="C505" s="7" t="s">
        <v>4417</v>
      </c>
      <c r="D505" s="7" t="s">
        <v>1077</v>
      </c>
      <c r="E505" s="12" t="str">
        <f>HYPERLINK("https://twitter.com/okanturan1903/status/1181936368332742657","1181936368332742657")</f>
        <v>1181936368332742657</v>
      </c>
      <c r="F505" s="15"/>
      <c r="G505" s="14" t="s">
        <v>4419</v>
      </c>
      <c r="H505" s="8"/>
      <c r="I505" s="15">
        <v>0</v>
      </c>
      <c r="J505" s="15">
        <v>0</v>
      </c>
      <c r="K505" s="12" t="str">
        <f>HYPERLINK("http://twitter.com/download/iphone","Twitter for iPhone")</f>
        <v>Twitter for iPhone</v>
      </c>
      <c r="L505" s="16">
        <v>187</v>
      </c>
      <c r="M505" s="16">
        <v>14</v>
      </c>
      <c r="N505" s="16">
        <v>0</v>
      </c>
      <c r="O505" s="17"/>
      <c r="P505" s="18">
        <v>42571.207997685182</v>
      </c>
      <c r="Q505" s="7" t="s">
        <v>4422</v>
      </c>
      <c r="R505" s="7" t="s">
        <v>4423</v>
      </c>
      <c r="S505" s="7"/>
      <c r="T505" s="8"/>
      <c r="U505" s="19" t="str">
        <f>HYPERLINK("https://pbs.twimg.com/profile_images/1151817456664612864/0OPhipDZ.jpg","View")</f>
        <v>View</v>
      </c>
      <c r="V505" s="8"/>
      <c r="W505" s="8"/>
      <c r="X505" s="8"/>
      <c r="Y505" s="8"/>
      <c r="Z505" s="8"/>
    </row>
    <row r="506" spans="1:26" ht="12.75">
      <c r="A506" s="11">
        <v>43747.302789351852</v>
      </c>
      <c r="B506" s="12" t="str">
        <f>HYPERLINK("https://twitter.com/FatmaBolac","@FatmaBolac")</f>
        <v>@FatmaBolac</v>
      </c>
      <c r="C506" s="7" t="s">
        <v>4426</v>
      </c>
      <c r="D506" s="7" t="s">
        <v>4428</v>
      </c>
      <c r="E506" s="12" t="str">
        <f>HYPERLINK("https://twitter.com/FatmaBolac/status/1181936356697808896","1181936356697808896")</f>
        <v>1181936356697808896</v>
      </c>
      <c r="F506" s="8" t="s">
        <v>3079</v>
      </c>
      <c r="G506" s="14" t="s">
        <v>3080</v>
      </c>
      <c r="H506" s="8"/>
      <c r="I506" s="15">
        <v>0</v>
      </c>
      <c r="J506" s="15">
        <v>0</v>
      </c>
      <c r="K506" s="12" t="str">
        <f>HYPERLINK("http://twitter.com/download/android","Twitter for Android")</f>
        <v>Twitter for Android</v>
      </c>
      <c r="L506" s="16">
        <v>156</v>
      </c>
      <c r="M506" s="16">
        <v>471</v>
      </c>
      <c r="N506" s="16">
        <v>0</v>
      </c>
      <c r="O506" s="17"/>
      <c r="P506" s="18">
        <v>42221.319108796291</v>
      </c>
      <c r="Q506" s="7" t="s">
        <v>1150</v>
      </c>
      <c r="R506" s="7" t="s">
        <v>4432</v>
      </c>
      <c r="S506" s="15"/>
      <c r="T506" s="8"/>
      <c r="U506" s="19" t="str">
        <f>HYPERLINK("https://pbs.twimg.com/profile_images/1143901137638174720/4JXLCBfg.jpg","View")</f>
        <v>View</v>
      </c>
      <c r="V506" s="8"/>
      <c r="W506" s="8"/>
      <c r="X506" s="8"/>
      <c r="Y506" s="8"/>
      <c r="Z506" s="8"/>
    </row>
    <row r="507" spans="1:26" ht="12.75">
      <c r="A507" s="11">
        <v>43747.302789351852</v>
      </c>
      <c r="B507" s="12" t="str">
        <f>HYPERLINK("https://twitter.com/mstfdrkt","@mstfdrkt")</f>
        <v>@mstfdrkt</v>
      </c>
      <c r="C507" s="13" t="s">
        <v>4436</v>
      </c>
      <c r="D507" s="7" t="s">
        <v>4437</v>
      </c>
      <c r="E507" s="12" t="str">
        <f>HYPERLINK("https://twitter.com/mstfdrkt/status/1181936355359838209","1181936355359838209")</f>
        <v>1181936355359838209</v>
      </c>
      <c r="F507" s="8"/>
      <c r="G507" s="14" t="s">
        <v>4438</v>
      </c>
      <c r="H507" s="8"/>
      <c r="I507" s="15">
        <v>1</v>
      </c>
      <c r="J507" s="15">
        <v>1</v>
      </c>
      <c r="K507" s="12" t="str">
        <f>HYPERLINK("http://twitter.com/download/android","Twitter for Android")</f>
        <v>Twitter for Android</v>
      </c>
      <c r="L507" s="16">
        <v>1111</v>
      </c>
      <c r="M507" s="16">
        <v>1147</v>
      </c>
      <c r="N507" s="16">
        <v>0</v>
      </c>
      <c r="O507" s="17"/>
      <c r="P507" s="18">
        <v>43352.509201388893</v>
      </c>
      <c r="Q507" s="7" t="s">
        <v>4442</v>
      </c>
      <c r="R507" s="7" t="s">
        <v>4443</v>
      </c>
      <c r="S507" s="7"/>
      <c r="T507" s="8"/>
      <c r="U507" s="19" t="str">
        <f>HYPERLINK("https://pbs.twimg.com/profile_images/1181539080003297281/6XRd_ljk.jpg","View")</f>
        <v>View</v>
      </c>
      <c r="V507" s="8"/>
      <c r="W507" s="8"/>
      <c r="X507" s="8"/>
      <c r="Y507" s="8"/>
      <c r="Z507" s="8"/>
    </row>
    <row r="508" spans="1:26" ht="12.75">
      <c r="A508" s="11">
        <v>43747.302766203706</v>
      </c>
      <c r="B508" s="12" t="str">
        <f>HYPERLINK("https://twitter.com/SMSener","@SMSener")</f>
        <v>@SMSener</v>
      </c>
      <c r="C508" s="7" t="s">
        <v>4444</v>
      </c>
      <c r="D508" s="7" t="s">
        <v>4445</v>
      </c>
      <c r="E508" s="12" t="str">
        <f>HYPERLINK("https://twitter.com/SMSener/status/1181936347130580992","1181936347130580992")</f>
        <v>1181936347130580992</v>
      </c>
      <c r="F508" s="8"/>
      <c r="G508" s="15"/>
      <c r="H508" s="8"/>
      <c r="I508" s="15">
        <v>0</v>
      </c>
      <c r="J508" s="15">
        <v>3</v>
      </c>
      <c r="K508" s="12" t="str">
        <f>HYPERLINK("http://twitter.com/download/android","Twitter for Android")</f>
        <v>Twitter for Android</v>
      </c>
      <c r="L508" s="16">
        <v>9851</v>
      </c>
      <c r="M508" s="16">
        <v>367</v>
      </c>
      <c r="N508" s="16">
        <v>8</v>
      </c>
      <c r="O508" s="17"/>
      <c r="P508" s="18">
        <v>40899.368101851855</v>
      </c>
      <c r="Q508" s="7" t="s">
        <v>4449</v>
      </c>
      <c r="R508" s="7" t="s">
        <v>4450</v>
      </c>
      <c r="S508" s="14" t="s">
        <v>4451</v>
      </c>
      <c r="T508" s="8"/>
      <c r="U508" s="19" t="str">
        <f>HYPERLINK("https://pbs.twimg.com/profile_images/1142842958301093888/b3fDb0ed.jpg","View")</f>
        <v>View</v>
      </c>
      <c r="V508" s="8"/>
      <c r="W508" s="8"/>
      <c r="X508" s="8"/>
      <c r="Y508" s="8"/>
      <c r="Z508" s="8"/>
    </row>
    <row r="509" spans="1:26" ht="12.75">
      <c r="A509" s="11">
        <v>43747.302719907406</v>
      </c>
      <c r="B509" s="12" t="str">
        <f>HYPERLINK("https://twitter.com/dgnbrk1982","@dgnbrk1982")</f>
        <v>@dgnbrk1982</v>
      </c>
      <c r="C509" s="7" t="s">
        <v>4457</v>
      </c>
      <c r="D509" s="7" t="s">
        <v>4458</v>
      </c>
      <c r="E509" s="12" t="str">
        <f>HYPERLINK("https://twitter.com/dgnbrk1982/status/1181936332572151811","1181936332572151811")</f>
        <v>1181936332572151811</v>
      </c>
      <c r="F509" s="15"/>
      <c r="G509" s="15"/>
      <c r="H509" s="8"/>
      <c r="I509" s="15">
        <v>0</v>
      </c>
      <c r="J509" s="15">
        <v>0</v>
      </c>
      <c r="K509" s="12" t="str">
        <f>HYPERLINK("http://twitter.com/download/android","Twitter for Android")</f>
        <v>Twitter for Android</v>
      </c>
      <c r="L509" s="16">
        <v>219</v>
      </c>
      <c r="M509" s="16">
        <v>311</v>
      </c>
      <c r="N509" s="16">
        <v>0</v>
      </c>
      <c r="O509" s="17"/>
      <c r="P509" s="18">
        <v>43016.190347222218</v>
      </c>
      <c r="Q509" s="7" t="s">
        <v>313</v>
      </c>
      <c r="R509" s="7" t="s">
        <v>4459</v>
      </c>
      <c r="S509" s="15"/>
      <c r="T509" s="8"/>
      <c r="U509" s="19" t="str">
        <f>HYPERLINK("https://pbs.twimg.com/profile_images/1176376605649854464/srsHfXoW.jpg","View")</f>
        <v>View</v>
      </c>
      <c r="V509" s="8"/>
      <c r="W509" s="8"/>
      <c r="X509" s="8"/>
      <c r="Y509" s="8"/>
      <c r="Z509" s="8"/>
    </row>
    <row r="510" spans="1:26" ht="12.75">
      <c r="A510" s="11">
        <v>43747.30268518519</v>
      </c>
      <c r="B510" s="12" t="str">
        <f>HYPERLINK("https://twitter.com/unknown_01324","@unknown_01324")</f>
        <v>@unknown_01324</v>
      </c>
      <c r="C510" s="7" t="s">
        <v>4469</v>
      </c>
      <c r="D510" s="7" t="s">
        <v>4470</v>
      </c>
      <c r="E510" s="12" t="str">
        <f>HYPERLINK("https://twitter.com/unknown_01324/status/1181936318106017793","1181936318106017793")</f>
        <v>1181936318106017793</v>
      </c>
      <c r="F510" s="8"/>
      <c r="G510" s="15"/>
      <c r="H510" s="8"/>
      <c r="I510" s="15">
        <v>0</v>
      </c>
      <c r="J510" s="15">
        <v>0</v>
      </c>
      <c r="K510" s="12" t="str">
        <f>HYPERLINK("http://twitter.com/download/android","Twitter for Android")</f>
        <v>Twitter for Android</v>
      </c>
      <c r="L510" s="16">
        <v>14</v>
      </c>
      <c r="M510" s="16">
        <v>204</v>
      </c>
      <c r="N510" s="16">
        <v>0</v>
      </c>
      <c r="O510" s="17"/>
      <c r="P510" s="18">
        <v>43553.039166666669</v>
      </c>
      <c r="Q510" s="7" t="s">
        <v>4471</v>
      </c>
      <c r="R510" s="7" t="s">
        <v>4472</v>
      </c>
      <c r="S510" s="7"/>
      <c r="T510" s="8"/>
      <c r="U510" s="19" t="str">
        <f>HYPERLINK("https://pbs.twimg.com/profile_images/1111543452259495936/GCM6hlfF.jpg","View")</f>
        <v>View</v>
      </c>
      <c r="V510" s="8"/>
      <c r="W510" s="8"/>
      <c r="X510" s="8"/>
      <c r="Y510" s="8"/>
      <c r="Z510" s="8"/>
    </row>
    <row r="511" spans="1:26" ht="12.75">
      <c r="A511" s="11">
        <v>43747.302650462967</v>
      </c>
      <c r="B511" s="12" t="str">
        <f>HYPERLINK("https://twitter.com/imna_farsi","@imna_farsi")</f>
        <v>@imna_farsi</v>
      </c>
      <c r="C511" s="7" t="s">
        <v>4481</v>
      </c>
      <c r="D511" s="7" t="s">
        <v>4482</v>
      </c>
      <c r="E511" s="12" t="str">
        <f>HYPERLINK("https://twitter.com/imna_farsi/status/1181936307473457154","1181936307473457154")</f>
        <v>1181936307473457154</v>
      </c>
      <c r="F511" s="8"/>
      <c r="G511" s="14" t="s">
        <v>4483</v>
      </c>
      <c r="H511" s="8"/>
      <c r="I511" s="15">
        <v>0</v>
      </c>
      <c r="J511" s="15">
        <v>0</v>
      </c>
      <c r="K511" s="12" t="str">
        <f>HYPERLINK("http://twitter.com/download/iphone","Twitter for iPhone")</f>
        <v>Twitter for iPhone</v>
      </c>
      <c r="L511" s="16">
        <v>4519</v>
      </c>
      <c r="M511" s="16">
        <v>3328</v>
      </c>
      <c r="N511" s="16">
        <v>21</v>
      </c>
      <c r="O511" s="17"/>
      <c r="P511" s="18">
        <v>43345.235763888893</v>
      </c>
      <c r="Q511" s="7" t="s">
        <v>4487</v>
      </c>
      <c r="R511" s="7" t="s">
        <v>4488</v>
      </c>
      <c r="S511" s="14" t="s">
        <v>4489</v>
      </c>
      <c r="T511" s="8"/>
      <c r="U511" s="19" t="str">
        <f>HYPERLINK("https://pbs.twimg.com/profile_images/1160622617474273282/WWa0W6zp.jpg","View")</f>
        <v>View</v>
      </c>
      <c r="V511" s="8"/>
      <c r="W511" s="8"/>
      <c r="X511" s="8"/>
      <c r="Y511" s="8"/>
      <c r="Z511" s="8"/>
    </row>
    <row r="512" spans="1:26" ht="12.75">
      <c r="A512" s="11">
        <v>43747.302627314813</v>
      </c>
      <c r="B512" s="12" t="str">
        <f>HYPERLINK("https://twitter.com/Bedirha84741583","@Bedirha84741583")</f>
        <v>@Bedirha84741583</v>
      </c>
      <c r="C512" s="7" t="s">
        <v>4493</v>
      </c>
      <c r="D512" s="7" t="s">
        <v>4494</v>
      </c>
      <c r="E512" s="12" t="str">
        <f>HYPERLINK("https://twitter.com/Bedirha84741583/status/1181936298329858050","1181936298329858050")</f>
        <v>1181936298329858050</v>
      </c>
      <c r="F512" s="8"/>
      <c r="G512" s="14" t="s">
        <v>4496</v>
      </c>
      <c r="H512" s="8"/>
      <c r="I512" s="15">
        <v>0</v>
      </c>
      <c r="J512" s="15">
        <v>0</v>
      </c>
      <c r="K512" s="12" t="str">
        <f>HYPERLINK("http://twitter.com/download/android","Twitter for Android")</f>
        <v>Twitter for Android</v>
      </c>
      <c r="L512" s="16">
        <v>2</v>
      </c>
      <c r="M512" s="16">
        <v>0</v>
      </c>
      <c r="N512" s="16">
        <v>0</v>
      </c>
      <c r="O512" s="17"/>
      <c r="P512" s="18">
        <v>43528.977997685186</v>
      </c>
      <c r="Q512" s="7"/>
      <c r="R512" s="7"/>
      <c r="S512" s="7"/>
      <c r="T512" s="8"/>
      <c r="U512" s="19" t="str">
        <f>HYPERLINK("https://pbs.twimg.com/profile_images/1171147808092643328/gyY8DlR1.jpg","View")</f>
        <v>View</v>
      </c>
      <c r="V512" s="8"/>
      <c r="W512" s="8"/>
      <c r="X512" s="8"/>
      <c r="Y512" s="8"/>
      <c r="Z512" s="8"/>
    </row>
    <row r="513" spans="1:26" ht="12.75">
      <c r="A513" s="11">
        <v>43747.302569444444</v>
      </c>
      <c r="B513" s="12" t="str">
        <f>HYPERLINK("https://twitter.com/bjkserkan55","@bjkserkan55")</f>
        <v>@bjkserkan55</v>
      </c>
      <c r="C513" s="7" t="s">
        <v>4504</v>
      </c>
      <c r="D513" s="7" t="s">
        <v>4505</v>
      </c>
      <c r="E513" s="12" t="str">
        <f>HYPERLINK("https://twitter.com/bjkserkan55/status/1181936277777715202","1181936277777715202")</f>
        <v>1181936277777715202</v>
      </c>
      <c r="F513" s="8"/>
      <c r="G513" s="14" t="s">
        <v>4507</v>
      </c>
      <c r="H513" s="8"/>
      <c r="I513" s="15">
        <v>0</v>
      </c>
      <c r="J513" s="15">
        <v>2</v>
      </c>
      <c r="K513" s="12" t="str">
        <f>HYPERLINK("http://twitter.com/download/android","Twitter for Android")</f>
        <v>Twitter for Android</v>
      </c>
      <c r="L513" s="16">
        <v>276</v>
      </c>
      <c r="M513" s="16">
        <v>9</v>
      </c>
      <c r="N513" s="16">
        <v>0</v>
      </c>
      <c r="O513" s="17"/>
      <c r="P513" s="18">
        <v>40510.201469907406</v>
      </c>
      <c r="Q513" s="7"/>
      <c r="R513" s="7"/>
      <c r="S513" s="7"/>
      <c r="T513" s="8"/>
      <c r="U513" s="19" t="str">
        <f>HYPERLINK("https://pbs.twimg.com/profile_images/1167385280120328193/DKPIrFgF.jpg","View")</f>
        <v>View</v>
      </c>
      <c r="V513" s="8"/>
      <c r="W513" s="8"/>
      <c r="X513" s="8"/>
      <c r="Y513" s="8"/>
      <c r="Z513" s="8"/>
    </row>
    <row r="514" spans="1:26" ht="12.75">
      <c r="A514" s="11">
        <v>43747.302534722221</v>
      </c>
      <c r="B514" s="12" t="str">
        <f>HYPERLINK("https://twitter.com/romeyov","@romeyov")</f>
        <v>@romeyov</v>
      </c>
      <c r="C514" s="7" t="s">
        <v>4514</v>
      </c>
      <c r="D514" s="7" t="s">
        <v>4515</v>
      </c>
      <c r="E514" s="12" t="str">
        <f>HYPERLINK("https://twitter.com/romeyov/status/1181936264800591872","1181936264800591872")</f>
        <v>1181936264800591872</v>
      </c>
      <c r="F514" s="8"/>
      <c r="G514" s="14" t="s">
        <v>4516</v>
      </c>
      <c r="H514" s="8"/>
      <c r="I514" s="15">
        <v>0</v>
      </c>
      <c r="J514" s="15">
        <v>0</v>
      </c>
      <c r="K514" s="12" t="str">
        <f>HYPERLINK("http://twitter.com/download/android","Twitter for Android")</f>
        <v>Twitter for Android</v>
      </c>
      <c r="L514" s="16">
        <v>298</v>
      </c>
      <c r="M514" s="16">
        <v>90</v>
      </c>
      <c r="N514" s="16">
        <v>2</v>
      </c>
      <c r="O514" s="17"/>
      <c r="P514" s="18">
        <v>40413.133379629631</v>
      </c>
      <c r="Q514" s="7" t="s">
        <v>4521</v>
      </c>
      <c r="R514" s="7" t="s">
        <v>4522</v>
      </c>
      <c r="S514" s="7"/>
      <c r="T514" s="8"/>
      <c r="U514" s="19" t="str">
        <f>HYPERLINK("https://pbs.twimg.com/profile_images/1158104950624440320/I3QHAdIo.jpg","View")</f>
        <v>View</v>
      </c>
      <c r="V514" s="8"/>
      <c r="W514" s="8"/>
      <c r="X514" s="8"/>
      <c r="Y514" s="8"/>
      <c r="Z514" s="8"/>
    </row>
    <row r="515" spans="1:26" ht="12.75">
      <c r="A515" s="11">
        <v>43747.302511574075</v>
      </c>
      <c r="B515" s="12" t="str">
        <f>HYPERLINK("https://twitter.com/yuzbasiburkay__","@yuzbasiburkay__")</f>
        <v>@yuzbasiburkay__</v>
      </c>
      <c r="C515" s="7" t="s">
        <v>4527</v>
      </c>
      <c r="D515" s="7" t="s">
        <v>4528</v>
      </c>
      <c r="E515" s="12" t="str">
        <f>HYPERLINK("https://twitter.com/yuzbasiburkay__/status/1181936256596492288","1181936256596492288")</f>
        <v>1181936256596492288</v>
      </c>
      <c r="F515" s="15"/>
      <c r="G515" s="15"/>
      <c r="H515" s="8"/>
      <c r="I515" s="15">
        <v>0</v>
      </c>
      <c r="J515" s="15">
        <v>1</v>
      </c>
      <c r="K515" s="12" t="str">
        <f>HYPERLINK("http://twitter.com/download/iphone","Twitter for iPhone")</f>
        <v>Twitter for iPhone</v>
      </c>
      <c r="L515" s="16">
        <v>12</v>
      </c>
      <c r="M515" s="16">
        <v>65</v>
      </c>
      <c r="N515" s="16">
        <v>0</v>
      </c>
      <c r="O515" s="17"/>
      <c r="P515" s="18">
        <v>41849.36074074074</v>
      </c>
      <c r="Q515" s="7" t="s">
        <v>313</v>
      </c>
      <c r="R515" s="7" t="s">
        <v>4532</v>
      </c>
      <c r="S515" s="15"/>
      <c r="T515" s="8"/>
      <c r="U515" s="19" t="str">
        <f>HYPERLINK("https://pbs.twimg.com/profile_images/1142594909150547968/GxjlBr2O.jpg","View")</f>
        <v>View</v>
      </c>
      <c r="V515" s="8"/>
      <c r="W515" s="8"/>
      <c r="X515" s="8"/>
      <c r="Y515" s="8"/>
      <c r="Z515" s="8"/>
    </row>
    <row r="516" spans="1:26" ht="12.75">
      <c r="A516" s="11">
        <v>43747.302476851852</v>
      </c>
      <c r="B516" s="12" t="str">
        <f>HYPERLINK("https://twitter.com/yoldasgaleano","@yoldasgaleano")</f>
        <v>@yoldasgaleano</v>
      </c>
      <c r="C516" s="7" t="s">
        <v>4537</v>
      </c>
      <c r="D516" s="7" t="s">
        <v>4538</v>
      </c>
      <c r="E516" s="12" t="str">
        <f>HYPERLINK("https://twitter.com/yoldasgaleano/status/1181936242503639040","1181936242503639040")</f>
        <v>1181936242503639040</v>
      </c>
      <c r="F516" s="8"/>
      <c r="G516" s="7"/>
      <c r="H516" s="8"/>
      <c r="I516" s="15">
        <v>0</v>
      </c>
      <c r="J516" s="15">
        <v>1</v>
      </c>
      <c r="K516" s="12" t="str">
        <f>HYPERLINK("http://twitter.com/download/android","Twitter for Android")</f>
        <v>Twitter for Android</v>
      </c>
      <c r="L516" s="16">
        <v>55</v>
      </c>
      <c r="M516" s="16">
        <v>96</v>
      </c>
      <c r="N516" s="16">
        <v>0</v>
      </c>
      <c r="O516" s="17"/>
      <c r="P516" s="18">
        <v>43544.509710648148</v>
      </c>
      <c r="Q516" s="7" t="s">
        <v>80</v>
      </c>
      <c r="R516" s="7" t="s">
        <v>4541</v>
      </c>
      <c r="S516" s="7"/>
      <c r="T516" s="8"/>
      <c r="U516" s="19" t="str">
        <f>HYPERLINK("https://pbs.twimg.com/profile_images/1158853959626477568/o0X_VmVg.jpg","View")</f>
        <v>View</v>
      </c>
      <c r="V516" s="8"/>
      <c r="W516" s="8"/>
      <c r="X516" s="8"/>
      <c r="Y516" s="8"/>
      <c r="Z516" s="8"/>
    </row>
    <row r="517" spans="1:26" ht="12.75">
      <c r="A517" s="11">
        <v>43747.302465277782</v>
      </c>
      <c r="B517" s="12" t="str">
        <f>HYPERLINK("https://twitter.com/mustafaayarr","@mustafaayarr")</f>
        <v>@mustafaayarr</v>
      </c>
      <c r="C517" s="7" t="s">
        <v>4542</v>
      </c>
      <c r="D517" s="7" t="s">
        <v>4544</v>
      </c>
      <c r="E517" s="12" t="str">
        <f>HYPERLINK("https://twitter.com/mustafaayarr/status/1181936240859459589","1181936240859459589")</f>
        <v>1181936240859459589</v>
      </c>
      <c r="F517" s="8"/>
      <c r="G517" s="14" t="s">
        <v>4546</v>
      </c>
      <c r="H517" s="8"/>
      <c r="I517" s="15">
        <v>0</v>
      </c>
      <c r="J517" s="15">
        <v>0</v>
      </c>
      <c r="K517" s="12" t="str">
        <f>HYPERLINK("http://twitter.com/download/android","Twitter for Android")</f>
        <v>Twitter for Android</v>
      </c>
      <c r="L517" s="16">
        <v>883</v>
      </c>
      <c r="M517" s="16">
        <v>697</v>
      </c>
      <c r="N517" s="16">
        <v>7</v>
      </c>
      <c r="O517" s="17"/>
      <c r="P517" s="18">
        <v>40925.360775462963</v>
      </c>
      <c r="Q517" s="7"/>
      <c r="R517" s="7" t="s">
        <v>4550</v>
      </c>
      <c r="S517" s="7"/>
      <c r="T517" s="8"/>
      <c r="U517" s="19" t="str">
        <f>HYPERLINK("https://pbs.twimg.com/profile_images/1181812478147211264/FCRjp_oa.jpg","View")</f>
        <v>View</v>
      </c>
      <c r="V517" s="8"/>
      <c r="W517" s="8"/>
      <c r="X517" s="8"/>
      <c r="Y517" s="8"/>
      <c r="Z517" s="8"/>
    </row>
    <row r="518" spans="1:26" ht="12.75">
      <c r="A518" s="11">
        <v>43747.302442129629</v>
      </c>
      <c r="B518" s="12" t="str">
        <f>HYPERLINK("https://twitter.com/GokcenOgan","@GokcenOgan")</f>
        <v>@GokcenOgan</v>
      </c>
      <c r="C518" s="7" t="s">
        <v>4559</v>
      </c>
      <c r="D518" s="7" t="s">
        <v>4560</v>
      </c>
      <c r="E518" s="12" t="str">
        <f>HYPERLINK("https://twitter.com/GokcenOgan/status/1181936232940654593","1181936232940654593")</f>
        <v>1181936232940654593</v>
      </c>
      <c r="F518" s="8"/>
      <c r="G518" s="7"/>
      <c r="H518" s="8"/>
      <c r="I518" s="15">
        <v>4</v>
      </c>
      <c r="J518" s="15">
        <v>30</v>
      </c>
      <c r="K518" s="12" t="str">
        <f>HYPERLINK("http://twitter.com/download/iphone","Twitter for iPhone")</f>
        <v>Twitter for iPhone</v>
      </c>
      <c r="L518" s="16">
        <v>6914</v>
      </c>
      <c r="M518" s="16">
        <v>216</v>
      </c>
      <c r="N518" s="16">
        <v>8</v>
      </c>
      <c r="O518" s="17"/>
      <c r="P518" s="18">
        <v>41883.14267361111</v>
      </c>
      <c r="Q518" s="7"/>
      <c r="R518" s="13" t="s">
        <v>4562</v>
      </c>
      <c r="S518" s="7"/>
      <c r="T518" s="8"/>
      <c r="U518" s="19" t="str">
        <f>HYPERLINK("https://pbs.twimg.com/profile_images/1139509561436585984/Lwoh-K_t.jpg","View")</f>
        <v>View</v>
      </c>
      <c r="V518" s="8"/>
      <c r="W518" s="8"/>
      <c r="X518" s="8"/>
      <c r="Y518" s="8"/>
      <c r="Z518" s="8"/>
    </row>
    <row r="519" spans="1:26" ht="12.75">
      <c r="A519" s="11">
        <v>43747.302442129629</v>
      </c>
      <c r="B519" s="12" t="str">
        <f>HYPERLINK("https://twitter.com/VahapErdem","@VahapErdem")</f>
        <v>@VahapErdem</v>
      </c>
      <c r="C519" s="7" t="s">
        <v>4567</v>
      </c>
      <c r="D519" s="7" t="s">
        <v>4568</v>
      </c>
      <c r="E519" s="12" t="str">
        <f>HYPERLINK("https://twitter.com/VahapErdem/status/1181936230986141696","1181936230986141696")</f>
        <v>1181936230986141696</v>
      </c>
      <c r="F519" s="14" t="s">
        <v>4569</v>
      </c>
      <c r="G519" s="14" t="s">
        <v>4573</v>
      </c>
      <c r="H519" s="8"/>
      <c r="I519" s="15">
        <v>0</v>
      </c>
      <c r="J519" s="15">
        <v>0</v>
      </c>
      <c r="K519" s="12" t="str">
        <f>HYPERLINK("http://twitter.com/download/iphone","Twitter for iPhone")</f>
        <v>Twitter for iPhone</v>
      </c>
      <c r="L519" s="16">
        <v>182</v>
      </c>
      <c r="M519" s="16">
        <v>65</v>
      </c>
      <c r="N519" s="16">
        <v>1</v>
      </c>
      <c r="O519" s="17"/>
      <c r="P519" s="18">
        <v>40748.561319444445</v>
      </c>
      <c r="Q519" s="7" t="s">
        <v>4577</v>
      </c>
      <c r="R519" s="7" t="s">
        <v>4578</v>
      </c>
      <c r="S519" s="15"/>
      <c r="T519" s="8"/>
      <c r="U519" s="19" t="str">
        <f>HYPERLINK("https://pbs.twimg.com/profile_images/661667390032334849/ZyCXEkMF.jpg","View")</f>
        <v>View</v>
      </c>
      <c r="V519" s="8"/>
      <c r="W519" s="8"/>
      <c r="X519" s="8"/>
      <c r="Y519" s="8"/>
      <c r="Z519" s="8"/>
    </row>
    <row r="520" spans="1:26" ht="12.75">
      <c r="A520" s="11">
        <v>43747.302430555559</v>
      </c>
      <c r="B520" s="12" t="str">
        <f>HYPERLINK("https://twitter.com/Etkili_insan","@Etkili_insan")</f>
        <v>@Etkili_insan</v>
      </c>
      <c r="C520" s="7" t="s">
        <v>4581</v>
      </c>
      <c r="D520" s="7" t="s">
        <v>4582</v>
      </c>
      <c r="E520" s="12" t="str">
        <f>HYPERLINK("https://twitter.com/Etkili_insan/status/1181936227773231104","1181936227773231104")</f>
        <v>1181936227773231104</v>
      </c>
      <c r="F520" s="8"/>
      <c r="G520" s="15"/>
      <c r="H520" s="8"/>
      <c r="I520" s="15">
        <v>0</v>
      </c>
      <c r="J520" s="15">
        <v>0</v>
      </c>
      <c r="K520" s="12" t="str">
        <f>HYPERLINK("http://twitter.com/download/android","Twitter for Android")</f>
        <v>Twitter for Android</v>
      </c>
      <c r="L520" s="16">
        <v>746</v>
      </c>
      <c r="M520" s="16">
        <v>649</v>
      </c>
      <c r="N520" s="16">
        <v>3</v>
      </c>
      <c r="O520" s="17"/>
      <c r="P520" s="18">
        <v>40924.036458333336</v>
      </c>
      <c r="Q520" s="7" t="s">
        <v>200</v>
      </c>
      <c r="R520" s="7" t="s">
        <v>4586</v>
      </c>
      <c r="S520" s="14" t="s">
        <v>4588</v>
      </c>
      <c r="T520" s="8"/>
      <c r="U520" s="19" t="str">
        <f>HYPERLINK("https://pbs.twimg.com/profile_images/1149289605105115136/DUmXnj8a.png","View")</f>
        <v>View</v>
      </c>
      <c r="V520" s="8"/>
      <c r="W520" s="8"/>
      <c r="X520" s="8"/>
      <c r="Y520" s="8"/>
      <c r="Z520" s="8"/>
    </row>
    <row r="521" spans="1:26" ht="12.75">
      <c r="A521" s="11">
        <v>43747.302430555559</v>
      </c>
      <c r="B521" s="12" t="str">
        <f>HYPERLINK("https://twitter.com/Kuprat_53","@Kuprat_53")</f>
        <v>@Kuprat_53</v>
      </c>
      <c r="C521" s="7" t="s">
        <v>4591</v>
      </c>
      <c r="D521" s="7" t="s">
        <v>4592</v>
      </c>
      <c r="E521" s="12" t="str">
        <f>HYPERLINK("https://twitter.com/Kuprat_53/status/1181936227559366657","1181936227559366657")</f>
        <v>1181936227559366657</v>
      </c>
      <c r="F521" s="7"/>
      <c r="G521" s="14" t="s">
        <v>4596</v>
      </c>
      <c r="H521" s="8"/>
      <c r="I521" s="15">
        <v>16</v>
      </c>
      <c r="J521" s="15">
        <v>28</v>
      </c>
      <c r="K521" s="12" t="str">
        <f>HYPERLINK("http://twitter.com/download/android","Twitter for Android")</f>
        <v>Twitter for Android</v>
      </c>
      <c r="L521" s="16">
        <v>60278</v>
      </c>
      <c r="M521" s="16">
        <v>32783</v>
      </c>
      <c r="N521" s="16">
        <v>51</v>
      </c>
      <c r="O521" s="17"/>
      <c r="P521" s="18">
        <v>40176.408148148148</v>
      </c>
      <c r="Q521" s="7" t="s">
        <v>4598</v>
      </c>
      <c r="R521" s="7" t="s">
        <v>4599</v>
      </c>
      <c r="S521" s="14" t="s">
        <v>4600</v>
      </c>
      <c r="T521" s="8"/>
      <c r="U521" s="19" t="str">
        <f>HYPERLINK("https://pbs.twimg.com/profile_images/1125890532323069958/GPMhmW1e.jpg","View")</f>
        <v>View</v>
      </c>
      <c r="V521" s="8"/>
      <c r="W521" s="8"/>
      <c r="X521" s="8"/>
      <c r="Y521" s="8"/>
      <c r="Z521" s="8"/>
    </row>
    <row r="522" spans="1:26" ht="12.75">
      <c r="A522" s="11">
        <v>43747.302430555559</v>
      </c>
      <c r="B522" s="12" t="str">
        <f>HYPERLINK("https://twitter.com/nazelialtin","@nazelialtin")</f>
        <v>@nazelialtin</v>
      </c>
      <c r="C522" s="7" t="s">
        <v>4604</v>
      </c>
      <c r="D522" s="7" t="s">
        <v>4606</v>
      </c>
      <c r="E522" s="12" t="str">
        <f>HYPERLINK("https://twitter.com/nazelialtin/status/1181936225118277632","1181936225118277632")</f>
        <v>1181936225118277632</v>
      </c>
      <c r="F522" s="8"/>
      <c r="G522" s="14" t="s">
        <v>4607</v>
      </c>
      <c r="H522" s="8"/>
      <c r="I522" s="15">
        <v>0</v>
      </c>
      <c r="J522" s="15">
        <v>2</v>
      </c>
      <c r="K522" s="12" t="str">
        <f>HYPERLINK("http://twitter.com/download/iphone","Twitter for iPhone")</f>
        <v>Twitter for iPhone</v>
      </c>
      <c r="L522" s="16">
        <v>275</v>
      </c>
      <c r="M522" s="16">
        <v>194</v>
      </c>
      <c r="N522" s="16">
        <v>0</v>
      </c>
      <c r="O522" s="17"/>
      <c r="P522" s="18">
        <v>43637.417523148149</v>
      </c>
      <c r="Q522" s="7" t="s">
        <v>576</v>
      </c>
      <c r="R522" s="7" t="s">
        <v>4610</v>
      </c>
      <c r="S522" s="14" t="s">
        <v>4611</v>
      </c>
      <c r="T522" s="8"/>
      <c r="U522" s="19" t="str">
        <f>HYPERLINK("https://pbs.twimg.com/profile_images/1168526259384664064/qGd4V-nm.jpg","View")</f>
        <v>View</v>
      </c>
      <c r="V522" s="8"/>
      <c r="W522" s="8"/>
      <c r="X522" s="8"/>
      <c r="Y522" s="8"/>
      <c r="Z522" s="8"/>
    </row>
    <row r="523" spans="1:26" ht="12.75">
      <c r="A523" s="11">
        <v>43747.302430555559</v>
      </c>
      <c r="B523" s="12" t="str">
        <f>HYPERLINK("https://twitter.com/Javad_Says","@Javad_Says")</f>
        <v>@Javad_Says</v>
      </c>
      <c r="C523" s="7" t="s">
        <v>4613</v>
      </c>
      <c r="D523" s="7" t="s">
        <v>4614</v>
      </c>
      <c r="E523" s="12" t="str">
        <f>HYPERLINK("https://twitter.com/Javad_Says/status/1181936225097310209","1181936225097310209")</f>
        <v>1181936225097310209</v>
      </c>
      <c r="F523" s="8"/>
      <c r="G523" s="15"/>
      <c r="H523" s="8"/>
      <c r="I523" s="15">
        <v>0</v>
      </c>
      <c r="J523" s="15">
        <v>0</v>
      </c>
      <c r="K523" s="12" t="str">
        <f>HYPERLINK("http://twitter.com/download/android","Twitter for Android")</f>
        <v>Twitter for Android</v>
      </c>
      <c r="L523" s="16">
        <v>79</v>
      </c>
      <c r="M523" s="16">
        <v>230</v>
      </c>
      <c r="N523" s="16">
        <v>0</v>
      </c>
      <c r="O523" s="17"/>
      <c r="P523" s="18">
        <v>41322.419965277775</v>
      </c>
      <c r="Q523" s="7" t="s">
        <v>4617</v>
      </c>
      <c r="R523" s="7" t="s">
        <v>4618</v>
      </c>
      <c r="S523" s="7"/>
      <c r="T523" s="8"/>
      <c r="U523" s="19" t="str">
        <f>HYPERLINK("https://pbs.twimg.com/profile_images/1147585784507228161/B67O-6y8.jpg","View")</f>
        <v>View</v>
      </c>
      <c r="V523" s="8"/>
      <c r="W523" s="8"/>
      <c r="X523" s="8"/>
      <c r="Y523" s="8"/>
      <c r="Z523" s="8"/>
    </row>
    <row r="524" spans="1:26" ht="12.75">
      <c r="A524" s="11">
        <v>43747.302407407406</v>
      </c>
      <c r="B524" s="12" t="str">
        <f>HYPERLINK("https://twitter.com/alisahinn03","@alisahinn03")</f>
        <v>@alisahinn03</v>
      </c>
      <c r="C524" s="7" t="s">
        <v>4620</v>
      </c>
      <c r="D524" s="7" t="s">
        <v>4621</v>
      </c>
      <c r="E524" s="12" t="str">
        <f>HYPERLINK("https://twitter.com/alisahinn03/status/1181936220005392384","1181936220005392384")</f>
        <v>1181936220005392384</v>
      </c>
      <c r="F524" s="8"/>
      <c r="G524" s="7"/>
      <c r="H524" s="8"/>
      <c r="I524" s="15">
        <v>0</v>
      </c>
      <c r="J524" s="15">
        <v>1</v>
      </c>
      <c r="K524" s="12" t="str">
        <f>HYPERLINK("http://twitter.com/download/android","Twitter for Android")</f>
        <v>Twitter for Android</v>
      </c>
      <c r="L524" s="16">
        <v>1345</v>
      </c>
      <c r="M524" s="16">
        <v>1191</v>
      </c>
      <c r="N524" s="16">
        <v>11</v>
      </c>
      <c r="O524" s="17"/>
      <c r="P524" s="18">
        <v>40352.487870370373</v>
      </c>
      <c r="Q524" s="7" t="s">
        <v>313</v>
      </c>
      <c r="R524" s="7" t="s">
        <v>4624</v>
      </c>
      <c r="S524" s="14" t="s">
        <v>4625</v>
      </c>
      <c r="T524" s="8"/>
      <c r="U524" s="19" t="str">
        <f>HYPERLINK("https://pbs.twimg.com/profile_images/1158783846948753409/KHRUHX69.jpg","View")</f>
        <v>View</v>
      </c>
      <c r="V524" s="8"/>
      <c r="W524" s="8"/>
      <c r="X524" s="8"/>
      <c r="Y524" s="8"/>
      <c r="Z524" s="8"/>
    </row>
    <row r="525" spans="1:26" ht="12.75">
      <c r="A525" s="11">
        <v>43747.302395833336</v>
      </c>
      <c r="B525" s="12" t="str">
        <f>HYPERLINK("https://twitter.com/umit_ibiloglu","@umit_ibiloglu")</f>
        <v>@umit_ibiloglu</v>
      </c>
      <c r="C525" s="7" t="s">
        <v>4628</v>
      </c>
      <c r="D525" s="7" t="s">
        <v>4630</v>
      </c>
      <c r="E525" s="12" t="str">
        <f>HYPERLINK("https://twitter.com/umit_ibiloglu/status/1181936214032748544","1181936214032748544")</f>
        <v>1181936214032748544</v>
      </c>
      <c r="F525" s="8"/>
      <c r="G525" s="14" t="s">
        <v>4632</v>
      </c>
      <c r="H525" s="8"/>
      <c r="I525" s="15">
        <v>0</v>
      </c>
      <c r="J525" s="15">
        <v>0</v>
      </c>
      <c r="K525" s="12" t="str">
        <f>HYPERLINK("http://twitter.com/download/android","Twitter for Android")</f>
        <v>Twitter for Android</v>
      </c>
      <c r="L525" s="16">
        <v>35</v>
      </c>
      <c r="M525" s="16">
        <v>138</v>
      </c>
      <c r="N525" s="16">
        <v>0</v>
      </c>
      <c r="O525" s="17"/>
      <c r="P525" s="18">
        <v>41449.573738425926</v>
      </c>
      <c r="Q525" s="7"/>
      <c r="R525" s="7"/>
      <c r="S525" s="7"/>
      <c r="T525" s="8"/>
      <c r="U525" s="19" t="str">
        <f>HYPERLINK("https://pbs.twimg.com/profile_images/1022880319509151744/Ylardj6I.jpg","View")</f>
        <v>View</v>
      </c>
      <c r="V525" s="8"/>
      <c r="W525" s="8"/>
      <c r="X525" s="8"/>
      <c r="Y525" s="8"/>
      <c r="Z525" s="8"/>
    </row>
    <row r="526" spans="1:26" ht="12.75">
      <c r="A526" s="11">
        <v>43747.302384259259</v>
      </c>
      <c r="B526" s="12" t="str">
        <f>HYPERLINK("https://twitter.com/bekirsametarik","@bekirsametarik")</f>
        <v>@bekirsametarik</v>
      </c>
      <c r="C526" s="7" t="s">
        <v>4641</v>
      </c>
      <c r="D526" s="7" t="s">
        <v>4642</v>
      </c>
      <c r="E526" s="12" t="str">
        <f>HYPERLINK("https://twitter.com/bekirsametarik/status/1181936208655593472","1181936208655593472")</f>
        <v>1181936208655593472</v>
      </c>
      <c r="F526" s="8"/>
      <c r="G526" s="7"/>
      <c r="H526" s="8"/>
      <c r="I526" s="15">
        <v>0</v>
      </c>
      <c r="J526" s="15">
        <v>1</v>
      </c>
      <c r="K526" s="12" t="str">
        <f>HYPERLINK("http://twitter.com/download/android","Twitter for Android")</f>
        <v>Twitter for Android</v>
      </c>
      <c r="L526" s="16">
        <v>155</v>
      </c>
      <c r="M526" s="16">
        <v>235</v>
      </c>
      <c r="N526" s="16">
        <v>0</v>
      </c>
      <c r="O526" s="17"/>
      <c r="P526" s="18">
        <v>42492.585127314815</v>
      </c>
      <c r="Q526" s="7" t="s">
        <v>4645</v>
      </c>
      <c r="R526" s="7" t="s">
        <v>4647</v>
      </c>
      <c r="S526" s="7"/>
      <c r="T526" s="8"/>
      <c r="U526" s="19" t="str">
        <f>HYPERLINK("https://pbs.twimg.com/profile_images/1162045630056976384/wsLr_dXL.jpg","View")</f>
        <v>View</v>
      </c>
      <c r="V526" s="8"/>
      <c r="W526" s="8"/>
      <c r="X526" s="8"/>
      <c r="Y526" s="8"/>
      <c r="Z526" s="8"/>
    </row>
    <row r="527" spans="1:26" ht="12.75">
      <c r="A527" s="11">
        <v>43747.302361111113</v>
      </c>
      <c r="B527" s="12" t="str">
        <f>HYPERLINK("https://twitter.com/PnrE87","@PnrE87")</f>
        <v>@PnrE87</v>
      </c>
      <c r="C527" s="7" t="s">
        <v>4651</v>
      </c>
      <c r="D527" s="7" t="s">
        <v>4652</v>
      </c>
      <c r="E527" s="12" t="str">
        <f>HYPERLINK("https://twitter.com/PnrE87/status/1181936202708127745","1181936202708127745")</f>
        <v>1181936202708127745</v>
      </c>
      <c r="F527" s="8"/>
      <c r="G527" s="14" t="s">
        <v>4653</v>
      </c>
      <c r="H527" s="8"/>
      <c r="I527" s="15">
        <v>3</v>
      </c>
      <c r="J527" s="15">
        <v>35</v>
      </c>
      <c r="K527" s="12" t="str">
        <f>HYPERLINK("http://twitter.com/download/android","Twitter for Android")</f>
        <v>Twitter for Android</v>
      </c>
      <c r="L527" s="16">
        <v>404</v>
      </c>
      <c r="M527" s="16">
        <v>185</v>
      </c>
      <c r="N527" s="16">
        <v>3</v>
      </c>
      <c r="O527" s="17"/>
      <c r="P527" s="18">
        <v>43227.601805555554</v>
      </c>
      <c r="Q527" s="7" t="s">
        <v>69</v>
      </c>
      <c r="R527" s="7" t="s">
        <v>4655</v>
      </c>
      <c r="S527" s="7"/>
      <c r="T527" s="8"/>
      <c r="U527" s="19" t="str">
        <f>HYPERLINK("https://pbs.twimg.com/profile_images/1181940767364915200/qSy2gdGJ.jpg","View")</f>
        <v>View</v>
      </c>
      <c r="V527" s="8"/>
      <c r="W527" s="8"/>
      <c r="X527" s="8"/>
      <c r="Y527" s="8"/>
      <c r="Z527" s="8"/>
    </row>
    <row r="528" spans="1:26" ht="12.75">
      <c r="A528" s="11">
        <v>43747.302303240736</v>
      </c>
      <c r="B528" s="12" t="str">
        <f>HYPERLINK("https://twitter.com/KonyaSosyalll","@KonyaSosyalll")</f>
        <v>@KonyaSosyalll</v>
      </c>
      <c r="C528" s="7" t="s">
        <v>4658</v>
      </c>
      <c r="D528" s="7" t="s">
        <v>4659</v>
      </c>
      <c r="E528" s="12" t="str">
        <f>HYPERLINK("https://twitter.com/KonyaSosyalll/status/1181936179253583874","1181936179253583874")</f>
        <v>1181936179253583874</v>
      </c>
      <c r="F528" s="7"/>
      <c r="G528" s="14" t="s">
        <v>4660</v>
      </c>
      <c r="H528" s="8"/>
      <c r="I528" s="15">
        <v>1</v>
      </c>
      <c r="J528" s="15">
        <v>1</v>
      </c>
      <c r="K528" s="12" t="str">
        <f>HYPERLINK("http://twitter.com/download/android","Twitter for Android")</f>
        <v>Twitter for Android</v>
      </c>
      <c r="L528" s="16">
        <v>232</v>
      </c>
      <c r="M528" s="16">
        <v>4</v>
      </c>
      <c r="N528" s="16">
        <v>0</v>
      </c>
      <c r="O528" s="17"/>
      <c r="P528" s="18">
        <v>43229.480613425927</v>
      </c>
      <c r="Q528" s="7" t="s">
        <v>2050</v>
      </c>
      <c r="R528" s="7" t="s">
        <v>4664</v>
      </c>
      <c r="S528" s="14" t="s">
        <v>4665</v>
      </c>
      <c r="T528" s="8"/>
      <c r="U528" s="19" t="str">
        <f>HYPERLINK("https://pbs.twimg.com/profile_images/1174278773748981760/cA1NC4kN.jpg","View")</f>
        <v>View</v>
      </c>
      <c r="V528" s="8"/>
      <c r="W528" s="8"/>
      <c r="X528" s="8"/>
      <c r="Y528" s="8"/>
      <c r="Z528" s="8"/>
    </row>
    <row r="529" spans="1:26" ht="12.75">
      <c r="A529" s="11">
        <v>43747.302291666667</v>
      </c>
      <c r="B529" s="12" t="str">
        <f>HYPERLINK("https://twitter.com/MEHMETYILMMAZ","@MEHMETYILMMAZ")</f>
        <v>@MEHMETYILMMAZ</v>
      </c>
      <c r="C529" s="7" t="s">
        <v>4669</v>
      </c>
      <c r="D529" s="7" t="s">
        <v>4670</v>
      </c>
      <c r="E529" s="12" t="str">
        <f>HYPERLINK("https://twitter.com/MEHMETYILMMAZ/status/1181936174958551041","1181936174958551041")</f>
        <v>1181936174958551041</v>
      </c>
      <c r="F529" s="8"/>
      <c r="G529" s="7"/>
      <c r="H529" s="8"/>
      <c r="I529" s="15">
        <v>0</v>
      </c>
      <c r="J529" s="15">
        <v>4</v>
      </c>
      <c r="K529" s="12" t="str">
        <f>HYPERLINK("http://twitter.com/download/iphone","Twitter for iPhone")</f>
        <v>Twitter for iPhone</v>
      </c>
      <c r="L529" s="16">
        <v>223</v>
      </c>
      <c r="M529" s="16">
        <v>181</v>
      </c>
      <c r="N529" s="16">
        <v>0</v>
      </c>
      <c r="O529" s="17"/>
      <c r="P529" s="18">
        <v>41976.534560185188</v>
      </c>
      <c r="Q529" s="7"/>
      <c r="R529" s="7" t="s">
        <v>4674</v>
      </c>
      <c r="S529" s="14" t="s">
        <v>4675</v>
      </c>
      <c r="T529" s="8"/>
      <c r="U529" s="19" t="str">
        <f>HYPERLINK("https://pbs.twimg.com/profile_images/1176211999182790662/8KCJVpdG.jpg","View")</f>
        <v>View</v>
      </c>
      <c r="V529" s="8"/>
      <c r="W529" s="8"/>
      <c r="X529" s="8"/>
      <c r="Y529" s="8"/>
      <c r="Z529" s="8"/>
    </row>
    <row r="530" spans="1:26" ht="12.75">
      <c r="A530" s="11">
        <v>43747.302291666667</v>
      </c>
      <c r="B530" s="12" t="str">
        <f>HYPERLINK("https://twitter.com/Cemilcann","@Cemilcann")</f>
        <v>@Cemilcann</v>
      </c>
      <c r="C530" s="7" t="s">
        <v>4678</v>
      </c>
      <c r="D530" s="7" t="s">
        <v>4679</v>
      </c>
      <c r="E530" s="12" t="str">
        <f>HYPERLINK("https://twitter.com/Cemilcann/status/1181936174736330752","1181936174736330752")</f>
        <v>1181936174736330752</v>
      </c>
      <c r="F530" s="8"/>
      <c r="G530" s="14" t="s">
        <v>4680</v>
      </c>
      <c r="H530" s="8"/>
      <c r="I530" s="15">
        <v>0</v>
      </c>
      <c r="J530" s="15">
        <v>1</v>
      </c>
      <c r="K530" s="12" t="str">
        <f>HYPERLINK("http://twitter.com/download/android","Twitter for Android")</f>
        <v>Twitter for Android</v>
      </c>
      <c r="L530" s="16">
        <v>3226</v>
      </c>
      <c r="M530" s="16">
        <v>2643</v>
      </c>
      <c r="N530" s="16">
        <v>1</v>
      </c>
      <c r="O530" s="17"/>
      <c r="P530" s="18">
        <v>41853.332962962959</v>
      </c>
      <c r="Q530" s="7" t="s">
        <v>80</v>
      </c>
      <c r="R530" s="7" t="s">
        <v>4683</v>
      </c>
      <c r="S530" s="14" t="s">
        <v>4684</v>
      </c>
      <c r="T530" s="8"/>
      <c r="U530" s="19" t="str">
        <f>HYPERLINK("https://pbs.twimg.com/profile_images/1172983467753316353/_rSkAqVC.jpg","View")</f>
        <v>View</v>
      </c>
      <c r="V530" s="8"/>
      <c r="W530" s="8"/>
      <c r="X530" s="8"/>
      <c r="Y530" s="8"/>
      <c r="Z530" s="8"/>
    </row>
    <row r="531" spans="1:26" ht="12.75">
      <c r="A531" s="11">
        <v>43747.302280092597</v>
      </c>
      <c r="B531" s="12" t="str">
        <f>HYPERLINK("https://twitter.com/_Soner_Selcuk","@_Soner_Selcuk")</f>
        <v>@_Soner_Selcuk</v>
      </c>
      <c r="C531" s="7" t="s">
        <v>4687</v>
      </c>
      <c r="D531" s="7" t="s">
        <v>4688</v>
      </c>
      <c r="E531" s="12" t="str">
        <f>HYPERLINK("https://twitter.com/_Soner_Selcuk/status/1181936171032727552","1181936171032727552")</f>
        <v>1181936171032727552</v>
      </c>
      <c r="F531" s="14" t="s">
        <v>4691</v>
      </c>
      <c r="G531" s="14" t="s">
        <v>4693</v>
      </c>
      <c r="H531" s="8"/>
      <c r="I531" s="15">
        <v>0</v>
      </c>
      <c r="J531" s="15">
        <v>1</v>
      </c>
      <c r="K531" s="12" t="str">
        <f>HYPERLINK("http://twitter.com/download/android","Twitter for Android")</f>
        <v>Twitter for Android</v>
      </c>
      <c r="L531" s="16">
        <v>71</v>
      </c>
      <c r="M531" s="16">
        <v>162</v>
      </c>
      <c r="N531" s="16">
        <v>0</v>
      </c>
      <c r="O531" s="17"/>
      <c r="P531" s="18">
        <v>40741.208703703705</v>
      </c>
      <c r="Q531" s="7" t="s">
        <v>4696</v>
      </c>
      <c r="R531" s="7"/>
      <c r="S531" s="7"/>
      <c r="T531" s="8"/>
      <c r="U531" s="19" t="str">
        <f>HYPERLINK("https://pbs.twimg.com/profile_images/1125632455770349568/hqL4InDf.jpg","View")</f>
        <v>View</v>
      </c>
      <c r="V531" s="8"/>
      <c r="W531" s="8"/>
      <c r="X531" s="8"/>
      <c r="Y531" s="8"/>
      <c r="Z531" s="8"/>
    </row>
    <row r="532" spans="1:26" ht="12.75">
      <c r="A532" s="11">
        <v>43747.302268518513</v>
      </c>
      <c r="B532" s="12" t="str">
        <f>HYPERLINK("https://twitter.com/presscience","@presscience")</f>
        <v>@presscience</v>
      </c>
      <c r="C532" s="7" t="s">
        <v>4697</v>
      </c>
      <c r="D532" s="7" t="s">
        <v>4698</v>
      </c>
      <c r="E532" s="12" t="str">
        <f>HYPERLINK("https://twitter.com/presscience/status/1181936168750997509","1181936168750997509")</f>
        <v>1181936168750997509</v>
      </c>
      <c r="F532" s="8"/>
      <c r="G532" s="14" t="s">
        <v>4701</v>
      </c>
      <c r="H532" s="8"/>
      <c r="I532" s="15">
        <v>0</v>
      </c>
      <c r="J532" s="15">
        <v>0</v>
      </c>
      <c r="K532" s="12" t="str">
        <f>HYPERLINK("http://twitter.com/download/android","Twitter for Android")</f>
        <v>Twitter for Android</v>
      </c>
      <c r="L532" s="16">
        <v>4</v>
      </c>
      <c r="M532" s="16">
        <v>17</v>
      </c>
      <c r="N532" s="16">
        <v>0</v>
      </c>
      <c r="O532" s="17"/>
      <c r="P532" s="18">
        <v>43639.505891203706</v>
      </c>
      <c r="Q532" s="7"/>
      <c r="R532" s="7" t="s">
        <v>4703</v>
      </c>
      <c r="S532" s="7"/>
      <c r="T532" s="8"/>
      <c r="U532" s="19" t="str">
        <f>HYPERLINK("https://pbs.twimg.com/profile_images/1163847370527969280/T-3a5IBR.jpg","View")</f>
        <v>View</v>
      </c>
      <c r="V532" s="8"/>
      <c r="W532" s="8"/>
      <c r="X532" s="8"/>
      <c r="Y532" s="8"/>
      <c r="Z532" s="8"/>
    </row>
    <row r="533" spans="1:26" ht="12.75">
      <c r="A533" s="11">
        <v>43747.302233796298</v>
      </c>
      <c r="B533" s="12" t="str">
        <f>HYPERLINK("https://twitter.com/vatan7784","@vatan7784")</f>
        <v>@vatan7784</v>
      </c>
      <c r="C533" s="7" t="s">
        <v>4706</v>
      </c>
      <c r="D533" s="7" t="s">
        <v>4707</v>
      </c>
      <c r="E533" s="12" t="str">
        <f>HYPERLINK("https://twitter.com/vatan7784/status/1181936153932513280","1181936153932513280")</f>
        <v>1181936153932513280</v>
      </c>
      <c r="F533" s="8"/>
      <c r="G533" s="14" t="s">
        <v>4708</v>
      </c>
      <c r="H533" s="8"/>
      <c r="I533" s="15">
        <v>0</v>
      </c>
      <c r="J533" s="15">
        <v>2</v>
      </c>
      <c r="K533" s="12" t="str">
        <f>HYPERLINK("http://twitter.com/download/android","Twitter for Android")</f>
        <v>Twitter for Android</v>
      </c>
      <c r="L533" s="16">
        <v>1416</v>
      </c>
      <c r="M533" s="16">
        <v>1355</v>
      </c>
      <c r="N533" s="16">
        <v>0</v>
      </c>
      <c r="O533" s="17"/>
      <c r="P533" s="18">
        <v>43513.457511574074</v>
      </c>
      <c r="Q533" s="7"/>
      <c r="R533" s="7" t="s">
        <v>4710</v>
      </c>
      <c r="S533" s="7"/>
      <c r="T533" s="8"/>
      <c r="U533" s="19" t="str">
        <f>HYPERLINK("https://pbs.twimg.com/profile_images/1177332588303781908/7e6N_KMr.jpg","View")</f>
        <v>View</v>
      </c>
      <c r="V533" s="8"/>
      <c r="W533" s="8"/>
      <c r="X533" s="8"/>
      <c r="Y533" s="8"/>
      <c r="Z533" s="8"/>
    </row>
    <row r="534" spans="1:26" ht="12.75">
      <c r="A534" s="11">
        <v>43747.302222222221</v>
      </c>
      <c r="B534" s="12" t="str">
        <f>HYPERLINK("https://twitter.com/MetinNacar","@MetinNacar")</f>
        <v>@MetinNacar</v>
      </c>
      <c r="C534" s="7" t="s">
        <v>4712</v>
      </c>
      <c r="D534" s="7" t="s">
        <v>4713</v>
      </c>
      <c r="E534" s="12" t="str">
        <f>HYPERLINK("https://twitter.com/MetinNacar/status/1181936150564528129","1181936150564528129")</f>
        <v>1181936150564528129</v>
      </c>
      <c r="F534" s="8"/>
      <c r="G534" s="14" t="s">
        <v>4715</v>
      </c>
      <c r="H534" s="8"/>
      <c r="I534" s="15">
        <v>1</v>
      </c>
      <c r="J534" s="15">
        <v>5</v>
      </c>
      <c r="K534" s="12" t="str">
        <f>HYPERLINK("http://twitter.com/download/android","Twitter for Android")</f>
        <v>Twitter for Android</v>
      </c>
      <c r="L534" s="16">
        <v>4372</v>
      </c>
      <c r="M534" s="16">
        <v>1785</v>
      </c>
      <c r="N534" s="16">
        <v>4</v>
      </c>
      <c r="O534" s="17"/>
      <c r="P534" s="18">
        <v>40676.504537037035</v>
      </c>
      <c r="Q534" s="7" t="s">
        <v>2765</v>
      </c>
      <c r="R534" s="7" t="s">
        <v>4719</v>
      </c>
      <c r="S534" s="7"/>
      <c r="T534" s="8"/>
      <c r="U534" s="19" t="str">
        <f>HYPERLINK("https://pbs.twimg.com/profile_images/1153062352696303616/XtwHeQXd.jpg","View")</f>
        <v>View</v>
      </c>
      <c r="V534" s="8"/>
      <c r="W534" s="8"/>
      <c r="X534" s="8"/>
      <c r="Y534" s="8"/>
      <c r="Z534" s="8"/>
    </row>
    <row r="535" spans="1:26" ht="12.75">
      <c r="A535" s="11">
        <v>43747.302222222221</v>
      </c>
      <c r="B535" s="12" t="str">
        <f>HYPERLINK("https://twitter.com/rockmetalmusicc","@rockmetalmusicc")</f>
        <v>@rockmetalmusicc</v>
      </c>
      <c r="C535" s="7" t="s">
        <v>4720</v>
      </c>
      <c r="D535" s="7" t="s">
        <v>4721</v>
      </c>
      <c r="E535" s="12" t="str">
        <f>HYPERLINK("https://twitter.com/rockmetalmusicc/status/1181936149482409990","1181936149482409990")</f>
        <v>1181936149482409990</v>
      </c>
      <c r="F535" s="8"/>
      <c r="G535" s="7"/>
      <c r="H535" s="8"/>
      <c r="I535" s="15">
        <v>1</v>
      </c>
      <c r="J535" s="15">
        <v>1</v>
      </c>
      <c r="K535" s="12" t="str">
        <f>HYPERLINK("http://twitter.com/download/iphone","Twitter for iPhone")</f>
        <v>Twitter for iPhone</v>
      </c>
      <c r="L535" s="16">
        <v>15</v>
      </c>
      <c r="M535" s="16">
        <v>243</v>
      </c>
      <c r="N535" s="16">
        <v>0</v>
      </c>
      <c r="O535" s="17"/>
      <c r="P535" s="18">
        <v>42451.462418981479</v>
      </c>
      <c r="Q535" s="7"/>
      <c r="R535" s="7"/>
      <c r="S535" s="7"/>
      <c r="T535" s="8"/>
      <c r="U535" s="19" t="str">
        <f>HYPERLINK("https://pbs.twimg.com/profile_images/846065826532855814/GqIiilFT.jpg","View")</f>
        <v>View</v>
      </c>
      <c r="V535" s="8"/>
      <c r="W535" s="8"/>
      <c r="X535" s="8"/>
      <c r="Y535" s="8"/>
      <c r="Z535" s="8"/>
    </row>
    <row r="536" spans="1:26" ht="12.75">
      <c r="A536" s="11">
        <v>43747.302210648151</v>
      </c>
      <c r="B536" s="12" t="str">
        <f>HYPERLINK("https://twitter.com/HAYAL_AVCISI","@HAYAL_AVCISI")</f>
        <v>@HAYAL_AVCISI</v>
      </c>
      <c r="C536" s="7" t="s">
        <v>4724</v>
      </c>
      <c r="D536" s="7" t="s">
        <v>4725</v>
      </c>
      <c r="E536" s="12" t="str">
        <f>HYPERLINK("https://twitter.com/HAYAL_AVCISI/status/1181936145632043008","1181936145632043008")</f>
        <v>1181936145632043008</v>
      </c>
      <c r="F536" s="15"/>
      <c r="G536" s="7"/>
      <c r="H536" s="8"/>
      <c r="I536" s="15">
        <v>0</v>
      </c>
      <c r="J536" s="15">
        <v>1</v>
      </c>
      <c r="K536" s="12" t="str">
        <f>HYPERLINK("http://twitter.com/download/iphone","Twitter for iPhone")</f>
        <v>Twitter for iPhone</v>
      </c>
      <c r="L536" s="16">
        <v>1185</v>
      </c>
      <c r="M536" s="16">
        <v>1293</v>
      </c>
      <c r="N536" s="16">
        <v>9</v>
      </c>
      <c r="O536" s="17"/>
      <c r="P536" s="18">
        <v>41519.971458333333</v>
      </c>
      <c r="Q536" s="7" t="s">
        <v>860</v>
      </c>
      <c r="R536" s="7" t="s">
        <v>4729</v>
      </c>
      <c r="S536" s="15"/>
      <c r="T536" s="8"/>
      <c r="U536" s="19" t="str">
        <f>HYPERLINK("https://pbs.twimg.com/profile_images/567295093888258049/1KXevcT1.jpeg","View")</f>
        <v>View</v>
      </c>
      <c r="V536" s="8"/>
      <c r="W536" s="8"/>
      <c r="X536" s="8"/>
      <c r="Y536" s="8"/>
      <c r="Z536" s="8"/>
    </row>
    <row r="537" spans="1:26" ht="12.75">
      <c r="A537" s="11">
        <v>43747.302199074074</v>
      </c>
      <c r="B537" s="12" t="str">
        <f>HYPERLINK("https://twitter.com/OkanBekdasPAOK","@OkanBekdasPAOK")</f>
        <v>@OkanBekdasPAOK</v>
      </c>
      <c r="C537" s="7" t="s">
        <v>4733</v>
      </c>
      <c r="D537" s="7" t="s">
        <v>4734</v>
      </c>
      <c r="E537" s="12" t="str">
        <f>HYPERLINK("https://twitter.com/OkanBekdasPAOK/status/1181936144633741312","1181936144633741312")</f>
        <v>1181936144633741312</v>
      </c>
      <c r="F537" s="8"/>
      <c r="G537" s="14" t="s">
        <v>4735</v>
      </c>
      <c r="H537" s="8"/>
      <c r="I537" s="15">
        <v>0</v>
      </c>
      <c r="J537" s="15">
        <v>0</v>
      </c>
      <c r="K537" s="12" t="str">
        <f>HYPERLINK("http://twitter.com/download/iphone","Twitter for iPhone")</f>
        <v>Twitter for iPhone</v>
      </c>
      <c r="L537" s="16">
        <v>91</v>
      </c>
      <c r="M537" s="16">
        <v>200</v>
      </c>
      <c r="N537" s="16">
        <v>0</v>
      </c>
      <c r="O537" s="17"/>
      <c r="P537" s="18">
        <v>40848.466666666667</v>
      </c>
      <c r="Q537" s="7" t="s">
        <v>4738</v>
      </c>
      <c r="R537" s="21" t="s">
        <v>4739</v>
      </c>
      <c r="S537" s="7"/>
      <c r="T537" s="8"/>
      <c r="U537" s="19" t="str">
        <f>HYPERLINK("https://pbs.twimg.com/profile_images/1180132643607924742/yeYdcLH4.jpg","View")</f>
        <v>View</v>
      </c>
      <c r="V537" s="8"/>
      <c r="W537" s="8"/>
      <c r="X537" s="8"/>
      <c r="Y537" s="8"/>
      <c r="Z537" s="8"/>
    </row>
    <row r="538" spans="1:26" ht="12.75">
      <c r="A538" s="11">
        <v>43747.302164351851</v>
      </c>
      <c r="B538" s="12" t="str">
        <f>HYPERLINK("https://twitter.com/furkanduyguu","@furkanduyguu")</f>
        <v>@furkanduyguu</v>
      </c>
      <c r="C538" s="7" t="s">
        <v>4746</v>
      </c>
      <c r="D538" s="7" t="s">
        <v>4747</v>
      </c>
      <c r="E538" s="12" t="str">
        <f>HYPERLINK("https://twitter.com/furkanduyguu/status/1181936130977095680","1181936130977095680")</f>
        <v>1181936130977095680</v>
      </c>
      <c r="F538" s="8"/>
      <c r="G538" s="14" t="s">
        <v>4748</v>
      </c>
      <c r="H538" s="8"/>
      <c r="I538" s="15">
        <v>0</v>
      </c>
      <c r="J538" s="15">
        <v>2</v>
      </c>
      <c r="K538" s="12" t="str">
        <f>HYPERLINK("http://twitter.com/download/iphone","Twitter for iPhone")</f>
        <v>Twitter for iPhone</v>
      </c>
      <c r="L538" s="16">
        <v>1257</v>
      </c>
      <c r="M538" s="16">
        <v>1977</v>
      </c>
      <c r="N538" s="16">
        <v>0</v>
      </c>
      <c r="O538" s="17"/>
      <c r="P538" s="18">
        <v>43441.483495370368</v>
      </c>
      <c r="Q538" s="7" t="s">
        <v>200</v>
      </c>
      <c r="R538" s="7" t="s">
        <v>4751</v>
      </c>
      <c r="S538" s="7"/>
      <c r="T538" s="8"/>
      <c r="U538" s="19" t="str">
        <f>HYPERLINK("https://pbs.twimg.com/profile_images/1152752663651672065/3qj90HXC.jpg","View")</f>
        <v>View</v>
      </c>
      <c r="V538" s="8"/>
      <c r="W538" s="8"/>
      <c r="X538" s="8"/>
      <c r="Y538" s="8"/>
      <c r="Z538" s="8"/>
    </row>
    <row r="539" spans="1:26" ht="12.75">
      <c r="A539" s="11">
        <v>43747.302129629628</v>
      </c>
      <c r="B539" s="12" t="str">
        <f>HYPERLINK("https://twitter.com/kasvaaaaa","@kasvaaaaa")</f>
        <v>@kasvaaaaa</v>
      </c>
      <c r="C539" s="7" t="s">
        <v>4753</v>
      </c>
      <c r="D539" s="7" t="s">
        <v>4754</v>
      </c>
      <c r="E539" s="12" t="str">
        <f>HYPERLINK("https://twitter.com/kasvaaaaa/status/1181936118972985344","1181936118972985344")</f>
        <v>1181936118972985344</v>
      </c>
      <c r="F539" s="8"/>
      <c r="G539" s="15"/>
      <c r="H539" s="8"/>
      <c r="I539" s="15">
        <v>0</v>
      </c>
      <c r="J539" s="15">
        <v>0</v>
      </c>
      <c r="K539" s="12" t="str">
        <f>HYPERLINK("http://twitter.com/download/android","Twitter for Android")</f>
        <v>Twitter for Android</v>
      </c>
      <c r="L539" s="16">
        <v>319</v>
      </c>
      <c r="M539" s="16">
        <v>247</v>
      </c>
      <c r="N539" s="16">
        <v>0</v>
      </c>
      <c r="O539" s="17"/>
      <c r="P539" s="18">
        <v>41376.534351851849</v>
      </c>
      <c r="Q539" s="7" t="s">
        <v>200</v>
      </c>
      <c r="R539" s="7" t="s">
        <v>4755</v>
      </c>
      <c r="S539" s="7"/>
      <c r="T539" s="8"/>
      <c r="U539" s="19" t="str">
        <f>HYPERLINK("https://pbs.twimg.com/profile_images/998578788484055044/eBSHT5MF.jpg","View")</f>
        <v>View</v>
      </c>
      <c r="V539" s="8"/>
      <c r="W539" s="8"/>
      <c r="X539" s="8"/>
      <c r="Y539" s="8"/>
      <c r="Z539" s="8"/>
    </row>
    <row r="540" spans="1:26" ht="12.75">
      <c r="A540" s="11">
        <v>43747.302118055552</v>
      </c>
      <c r="B540" s="12" t="str">
        <f>HYPERLINK("https://twitter.com/NazikSadettin","@NazikSadettin")</f>
        <v>@NazikSadettin</v>
      </c>
      <c r="C540" s="7" t="s">
        <v>4758</v>
      </c>
      <c r="D540" s="7" t="s">
        <v>4759</v>
      </c>
      <c r="E540" s="12" t="str">
        <f>HYPERLINK("https://twitter.com/NazikSadettin/status/1181936112950005761","1181936112950005761")</f>
        <v>1181936112950005761</v>
      </c>
      <c r="F540" s="8"/>
      <c r="G540" s="15"/>
      <c r="H540" s="8"/>
      <c r="I540" s="15">
        <v>1</v>
      </c>
      <c r="J540" s="15">
        <v>1</v>
      </c>
      <c r="K540" s="12" t="str">
        <f>HYPERLINK("http://twitter.com/download/android","Twitter for Android")</f>
        <v>Twitter for Android</v>
      </c>
      <c r="L540" s="16">
        <v>17</v>
      </c>
      <c r="M540" s="16">
        <v>88</v>
      </c>
      <c r="N540" s="16">
        <v>0</v>
      </c>
      <c r="O540" s="17"/>
      <c r="P540" s="18">
        <v>42100.42491898148</v>
      </c>
      <c r="Q540" s="7"/>
      <c r="R540" s="7"/>
      <c r="S540" s="7"/>
      <c r="T540" s="8"/>
      <c r="U540" s="19" t="str">
        <f>HYPERLINK("https://pbs.twimg.com/profile_images/1154981132078845952/h_auOhDd.jpg","View")</f>
        <v>View</v>
      </c>
      <c r="V540" s="8"/>
      <c r="W540" s="8"/>
      <c r="X540" s="8"/>
      <c r="Y540" s="8"/>
      <c r="Z540" s="8"/>
    </row>
    <row r="541" spans="1:26" ht="12.75">
      <c r="A541" s="11">
        <v>43747.302106481482</v>
      </c>
      <c r="B541" s="12" t="str">
        <f>HYPERLINK("https://twitter.com/demetpolatt","@demetpolatt")</f>
        <v>@demetpolatt</v>
      </c>
      <c r="C541" s="7" t="s">
        <v>4763</v>
      </c>
      <c r="D541" s="13" t="s">
        <v>4764</v>
      </c>
      <c r="E541" s="12" t="str">
        <f>HYPERLINK("https://twitter.com/demetpolatt/status/1181936109422567425","1181936109422567425")</f>
        <v>1181936109422567425</v>
      </c>
      <c r="F541" s="8"/>
      <c r="G541" s="7"/>
      <c r="H541" s="8"/>
      <c r="I541" s="15">
        <v>0</v>
      </c>
      <c r="J541" s="15">
        <v>1</v>
      </c>
      <c r="K541" s="12" t="str">
        <f>HYPERLINK("http://twitter.com/download/android","Twitter for Android")</f>
        <v>Twitter for Android</v>
      </c>
      <c r="L541" s="16">
        <v>408</v>
      </c>
      <c r="M541" s="16">
        <v>382</v>
      </c>
      <c r="N541" s="16">
        <v>4</v>
      </c>
      <c r="O541" s="17"/>
      <c r="P541" s="18">
        <v>40686.554560185185</v>
      </c>
      <c r="Q541" s="7"/>
      <c r="R541" s="7" t="s">
        <v>4765</v>
      </c>
      <c r="S541" s="14" t="s">
        <v>4766</v>
      </c>
      <c r="T541" s="8"/>
      <c r="U541" s="19" t="str">
        <f>HYPERLINK("https://pbs.twimg.com/profile_images/1168280546910359553/AiDnpi5c.jpg","View")</f>
        <v>View</v>
      </c>
      <c r="V541" s="8"/>
      <c r="W541" s="8"/>
      <c r="X541" s="8"/>
      <c r="Y541" s="8"/>
      <c r="Z541" s="8"/>
    </row>
    <row r="542" spans="1:26" ht="12.75">
      <c r="A542" s="11">
        <v>43747.302083333328</v>
      </c>
      <c r="B542" s="12" t="str">
        <f>HYPERLINK("https://twitter.com/MArslan711","@MArslan711")</f>
        <v>@MArslan711</v>
      </c>
      <c r="C542" s="7" t="s">
        <v>4769</v>
      </c>
      <c r="D542" s="7" t="s">
        <v>4770</v>
      </c>
      <c r="E542" s="12" t="str">
        <f>HYPERLINK("https://twitter.com/MArslan711/status/1181936099322667008","1181936099322667008")</f>
        <v>1181936099322667008</v>
      </c>
      <c r="F542" s="8"/>
      <c r="G542" s="15"/>
      <c r="H542" s="8"/>
      <c r="I542" s="15">
        <v>0</v>
      </c>
      <c r="J542" s="15">
        <v>4</v>
      </c>
      <c r="K542" s="12" t="str">
        <f>HYPERLINK("http://twitter.com/download/android","Twitter for Android")</f>
        <v>Twitter for Android</v>
      </c>
      <c r="L542" s="16">
        <v>162</v>
      </c>
      <c r="M542" s="16">
        <v>185</v>
      </c>
      <c r="N542" s="16">
        <v>0</v>
      </c>
      <c r="O542" s="17"/>
      <c r="P542" s="18">
        <v>42709.128645833334</v>
      </c>
      <c r="Q542" s="7" t="s">
        <v>4771</v>
      </c>
      <c r="R542" s="7" t="s">
        <v>4772</v>
      </c>
      <c r="S542" s="15"/>
      <c r="T542" s="8"/>
      <c r="U542" s="19" t="str">
        <f>HYPERLINK("https://pbs.twimg.com/profile_images/1159234145656168448/eJOIlrq8.jpg","View")</f>
        <v>View</v>
      </c>
      <c r="V542" s="8"/>
      <c r="W542" s="8"/>
      <c r="X542" s="8"/>
      <c r="Y542" s="8"/>
      <c r="Z542" s="8"/>
    </row>
    <row r="543" spans="1:26" ht="12.75">
      <c r="A543" s="11">
        <v>43747.302071759259</v>
      </c>
      <c r="B543" s="12" t="str">
        <f>HYPERLINK("https://twitter.com/G23Mld","@G23Mld")</f>
        <v>@G23Mld</v>
      </c>
      <c r="C543" s="7" t="s">
        <v>4775</v>
      </c>
      <c r="D543" s="7" t="s">
        <v>4776</v>
      </c>
      <c r="E543" s="12" t="str">
        <f>HYPERLINK("https://twitter.com/G23Mld/status/1181936095757557760","1181936095757557760")</f>
        <v>1181936095757557760</v>
      </c>
      <c r="F543" s="8"/>
      <c r="G543" s="15"/>
      <c r="H543" s="8"/>
      <c r="I543" s="15">
        <v>0</v>
      </c>
      <c r="J543" s="15">
        <v>0</v>
      </c>
      <c r="K543" s="12" t="str">
        <f>HYPERLINK("https://mobile.twitter.com","Twitter Web App")</f>
        <v>Twitter Web App</v>
      </c>
      <c r="L543" s="16">
        <v>2151</v>
      </c>
      <c r="M543" s="16">
        <v>2303</v>
      </c>
      <c r="N543" s="16">
        <v>114</v>
      </c>
      <c r="O543" s="17"/>
      <c r="P543" s="18">
        <v>41650.2419212963</v>
      </c>
      <c r="Q543" s="7"/>
      <c r="R543" s="7" t="s">
        <v>4777</v>
      </c>
      <c r="S543" s="7"/>
      <c r="T543" s="8"/>
      <c r="U543" s="19" t="str">
        <f>HYPERLINK("https://pbs.twimg.com/profile_images/993532000215666688/LnVQ0Fe9.jpg","View")</f>
        <v>View</v>
      </c>
      <c r="V543" s="8"/>
      <c r="W543" s="8"/>
      <c r="X543" s="8"/>
      <c r="Y543" s="8"/>
      <c r="Z543" s="8"/>
    </row>
    <row r="544" spans="1:26" ht="12.75">
      <c r="A544" s="11">
        <v>43747.302037037036</v>
      </c>
      <c r="B544" s="12" t="str">
        <f>HYPERLINK("https://twitter.com/yilmaz5189","@yilmaz5189")</f>
        <v>@yilmaz5189</v>
      </c>
      <c r="C544" s="7" t="s">
        <v>4781</v>
      </c>
      <c r="D544" s="7" t="s">
        <v>4782</v>
      </c>
      <c r="E544" s="12" t="str">
        <f>HYPERLINK("https://twitter.com/yilmaz5189/status/1181936084319641600","1181936084319641600")</f>
        <v>1181936084319641600</v>
      </c>
      <c r="F544" s="8"/>
      <c r="G544" s="14" t="s">
        <v>4783</v>
      </c>
      <c r="H544" s="8"/>
      <c r="I544" s="15">
        <v>0</v>
      </c>
      <c r="J544" s="15">
        <v>1</v>
      </c>
      <c r="K544" s="12" t="str">
        <f>HYPERLINK("http://twitter.com/download/android","Twitter for Android")</f>
        <v>Twitter for Android</v>
      </c>
      <c r="L544" s="16">
        <v>141</v>
      </c>
      <c r="M544" s="16">
        <v>336</v>
      </c>
      <c r="N544" s="16">
        <v>0</v>
      </c>
      <c r="O544" s="17"/>
      <c r="P544" s="18">
        <v>40676.580370370371</v>
      </c>
      <c r="Q544" s="7"/>
      <c r="R544" s="7" t="s">
        <v>4786</v>
      </c>
      <c r="S544" s="7"/>
      <c r="T544" s="8"/>
      <c r="U544" s="19" t="str">
        <f>HYPERLINK("https://pbs.twimg.com/profile_images/1128243924923973632/afJcvPS8.jpg","View")</f>
        <v>View</v>
      </c>
      <c r="V544" s="8"/>
      <c r="W544" s="8"/>
      <c r="X544" s="8"/>
      <c r="Y544" s="8"/>
      <c r="Z544" s="8"/>
    </row>
    <row r="545" spans="1:26" ht="12.75">
      <c r="A545" s="11">
        <v>43747.302037037036</v>
      </c>
      <c r="B545" s="12" t="str">
        <f>HYPERLINK("https://twitter.com/emreaksu_1453","@emreaksu_1453")</f>
        <v>@emreaksu_1453</v>
      </c>
      <c r="C545" s="7" t="s">
        <v>4787</v>
      </c>
      <c r="D545" s="7" t="s">
        <v>4788</v>
      </c>
      <c r="E545" s="12" t="str">
        <f>HYPERLINK("https://twitter.com/emreaksu_1453/status/1181936083040378881","1181936083040378881")</f>
        <v>1181936083040378881</v>
      </c>
      <c r="F545" s="8"/>
      <c r="G545" s="15"/>
      <c r="H545" s="8"/>
      <c r="I545" s="15">
        <v>1</v>
      </c>
      <c r="J545" s="15">
        <v>2</v>
      </c>
      <c r="K545" s="12" t="str">
        <f>HYPERLINK("http://twitter.com/download/android","Twitter for Android")</f>
        <v>Twitter for Android</v>
      </c>
      <c r="L545" s="16">
        <v>1736</v>
      </c>
      <c r="M545" s="16">
        <v>49</v>
      </c>
      <c r="N545" s="16">
        <v>3</v>
      </c>
      <c r="O545" s="17"/>
      <c r="P545" s="18">
        <v>41488.253379629634</v>
      </c>
      <c r="Q545" s="7"/>
      <c r="R545" s="7"/>
      <c r="S545" s="7"/>
      <c r="T545" s="8"/>
      <c r="U545" s="19" t="str">
        <f>HYPERLINK("https://pbs.twimg.com/profile_images/1114030907118313472/6EXk7-Yb.jpg","View")</f>
        <v>View</v>
      </c>
      <c r="V545" s="8"/>
      <c r="W545" s="8"/>
      <c r="X545" s="8"/>
      <c r="Y545" s="8"/>
      <c r="Z545" s="8"/>
    </row>
    <row r="546" spans="1:26" ht="12.75">
      <c r="A546" s="11">
        <v>43747.302002314813</v>
      </c>
      <c r="B546" s="12" t="str">
        <f>HYPERLINK("https://twitter.com/elestirel_im","@elestirel_im")</f>
        <v>@elestirel_im</v>
      </c>
      <c r="C546" s="7" t="s">
        <v>4791</v>
      </c>
      <c r="D546" s="7" t="s">
        <v>4792</v>
      </c>
      <c r="E546" s="12" t="str">
        <f>HYPERLINK("https://twitter.com/elestirel_im/status/1181936072781160448","1181936072781160448")</f>
        <v>1181936072781160448</v>
      </c>
      <c r="F546" s="15"/>
      <c r="G546" s="14" t="s">
        <v>4793</v>
      </c>
      <c r="H546" s="8"/>
      <c r="I546" s="15">
        <v>0</v>
      </c>
      <c r="J546" s="15">
        <v>1</v>
      </c>
      <c r="K546" s="12" t="str">
        <f>HYPERLINK("http://twitter.com/download/android","Twitter for Android")</f>
        <v>Twitter for Android</v>
      </c>
      <c r="L546" s="16">
        <v>7</v>
      </c>
      <c r="M546" s="16">
        <v>27</v>
      </c>
      <c r="N546" s="16">
        <v>0</v>
      </c>
      <c r="O546" s="20"/>
      <c r="P546" s="18">
        <v>43713.622847222221</v>
      </c>
      <c r="Q546" s="7" t="s">
        <v>200</v>
      </c>
      <c r="R546" s="7" t="s">
        <v>4797</v>
      </c>
      <c r="S546" s="15"/>
      <c r="T546" s="8"/>
      <c r="U546" s="19" t="str">
        <f>HYPERLINK("https://pbs.twimg.com/profile_images/1169733075175116800/aW_kiEs5.jpg","View")</f>
        <v>View</v>
      </c>
      <c r="V546" s="8"/>
      <c r="W546" s="8"/>
      <c r="X546" s="8"/>
      <c r="Y546" s="8"/>
      <c r="Z546" s="8"/>
    </row>
    <row r="547" spans="1:26" ht="12.75">
      <c r="A547" s="11">
        <v>43747.302002314813</v>
      </c>
      <c r="B547" s="12" t="str">
        <f>HYPERLINK("https://twitter.com/mmerveilhann","@mmerveilhann")</f>
        <v>@mmerveilhann</v>
      </c>
      <c r="C547" s="7" t="s">
        <v>4798</v>
      </c>
      <c r="D547" s="7" t="s">
        <v>4799</v>
      </c>
      <c r="E547" s="12" t="str">
        <f>HYPERLINK("https://twitter.com/mmerveilhann/status/1181936072693075968","1181936072693075968")</f>
        <v>1181936072693075968</v>
      </c>
      <c r="F547" s="8"/>
      <c r="G547" s="14" t="s">
        <v>4800</v>
      </c>
      <c r="H547" s="8"/>
      <c r="I547" s="15">
        <v>0</v>
      </c>
      <c r="J547" s="15">
        <v>11</v>
      </c>
      <c r="K547" s="12" t="str">
        <f>HYPERLINK("http://twitter.com/download/android","Twitter for Android")</f>
        <v>Twitter for Android</v>
      </c>
      <c r="L547" s="16">
        <v>245</v>
      </c>
      <c r="M547" s="16">
        <v>44</v>
      </c>
      <c r="N547" s="16">
        <v>0</v>
      </c>
      <c r="O547" s="17"/>
      <c r="P547" s="18">
        <v>42987.447141203702</v>
      </c>
      <c r="Q547" s="7" t="s">
        <v>313</v>
      </c>
      <c r="R547" s="7" t="s">
        <v>807</v>
      </c>
      <c r="S547" s="7"/>
      <c r="T547" s="8"/>
      <c r="U547" s="19" t="str">
        <f>HYPERLINK("https://pbs.twimg.com/profile_images/993320416054738945/LNfdG36K.jpg","View")</f>
        <v>View</v>
      </c>
      <c r="V547" s="8"/>
      <c r="W547" s="8"/>
      <c r="X547" s="8"/>
      <c r="Y547" s="8"/>
      <c r="Z547" s="8"/>
    </row>
    <row r="548" spans="1:26" ht="12.75">
      <c r="A548" s="11">
        <v>43747.302002314813</v>
      </c>
      <c r="B548" s="12" t="str">
        <f>HYPERLINK("https://twitter.com/NatkhoMurat","@NatkhoMurat")</f>
        <v>@NatkhoMurat</v>
      </c>
      <c r="C548" s="7" t="s">
        <v>4801</v>
      </c>
      <c r="D548" s="7" t="s">
        <v>4802</v>
      </c>
      <c r="E548" s="12" t="str">
        <f>HYPERLINK("https://twitter.com/NatkhoMurat/status/1181936071430549504","1181936071430549504")</f>
        <v>1181936071430549504</v>
      </c>
      <c r="F548" s="8"/>
      <c r="G548" s="14" t="s">
        <v>4806</v>
      </c>
      <c r="H548" s="8"/>
      <c r="I548" s="15">
        <v>0</v>
      </c>
      <c r="J548" s="15">
        <v>1</v>
      </c>
      <c r="K548" s="12" t="str">
        <f>HYPERLINK("http://twitter.com/download/android","Twitter for Android")</f>
        <v>Twitter for Android</v>
      </c>
      <c r="L548" s="16">
        <v>43</v>
      </c>
      <c r="M548" s="16">
        <v>119</v>
      </c>
      <c r="N548" s="16">
        <v>0</v>
      </c>
      <c r="O548" s="17"/>
      <c r="P548" s="18">
        <v>40852.34752314815</v>
      </c>
      <c r="Q548" s="7" t="s">
        <v>4807</v>
      </c>
      <c r="R548" s="7" t="s">
        <v>4808</v>
      </c>
      <c r="S548" s="7"/>
      <c r="T548" s="8"/>
      <c r="U548" s="19" t="str">
        <f>HYPERLINK("https://pbs.twimg.com/profile_images/1126067345229848576/a0BgrahR.jpg","View")</f>
        <v>View</v>
      </c>
      <c r="V548" s="8"/>
      <c r="W548" s="8"/>
      <c r="X548" s="8"/>
      <c r="Y548" s="8"/>
      <c r="Z548" s="8"/>
    </row>
    <row r="549" spans="1:26" ht="12.75">
      <c r="A549" s="11">
        <v>43747.302002314813</v>
      </c>
      <c r="B549" s="12" t="str">
        <f>HYPERLINK("https://twitter.com/mkassaglam","@mkassaglam")</f>
        <v>@mkassaglam</v>
      </c>
      <c r="C549" s="7" t="s">
        <v>4811</v>
      </c>
      <c r="D549" s="7" t="s">
        <v>4812</v>
      </c>
      <c r="E549" s="12" t="str">
        <f>HYPERLINK("https://twitter.com/mkassaglam/status/1181936071409577984","1181936071409577984")</f>
        <v>1181936071409577984</v>
      </c>
      <c r="F549" s="8"/>
      <c r="G549" s="14" t="s">
        <v>4813</v>
      </c>
      <c r="H549" s="8"/>
      <c r="I549" s="15">
        <v>0</v>
      </c>
      <c r="J549" s="15">
        <v>6</v>
      </c>
      <c r="K549" s="12" t="str">
        <f>HYPERLINK("http://twitter.com/download/iphone","Twitter for iPhone")</f>
        <v>Twitter for iPhone</v>
      </c>
      <c r="L549" s="16">
        <v>95</v>
      </c>
      <c r="M549" s="16">
        <v>113</v>
      </c>
      <c r="N549" s="16">
        <v>1</v>
      </c>
      <c r="O549" s="17"/>
      <c r="P549" s="18">
        <v>42167.287986111114</v>
      </c>
      <c r="Q549" s="7" t="s">
        <v>4814</v>
      </c>
      <c r="R549" s="7" t="s">
        <v>4815</v>
      </c>
      <c r="S549" s="7"/>
      <c r="T549" s="8"/>
      <c r="U549" s="19" t="str">
        <f>HYPERLINK("https://pbs.twimg.com/profile_images/1162274543471169543/c2NA4lsZ.jpg","View")</f>
        <v>View</v>
      </c>
      <c r="V549" s="8"/>
      <c r="W549" s="8"/>
      <c r="X549" s="8"/>
      <c r="Y549" s="8"/>
      <c r="Z549" s="8"/>
    </row>
    <row r="550" spans="1:26" ht="12.75">
      <c r="A550" s="11">
        <v>43747.30196759259</v>
      </c>
      <c r="B550" s="12" t="str">
        <f>HYPERLINK("https://twitter.com/ismdemirors","@ismdemirors")</f>
        <v>@ismdemirors</v>
      </c>
      <c r="C550" s="7" t="s">
        <v>4818</v>
      </c>
      <c r="D550" s="7" t="s">
        <v>4819</v>
      </c>
      <c r="E550" s="12" t="str">
        <f>HYPERLINK("https://twitter.com/ismdemirors/status/1181936061271945216","1181936061271945216")</f>
        <v>1181936061271945216</v>
      </c>
      <c r="F550" s="8"/>
      <c r="G550" s="14" t="s">
        <v>4820</v>
      </c>
      <c r="H550" s="8"/>
      <c r="I550" s="15">
        <v>0</v>
      </c>
      <c r="J550" s="15">
        <v>1</v>
      </c>
      <c r="K550" s="12" t="str">
        <f>HYPERLINK("http://twitter.com/download/iphone","Twitter for iPhone")</f>
        <v>Twitter for iPhone</v>
      </c>
      <c r="L550" s="16">
        <v>158</v>
      </c>
      <c r="M550" s="16">
        <v>111</v>
      </c>
      <c r="N550" s="16">
        <v>0</v>
      </c>
      <c r="O550" s="17"/>
      <c r="P550" s="18">
        <v>40181.156064814815</v>
      </c>
      <c r="Q550" s="7" t="s">
        <v>4821</v>
      </c>
      <c r="R550" s="7" t="s">
        <v>4823</v>
      </c>
      <c r="S550" s="15"/>
      <c r="T550" s="8"/>
      <c r="U550" s="19" t="str">
        <f>HYPERLINK("https://pbs.twimg.com/profile_images/843585384898580481/92VfD8yI.jpg","View")</f>
        <v>View</v>
      </c>
      <c r="V550" s="8"/>
      <c r="W550" s="8"/>
      <c r="X550" s="8"/>
      <c r="Y550" s="8"/>
      <c r="Z550" s="8"/>
    </row>
    <row r="551" spans="1:26" ht="12.75">
      <c r="A551" s="11">
        <v>43747.301944444444</v>
      </c>
      <c r="B551" s="12" t="str">
        <f>HYPERLINK("https://twitter.com/suleymansanir","@suleymansanir")</f>
        <v>@suleymansanir</v>
      </c>
      <c r="C551" s="7" t="s">
        <v>4826</v>
      </c>
      <c r="D551" s="7" t="s">
        <v>4827</v>
      </c>
      <c r="E551" s="12" t="str">
        <f>HYPERLINK("https://twitter.com/suleymansanir/status/1181936049465040897","1181936049465040897")</f>
        <v>1181936049465040897</v>
      </c>
      <c r="F551" s="8"/>
      <c r="G551" s="14" t="s">
        <v>4828</v>
      </c>
      <c r="H551" s="8"/>
      <c r="I551" s="15">
        <v>0</v>
      </c>
      <c r="J551" s="15">
        <v>1</v>
      </c>
      <c r="K551" s="12" t="str">
        <f>HYPERLINK("http://twitter.com/download/android","Twitter for Android")</f>
        <v>Twitter for Android</v>
      </c>
      <c r="L551" s="16">
        <v>86</v>
      </c>
      <c r="M551" s="16">
        <v>176</v>
      </c>
      <c r="N551" s="16">
        <v>0</v>
      </c>
      <c r="O551" s="17"/>
      <c r="P551" s="18">
        <v>43414.851782407408</v>
      </c>
      <c r="Q551" s="7"/>
      <c r="R551" s="7"/>
      <c r="S551" s="7"/>
      <c r="T551" s="8"/>
      <c r="U551" s="19" t="str">
        <f>HYPERLINK("https://pbs.twimg.com/profile_images/1181931557180858368/UMNqH46s.jpg","View")</f>
        <v>View</v>
      </c>
      <c r="V551" s="8"/>
      <c r="W551" s="8"/>
      <c r="X551" s="8"/>
      <c r="Y551" s="8"/>
      <c r="Z551" s="8"/>
    </row>
    <row r="552" spans="1:26" ht="12.75">
      <c r="A552" s="11">
        <v>43747.301932870367</v>
      </c>
      <c r="B552" s="12" t="str">
        <f>HYPERLINK("https://twitter.com/arifkucukak","@arifkucukak")</f>
        <v>@arifkucukak</v>
      </c>
      <c r="C552" s="7" t="s">
        <v>4834</v>
      </c>
      <c r="D552" s="7" t="s">
        <v>4835</v>
      </c>
      <c r="E552" s="12" t="str">
        <f>HYPERLINK("https://twitter.com/arifkucukak/status/1181936046667378688","1181936046667378688")</f>
        <v>1181936046667378688</v>
      </c>
      <c r="F552" s="8"/>
      <c r="G552" s="7"/>
      <c r="H552" s="8"/>
      <c r="I552" s="15">
        <v>0</v>
      </c>
      <c r="J552" s="15">
        <v>0</v>
      </c>
      <c r="K552" s="12" t="str">
        <f>HYPERLINK("http://twitter.com/download/iphone","Twitter for iPhone")</f>
        <v>Twitter for iPhone</v>
      </c>
      <c r="L552" s="16">
        <v>390</v>
      </c>
      <c r="M552" s="16">
        <v>257</v>
      </c>
      <c r="N552" s="16">
        <v>0</v>
      </c>
      <c r="O552" s="17"/>
      <c r="P552" s="18">
        <v>41325.629108796296</v>
      </c>
      <c r="Q552" s="7" t="s">
        <v>4838</v>
      </c>
      <c r="R552" s="14" t="s">
        <v>4839</v>
      </c>
      <c r="S552" s="14" t="s">
        <v>4840</v>
      </c>
      <c r="T552" s="8"/>
      <c r="U552" s="19" t="str">
        <f>HYPERLINK("https://pbs.twimg.com/profile_images/957729514058059776/By2CmbUx.jpg","View")</f>
        <v>View</v>
      </c>
      <c r="V552" s="8"/>
      <c r="W552" s="8"/>
      <c r="X552" s="8"/>
      <c r="Y552" s="8"/>
      <c r="Z552" s="8"/>
    </row>
    <row r="553" spans="1:26" ht="12.75">
      <c r="A553" s="11">
        <v>43747.30190972222</v>
      </c>
      <c r="B553" s="12" t="str">
        <f>HYPERLINK("https://twitter.com/davutmert","@davutmert")</f>
        <v>@davutmert</v>
      </c>
      <c r="C553" s="7" t="s">
        <v>4845</v>
      </c>
      <c r="D553" s="7" t="s">
        <v>4846</v>
      </c>
      <c r="E553" s="12" t="str">
        <f>HYPERLINK("https://twitter.com/davutmert/status/1181936038073323520","1181936038073323520")</f>
        <v>1181936038073323520</v>
      </c>
      <c r="F553" s="8"/>
      <c r="G553" s="7"/>
      <c r="H553" s="8"/>
      <c r="I553" s="15">
        <v>0</v>
      </c>
      <c r="J553" s="15">
        <v>1</v>
      </c>
      <c r="K553" s="12" t="str">
        <f>HYPERLINK("http://twitter.com/download/iphone","Twitter for iPhone")</f>
        <v>Twitter for iPhone</v>
      </c>
      <c r="L553" s="16">
        <v>116</v>
      </c>
      <c r="M553" s="16">
        <v>206</v>
      </c>
      <c r="N553" s="16">
        <v>0</v>
      </c>
      <c r="O553" s="17"/>
      <c r="P553" s="18">
        <v>40273.465370370366</v>
      </c>
      <c r="Q553" s="7" t="s">
        <v>200</v>
      </c>
      <c r="R553" s="7" t="s">
        <v>4849</v>
      </c>
      <c r="S553" s="7"/>
      <c r="T553" s="8"/>
      <c r="U553" s="19" t="str">
        <f>HYPERLINK("https://pbs.twimg.com/profile_images/1112990486225129472/x1M_1sST.jpg","View")</f>
        <v>View</v>
      </c>
      <c r="V553" s="8"/>
      <c r="W553" s="8"/>
      <c r="X553" s="8"/>
      <c r="Y553" s="8"/>
      <c r="Z553" s="8"/>
    </row>
    <row r="554" spans="1:26" ht="12.75">
      <c r="A554" s="11">
        <v>43747.301886574074</v>
      </c>
      <c r="B554" s="12" t="str">
        <f>HYPERLINK("https://twitter.com/sythnturan","@sythnturan")</f>
        <v>@sythnturan</v>
      </c>
      <c r="C554" s="7" t="s">
        <v>4853</v>
      </c>
      <c r="D554" s="7" t="s">
        <v>4854</v>
      </c>
      <c r="E554" s="12" t="str">
        <f>HYPERLINK("https://twitter.com/sythnturan/status/1181936031437860866","1181936031437860866")</f>
        <v>1181936031437860866</v>
      </c>
      <c r="F554" s="8"/>
      <c r="G554" s="14" t="s">
        <v>4855</v>
      </c>
      <c r="H554" s="8"/>
      <c r="I554" s="15">
        <v>1</v>
      </c>
      <c r="J554" s="15">
        <v>1</v>
      </c>
      <c r="K554" s="12" t="str">
        <f>HYPERLINK("http://twitter.com/download/iphone","Twitter for iPhone")</f>
        <v>Twitter for iPhone</v>
      </c>
      <c r="L554" s="16">
        <v>6236</v>
      </c>
      <c r="M554" s="16">
        <v>3609</v>
      </c>
      <c r="N554" s="16">
        <v>6</v>
      </c>
      <c r="O554" s="17"/>
      <c r="P554" s="18">
        <v>42412.575509259259</v>
      </c>
      <c r="Q554" s="7" t="s">
        <v>4857</v>
      </c>
      <c r="R554" s="7" t="s">
        <v>4858</v>
      </c>
      <c r="S554" s="7"/>
      <c r="T554" s="8"/>
      <c r="U554" s="19" t="str">
        <f>HYPERLINK("https://pbs.twimg.com/profile_images/1142876972814667776/8m3W7l3P.jpg","View")</f>
        <v>View</v>
      </c>
      <c r="V554" s="8"/>
      <c r="W554" s="8"/>
      <c r="X554" s="8"/>
      <c r="Y554" s="8"/>
      <c r="Z554" s="8"/>
    </row>
    <row r="555" spans="1:26" ht="12.75">
      <c r="A555" s="11">
        <v>43747.301817129628</v>
      </c>
      <c r="B555" s="12" t="str">
        <f>HYPERLINK("https://twitter.com/kaanaz","@kaanaz")</f>
        <v>@kaanaz</v>
      </c>
      <c r="C555" s="7" t="s">
        <v>4862</v>
      </c>
      <c r="D555" s="7" t="s">
        <v>4863</v>
      </c>
      <c r="E555" s="12" t="str">
        <f>HYPERLINK("https://twitter.com/kaanaz/status/1181936006368497670","1181936006368497670")</f>
        <v>1181936006368497670</v>
      </c>
      <c r="F555" s="15"/>
      <c r="G555" s="7"/>
      <c r="H555" s="8"/>
      <c r="I555" s="15">
        <v>0</v>
      </c>
      <c r="J555" s="15">
        <v>2</v>
      </c>
      <c r="K555" s="12" t="str">
        <f>HYPERLINK("http://twitter.com/download/android","Twitter for Android")</f>
        <v>Twitter for Android</v>
      </c>
      <c r="L555" s="16">
        <v>574</v>
      </c>
      <c r="M555" s="16">
        <v>359</v>
      </c>
      <c r="N555" s="16">
        <v>3</v>
      </c>
      <c r="O555" s="17"/>
      <c r="P555" s="18">
        <v>40202.445381944446</v>
      </c>
      <c r="Q555" s="7"/>
      <c r="R555" s="7" t="s">
        <v>4865</v>
      </c>
      <c r="S555" s="7"/>
      <c r="T555" s="8"/>
      <c r="U555" s="19" t="str">
        <f>HYPERLINK("https://pbs.twimg.com/profile_images/1038305711313362944/58doerkK.jpg","View")</f>
        <v>View</v>
      </c>
      <c r="V555" s="8"/>
      <c r="W555" s="8"/>
      <c r="X555" s="8"/>
      <c r="Y555" s="8"/>
      <c r="Z555" s="8"/>
    </row>
    <row r="556" spans="1:26" ht="12.75">
      <c r="A556" s="11">
        <v>43747.301817129628</v>
      </c>
      <c r="B556" s="12" t="str">
        <f>HYPERLINK("https://twitter.com/f_kynr","@f_kynr")</f>
        <v>@f_kynr</v>
      </c>
      <c r="C556" s="7" t="s">
        <v>4867</v>
      </c>
      <c r="D556" s="7" t="s">
        <v>4868</v>
      </c>
      <c r="E556" s="12" t="str">
        <f>HYPERLINK("https://twitter.com/f_kynr/status/1181936003495452680","1181936003495452680")</f>
        <v>1181936003495452680</v>
      </c>
      <c r="F556" s="8"/>
      <c r="G556" s="14" t="s">
        <v>4869</v>
      </c>
      <c r="H556" s="8"/>
      <c r="I556" s="15">
        <v>1</v>
      </c>
      <c r="J556" s="15">
        <v>2</v>
      </c>
      <c r="K556" s="12" t="str">
        <f>HYPERLINK("http://twitter.com/download/android","Twitter for Android")</f>
        <v>Twitter for Android</v>
      </c>
      <c r="L556" s="16">
        <v>442</v>
      </c>
      <c r="M556" s="16">
        <v>544</v>
      </c>
      <c r="N556" s="16">
        <v>0</v>
      </c>
      <c r="O556" s="17"/>
      <c r="P556" s="18">
        <v>41544.373171296298</v>
      </c>
      <c r="Q556" s="7"/>
      <c r="R556" s="7" t="s">
        <v>4871</v>
      </c>
      <c r="S556" s="15"/>
      <c r="T556" s="8"/>
      <c r="U556" s="19" t="str">
        <f>HYPERLINK("https://pbs.twimg.com/profile_images/1148707762563702789/qFGorPG9.jpg","View")</f>
        <v>View</v>
      </c>
      <c r="V556" s="8"/>
      <c r="W556" s="8"/>
      <c r="X556" s="8"/>
      <c r="Y556" s="8"/>
      <c r="Z556" s="8"/>
    </row>
    <row r="557" spans="1:26" ht="12.75">
      <c r="A557" s="11">
        <v>43747.301793981482</v>
      </c>
      <c r="B557" s="12" t="str">
        <f>HYPERLINK("https://twitter.com/kadiraksu","@kadiraksu")</f>
        <v>@kadiraksu</v>
      </c>
      <c r="C557" s="7" t="s">
        <v>4873</v>
      </c>
      <c r="D557" s="7" t="s">
        <v>4874</v>
      </c>
      <c r="E557" s="12" t="str">
        <f>HYPERLINK("https://twitter.com/kadiraksu/status/1181935995303944199","1181935995303944199")</f>
        <v>1181935995303944199</v>
      </c>
      <c r="F557" s="8"/>
      <c r="G557" s="15"/>
      <c r="H557" s="8"/>
      <c r="I557" s="15">
        <v>0</v>
      </c>
      <c r="J557" s="15">
        <v>0</v>
      </c>
      <c r="K557" s="12" t="str">
        <f>HYPERLINK("http://twitter.com/download/iphone","Twitter for iPhone")</f>
        <v>Twitter for iPhone</v>
      </c>
      <c r="L557" s="16">
        <v>129</v>
      </c>
      <c r="M557" s="16">
        <v>239</v>
      </c>
      <c r="N557" s="16">
        <v>0</v>
      </c>
      <c r="O557" s="17"/>
      <c r="P557" s="18">
        <v>40009.5315625</v>
      </c>
      <c r="Q557" s="7" t="s">
        <v>4449</v>
      </c>
      <c r="R557" s="13" t="s">
        <v>4875</v>
      </c>
      <c r="S557" s="14" t="s">
        <v>4876</v>
      </c>
      <c r="T557" s="8"/>
      <c r="U557" s="19" t="str">
        <f>HYPERLINK("https://pbs.twimg.com/profile_images/1164814591978688514/9-yglAh1.jpg","View")</f>
        <v>View</v>
      </c>
      <c r="V557" s="8"/>
      <c r="W557" s="8"/>
      <c r="X557" s="8"/>
      <c r="Y557" s="8"/>
      <c r="Z557" s="8"/>
    </row>
    <row r="558" spans="1:26" ht="12.75">
      <c r="A558" s="11">
        <v>43747.301782407405</v>
      </c>
      <c r="B558" s="12" t="str">
        <f>HYPERLINK("https://twitter.com/KemaIinAskeri","@KemaIinAskeri")</f>
        <v>@KemaIinAskeri</v>
      </c>
      <c r="C558" s="7" t="s">
        <v>4877</v>
      </c>
      <c r="D558" s="7" t="s">
        <v>4878</v>
      </c>
      <c r="E558" s="12" t="str">
        <f>HYPERLINK("https://twitter.com/KemaIinAskeri/status/1181935992590258181","1181935992590258181")</f>
        <v>1181935992590258181</v>
      </c>
      <c r="F558" s="8"/>
      <c r="G558" s="14" t="s">
        <v>4881</v>
      </c>
      <c r="H558" s="8"/>
      <c r="I558" s="15">
        <v>0</v>
      </c>
      <c r="J558" s="15">
        <v>0</v>
      </c>
      <c r="K558" s="12" t="str">
        <f>HYPERLINK("http://twitter.com/download/iphone","Twitter for iPhone")</f>
        <v>Twitter for iPhone</v>
      </c>
      <c r="L558" s="16">
        <v>5</v>
      </c>
      <c r="M558" s="16">
        <v>2</v>
      </c>
      <c r="N558" s="16">
        <v>0</v>
      </c>
      <c r="O558" s="17"/>
      <c r="P558" s="18">
        <v>43614.620312500003</v>
      </c>
      <c r="Q558" s="7" t="s">
        <v>313</v>
      </c>
      <c r="R558" s="7" t="s">
        <v>4883</v>
      </c>
      <c r="S558" s="7"/>
      <c r="T558" s="8"/>
      <c r="U558" s="19" t="str">
        <f>HYPERLINK("https://pbs.twimg.com/profile_images/1133854466367729665/Hz3PEVfV.jpg","View")</f>
        <v>View</v>
      </c>
      <c r="V558" s="8"/>
      <c r="W558" s="8"/>
      <c r="X558" s="8"/>
      <c r="Y558" s="8"/>
      <c r="Z558" s="8"/>
    </row>
    <row r="559" spans="1:26" ht="12.75">
      <c r="A559" s="11">
        <v>43747.301712962959</v>
      </c>
      <c r="B559" s="12" t="str">
        <f>HYPERLINK("https://twitter.com/anlama_yanadam","@anlama_yanadam")</f>
        <v>@anlama_yanadam</v>
      </c>
      <c r="C559" s="7" t="s">
        <v>4889</v>
      </c>
      <c r="D559" s="7" t="s">
        <v>4890</v>
      </c>
      <c r="E559" s="12" t="str">
        <f>HYPERLINK("https://twitter.com/anlama_yanadam/status/1181935965398548483","1181935965398548483")</f>
        <v>1181935965398548483</v>
      </c>
      <c r="F559" s="8"/>
      <c r="G559" s="14" t="s">
        <v>4891</v>
      </c>
      <c r="H559" s="8"/>
      <c r="I559" s="15">
        <v>0</v>
      </c>
      <c r="J559" s="15">
        <v>1</v>
      </c>
      <c r="K559" s="12" t="str">
        <f>HYPERLINK("https://mobile.twitter.com","Twitter Web App")</f>
        <v>Twitter Web App</v>
      </c>
      <c r="L559" s="16">
        <v>8</v>
      </c>
      <c r="M559" s="16">
        <v>69</v>
      </c>
      <c r="N559" s="16">
        <v>0</v>
      </c>
      <c r="O559" s="17"/>
      <c r="P559" s="18">
        <v>40734.511435185181</v>
      </c>
      <c r="Q559" s="7" t="s">
        <v>4895</v>
      </c>
      <c r="R559" s="7"/>
      <c r="S559" s="7"/>
      <c r="T559" s="8"/>
      <c r="U559" s="19" t="str">
        <f>HYPERLINK("https://pbs.twimg.com/profile_images/816552629132214272/4eIpn46y.jpg","View")</f>
        <v>View</v>
      </c>
      <c r="V559" s="8"/>
      <c r="W559" s="8"/>
      <c r="X559" s="8"/>
      <c r="Y559" s="8"/>
      <c r="Z559" s="8"/>
    </row>
    <row r="560" spans="1:26" ht="12.75">
      <c r="A560" s="11">
        <v>43747.301701388889</v>
      </c>
      <c r="B560" s="12" t="str">
        <f>HYPERLINK("https://twitter.com/KARACA__YAZ","@KARACA__YAZ")</f>
        <v>@KARACA__YAZ</v>
      </c>
      <c r="C560" s="7" t="s">
        <v>4896</v>
      </c>
      <c r="D560" s="7" t="s">
        <v>4897</v>
      </c>
      <c r="E560" s="12" t="str">
        <f>HYPERLINK("https://twitter.com/KARACA__YAZ/status/1181935962231889920","1181935962231889920")</f>
        <v>1181935962231889920</v>
      </c>
      <c r="F560" s="8"/>
      <c r="G560" s="14" t="s">
        <v>4900</v>
      </c>
      <c r="H560" s="8"/>
      <c r="I560" s="15">
        <v>8</v>
      </c>
      <c r="J560" s="15">
        <v>49</v>
      </c>
      <c r="K560" s="12" t="str">
        <f>HYPERLINK("http://twitter.com/download/android","Twitter for Android")</f>
        <v>Twitter for Android</v>
      </c>
      <c r="L560" s="16">
        <v>8207</v>
      </c>
      <c r="M560" s="16">
        <v>9017</v>
      </c>
      <c r="N560" s="16">
        <v>4</v>
      </c>
      <c r="O560" s="17"/>
      <c r="P560" s="18">
        <v>42124.346689814818</v>
      </c>
      <c r="Q560" s="7" t="s">
        <v>92</v>
      </c>
      <c r="R560" s="7" t="s">
        <v>4902</v>
      </c>
      <c r="S560" s="7"/>
      <c r="T560" s="8"/>
      <c r="U560" s="19" t="str">
        <f>HYPERLINK("https://pbs.twimg.com/profile_images/1176450516127297536/vwWSO7gv.jpg","View")</f>
        <v>View</v>
      </c>
      <c r="V560" s="8"/>
      <c r="W560" s="8"/>
      <c r="X560" s="8"/>
      <c r="Y560" s="8"/>
      <c r="Z560" s="8"/>
    </row>
    <row r="561" spans="1:26" ht="12.75">
      <c r="A561" s="11">
        <v>43747.301678240736</v>
      </c>
      <c r="B561" s="12" t="str">
        <f>HYPERLINK("https://twitter.com/TurkayCinci","@TurkayCinci")</f>
        <v>@TurkayCinci</v>
      </c>
      <c r="C561" s="7" t="s">
        <v>4908</v>
      </c>
      <c r="D561" s="7" t="s">
        <v>4909</v>
      </c>
      <c r="E561" s="12" t="str">
        <f>HYPERLINK("https://twitter.com/TurkayCinci/status/1181935955961434113","1181935955961434113")</f>
        <v>1181935955961434113</v>
      </c>
      <c r="F561" s="8" t="s">
        <v>4910</v>
      </c>
      <c r="G561" s="15"/>
      <c r="H561" s="8"/>
      <c r="I561" s="15">
        <v>0</v>
      </c>
      <c r="J561" s="15">
        <v>0</v>
      </c>
      <c r="K561" s="12" t="str">
        <f>HYPERLINK("http://twitter.com/download/iphone","Twitter for iPhone")</f>
        <v>Twitter for iPhone</v>
      </c>
      <c r="L561" s="16">
        <v>417</v>
      </c>
      <c r="M561" s="16">
        <v>295</v>
      </c>
      <c r="N561" s="16">
        <v>0</v>
      </c>
      <c r="O561" s="17"/>
      <c r="P561" s="18">
        <v>42770.625648148147</v>
      </c>
      <c r="Q561" s="7" t="s">
        <v>4911</v>
      </c>
      <c r="R561" s="7" t="s">
        <v>4912</v>
      </c>
      <c r="S561" s="14" t="s">
        <v>4913</v>
      </c>
      <c r="T561" s="8"/>
      <c r="U561" s="19" t="str">
        <f>HYPERLINK("https://pbs.twimg.com/profile_images/1177280816965128192/J-4regGG.jpg","View")</f>
        <v>View</v>
      </c>
      <c r="V561" s="8"/>
      <c r="W561" s="8"/>
      <c r="X561" s="8"/>
      <c r="Y561" s="8"/>
      <c r="Z561" s="8"/>
    </row>
    <row r="562" spans="1:26" ht="12.75">
      <c r="A562" s="11">
        <v>43747.301655092597</v>
      </c>
      <c r="B562" s="12" t="str">
        <f>HYPERLINK("https://twitter.com/ulkuygz","@ulkuygz")</f>
        <v>@ulkuygz</v>
      </c>
      <c r="C562" s="7" t="s">
        <v>4914</v>
      </c>
      <c r="D562" s="7" t="s">
        <v>4915</v>
      </c>
      <c r="E562" s="12" t="str">
        <f>HYPERLINK("https://twitter.com/ulkuygz/status/1181935945811189763","1181935945811189763")</f>
        <v>1181935945811189763</v>
      </c>
      <c r="F562" s="8"/>
      <c r="G562" s="15"/>
      <c r="H562" s="8"/>
      <c r="I562" s="15">
        <v>0</v>
      </c>
      <c r="J562" s="15">
        <v>1</v>
      </c>
      <c r="K562" s="12" t="str">
        <f>HYPERLINK("http://twitter.com/download/iphone","Twitter for iPhone")</f>
        <v>Twitter for iPhone</v>
      </c>
      <c r="L562" s="16">
        <v>442</v>
      </c>
      <c r="M562" s="16">
        <v>127</v>
      </c>
      <c r="N562" s="16">
        <v>3</v>
      </c>
      <c r="O562" s="17"/>
      <c r="P562" s="18">
        <v>42309.122256944444</v>
      </c>
      <c r="Q562" s="7" t="s">
        <v>313</v>
      </c>
      <c r="R562" s="7"/>
      <c r="S562" s="14" t="s">
        <v>4917</v>
      </c>
      <c r="T562" s="8"/>
      <c r="U562" s="19" t="str">
        <f>HYPERLINK("https://pbs.twimg.com/profile_images/1179515632200671232/SbuJcq_A.jpg","View")</f>
        <v>View</v>
      </c>
      <c r="V562" s="8"/>
      <c r="W562" s="8"/>
      <c r="X562" s="8"/>
      <c r="Y562" s="8"/>
      <c r="Z562" s="8"/>
    </row>
    <row r="563" spans="1:26" ht="12.75">
      <c r="A563" s="11">
        <v>43747.30159722222</v>
      </c>
      <c r="B563" s="12" t="str">
        <f>HYPERLINK("https://twitter.com/mustafabLc04","@mustafabLc04")</f>
        <v>@mustafabLc04</v>
      </c>
      <c r="C563" s="7" t="s">
        <v>4919</v>
      </c>
      <c r="D563" s="7" t="s">
        <v>4920</v>
      </c>
      <c r="E563" s="12" t="str">
        <f>HYPERLINK("https://twitter.com/mustafabLc04/status/1181935925569429504","1181935925569429504")</f>
        <v>1181935925569429504</v>
      </c>
      <c r="F563" s="8"/>
      <c r="G563" s="7"/>
      <c r="H563" s="8"/>
      <c r="I563" s="15">
        <v>0</v>
      </c>
      <c r="J563" s="15">
        <v>0</v>
      </c>
      <c r="K563" s="12" t="str">
        <f>HYPERLINK("https://mobile.twitter.com","Twitter Web App")</f>
        <v>Twitter Web App</v>
      </c>
      <c r="L563" s="16">
        <v>47</v>
      </c>
      <c r="M563" s="16">
        <v>99</v>
      </c>
      <c r="N563" s="16">
        <v>0</v>
      </c>
      <c r="O563" s="17"/>
      <c r="P563" s="18">
        <v>42919.631342592591</v>
      </c>
      <c r="Q563" s="7"/>
      <c r="R563" s="7"/>
      <c r="S563" s="7"/>
      <c r="T563" s="8"/>
      <c r="U563" s="19" t="str">
        <f>HYPERLINK("https://pbs.twimg.com/profile_images/1179986396360138752/6909EwBh.jpg","View")</f>
        <v>View</v>
      </c>
      <c r="V563" s="8"/>
      <c r="W563" s="8"/>
      <c r="X563" s="8"/>
      <c r="Y563" s="8"/>
      <c r="Z563" s="8"/>
    </row>
    <row r="564" spans="1:26" ht="12.75">
      <c r="A564" s="11">
        <v>43747.301562499997</v>
      </c>
      <c r="B564" s="12" t="str">
        <f>HYPERLINK("https://twitter.com/wilderoosje","@wilderoosje")</f>
        <v>@wilderoosje</v>
      </c>
      <c r="C564" s="7" t="s">
        <v>4924</v>
      </c>
      <c r="D564" s="7" t="s">
        <v>4925</v>
      </c>
      <c r="E564" s="12" t="str">
        <f>HYPERLINK("https://twitter.com/wilderoosje/status/1181935914223853570","1181935914223853570")</f>
        <v>1181935914223853570</v>
      </c>
      <c r="F564" s="8"/>
      <c r="G564" s="15"/>
      <c r="H564" s="8"/>
      <c r="I564" s="15">
        <v>0</v>
      </c>
      <c r="J564" s="15">
        <v>3</v>
      </c>
      <c r="K564" s="12" t="str">
        <f>HYPERLINK("http://twitter.com/download/iphone","Twitter for iPhone")</f>
        <v>Twitter for iPhone</v>
      </c>
      <c r="L564" s="16">
        <v>1357</v>
      </c>
      <c r="M564" s="16">
        <v>1934</v>
      </c>
      <c r="N564" s="16">
        <v>12</v>
      </c>
      <c r="O564" s="17"/>
      <c r="P564" s="18">
        <v>40546.730671296296</v>
      </c>
      <c r="Q564" s="7" t="s">
        <v>4928</v>
      </c>
      <c r="R564" s="7" t="s">
        <v>4929</v>
      </c>
      <c r="S564" s="7"/>
      <c r="T564" s="8"/>
      <c r="U564" s="19" t="str">
        <f>HYPERLINK("https://pbs.twimg.com/profile_images/890637011534655490/Pr31xscr.jpg","View")</f>
        <v>View</v>
      </c>
      <c r="V564" s="8"/>
      <c r="W564" s="8"/>
      <c r="X564" s="8"/>
      <c r="Y564" s="8"/>
      <c r="Z564" s="8"/>
    </row>
    <row r="565" spans="1:26" ht="12.75">
      <c r="A565" s="11">
        <v>43747.301562499997</v>
      </c>
      <c r="B565" s="12" t="str">
        <f>HYPERLINK("https://twitter.com/dunyabulteni","@dunyabulteni")</f>
        <v>@dunyabulteni</v>
      </c>
      <c r="C565" s="7" t="s">
        <v>4931</v>
      </c>
      <c r="D565" s="7" t="s">
        <v>4932</v>
      </c>
      <c r="E565" s="12" t="str">
        <f>HYPERLINK("https://twitter.com/dunyabulteni/status/1181935911866699777","1181935911866699777")</f>
        <v>1181935911866699777</v>
      </c>
      <c r="F565" s="14" t="s">
        <v>4934</v>
      </c>
      <c r="G565" s="14" t="s">
        <v>4935</v>
      </c>
      <c r="H565" s="8"/>
      <c r="I565" s="15">
        <v>0</v>
      </c>
      <c r="J565" s="15">
        <v>2</v>
      </c>
      <c r="K565" s="12" t="str">
        <f>HYPERLINK("https://mobile.twitter.com","Twitter Web App")</f>
        <v>Twitter Web App</v>
      </c>
      <c r="L565" s="16">
        <v>52787</v>
      </c>
      <c r="M565" s="16">
        <v>58</v>
      </c>
      <c r="N565" s="16">
        <v>347</v>
      </c>
      <c r="O565" s="17"/>
      <c r="P565" s="18">
        <v>40000.358287037037</v>
      </c>
      <c r="Q565" s="7" t="s">
        <v>200</v>
      </c>
      <c r="R565" s="7" t="s">
        <v>4938</v>
      </c>
      <c r="S565" s="14" t="s">
        <v>4939</v>
      </c>
      <c r="T565" s="8"/>
      <c r="U565" s="19" t="str">
        <f>HYPERLINK("https://pbs.twimg.com/profile_images/1021402194145366016/YrJS0yOB.jpg","View")</f>
        <v>View</v>
      </c>
      <c r="V565" s="8"/>
      <c r="W565" s="8"/>
      <c r="X565" s="8"/>
      <c r="Y565" s="8"/>
      <c r="Z565" s="8"/>
    </row>
    <row r="566" spans="1:26" ht="12.75">
      <c r="A566" s="11">
        <v>43747.301539351851</v>
      </c>
      <c r="B566" s="12" t="str">
        <f>HYPERLINK("https://twitter.com/firathan","@firathan")</f>
        <v>@firathan</v>
      </c>
      <c r="C566" s="7" t="s">
        <v>4940</v>
      </c>
      <c r="D566" s="7" t="s">
        <v>4941</v>
      </c>
      <c r="E566" s="12" t="str">
        <f>HYPERLINK("https://twitter.com/firathan/status/1181935903239020545","1181935903239020545")</f>
        <v>1181935903239020545</v>
      </c>
      <c r="F566" s="8"/>
      <c r="G566" s="15"/>
      <c r="H566" s="8"/>
      <c r="I566" s="15">
        <v>1</v>
      </c>
      <c r="J566" s="15">
        <v>0</v>
      </c>
      <c r="K566" s="12" t="str">
        <f>HYPERLINK("http://twitter.com/download/iphone","Twitter for iPhone")</f>
        <v>Twitter for iPhone</v>
      </c>
      <c r="L566" s="16">
        <v>144</v>
      </c>
      <c r="M566" s="16">
        <v>791</v>
      </c>
      <c r="N566" s="16">
        <v>1</v>
      </c>
      <c r="O566" s="17"/>
      <c r="P566" s="18">
        <v>41071.192245370374</v>
      </c>
      <c r="Q566" s="7" t="s">
        <v>4942</v>
      </c>
      <c r="R566" s="7" t="s">
        <v>4944</v>
      </c>
      <c r="S566" s="15"/>
      <c r="T566" s="8"/>
      <c r="U566" s="19" t="str">
        <f>HYPERLINK("https://pbs.twimg.com/profile_images/3028069175/45db7d7b3a4e2edecc24e95634429eda.jpeg","View")</f>
        <v>View</v>
      </c>
      <c r="V566" s="8"/>
      <c r="W566" s="8"/>
      <c r="X566" s="8"/>
      <c r="Y566" s="8"/>
      <c r="Z566" s="8"/>
    </row>
    <row r="567" spans="1:26" ht="12.75">
      <c r="A567" s="11">
        <v>43747.301527777774</v>
      </c>
      <c r="B567" s="12" t="str">
        <f>HYPERLINK("https://twitter.com/Rcpcihan","@Rcpcihan")</f>
        <v>@Rcpcihan</v>
      </c>
      <c r="C567" s="7" t="s">
        <v>4946</v>
      </c>
      <c r="D567" s="7" t="s">
        <v>4947</v>
      </c>
      <c r="E567" s="12" t="str">
        <f>HYPERLINK("https://twitter.com/Rcpcihan/status/1181935898449068032","1181935898449068032")</f>
        <v>1181935898449068032</v>
      </c>
      <c r="F567" s="8"/>
      <c r="G567" s="14" t="s">
        <v>4948</v>
      </c>
      <c r="H567" s="8"/>
      <c r="I567" s="15">
        <v>0</v>
      </c>
      <c r="J567" s="15">
        <v>1</v>
      </c>
      <c r="K567" s="12" t="str">
        <f>HYPERLINK("http://twitter.com/download/iphone","Twitter for iPhone")</f>
        <v>Twitter for iPhone</v>
      </c>
      <c r="L567" s="16">
        <v>924</v>
      </c>
      <c r="M567" s="16">
        <v>1428</v>
      </c>
      <c r="N567" s="16">
        <v>1</v>
      </c>
      <c r="O567" s="17"/>
      <c r="P567" s="18">
        <v>40687.086238425924</v>
      </c>
      <c r="Q567" s="7" t="s">
        <v>576</v>
      </c>
      <c r="R567" s="7" t="s">
        <v>4950</v>
      </c>
      <c r="S567" s="7"/>
      <c r="T567" s="8"/>
      <c r="U567" s="19" t="str">
        <f>HYPERLINK("https://pbs.twimg.com/profile_images/989826586106056704/phY33YJk.jpg","View")</f>
        <v>View</v>
      </c>
      <c r="V567" s="8"/>
      <c r="W567" s="8"/>
      <c r="X567" s="8"/>
      <c r="Y567" s="8"/>
      <c r="Z567" s="8"/>
    </row>
    <row r="568" spans="1:26" ht="12.75">
      <c r="A568" s="11">
        <v>43747.301516203705</v>
      </c>
      <c r="B568" s="12" t="str">
        <f>HYPERLINK("https://twitter.com/Blackturq34","@Blackturq34")</f>
        <v>@Blackturq34</v>
      </c>
      <c r="C568" s="7" t="s">
        <v>4952</v>
      </c>
      <c r="D568" s="7" t="s">
        <v>4953</v>
      </c>
      <c r="E568" s="12" t="str">
        <f>HYPERLINK("https://twitter.com/Blackturq34/status/1181935895244619780","1181935895244619780")</f>
        <v>1181935895244619780</v>
      </c>
      <c r="F568" s="8"/>
      <c r="G568" s="14" t="s">
        <v>4954</v>
      </c>
      <c r="H568" s="8"/>
      <c r="I568" s="15">
        <v>2</v>
      </c>
      <c r="J568" s="15">
        <v>7</v>
      </c>
      <c r="K568" s="12" t="str">
        <f>HYPERLINK("http://twitter.com/download/android","Twitter for Android")</f>
        <v>Twitter for Android</v>
      </c>
      <c r="L568" s="16">
        <v>5155</v>
      </c>
      <c r="M568" s="16">
        <v>5167</v>
      </c>
      <c r="N568" s="16">
        <v>0</v>
      </c>
      <c r="O568" s="17"/>
      <c r="P568" s="18">
        <v>41776.679456018523</v>
      </c>
      <c r="Q568" s="7" t="s">
        <v>287</v>
      </c>
      <c r="R568" s="7" t="s">
        <v>4957</v>
      </c>
      <c r="S568" s="14" t="s">
        <v>4958</v>
      </c>
      <c r="T568" s="8"/>
      <c r="U568" s="19" t="str">
        <f>HYPERLINK("https://pbs.twimg.com/profile_images/1167674926054158338/UbbGRQvE.jpg","View")</f>
        <v>View</v>
      </c>
      <c r="V568" s="8"/>
      <c r="W568" s="8"/>
      <c r="X568" s="8"/>
      <c r="Y568" s="8"/>
      <c r="Z568" s="8"/>
    </row>
    <row r="569" spans="1:26" ht="12.75">
      <c r="A569" s="11">
        <v>43747.301516203705</v>
      </c>
      <c r="B569" s="12" t="str">
        <f>HYPERLINK("https://twitter.com/konyaspor88","@konyaspor88")</f>
        <v>@konyaspor88</v>
      </c>
      <c r="C569" s="7" t="s">
        <v>4961</v>
      </c>
      <c r="D569" s="7" t="s">
        <v>4962</v>
      </c>
      <c r="E569" s="12" t="str">
        <f>HYPERLINK("https://twitter.com/konyaspor88/status/1181935893852098561","1181935893852098561")</f>
        <v>1181935893852098561</v>
      </c>
      <c r="F569" s="8"/>
      <c r="G569" s="14" t="s">
        <v>4963</v>
      </c>
      <c r="H569" s="8"/>
      <c r="I569" s="15">
        <v>0</v>
      </c>
      <c r="J569" s="15">
        <v>3</v>
      </c>
      <c r="K569" s="12" t="str">
        <f>HYPERLINK("http://twitter.com/download/android","Twitter for Android")</f>
        <v>Twitter for Android</v>
      </c>
      <c r="L569" s="16">
        <v>296</v>
      </c>
      <c r="M569" s="16">
        <v>358</v>
      </c>
      <c r="N569" s="16">
        <v>0</v>
      </c>
      <c r="O569" s="17"/>
      <c r="P569" s="18">
        <v>43619.244432870371</v>
      </c>
      <c r="Q569" s="7"/>
      <c r="R569" s="7"/>
      <c r="S569" s="7"/>
      <c r="T569" s="8"/>
      <c r="U569" s="19" t="str">
        <f>HYPERLINK("https://pbs.twimg.com/profile_images/1171371928839434240/hNp7rrS6.jpg","View")</f>
        <v>View</v>
      </c>
      <c r="V569" s="8"/>
      <c r="W569" s="8"/>
      <c r="X569" s="8"/>
      <c r="Y569" s="8"/>
      <c r="Z569" s="8"/>
    </row>
    <row r="570" spans="1:26" ht="12.75">
      <c r="A570" s="11">
        <v>43747.301504629635</v>
      </c>
      <c r="B570" s="12" t="str">
        <f>HYPERLINK("https://twitter.com/FatihKocaogluu","@FatihKocaogluu")</f>
        <v>@FatihKocaogluu</v>
      </c>
      <c r="C570" s="7" t="s">
        <v>4965</v>
      </c>
      <c r="D570" s="7" t="s">
        <v>4966</v>
      </c>
      <c r="E570" s="12" t="str">
        <f>HYPERLINK("https://twitter.com/FatihKocaogluu/status/1181935890488274944","1181935890488274944")</f>
        <v>1181935890488274944</v>
      </c>
      <c r="F570" s="8"/>
      <c r="G570" s="7"/>
      <c r="H570" s="8"/>
      <c r="I570" s="15">
        <v>0</v>
      </c>
      <c r="J570" s="15">
        <v>0</v>
      </c>
      <c r="K570" s="12" t="str">
        <f>HYPERLINK("http://twitter.com/download/iphone","Twitter for iPhone")</f>
        <v>Twitter for iPhone</v>
      </c>
      <c r="L570" s="16">
        <v>1785</v>
      </c>
      <c r="M570" s="16">
        <v>223</v>
      </c>
      <c r="N570" s="16">
        <v>6</v>
      </c>
      <c r="O570" s="17"/>
      <c r="P570" s="18">
        <v>40940.412916666668</v>
      </c>
      <c r="Q570" s="7" t="s">
        <v>4967</v>
      </c>
      <c r="R570" s="7" t="s">
        <v>4968</v>
      </c>
      <c r="S570" s="7"/>
      <c r="T570" s="8"/>
      <c r="U570" s="19" t="str">
        <f>HYPERLINK("https://pbs.twimg.com/profile_images/1163208432574455808/4X95Q2r1.jpg","View")</f>
        <v>View</v>
      </c>
      <c r="V570" s="8"/>
      <c r="W570" s="8"/>
      <c r="X570" s="8"/>
      <c r="Y570" s="8"/>
      <c r="Z570" s="8"/>
    </row>
    <row r="571" spans="1:26" ht="12.75">
      <c r="A571" s="11">
        <v>43747.301469907412</v>
      </c>
      <c r="B571" s="12" t="str">
        <f>HYPERLINK("https://twitter.com/pturhanoglu","@pturhanoglu")</f>
        <v>@pturhanoglu</v>
      </c>
      <c r="C571" s="7" t="s">
        <v>4971</v>
      </c>
      <c r="D571" s="7" t="s">
        <v>1077</v>
      </c>
      <c r="E571" s="12" t="str">
        <f>HYPERLINK("https://twitter.com/pturhanoglu/status/1181935880942043137","1181935880942043137")</f>
        <v>1181935880942043137</v>
      </c>
      <c r="F571" s="7"/>
      <c r="G571" s="14" t="s">
        <v>4974</v>
      </c>
      <c r="H571" s="8"/>
      <c r="I571" s="15">
        <v>0</v>
      </c>
      <c r="J571" s="15">
        <v>3</v>
      </c>
      <c r="K571" s="12" t="str">
        <f>HYPERLINK("http://twitter.com/download/iphone","Twitter for iPhone")</f>
        <v>Twitter for iPhone</v>
      </c>
      <c r="L571" s="16">
        <v>2516</v>
      </c>
      <c r="M571" s="16">
        <v>1387</v>
      </c>
      <c r="N571" s="16">
        <v>10</v>
      </c>
      <c r="O571" s="17"/>
      <c r="P571" s="18">
        <v>40268.534641203703</v>
      </c>
      <c r="Q571" s="7" t="s">
        <v>4977</v>
      </c>
      <c r="R571" s="7" t="s">
        <v>4978</v>
      </c>
      <c r="S571" s="7"/>
      <c r="T571" s="8"/>
      <c r="U571" s="19" t="str">
        <f>HYPERLINK("https://pbs.twimg.com/profile_images/963754681393704961/6H4Gw40x.jpg","View")</f>
        <v>View</v>
      </c>
      <c r="V571" s="8"/>
      <c r="W571" s="8"/>
      <c r="X571" s="8"/>
      <c r="Y571" s="8"/>
      <c r="Z571" s="8"/>
    </row>
    <row r="572" spans="1:26" ht="12.75">
      <c r="A572" s="11">
        <v>43747.301446759258</v>
      </c>
      <c r="B572" s="12" t="str">
        <f>HYPERLINK("https://twitter.com/Gunsa231","@Gunsa231")</f>
        <v>@Gunsa231</v>
      </c>
      <c r="C572" s="7" t="s">
        <v>4979</v>
      </c>
      <c r="D572" s="7" t="s">
        <v>4981</v>
      </c>
      <c r="E572" s="12" t="str">
        <f>HYPERLINK("https://twitter.com/Gunsa231/status/1181935872452771841","1181935872452771841")</f>
        <v>1181935872452771841</v>
      </c>
      <c r="F572" s="8"/>
      <c r="G572" s="7"/>
      <c r="H572" s="8"/>
      <c r="I572" s="15">
        <v>0</v>
      </c>
      <c r="J572" s="15">
        <v>1</v>
      </c>
      <c r="K572" s="12" t="str">
        <f>HYPERLINK("http://twitter.com/download/android","Twitter for Android")</f>
        <v>Twitter for Android</v>
      </c>
      <c r="L572" s="16">
        <v>85</v>
      </c>
      <c r="M572" s="16">
        <v>75</v>
      </c>
      <c r="N572" s="16">
        <v>0</v>
      </c>
      <c r="O572" s="17"/>
      <c r="P572" s="18">
        <v>43322.304606481484</v>
      </c>
      <c r="Q572" s="7"/>
      <c r="R572" s="7" t="s">
        <v>4983</v>
      </c>
      <c r="S572" s="15"/>
      <c r="T572" s="8"/>
      <c r="U572" s="19" t="str">
        <f>HYPERLINK("https://pbs.twimg.com/profile_images/1027924791234363392/F9RbjyLt.jpg","View")</f>
        <v>View</v>
      </c>
      <c r="V572" s="8"/>
      <c r="W572" s="8"/>
      <c r="X572" s="8"/>
      <c r="Y572" s="8"/>
      <c r="Z572" s="8"/>
    </row>
    <row r="573" spans="1:26" ht="12.75">
      <c r="A573" s="11">
        <v>43747.301446759258</v>
      </c>
      <c r="B573" s="12" t="str">
        <f>HYPERLINK("https://twitter.com/Bugrahulaguhan","@Bugrahulaguhan")</f>
        <v>@Bugrahulaguhan</v>
      </c>
      <c r="C573" s="7" t="s">
        <v>4984</v>
      </c>
      <c r="D573" s="7" t="s">
        <v>4985</v>
      </c>
      <c r="E573" s="12" t="str">
        <f>HYPERLINK("https://twitter.com/Bugrahulaguhan/status/1181935868547915782","1181935868547915782")</f>
        <v>1181935868547915782</v>
      </c>
      <c r="F573" s="8"/>
      <c r="G573" s="7"/>
      <c r="H573" s="8"/>
      <c r="I573" s="15">
        <v>0</v>
      </c>
      <c r="J573" s="15">
        <v>1</v>
      </c>
      <c r="K573" s="12" t="str">
        <f>HYPERLINK("http://twitter.com/download/android","Twitter for Android")</f>
        <v>Twitter for Android</v>
      </c>
      <c r="L573" s="16">
        <v>23</v>
      </c>
      <c r="M573" s="16">
        <v>63</v>
      </c>
      <c r="N573" s="16">
        <v>0</v>
      </c>
      <c r="O573" s="17"/>
      <c r="P573" s="18">
        <v>43634.307592592595</v>
      </c>
      <c r="Q573" s="7" t="s">
        <v>4987</v>
      </c>
      <c r="R573" s="7" t="s">
        <v>4988</v>
      </c>
      <c r="S573" s="7"/>
      <c r="T573" s="8"/>
      <c r="U573" s="19" t="str">
        <f>HYPERLINK("https://pbs.twimg.com/profile_images/1179228588056469505/ObTjoq6-.jpg","View")</f>
        <v>View</v>
      </c>
      <c r="V573" s="8"/>
      <c r="W573" s="8"/>
      <c r="X573" s="8"/>
      <c r="Y573" s="8"/>
      <c r="Z573" s="8"/>
    </row>
    <row r="574" spans="1:26" ht="12.75">
      <c r="A574" s="11">
        <v>43747.301423611112</v>
      </c>
      <c r="B574" s="12" t="str">
        <f>HYPERLINK("https://twitter.com/serhatdirhem","@serhatdirhem")</f>
        <v>@serhatdirhem</v>
      </c>
      <c r="C574" s="7" t="s">
        <v>4989</v>
      </c>
      <c r="D574" s="7" t="s">
        <v>1313</v>
      </c>
      <c r="E574" s="12" t="str">
        <f>HYPERLINK("https://twitter.com/serhatdirhem/status/1181935862906531842","1181935862906531842")</f>
        <v>1181935862906531842</v>
      </c>
      <c r="F574" s="15"/>
      <c r="G574" s="14" t="s">
        <v>4990</v>
      </c>
      <c r="H574" s="8"/>
      <c r="I574" s="15">
        <v>0</v>
      </c>
      <c r="J574" s="15">
        <v>1</v>
      </c>
      <c r="K574" s="12" t="str">
        <f>HYPERLINK("http://twitter.com/download/iphone","Twitter for iPhone")</f>
        <v>Twitter for iPhone</v>
      </c>
      <c r="L574" s="16">
        <v>175</v>
      </c>
      <c r="M574" s="16">
        <v>625</v>
      </c>
      <c r="N574" s="16">
        <v>1</v>
      </c>
      <c r="O574" s="17"/>
      <c r="P574" s="18">
        <v>40154.143333333333</v>
      </c>
      <c r="Q574" s="7" t="s">
        <v>918</v>
      </c>
      <c r="R574" s="7" t="s">
        <v>4992</v>
      </c>
      <c r="S574" s="7"/>
      <c r="T574" s="8"/>
      <c r="U574" s="19" t="str">
        <f>HYPERLINK("https://pbs.twimg.com/profile_images/1045670180871974912/bg8ThRoD.jpg","View")</f>
        <v>View</v>
      </c>
      <c r="V574" s="8"/>
      <c r="W574" s="8"/>
      <c r="X574" s="8"/>
      <c r="Y574" s="8"/>
      <c r="Z574" s="8"/>
    </row>
    <row r="575" spans="1:26" ht="12.75">
      <c r="A575" s="11">
        <v>43747.301423611112</v>
      </c>
      <c r="B575" s="12" t="str">
        <f>HYPERLINK("https://twitter.com/bnyaminerkan58","@bnyaminerkan58")</f>
        <v>@bnyaminerkan58</v>
      </c>
      <c r="C575" s="7" t="s">
        <v>4993</v>
      </c>
      <c r="D575" s="7" t="s">
        <v>4994</v>
      </c>
      <c r="E575" s="12" t="str">
        <f>HYPERLINK("https://twitter.com/bnyaminerkan58/status/1181935861493047296","1181935861493047296")</f>
        <v>1181935861493047296</v>
      </c>
      <c r="F575" s="8"/>
      <c r="G575" s="14" t="s">
        <v>4998</v>
      </c>
      <c r="H575" s="8"/>
      <c r="I575" s="15">
        <v>0</v>
      </c>
      <c r="J575" s="15">
        <v>1</v>
      </c>
      <c r="K575" s="12" t="str">
        <f>HYPERLINK("http://twitter.com/download/iphone","Twitter for iPhone")</f>
        <v>Twitter for iPhone</v>
      </c>
      <c r="L575" s="16">
        <v>22</v>
      </c>
      <c r="M575" s="16">
        <v>61</v>
      </c>
      <c r="N575" s="16">
        <v>0</v>
      </c>
      <c r="O575" s="17"/>
      <c r="P575" s="18">
        <v>43684.327025462961</v>
      </c>
      <c r="Q575" s="7" t="s">
        <v>1193</v>
      </c>
      <c r="R575" s="7" t="s">
        <v>4999</v>
      </c>
      <c r="S575" s="7"/>
      <c r="T575" s="8"/>
      <c r="U575" s="19" t="str">
        <f>HYPERLINK("https://pbs.twimg.com/profile_images/1175668524859252737/CU2UamJM.jpg","View")</f>
        <v>View</v>
      </c>
      <c r="V575" s="8"/>
      <c r="W575" s="8"/>
      <c r="X575" s="8"/>
      <c r="Y575" s="8"/>
      <c r="Z575" s="8"/>
    </row>
    <row r="576" spans="1:26" ht="12.75">
      <c r="A576" s="11">
        <v>43747.301400462966</v>
      </c>
      <c r="B576" s="12" t="str">
        <f>HYPERLINK("https://twitter.com/AbdulQadirKhat9","@AbdulQadirKhat9")</f>
        <v>@AbdulQadirKhat9</v>
      </c>
      <c r="C576" s="7" t="s">
        <v>5000</v>
      </c>
      <c r="D576" s="7" t="s">
        <v>5002</v>
      </c>
      <c r="E576" s="12" t="str">
        <f>HYPERLINK("https://twitter.com/AbdulQadirKhat9/status/1181935855809781762","1181935855809781762")</f>
        <v>1181935855809781762</v>
      </c>
      <c r="F576" s="8"/>
      <c r="G576" s="14" t="s">
        <v>5003</v>
      </c>
      <c r="H576" s="8"/>
      <c r="I576" s="15">
        <v>0</v>
      </c>
      <c r="J576" s="15">
        <v>1</v>
      </c>
      <c r="K576" s="12" t="str">
        <f>HYPERLINK("http://twitter.com/download/android","Twitter for Android")</f>
        <v>Twitter for Android</v>
      </c>
      <c r="L576" s="16">
        <v>14</v>
      </c>
      <c r="M576" s="16">
        <v>64</v>
      </c>
      <c r="N576" s="16">
        <v>0</v>
      </c>
      <c r="O576" s="17"/>
      <c r="P576" s="18">
        <v>43528.008356481485</v>
      </c>
      <c r="Q576" s="7" t="s">
        <v>5005</v>
      </c>
      <c r="R576" s="7" t="s">
        <v>5006</v>
      </c>
      <c r="S576" s="7"/>
      <c r="T576" s="8"/>
      <c r="U576" s="19" t="str">
        <f>HYPERLINK("https://pbs.twimg.com/profile_images/1102489603985076224/-pnzbUZe.jpg","View")</f>
        <v>View</v>
      </c>
      <c r="V576" s="8"/>
      <c r="W576" s="8"/>
      <c r="X576" s="8"/>
      <c r="Y576" s="8"/>
      <c r="Z576" s="8"/>
    </row>
    <row r="577" spans="1:26" ht="12.75">
      <c r="A577" s="11">
        <v>43747.30133101852</v>
      </c>
      <c r="B577" s="12" t="str">
        <f>HYPERLINK("https://twitter.com/FcBoLuBeYi","@FcBoLuBeYi")</f>
        <v>@FcBoLuBeYi</v>
      </c>
      <c r="C577" s="7" t="s">
        <v>5012</v>
      </c>
      <c r="D577" s="7" t="s">
        <v>5013</v>
      </c>
      <c r="E577" s="12" t="str">
        <f>HYPERLINK("https://twitter.com/FcBoLuBeYi/status/1181935829750616064","1181935829750616064")</f>
        <v>1181935829750616064</v>
      </c>
      <c r="F577" s="8"/>
      <c r="G577" s="7"/>
      <c r="H577" s="8"/>
      <c r="I577" s="15">
        <v>0</v>
      </c>
      <c r="J577" s="15">
        <v>0</v>
      </c>
      <c r="K577" s="12" t="str">
        <f>HYPERLINK("http://twitter.com/download/iphone","Twitter for iPhone")</f>
        <v>Twitter for iPhone</v>
      </c>
      <c r="L577" s="16">
        <v>126</v>
      </c>
      <c r="M577" s="16">
        <v>1771</v>
      </c>
      <c r="N577" s="16">
        <v>0</v>
      </c>
      <c r="O577" s="17"/>
      <c r="P577" s="18">
        <v>41718.465439814812</v>
      </c>
      <c r="Q577" s="7" t="s">
        <v>918</v>
      </c>
      <c r="R577" s="7" t="s">
        <v>5016</v>
      </c>
      <c r="S577" s="14" t="s">
        <v>5017</v>
      </c>
      <c r="T577" s="8"/>
      <c r="U577" s="19" t="str">
        <f>HYPERLINK("https://pbs.twimg.com/profile_images/1133176077579358208/M108LeyA.jpg","View")</f>
        <v>View</v>
      </c>
      <c r="V577" s="8"/>
      <c r="W577" s="8"/>
      <c r="X577" s="8"/>
      <c r="Y577" s="8"/>
      <c r="Z577" s="8"/>
    </row>
    <row r="578" spans="1:26" ht="12.75">
      <c r="A578" s="11">
        <v>43747.301319444443</v>
      </c>
      <c r="B578" s="12" t="str">
        <f>HYPERLINK("https://twitter.com/Salihuzun","@Salihuzun")</f>
        <v>@Salihuzun</v>
      </c>
      <c r="C578" s="7" t="s">
        <v>5019</v>
      </c>
      <c r="D578" s="7" t="s">
        <v>5020</v>
      </c>
      <c r="E578" s="12" t="str">
        <f>HYPERLINK("https://twitter.com/Salihuzun/status/1181935823794659329","1181935823794659329")</f>
        <v>1181935823794659329</v>
      </c>
      <c r="F578" s="8"/>
      <c r="G578" s="14" t="s">
        <v>5022</v>
      </c>
      <c r="H578" s="8"/>
      <c r="I578" s="15">
        <v>1</v>
      </c>
      <c r="J578" s="15">
        <v>1</v>
      </c>
      <c r="K578" s="12" t="str">
        <f>HYPERLINK("http://twitter.com/download/android","Twitter for Android")</f>
        <v>Twitter for Android</v>
      </c>
      <c r="L578" s="16">
        <v>1463</v>
      </c>
      <c r="M578" s="16">
        <v>619</v>
      </c>
      <c r="N578" s="16">
        <v>3</v>
      </c>
      <c r="O578" s="17"/>
      <c r="P578" s="18">
        <v>40203.281701388885</v>
      </c>
      <c r="Q578" s="7" t="s">
        <v>5024</v>
      </c>
      <c r="R578" s="7" t="s">
        <v>5025</v>
      </c>
      <c r="S578" s="7"/>
      <c r="T578" s="8"/>
      <c r="U578" s="19" t="str">
        <f>HYPERLINK("https://pbs.twimg.com/profile_images/1153642142885171201/RkJ76Pbl.jpg","View")</f>
        <v>View</v>
      </c>
      <c r="V578" s="8"/>
      <c r="W578" s="8"/>
      <c r="X578" s="8"/>
      <c r="Y578" s="8"/>
      <c r="Z578" s="8"/>
    </row>
    <row r="579" spans="1:26" ht="12.75">
      <c r="A579" s="11">
        <v>43747.301296296297</v>
      </c>
      <c r="B579" s="12" t="str">
        <f>HYPERLINK("https://twitter.com/EtkiReklam","@EtkiReklam")</f>
        <v>@EtkiReklam</v>
      </c>
      <c r="C579" s="7" t="s">
        <v>5027</v>
      </c>
      <c r="D579" s="7" t="s">
        <v>5028</v>
      </c>
      <c r="E579" s="12" t="str">
        <f>HYPERLINK("https://twitter.com/EtkiReklam/status/1181935816089722880","1181935816089722880")</f>
        <v>1181935816089722880</v>
      </c>
      <c r="F579" s="8"/>
      <c r="G579" s="14" t="s">
        <v>5030</v>
      </c>
      <c r="H579" s="8"/>
      <c r="I579" s="15">
        <v>0</v>
      </c>
      <c r="J579" s="15">
        <v>0</v>
      </c>
      <c r="K579" s="12" t="str">
        <f>HYPERLINK("http://twitter.com/download/android","Twitter for Android")</f>
        <v>Twitter for Android</v>
      </c>
      <c r="L579" s="16">
        <v>217</v>
      </c>
      <c r="M579" s="16">
        <v>762</v>
      </c>
      <c r="N579" s="16">
        <v>0</v>
      </c>
      <c r="O579" s="17"/>
      <c r="P579" s="18">
        <v>41227.038495370369</v>
      </c>
      <c r="Q579" s="7"/>
      <c r="R579" s="7" t="s">
        <v>5031</v>
      </c>
      <c r="S579" s="14" t="s">
        <v>5032</v>
      </c>
      <c r="T579" s="8"/>
      <c r="U579" s="19" t="str">
        <f>HYPERLINK("https://pbs.twimg.com/profile_images/1053495341574746113/7k8tr_OE.jpg","View")</f>
        <v>View</v>
      </c>
      <c r="V579" s="8"/>
      <c r="W579" s="8"/>
      <c r="X579" s="8"/>
      <c r="Y579" s="8"/>
      <c r="Z579" s="8"/>
    </row>
    <row r="580" spans="1:26" ht="12.75">
      <c r="A580" s="11">
        <v>43747.301296296297</v>
      </c>
      <c r="B580" s="12" t="str">
        <f>HYPERLINK("https://twitter.com/jayshush1","@jayshush1")</f>
        <v>@jayshush1</v>
      </c>
      <c r="C580" s="7" t="s">
        <v>5033</v>
      </c>
      <c r="D580" s="7" t="s">
        <v>5034</v>
      </c>
      <c r="E580" s="12" t="str">
        <f>HYPERLINK("https://twitter.com/jayshush1/status/1181935815657758721","1181935815657758721")</f>
        <v>1181935815657758721</v>
      </c>
      <c r="F580" s="14" t="s">
        <v>5035</v>
      </c>
      <c r="G580" s="7"/>
      <c r="H580" s="8"/>
      <c r="I580" s="15">
        <v>4</v>
      </c>
      <c r="J580" s="15">
        <v>5</v>
      </c>
      <c r="K580" s="12" t="str">
        <f>HYPERLINK("http://twitter.com/download/iphone","Twitter for iPhone")</f>
        <v>Twitter for iPhone</v>
      </c>
      <c r="L580" s="16">
        <v>158</v>
      </c>
      <c r="M580" s="16">
        <v>229</v>
      </c>
      <c r="N580" s="16">
        <v>0</v>
      </c>
      <c r="O580" s="17"/>
      <c r="P580" s="18">
        <v>43672.416377314818</v>
      </c>
      <c r="Q580" s="7"/>
      <c r="R580" s="7" t="s">
        <v>5038</v>
      </c>
      <c r="S580" s="14" t="s">
        <v>5039</v>
      </c>
      <c r="T580" s="8"/>
      <c r="U580" s="19" t="str">
        <f>HYPERLINK("https://pbs.twimg.com/profile_images/1167221772594438144/ILZQ2ewT.jpg","View")</f>
        <v>View</v>
      </c>
      <c r="V580" s="8"/>
      <c r="W580" s="8"/>
      <c r="X580" s="8"/>
      <c r="Y580" s="8"/>
      <c r="Z580" s="8"/>
    </row>
    <row r="581" spans="1:26" ht="12.75">
      <c r="A581" s="11">
        <v>43747.301284722227</v>
      </c>
      <c r="B581" s="12" t="str">
        <f>HYPERLINK("https://twitter.com/EyyupAkkan","@EyyupAkkan")</f>
        <v>@EyyupAkkan</v>
      </c>
      <c r="C581" s="7" t="s">
        <v>5043</v>
      </c>
      <c r="D581" s="7" t="s">
        <v>5044</v>
      </c>
      <c r="E581" s="12" t="str">
        <f>HYPERLINK("https://twitter.com/EyyupAkkan/status/1181935811664711682","1181935811664711682")</f>
        <v>1181935811664711682</v>
      </c>
      <c r="F581" s="8"/>
      <c r="G581" s="15"/>
      <c r="H581" s="8"/>
      <c r="I581" s="15">
        <v>0</v>
      </c>
      <c r="J581" s="15">
        <v>1</v>
      </c>
      <c r="K581" s="12" t="str">
        <f>HYPERLINK("http://twitter.com/download/android","Twitter for Android")</f>
        <v>Twitter for Android</v>
      </c>
      <c r="L581" s="16">
        <v>1691</v>
      </c>
      <c r="M581" s="16">
        <v>2055</v>
      </c>
      <c r="N581" s="16">
        <v>0</v>
      </c>
      <c r="O581" s="17"/>
      <c r="P581" s="18">
        <v>43034.413310185184</v>
      </c>
      <c r="Q581" s="7"/>
      <c r="R581" s="7" t="s">
        <v>5045</v>
      </c>
      <c r="S581" s="7"/>
      <c r="T581" s="8"/>
      <c r="U581" s="19" t="str">
        <f>HYPERLINK("https://pbs.twimg.com/profile_images/1018155186802577408/ZnBTmlh5.jpg","View")</f>
        <v>View</v>
      </c>
      <c r="V581" s="8"/>
      <c r="W581" s="8"/>
      <c r="X581" s="8"/>
      <c r="Y581" s="8"/>
      <c r="Z581" s="8"/>
    </row>
    <row r="582" spans="1:26" ht="12.75">
      <c r="A582" s="11">
        <v>43747.301261574074</v>
      </c>
      <c r="B582" s="12" t="str">
        <f>HYPERLINK("https://twitter.com/YasaZuhal","@YasaZuhal")</f>
        <v>@YasaZuhal</v>
      </c>
      <c r="C582" s="7" t="s">
        <v>5048</v>
      </c>
      <c r="D582" s="7" t="s">
        <v>5049</v>
      </c>
      <c r="E582" s="12" t="str">
        <f>HYPERLINK("https://twitter.com/YasaZuhal/status/1181935802349232131","1181935802349232131")</f>
        <v>1181935802349232131</v>
      </c>
      <c r="F582" s="15"/>
      <c r="G582" s="7"/>
      <c r="H582" s="8"/>
      <c r="I582" s="15">
        <v>0</v>
      </c>
      <c r="J582" s="15">
        <v>2</v>
      </c>
      <c r="K582" s="12" t="str">
        <f>HYPERLINK("http://twitter.com/download/android","Twitter for Android")</f>
        <v>Twitter for Android</v>
      </c>
      <c r="L582" s="16">
        <v>145</v>
      </c>
      <c r="M582" s="16">
        <v>101</v>
      </c>
      <c r="N582" s="16">
        <v>0</v>
      </c>
      <c r="O582" s="17"/>
      <c r="P582" s="18">
        <v>41890.412199074075</v>
      </c>
      <c r="Q582" s="7" t="s">
        <v>5051</v>
      </c>
      <c r="R582" s="7" t="s">
        <v>5052</v>
      </c>
      <c r="S582" s="7"/>
      <c r="T582" s="8"/>
      <c r="U582" s="19" t="str">
        <f>HYPERLINK("https://pbs.twimg.com/profile_images/1181530061985501186/q9yDSgZD.jpg","View")</f>
        <v>View</v>
      </c>
      <c r="V582" s="8"/>
      <c r="W582" s="8"/>
      <c r="X582" s="8"/>
      <c r="Y582" s="8"/>
      <c r="Z582" s="8"/>
    </row>
    <row r="583" spans="1:26" ht="12.75">
      <c r="A583" s="11">
        <v>43747.301250000004</v>
      </c>
      <c r="B583" s="12" t="str">
        <f>HYPERLINK("https://twitter.com/mgules02","@mgules02")</f>
        <v>@mgules02</v>
      </c>
      <c r="C583" s="7" t="s">
        <v>5057</v>
      </c>
      <c r="D583" s="7" t="s">
        <v>5058</v>
      </c>
      <c r="E583" s="12" t="str">
        <f>HYPERLINK("https://twitter.com/mgules02/status/1181935799736164352","1181935799736164352")</f>
        <v>1181935799736164352</v>
      </c>
      <c r="F583" s="8"/>
      <c r="G583" s="15"/>
      <c r="H583" s="8"/>
      <c r="I583" s="15">
        <v>0</v>
      </c>
      <c r="J583" s="15">
        <v>1</v>
      </c>
      <c r="K583" s="12" t="str">
        <f>HYPERLINK("http://twitter.com/download/iphone","Twitter for iPhone")</f>
        <v>Twitter for iPhone</v>
      </c>
      <c r="L583" s="16">
        <v>97</v>
      </c>
      <c r="M583" s="16">
        <v>312</v>
      </c>
      <c r="N583" s="16">
        <v>0</v>
      </c>
      <c r="O583" s="17"/>
      <c r="P583" s="18">
        <v>41732.36173611111</v>
      </c>
      <c r="Q583" s="7" t="s">
        <v>5060</v>
      </c>
      <c r="R583" s="7" t="s">
        <v>5061</v>
      </c>
      <c r="S583" s="7"/>
      <c r="T583" s="8"/>
      <c r="U583" s="19" t="str">
        <f>HYPERLINK("https://pbs.twimg.com/profile_images/1181199791440764928/KmGD8uS_.jpg","View")</f>
        <v>View</v>
      </c>
      <c r="V583" s="8"/>
      <c r="W583" s="8"/>
      <c r="X583" s="8"/>
      <c r="Y583" s="8"/>
      <c r="Z583" s="8"/>
    </row>
    <row r="584" spans="1:26" ht="12.75">
      <c r="A584" s="11">
        <v>43747.301238425927</v>
      </c>
      <c r="B584" s="12" t="str">
        <f>HYPERLINK("https://twitter.com/Dexketoproffen","@Dexketoproffen")</f>
        <v>@Dexketoproffen</v>
      </c>
      <c r="C584" s="13" t="s">
        <v>5062</v>
      </c>
      <c r="D584" s="7" t="s">
        <v>5063</v>
      </c>
      <c r="E584" s="12" t="str">
        <f>HYPERLINK("https://twitter.com/Dexketoproffen/status/1181935793033621504","1181935793033621504")</f>
        <v>1181935793033621504</v>
      </c>
      <c r="F584" s="8"/>
      <c r="G584" s="14" t="s">
        <v>5064</v>
      </c>
      <c r="H584" s="8"/>
      <c r="I584" s="15">
        <v>0</v>
      </c>
      <c r="J584" s="15">
        <v>0</v>
      </c>
      <c r="K584" s="12" t="str">
        <f>HYPERLINK("http://twitter.com/download/android","Twitter for Android")</f>
        <v>Twitter for Android</v>
      </c>
      <c r="L584" s="16">
        <v>228</v>
      </c>
      <c r="M584" s="16">
        <v>896</v>
      </c>
      <c r="N584" s="16">
        <v>1</v>
      </c>
      <c r="O584" s="17"/>
      <c r="P584" s="18">
        <v>43542.611192129625</v>
      </c>
      <c r="Q584" s="7" t="s">
        <v>5065</v>
      </c>
      <c r="R584" s="7" t="s">
        <v>5066</v>
      </c>
      <c r="S584" s="7"/>
      <c r="T584" s="8"/>
      <c r="U584" s="19" t="str">
        <f>HYPERLINK("https://pbs.twimg.com/profile_images/1150886438327791623/yrI1-NJy.jpg","View")</f>
        <v>View</v>
      </c>
      <c r="V584" s="8"/>
      <c r="W584" s="8"/>
      <c r="X584" s="8"/>
      <c r="Y584" s="8"/>
      <c r="Z584" s="8"/>
    </row>
    <row r="585" spans="1:26" ht="12.75">
      <c r="A585" s="11">
        <v>43747.301192129627</v>
      </c>
      <c r="B585" s="12" t="str">
        <f>HYPERLINK("https://twitter.com/Tessacurly","@Tessacurly")</f>
        <v>@Tessacurly</v>
      </c>
      <c r="C585" s="7" t="s">
        <v>5072</v>
      </c>
      <c r="D585" s="7" t="s">
        <v>5073</v>
      </c>
      <c r="E585" s="12" t="str">
        <f>HYPERLINK("https://twitter.com/Tessacurly/status/1181935779800604672","1181935779800604672")</f>
        <v>1181935779800604672</v>
      </c>
      <c r="F585" s="8"/>
      <c r="G585" s="15"/>
      <c r="H585" s="8"/>
      <c r="I585" s="15">
        <v>1</v>
      </c>
      <c r="J585" s="15">
        <v>1</v>
      </c>
      <c r="K585" s="12" t="str">
        <f>HYPERLINK("http://twitter.com/download/android","Twitter for Android")</f>
        <v>Twitter for Android</v>
      </c>
      <c r="L585" s="16">
        <v>2129</v>
      </c>
      <c r="M585" s="16">
        <v>2173</v>
      </c>
      <c r="N585" s="16">
        <v>16</v>
      </c>
      <c r="O585" s="17"/>
      <c r="P585" s="18">
        <v>40744.280995370369</v>
      </c>
      <c r="Q585" s="7" t="s">
        <v>5074</v>
      </c>
      <c r="R585" s="7" t="s">
        <v>5075</v>
      </c>
      <c r="S585" s="7"/>
      <c r="T585" s="8"/>
      <c r="U585" s="19" t="str">
        <f>HYPERLINK("https://pbs.twimg.com/profile_images/963842305881976832/w9-hjDty.jpg","View")</f>
        <v>View</v>
      </c>
      <c r="V585" s="8"/>
      <c r="W585" s="8"/>
      <c r="X585" s="8"/>
      <c r="Y585" s="8"/>
      <c r="Z585" s="8"/>
    </row>
    <row r="586" spans="1:26" ht="12.75">
      <c r="A586" s="11">
        <v>43747.301180555558</v>
      </c>
      <c r="B586" s="12" t="str">
        <f>HYPERLINK("https://twitter.com/OZZAli","@OZZAli")</f>
        <v>@OZZAli</v>
      </c>
      <c r="C586" s="7" t="s">
        <v>5081</v>
      </c>
      <c r="D586" s="7" t="s">
        <v>4156</v>
      </c>
      <c r="E586" s="12" t="str">
        <f>HYPERLINK("https://twitter.com/OZZAli/status/1181935772800299008","1181935772800299008")</f>
        <v>1181935772800299008</v>
      </c>
      <c r="F586" s="8"/>
      <c r="G586" s="14" t="s">
        <v>5082</v>
      </c>
      <c r="H586" s="8"/>
      <c r="I586" s="15">
        <v>0</v>
      </c>
      <c r="J586" s="15">
        <v>3</v>
      </c>
      <c r="K586" s="12" t="str">
        <f>HYPERLINK("http://twitter.com/download/iphone","Twitter for iPhone")</f>
        <v>Twitter for iPhone</v>
      </c>
      <c r="L586" s="16">
        <v>778</v>
      </c>
      <c r="M586" s="16">
        <v>176</v>
      </c>
      <c r="N586" s="16">
        <v>12</v>
      </c>
      <c r="O586" s="17"/>
      <c r="P586" s="18">
        <v>40729.229421296295</v>
      </c>
      <c r="Q586" s="7" t="s">
        <v>918</v>
      </c>
      <c r="R586" s="7" t="s">
        <v>5085</v>
      </c>
      <c r="S586" s="7"/>
      <c r="T586" s="8"/>
      <c r="U586" s="19" t="str">
        <f>HYPERLINK("https://pbs.twimg.com/profile_images/992271925245132800/LFiKG59h.jpg","View")</f>
        <v>View</v>
      </c>
      <c r="V586" s="8"/>
      <c r="W586" s="8"/>
      <c r="X586" s="8"/>
      <c r="Y586" s="8"/>
      <c r="Z586" s="8"/>
    </row>
    <row r="587" spans="1:26" ht="12.75">
      <c r="A587" s="11">
        <v>43747.301168981481</v>
      </c>
      <c r="B587" s="12" t="str">
        <f>HYPERLINK("https://twitter.com/oflualbyrk","@oflualbyrk")</f>
        <v>@oflualbyrk</v>
      </c>
      <c r="C587" s="7" t="s">
        <v>5086</v>
      </c>
      <c r="D587" s="13" t="s">
        <v>5087</v>
      </c>
      <c r="E587" s="12" t="str">
        <f>HYPERLINK("https://twitter.com/oflualbyrk/status/1181935769725931522","1181935769725931522")</f>
        <v>1181935769725931522</v>
      </c>
      <c r="F587" s="8"/>
      <c r="G587" s="14" t="s">
        <v>5088</v>
      </c>
      <c r="H587" s="8"/>
      <c r="I587" s="15">
        <v>0</v>
      </c>
      <c r="J587" s="15">
        <v>2</v>
      </c>
      <c r="K587" s="12" t="str">
        <f>HYPERLINK("http://twitter.com/download/android","Twitter for Android")</f>
        <v>Twitter for Android</v>
      </c>
      <c r="L587" s="16">
        <v>28</v>
      </c>
      <c r="M587" s="16">
        <v>105</v>
      </c>
      <c r="N587" s="16">
        <v>0</v>
      </c>
      <c r="O587" s="17"/>
      <c r="P587" s="18">
        <v>42112.336273148147</v>
      </c>
      <c r="Q587" s="7" t="s">
        <v>5089</v>
      </c>
      <c r="R587" s="7"/>
      <c r="S587" s="14" t="s">
        <v>5090</v>
      </c>
      <c r="T587" s="8"/>
      <c r="U587" s="19" t="str">
        <f>HYPERLINK("https://pbs.twimg.com/profile_images/1179062422591692807/BvLvdcUU.jpg","View")</f>
        <v>View</v>
      </c>
      <c r="V587" s="8"/>
      <c r="W587" s="8"/>
      <c r="X587" s="8"/>
      <c r="Y587" s="8"/>
      <c r="Z587" s="8"/>
    </row>
    <row r="588" spans="1:26" ht="12.75">
      <c r="A588" s="11">
        <v>43747.301157407404</v>
      </c>
      <c r="B588" s="12" t="str">
        <f>HYPERLINK("https://twitter.com/alangova_tr","@alangova_tr")</f>
        <v>@alangova_tr</v>
      </c>
      <c r="C588" s="7" t="s">
        <v>5093</v>
      </c>
      <c r="D588" s="7" t="s">
        <v>5094</v>
      </c>
      <c r="E588" s="12" t="str">
        <f>HYPERLINK("https://twitter.com/alangova_tr/status/1181935766521421824","1181935766521421824")</f>
        <v>1181935766521421824</v>
      </c>
      <c r="F588" s="8"/>
      <c r="G588" s="14" t="s">
        <v>5095</v>
      </c>
      <c r="H588" s="8"/>
      <c r="I588" s="15">
        <v>1</v>
      </c>
      <c r="J588" s="15">
        <v>6</v>
      </c>
      <c r="K588" s="12" t="str">
        <f>HYPERLINK("http://twitter.com/download/iphone","Twitter for iPhone")</f>
        <v>Twitter for iPhone</v>
      </c>
      <c r="L588" s="16">
        <v>305</v>
      </c>
      <c r="M588" s="16">
        <v>436</v>
      </c>
      <c r="N588" s="16">
        <v>0</v>
      </c>
      <c r="O588" s="17"/>
      <c r="P588" s="18">
        <v>43411.625173611115</v>
      </c>
      <c r="Q588" s="7"/>
      <c r="R588" s="7" t="s">
        <v>5097</v>
      </c>
      <c r="S588" s="7"/>
      <c r="T588" s="8"/>
      <c r="U588" s="19" t="str">
        <f>HYPERLINK("https://pbs.twimg.com/profile_images/1093596105034657794/4AJ1kfvy.jpg","View")</f>
        <v>View</v>
      </c>
      <c r="V588" s="8"/>
      <c r="W588" s="8"/>
      <c r="X588" s="8"/>
      <c r="Y588" s="8"/>
      <c r="Z588" s="8"/>
    </row>
    <row r="589" spans="1:26" ht="12.75">
      <c r="A589" s="11">
        <v>43747.301145833335</v>
      </c>
      <c r="B589" s="12" t="str">
        <f>HYPERLINK("https://twitter.com/GalipKartal7","@GalipKartal7")</f>
        <v>@GalipKartal7</v>
      </c>
      <c r="C589" s="7" t="s">
        <v>5098</v>
      </c>
      <c r="D589" s="7" t="s">
        <v>5099</v>
      </c>
      <c r="E589" s="12" t="str">
        <f>HYPERLINK("https://twitter.com/GalipKartal7/status/1181935760875892736","1181935760875892736")</f>
        <v>1181935760875892736</v>
      </c>
      <c r="F589" s="8"/>
      <c r="G589" s="15"/>
      <c r="H589" s="8"/>
      <c r="I589" s="15">
        <v>0</v>
      </c>
      <c r="J589" s="15">
        <v>0</v>
      </c>
      <c r="K589" s="12" t="str">
        <f>HYPERLINK("http://twitter.com/download/iphone","Twitter for iPhone")</f>
        <v>Twitter for iPhone</v>
      </c>
      <c r="L589" s="16">
        <v>261</v>
      </c>
      <c r="M589" s="16">
        <v>1671</v>
      </c>
      <c r="N589" s="16">
        <v>0</v>
      </c>
      <c r="O589" s="17"/>
      <c r="P589" s="18">
        <v>41232.931157407409</v>
      </c>
      <c r="Q589" s="7"/>
      <c r="R589" s="7" t="s">
        <v>5100</v>
      </c>
      <c r="S589" s="7"/>
      <c r="T589" s="8"/>
      <c r="U589" s="19" t="str">
        <f>HYPERLINK("https://pbs.twimg.com/profile_images/1181126308203507712/tjgs8hh2.jpg","View")</f>
        <v>View</v>
      </c>
      <c r="V589" s="8"/>
      <c r="W589" s="8"/>
      <c r="X589" s="8"/>
      <c r="Y589" s="8"/>
      <c r="Z589" s="8"/>
    </row>
    <row r="590" spans="1:26" ht="12.75">
      <c r="A590" s="11">
        <v>43747.301122685181</v>
      </c>
      <c r="B590" s="12" t="str">
        <f>HYPERLINK("https://twitter.com/on5inci","@on5inci")</f>
        <v>@on5inci</v>
      </c>
      <c r="C590" s="7" t="s">
        <v>5104</v>
      </c>
      <c r="D590" s="7" t="s">
        <v>5105</v>
      </c>
      <c r="E590" s="12" t="str">
        <f>HYPERLINK("https://twitter.com/on5inci/status/1181935751212208128","1181935751212208128")</f>
        <v>1181935751212208128</v>
      </c>
      <c r="F590" s="7"/>
      <c r="G590" s="14" t="s">
        <v>5107</v>
      </c>
      <c r="H590" s="8"/>
      <c r="I590" s="15">
        <v>0</v>
      </c>
      <c r="J590" s="15">
        <v>0</v>
      </c>
      <c r="K590" s="12" t="str">
        <f>HYPERLINK("http://twitter.com/download/android","Twitter for Android")</f>
        <v>Twitter for Android</v>
      </c>
      <c r="L590" s="16">
        <v>8</v>
      </c>
      <c r="M590" s="16">
        <v>69</v>
      </c>
      <c r="N590" s="16">
        <v>0</v>
      </c>
      <c r="O590" s="17"/>
      <c r="P590" s="18">
        <v>43139.543379629627</v>
      </c>
      <c r="Q590" s="7"/>
      <c r="R590" s="7" t="s">
        <v>5108</v>
      </c>
      <c r="S590" s="7"/>
      <c r="T590" s="8"/>
      <c r="U590" s="19" t="str">
        <f>HYPERLINK("https://pbs.twimg.com/profile_images/1009192610404192258/HBwqmAbF.jpg","View")</f>
        <v>View</v>
      </c>
      <c r="V590" s="8"/>
      <c r="W590" s="8"/>
      <c r="X590" s="8"/>
      <c r="Y590" s="8"/>
      <c r="Z590" s="8"/>
    </row>
    <row r="591" spans="1:26" ht="12.75">
      <c r="A591" s="11">
        <v>43747.301053240742</v>
      </c>
      <c r="B591" s="12" t="str">
        <f>HYPERLINK("https://twitter.com/mert80171774","@mert80171774")</f>
        <v>@mert80171774</v>
      </c>
      <c r="C591" s="7" t="s">
        <v>5109</v>
      </c>
      <c r="D591" s="7" t="s">
        <v>5110</v>
      </c>
      <c r="E591" s="12" t="str">
        <f>HYPERLINK("https://twitter.com/mert80171774/status/1181935727468306432","1181935727468306432")</f>
        <v>1181935727468306432</v>
      </c>
      <c r="F591" s="15"/>
      <c r="G591" s="15"/>
      <c r="H591" s="8"/>
      <c r="I591" s="15">
        <v>0</v>
      </c>
      <c r="J591" s="15">
        <v>1</v>
      </c>
      <c r="K591" s="12" t="str">
        <f>HYPERLINK("http://twitter.com/download/iphone","Twitter for iPhone")</f>
        <v>Twitter for iPhone</v>
      </c>
      <c r="L591" s="16">
        <v>60</v>
      </c>
      <c r="M591" s="16">
        <v>130</v>
      </c>
      <c r="N591" s="16">
        <v>0</v>
      </c>
      <c r="O591" s="17"/>
      <c r="P591" s="18">
        <v>43331.324340277773</v>
      </c>
      <c r="Q591" s="7"/>
      <c r="R591" s="7" t="s">
        <v>5111</v>
      </c>
      <c r="S591" s="7"/>
      <c r="T591" s="8"/>
      <c r="U591" s="19" t="str">
        <f>HYPERLINK("https://pbs.twimg.com/profile_images/1031191463646978048/vsPEKuio.jpg","View")</f>
        <v>View</v>
      </c>
      <c r="V591" s="8"/>
      <c r="W591" s="8"/>
      <c r="X591" s="8"/>
      <c r="Y591" s="8"/>
      <c r="Z591" s="8"/>
    </row>
    <row r="592" spans="1:26" ht="12.75">
      <c r="A592" s="11">
        <v>43747.301030092596</v>
      </c>
      <c r="B592" s="12" t="str">
        <f>HYPERLINK("https://twitter.com/zisanakboga_","@zisanakboga_")</f>
        <v>@zisanakboga_</v>
      </c>
      <c r="C592" s="7" t="s">
        <v>5113</v>
      </c>
      <c r="D592" s="7" t="s">
        <v>5114</v>
      </c>
      <c r="E592" s="12" t="str">
        <f>HYPERLINK("https://twitter.com/zisanakboga_/status/1181935720434413573","1181935720434413573")</f>
        <v>1181935720434413573</v>
      </c>
      <c r="F592" s="14" t="s">
        <v>5115</v>
      </c>
      <c r="G592" s="14" t="s">
        <v>5118</v>
      </c>
      <c r="H592" s="8"/>
      <c r="I592" s="15">
        <v>0</v>
      </c>
      <c r="J592" s="15">
        <v>2</v>
      </c>
      <c r="K592" s="12" t="str">
        <f>HYPERLINK("http://twitter.com/download/android","Twitter for Android")</f>
        <v>Twitter for Android</v>
      </c>
      <c r="L592" s="16">
        <v>41</v>
      </c>
      <c r="M592" s="16">
        <v>78</v>
      </c>
      <c r="N592" s="16">
        <v>0</v>
      </c>
      <c r="O592" s="17"/>
      <c r="P592" s="18">
        <v>43521.190104166672</v>
      </c>
      <c r="Q592" s="7"/>
      <c r="R592" s="7" t="s">
        <v>5119</v>
      </c>
      <c r="S592" s="7"/>
      <c r="T592" s="8"/>
      <c r="U592" s="19" t="str">
        <f>HYPERLINK("https://pbs.twimg.com/profile_images/1167398644934463488/wj0b33OJ.jpg","View")</f>
        <v>View</v>
      </c>
      <c r="V592" s="8"/>
      <c r="W592" s="8"/>
      <c r="X592" s="8"/>
      <c r="Y592" s="8"/>
      <c r="Z592" s="8"/>
    </row>
    <row r="593" spans="1:26" ht="12.75">
      <c r="A593" s="11">
        <v>43747.301018518519</v>
      </c>
      <c r="B593" s="12" t="str">
        <f>HYPERLINK("https://twitter.com/FrknTsn23","@FrknTsn23")</f>
        <v>@FrknTsn23</v>
      </c>
      <c r="C593" s="7" t="s">
        <v>5122</v>
      </c>
      <c r="D593" s="7" t="s">
        <v>5123</v>
      </c>
      <c r="E593" s="12" t="str">
        <f>HYPERLINK("https://twitter.com/FrknTsn23/status/1181935717150318593","1181935717150318593")</f>
        <v>1181935717150318593</v>
      </c>
      <c r="F593" s="8"/>
      <c r="G593" s="14" t="s">
        <v>5124</v>
      </c>
      <c r="H593" s="8"/>
      <c r="I593" s="15">
        <v>0</v>
      </c>
      <c r="J593" s="15">
        <v>1</v>
      </c>
      <c r="K593" s="12" t="str">
        <f>HYPERLINK("http://twitter.com/download/android","Twitter for Android")</f>
        <v>Twitter for Android</v>
      </c>
      <c r="L593" s="16">
        <v>282</v>
      </c>
      <c r="M593" s="16">
        <v>144</v>
      </c>
      <c r="N593" s="16">
        <v>0</v>
      </c>
      <c r="O593" s="17"/>
      <c r="P593" s="18">
        <v>41870.373495370368</v>
      </c>
      <c r="Q593" s="7"/>
      <c r="R593" s="7" t="s">
        <v>5125</v>
      </c>
      <c r="S593" s="7"/>
      <c r="T593" s="8"/>
      <c r="U593" s="19" t="str">
        <f>HYPERLINK("https://pbs.twimg.com/profile_images/1181365836247949313/nnObSeEm.jpg","View")</f>
        <v>View</v>
      </c>
      <c r="V593" s="8"/>
      <c r="W593" s="8"/>
      <c r="X593" s="8"/>
      <c r="Y593" s="8"/>
      <c r="Z593" s="8"/>
    </row>
    <row r="594" spans="1:26" ht="12.75">
      <c r="A594" s="11">
        <v>43747.301018518519</v>
      </c>
      <c r="B594" s="12" t="str">
        <f>HYPERLINK("https://twitter.com/haciahmetsimsek","@haciahmetsimsek")</f>
        <v>@haciahmetsimsek</v>
      </c>
      <c r="C594" s="7" t="s">
        <v>5126</v>
      </c>
      <c r="D594" s="7" t="s">
        <v>5127</v>
      </c>
      <c r="E594" s="12" t="str">
        <f>HYPERLINK("https://twitter.com/haciahmetsimsek/status/1181935715279671297","1181935715279671297")</f>
        <v>1181935715279671297</v>
      </c>
      <c r="F594" s="8"/>
      <c r="G594" s="14" t="s">
        <v>5128</v>
      </c>
      <c r="H594" s="8"/>
      <c r="I594" s="15">
        <v>0</v>
      </c>
      <c r="J594" s="15">
        <v>3</v>
      </c>
      <c r="K594" s="12" t="str">
        <f>HYPERLINK("http://twitter.com/download/android","Twitter for Android")</f>
        <v>Twitter for Android</v>
      </c>
      <c r="L594" s="16">
        <v>1840</v>
      </c>
      <c r="M594" s="16">
        <v>409</v>
      </c>
      <c r="N594" s="16">
        <v>4</v>
      </c>
      <c r="O594" s="17"/>
      <c r="P594" s="18">
        <v>40477.091481481482</v>
      </c>
      <c r="Q594" s="7" t="s">
        <v>2050</v>
      </c>
      <c r="R594" s="7" t="s">
        <v>5131</v>
      </c>
      <c r="S594" s="7"/>
      <c r="T594" s="8"/>
      <c r="U594" s="19" t="str">
        <f>HYPERLINK("https://pbs.twimg.com/profile_images/1076945180173979653/LXB8afYR.jpg","View")</f>
        <v>View</v>
      </c>
      <c r="V594" s="8"/>
      <c r="W594" s="8"/>
      <c r="X594" s="8"/>
      <c r="Y594" s="8"/>
      <c r="Z594" s="8"/>
    </row>
    <row r="595" spans="1:26" ht="12.75">
      <c r="A595" s="11">
        <v>43747.30097222222</v>
      </c>
      <c r="B595" s="12" t="str">
        <f>HYPERLINK("https://twitter.com/hasanngul7","@hasanngul7")</f>
        <v>@hasanngul7</v>
      </c>
      <c r="C595" s="7" t="s">
        <v>5133</v>
      </c>
      <c r="D595" s="7" t="s">
        <v>5134</v>
      </c>
      <c r="E595" s="12" t="str">
        <f>HYPERLINK("https://twitter.com/hasanngul7/status/1181935698817015809","1181935698817015809")</f>
        <v>1181935698817015809</v>
      </c>
      <c r="F595" s="8"/>
      <c r="G595" s="14" t="s">
        <v>5135</v>
      </c>
      <c r="H595" s="8"/>
      <c r="I595" s="15">
        <v>1</v>
      </c>
      <c r="J595" s="15">
        <v>4</v>
      </c>
      <c r="K595" s="12" t="str">
        <f>HYPERLINK("http://twitter.com/download/android","Twitter for Android")</f>
        <v>Twitter for Android</v>
      </c>
      <c r="L595" s="16">
        <v>445</v>
      </c>
      <c r="M595" s="16">
        <v>280</v>
      </c>
      <c r="N595" s="16">
        <v>3</v>
      </c>
      <c r="O595" s="17"/>
      <c r="P595" s="18">
        <v>40382.021249999998</v>
      </c>
      <c r="Q595" s="7"/>
      <c r="R595" s="7" t="s">
        <v>5136</v>
      </c>
      <c r="S595" s="7"/>
      <c r="T595" s="8"/>
      <c r="U595" s="19" t="str">
        <f>HYPERLINK("https://pbs.twimg.com/profile_images/1181320069843804160/Q_EAxlR6.jpg","View")</f>
        <v>View</v>
      </c>
      <c r="V595" s="8"/>
      <c r="W595" s="8"/>
      <c r="X595" s="8"/>
      <c r="Y595" s="8"/>
      <c r="Z595" s="8"/>
    </row>
    <row r="596" spans="1:26" ht="12.75">
      <c r="A596" s="11">
        <v>43747.30097222222</v>
      </c>
      <c r="B596" s="12" t="str">
        <f>HYPERLINK("https://twitter.com/fahreneitz","@fahreneitz")</f>
        <v>@fahreneitz</v>
      </c>
      <c r="C596" s="7" t="s">
        <v>5137</v>
      </c>
      <c r="D596" s="7" t="s">
        <v>1313</v>
      </c>
      <c r="E596" s="12" t="str">
        <f>HYPERLINK("https://twitter.com/fahreneitz/status/1181935698565304321","1181935698565304321")</f>
        <v>1181935698565304321</v>
      </c>
      <c r="F596" s="8"/>
      <c r="G596" s="14" t="s">
        <v>5138</v>
      </c>
      <c r="H596" s="8"/>
      <c r="I596" s="15">
        <v>0</v>
      </c>
      <c r="J596" s="15">
        <v>0</v>
      </c>
      <c r="K596" s="12" t="str">
        <f>HYPERLINK("http://twitter.com/download/android","Twitter for Android")</f>
        <v>Twitter for Android</v>
      </c>
      <c r="L596" s="16">
        <v>0</v>
      </c>
      <c r="M596" s="16">
        <v>7</v>
      </c>
      <c r="N596" s="16">
        <v>0</v>
      </c>
      <c r="O596" s="17"/>
      <c r="P596" s="18">
        <v>43747.296388888892</v>
      </c>
      <c r="Q596" s="7"/>
      <c r="R596" s="7" t="s">
        <v>5140</v>
      </c>
      <c r="S596" s="7"/>
      <c r="T596" s="8"/>
      <c r="U596" s="19" t="str">
        <f>HYPERLINK("https://pbs.twimg.com/profile_images/1181934683002753026/HsBNzaDD.jpg","View")</f>
        <v>View</v>
      </c>
      <c r="V596" s="8"/>
      <c r="W596" s="8"/>
      <c r="X596" s="8"/>
      <c r="Y596" s="8"/>
      <c r="Z596" s="8"/>
    </row>
    <row r="597" spans="1:26" ht="12.75">
      <c r="A597" s="11">
        <v>43747.30096064815</v>
      </c>
      <c r="B597" s="12" t="str">
        <f>HYPERLINK("https://twitter.com/fattmaacakiir","@fattmaacakiir")</f>
        <v>@fattmaacakiir</v>
      </c>
      <c r="C597" s="7" t="s">
        <v>5143</v>
      </c>
      <c r="D597" s="7" t="s">
        <v>5144</v>
      </c>
      <c r="E597" s="12" t="str">
        <f>HYPERLINK("https://twitter.com/fattmaacakiir/status/1181935692789813250","1181935692789813250")</f>
        <v>1181935692789813250</v>
      </c>
      <c r="F597" s="8"/>
      <c r="G597" s="14" t="s">
        <v>5145</v>
      </c>
      <c r="H597" s="8"/>
      <c r="I597" s="15">
        <v>0</v>
      </c>
      <c r="J597" s="15">
        <v>0</v>
      </c>
      <c r="K597" s="12" t="str">
        <f>HYPERLINK("http://twitter.com/download/android","Twitter for Android")</f>
        <v>Twitter for Android</v>
      </c>
      <c r="L597" s="16">
        <v>15</v>
      </c>
      <c r="M597" s="16">
        <v>14</v>
      </c>
      <c r="N597" s="16">
        <v>0</v>
      </c>
      <c r="O597" s="17"/>
      <c r="P597" s="18">
        <v>43673.700879629629</v>
      </c>
      <c r="Q597" s="7"/>
      <c r="R597" s="7" t="s">
        <v>5146</v>
      </c>
      <c r="S597" s="15"/>
      <c r="T597" s="8"/>
      <c r="U597" s="19" t="str">
        <f>HYPERLINK("https://pbs.twimg.com/profile_images/1169725459833208832/zH9KkQ_N.jpg","View")</f>
        <v>View</v>
      </c>
      <c r="V597" s="8"/>
      <c r="W597" s="8"/>
      <c r="X597" s="8"/>
      <c r="Y597" s="8"/>
      <c r="Z597" s="8"/>
    </row>
    <row r="598" spans="1:26" ht="12.75">
      <c r="A598" s="11">
        <v>43747.300902777773</v>
      </c>
      <c r="B598" s="12" t="str">
        <f>HYPERLINK("https://twitter.com/tutasteey","@tutasteey")</f>
        <v>@tutasteey</v>
      </c>
      <c r="C598" s="7" t="s">
        <v>5149</v>
      </c>
      <c r="D598" s="7" t="s">
        <v>5150</v>
      </c>
      <c r="E598" s="12" t="str">
        <f>HYPERLINK("https://twitter.com/tutasteey/status/1181935673349148672","1181935673349148672")</f>
        <v>1181935673349148672</v>
      </c>
      <c r="F598" s="15"/>
      <c r="G598" s="15"/>
      <c r="H598" s="8"/>
      <c r="I598" s="15">
        <v>1</v>
      </c>
      <c r="J598" s="15">
        <v>3</v>
      </c>
      <c r="K598" s="12" t="str">
        <f>HYPERLINK("http://twitter.com/download/iphone","Twitter for iPhone")</f>
        <v>Twitter for iPhone</v>
      </c>
      <c r="L598" s="16">
        <v>122</v>
      </c>
      <c r="M598" s="16">
        <v>351</v>
      </c>
      <c r="N598" s="16">
        <v>0</v>
      </c>
      <c r="O598" s="17"/>
      <c r="P598" s="18">
        <v>43745.982106481482</v>
      </c>
      <c r="Q598" s="7" t="s">
        <v>2013</v>
      </c>
      <c r="R598" s="7" t="s">
        <v>5152</v>
      </c>
      <c r="S598" s="15"/>
      <c r="T598" s="8"/>
      <c r="U598" s="19" t="str">
        <f>HYPERLINK("https://pbs.twimg.com/profile_images/1181833734397579264/e06RTaZm.jpg","View")</f>
        <v>View</v>
      </c>
      <c r="V598" s="8"/>
      <c r="W598" s="8"/>
      <c r="X598" s="8"/>
      <c r="Y598" s="8"/>
      <c r="Z598" s="8"/>
    </row>
    <row r="599" spans="1:26" ht="12.75">
      <c r="A599" s="11">
        <v>43747.300891203704</v>
      </c>
      <c r="B599" s="12" t="str">
        <f>HYPERLINK("https://twitter.com/rasimoktar","@rasimoktar")</f>
        <v>@rasimoktar</v>
      </c>
      <c r="C599" s="7" t="s">
        <v>5155</v>
      </c>
      <c r="D599" s="7" t="s">
        <v>5156</v>
      </c>
      <c r="E599" s="12" t="str">
        <f>HYPERLINK("https://twitter.com/rasimoktar/status/1181935669767282691","1181935669767282691")</f>
        <v>1181935669767282691</v>
      </c>
      <c r="F599" s="8"/>
      <c r="G599" s="15"/>
      <c r="H599" s="8"/>
      <c r="I599" s="15">
        <v>0</v>
      </c>
      <c r="J599" s="15">
        <v>0</v>
      </c>
      <c r="K599" s="12" t="str">
        <f>HYPERLINK("http://twitter.com/download/iphone","Twitter for iPhone")</f>
        <v>Twitter for iPhone</v>
      </c>
      <c r="L599" s="16">
        <v>241</v>
      </c>
      <c r="M599" s="16">
        <v>693</v>
      </c>
      <c r="N599" s="16">
        <v>0</v>
      </c>
      <c r="O599" s="17"/>
      <c r="P599" s="18">
        <v>41417.362650462965</v>
      </c>
      <c r="Q599" s="7" t="s">
        <v>685</v>
      </c>
      <c r="R599" s="7" t="s">
        <v>5158</v>
      </c>
      <c r="S599" s="14" t="s">
        <v>5159</v>
      </c>
      <c r="T599" s="8"/>
      <c r="U599" s="19" t="str">
        <f>HYPERLINK("https://pbs.twimg.com/profile_images/1145679456058712065/ZTjkQeou.jpg","View")</f>
        <v>View</v>
      </c>
      <c r="V599" s="8"/>
      <c r="W599" s="8"/>
      <c r="X599" s="8"/>
      <c r="Y599" s="8"/>
      <c r="Z599" s="8"/>
    </row>
    <row r="600" spans="1:26" ht="12.75">
      <c r="A600" s="11">
        <v>43747.300879629634</v>
      </c>
      <c r="B600" s="12" t="str">
        <f>HYPERLINK("https://twitter.com/_mucahit___","@_mucahit___")</f>
        <v>@_mucahit___</v>
      </c>
      <c r="C600" s="7" t="s">
        <v>5161</v>
      </c>
      <c r="D600" s="7" t="s">
        <v>5162</v>
      </c>
      <c r="E600" s="12" t="str">
        <f>HYPERLINK("https://twitter.com/_mucahit___/status/1181935666814320640","1181935666814320640")</f>
        <v>1181935666814320640</v>
      </c>
      <c r="F600" s="8"/>
      <c r="G600" s="15"/>
      <c r="H600" s="8"/>
      <c r="I600" s="15">
        <v>3</v>
      </c>
      <c r="J600" s="15">
        <v>13</v>
      </c>
      <c r="K600" s="12" t="str">
        <f>HYPERLINK("http://twitter.com/download/android","Twitter for Android")</f>
        <v>Twitter for Android</v>
      </c>
      <c r="L600" s="16">
        <v>7599</v>
      </c>
      <c r="M600" s="16">
        <v>3106</v>
      </c>
      <c r="N600" s="16">
        <v>8</v>
      </c>
      <c r="O600" s="17"/>
      <c r="P600" s="18">
        <v>41017.394490740742</v>
      </c>
      <c r="Q600" s="7" t="s">
        <v>1549</v>
      </c>
      <c r="R600" s="7" t="s">
        <v>5165</v>
      </c>
      <c r="S600" s="7"/>
      <c r="T600" s="8"/>
      <c r="U600" s="19" t="str">
        <f>HYPERLINK("https://pbs.twimg.com/profile_images/1151242816892350464/Yv-MtTKU.jpg","View")</f>
        <v>View</v>
      </c>
      <c r="V600" s="8"/>
      <c r="W600" s="8"/>
      <c r="X600" s="8"/>
      <c r="Y600" s="8"/>
      <c r="Z600" s="8"/>
    </row>
    <row r="601" spans="1:26" ht="12.75">
      <c r="A601" s="11">
        <v>43747.300810185188</v>
      </c>
      <c r="B601" s="12" t="str">
        <f>HYPERLINK("https://twitter.com/gkhnylmzz61","@gkhnylmzz61")</f>
        <v>@gkhnylmzz61</v>
      </c>
      <c r="C601" s="7" t="s">
        <v>5170</v>
      </c>
      <c r="D601" s="7" t="s">
        <v>5171</v>
      </c>
      <c r="E601" s="12" t="str">
        <f>HYPERLINK("https://twitter.com/gkhnylmzz61/status/1181935638679097344","1181935638679097344")</f>
        <v>1181935638679097344</v>
      </c>
      <c r="F601" s="8"/>
      <c r="G601" s="14" t="s">
        <v>5172</v>
      </c>
      <c r="H601" s="8"/>
      <c r="I601" s="15">
        <v>0</v>
      </c>
      <c r="J601" s="15">
        <v>0</v>
      </c>
      <c r="K601" s="12" t="str">
        <f>HYPERLINK("http://twitter.com/download/android","Twitter for Android")</f>
        <v>Twitter for Android</v>
      </c>
      <c r="L601" s="16">
        <v>43</v>
      </c>
      <c r="M601" s="16">
        <v>206</v>
      </c>
      <c r="N601" s="16">
        <v>0</v>
      </c>
      <c r="O601" s="17"/>
      <c r="P601" s="18">
        <v>40439.285613425927</v>
      </c>
      <c r="Q601" s="7"/>
      <c r="R601" s="7"/>
      <c r="S601" s="7"/>
      <c r="T601" s="8"/>
      <c r="U601" s="19" t="str">
        <f>HYPERLINK("https://pbs.twimg.com/profile_images/1152690872913408000/OK5ZOj54.jpg","View")</f>
        <v>View</v>
      </c>
      <c r="V601" s="8"/>
      <c r="W601" s="8"/>
      <c r="X601" s="8"/>
      <c r="Y601" s="8"/>
      <c r="Z601" s="8"/>
    </row>
    <row r="602" spans="1:26" ht="12.75">
      <c r="A602" s="11">
        <v>43747.300798611112</v>
      </c>
      <c r="B602" s="12" t="str">
        <f>HYPERLINK("https://twitter.com/zeyneepaydiinn","@zeyneepaydiinn")</f>
        <v>@zeyneepaydiinn</v>
      </c>
      <c r="C602" s="7" t="s">
        <v>5176</v>
      </c>
      <c r="D602" s="7" t="s">
        <v>5178</v>
      </c>
      <c r="E602" s="12" t="str">
        <f>HYPERLINK("https://twitter.com/zeyneepaydiinn/status/1181935635940159488","1181935635940159488")</f>
        <v>1181935635940159488</v>
      </c>
      <c r="F602" s="8"/>
      <c r="G602" s="15"/>
      <c r="H602" s="8"/>
      <c r="I602" s="15">
        <v>0</v>
      </c>
      <c r="J602" s="15">
        <v>0</v>
      </c>
      <c r="K602" s="12" t="str">
        <f>HYPERLINK("http://twitter.com/download/iphone","Twitter for iPhone")</f>
        <v>Twitter for iPhone</v>
      </c>
      <c r="L602" s="16">
        <v>164</v>
      </c>
      <c r="M602" s="16">
        <v>183</v>
      </c>
      <c r="N602" s="16">
        <v>0</v>
      </c>
      <c r="O602" s="17"/>
      <c r="P602" s="18">
        <v>40385.373680555553</v>
      </c>
      <c r="Q602" s="7" t="s">
        <v>313</v>
      </c>
      <c r="R602" s="7" t="s">
        <v>5180</v>
      </c>
      <c r="S602" s="15"/>
      <c r="T602" s="8"/>
      <c r="U602" s="19" t="str">
        <f>HYPERLINK("https://pbs.twimg.com/profile_images/930374283028783104/JYO0AwiV.jpg","View")</f>
        <v>View</v>
      </c>
      <c r="V602" s="8"/>
      <c r="W602" s="8"/>
      <c r="X602" s="8"/>
      <c r="Y602" s="8"/>
      <c r="Z602" s="8"/>
    </row>
    <row r="603" spans="1:26" ht="12.75">
      <c r="A603" s="11">
        <v>43747.300787037035</v>
      </c>
      <c r="B603" s="12" t="str">
        <f>HYPERLINK("https://twitter.com/Twt_Samet","@Twt_Samet")</f>
        <v>@Twt_Samet</v>
      </c>
      <c r="C603" s="7" t="s">
        <v>5181</v>
      </c>
      <c r="D603" s="7" t="s">
        <v>5182</v>
      </c>
      <c r="E603" s="12" t="str">
        <f>HYPERLINK("https://twitter.com/Twt_Samet/status/1181935631204782084","1181935631204782084")</f>
        <v>1181935631204782084</v>
      </c>
      <c r="F603" s="8"/>
      <c r="G603" s="14" t="s">
        <v>5183</v>
      </c>
      <c r="H603" s="8"/>
      <c r="I603" s="15">
        <v>0</v>
      </c>
      <c r="J603" s="15">
        <v>0</v>
      </c>
      <c r="K603" s="12" t="str">
        <f>HYPERLINK("https://mobile.twitter.com","Twitter Web App")</f>
        <v>Twitter Web App</v>
      </c>
      <c r="L603" s="16">
        <v>50</v>
      </c>
      <c r="M603" s="16">
        <v>100</v>
      </c>
      <c r="N603" s="16">
        <v>0</v>
      </c>
      <c r="O603" s="17"/>
      <c r="P603" s="18">
        <v>41644.228229166663</v>
      </c>
      <c r="Q603" s="7" t="s">
        <v>5185</v>
      </c>
      <c r="R603" s="7" t="s">
        <v>5186</v>
      </c>
      <c r="S603" s="7"/>
      <c r="T603" s="8"/>
      <c r="U603" s="19" t="str">
        <f>HYPERLINK("https://pbs.twimg.com/profile_images/1143169666048811008/2oHtqMfb.jpg","View")</f>
        <v>View</v>
      </c>
      <c r="V603" s="8"/>
      <c r="W603" s="8"/>
      <c r="X603" s="8"/>
      <c r="Y603" s="8"/>
      <c r="Z603" s="8"/>
    </row>
    <row r="604" spans="1:26" ht="12.75">
      <c r="A604" s="11">
        <v>43747.300787037035</v>
      </c>
      <c r="B604" s="12" t="str">
        <f>HYPERLINK("https://twitter.com/Otugen_kurt","@Otugen_kurt")</f>
        <v>@Otugen_kurt</v>
      </c>
      <c r="C604" s="7" t="s">
        <v>5187</v>
      </c>
      <c r="D604" s="7" t="s">
        <v>5188</v>
      </c>
      <c r="E604" s="12" t="str">
        <f>HYPERLINK("https://twitter.com/Otugen_kurt/status/1181935629887770624","1181935629887770624")</f>
        <v>1181935629887770624</v>
      </c>
      <c r="F604" s="8"/>
      <c r="G604" s="14" t="s">
        <v>5189</v>
      </c>
      <c r="H604" s="8"/>
      <c r="I604" s="15">
        <v>0</v>
      </c>
      <c r="J604" s="15">
        <v>1</v>
      </c>
      <c r="K604" s="12" t="str">
        <f>HYPERLINK("https://mobile.twitter.com","Twitter Web App")</f>
        <v>Twitter Web App</v>
      </c>
      <c r="L604" s="16">
        <v>2801</v>
      </c>
      <c r="M604" s="16">
        <v>2954</v>
      </c>
      <c r="N604" s="16">
        <v>1</v>
      </c>
      <c r="O604" s="17"/>
      <c r="P604" s="18">
        <v>42690.155763888892</v>
      </c>
      <c r="Q604" s="7" t="s">
        <v>5192</v>
      </c>
      <c r="R604" s="7" t="s">
        <v>5193</v>
      </c>
      <c r="S604" s="15"/>
      <c r="T604" s="8"/>
      <c r="U604" s="19" t="str">
        <f>HYPERLINK("https://pbs.twimg.com/profile_images/946812419208343554/7Rxe1DoU.jpg","View")</f>
        <v>View</v>
      </c>
      <c r="V604" s="8"/>
      <c r="W604" s="8"/>
      <c r="X604" s="8"/>
      <c r="Y604" s="8"/>
      <c r="Z604" s="8"/>
    </row>
    <row r="605" spans="1:26" ht="12.75">
      <c r="A605" s="11">
        <v>43747.300729166665</v>
      </c>
      <c r="B605" s="12" t="str">
        <f>HYPERLINK("https://twitter.com/CerkezBicer","@CerkezBicer")</f>
        <v>@CerkezBicer</v>
      </c>
      <c r="C605" s="7" t="s">
        <v>5198</v>
      </c>
      <c r="D605" s="7" t="s">
        <v>5199</v>
      </c>
      <c r="E605" s="12" t="str">
        <f>HYPERLINK("https://twitter.com/CerkezBicer/status/1181935611026067460","1181935611026067460")</f>
        <v>1181935611026067460</v>
      </c>
      <c r="F605" s="8"/>
      <c r="G605" s="14" t="s">
        <v>5201</v>
      </c>
      <c r="H605" s="8"/>
      <c r="I605" s="15">
        <v>0</v>
      </c>
      <c r="J605" s="15">
        <v>1</v>
      </c>
      <c r="K605" s="12" t="str">
        <f>HYPERLINK("http://twitter.com/download/iphone","Twitter for iPhone")</f>
        <v>Twitter for iPhone</v>
      </c>
      <c r="L605" s="16">
        <v>183</v>
      </c>
      <c r="M605" s="16">
        <v>242</v>
      </c>
      <c r="N605" s="16">
        <v>1</v>
      </c>
      <c r="O605" s="17"/>
      <c r="P605" s="18">
        <v>40761.246157407411</v>
      </c>
      <c r="Q605" s="7" t="s">
        <v>5202</v>
      </c>
      <c r="R605" s="7" t="s">
        <v>5203</v>
      </c>
      <c r="S605" s="15"/>
      <c r="T605" s="8"/>
      <c r="U605" s="19" t="str">
        <f>HYPERLINK("https://pbs.twimg.com/profile_images/1053684486905495552/PeNACId-.jpg","View")</f>
        <v>View</v>
      </c>
      <c r="V605" s="8"/>
      <c r="W605" s="8"/>
      <c r="X605" s="8"/>
      <c r="Y605" s="8"/>
      <c r="Z605" s="8"/>
    </row>
    <row r="606" spans="1:26" ht="12.75">
      <c r="A606" s="11">
        <v>43747.300729166665</v>
      </c>
      <c r="B606" s="12" t="str">
        <f>HYPERLINK("https://twitter.com/_kaplaan","@_kaplaan")</f>
        <v>@_kaplaan</v>
      </c>
      <c r="C606" s="7" t="s">
        <v>5205</v>
      </c>
      <c r="D606" s="7" t="s">
        <v>5206</v>
      </c>
      <c r="E606" s="12" t="str">
        <f>HYPERLINK("https://twitter.com/_kaplaan/status/1181935609331486721","1181935609331486721")</f>
        <v>1181935609331486721</v>
      </c>
      <c r="F606" s="8"/>
      <c r="G606" s="14" t="s">
        <v>5208</v>
      </c>
      <c r="H606" s="8"/>
      <c r="I606" s="15">
        <v>0</v>
      </c>
      <c r="J606" s="15">
        <v>4</v>
      </c>
      <c r="K606" s="12" t="str">
        <f>HYPERLINK("http://twitter.com/download/iphone","Twitter for iPhone")</f>
        <v>Twitter for iPhone</v>
      </c>
      <c r="L606" s="16">
        <v>269</v>
      </c>
      <c r="M606" s="16">
        <v>212</v>
      </c>
      <c r="N606" s="16">
        <v>0</v>
      </c>
      <c r="O606" s="17"/>
      <c r="P606" s="18">
        <v>43413.580671296295</v>
      </c>
      <c r="Q606" s="7" t="s">
        <v>5209</v>
      </c>
      <c r="R606" s="7" t="s">
        <v>5210</v>
      </c>
      <c r="S606" s="14" t="s">
        <v>5211</v>
      </c>
      <c r="T606" s="8"/>
      <c r="U606" s="19" t="str">
        <f>HYPERLINK("https://pbs.twimg.com/profile_images/1133715690379251713/4mV2hB_1.jpg","View")</f>
        <v>View</v>
      </c>
      <c r="V606" s="8"/>
      <c r="W606" s="8"/>
      <c r="X606" s="8"/>
      <c r="Y606" s="8"/>
      <c r="Z606" s="8"/>
    </row>
    <row r="607" spans="1:26" ht="12.75">
      <c r="A607" s="11">
        <v>43747.300706018519</v>
      </c>
      <c r="B607" s="12" t="str">
        <f>HYPERLINK("https://twitter.com/Yksel27656349","@Yksel27656349")</f>
        <v>@Yksel27656349</v>
      </c>
      <c r="C607" s="7" t="s">
        <v>5214</v>
      </c>
      <c r="D607" s="7" t="s">
        <v>160</v>
      </c>
      <c r="E607" s="12" t="str">
        <f>HYPERLINK("https://twitter.com/Yksel27656349/status/1181935603899928577","1181935603899928577")</f>
        <v>1181935603899928577</v>
      </c>
      <c r="F607" s="8"/>
      <c r="G607" s="7"/>
      <c r="H607" s="8"/>
      <c r="I607" s="15">
        <v>0</v>
      </c>
      <c r="J607" s="15">
        <v>0</v>
      </c>
      <c r="K607" s="12" t="str">
        <f>HYPERLINK("http://twitter.com/download/iphone","Twitter for iPhone")</f>
        <v>Twitter for iPhone</v>
      </c>
      <c r="L607" s="16">
        <v>0</v>
      </c>
      <c r="M607" s="16">
        <v>7</v>
      </c>
      <c r="N607" s="16">
        <v>0</v>
      </c>
      <c r="O607" s="17"/>
      <c r="P607" s="18">
        <v>43400.285439814819</v>
      </c>
      <c r="Q607" s="7"/>
      <c r="R607" s="7"/>
      <c r="S607" s="15"/>
      <c r="T607" s="8"/>
      <c r="U607" s="20" t="s">
        <v>354</v>
      </c>
      <c r="V607" s="8"/>
      <c r="W607" s="8"/>
      <c r="X607" s="8"/>
      <c r="Y607" s="8"/>
      <c r="Z607" s="8"/>
    </row>
    <row r="608" spans="1:26" ht="12.75">
      <c r="A608" s="11">
        <v>43747.300706018519</v>
      </c>
      <c r="B608" s="12" t="str">
        <f>HYPERLINK("https://twitter.com/BAYKALOSMANOGLU","@BAYKALOSMANOGLU")</f>
        <v>@BAYKALOSMANOGLU</v>
      </c>
      <c r="C608" s="7" t="s">
        <v>5218</v>
      </c>
      <c r="D608" s="7" t="s">
        <v>5219</v>
      </c>
      <c r="E608" s="12" t="str">
        <f>HYPERLINK("https://twitter.com/BAYKALOSMANOGLU/status/1181935603472097280","1181935603472097280")</f>
        <v>1181935603472097280</v>
      </c>
      <c r="F608" s="8"/>
      <c r="G608" s="14" t="s">
        <v>5220</v>
      </c>
      <c r="H608" s="8"/>
      <c r="I608" s="15">
        <v>0</v>
      </c>
      <c r="J608" s="15">
        <v>0</v>
      </c>
      <c r="K608" s="12" t="str">
        <f>HYPERLINK("http://twitter.com/download/android","Twitter for Android")</f>
        <v>Twitter for Android</v>
      </c>
      <c r="L608" s="16">
        <v>1099</v>
      </c>
      <c r="M608" s="16">
        <v>13</v>
      </c>
      <c r="N608" s="16">
        <v>2</v>
      </c>
      <c r="O608" s="17"/>
      <c r="P608" s="18">
        <v>41326.055428240739</v>
      </c>
      <c r="Q608" s="7" t="s">
        <v>5224</v>
      </c>
      <c r="R608" s="7" t="s">
        <v>5225</v>
      </c>
      <c r="S608" s="14" t="s">
        <v>5226</v>
      </c>
      <c r="T608" s="8"/>
      <c r="U608" s="19" t="str">
        <f>HYPERLINK("https://pbs.twimg.com/profile_images/1087220506078650368/0nnBElD7.jpg","View")</f>
        <v>View</v>
      </c>
      <c r="V608" s="8"/>
      <c r="W608" s="8"/>
      <c r="X608" s="8"/>
      <c r="Y608" s="8"/>
      <c r="Z608" s="8"/>
    </row>
    <row r="609" spans="1:26" ht="12.75">
      <c r="A609" s="11">
        <v>43747.30069444445</v>
      </c>
      <c r="B609" s="12" t="str">
        <f>HYPERLINK("https://twitter.com/sevil_ozoglu","@sevil_ozoglu")</f>
        <v>@sevil_ozoglu</v>
      </c>
      <c r="C609" s="7" t="s">
        <v>5229</v>
      </c>
      <c r="D609" s="7" t="s">
        <v>5230</v>
      </c>
      <c r="E609" s="12" t="str">
        <f>HYPERLINK("https://twitter.com/sevil_ozoglu/status/1181935596002058241","1181935596002058241")</f>
        <v>1181935596002058241</v>
      </c>
      <c r="F609" s="8"/>
      <c r="G609" s="15"/>
      <c r="H609" s="8"/>
      <c r="I609" s="15">
        <v>0</v>
      </c>
      <c r="J609" s="15">
        <v>2</v>
      </c>
      <c r="K609" s="12" t="str">
        <f>HYPERLINK("http://twitter.com/download/iphone","Twitter for iPhone")</f>
        <v>Twitter for iPhone</v>
      </c>
      <c r="L609" s="16">
        <v>74</v>
      </c>
      <c r="M609" s="16">
        <v>166</v>
      </c>
      <c r="N609" s="16">
        <v>0</v>
      </c>
      <c r="O609" s="17"/>
      <c r="P609" s="18">
        <v>43431.067002314812</v>
      </c>
      <c r="Q609" s="7"/>
      <c r="R609" s="7" t="s">
        <v>5231</v>
      </c>
      <c r="S609" s="7"/>
      <c r="T609" s="8"/>
      <c r="U609" s="19" t="str">
        <f>HYPERLINK("https://pbs.twimg.com/profile_images/1067352243136012289/RwVy4EtW.jpg","View")</f>
        <v>View</v>
      </c>
      <c r="V609" s="8"/>
      <c r="W609" s="8"/>
      <c r="X609" s="8"/>
      <c r="Y609" s="8"/>
      <c r="Z609" s="8"/>
    </row>
    <row r="610" spans="1:26" ht="12.75">
      <c r="A610" s="11">
        <v>43747.300682870366</v>
      </c>
      <c r="B610" s="12" t="str">
        <f>HYPERLINK("https://twitter.com/OsmanUyanik1903","@OsmanUyanik1903")</f>
        <v>@OsmanUyanik1903</v>
      </c>
      <c r="C610" s="7" t="s">
        <v>5234</v>
      </c>
      <c r="D610" s="7" t="s">
        <v>5235</v>
      </c>
      <c r="E610" s="12" t="str">
        <f>HYPERLINK("https://twitter.com/OsmanUyanik1903/status/1181935591719653376","1181935591719653376")</f>
        <v>1181935591719653376</v>
      </c>
      <c r="F610" s="8"/>
      <c r="G610" s="14" t="s">
        <v>5236</v>
      </c>
      <c r="H610" s="8"/>
      <c r="I610" s="15">
        <v>0</v>
      </c>
      <c r="J610" s="15">
        <v>0</v>
      </c>
      <c r="K610" s="12" t="str">
        <f>HYPERLINK("http://twitter.com/download/android","Twitter for Android")</f>
        <v>Twitter for Android</v>
      </c>
      <c r="L610" s="16">
        <v>8</v>
      </c>
      <c r="M610" s="16">
        <v>162</v>
      </c>
      <c r="N610" s="16">
        <v>0</v>
      </c>
      <c r="O610" s="17"/>
      <c r="P610" s="18">
        <v>43659.21502314815</v>
      </c>
      <c r="Q610" s="7"/>
      <c r="R610" s="7" t="s">
        <v>5238</v>
      </c>
      <c r="S610" s="15"/>
      <c r="T610" s="8"/>
      <c r="U610" s="19" t="str">
        <f>HYPERLINK("https://pbs.twimg.com/profile_images/1150014747577917442/ruxLhUoS.jpg","View")</f>
        <v>View</v>
      </c>
      <c r="V610" s="8"/>
      <c r="W610" s="8"/>
      <c r="X610" s="8"/>
      <c r="Y610" s="8"/>
      <c r="Z610" s="8"/>
    </row>
    <row r="611" spans="1:26" ht="12.75">
      <c r="A611" s="11">
        <v>43747.300671296296</v>
      </c>
      <c r="B611" s="12" t="str">
        <f>HYPERLINK("https://twitter.com/Davamiz_Turkiye","@Davamiz_Turkiye")</f>
        <v>@Davamiz_Turkiye</v>
      </c>
      <c r="C611" s="7" t="s">
        <v>5240</v>
      </c>
      <c r="D611" s="7" t="s">
        <v>5241</v>
      </c>
      <c r="E611" s="12" t="str">
        <f>HYPERLINK("https://twitter.com/Davamiz_Turkiye/status/1181935588276133890","1181935588276133890")</f>
        <v>1181935588276133890</v>
      </c>
      <c r="F611" s="8"/>
      <c r="G611" s="15"/>
      <c r="H611" s="8"/>
      <c r="I611" s="15">
        <v>0</v>
      </c>
      <c r="J611" s="15">
        <v>1</v>
      </c>
      <c r="K611" s="12" t="str">
        <f>HYPERLINK("http://twitter.com/download/android","Twitter for Android")</f>
        <v>Twitter for Android</v>
      </c>
      <c r="L611" s="16">
        <v>74</v>
      </c>
      <c r="M611" s="16">
        <v>33</v>
      </c>
      <c r="N611" s="16">
        <v>1</v>
      </c>
      <c r="O611" s="17"/>
      <c r="P611" s="18">
        <v>42516.203530092593</v>
      </c>
      <c r="Q611" s="7"/>
      <c r="R611" s="7" t="s">
        <v>5242</v>
      </c>
      <c r="S611" s="15"/>
      <c r="T611" s="8"/>
      <c r="U611" s="19" t="str">
        <f>HYPERLINK("https://pbs.twimg.com/profile_images/757637920677330944/pRwY6Cm7.jpg","View")</f>
        <v>View</v>
      </c>
      <c r="V611" s="8"/>
      <c r="W611" s="8"/>
      <c r="X611" s="8"/>
      <c r="Y611" s="8"/>
      <c r="Z611" s="8"/>
    </row>
    <row r="612" spans="1:26" ht="12.75">
      <c r="A612" s="11">
        <v>43747.300578703704</v>
      </c>
      <c r="B612" s="12" t="str">
        <f>HYPERLINK("https://twitter.com/mertkovski","@mertkovski")</f>
        <v>@mertkovski</v>
      </c>
      <c r="C612" s="7" t="s">
        <v>5248</v>
      </c>
      <c r="D612" s="7" t="s">
        <v>5249</v>
      </c>
      <c r="E612" s="12" t="str">
        <f>HYPERLINK("https://twitter.com/mertkovski/status/1181935555837386754","1181935555837386754")</f>
        <v>1181935555837386754</v>
      </c>
      <c r="F612" s="8"/>
      <c r="G612" s="14" t="s">
        <v>5250</v>
      </c>
      <c r="H612" s="8"/>
      <c r="I612" s="15">
        <v>0</v>
      </c>
      <c r="J612" s="15">
        <v>2</v>
      </c>
      <c r="K612" s="12" t="str">
        <f>HYPERLINK("http://twitter.com/download/android","Twitter for Android")</f>
        <v>Twitter for Android</v>
      </c>
      <c r="L612" s="16">
        <v>2076</v>
      </c>
      <c r="M612" s="16">
        <v>615</v>
      </c>
      <c r="N612" s="16">
        <v>0</v>
      </c>
      <c r="O612" s="17"/>
      <c r="P612" s="18">
        <v>40894.470787037033</v>
      </c>
      <c r="Q612" s="7"/>
      <c r="R612" s="7" t="s">
        <v>5251</v>
      </c>
      <c r="S612" s="7"/>
      <c r="T612" s="8"/>
      <c r="U612" s="19" t="str">
        <f>HYPERLINK("https://pbs.twimg.com/profile_images/1146504048578899968/N1--StWW.png","View")</f>
        <v>View</v>
      </c>
      <c r="V612" s="8"/>
      <c r="W612" s="8"/>
      <c r="X612" s="8"/>
      <c r="Y612" s="8"/>
      <c r="Z612" s="8"/>
    </row>
    <row r="613" spans="1:26" ht="12.75">
      <c r="A613" s="11">
        <v>43747.300497685181</v>
      </c>
      <c r="B613" s="12" t="str">
        <f>HYPERLINK("https://twitter.com/mtnkc18","@mtnkc18")</f>
        <v>@mtnkc18</v>
      </c>
      <c r="C613" s="7" t="s">
        <v>5252</v>
      </c>
      <c r="D613" s="7" t="s">
        <v>5253</v>
      </c>
      <c r="E613" s="12" t="str">
        <f>HYPERLINK("https://twitter.com/mtnkc18/status/1181935526233944070","1181935526233944070")</f>
        <v>1181935526233944070</v>
      </c>
      <c r="F613" s="15"/>
      <c r="G613" s="7"/>
      <c r="H613" s="8"/>
      <c r="I613" s="15">
        <v>0</v>
      </c>
      <c r="J613" s="15">
        <v>0</v>
      </c>
      <c r="K613" s="12" t="str">
        <f>HYPERLINK("http://twitter.com/download/android","Twitter for Android")</f>
        <v>Twitter for Android</v>
      </c>
      <c r="L613" s="16">
        <v>54</v>
      </c>
      <c r="M613" s="16">
        <v>41</v>
      </c>
      <c r="N613" s="16">
        <v>0</v>
      </c>
      <c r="O613" s="17"/>
      <c r="P613" s="18">
        <v>40317.525925925926</v>
      </c>
      <c r="Q613" s="7" t="s">
        <v>5254</v>
      </c>
      <c r="R613" s="7" t="s">
        <v>5255</v>
      </c>
      <c r="S613" s="7"/>
      <c r="T613" s="8"/>
      <c r="U613" s="19" t="str">
        <f>HYPERLINK("https://pbs.twimg.com/profile_images/952993223982673922/kstkGllG.jpg","View")</f>
        <v>View</v>
      </c>
      <c r="V613" s="8"/>
      <c r="W613" s="8"/>
      <c r="X613" s="8"/>
      <c r="Y613" s="8"/>
      <c r="Z613" s="8"/>
    </row>
    <row r="614" spans="1:26" ht="12.75">
      <c r="A614" s="11">
        <v>43747.300497685181</v>
      </c>
      <c r="B614" s="12" t="str">
        <f>HYPERLINK("https://twitter.com/SekerciCelal","@SekerciCelal")</f>
        <v>@SekerciCelal</v>
      </c>
      <c r="C614" s="7" t="s">
        <v>5257</v>
      </c>
      <c r="D614" s="7" t="s">
        <v>5258</v>
      </c>
      <c r="E614" s="12" t="str">
        <f>HYPERLINK("https://twitter.com/SekerciCelal/status/1181935526183669765","1181935526183669765")</f>
        <v>1181935526183669765</v>
      </c>
      <c r="F614" s="8"/>
      <c r="G614" s="7"/>
      <c r="H614" s="8"/>
      <c r="I614" s="15">
        <v>0</v>
      </c>
      <c r="J614" s="15">
        <v>0</v>
      </c>
      <c r="K614" s="12" t="str">
        <f>HYPERLINK("http://twitter.com/download/android","Twitter for Android")</f>
        <v>Twitter for Android</v>
      </c>
      <c r="L614" s="16">
        <v>216</v>
      </c>
      <c r="M614" s="16">
        <v>701</v>
      </c>
      <c r="N614" s="16">
        <v>0</v>
      </c>
      <c r="O614" s="17"/>
      <c r="P614" s="18">
        <v>41857.13652777778</v>
      </c>
      <c r="Q614" s="7" t="s">
        <v>200</v>
      </c>
      <c r="R614" s="7" t="s">
        <v>5260</v>
      </c>
      <c r="S614" s="7"/>
      <c r="T614" s="8"/>
      <c r="U614" s="19" t="str">
        <f>HYPERLINK("https://pbs.twimg.com/profile_images/1072797255776813057/37BoQNav.jpg","View")</f>
        <v>View</v>
      </c>
      <c r="V614" s="8"/>
      <c r="W614" s="8"/>
      <c r="X614" s="8"/>
      <c r="Y614" s="8"/>
      <c r="Z614" s="8"/>
    </row>
    <row r="615" spans="1:26" ht="12.75">
      <c r="A615" s="11">
        <v>43747.300497685181</v>
      </c>
      <c r="B615" s="12" t="str">
        <f>HYPERLINK("https://twitter.com/mehmetgaripates","@mehmetgaripates")</f>
        <v>@mehmetgaripates</v>
      </c>
      <c r="C615" s="7" t="s">
        <v>5261</v>
      </c>
      <c r="D615" s="7" t="s">
        <v>5262</v>
      </c>
      <c r="E615" s="12" t="str">
        <f>HYPERLINK("https://twitter.com/mehmetgaripates/status/1181935524946350081","1181935524946350081")</f>
        <v>1181935524946350081</v>
      </c>
      <c r="F615" s="15"/>
      <c r="G615" s="14" t="s">
        <v>5263</v>
      </c>
      <c r="H615" s="8"/>
      <c r="I615" s="15">
        <v>0</v>
      </c>
      <c r="J615" s="15">
        <v>1</v>
      </c>
      <c r="K615" s="12" t="str">
        <f>HYPERLINK("http://twitter.com/download/android","Twitter for Android")</f>
        <v>Twitter for Android</v>
      </c>
      <c r="L615" s="16">
        <v>654</v>
      </c>
      <c r="M615" s="16">
        <v>953</v>
      </c>
      <c r="N615" s="16">
        <v>2</v>
      </c>
      <c r="O615" s="17"/>
      <c r="P615" s="18">
        <v>43051.551493055551</v>
      </c>
      <c r="Q615" s="7"/>
      <c r="R615" s="7" t="s">
        <v>5266</v>
      </c>
      <c r="S615" s="7"/>
      <c r="T615" s="8"/>
      <c r="U615" s="19" t="str">
        <f>HYPERLINK("https://pbs.twimg.com/profile_images/1179510128376238080/LZnhwH6i.jpg","View")</f>
        <v>View</v>
      </c>
      <c r="V615" s="8"/>
      <c r="W615" s="8"/>
      <c r="X615" s="8"/>
      <c r="Y615" s="8"/>
      <c r="Z615" s="8"/>
    </row>
    <row r="616" spans="1:26" ht="12.75">
      <c r="A616" s="11">
        <v>43747.300474537042</v>
      </c>
      <c r="B616" s="12" t="str">
        <f>HYPERLINK("https://twitter.com/enquetes_tvs","@enquetes_tvs")</f>
        <v>@enquetes_tvs</v>
      </c>
      <c r="C616" s="7" t="s">
        <v>5268</v>
      </c>
      <c r="D616" s="7" t="s">
        <v>5269</v>
      </c>
      <c r="E616" s="12" t="str">
        <f>HYPERLINK("https://twitter.com/enquetes_tvs/status/1181935516192772098","1181935516192772098")</f>
        <v>1181935516192772098</v>
      </c>
      <c r="F616" s="8"/>
      <c r="G616" s="15"/>
      <c r="H616" s="8"/>
      <c r="I616" s="15">
        <v>0</v>
      </c>
      <c r="J616" s="15">
        <v>1</v>
      </c>
      <c r="K616" s="12" t="str">
        <f>HYPERLINK("http://twitter.com/download/android","Twitter for Android")</f>
        <v>Twitter for Android</v>
      </c>
      <c r="L616" s="16">
        <v>287</v>
      </c>
      <c r="M616" s="16">
        <v>303</v>
      </c>
      <c r="N616" s="16">
        <v>0</v>
      </c>
      <c r="O616" s="17"/>
      <c r="P616" s="18">
        <v>43669.231145833328</v>
      </c>
      <c r="Q616" s="7"/>
      <c r="R616" s="7"/>
      <c r="S616" s="7"/>
      <c r="T616" s="8"/>
      <c r="U616" s="19" t="str">
        <f>HYPERLINK("https://pbs.twimg.com/profile_images/1163485174522417154/NANJOKu_.jpg","View")</f>
        <v>View</v>
      </c>
      <c r="V616" s="8"/>
      <c r="W616" s="8"/>
      <c r="X616" s="8"/>
      <c r="Y616" s="8"/>
      <c r="Z616" s="8"/>
    </row>
    <row r="617" spans="1:26" ht="12.75">
      <c r="A617" s="11">
        <v>43747.300405092596</v>
      </c>
      <c r="B617" s="12" t="str">
        <f>HYPERLINK("https://twitter.com/makggwp1","@makggwp1")</f>
        <v>@makggwp1</v>
      </c>
      <c r="C617" s="7" t="s">
        <v>5272</v>
      </c>
      <c r="D617" s="7" t="s">
        <v>5273</v>
      </c>
      <c r="E617" s="12" t="str">
        <f>HYPERLINK("https://twitter.com/makggwp1/status/1181935494248177664","1181935494248177664")</f>
        <v>1181935494248177664</v>
      </c>
      <c r="F617" s="8"/>
      <c r="G617" s="14" t="s">
        <v>5274</v>
      </c>
      <c r="H617" s="8"/>
      <c r="I617" s="15">
        <v>0</v>
      </c>
      <c r="J617" s="15">
        <v>0</v>
      </c>
      <c r="K617" s="12" t="str">
        <f>HYPERLINK("http://twitter.com/download/iphone","Twitter for iPhone")</f>
        <v>Twitter for iPhone</v>
      </c>
      <c r="L617" s="16">
        <v>2</v>
      </c>
      <c r="M617" s="16">
        <v>18</v>
      </c>
      <c r="N617" s="16">
        <v>0</v>
      </c>
      <c r="O617" s="17"/>
      <c r="P617" s="18">
        <v>43171.46157407407</v>
      </c>
      <c r="Q617" s="7"/>
      <c r="R617" s="7" t="s">
        <v>5275</v>
      </c>
      <c r="S617" s="7"/>
      <c r="T617" s="8"/>
      <c r="U617" s="19" t="str">
        <f>HYPERLINK("https://pbs.twimg.com/profile_images/1160266483798331398/sApzOfKW.jpg","View")</f>
        <v>View</v>
      </c>
      <c r="V617" s="8"/>
      <c r="W617" s="8"/>
      <c r="X617" s="8"/>
      <c r="Y617" s="8"/>
      <c r="Z617" s="8"/>
    </row>
    <row r="618" spans="1:26" ht="12.75">
      <c r="A618" s="11">
        <v>43747.300405092596</v>
      </c>
      <c r="B618" s="12" t="str">
        <f>HYPERLINK("https://twitter.com/_Haberoloji","@_Haberoloji")</f>
        <v>@_Haberoloji</v>
      </c>
      <c r="C618" s="7" t="s">
        <v>5279</v>
      </c>
      <c r="D618" s="7" t="s">
        <v>5280</v>
      </c>
      <c r="E618" s="12" t="str">
        <f>HYPERLINK("https://twitter.com/_Haberoloji/status/1181935494080401409","1181935494080401409")</f>
        <v>1181935494080401409</v>
      </c>
      <c r="F618" s="8"/>
      <c r="G618" s="15"/>
      <c r="H618" s="8"/>
      <c r="I618" s="15">
        <v>0</v>
      </c>
      <c r="J618" s="15">
        <v>0</v>
      </c>
      <c r="K618" s="12" t="str">
        <f>HYPERLINK("http://twitter.com/download/android","Twitter for Android")</f>
        <v>Twitter for Android</v>
      </c>
      <c r="L618" s="16">
        <v>0</v>
      </c>
      <c r="M618" s="16">
        <v>14</v>
      </c>
      <c r="N618" s="16">
        <v>0</v>
      </c>
      <c r="O618" s="17"/>
      <c r="P618" s="18">
        <v>43747.292696759258</v>
      </c>
      <c r="Q618" s="7"/>
      <c r="R618" s="7"/>
      <c r="S618" s="7"/>
      <c r="T618" s="8"/>
      <c r="U618" s="19" t="str">
        <f>HYPERLINK("https://pbs.twimg.com/profile_images/1181933489219915777/qUBqqkI6.jpg","View")</f>
        <v>View</v>
      </c>
      <c r="V618" s="8"/>
      <c r="W618" s="8"/>
      <c r="X618" s="8"/>
      <c r="Y618" s="8"/>
      <c r="Z618" s="8"/>
    </row>
    <row r="619" spans="1:26" ht="12.75">
      <c r="A619" s="11">
        <v>43747.300381944442</v>
      </c>
      <c r="B619" s="12" t="str">
        <f>HYPERLINK("https://twitter.com/dunyaninpastasi","@dunyaninpastasi")</f>
        <v>@dunyaninpastasi</v>
      </c>
      <c r="C619" s="7" t="s">
        <v>5285</v>
      </c>
      <c r="D619" s="7" t="s">
        <v>5286</v>
      </c>
      <c r="E619" s="12" t="str">
        <f>HYPERLINK("https://twitter.com/dunyaninpastasi/status/1181935485301735424","1181935485301735424")</f>
        <v>1181935485301735424</v>
      </c>
      <c r="F619" s="8"/>
      <c r="G619" s="14" t="s">
        <v>5287</v>
      </c>
      <c r="H619" s="8"/>
      <c r="I619" s="15">
        <v>0</v>
      </c>
      <c r="J619" s="15">
        <v>0</v>
      </c>
      <c r="K619" s="12" t="str">
        <f>HYPERLINK("http://twitter.com/download/android","Twitter for Android")</f>
        <v>Twitter for Android</v>
      </c>
      <c r="L619" s="16">
        <v>1</v>
      </c>
      <c r="M619" s="16">
        <v>0</v>
      </c>
      <c r="N619" s="16">
        <v>0</v>
      </c>
      <c r="O619" s="17"/>
      <c r="P619" s="18">
        <v>43423.202430555553</v>
      </c>
      <c r="Q619" s="7"/>
      <c r="R619" s="7" t="s">
        <v>5290</v>
      </c>
      <c r="S619" s="14" t="s">
        <v>5291</v>
      </c>
      <c r="T619" s="8"/>
      <c r="U619" s="19" t="str">
        <f>HYPERLINK("https://pbs.twimg.com/profile_images/1064510990728028160/Ww9XTFd7.jpg","View")</f>
        <v>View</v>
      </c>
      <c r="V619" s="8"/>
      <c r="W619" s="8"/>
      <c r="X619" s="8"/>
      <c r="Y619" s="8"/>
      <c r="Z619" s="8"/>
    </row>
    <row r="620" spans="1:26" ht="12.75">
      <c r="A620" s="11">
        <v>43747.300300925926</v>
      </c>
      <c r="B620" s="12" t="str">
        <f>HYPERLINK("https://twitter.com/HaberAfgan","@HaberAfgan")</f>
        <v>@HaberAfgan</v>
      </c>
      <c r="C620" s="7" t="s">
        <v>5295</v>
      </c>
      <c r="D620" s="7" t="s">
        <v>5296</v>
      </c>
      <c r="E620" s="12" t="str">
        <f>HYPERLINK("https://twitter.com/HaberAfgan/status/1181935456864407553","1181935456864407553")</f>
        <v>1181935456864407553</v>
      </c>
      <c r="F620" s="14" t="s">
        <v>5298</v>
      </c>
      <c r="G620" s="14" t="s">
        <v>5299</v>
      </c>
      <c r="H620" s="8"/>
      <c r="I620" s="15">
        <v>0</v>
      </c>
      <c r="J620" s="15">
        <v>2</v>
      </c>
      <c r="K620" s="12" t="str">
        <f>HYPERLINK("http://twitter.com/download/iphone","Twitter for iPhone")</f>
        <v>Twitter for iPhone</v>
      </c>
      <c r="L620" s="16">
        <v>192</v>
      </c>
      <c r="M620" s="16">
        <v>42</v>
      </c>
      <c r="N620" s="16">
        <v>1</v>
      </c>
      <c r="O620" s="17"/>
      <c r="P620" s="18">
        <v>43544.984097222223</v>
      </c>
      <c r="Q620" s="7" t="s">
        <v>5302</v>
      </c>
      <c r="R620" s="7" t="s">
        <v>5304</v>
      </c>
      <c r="S620" s="14" t="s">
        <v>5305</v>
      </c>
      <c r="T620" s="8"/>
      <c r="U620" s="19" t="str">
        <f>HYPERLINK("https://pbs.twimg.com/profile_images/1170395676418695168/Ix-khwYJ.jpg","View")</f>
        <v>View</v>
      </c>
      <c r="V620" s="8"/>
      <c r="W620" s="8"/>
      <c r="X620" s="8"/>
      <c r="Y620" s="8"/>
      <c r="Z620" s="8"/>
    </row>
    <row r="621" spans="1:26" ht="12.75">
      <c r="A621" s="11">
        <v>43747.300300925926</v>
      </c>
      <c r="B621" s="12" t="str">
        <f>HYPERLINK("https://twitter.com/marco_cesario","@marco_cesario")</f>
        <v>@marco_cesario</v>
      </c>
      <c r="C621" s="7" t="s">
        <v>5306</v>
      </c>
      <c r="D621" s="7" t="s">
        <v>5307</v>
      </c>
      <c r="E621" s="12" t="str">
        <f>HYPERLINK("https://twitter.com/marco_cesario/status/1181935454444310528","1181935454444310528")</f>
        <v>1181935454444310528</v>
      </c>
      <c r="F621" s="8"/>
      <c r="G621" s="14" t="s">
        <v>5308</v>
      </c>
      <c r="H621" s="8"/>
      <c r="I621" s="15">
        <v>0</v>
      </c>
      <c r="J621" s="15">
        <v>0</v>
      </c>
      <c r="K621" s="12" t="str">
        <f>HYPERLINK("https://mobile.twitter.com","Twitter Web App")</f>
        <v>Twitter Web App</v>
      </c>
      <c r="L621" s="16">
        <v>1125</v>
      </c>
      <c r="M621" s="16">
        <v>1216</v>
      </c>
      <c r="N621" s="16">
        <v>46</v>
      </c>
      <c r="O621" s="17"/>
      <c r="P621" s="18">
        <v>39987.546944444446</v>
      </c>
      <c r="Q621" s="7" t="s">
        <v>5310</v>
      </c>
      <c r="R621" s="7" t="s">
        <v>5311</v>
      </c>
      <c r="S621" s="14" t="s">
        <v>5312</v>
      </c>
      <c r="T621" s="8"/>
      <c r="U621" s="19" t="str">
        <f>HYPERLINK("https://pbs.twimg.com/profile_images/1036737698600546304/yfuOlqZk.jpg","View")</f>
        <v>View</v>
      </c>
      <c r="V621" s="8"/>
      <c r="W621" s="8"/>
      <c r="X621" s="8"/>
      <c r="Y621" s="8"/>
      <c r="Z621" s="8"/>
    </row>
    <row r="622" spans="1:26" ht="12.75">
      <c r="A622" s="11">
        <v>43747.300254629634</v>
      </c>
      <c r="B622" s="12" t="str">
        <f>HYPERLINK("https://twitter.com/ERKANDOGAN9","@ERKANDOGAN9")</f>
        <v>@ERKANDOGAN9</v>
      </c>
      <c r="C622" s="7" t="s">
        <v>5318</v>
      </c>
      <c r="D622" s="7" t="s">
        <v>5319</v>
      </c>
      <c r="E622" s="12" t="str">
        <f>HYPERLINK("https://twitter.com/ERKANDOGAN9/status/1181935436840734727","1181935436840734727")</f>
        <v>1181935436840734727</v>
      </c>
      <c r="F622" s="8"/>
      <c r="G622" s="15"/>
      <c r="H622" s="8"/>
      <c r="I622" s="15">
        <v>0</v>
      </c>
      <c r="J622" s="15">
        <v>1</v>
      </c>
      <c r="K622" s="12" t="str">
        <f>HYPERLINK("http://twitter.com/download/iphone","Twitter for iPhone")</f>
        <v>Twitter for iPhone</v>
      </c>
      <c r="L622" s="16">
        <v>39</v>
      </c>
      <c r="M622" s="16">
        <v>42</v>
      </c>
      <c r="N622" s="16">
        <v>0</v>
      </c>
      <c r="O622" s="17"/>
      <c r="P622" s="18">
        <v>40903.487824074073</v>
      </c>
      <c r="Q622" s="7"/>
      <c r="R622" s="7" t="s">
        <v>5322</v>
      </c>
      <c r="S622" s="7"/>
      <c r="T622" s="8"/>
      <c r="U622" s="19" t="str">
        <f>HYPERLINK("https://pbs.twimg.com/profile_images/969322013851570178/w3RVgZAh.jpg","View")</f>
        <v>View</v>
      </c>
      <c r="V622" s="8"/>
      <c r="W622" s="8"/>
      <c r="X622" s="8"/>
      <c r="Y622" s="8"/>
      <c r="Z622" s="8"/>
    </row>
    <row r="623" spans="1:26" ht="12.75">
      <c r="A623" s="11">
        <v>43747.300243055557</v>
      </c>
      <c r="B623" s="12" t="str">
        <f>HYPERLINK("https://twitter.com/MustafaEda8","@MustafaEda8")</f>
        <v>@MustafaEda8</v>
      </c>
      <c r="C623" s="7" t="s">
        <v>5324</v>
      </c>
      <c r="D623" s="7" t="s">
        <v>5325</v>
      </c>
      <c r="E623" s="12" t="str">
        <f>HYPERLINK("https://twitter.com/MustafaEda8/status/1181935436081635329","1181935436081635329")</f>
        <v>1181935436081635329</v>
      </c>
      <c r="F623" s="14" t="s">
        <v>5326</v>
      </c>
      <c r="G623" s="15"/>
      <c r="H623" s="8"/>
      <c r="I623" s="15">
        <v>0</v>
      </c>
      <c r="J623" s="15">
        <v>0</v>
      </c>
      <c r="K623" s="12" t="str">
        <f>HYPERLINK("http://twitter.com/download/android","Twitter for Android")</f>
        <v>Twitter for Android</v>
      </c>
      <c r="L623" s="16">
        <v>418</v>
      </c>
      <c r="M623" s="16">
        <v>492</v>
      </c>
      <c r="N623" s="16">
        <v>0</v>
      </c>
      <c r="O623" s="17"/>
      <c r="P623" s="18">
        <v>43727.026469907403</v>
      </c>
      <c r="Q623" s="7"/>
      <c r="R623" s="7" t="s">
        <v>5329</v>
      </c>
      <c r="S623" s="7"/>
      <c r="T623" s="8"/>
      <c r="U623" s="19" t="str">
        <f>HYPERLINK("https://pbs.twimg.com/profile_images/1174588701525061632/7azt8Akz.jpg","View")</f>
        <v>View</v>
      </c>
      <c r="V623" s="8"/>
      <c r="W623" s="8"/>
      <c r="X623" s="8"/>
      <c r="Y623" s="8"/>
      <c r="Z623" s="8"/>
    </row>
    <row r="624" spans="1:26" ht="12.75">
      <c r="A624" s="11">
        <v>43747.30023148148</v>
      </c>
      <c r="B624" s="12" t="str">
        <f>HYPERLINK("https://twitter.com/sbryilmazz","@sbryilmazz")</f>
        <v>@sbryilmazz</v>
      </c>
      <c r="C624" s="7" t="s">
        <v>5332</v>
      </c>
      <c r="D624" s="7" t="s">
        <v>5333</v>
      </c>
      <c r="E624" s="12" t="str">
        <f>HYPERLINK("https://twitter.com/sbryilmazz/status/1181935431321096199","1181935431321096199")</f>
        <v>1181935431321096199</v>
      </c>
      <c r="F624" s="14" t="s">
        <v>5334</v>
      </c>
      <c r="G624" s="7"/>
      <c r="H624" s="8"/>
      <c r="I624" s="15">
        <v>1</v>
      </c>
      <c r="J624" s="15">
        <v>2</v>
      </c>
      <c r="K624" s="12" t="str">
        <f>HYPERLINK("http://twitter.com/download/android","Twitter for Android")</f>
        <v>Twitter for Android</v>
      </c>
      <c r="L624" s="16">
        <v>3756</v>
      </c>
      <c r="M624" s="16">
        <v>3756</v>
      </c>
      <c r="N624" s="16">
        <v>5</v>
      </c>
      <c r="O624" s="17"/>
      <c r="P624" s="18">
        <v>40721.518263888887</v>
      </c>
      <c r="Q624" s="7" t="s">
        <v>200</v>
      </c>
      <c r="R624" s="7" t="s">
        <v>5337</v>
      </c>
      <c r="S624" s="7"/>
      <c r="T624" s="8"/>
      <c r="U624" s="19" t="str">
        <f>HYPERLINK("https://pbs.twimg.com/profile_images/1152473749020651520/quTR6xSl.jpg","View")</f>
        <v>View</v>
      </c>
      <c r="V624" s="8"/>
      <c r="W624" s="8"/>
      <c r="X624" s="8"/>
      <c r="Y624" s="8"/>
      <c r="Z624" s="8"/>
    </row>
    <row r="625" spans="1:26" ht="12.75">
      <c r="A625" s="11">
        <v>43747.300219907411</v>
      </c>
      <c r="B625" s="12" t="str">
        <f>HYPERLINK("https://twitter.com/BarisaSemah1903","@BarisaSemah1903")</f>
        <v>@BarisaSemah1903</v>
      </c>
      <c r="C625" s="7" t="s">
        <v>5338</v>
      </c>
      <c r="D625" s="7" t="s">
        <v>5339</v>
      </c>
      <c r="E625" s="12" t="str">
        <f>HYPERLINK("https://twitter.com/BarisaSemah1903/status/1181935426405355526","1181935426405355526")</f>
        <v>1181935426405355526</v>
      </c>
      <c r="F625" s="14" t="s">
        <v>5340</v>
      </c>
      <c r="G625" s="14" t="s">
        <v>5343</v>
      </c>
      <c r="H625" s="8"/>
      <c r="I625" s="15">
        <v>3</v>
      </c>
      <c r="J625" s="15">
        <v>22</v>
      </c>
      <c r="K625" s="12" t="str">
        <f>HYPERLINK("http://twitter.com/download/android","Twitter for Android")</f>
        <v>Twitter for Android</v>
      </c>
      <c r="L625" s="16">
        <v>200</v>
      </c>
      <c r="M625" s="16">
        <v>183</v>
      </c>
      <c r="N625" s="16">
        <v>1</v>
      </c>
      <c r="O625" s="17"/>
      <c r="P625" s="18">
        <v>43741.068518518514</v>
      </c>
      <c r="Q625" s="7" t="s">
        <v>5344</v>
      </c>
      <c r="R625" s="7" t="s">
        <v>5345</v>
      </c>
      <c r="S625" s="15"/>
      <c r="T625" s="8"/>
      <c r="U625" s="19" t="str">
        <f>HYPERLINK("https://pbs.twimg.com/profile_images/1181131993301622784/4mU0SyLy.jpg","View")</f>
        <v>View</v>
      </c>
      <c r="V625" s="8"/>
      <c r="W625" s="8"/>
      <c r="X625" s="8"/>
      <c r="Y625" s="8"/>
      <c r="Z625" s="8"/>
    </row>
    <row r="626" spans="1:26" ht="12.75">
      <c r="A626" s="11">
        <v>43747.300185185188</v>
      </c>
      <c r="B626" s="12" t="str">
        <f>HYPERLINK("https://twitter.com/BasagutOffical","@BasagutOffical")</f>
        <v>@BasagutOffical</v>
      </c>
      <c r="C626" s="7" t="s">
        <v>5352</v>
      </c>
      <c r="D626" s="7" t="s">
        <v>5353</v>
      </c>
      <c r="E626" s="12" t="str">
        <f>HYPERLINK("https://twitter.com/BasagutOffical/status/1181935412425695233","1181935412425695233")</f>
        <v>1181935412425695233</v>
      </c>
      <c r="F626" s="8"/>
      <c r="G626" s="14" t="s">
        <v>5355</v>
      </c>
      <c r="H626" s="8"/>
      <c r="I626" s="15">
        <v>0</v>
      </c>
      <c r="J626" s="15">
        <v>0</v>
      </c>
      <c r="K626" s="12" t="str">
        <f>HYPERLINK("http://twitter.com/download/android","Twitter for Android")</f>
        <v>Twitter for Android</v>
      </c>
      <c r="L626" s="16">
        <v>130</v>
      </c>
      <c r="M626" s="16">
        <v>13</v>
      </c>
      <c r="N626" s="16">
        <v>0</v>
      </c>
      <c r="O626" s="17"/>
      <c r="P626" s="18">
        <v>43039.704456018517</v>
      </c>
      <c r="Q626" s="7"/>
      <c r="R626" s="7" t="s">
        <v>5356</v>
      </c>
      <c r="S626" s="14" t="s">
        <v>5357</v>
      </c>
      <c r="T626" s="8"/>
      <c r="U626" s="19" t="str">
        <f>HYPERLINK("https://pbs.twimg.com/profile_images/925513988313632769/GVvqUwz0.jpg","View")</f>
        <v>View</v>
      </c>
      <c r="V626" s="8"/>
      <c r="W626" s="8"/>
      <c r="X626" s="8"/>
      <c r="Y626" s="8"/>
      <c r="Z626" s="8"/>
    </row>
    <row r="627" spans="1:26" ht="12.75">
      <c r="A627" s="11">
        <v>43747.300173611111</v>
      </c>
      <c r="B627" s="12" t="str">
        <f>HYPERLINK("https://twitter.com/tgbkoeln","@tgbkoeln")</f>
        <v>@tgbkoeln</v>
      </c>
      <c r="C627" s="7" t="s">
        <v>5360</v>
      </c>
      <c r="D627" s="7" t="s">
        <v>5361</v>
      </c>
      <c r="E627" s="12" t="str">
        <f>HYPERLINK("https://twitter.com/tgbkoeln/status/1181935409032564737","1181935409032564737")</f>
        <v>1181935409032564737</v>
      </c>
      <c r="F627" s="8"/>
      <c r="G627" s="14" t="s">
        <v>5362</v>
      </c>
      <c r="H627" s="8"/>
      <c r="I627" s="15">
        <v>0</v>
      </c>
      <c r="J627" s="15">
        <v>1</v>
      </c>
      <c r="K627" s="12" t="str">
        <f>HYPERLINK("http://twitter.com/download/android","Twitter for Android")</f>
        <v>Twitter for Android</v>
      </c>
      <c r="L627" s="16">
        <v>395</v>
      </c>
      <c r="M627" s="16">
        <v>97</v>
      </c>
      <c r="N627" s="16">
        <v>3</v>
      </c>
      <c r="O627" s="17"/>
      <c r="P627" s="18">
        <v>41713.760821759257</v>
      </c>
      <c r="Q627" s="7"/>
      <c r="R627" s="7" t="s">
        <v>5366</v>
      </c>
      <c r="S627" s="14" t="s">
        <v>5367</v>
      </c>
      <c r="T627" s="8"/>
      <c r="U627" s="19" t="str">
        <f>HYPERLINK("https://pbs.twimg.com/profile_images/553629385119760384/ScczajCV.jpeg","View")</f>
        <v>View</v>
      </c>
      <c r="V627" s="8"/>
      <c r="W627" s="8"/>
      <c r="X627" s="8"/>
      <c r="Y627" s="8"/>
      <c r="Z627" s="8"/>
    </row>
    <row r="628" spans="1:26" ht="12.75">
      <c r="A628" s="11">
        <v>43747.300150462965</v>
      </c>
      <c r="B628" s="12" t="str">
        <f>HYPERLINK("https://twitter.com/_CihadRuhu","@_CihadRuhu")</f>
        <v>@_CihadRuhu</v>
      </c>
      <c r="C628" s="7" t="s">
        <v>5370</v>
      </c>
      <c r="D628" s="7" t="s">
        <v>5371</v>
      </c>
      <c r="E628" s="12" t="str">
        <f>HYPERLINK("https://twitter.com/_CihadRuhu/status/1181935402040606721","1181935402040606721")</f>
        <v>1181935402040606721</v>
      </c>
      <c r="F628" s="8"/>
      <c r="G628" s="14" t="s">
        <v>5373</v>
      </c>
      <c r="H628" s="8"/>
      <c r="I628" s="15">
        <v>0</v>
      </c>
      <c r="J628" s="15">
        <v>0</v>
      </c>
      <c r="K628" s="12" t="str">
        <f>HYPERLINK("http://twitter.com/download/iphone","Twitter for iPhone")</f>
        <v>Twitter for iPhone</v>
      </c>
      <c r="L628" s="16">
        <v>186</v>
      </c>
      <c r="M628" s="16">
        <v>246</v>
      </c>
      <c r="N628" s="16">
        <v>1</v>
      </c>
      <c r="O628" s="17"/>
      <c r="P628" s="18">
        <v>41488.717094907406</v>
      </c>
      <c r="Q628" s="7" t="s">
        <v>200</v>
      </c>
      <c r="R628" s="7" t="s">
        <v>5375</v>
      </c>
      <c r="S628" s="15"/>
      <c r="T628" s="8"/>
      <c r="U628" s="19" t="str">
        <f>HYPERLINK("https://pbs.twimg.com/profile_images/1053154918087958528/x8yB8qvD.jpg","View")</f>
        <v>View</v>
      </c>
      <c r="V628" s="8"/>
      <c r="W628" s="8"/>
      <c r="X628" s="8"/>
      <c r="Y628" s="8"/>
      <c r="Z628" s="8"/>
    </row>
    <row r="629" spans="1:26" ht="12.75">
      <c r="A629" s="11">
        <v>43747.300150462965</v>
      </c>
      <c r="B629" s="12" t="str">
        <f>HYPERLINK("https://twitter.com/hamz7naser","@hamz7naser")</f>
        <v>@hamz7naser</v>
      </c>
      <c r="C629" s="7" t="s">
        <v>5377</v>
      </c>
      <c r="D629" s="7" t="s">
        <v>5378</v>
      </c>
      <c r="E629" s="12" t="str">
        <f>HYPERLINK("https://twitter.com/hamz7naser/status/1181935400446779396","1181935400446779396")</f>
        <v>1181935400446779396</v>
      </c>
      <c r="F629" s="8"/>
      <c r="G629" s="7"/>
      <c r="H629" s="8"/>
      <c r="I629" s="15">
        <v>0</v>
      </c>
      <c r="J629" s="15">
        <v>0</v>
      </c>
      <c r="K629" s="12" t="str">
        <f>HYPERLINK("http://twitter.com/download/iphone","Twitter for iPhone")</f>
        <v>Twitter for iPhone</v>
      </c>
      <c r="L629" s="16">
        <v>91</v>
      </c>
      <c r="M629" s="16">
        <v>12</v>
      </c>
      <c r="N629" s="16">
        <v>0</v>
      </c>
      <c r="O629" s="17"/>
      <c r="P629" s="18">
        <v>42425.737187499995</v>
      </c>
      <c r="Q629" s="7" t="s">
        <v>5381</v>
      </c>
      <c r="R629" s="7" t="s">
        <v>5382</v>
      </c>
      <c r="S629" s="14" t="s">
        <v>5384</v>
      </c>
      <c r="T629" s="8"/>
      <c r="U629" s="19" t="str">
        <f>HYPERLINK("https://pbs.twimg.com/profile_images/1176087308279451648/YwoUILdl.jpg","View")</f>
        <v>View</v>
      </c>
      <c r="V629" s="8"/>
      <c r="W629" s="8"/>
      <c r="X629" s="8"/>
      <c r="Y629" s="8"/>
      <c r="Z629" s="8"/>
    </row>
    <row r="630" spans="1:26" ht="12.75">
      <c r="A630" s="11">
        <v>43747.300023148149</v>
      </c>
      <c r="B630" s="12" t="str">
        <f>HYPERLINK("https://twitter.com/schrodingers_k8","@schrodingers_k8")</f>
        <v>@schrodingers_k8</v>
      </c>
      <c r="C630" s="7" t="s">
        <v>5389</v>
      </c>
      <c r="D630" s="7" t="s">
        <v>5390</v>
      </c>
      <c r="E630" s="12" t="str">
        <f>HYPERLINK("https://twitter.com/schrodingers_k8/status/1181935355123113984","1181935355123113984")</f>
        <v>1181935355123113984</v>
      </c>
      <c r="F630" s="8"/>
      <c r="G630" s="15"/>
      <c r="H630" s="8"/>
      <c r="I630" s="15">
        <v>0</v>
      </c>
      <c r="J630" s="15">
        <v>2</v>
      </c>
      <c r="K630" s="12" t="str">
        <f>HYPERLINK("https://mobile.twitter.com","Twitter Web App")</f>
        <v>Twitter Web App</v>
      </c>
      <c r="L630" s="16">
        <v>502</v>
      </c>
      <c r="M630" s="16">
        <v>1644</v>
      </c>
      <c r="N630" s="16">
        <v>3</v>
      </c>
      <c r="O630" s="17"/>
      <c r="P630" s="18">
        <v>41917.501736111109</v>
      </c>
      <c r="Q630" s="7" t="s">
        <v>5392</v>
      </c>
      <c r="R630" s="7" t="s">
        <v>5393</v>
      </c>
      <c r="S630" s="7"/>
      <c r="T630" s="8"/>
      <c r="U630" s="19" t="str">
        <f>HYPERLINK("https://pbs.twimg.com/profile_images/1061291368566452224/UIxCuQGs.jpg","View")</f>
        <v>View</v>
      </c>
      <c r="V630" s="8"/>
      <c r="W630" s="8"/>
      <c r="X630" s="8"/>
      <c r="Y630" s="8"/>
      <c r="Z630" s="8"/>
    </row>
    <row r="631" spans="1:26" ht="12.75">
      <c r="A631" s="11">
        <v>43747.300011574072</v>
      </c>
      <c r="B631" s="12" t="str">
        <f>HYPERLINK("https://twitter.com/sislikozan","@sislikozan")</f>
        <v>@sislikozan</v>
      </c>
      <c r="C631" s="7" t="s">
        <v>5395</v>
      </c>
      <c r="D631" s="7" t="s">
        <v>5396</v>
      </c>
      <c r="E631" s="12" t="str">
        <f>HYPERLINK("https://twitter.com/sislikozan/status/1181935350127714307","1181935350127714307")</f>
        <v>1181935350127714307</v>
      </c>
      <c r="F631" s="8"/>
      <c r="G631" s="14" t="s">
        <v>5397</v>
      </c>
      <c r="H631" s="8"/>
      <c r="I631" s="15">
        <v>0</v>
      </c>
      <c r="J631" s="15">
        <v>0</v>
      </c>
      <c r="K631" s="12" t="str">
        <f>HYPERLINK("http://twitter.com/download/android","Twitter for Android")</f>
        <v>Twitter for Android</v>
      </c>
      <c r="L631" s="16">
        <v>65</v>
      </c>
      <c r="M631" s="16">
        <v>541</v>
      </c>
      <c r="N631" s="16">
        <v>0</v>
      </c>
      <c r="O631" s="17"/>
      <c r="P631" s="18">
        <v>43713.453564814816</v>
      </c>
      <c r="Q631" s="7" t="s">
        <v>5398</v>
      </c>
      <c r="R631" s="7" t="s">
        <v>5399</v>
      </c>
      <c r="S631" s="14" t="s">
        <v>5400</v>
      </c>
      <c r="T631" s="8"/>
      <c r="U631" s="19" t="str">
        <f>HYPERLINK("https://pbs.twimg.com/profile_images/1178769848345808902/-mzJAJKK.jpg","View")</f>
        <v>View</v>
      </c>
      <c r="V631" s="8"/>
      <c r="W631" s="8"/>
      <c r="X631" s="8"/>
      <c r="Y631" s="8"/>
      <c r="Z631" s="8"/>
    </row>
    <row r="632" spans="1:26" ht="12.75">
      <c r="A632" s="11">
        <v>43747.300011574072</v>
      </c>
      <c r="B632" s="12" t="str">
        <f>HYPERLINK("https://twitter.com/besuzzicake","@besuzzicake")</f>
        <v>@besuzzicake</v>
      </c>
      <c r="C632" s="7" t="s">
        <v>5404</v>
      </c>
      <c r="D632" s="7" t="s">
        <v>5405</v>
      </c>
      <c r="E632" s="12" t="str">
        <f>HYPERLINK("https://twitter.com/besuzzicake/status/1181935349406277638","1181935349406277638")</f>
        <v>1181935349406277638</v>
      </c>
      <c r="F632" s="8"/>
      <c r="G632" s="14" t="s">
        <v>5406</v>
      </c>
      <c r="H632" s="8"/>
      <c r="I632" s="15">
        <v>0</v>
      </c>
      <c r="J632" s="15">
        <v>0</v>
      </c>
      <c r="K632" s="12" t="str">
        <f>HYPERLINK("http://twitter.com/download/android","Twitter for Android")</f>
        <v>Twitter for Android</v>
      </c>
      <c r="L632" s="16">
        <v>24</v>
      </c>
      <c r="M632" s="16">
        <v>0</v>
      </c>
      <c r="N632" s="16">
        <v>0</v>
      </c>
      <c r="O632" s="17"/>
      <c r="P632" s="18">
        <v>42071.560763888891</v>
      </c>
      <c r="Q632" s="7"/>
      <c r="R632" s="7" t="s">
        <v>5409</v>
      </c>
      <c r="S632" s="14" t="s">
        <v>5410</v>
      </c>
      <c r="T632" s="8"/>
      <c r="U632" s="19" t="str">
        <f>HYPERLINK("https://pbs.twimg.com/profile_images/760087559607291904/4e6Ry2bj.jpg","View")</f>
        <v>View</v>
      </c>
      <c r="V632" s="8"/>
      <c r="W632" s="8"/>
      <c r="X632" s="8"/>
      <c r="Y632" s="8"/>
      <c r="Z632" s="8"/>
    </row>
    <row r="633" spans="1:26" ht="12.75">
      <c r="A633" s="11">
        <v>43747.299953703703</v>
      </c>
      <c r="B633" s="12" t="str">
        <f>HYPERLINK("https://twitter.com/ByModaoglu","@ByModaoglu")</f>
        <v>@ByModaoglu</v>
      </c>
      <c r="C633" s="7" t="s">
        <v>5413</v>
      </c>
      <c r="D633" s="7" t="s">
        <v>5414</v>
      </c>
      <c r="E633" s="12" t="str">
        <f>HYPERLINK("https://twitter.com/ByModaoglu/status/1181935328728354816","1181935328728354816")</f>
        <v>1181935328728354816</v>
      </c>
      <c r="F633" s="8"/>
      <c r="G633" s="14" t="s">
        <v>5416</v>
      </c>
      <c r="H633" s="8"/>
      <c r="I633" s="15">
        <v>5</v>
      </c>
      <c r="J633" s="15">
        <v>26</v>
      </c>
      <c r="K633" s="12" t="str">
        <f>HYPERLINK("http://twitter.com/download/android","Twitter for Android")</f>
        <v>Twitter for Android</v>
      </c>
      <c r="L633" s="16">
        <v>33250</v>
      </c>
      <c r="M633" s="16">
        <v>33699</v>
      </c>
      <c r="N633" s="16">
        <v>15</v>
      </c>
      <c r="O633" s="17"/>
      <c r="P633" s="18">
        <v>40813.535266203704</v>
      </c>
      <c r="Q633" s="7" t="s">
        <v>5418</v>
      </c>
      <c r="R633" s="7" t="s">
        <v>5419</v>
      </c>
      <c r="S633" s="7"/>
      <c r="T633" s="8"/>
      <c r="U633" s="19" t="str">
        <f>HYPERLINK("https://pbs.twimg.com/profile_images/1171873920779194370/C0XeKXkC.jpg","View")</f>
        <v>View</v>
      </c>
      <c r="V633" s="8"/>
      <c r="W633" s="8"/>
      <c r="X633" s="8"/>
      <c r="Y633" s="8"/>
      <c r="Z633" s="8"/>
    </row>
    <row r="634" spans="1:26" ht="12.75">
      <c r="A634" s="11">
        <v>43747.29991898148</v>
      </c>
      <c r="B634" s="12" t="str">
        <f>HYPERLINK("https://twitter.com/AlmanyaTGB","@AlmanyaTGB")</f>
        <v>@AlmanyaTGB</v>
      </c>
      <c r="C634" s="7" t="s">
        <v>5421</v>
      </c>
      <c r="D634" s="7" t="s">
        <v>5361</v>
      </c>
      <c r="E634" s="12" t="str">
        <f>HYPERLINK("https://twitter.com/AlmanyaTGB/status/1181935317206609920","1181935317206609920")</f>
        <v>1181935317206609920</v>
      </c>
      <c r="F634" s="7"/>
      <c r="G634" s="14" t="s">
        <v>5422</v>
      </c>
      <c r="H634" s="8"/>
      <c r="I634" s="15">
        <v>0</v>
      </c>
      <c r="J634" s="15">
        <v>0</v>
      </c>
      <c r="K634" s="12" t="str">
        <f>HYPERLINK("http://twitter.com/download/android","Twitter for Android")</f>
        <v>Twitter for Android</v>
      </c>
      <c r="L634" s="16">
        <v>2257</v>
      </c>
      <c r="M634" s="16">
        <v>106</v>
      </c>
      <c r="N634" s="16">
        <v>8</v>
      </c>
      <c r="O634" s="17"/>
      <c r="P634" s="18">
        <v>41363.177268518521</v>
      </c>
      <c r="Q634" s="7" t="s">
        <v>5423</v>
      </c>
      <c r="R634" s="7" t="s">
        <v>5425</v>
      </c>
      <c r="S634" s="7"/>
      <c r="T634" s="8"/>
      <c r="U634" s="19" t="str">
        <f>HYPERLINK("https://pbs.twimg.com/profile_images/562602878775226368/mOkjT2HD.jpeg","View")</f>
        <v>View</v>
      </c>
      <c r="V634" s="8"/>
      <c r="W634" s="8"/>
      <c r="X634" s="8"/>
      <c r="Y634" s="8"/>
      <c r="Z634" s="8"/>
    </row>
    <row r="635" spans="1:26" ht="12.75">
      <c r="A635" s="11">
        <v>43747.299895833334</v>
      </c>
      <c r="B635" s="12" t="str">
        <f>HYPERLINK("https://twitter.com/uyanikgs","@uyanikgs")</f>
        <v>@uyanikgs</v>
      </c>
      <c r="C635" s="7" t="s">
        <v>5426</v>
      </c>
      <c r="D635" s="7" t="s">
        <v>5427</v>
      </c>
      <c r="E635" s="12" t="str">
        <f>HYPERLINK("https://twitter.com/uyanikgs/status/1181935310181195777","1181935310181195777")</f>
        <v>1181935310181195777</v>
      </c>
      <c r="F635" s="8"/>
      <c r="G635" s="14" t="s">
        <v>5428</v>
      </c>
      <c r="H635" s="8"/>
      <c r="I635" s="15">
        <v>9</v>
      </c>
      <c r="J635" s="15">
        <v>31</v>
      </c>
      <c r="K635" s="12" t="str">
        <f>HYPERLINK("http://twitter.com/download/android","Twitter for Android")</f>
        <v>Twitter for Android</v>
      </c>
      <c r="L635" s="16">
        <v>23543</v>
      </c>
      <c r="M635" s="16">
        <v>1902</v>
      </c>
      <c r="N635" s="16">
        <v>40</v>
      </c>
      <c r="O635" s="17"/>
      <c r="P635" s="18">
        <v>40975.686296296299</v>
      </c>
      <c r="Q635" s="7"/>
      <c r="R635" s="7" t="s">
        <v>5429</v>
      </c>
      <c r="S635" s="7"/>
      <c r="T635" s="8"/>
      <c r="U635" s="19" t="str">
        <f>HYPERLINK("https://pbs.twimg.com/profile_images/1028417568384708608/2PbUY6EI.jpg","View")</f>
        <v>View</v>
      </c>
      <c r="V635" s="8"/>
      <c r="W635" s="8"/>
      <c r="X635" s="8"/>
      <c r="Y635" s="8"/>
      <c r="Z635" s="8"/>
    </row>
    <row r="636" spans="1:26" ht="12.75">
      <c r="A636" s="11">
        <v>43747.299884259264</v>
      </c>
      <c r="B636" s="12" t="str">
        <f>HYPERLINK("https://twitter.com/bunyaminbolacal","@bunyaminbolacal")</f>
        <v>@bunyaminbolacal</v>
      </c>
      <c r="C636" s="7" t="s">
        <v>5430</v>
      </c>
      <c r="D636" s="7" t="s">
        <v>5431</v>
      </c>
      <c r="E636" s="12" t="str">
        <f>HYPERLINK("https://twitter.com/bunyaminbolacal/status/1181935303130599431","1181935303130599431")</f>
        <v>1181935303130599431</v>
      </c>
      <c r="F636" s="8"/>
      <c r="G636" s="7"/>
      <c r="H636" s="8"/>
      <c r="I636" s="15">
        <v>0</v>
      </c>
      <c r="J636" s="15">
        <v>0</v>
      </c>
      <c r="K636" s="12" t="str">
        <f>HYPERLINK("http://twitter.com/download/android","Twitter for Android")</f>
        <v>Twitter for Android</v>
      </c>
      <c r="L636" s="16">
        <v>699</v>
      </c>
      <c r="M636" s="16">
        <v>1587</v>
      </c>
      <c r="N636" s="16">
        <v>3</v>
      </c>
      <c r="O636" s="17"/>
      <c r="P636" s="18">
        <v>42162.276562500003</v>
      </c>
      <c r="Q636" s="7" t="s">
        <v>200</v>
      </c>
      <c r="R636" s="7" t="s">
        <v>5433</v>
      </c>
      <c r="S636" s="15"/>
      <c r="T636" s="8"/>
      <c r="U636" s="19" t="str">
        <f>HYPERLINK("https://pbs.twimg.com/profile_images/1180555310307692545/LoPWVVR3.jpg","View")</f>
        <v>View</v>
      </c>
      <c r="V636" s="8"/>
      <c r="W636" s="8"/>
      <c r="X636" s="8"/>
      <c r="Y636" s="8"/>
      <c r="Z636" s="8"/>
    </row>
    <row r="637" spans="1:26" ht="12.75">
      <c r="A637" s="11">
        <v>43747.299768518518</v>
      </c>
      <c r="B637" s="12" t="str">
        <f>HYPERLINK("https://twitter.com/bulutgs33","@bulutgs33")</f>
        <v>@bulutgs33</v>
      </c>
      <c r="C637" s="7" t="s">
        <v>5435</v>
      </c>
      <c r="D637" s="7" t="s">
        <v>5436</v>
      </c>
      <c r="E637" s="12" t="str">
        <f>HYPERLINK("https://twitter.com/bulutgs33/status/1181935263808937984","1181935263808937984")</f>
        <v>1181935263808937984</v>
      </c>
      <c r="F637" s="8"/>
      <c r="G637" s="7"/>
      <c r="H637" s="8"/>
      <c r="I637" s="15">
        <v>0</v>
      </c>
      <c r="J637" s="15">
        <v>1</v>
      </c>
      <c r="K637" s="12" t="str">
        <f>HYPERLINK("http://twitter.com/download/android","Twitter for Android")</f>
        <v>Twitter for Android</v>
      </c>
      <c r="L637" s="16">
        <v>449</v>
      </c>
      <c r="M637" s="16">
        <v>452</v>
      </c>
      <c r="N637" s="16">
        <v>1</v>
      </c>
      <c r="O637" s="17"/>
      <c r="P637" s="18">
        <v>42450.291817129633</v>
      </c>
      <c r="Q637" s="7"/>
      <c r="R637" s="7" t="s">
        <v>5438</v>
      </c>
      <c r="S637" s="7"/>
      <c r="T637" s="8"/>
      <c r="U637" s="19" t="str">
        <f>HYPERLINK("https://pbs.twimg.com/profile_images/1150853578808053762/H-unXClH.jpg","View")</f>
        <v>View</v>
      </c>
      <c r="V637" s="8"/>
      <c r="W637" s="8"/>
      <c r="X637" s="8"/>
      <c r="Y637" s="8"/>
      <c r="Z637" s="8"/>
    </row>
    <row r="638" spans="1:26" ht="12.75">
      <c r="A638" s="11">
        <v>43747.299768518518</v>
      </c>
      <c r="B638" s="12" t="str">
        <f>HYPERLINK("https://twitter.com/CelikEnsar_","@CelikEnsar_")</f>
        <v>@CelikEnsar_</v>
      </c>
      <c r="C638" s="7" t="s">
        <v>5440</v>
      </c>
      <c r="D638" s="7" t="s">
        <v>5441</v>
      </c>
      <c r="E638" s="12" t="str">
        <f>HYPERLINK("https://twitter.com/CelikEnsar_/status/1181935262395490306","1181935262395490306")</f>
        <v>1181935262395490306</v>
      </c>
      <c r="F638" s="8"/>
      <c r="G638" s="15"/>
      <c r="H638" s="8"/>
      <c r="I638" s="15">
        <v>0</v>
      </c>
      <c r="J638" s="15">
        <v>2</v>
      </c>
      <c r="K638" s="12" t="str">
        <f>HYPERLINK("http://twitter.com/download/iphone","Twitter for iPhone")</f>
        <v>Twitter for iPhone</v>
      </c>
      <c r="L638" s="16">
        <v>358</v>
      </c>
      <c r="M638" s="16">
        <v>249</v>
      </c>
      <c r="N638" s="16">
        <v>1</v>
      </c>
      <c r="O638" s="17"/>
      <c r="P638" s="18">
        <v>41438.187002314815</v>
      </c>
      <c r="Q638" s="7" t="s">
        <v>5443</v>
      </c>
      <c r="R638" s="7" t="s">
        <v>5444</v>
      </c>
      <c r="S638" s="14" t="s">
        <v>5445</v>
      </c>
      <c r="T638" s="8"/>
      <c r="U638" s="19" t="str">
        <f>HYPERLINK("https://pbs.twimg.com/profile_images/929025379364495361/5essPpmx.jpg","View")</f>
        <v>View</v>
      </c>
      <c r="V638" s="8"/>
      <c r="W638" s="8"/>
      <c r="X638" s="8"/>
      <c r="Y638" s="8"/>
      <c r="Z638" s="8"/>
    </row>
    <row r="639" spans="1:26" ht="12.75">
      <c r="A639" s="11">
        <v>43747.299756944441</v>
      </c>
      <c r="B639" s="12" t="str">
        <f>HYPERLINK("https://twitter.com/Alihanaktrk6","@Alihanaktrk6")</f>
        <v>@Alihanaktrk6</v>
      </c>
      <c r="C639" s="7" t="s">
        <v>5448</v>
      </c>
      <c r="D639" s="7" t="s">
        <v>5449</v>
      </c>
      <c r="E639" s="12" t="str">
        <f>HYPERLINK("https://twitter.com/Alihanaktrk6/status/1181935256317943809","1181935256317943809")</f>
        <v>1181935256317943809</v>
      </c>
      <c r="F639" s="8"/>
      <c r="G639" s="14" t="s">
        <v>5450</v>
      </c>
      <c r="H639" s="8"/>
      <c r="I639" s="15">
        <v>0</v>
      </c>
      <c r="J639" s="15">
        <v>2</v>
      </c>
      <c r="K639" s="12" t="str">
        <f>HYPERLINK("http://twitter.com/download/android","Twitter for Android")</f>
        <v>Twitter for Android</v>
      </c>
      <c r="L639" s="16">
        <v>282</v>
      </c>
      <c r="M639" s="16">
        <v>394</v>
      </c>
      <c r="N639" s="16">
        <v>0</v>
      </c>
      <c r="O639" s="17"/>
      <c r="P639" s="18">
        <v>42984.639479166668</v>
      </c>
      <c r="Q639" s="7" t="s">
        <v>200</v>
      </c>
      <c r="R639" s="7" t="s">
        <v>5454</v>
      </c>
      <c r="S639" s="7"/>
      <c r="T639" s="8"/>
      <c r="U639" s="19" t="str">
        <f>HYPERLINK("https://pbs.twimg.com/profile_images/1181292366029717504/1vvlkqco.jpg","View")</f>
        <v>View</v>
      </c>
      <c r="V639" s="8"/>
      <c r="W639" s="8"/>
      <c r="X639" s="8"/>
      <c r="Y639" s="8"/>
      <c r="Z639" s="8"/>
    </row>
    <row r="640" spans="1:26" ht="12.75">
      <c r="A640" s="11">
        <v>43747.299745370372</v>
      </c>
      <c r="B640" s="12" t="str">
        <f>HYPERLINK("https://twitter.com/hikmet_murat","@hikmet_murat")</f>
        <v>@hikmet_murat</v>
      </c>
      <c r="C640" s="7" t="s">
        <v>5456</v>
      </c>
      <c r="D640" s="7" t="s">
        <v>5457</v>
      </c>
      <c r="E640" s="12" t="str">
        <f>HYPERLINK("https://twitter.com/hikmet_murat/status/1181935254132727810","1181935254132727810")</f>
        <v>1181935254132727810</v>
      </c>
      <c r="F640" s="14" t="s">
        <v>5459</v>
      </c>
      <c r="G640" s="7"/>
      <c r="H640" s="8"/>
      <c r="I640" s="15">
        <v>0</v>
      </c>
      <c r="J640" s="15">
        <v>0</v>
      </c>
      <c r="K640" s="12" t="str">
        <f>HYPERLINK("http://twitter.com/download/android","Twitter for Android")</f>
        <v>Twitter for Android</v>
      </c>
      <c r="L640" s="16">
        <v>1032</v>
      </c>
      <c r="M640" s="16">
        <v>481</v>
      </c>
      <c r="N640" s="16">
        <v>8</v>
      </c>
      <c r="O640" s="17"/>
      <c r="P640" s="18">
        <v>40855.512986111113</v>
      </c>
      <c r="Q640" s="7" t="s">
        <v>5460</v>
      </c>
      <c r="R640" s="7"/>
      <c r="S640" s="15"/>
      <c r="T640" s="8"/>
      <c r="U640" s="19" t="str">
        <f>HYPERLINK("https://pbs.twimg.com/profile_images/929337550292078592/cWXk-BQk.jpg","View")</f>
        <v>View</v>
      </c>
      <c r="V640" s="8"/>
      <c r="W640" s="8"/>
      <c r="X640" s="8"/>
      <c r="Y640" s="8"/>
      <c r="Z640" s="8"/>
    </row>
    <row r="641" spans="1:26" ht="12.75">
      <c r="A641" s="11">
        <v>43747.299722222218</v>
      </c>
      <c r="B641" s="12" t="str">
        <f>HYPERLINK("https://twitter.com/dertliler2016","@dertliler2016")</f>
        <v>@dertliler2016</v>
      </c>
      <c r="C641" s="13" t="s">
        <v>5463</v>
      </c>
      <c r="D641" s="13" t="s">
        <v>5465</v>
      </c>
      <c r="E641" s="12" t="str">
        <f>HYPERLINK("https://twitter.com/dertliler2016/status/1181935244234166273","1181935244234166273")</f>
        <v>1181935244234166273</v>
      </c>
      <c r="F641" s="8"/>
      <c r="G641" s="14" t="s">
        <v>5466</v>
      </c>
      <c r="H641" s="8"/>
      <c r="I641" s="15">
        <v>3</v>
      </c>
      <c r="J641" s="15">
        <v>1</v>
      </c>
      <c r="K641" s="12" t="str">
        <f>HYPERLINK("http://twitter.com/download/android","Twitter for Android")</f>
        <v>Twitter for Android</v>
      </c>
      <c r="L641" s="16">
        <v>456</v>
      </c>
      <c r="M641" s="16">
        <v>518</v>
      </c>
      <c r="N641" s="16">
        <v>0</v>
      </c>
      <c r="O641" s="17"/>
      <c r="P641" s="18">
        <v>42712.963738425926</v>
      </c>
      <c r="Q641" s="7"/>
      <c r="R641" s="13" t="s">
        <v>5467</v>
      </c>
      <c r="S641" s="15"/>
      <c r="T641" s="8"/>
      <c r="U641" s="19" t="str">
        <f>HYPERLINK("https://pbs.twimg.com/profile_images/1125327323929169920/hs5Cetz3.png","View")</f>
        <v>View</v>
      </c>
      <c r="V641" s="8"/>
      <c r="W641" s="8"/>
      <c r="X641" s="8"/>
      <c r="Y641" s="8"/>
      <c r="Z641" s="8"/>
    </row>
    <row r="642" spans="1:26" ht="12.75">
      <c r="A642" s="11">
        <v>43747.299722222218</v>
      </c>
      <c r="B642" s="12" t="str">
        <f>HYPERLINK("https://twitter.com/fenerliyim66","@fenerliyim66")</f>
        <v>@fenerliyim66</v>
      </c>
      <c r="C642" s="7" t="s">
        <v>5470</v>
      </c>
      <c r="D642" s="7" t="s">
        <v>5471</v>
      </c>
      <c r="E642" s="12" t="str">
        <f>HYPERLINK("https://twitter.com/fenerliyim66/status/1181935243948957701","1181935243948957701")</f>
        <v>1181935243948957701</v>
      </c>
      <c r="F642" s="8"/>
      <c r="G642" s="14" t="s">
        <v>5472</v>
      </c>
      <c r="H642" s="8"/>
      <c r="I642" s="15">
        <v>1</v>
      </c>
      <c r="J642" s="15">
        <v>1</v>
      </c>
      <c r="K642" s="12" t="str">
        <f>HYPERLINK("http://twitter.com/download/android","Twitter for Android")</f>
        <v>Twitter for Android</v>
      </c>
      <c r="L642" s="16">
        <v>1762</v>
      </c>
      <c r="M642" s="16">
        <v>2799</v>
      </c>
      <c r="N642" s="16">
        <v>5</v>
      </c>
      <c r="O642" s="17"/>
      <c r="P642" s="18">
        <v>41336.426250000004</v>
      </c>
      <c r="Q642" s="7"/>
      <c r="R642" s="7" t="s">
        <v>5473</v>
      </c>
      <c r="S642" s="7"/>
      <c r="T642" s="8"/>
      <c r="U642" s="19" t="str">
        <f>HYPERLINK("https://pbs.twimg.com/profile_images/1153646352703901696/gUrFgLk6.jpg","View")</f>
        <v>View</v>
      </c>
      <c r="V642" s="8"/>
      <c r="W642" s="8"/>
      <c r="X642" s="8"/>
      <c r="Y642" s="8"/>
      <c r="Z642" s="8"/>
    </row>
    <row r="643" spans="1:26" ht="12.75">
      <c r="A643" s="11">
        <v>43747.299710648149</v>
      </c>
      <c r="B643" s="12" t="str">
        <f>HYPERLINK("https://twitter.com/MiHa_Fi","@MiHa_Fi")</f>
        <v>@MiHa_Fi</v>
      </c>
      <c r="C643" s="7" t="s">
        <v>5477</v>
      </c>
      <c r="D643" s="7" t="s">
        <v>5478</v>
      </c>
      <c r="E643" s="12" t="str">
        <f>HYPERLINK("https://twitter.com/MiHa_Fi/status/1181935243080667136","1181935243080667136")</f>
        <v>1181935243080667136</v>
      </c>
      <c r="F643" s="8"/>
      <c r="G643" s="15"/>
      <c r="H643" s="8"/>
      <c r="I643" s="15">
        <v>1</v>
      </c>
      <c r="J643" s="15">
        <v>1</v>
      </c>
      <c r="K643" s="12" t="str">
        <f>HYPERLINK("http://twitter.com/download/android","Twitter for Android")</f>
        <v>Twitter for Android</v>
      </c>
      <c r="L643" s="16">
        <v>114</v>
      </c>
      <c r="M643" s="16">
        <v>321</v>
      </c>
      <c r="N643" s="16">
        <v>0</v>
      </c>
      <c r="O643" s="17"/>
      <c r="P643" s="18">
        <v>41428.58966435185</v>
      </c>
      <c r="Q643" s="7" t="s">
        <v>5479</v>
      </c>
      <c r="R643" s="7" t="s">
        <v>5480</v>
      </c>
      <c r="S643" s="7"/>
      <c r="T643" s="8"/>
      <c r="U643" s="19" t="str">
        <f>HYPERLINK("https://pbs.twimg.com/profile_images/1124067992843714561/5rIYVBTS.jpg","View")</f>
        <v>View</v>
      </c>
      <c r="V643" s="8"/>
      <c r="W643" s="8"/>
      <c r="X643" s="8"/>
      <c r="Y643" s="8"/>
      <c r="Z643" s="8"/>
    </row>
    <row r="644" spans="1:26" ht="12.75">
      <c r="A644" s="11">
        <v>43747.299710648149</v>
      </c>
      <c r="B644" s="12" t="str">
        <f>HYPERLINK("https://twitter.com/muazzam1iyim","@muazzam1iyim")</f>
        <v>@muazzam1iyim</v>
      </c>
      <c r="C644" s="7" t="s">
        <v>5482</v>
      </c>
      <c r="D644" s="7" t="s">
        <v>5483</v>
      </c>
      <c r="E644" s="12" t="str">
        <f>HYPERLINK("https://twitter.com/muazzam1iyim/status/1181935241667194882","1181935241667194882")</f>
        <v>1181935241667194882</v>
      </c>
      <c r="F644" s="8"/>
      <c r="G644" s="15"/>
      <c r="H644" s="8"/>
      <c r="I644" s="15">
        <v>0</v>
      </c>
      <c r="J644" s="15">
        <v>2</v>
      </c>
      <c r="K644" s="12" t="str">
        <f>HYPERLINK("http://twitter.com/download/iphone","Twitter for iPhone")</f>
        <v>Twitter for iPhone</v>
      </c>
      <c r="L644" s="16">
        <v>57</v>
      </c>
      <c r="M644" s="16">
        <v>93</v>
      </c>
      <c r="N644" s="16">
        <v>1</v>
      </c>
      <c r="O644" s="17"/>
      <c r="P644" s="18">
        <v>43401.789618055554</v>
      </c>
      <c r="Q644" s="7" t="s">
        <v>313</v>
      </c>
      <c r="R644" s="7" t="s">
        <v>5485</v>
      </c>
      <c r="S644" s="15"/>
      <c r="T644" s="8"/>
      <c r="U644" s="19" t="str">
        <f>HYPERLINK("https://pbs.twimg.com/profile_images/1168278974826500096/2bL12pki.jpg","View")</f>
        <v>View</v>
      </c>
      <c r="V644" s="8"/>
      <c r="W644" s="8"/>
      <c r="X644" s="8"/>
      <c r="Y644" s="8"/>
      <c r="Z644" s="8"/>
    </row>
    <row r="645" spans="1:26" ht="12.75">
      <c r="A645" s="11">
        <v>43747.299710648149</v>
      </c>
      <c r="B645" s="12" t="str">
        <f>HYPERLINK("https://twitter.com/semey_ethem","@semey_ethem")</f>
        <v>@semey_ethem</v>
      </c>
      <c r="C645" s="7" t="s">
        <v>5488</v>
      </c>
      <c r="D645" s="7" t="s">
        <v>5490</v>
      </c>
      <c r="E645" s="12" t="str">
        <f>HYPERLINK("https://twitter.com/semey_ethem/status/1181935239968501762","1181935239968501762")</f>
        <v>1181935239968501762</v>
      </c>
      <c r="F645" s="8"/>
      <c r="G645" s="14" t="s">
        <v>5491</v>
      </c>
      <c r="H645" s="8"/>
      <c r="I645" s="15">
        <v>0</v>
      </c>
      <c r="J645" s="15">
        <v>0</v>
      </c>
      <c r="K645" s="12" t="str">
        <f>HYPERLINK("http://twitter.com/download/android","Twitter for Android")</f>
        <v>Twitter for Android</v>
      </c>
      <c r="L645" s="16">
        <v>5</v>
      </c>
      <c r="M645" s="16">
        <v>2</v>
      </c>
      <c r="N645" s="16">
        <v>0</v>
      </c>
      <c r="O645" s="17"/>
      <c r="P645" s="18">
        <v>43655.48510416667</v>
      </c>
      <c r="Q645" s="7" t="s">
        <v>5492</v>
      </c>
      <c r="R645" s="7" t="s">
        <v>5493</v>
      </c>
      <c r="S645" s="7"/>
      <c r="T645" s="8"/>
      <c r="U645" s="19" t="str">
        <f>HYPERLINK("https://pbs.twimg.com/profile_images/1180733090685169664/x2XSERVQ.jpg","View")</f>
        <v>View</v>
      </c>
      <c r="V645" s="8"/>
      <c r="W645" s="8"/>
      <c r="X645" s="8"/>
      <c r="Y645" s="8"/>
      <c r="Z645" s="8"/>
    </row>
    <row r="646" spans="1:26" ht="12.75">
      <c r="A646" s="11">
        <v>43747.299687499995</v>
      </c>
      <c r="B646" s="12" t="str">
        <f>HYPERLINK("https://twitter.com/mhmtkml03","@mhmtkml03")</f>
        <v>@mhmtkml03</v>
      </c>
      <c r="C646" s="7" t="s">
        <v>5494</v>
      </c>
      <c r="D646" s="7" t="s">
        <v>5495</v>
      </c>
      <c r="E646" s="12" t="str">
        <f>HYPERLINK("https://twitter.com/mhmtkml03/status/1181935232976609282","1181935232976609282")</f>
        <v>1181935232976609282</v>
      </c>
      <c r="F646" s="8"/>
      <c r="G646" s="15"/>
      <c r="H646" s="8"/>
      <c r="I646" s="15">
        <v>0</v>
      </c>
      <c r="J646" s="15">
        <v>0</v>
      </c>
      <c r="K646" s="12" t="str">
        <f>HYPERLINK("http://twitter.com/download/iphone","Twitter for iPhone")</f>
        <v>Twitter for iPhone</v>
      </c>
      <c r="L646" s="16">
        <v>48</v>
      </c>
      <c r="M646" s="16">
        <v>142</v>
      </c>
      <c r="N646" s="16">
        <v>0</v>
      </c>
      <c r="O646" s="17"/>
      <c r="P646" s="18">
        <v>42544.155856481477</v>
      </c>
      <c r="Q646" s="7" t="s">
        <v>313</v>
      </c>
      <c r="R646" s="7" t="s">
        <v>5496</v>
      </c>
      <c r="S646" s="7"/>
      <c r="T646" s="8"/>
      <c r="U646" s="19" t="str">
        <f>HYPERLINK("https://pbs.twimg.com/profile_images/999741589604970498/8TfGMVEO.jpg","View")</f>
        <v>View</v>
      </c>
      <c r="V646" s="8"/>
      <c r="W646" s="8"/>
      <c r="X646" s="8"/>
      <c r="Y646" s="8"/>
      <c r="Z646" s="8"/>
    </row>
    <row r="647" spans="1:26" ht="12.75">
      <c r="A647" s="11">
        <v>43747.299618055556</v>
      </c>
      <c r="B647" s="12" t="str">
        <f>HYPERLINK("https://twitter.com/essspoyraz","@essspoyraz")</f>
        <v>@essspoyraz</v>
      </c>
      <c r="C647" s="7" t="s">
        <v>5505</v>
      </c>
      <c r="D647" s="7" t="s">
        <v>5506</v>
      </c>
      <c r="E647" s="12" t="str">
        <f>HYPERLINK("https://twitter.com/essspoyraz/status/1181935209903726593","1181935209903726593")</f>
        <v>1181935209903726593</v>
      </c>
      <c r="F647" s="8"/>
      <c r="G647" s="7"/>
      <c r="H647" s="8"/>
      <c r="I647" s="15">
        <v>0</v>
      </c>
      <c r="J647" s="15">
        <v>0</v>
      </c>
      <c r="K647" s="12" t="str">
        <f>HYPERLINK("http://twitter.com/download/iphone","Twitter for iPhone")</f>
        <v>Twitter for iPhone</v>
      </c>
      <c r="L647" s="16">
        <v>1035</v>
      </c>
      <c r="M647" s="16">
        <v>1843</v>
      </c>
      <c r="N647" s="16">
        <v>0</v>
      </c>
      <c r="O647" s="17"/>
      <c r="P647" s="18">
        <v>40545.643078703702</v>
      </c>
      <c r="Q647" s="7" t="s">
        <v>5507</v>
      </c>
      <c r="R647" s="7" t="s">
        <v>5508</v>
      </c>
      <c r="S647" s="7"/>
      <c r="T647" s="8"/>
      <c r="U647" s="19" t="str">
        <f>HYPERLINK("https://pbs.twimg.com/profile_images/1181934169917706241/kW1O8NDn.jpg","View")</f>
        <v>View</v>
      </c>
      <c r="V647" s="8"/>
      <c r="W647" s="8"/>
      <c r="X647" s="8"/>
      <c r="Y647" s="8"/>
      <c r="Z647" s="8"/>
    </row>
    <row r="648" spans="1:26" ht="12.75">
      <c r="A648" s="11">
        <v>43747.29960648148</v>
      </c>
      <c r="B648" s="12" t="str">
        <f>HYPERLINK("https://twitter.com/feilesofi","@feilesofi")</f>
        <v>@feilesofi</v>
      </c>
      <c r="C648" s="7" t="s">
        <v>5509</v>
      </c>
      <c r="D648" s="7" t="s">
        <v>5510</v>
      </c>
      <c r="E648" s="12" t="str">
        <f>HYPERLINK("https://twitter.com/feilesofi/status/1181935205407440897","1181935205407440897")</f>
        <v>1181935205407440897</v>
      </c>
      <c r="F648" s="8"/>
      <c r="G648" s="14" t="s">
        <v>5511</v>
      </c>
      <c r="H648" s="8"/>
      <c r="I648" s="15">
        <v>0</v>
      </c>
      <c r="J648" s="15">
        <v>4</v>
      </c>
      <c r="K648" s="12" t="str">
        <f>HYPERLINK("http://twitter.com/download/android","Twitter for Android")</f>
        <v>Twitter for Android</v>
      </c>
      <c r="L648" s="16">
        <v>222</v>
      </c>
      <c r="M648" s="16">
        <v>305</v>
      </c>
      <c r="N648" s="16">
        <v>1</v>
      </c>
      <c r="O648" s="17"/>
      <c r="P648" s="18">
        <v>43428.262152777781</v>
      </c>
      <c r="Q648" s="7"/>
      <c r="R648" s="7" t="s">
        <v>5513</v>
      </c>
      <c r="S648" s="7"/>
      <c r="T648" s="8"/>
      <c r="U648" s="19" t="str">
        <f>HYPERLINK("https://pbs.twimg.com/profile_images/1166044067446362112/1GZUCMX4.jpg","View")</f>
        <v>View</v>
      </c>
      <c r="V648" s="8"/>
      <c r="W648" s="8"/>
      <c r="X648" s="8"/>
      <c r="Y648" s="8"/>
      <c r="Z648" s="8"/>
    </row>
    <row r="649" spans="1:26" ht="12.75">
      <c r="A649" s="11">
        <v>43747.29960648148</v>
      </c>
      <c r="B649" s="12" t="str">
        <f>HYPERLINK("https://twitter.com/Aidan63499469","@Aidan63499469")</f>
        <v>@Aidan63499469</v>
      </c>
      <c r="C649" s="7" t="s">
        <v>5514</v>
      </c>
      <c r="D649" s="7" t="s">
        <v>5515</v>
      </c>
      <c r="E649" s="12" t="str">
        <f>HYPERLINK("https://twitter.com/Aidan63499469/status/1181935201636761600","1181935201636761600")</f>
        <v>1181935201636761600</v>
      </c>
      <c r="F649" s="8"/>
      <c r="G649" s="14" t="s">
        <v>5518</v>
      </c>
      <c r="H649" s="8"/>
      <c r="I649" s="15">
        <v>0</v>
      </c>
      <c r="J649" s="15">
        <v>1</v>
      </c>
      <c r="K649" s="12" t="str">
        <f>HYPERLINK("http://twitter.com/download/android","Twitter for Android")</f>
        <v>Twitter for Android</v>
      </c>
      <c r="L649" s="16">
        <v>258</v>
      </c>
      <c r="M649" s="16">
        <v>295</v>
      </c>
      <c r="N649" s="16">
        <v>0</v>
      </c>
      <c r="O649" s="17"/>
      <c r="P649" s="18">
        <v>43631.89644675926</v>
      </c>
      <c r="Q649" s="7"/>
      <c r="R649" s="21" t="s">
        <v>5519</v>
      </c>
      <c r="S649" s="7"/>
      <c r="T649" s="8"/>
      <c r="U649" s="19" t="str">
        <f>HYPERLINK("https://pbs.twimg.com/profile_images/1151512774062874625/iPW5XQWb.jpg","View")</f>
        <v>View</v>
      </c>
      <c r="V649" s="8"/>
      <c r="W649" s="8"/>
      <c r="X649" s="8"/>
      <c r="Y649" s="8"/>
      <c r="Z649" s="8"/>
    </row>
    <row r="650" spans="1:26" ht="12.75">
      <c r="A650" s="11">
        <v>43747.299571759257</v>
      </c>
      <c r="B650" s="12" t="str">
        <f>HYPERLINK("https://twitter.com/FahrettinB","@FahrettinB")</f>
        <v>@FahrettinB</v>
      </c>
      <c r="C650" s="7" t="s">
        <v>5521</v>
      </c>
      <c r="D650" s="7" t="s">
        <v>5522</v>
      </c>
      <c r="E650" s="12" t="str">
        <f>HYPERLINK("https://twitter.com/FahrettinB/status/1181935192530935809","1181935192530935809")</f>
        <v>1181935192530935809</v>
      </c>
      <c r="F650" s="8"/>
      <c r="G650" s="15"/>
      <c r="H650" s="8"/>
      <c r="I650" s="15">
        <v>0</v>
      </c>
      <c r="J650" s="15">
        <v>1</v>
      </c>
      <c r="K650" s="12" t="str">
        <f>HYPERLINK("http://twitter.com/download/android","Twitter for Android")</f>
        <v>Twitter for Android</v>
      </c>
      <c r="L650" s="16">
        <v>1413</v>
      </c>
      <c r="M650" s="16">
        <v>874</v>
      </c>
      <c r="N650" s="16">
        <v>2</v>
      </c>
      <c r="O650" s="17"/>
      <c r="P650" s="18">
        <v>40673.008321759262</v>
      </c>
      <c r="Q650" s="7"/>
      <c r="R650" s="7" t="s">
        <v>5524</v>
      </c>
      <c r="S650" s="7"/>
      <c r="T650" s="8"/>
      <c r="U650" s="19" t="str">
        <f>HYPERLINK("https://pbs.twimg.com/profile_images/1113026748327870464/xlWW3B9y.jpg","View")</f>
        <v>View</v>
      </c>
      <c r="V650" s="8"/>
      <c r="W650" s="8"/>
      <c r="X650" s="8"/>
      <c r="Y650" s="8"/>
      <c r="Z650" s="8"/>
    </row>
    <row r="651" spans="1:26" ht="12.75">
      <c r="A651" s="11">
        <v>43747.299560185187</v>
      </c>
      <c r="B651" s="12" t="str">
        <f>HYPERLINK("https://twitter.com/CoughlinBrett","@CoughlinBrett")</f>
        <v>@CoughlinBrett</v>
      </c>
      <c r="C651" s="7" t="s">
        <v>5525</v>
      </c>
      <c r="D651" s="7" t="s">
        <v>5526</v>
      </c>
      <c r="E651" s="12" t="str">
        <f>HYPERLINK("https://twitter.com/CoughlinBrett/status/1181935187875307520","1181935187875307520")</f>
        <v>1181935187875307520</v>
      </c>
      <c r="F651" s="8" t="s">
        <v>5527</v>
      </c>
      <c r="G651" s="7"/>
      <c r="H651" s="8"/>
      <c r="I651" s="15">
        <v>0</v>
      </c>
      <c r="J651" s="15">
        <v>1</v>
      </c>
      <c r="K651" s="12" t="str">
        <f>HYPERLINK("https://mobile.twitter.com","Twitter Web App")</f>
        <v>Twitter Web App</v>
      </c>
      <c r="L651" s="16">
        <v>516</v>
      </c>
      <c r="M651" s="16">
        <v>1003</v>
      </c>
      <c r="N651" s="16">
        <v>7</v>
      </c>
      <c r="O651" s="17"/>
      <c r="P651" s="18">
        <v>43006.906493055554</v>
      </c>
      <c r="Q651" s="7" t="s">
        <v>5530</v>
      </c>
      <c r="R651" s="7" t="s">
        <v>5531</v>
      </c>
      <c r="S651" s="7"/>
      <c r="T651" s="8"/>
      <c r="U651" s="19" t="str">
        <f>HYPERLINK("https://pbs.twimg.com/profile_images/1163923229242793985/Bkh7lf8r.jpg","View")</f>
        <v>View</v>
      </c>
      <c r="V651" s="8"/>
      <c r="W651" s="8"/>
      <c r="X651" s="8"/>
      <c r="Y651" s="8"/>
      <c r="Z651" s="8"/>
    </row>
    <row r="652" spans="1:26" ht="12.75">
      <c r="A652" s="11">
        <v>43747.29954861111</v>
      </c>
      <c r="B652" s="12" t="str">
        <f>HYPERLINK("https://twitter.com/dogucancbn","@dogucancbn")</f>
        <v>@dogucancbn</v>
      </c>
      <c r="C652" s="7" t="s">
        <v>5535</v>
      </c>
      <c r="D652" s="7" t="s">
        <v>5536</v>
      </c>
      <c r="E652" s="12" t="str">
        <f>HYPERLINK("https://twitter.com/dogucancbn/status/1181935182485577729","1181935182485577729")</f>
        <v>1181935182485577729</v>
      </c>
      <c r="F652" s="14" t="s">
        <v>5537</v>
      </c>
      <c r="G652" s="14" t="s">
        <v>5538</v>
      </c>
      <c r="H652" s="8"/>
      <c r="I652" s="15">
        <v>0</v>
      </c>
      <c r="J652" s="15">
        <v>0</v>
      </c>
      <c r="K652" s="12" t="str">
        <f>HYPERLINK("http://twitter.com/download/android","Twitter for Android")</f>
        <v>Twitter for Android</v>
      </c>
      <c r="L652" s="16">
        <v>502</v>
      </c>
      <c r="M652" s="16">
        <v>354</v>
      </c>
      <c r="N652" s="16">
        <v>0</v>
      </c>
      <c r="O652" s="17"/>
      <c r="P652" s="18">
        <v>40686.981249999997</v>
      </c>
      <c r="Q652" s="7" t="s">
        <v>5541</v>
      </c>
      <c r="R652" s="7" t="s">
        <v>5542</v>
      </c>
      <c r="S652" s="7"/>
      <c r="T652" s="8"/>
      <c r="U652" s="19" t="str">
        <f>HYPERLINK("https://pbs.twimg.com/profile_images/1076947888406740994/ZR_HYD7y.jpg","View")</f>
        <v>View</v>
      </c>
      <c r="V652" s="8"/>
      <c r="W652" s="8"/>
      <c r="X652" s="8"/>
      <c r="Y652" s="8"/>
      <c r="Z652" s="8"/>
    </row>
    <row r="653" spans="1:26" ht="12.75">
      <c r="A653" s="11">
        <v>43747.299537037034</v>
      </c>
      <c r="B653" s="12" t="str">
        <f>HYPERLINK("https://twitter.com/UfukCanKorkmazz","@UfukCanKorkmazz")</f>
        <v>@UfukCanKorkmazz</v>
      </c>
      <c r="C653" s="7" t="s">
        <v>5547</v>
      </c>
      <c r="D653" s="7" t="s">
        <v>5548</v>
      </c>
      <c r="E653" s="12" t="str">
        <f>HYPERLINK("https://twitter.com/UfukCanKorkmazz/status/1181935180354916352","1181935180354916352")</f>
        <v>1181935180354916352</v>
      </c>
      <c r="F653" s="8"/>
      <c r="G653" s="7"/>
      <c r="H653" s="8"/>
      <c r="I653" s="15">
        <v>0</v>
      </c>
      <c r="J653" s="15">
        <v>0</v>
      </c>
      <c r="K653" s="12" t="str">
        <f>HYPERLINK("http://twitter.com/download/iphone","Twitter for iPhone")</f>
        <v>Twitter for iPhone</v>
      </c>
      <c r="L653" s="16">
        <v>128</v>
      </c>
      <c r="M653" s="16">
        <v>99</v>
      </c>
      <c r="N653" s="16">
        <v>0</v>
      </c>
      <c r="O653" s="17"/>
      <c r="P653" s="18">
        <v>41183.65079861111</v>
      </c>
      <c r="Q653" s="7" t="s">
        <v>5549</v>
      </c>
      <c r="R653" s="7"/>
      <c r="S653" s="14" t="s">
        <v>5550</v>
      </c>
      <c r="T653" s="8"/>
      <c r="U653" s="19" t="str">
        <f>HYPERLINK("https://pbs.twimg.com/profile_images/1157729527159775232/DvwKM2_U.jpg","View")</f>
        <v>View</v>
      </c>
      <c r="V653" s="8"/>
      <c r="W653" s="8"/>
      <c r="X653" s="8"/>
      <c r="Y653" s="8"/>
      <c r="Z653" s="8"/>
    </row>
    <row r="654" spans="1:26" ht="12.75">
      <c r="A654" s="11">
        <v>43747.299537037034</v>
      </c>
      <c r="B654" s="12" t="str">
        <f>HYPERLINK("https://twitter.com/Emre190335","@Emre190335")</f>
        <v>@Emre190335</v>
      </c>
      <c r="C654" s="7" t="s">
        <v>5554</v>
      </c>
      <c r="D654" s="7" t="s">
        <v>5555</v>
      </c>
      <c r="E654" s="12" t="str">
        <f>HYPERLINK("https://twitter.com/Emre190335/status/1181935179738341376","1181935179738341376")</f>
        <v>1181935179738341376</v>
      </c>
      <c r="F654" s="8"/>
      <c r="G654" s="15"/>
      <c r="H654" s="8"/>
      <c r="I654" s="15">
        <v>0</v>
      </c>
      <c r="J654" s="15">
        <v>0</v>
      </c>
      <c r="K654" s="12" t="str">
        <f>HYPERLINK("http://twitter.com/download/android","Twitter for Android")</f>
        <v>Twitter for Android</v>
      </c>
      <c r="L654" s="16">
        <v>7</v>
      </c>
      <c r="M654" s="16">
        <v>58</v>
      </c>
      <c r="N654" s="16">
        <v>0</v>
      </c>
      <c r="O654" s="17"/>
      <c r="P654" s="18">
        <v>43676.205451388887</v>
      </c>
      <c r="Q654" s="7"/>
      <c r="R654" s="7" t="s">
        <v>5556</v>
      </c>
      <c r="S654" s="15"/>
      <c r="T654" s="8"/>
      <c r="U654" s="19" t="str">
        <f>HYPERLINK("https://pbs.twimg.com/profile_images/1171474556281704450/K49waxn-.jpg","View")</f>
        <v>View</v>
      </c>
      <c r="V654" s="8"/>
      <c r="W654" s="8"/>
      <c r="X654" s="8"/>
      <c r="Y654" s="8"/>
      <c r="Z654" s="8"/>
    </row>
    <row r="655" spans="1:26" ht="12.75">
      <c r="A655" s="11">
        <v>43747.299525462964</v>
      </c>
      <c r="B655" s="12" t="str">
        <f>HYPERLINK("https://twitter.com/ErencanKincal","@ErencanKincal")</f>
        <v>@ErencanKincal</v>
      </c>
      <c r="C655" s="7" t="s">
        <v>5557</v>
      </c>
      <c r="D655" s="7" t="s">
        <v>5558</v>
      </c>
      <c r="E655" s="12" t="str">
        <f>HYPERLINK("https://twitter.com/ErencanKincal/status/1181935175254577154","1181935175254577154")</f>
        <v>1181935175254577154</v>
      </c>
      <c r="F655" s="8"/>
      <c r="G655" s="14" t="s">
        <v>5559</v>
      </c>
      <c r="H655" s="8"/>
      <c r="I655" s="15">
        <v>0</v>
      </c>
      <c r="J655" s="15">
        <v>0</v>
      </c>
      <c r="K655" s="12" t="str">
        <f>HYPERLINK("http://twitter.com/download/iphone","Twitter for iPhone")</f>
        <v>Twitter for iPhone</v>
      </c>
      <c r="L655" s="16">
        <v>96</v>
      </c>
      <c r="M655" s="16">
        <v>117</v>
      </c>
      <c r="N655" s="16">
        <v>0</v>
      </c>
      <c r="O655" s="17"/>
      <c r="P655" s="18">
        <v>43428.462847222225</v>
      </c>
      <c r="Q655" s="7" t="s">
        <v>5562</v>
      </c>
      <c r="R655" s="7" t="s">
        <v>5563</v>
      </c>
      <c r="S655" s="14" t="s">
        <v>5564</v>
      </c>
      <c r="T655" s="8"/>
      <c r="U655" s="19" t="str">
        <f>HYPERLINK("https://pbs.twimg.com/profile_images/1176582665702711299/y79HkCPq.jpg","View")</f>
        <v>View</v>
      </c>
      <c r="V655" s="8"/>
      <c r="W655" s="8"/>
      <c r="X655" s="8"/>
      <c r="Y655" s="8"/>
      <c r="Z655" s="8"/>
    </row>
    <row r="656" spans="1:26" ht="12.75">
      <c r="A656" s="11">
        <v>43747.299513888887</v>
      </c>
      <c r="B656" s="12" t="str">
        <f>HYPERLINK("https://twitter.com/alia57","@alia57")</f>
        <v>@alia57</v>
      </c>
      <c r="C656" s="7" t="s">
        <v>5568</v>
      </c>
      <c r="D656" s="7" t="s">
        <v>5569</v>
      </c>
      <c r="E656" s="12" t="str">
        <f>HYPERLINK("https://twitter.com/alia57/status/1181935169483235328","1181935169483235328")</f>
        <v>1181935169483235328</v>
      </c>
      <c r="F656" s="8"/>
      <c r="G656" s="14" t="s">
        <v>5570</v>
      </c>
      <c r="H656" s="8"/>
      <c r="I656" s="15">
        <v>0</v>
      </c>
      <c r="J656" s="15">
        <v>0</v>
      </c>
      <c r="K656" s="12" t="str">
        <f>HYPERLINK("http://twitter.com/download/android","Twitter for Android")</f>
        <v>Twitter for Android</v>
      </c>
      <c r="L656" s="16">
        <v>986</v>
      </c>
      <c r="M656" s="16">
        <v>1003</v>
      </c>
      <c r="N656" s="16">
        <v>0</v>
      </c>
      <c r="O656" s="17"/>
      <c r="P656" s="18">
        <v>40167.188530092593</v>
      </c>
      <c r="Q656" s="7" t="s">
        <v>5571</v>
      </c>
      <c r="R656" s="7"/>
      <c r="S656" s="14" t="s">
        <v>5573</v>
      </c>
      <c r="T656" s="8"/>
      <c r="U656" s="19" t="str">
        <f>HYPERLINK("https://pbs.twimg.com/profile_images/1157413227304820738/oowHJptX.jpg","View")</f>
        <v>View</v>
      </c>
      <c r="V656" s="8"/>
      <c r="W656" s="8"/>
      <c r="X656" s="8"/>
      <c r="Y656" s="8"/>
      <c r="Z656" s="8"/>
    </row>
    <row r="657" spans="1:26" ht="12.75">
      <c r="A657" s="11">
        <v>43747.299502314811</v>
      </c>
      <c r="B657" s="12" t="str">
        <f>HYPERLINK("https://twitter.com/ErcanKaanAYTEN1","@ErcanKaanAYTEN1")</f>
        <v>@ErcanKaanAYTEN1</v>
      </c>
      <c r="C657" s="7" t="s">
        <v>5575</v>
      </c>
      <c r="D657" s="7" t="s">
        <v>5576</v>
      </c>
      <c r="E657" s="12" t="str">
        <f>HYPERLINK("https://twitter.com/ErcanKaanAYTEN1/status/1181935166845063169","1181935166845063169")</f>
        <v>1181935166845063169</v>
      </c>
      <c r="F657" s="8"/>
      <c r="G657" s="14" t="s">
        <v>5577</v>
      </c>
      <c r="H657" s="8"/>
      <c r="I657" s="15">
        <v>0</v>
      </c>
      <c r="J657" s="15">
        <v>1</v>
      </c>
      <c r="K657" s="12" t="str">
        <f>HYPERLINK("http://twitter.com/download/iphone","Twitter for iPhone")</f>
        <v>Twitter for iPhone</v>
      </c>
      <c r="L657" s="16">
        <v>21</v>
      </c>
      <c r="M657" s="16">
        <v>89</v>
      </c>
      <c r="N657" s="16">
        <v>0</v>
      </c>
      <c r="O657" s="17"/>
      <c r="P657" s="18">
        <v>43581.006030092598</v>
      </c>
      <c r="Q657" s="7" t="s">
        <v>498</v>
      </c>
      <c r="R657" s="7" t="s">
        <v>5580</v>
      </c>
      <c r="S657" s="15"/>
      <c r="T657" s="8"/>
      <c r="U657" s="19" t="str">
        <f>HYPERLINK("https://pbs.twimg.com/profile_images/1121672823792001027/wcChiN6o.jpg","View")</f>
        <v>View</v>
      </c>
      <c r="V657" s="8"/>
      <c r="W657" s="8"/>
      <c r="X657" s="8"/>
      <c r="Y657" s="8"/>
      <c r="Z657" s="8"/>
    </row>
    <row r="658" spans="1:26" ht="12.75">
      <c r="A658" s="11">
        <v>43747.299502314811</v>
      </c>
      <c r="B658" s="12" t="str">
        <f>HYPERLINK("https://twitter.com/Sezer_ibrhm","@Sezer_ibrhm")</f>
        <v>@Sezer_ibrhm</v>
      </c>
      <c r="C658" s="7" t="s">
        <v>5581</v>
      </c>
      <c r="D658" s="7" t="s">
        <v>5582</v>
      </c>
      <c r="E658" s="12" t="str">
        <f>HYPERLINK("https://twitter.com/Sezer_ibrhm/status/1181935165985247232","1181935165985247232")</f>
        <v>1181935165985247232</v>
      </c>
      <c r="F658" s="8"/>
      <c r="G658" s="15"/>
      <c r="H658" s="8"/>
      <c r="I658" s="15">
        <v>0</v>
      </c>
      <c r="J658" s="15">
        <v>0</v>
      </c>
      <c r="K658" s="12" t="str">
        <f>HYPERLINK("http://twitter.com/download/iphone","Twitter for iPhone")</f>
        <v>Twitter for iPhone</v>
      </c>
      <c r="L658" s="16">
        <v>353</v>
      </c>
      <c r="M658" s="16">
        <v>858</v>
      </c>
      <c r="N658" s="16">
        <v>2</v>
      </c>
      <c r="O658" s="17"/>
      <c r="P658" s="18">
        <v>41445.032708333332</v>
      </c>
      <c r="Q658" s="7"/>
      <c r="R658" s="7" t="s">
        <v>5585</v>
      </c>
      <c r="S658" s="7"/>
      <c r="T658" s="8"/>
      <c r="U658" s="19" t="str">
        <f>HYPERLINK("https://pbs.twimg.com/profile_images/1048233052059656192/0P9gT0_I.jpg","View")</f>
        <v>View</v>
      </c>
      <c r="V658" s="8"/>
      <c r="W658" s="8"/>
      <c r="X658" s="8"/>
      <c r="Y658" s="8"/>
      <c r="Z658" s="8"/>
    </row>
    <row r="659" spans="1:26" ht="12.75">
      <c r="A659" s="11">
        <v>43747.299467592587</v>
      </c>
      <c r="B659" s="12" t="str">
        <f>HYPERLINK("https://twitter.com/e_hakan","@e_hakan")</f>
        <v>@e_hakan</v>
      </c>
      <c r="C659" s="7" t="s">
        <v>5589</v>
      </c>
      <c r="D659" s="7" t="s">
        <v>5590</v>
      </c>
      <c r="E659" s="12" t="str">
        <f>HYPERLINK("https://twitter.com/e_hakan/status/1181935153171570690","1181935153171570690")</f>
        <v>1181935153171570690</v>
      </c>
      <c r="F659" s="8"/>
      <c r="G659" s="15"/>
      <c r="H659" s="8"/>
      <c r="I659" s="15">
        <v>0</v>
      </c>
      <c r="J659" s="15">
        <v>1</v>
      </c>
      <c r="K659" s="12" t="str">
        <f>HYPERLINK("http://twitter.com/download/android","Twitter for Android")</f>
        <v>Twitter for Android</v>
      </c>
      <c r="L659" s="16">
        <v>261</v>
      </c>
      <c r="M659" s="16">
        <v>624</v>
      </c>
      <c r="N659" s="16">
        <v>1</v>
      </c>
      <c r="O659" s="17"/>
      <c r="P659" s="18">
        <v>40791.057615740741</v>
      </c>
      <c r="Q659" s="7" t="s">
        <v>69</v>
      </c>
      <c r="R659" s="7" t="s">
        <v>5592</v>
      </c>
      <c r="S659" s="7"/>
      <c r="T659" s="8"/>
      <c r="U659" s="19" t="str">
        <f>HYPERLINK("https://pbs.twimg.com/profile_images/503990633896615937/PmY1rFiH.jpeg","View")</f>
        <v>View</v>
      </c>
      <c r="V659" s="8"/>
      <c r="W659" s="8"/>
      <c r="X659" s="8"/>
      <c r="Y659" s="8"/>
      <c r="Z659" s="8"/>
    </row>
    <row r="660" spans="1:26" ht="12.75">
      <c r="A660" s="11">
        <v>43747.299467592587</v>
      </c>
      <c r="B660" s="12" t="str">
        <f>HYPERLINK("https://twitter.com/thekingN07","@thekingN07")</f>
        <v>@thekingN07</v>
      </c>
      <c r="C660" s="7" t="s">
        <v>5594</v>
      </c>
      <c r="D660" s="7" t="s">
        <v>5596</v>
      </c>
      <c r="E660" s="12" t="str">
        <f>HYPERLINK("https://twitter.com/thekingN07/status/1181935152391475204","1181935152391475204")</f>
        <v>1181935152391475204</v>
      </c>
      <c r="F660" s="8"/>
      <c r="G660" s="14" t="s">
        <v>5598</v>
      </c>
      <c r="H660" s="8"/>
      <c r="I660" s="15">
        <v>0</v>
      </c>
      <c r="J660" s="15">
        <v>1</v>
      </c>
      <c r="K660" s="12" t="str">
        <f>HYPERLINK("http://twitter.com/download/android","Twitter for Android")</f>
        <v>Twitter for Android</v>
      </c>
      <c r="L660" s="16">
        <v>0</v>
      </c>
      <c r="M660" s="16">
        <v>0</v>
      </c>
      <c r="N660" s="16">
        <v>0</v>
      </c>
      <c r="O660" s="17"/>
      <c r="P660" s="18">
        <v>43256.146273148144</v>
      </c>
      <c r="Q660" s="7"/>
      <c r="R660" s="7"/>
      <c r="S660" s="7"/>
      <c r="T660" s="8"/>
      <c r="U660" s="19" t="str">
        <f>HYPERLINK("https://pbs.twimg.com/profile_images/1003948560566669312/THep0hLk.jpg","View")</f>
        <v>View</v>
      </c>
      <c r="V660" s="8"/>
      <c r="W660" s="8"/>
      <c r="X660" s="8"/>
      <c r="Y660" s="8"/>
      <c r="Z660" s="8"/>
    </row>
    <row r="661" spans="1:26" ht="12.75">
      <c r="A661" s="11">
        <v>43747.299444444448</v>
      </c>
      <c r="B661" s="12" t="str">
        <f>HYPERLINK("https://twitter.com/Ersan___m","@Ersan___m")</f>
        <v>@Ersan___m</v>
      </c>
      <c r="C661" s="7" t="s">
        <v>5601</v>
      </c>
      <c r="D661" s="7" t="s">
        <v>5602</v>
      </c>
      <c r="E661" s="12" t="str">
        <f>HYPERLINK("https://twitter.com/Ersan___m/status/1181935145751842819","1181935145751842819")</f>
        <v>1181935145751842819</v>
      </c>
      <c r="F661" s="8"/>
      <c r="G661" s="15"/>
      <c r="H661" s="8"/>
      <c r="I661" s="15">
        <v>0</v>
      </c>
      <c r="J661" s="15">
        <v>1</v>
      </c>
      <c r="K661" s="12" t="str">
        <f>HYPERLINK("http://twitter.com/download/android","Twitter for Android")</f>
        <v>Twitter for Android</v>
      </c>
      <c r="L661" s="16">
        <v>10146</v>
      </c>
      <c r="M661" s="16">
        <v>0</v>
      </c>
      <c r="N661" s="16">
        <v>1</v>
      </c>
      <c r="O661" s="17"/>
      <c r="P661" s="18">
        <v>43612.173715277779</v>
      </c>
      <c r="Q661" s="7" t="s">
        <v>5603</v>
      </c>
      <c r="R661" s="7" t="s">
        <v>5604</v>
      </c>
      <c r="S661" s="7"/>
      <c r="T661" s="8"/>
      <c r="U661" s="19" t="str">
        <f>HYPERLINK("https://pbs.twimg.com/profile_images/1179460106867613698/Csmaw-zw.jpg","View")</f>
        <v>View</v>
      </c>
      <c r="V661" s="8"/>
      <c r="W661" s="8"/>
      <c r="X661" s="8"/>
      <c r="Y661" s="8"/>
      <c r="Z661" s="8"/>
    </row>
    <row r="662" spans="1:26" ht="12.75">
      <c r="A662" s="11">
        <v>43747.299444444448</v>
      </c>
      <c r="B662" s="12" t="str">
        <f>HYPERLINK("https://twitter.com/AMpplH8r","@AMpplH8r")</f>
        <v>@AMpplH8r</v>
      </c>
      <c r="C662" s="7" t="s">
        <v>5607</v>
      </c>
      <c r="D662" s="7" t="s">
        <v>5608</v>
      </c>
      <c r="E662" s="12" t="str">
        <f>HYPERLINK("https://twitter.com/AMpplH8r/status/1181935144061542400","1181935144061542400")</f>
        <v>1181935144061542400</v>
      </c>
      <c r="F662" s="14" t="s">
        <v>5611</v>
      </c>
      <c r="G662" s="15"/>
      <c r="H662" s="8"/>
      <c r="I662" s="15">
        <v>0</v>
      </c>
      <c r="J662" s="15">
        <v>1</v>
      </c>
      <c r="K662" s="12" t="str">
        <f>HYPERLINK("http://twitter.com/download/iphone","Twitter for iPhone")</f>
        <v>Twitter for iPhone</v>
      </c>
      <c r="L662" s="16">
        <v>1669</v>
      </c>
      <c r="M662" s="16">
        <v>1762</v>
      </c>
      <c r="N662" s="16">
        <v>7</v>
      </c>
      <c r="O662" s="17"/>
      <c r="P662" s="18">
        <v>41491.517592592594</v>
      </c>
      <c r="Q662" s="7"/>
      <c r="R662" s="7" t="s">
        <v>5612</v>
      </c>
      <c r="S662" s="15"/>
      <c r="T662" s="8"/>
      <c r="U662" s="19" t="str">
        <f>HYPERLINK("https://pbs.twimg.com/profile_images/1171667208902250497/CnJx0yks.jpg","View")</f>
        <v>View</v>
      </c>
      <c r="V662" s="8"/>
      <c r="W662" s="8"/>
      <c r="X662" s="8"/>
      <c r="Y662" s="8"/>
      <c r="Z662" s="8"/>
    </row>
    <row r="663" spans="1:26" ht="12.75">
      <c r="A663" s="11">
        <v>43747.299432870372</v>
      </c>
      <c r="B663" s="12" t="str">
        <f>HYPERLINK("https://twitter.com/talihduran","@talihduran")</f>
        <v>@talihduran</v>
      </c>
      <c r="C663" s="7" t="s">
        <v>5613</v>
      </c>
      <c r="D663" s="7" t="s">
        <v>5614</v>
      </c>
      <c r="E663" s="12" t="str">
        <f>HYPERLINK("https://twitter.com/talihduran/status/1181935142128017409","1181935142128017409")</f>
        <v>1181935142128017409</v>
      </c>
      <c r="F663" s="8"/>
      <c r="G663" s="7"/>
      <c r="H663" s="8"/>
      <c r="I663" s="15">
        <v>0</v>
      </c>
      <c r="J663" s="15">
        <v>0</v>
      </c>
      <c r="K663" s="12" t="str">
        <f>HYPERLINK("http://twitter.com/download/iphone","Twitter for iPhone")</f>
        <v>Twitter for iPhone</v>
      </c>
      <c r="L663" s="16">
        <v>1680</v>
      </c>
      <c r="M663" s="16">
        <v>1707</v>
      </c>
      <c r="N663" s="16">
        <v>0</v>
      </c>
      <c r="O663" s="17"/>
      <c r="P663" s="18">
        <v>40444.314525462964</v>
      </c>
      <c r="Q663" s="7" t="s">
        <v>918</v>
      </c>
      <c r="R663" s="7" t="s">
        <v>5617</v>
      </c>
      <c r="S663" s="14" t="s">
        <v>5618</v>
      </c>
      <c r="T663" s="8"/>
      <c r="U663" s="19" t="str">
        <f>HYPERLINK("https://pbs.twimg.com/profile_images/838498054345003012/mwUqsf0g.jpg","View")</f>
        <v>View</v>
      </c>
      <c r="V663" s="8"/>
      <c r="W663" s="8"/>
      <c r="X663" s="8"/>
      <c r="Y663" s="8"/>
      <c r="Z663" s="8"/>
    </row>
    <row r="664" spans="1:26" ht="12.75">
      <c r="A664" s="11">
        <v>43747.299409722225</v>
      </c>
      <c r="B664" s="12" t="str">
        <f>HYPERLINK("https://twitter.com/VeyisKose","@VeyisKose")</f>
        <v>@VeyisKose</v>
      </c>
      <c r="C664" s="7" t="s">
        <v>5620</v>
      </c>
      <c r="D664" s="7" t="s">
        <v>5621</v>
      </c>
      <c r="E664" s="12" t="str">
        <f>HYPERLINK("https://twitter.com/VeyisKose/status/1181935132845981696","1181935132845981696")</f>
        <v>1181935132845981696</v>
      </c>
      <c r="F664" s="8"/>
      <c r="G664" s="14" t="s">
        <v>5622</v>
      </c>
      <c r="H664" s="8"/>
      <c r="I664" s="15">
        <v>0</v>
      </c>
      <c r="J664" s="15">
        <v>0</v>
      </c>
      <c r="K664" s="12" t="str">
        <f>HYPERLINK("http://twitter.com/download/android","Twitter for Android")</f>
        <v>Twitter for Android</v>
      </c>
      <c r="L664" s="16">
        <v>4653</v>
      </c>
      <c r="M664" s="16">
        <v>5620</v>
      </c>
      <c r="N664" s="16">
        <v>3</v>
      </c>
      <c r="O664" s="17"/>
      <c r="P664" s="18">
        <v>42228.286412037036</v>
      </c>
      <c r="Q664" s="7"/>
      <c r="R664" s="7" t="s">
        <v>5625</v>
      </c>
      <c r="S664" s="15"/>
      <c r="T664" s="8"/>
      <c r="U664" s="19" t="str">
        <f>HYPERLINK("https://pbs.twimg.com/profile_images/1033016304272330753/X4vxMasA.jpg","View")</f>
        <v>View</v>
      </c>
      <c r="V664" s="8"/>
      <c r="W664" s="8"/>
      <c r="X664" s="8"/>
      <c r="Y664" s="8"/>
      <c r="Z664" s="8"/>
    </row>
    <row r="665" spans="1:26" ht="12.75">
      <c r="A665" s="11">
        <v>43747.299398148149</v>
      </c>
      <c r="B665" s="12" t="str">
        <f>HYPERLINK("https://twitter.com/cemil_senocak","@cemil_senocak")</f>
        <v>@cemil_senocak</v>
      </c>
      <c r="C665" s="7" t="s">
        <v>5630</v>
      </c>
      <c r="D665" s="7" t="s">
        <v>5631</v>
      </c>
      <c r="E665" s="12" t="str">
        <f>HYPERLINK("https://twitter.com/cemil_senocak/status/1181935128244867075","1181935128244867075")</f>
        <v>1181935128244867075</v>
      </c>
      <c r="F665" s="15"/>
      <c r="G665" s="14" t="s">
        <v>5632</v>
      </c>
      <c r="H665" s="8"/>
      <c r="I665" s="15">
        <v>0</v>
      </c>
      <c r="J665" s="15">
        <v>1</v>
      </c>
      <c r="K665" s="12" t="str">
        <f>HYPERLINK("http://twitter.com/download/android","Twitter for Android")</f>
        <v>Twitter for Android</v>
      </c>
      <c r="L665" s="16">
        <v>249</v>
      </c>
      <c r="M665" s="16">
        <v>953</v>
      </c>
      <c r="N665" s="16">
        <v>0</v>
      </c>
      <c r="O665" s="17"/>
      <c r="P665" s="18">
        <v>40812.699953703705</v>
      </c>
      <c r="Q665" s="7"/>
      <c r="R665" s="7" t="s">
        <v>5634</v>
      </c>
      <c r="S665" s="7"/>
      <c r="T665" s="8"/>
      <c r="U665" s="19" t="str">
        <f>HYPERLINK("https://pbs.twimg.com/profile_images/1167016504413569024/wznBXxIT.jpg","View")</f>
        <v>View</v>
      </c>
      <c r="V665" s="8"/>
      <c r="W665" s="8"/>
      <c r="X665" s="8"/>
      <c r="Y665" s="8"/>
      <c r="Z665" s="8"/>
    </row>
    <row r="666" spans="1:26" ht="12.75">
      <c r="A666" s="11">
        <v>43747.299375000002</v>
      </c>
      <c r="B666" s="12" t="str">
        <f>HYPERLINK("https://twitter.com/hamzatan","@hamzatan")</f>
        <v>@hamzatan</v>
      </c>
      <c r="C666" s="7" t="s">
        <v>5636</v>
      </c>
      <c r="D666" s="7" t="s">
        <v>5637</v>
      </c>
      <c r="E666" s="12" t="str">
        <f>HYPERLINK("https://twitter.com/hamzatan/status/1181935119436800001","1181935119436800001")</f>
        <v>1181935119436800001</v>
      </c>
      <c r="F666" s="8"/>
      <c r="G666" s="15"/>
      <c r="H666" s="8"/>
      <c r="I666" s="15">
        <v>0</v>
      </c>
      <c r="J666" s="15">
        <v>0</v>
      </c>
      <c r="K666" s="12" t="str">
        <f>HYPERLINK("http://twitter.com/download/iphone","Twitter for iPhone")</f>
        <v>Twitter for iPhone</v>
      </c>
      <c r="L666" s="16">
        <v>1264</v>
      </c>
      <c r="M666" s="16">
        <v>521</v>
      </c>
      <c r="N666" s="16">
        <v>2</v>
      </c>
      <c r="O666" s="17"/>
      <c r="P666" s="18">
        <v>40410.144687499997</v>
      </c>
      <c r="Q666" s="7" t="s">
        <v>5638</v>
      </c>
      <c r="R666" s="7" t="s">
        <v>5639</v>
      </c>
      <c r="S666" s="14" t="s">
        <v>5640</v>
      </c>
      <c r="T666" s="8"/>
      <c r="U666" s="19" t="str">
        <f>HYPERLINK("https://pbs.twimg.com/profile_images/378800000391125946/82bf4c40ff0f78afcf38144e10312f09.jpeg","View")</f>
        <v>View</v>
      </c>
      <c r="V666" s="8"/>
      <c r="W666" s="8"/>
      <c r="X666" s="8"/>
      <c r="Y666" s="8"/>
      <c r="Z666" s="8"/>
    </row>
    <row r="667" spans="1:26" ht="12.75">
      <c r="A667" s="11">
        <v>43747.299363425926</v>
      </c>
      <c r="B667" s="12" t="str">
        <f>HYPERLINK("https://twitter.com/Asi00777","@Asi00777")</f>
        <v>@Asi00777</v>
      </c>
      <c r="C667" s="7" t="s">
        <v>5644</v>
      </c>
      <c r="D667" s="7" t="s">
        <v>2572</v>
      </c>
      <c r="E667" s="12" t="str">
        <f>HYPERLINK("https://twitter.com/Asi00777/status/1181935116626661379","1181935116626661379")</f>
        <v>1181935116626661379</v>
      </c>
      <c r="F667" s="8"/>
      <c r="G667" s="15"/>
      <c r="H667" s="8"/>
      <c r="I667" s="15">
        <v>0</v>
      </c>
      <c r="J667" s="15">
        <v>0</v>
      </c>
      <c r="K667" s="12" t="str">
        <f>HYPERLINK("http://twitter.com/download/android","Twitter for Android")</f>
        <v>Twitter for Android</v>
      </c>
      <c r="L667" s="16">
        <v>1</v>
      </c>
      <c r="M667" s="16">
        <v>13</v>
      </c>
      <c r="N667" s="16">
        <v>0</v>
      </c>
      <c r="O667" s="17"/>
      <c r="P667" s="18">
        <v>43531.498287037037</v>
      </c>
      <c r="Q667" s="7"/>
      <c r="R667" s="7"/>
      <c r="S667" s="7"/>
      <c r="T667" s="8"/>
      <c r="U667" s="20" t="s">
        <v>354</v>
      </c>
      <c r="V667" s="8"/>
      <c r="W667" s="8"/>
      <c r="X667" s="8"/>
      <c r="Y667" s="8"/>
      <c r="Z667" s="8"/>
    </row>
    <row r="668" spans="1:26" ht="12.75">
      <c r="A668" s="11">
        <v>43747.299328703702</v>
      </c>
      <c r="B668" s="12" t="str">
        <f>HYPERLINK("https://twitter.com/Halobility","@Halobility")</f>
        <v>@Halobility</v>
      </c>
      <c r="C668" s="7" t="s">
        <v>5645</v>
      </c>
      <c r="D668" s="7" t="s">
        <v>5646</v>
      </c>
      <c r="E668" s="12" t="str">
        <f>HYPERLINK("https://twitter.com/Halobility/status/1181935104211537920","1181935104211537920")</f>
        <v>1181935104211537920</v>
      </c>
      <c r="F668" s="8"/>
      <c r="G668" s="15"/>
      <c r="H668" s="8"/>
      <c r="I668" s="15">
        <v>1</v>
      </c>
      <c r="J668" s="15">
        <v>6</v>
      </c>
      <c r="K668" s="12" t="str">
        <f>HYPERLINK("http://twitter.com/download/iphone","Twitter for iPhone")</f>
        <v>Twitter for iPhone</v>
      </c>
      <c r="L668" s="16">
        <v>1570</v>
      </c>
      <c r="M668" s="16">
        <v>715</v>
      </c>
      <c r="N668" s="16">
        <v>0</v>
      </c>
      <c r="O668" s="17"/>
      <c r="P668" s="18">
        <v>42231.774097222224</v>
      </c>
      <c r="Q668" s="7" t="s">
        <v>5647</v>
      </c>
      <c r="R668" s="7" t="s">
        <v>5648</v>
      </c>
      <c r="S668" s="14" t="s">
        <v>5649</v>
      </c>
      <c r="T668" s="8"/>
      <c r="U668" s="19" t="str">
        <f>HYPERLINK("https://pbs.twimg.com/profile_images/1179328982422052864/DeX_AVuM.jpg","View")</f>
        <v>View</v>
      </c>
      <c r="V668" s="8"/>
      <c r="W668" s="8"/>
      <c r="X668" s="8"/>
      <c r="Y668" s="8"/>
      <c r="Z668" s="8"/>
    </row>
    <row r="669" spans="1:26" ht="12.75">
      <c r="A669" s="11">
        <v>43747.299317129626</v>
      </c>
      <c r="B669" s="12" t="str">
        <f>HYPERLINK("https://twitter.com/ephesians0511","@ephesians0511")</f>
        <v>@ephesians0511</v>
      </c>
      <c r="C669" s="7" t="s">
        <v>5652</v>
      </c>
      <c r="D669" s="7" t="s">
        <v>5653</v>
      </c>
      <c r="E669" s="12" t="str">
        <f>HYPERLINK("https://twitter.com/ephesians0511/status/1181935099643871236","1181935099643871236")</f>
        <v>1181935099643871236</v>
      </c>
      <c r="F669" s="8"/>
      <c r="G669" s="14" t="s">
        <v>5654</v>
      </c>
      <c r="H669" s="8"/>
      <c r="I669" s="15">
        <v>0</v>
      </c>
      <c r="J669" s="15">
        <v>0</v>
      </c>
      <c r="K669" s="12" t="str">
        <f>HYPERLINK("http://twitter.com/download/android","Twitter for Android")</f>
        <v>Twitter for Android</v>
      </c>
      <c r="L669" s="16">
        <v>196</v>
      </c>
      <c r="M669" s="16">
        <v>208</v>
      </c>
      <c r="N669" s="16">
        <v>1</v>
      </c>
      <c r="O669" s="17"/>
      <c r="P669" s="18">
        <v>42960.784131944441</v>
      </c>
      <c r="Q669" s="7"/>
      <c r="R669" s="7"/>
      <c r="S669" s="7"/>
      <c r="T669" s="8"/>
      <c r="U669" s="19" t="str">
        <f>HYPERLINK("https://pbs.twimg.com/profile_images/1142982991569985536/7xmqYesz.jpg","View")</f>
        <v>View</v>
      </c>
      <c r="V669" s="8"/>
      <c r="W669" s="8"/>
      <c r="X669" s="8"/>
      <c r="Y669" s="8"/>
      <c r="Z669" s="8"/>
    </row>
    <row r="670" spans="1:26" ht="12.75">
      <c r="A670" s="11">
        <v>43747.299270833333</v>
      </c>
      <c r="B670" s="12" t="str">
        <f>HYPERLINK("https://twitter.com/Miiimozaa","@Miiimozaa")</f>
        <v>@Miiimozaa</v>
      </c>
      <c r="C670" s="7" t="s">
        <v>5657</v>
      </c>
      <c r="D670" s="7" t="s">
        <v>5658</v>
      </c>
      <c r="E670" s="12" t="str">
        <f>HYPERLINK("https://twitter.com/Miiimozaa/status/1181935081058951168","1181935081058951168")</f>
        <v>1181935081058951168</v>
      </c>
      <c r="F670" s="8"/>
      <c r="G670" s="7"/>
      <c r="H670" s="8"/>
      <c r="I670" s="15">
        <v>0</v>
      </c>
      <c r="J670" s="15">
        <v>2</v>
      </c>
      <c r="K670" s="12" t="str">
        <f>HYPERLINK("http://twitter.com/download/android","Twitter for Android")</f>
        <v>Twitter for Android</v>
      </c>
      <c r="L670" s="16">
        <v>594</v>
      </c>
      <c r="M670" s="16">
        <v>492</v>
      </c>
      <c r="N670" s="16">
        <v>0</v>
      </c>
      <c r="O670" s="17"/>
      <c r="P670" s="18">
        <v>43465.251180555555</v>
      </c>
      <c r="Q670" s="7"/>
      <c r="R670" s="7" t="s">
        <v>5661</v>
      </c>
      <c r="S670" s="7"/>
      <c r="T670" s="8"/>
      <c r="U670" s="19" t="str">
        <f>HYPERLINK("https://pbs.twimg.com/profile_images/1167798584512786438/bQN5dc8C.jpg","View")</f>
        <v>View</v>
      </c>
      <c r="V670" s="8"/>
      <c r="W670" s="8"/>
      <c r="X670" s="8"/>
      <c r="Y670" s="8"/>
      <c r="Z670" s="8"/>
    </row>
    <row r="671" spans="1:26" ht="12.75">
      <c r="A671" s="11">
        <v>43747.299212962964</v>
      </c>
      <c r="B671" s="12" t="str">
        <f>HYPERLINK("https://twitter.com/Komisumamina","@Komisumamina")</f>
        <v>@Komisumamina</v>
      </c>
      <c r="C671" s="7" t="s">
        <v>5663</v>
      </c>
      <c r="D671" s="7" t="s">
        <v>5664</v>
      </c>
      <c r="E671" s="12" t="str">
        <f>HYPERLINK("https://twitter.com/Komisumamina/status/1181935060959858688","1181935060959858688")</f>
        <v>1181935060959858688</v>
      </c>
      <c r="F671" s="8"/>
      <c r="G671" s="15"/>
      <c r="H671" s="8"/>
      <c r="I671" s="15">
        <v>0</v>
      </c>
      <c r="J671" s="15">
        <v>0</v>
      </c>
      <c r="K671" s="12" t="str">
        <f>HYPERLINK("http://twitter.com/download/android","Twitter for Android")</f>
        <v>Twitter for Android</v>
      </c>
      <c r="L671" s="16">
        <v>710</v>
      </c>
      <c r="M671" s="16">
        <v>349</v>
      </c>
      <c r="N671" s="16">
        <v>0</v>
      </c>
      <c r="O671" s="17"/>
      <c r="P671" s="18">
        <v>41044.654814814814</v>
      </c>
      <c r="Q671" s="7" t="s">
        <v>5667</v>
      </c>
      <c r="R671" s="15" t="s">
        <v>5668</v>
      </c>
      <c r="S671" s="7"/>
      <c r="T671" s="8"/>
      <c r="U671" s="19" t="str">
        <f>HYPERLINK("https://pbs.twimg.com/profile_images/378800000415500888/219392814f6525f1268cedb1f8abdfbb.jpeg","View")</f>
        <v>View</v>
      </c>
      <c r="V671" s="8"/>
      <c r="W671" s="8"/>
      <c r="X671" s="8"/>
      <c r="Y671" s="8"/>
      <c r="Z671" s="8"/>
    </row>
    <row r="672" spans="1:26" ht="12.75">
      <c r="A672" s="11">
        <v>43747.299201388887</v>
      </c>
      <c r="B672" s="12" t="str">
        <f>HYPERLINK("https://twitter.com/alikarakayaa10","@alikarakayaa10")</f>
        <v>@alikarakayaa10</v>
      </c>
      <c r="C672" s="7" t="s">
        <v>5669</v>
      </c>
      <c r="D672" s="7" t="s">
        <v>5670</v>
      </c>
      <c r="E672" s="12" t="str">
        <f>HYPERLINK("https://twitter.com/alikarakayaa10/status/1181935058837495810","1181935058837495810")</f>
        <v>1181935058837495810</v>
      </c>
      <c r="F672" s="8"/>
      <c r="G672" s="14" t="s">
        <v>5671</v>
      </c>
      <c r="H672" s="8"/>
      <c r="I672" s="15">
        <v>0</v>
      </c>
      <c r="J672" s="15">
        <v>0</v>
      </c>
      <c r="K672" s="12" t="str">
        <f>HYPERLINK("http://twitter.com/download/iphone","Twitter for iPhone")</f>
        <v>Twitter for iPhone</v>
      </c>
      <c r="L672" s="16">
        <v>14</v>
      </c>
      <c r="M672" s="16">
        <v>67</v>
      </c>
      <c r="N672" s="16">
        <v>0</v>
      </c>
      <c r="O672" s="17"/>
      <c r="P672" s="18">
        <v>43747.01771990741</v>
      </c>
      <c r="Q672" s="7" t="s">
        <v>2350</v>
      </c>
      <c r="R672" s="7"/>
      <c r="S672" s="15"/>
      <c r="T672" s="8"/>
      <c r="U672" s="19" t="str">
        <f>HYPERLINK("https://pbs.twimg.com/profile_images/1181833307593547776/8cl34UHE.jpg","View")</f>
        <v>View</v>
      </c>
      <c r="V672" s="8"/>
      <c r="W672" s="8"/>
      <c r="X672" s="8"/>
      <c r="Y672" s="8"/>
      <c r="Z672" s="8"/>
    </row>
    <row r="673" spans="1:26" ht="12.75">
      <c r="A673" s="11">
        <v>43747.299201388887</v>
      </c>
      <c r="B673" s="12" t="str">
        <f>HYPERLINK("https://twitter.com/dahibiyolog","@dahibiyolog")</f>
        <v>@dahibiyolog</v>
      </c>
      <c r="C673" s="7" t="s">
        <v>5675</v>
      </c>
      <c r="D673" s="7" t="s">
        <v>5676</v>
      </c>
      <c r="E673" s="12" t="str">
        <f>HYPERLINK("https://twitter.com/dahibiyolog/status/1181935055691816965","1181935055691816965")</f>
        <v>1181935055691816965</v>
      </c>
      <c r="F673" s="8"/>
      <c r="G673" s="15"/>
      <c r="H673" s="8"/>
      <c r="I673" s="15">
        <v>0</v>
      </c>
      <c r="J673" s="15">
        <v>1</v>
      </c>
      <c r="K673" s="12" t="str">
        <f>HYPERLINK("http://twitter.com/download/android","Twitter for Android")</f>
        <v>Twitter for Android</v>
      </c>
      <c r="L673" s="16">
        <v>430</v>
      </c>
      <c r="M673" s="16">
        <v>1212</v>
      </c>
      <c r="N673" s="16">
        <v>1</v>
      </c>
      <c r="O673" s="17"/>
      <c r="P673" s="18">
        <v>40616.691631944443</v>
      </c>
      <c r="Q673" s="7" t="s">
        <v>5678</v>
      </c>
      <c r="R673" s="7" t="s">
        <v>5679</v>
      </c>
      <c r="S673" s="7"/>
      <c r="T673" s="8"/>
      <c r="U673" s="19" t="str">
        <f>HYPERLINK("https://pbs.twimg.com/profile_images/1157555251148402689/bTO6Lt_y.jpg","View")</f>
        <v>View</v>
      </c>
      <c r="V673" s="8"/>
      <c r="W673" s="8"/>
      <c r="X673" s="8"/>
      <c r="Y673" s="8"/>
      <c r="Z673" s="8"/>
    </row>
    <row r="674" spans="1:26" ht="12.75">
      <c r="A674" s="11">
        <v>43747.299189814818</v>
      </c>
      <c r="B674" s="12" t="str">
        <f>HYPERLINK("https://twitter.com/RahatsizzAdam","@RahatsizzAdam")</f>
        <v>@RahatsizzAdam</v>
      </c>
      <c r="C674" s="7" t="s">
        <v>5680</v>
      </c>
      <c r="D674" s="7" t="s">
        <v>5681</v>
      </c>
      <c r="E674" s="12" t="str">
        <f>HYPERLINK("https://twitter.com/RahatsizzAdam/status/1181935054253121536","1181935054253121536")</f>
        <v>1181935054253121536</v>
      </c>
      <c r="F674" s="8"/>
      <c r="G674" s="7"/>
      <c r="H674" s="8"/>
      <c r="I674" s="15">
        <v>0</v>
      </c>
      <c r="J674" s="15">
        <v>0</v>
      </c>
      <c r="K674" s="12" t="str">
        <f>HYPERLINK("https://mobile.twitter.com","Twitter Web App")</f>
        <v>Twitter Web App</v>
      </c>
      <c r="L674" s="16">
        <v>713</v>
      </c>
      <c r="M674" s="16">
        <v>312</v>
      </c>
      <c r="N674" s="16">
        <v>2</v>
      </c>
      <c r="O674" s="17"/>
      <c r="P674" s="18">
        <v>40839.63721064815</v>
      </c>
      <c r="Q674" s="7"/>
      <c r="R674" s="7" t="s">
        <v>5684</v>
      </c>
      <c r="S674" s="7"/>
      <c r="T674" s="8"/>
      <c r="U674" s="19" t="str">
        <f>HYPERLINK("https://pbs.twimg.com/profile_images/1005916467907448832/vFVbE9dH.jpg","View")</f>
        <v>View</v>
      </c>
      <c r="V674" s="8"/>
      <c r="W674" s="8"/>
      <c r="X674" s="8"/>
      <c r="Y674" s="8"/>
      <c r="Z674" s="8"/>
    </row>
    <row r="675" spans="1:26" ht="12.75">
      <c r="A675" s="11">
        <v>43747.299143518518</v>
      </c>
      <c r="B675" s="12" t="str">
        <f>HYPERLINK("https://twitter.com/MehmetS54555498","@MehmetS54555498")</f>
        <v>@MehmetS54555498</v>
      </c>
      <c r="C675" s="7" t="s">
        <v>5685</v>
      </c>
      <c r="D675" s="7" t="s">
        <v>5686</v>
      </c>
      <c r="E675" s="12" t="str">
        <f>HYPERLINK("https://twitter.com/MehmetS54555498/status/1181935037161332736","1181935037161332736")</f>
        <v>1181935037161332736</v>
      </c>
      <c r="F675" s="8"/>
      <c r="G675" s="14" t="s">
        <v>5687</v>
      </c>
      <c r="H675" s="8"/>
      <c r="I675" s="15">
        <v>0</v>
      </c>
      <c r="J675" s="15">
        <v>0</v>
      </c>
      <c r="K675" s="12" t="str">
        <f>HYPERLINK("http://twitter.com/download/android","Twitter for Android")</f>
        <v>Twitter for Android</v>
      </c>
      <c r="L675" s="16">
        <v>69</v>
      </c>
      <c r="M675" s="16">
        <v>929</v>
      </c>
      <c r="N675" s="16">
        <v>0</v>
      </c>
      <c r="O675" s="17"/>
      <c r="P675" s="18">
        <v>43644.044409722221</v>
      </c>
      <c r="Q675" s="7"/>
      <c r="R675" s="7" t="s">
        <v>5691</v>
      </c>
      <c r="S675" s="7"/>
      <c r="T675" s="8"/>
      <c r="U675" s="19" t="str">
        <f>HYPERLINK("https://pbs.twimg.com/profile_images/1144521429989429249/aHbvjss3.jpg","View")</f>
        <v>View</v>
      </c>
      <c r="V675" s="8"/>
      <c r="W675" s="8"/>
      <c r="X675" s="8"/>
      <c r="Y675" s="8"/>
      <c r="Z675" s="8"/>
    </row>
    <row r="676" spans="1:26" ht="12.75">
      <c r="A676" s="11">
        <v>43747.299143518518</v>
      </c>
      <c r="B676" s="12" t="str">
        <f>HYPERLINK("https://twitter.com/mustcubuk","@mustcubuk")</f>
        <v>@mustcubuk</v>
      </c>
      <c r="C676" s="7" t="s">
        <v>5692</v>
      </c>
      <c r="D676" s="7" t="s">
        <v>5693</v>
      </c>
      <c r="E676" s="12" t="str">
        <f>HYPERLINK("https://twitter.com/mustcubuk/status/1181935035684970496","1181935035684970496")</f>
        <v>1181935035684970496</v>
      </c>
      <c r="F676" s="8"/>
      <c r="G676" s="7"/>
      <c r="H676" s="8"/>
      <c r="I676" s="15">
        <v>0</v>
      </c>
      <c r="J676" s="15">
        <v>0</v>
      </c>
      <c r="K676" s="12" t="str">
        <f>HYPERLINK("http://twitter.com/download/iphone","Twitter for iPhone")</f>
        <v>Twitter for iPhone</v>
      </c>
      <c r="L676" s="16">
        <v>18</v>
      </c>
      <c r="M676" s="16">
        <v>74</v>
      </c>
      <c r="N676" s="16">
        <v>1</v>
      </c>
      <c r="O676" s="17"/>
      <c r="P676" s="18">
        <v>41169.50986111111</v>
      </c>
      <c r="Q676" s="7"/>
      <c r="R676" s="7"/>
      <c r="S676" s="15"/>
      <c r="T676" s="8"/>
      <c r="U676" s="19" t="str">
        <f>HYPERLINK("https://pbs.twimg.com/profile_images/1151384093680160769/ducYbZm_.jpg","View")</f>
        <v>View</v>
      </c>
      <c r="V676" s="8"/>
      <c r="W676" s="8"/>
      <c r="X676" s="8"/>
      <c r="Y676" s="8"/>
      <c r="Z676" s="8"/>
    </row>
    <row r="677" spans="1:26" ht="12.75">
      <c r="A677" s="11">
        <v>43747.299085648148</v>
      </c>
      <c r="B677" s="12" t="str">
        <f>HYPERLINK("https://twitter.com/hizayagec","@hizayagec")</f>
        <v>@hizayagec</v>
      </c>
      <c r="C677" s="7" t="s">
        <v>5695</v>
      </c>
      <c r="D677" s="7" t="s">
        <v>5696</v>
      </c>
      <c r="E677" s="12" t="str">
        <f>HYPERLINK("https://twitter.com/hizayagec/status/1181935016609292290","1181935016609292290")</f>
        <v>1181935016609292290</v>
      </c>
      <c r="F677" s="8"/>
      <c r="G677" s="7"/>
      <c r="H677" s="8"/>
      <c r="I677" s="15">
        <v>0</v>
      </c>
      <c r="J677" s="15">
        <v>1</v>
      </c>
      <c r="K677" s="12" t="str">
        <f>HYPERLINK("http://twitter.com/download/android","Twitter for Android")</f>
        <v>Twitter for Android</v>
      </c>
      <c r="L677" s="16">
        <v>222</v>
      </c>
      <c r="M677" s="16">
        <v>61</v>
      </c>
      <c r="N677" s="16">
        <v>0</v>
      </c>
      <c r="O677" s="17"/>
      <c r="P677" s="18">
        <v>43012.405312499999</v>
      </c>
      <c r="Q677" s="7"/>
      <c r="R677" s="7" t="s">
        <v>5697</v>
      </c>
      <c r="S677" s="14" t="s">
        <v>5698</v>
      </c>
      <c r="T677" s="8"/>
      <c r="U677" s="19" t="str">
        <f>HYPERLINK("https://pbs.twimg.com/profile_images/1159029365713383424/f9sz4Bo9.jpg","View")</f>
        <v>View</v>
      </c>
      <c r="V677" s="8"/>
      <c r="W677" s="8"/>
      <c r="X677" s="8"/>
      <c r="Y677" s="8"/>
      <c r="Z677" s="8"/>
    </row>
    <row r="678" spans="1:26" ht="12.75">
      <c r="A678" s="11">
        <v>43747.299085648148</v>
      </c>
      <c r="B678" s="12" t="str">
        <f>HYPERLINK("https://twitter.com/ule61327351","@ule61327351")</f>
        <v>@ule61327351</v>
      </c>
      <c r="C678" s="7" t="s">
        <v>5702</v>
      </c>
      <c r="D678" s="7" t="s">
        <v>5703</v>
      </c>
      <c r="E678" s="12" t="str">
        <f>HYPERLINK("https://twitter.com/ule61327351/status/1181935015204139009","1181935015204139009")</f>
        <v>1181935015204139009</v>
      </c>
      <c r="F678" s="8"/>
      <c r="G678" s="14" t="s">
        <v>5704</v>
      </c>
      <c r="H678" s="8"/>
      <c r="I678" s="15">
        <v>0</v>
      </c>
      <c r="J678" s="15">
        <v>4</v>
      </c>
      <c r="K678" s="12" t="str">
        <f>HYPERLINK("http://twitter.com/download/android","Twitter for Android")</f>
        <v>Twitter for Android</v>
      </c>
      <c r="L678" s="16">
        <v>609</v>
      </c>
      <c r="M678" s="16">
        <v>690</v>
      </c>
      <c r="N678" s="16">
        <v>0</v>
      </c>
      <c r="O678" s="17"/>
      <c r="P678" s="18">
        <v>43545.718877314815</v>
      </c>
      <c r="Q678" s="7" t="s">
        <v>5706</v>
      </c>
      <c r="R678" s="7" t="s">
        <v>5707</v>
      </c>
      <c r="S678" s="7"/>
      <c r="T678" s="8"/>
      <c r="U678" s="19" t="str">
        <f>HYPERLINK("https://pbs.twimg.com/profile_images/1174424893796040705/VeU5fIGp.jpg","View")</f>
        <v>View</v>
      </c>
      <c r="V678" s="8"/>
      <c r="W678" s="8"/>
      <c r="X678" s="8"/>
      <c r="Y678" s="8"/>
      <c r="Z678" s="8"/>
    </row>
    <row r="679" spans="1:26" ht="12.75">
      <c r="A679" s="11">
        <v>43747.299062499995</v>
      </c>
      <c r="B679" s="12" t="str">
        <f>HYPERLINK("https://twitter.com/TurkcellEsk","@TurkcellEsk")</f>
        <v>@TurkcellEsk</v>
      </c>
      <c r="C679" s="7" t="s">
        <v>5709</v>
      </c>
      <c r="D679" s="7" t="s">
        <v>5710</v>
      </c>
      <c r="E679" s="12" t="str">
        <f>HYPERLINK("https://twitter.com/TurkcellEsk/status/1181935005800505345","1181935005800505345")</f>
        <v>1181935005800505345</v>
      </c>
      <c r="F679" s="8"/>
      <c r="G679" s="14" t="s">
        <v>5711</v>
      </c>
      <c r="H679" s="8"/>
      <c r="I679" s="15">
        <v>0</v>
      </c>
      <c r="J679" s="15">
        <v>0</v>
      </c>
      <c r="K679" s="12" t="str">
        <f>HYPERLINK("http://twitter.com/download/android","Twitter for Android")</f>
        <v>Twitter for Android</v>
      </c>
      <c r="L679" s="16">
        <v>22</v>
      </c>
      <c r="M679" s="16">
        <v>21</v>
      </c>
      <c r="N679" s="16">
        <v>0</v>
      </c>
      <c r="O679" s="17"/>
      <c r="P679" s="18">
        <v>43140.175104166672</v>
      </c>
      <c r="Q679" s="7" t="s">
        <v>2277</v>
      </c>
      <c r="R679" s="7" t="s">
        <v>5714</v>
      </c>
      <c r="S679" s="7"/>
      <c r="T679" s="8"/>
      <c r="U679" s="19" t="str">
        <f>HYPERLINK("https://pbs.twimg.com/profile_images/963700949733773312/SK0rV0uE.jpg","View")</f>
        <v>View</v>
      </c>
      <c r="V679" s="8"/>
      <c r="W679" s="8"/>
      <c r="X679" s="8"/>
      <c r="Y679" s="8"/>
      <c r="Z679" s="8"/>
    </row>
    <row r="680" spans="1:26" ht="12.75">
      <c r="A680" s="11">
        <v>43747.299039351856</v>
      </c>
      <c r="B680" s="12" t="str">
        <f>HYPERLINK("https://twitter.com/AmrahJafarly","@AmrahJafarly")</f>
        <v>@AmrahJafarly</v>
      </c>
      <c r="C680" s="7" t="s">
        <v>5715</v>
      </c>
      <c r="D680" s="7" t="s">
        <v>5716</v>
      </c>
      <c r="E680" s="12" t="str">
        <f>HYPERLINK("https://twitter.com/AmrahJafarly/status/1181934997575483393","1181934997575483393")</f>
        <v>1181934997575483393</v>
      </c>
      <c r="F680" s="8"/>
      <c r="G680" s="7"/>
      <c r="H680" s="8"/>
      <c r="I680" s="15">
        <v>1</v>
      </c>
      <c r="J680" s="15">
        <v>3</v>
      </c>
      <c r="K680" s="12" t="str">
        <f>HYPERLINK("http://twitter.com/download/android","Twitter for Android")</f>
        <v>Twitter for Android</v>
      </c>
      <c r="L680" s="16">
        <v>91</v>
      </c>
      <c r="M680" s="16">
        <v>90</v>
      </c>
      <c r="N680" s="16">
        <v>1</v>
      </c>
      <c r="O680" s="17"/>
      <c r="P680" s="18">
        <v>42742.456828703704</v>
      </c>
      <c r="Q680" s="7" t="s">
        <v>5717</v>
      </c>
      <c r="R680" s="7" t="s">
        <v>5718</v>
      </c>
      <c r="S680" s="14" t="s">
        <v>5719</v>
      </c>
      <c r="T680" s="8"/>
      <c r="U680" s="19" t="str">
        <f>HYPERLINK("https://pbs.twimg.com/profile_images/1146026213745528832/QX3nrj6J.jpg","View")</f>
        <v>View</v>
      </c>
      <c r="V680" s="8"/>
      <c r="W680" s="8"/>
      <c r="X680" s="8"/>
      <c r="Y680" s="8"/>
      <c r="Z680" s="8"/>
    </row>
    <row r="681" spans="1:26" ht="12.75">
      <c r="A681" s="11">
        <v>43747.299039351856</v>
      </c>
      <c r="B681" s="12" t="str">
        <f>HYPERLINK("https://twitter.com/YilmazKarahanTV","@YilmazKarahanTV")</f>
        <v>@YilmazKarahanTV</v>
      </c>
      <c r="C681" s="7" t="s">
        <v>5723</v>
      </c>
      <c r="D681" s="7" t="s">
        <v>5724</v>
      </c>
      <c r="E681" s="12" t="str">
        <f>HYPERLINK("https://twitter.com/YilmazKarahanTV/status/1181934997311234049","1181934997311234049")</f>
        <v>1181934997311234049</v>
      </c>
      <c r="F681" s="14" t="s">
        <v>5725</v>
      </c>
      <c r="G681" s="14" t="s">
        <v>5727</v>
      </c>
      <c r="H681" s="8"/>
      <c r="I681" s="15">
        <v>1</v>
      </c>
      <c r="J681" s="15">
        <v>1</v>
      </c>
      <c r="K681" s="12" t="str">
        <f>HYPERLINK("http://twitter.com/download/android","Twitter for Android")</f>
        <v>Twitter for Android</v>
      </c>
      <c r="L681" s="16">
        <v>12002</v>
      </c>
      <c r="M681" s="16">
        <v>11987</v>
      </c>
      <c r="N681" s="16">
        <v>20</v>
      </c>
      <c r="O681" s="17"/>
      <c r="P681" s="18">
        <v>41918.635775462964</v>
      </c>
      <c r="Q681" s="7" t="s">
        <v>5729</v>
      </c>
      <c r="R681" s="7" t="s">
        <v>5730</v>
      </c>
      <c r="S681" s="14" t="s">
        <v>5731</v>
      </c>
      <c r="T681" s="8"/>
      <c r="U681" s="19" t="str">
        <f>HYPERLINK("https://pbs.twimg.com/profile_images/1181254195984375809/JXHh8HWE.jpg","View")</f>
        <v>View</v>
      </c>
      <c r="V681" s="8"/>
      <c r="W681" s="8"/>
      <c r="X681" s="8"/>
      <c r="Y681" s="8"/>
      <c r="Z681" s="8"/>
    </row>
    <row r="682" spans="1:26" ht="12.75">
      <c r="A682" s="11">
        <v>43747.299027777779</v>
      </c>
      <c r="B682" s="12" t="str">
        <f>HYPERLINK("https://twitter.com/Hasemutz","@Hasemutz")</f>
        <v>@Hasemutz</v>
      </c>
      <c r="C682" s="7" t="s">
        <v>5732</v>
      </c>
      <c r="D682" s="7" t="s">
        <v>5733</v>
      </c>
      <c r="E682" s="12" t="str">
        <f>HYPERLINK("https://twitter.com/Hasemutz/status/1181934995075719169","1181934995075719169")</f>
        <v>1181934995075719169</v>
      </c>
      <c r="F682" s="8"/>
      <c r="G682" s="15"/>
      <c r="H682" s="8"/>
      <c r="I682" s="15">
        <v>0</v>
      </c>
      <c r="J682" s="15">
        <v>0</v>
      </c>
      <c r="K682" s="12" t="str">
        <f>HYPERLINK("http://twitter.com/download/android","Twitter for Android")</f>
        <v>Twitter for Android</v>
      </c>
      <c r="L682" s="16">
        <v>69</v>
      </c>
      <c r="M682" s="16">
        <v>35</v>
      </c>
      <c r="N682" s="16">
        <v>7</v>
      </c>
      <c r="O682" s="17"/>
      <c r="P682" s="18">
        <v>42217.345497685186</v>
      </c>
      <c r="Q682" s="7"/>
      <c r="R682" s="7" t="s">
        <v>5734</v>
      </c>
      <c r="S682" s="7"/>
      <c r="T682" s="8"/>
      <c r="U682" s="19" t="str">
        <f>HYPERLINK("https://pbs.twimg.com/profile_images/731109277075709952/YwmMKNxj.jpg","View")</f>
        <v>View</v>
      </c>
      <c r="V682" s="8"/>
      <c r="W682" s="8"/>
      <c r="X682" s="8"/>
      <c r="Y682" s="8"/>
      <c r="Z682" s="8"/>
    </row>
    <row r="683" spans="1:26" ht="12.75">
      <c r="A683" s="11">
        <v>43747.299027777779</v>
      </c>
      <c r="B683" s="12" t="str">
        <f>HYPERLINK("https://twitter.com/mineee_ka","@mineee_ka")</f>
        <v>@mineee_ka</v>
      </c>
      <c r="C683" s="7" t="s">
        <v>5738</v>
      </c>
      <c r="D683" s="7" t="s">
        <v>5739</v>
      </c>
      <c r="E683" s="12" t="str">
        <f>HYPERLINK("https://twitter.com/mineee_ka/status/1181934994714963968","1181934994714963968")</f>
        <v>1181934994714963968</v>
      </c>
      <c r="F683" s="8"/>
      <c r="G683" s="14" t="s">
        <v>5740</v>
      </c>
      <c r="H683" s="8"/>
      <c r="I683" s="15">
        <v>0</v>
      </c>
      <c r="J683" s="15">
        <v>3</v>
      </c>
      <c r="K683" s="12" t="str">
        <f>HYPERLINK("http://twitter.com/download/iphone","Twitter for iPhone")</f>
        <v>Twitter for iPhone</v>
      </c>
      <c r="L683" s="16">
        <v>626</v>
      </c>
      <c r="M683" s="16">
        <v>557</v>
      </c>
      <c r="N683" s="16">
        <v>3</v>
      </c>
      <c r="O683" s="17"/>
      <c r="P683" s="18">
        <v>41352.65902777778</v>
      </c>
      <c r="Q683" s="7"/>
      <c r="R683" s="7" t="s">
        <v>5744</v>
      </c>
      <c r="S683" s="7"/>
      <c r="T683" s="8"/>
      <c r="U683" s="19" t="str">
        <f>HYPERLINK("https://pbs.twimg.com/profile_images/1180556336456765446/8VWpfa-G.jpg","View")</f>
        <v>View</v>
      </c>
      <c r="V683" s="8"/>
      <c r="W683" s="8"/>
      <c r="X683" s="8"/>
      <c r="Y683" s="8"/>
      <c r="Z683" s="8"/>
    </row>
    <row r="684" spans="1:26" ht="12.75">
      <c r="A684" s="11">
        <v>43747.299016203702</v>
      </c>
      <c r="B684" s="12" t="str">
        <f>HYPERLINK("https://twitter.com/timurhs","@timurhs")</f>
        <v>@timurhs</v>
      </c>
      <c r="C684" s="7" t="s">
        <v>5745</v>
      </c>
      <c r="D684" s="7" t="s">
        <v>5746</v>
      </c>
      <c r="E684" s="12" t="str">
        <f>HYPERLINK("https://twitter.com/timurhs/status/1181934989262368770","1181934989262368770")</f>
        <v>1181934989262368770</v>
      </c>
      <c r="F684" s="8"/>
      <c r="G684" s="14" t="s">
        <v>5750</v>
      </c>
      <c r="H684" s="8"/>
      <c r="I684" s="15">
        <v>2</v>
      </c>
      <c r="J684" s="15">
        <v>3</v>
      </c>
      <c r="K684" s="12" t="str">
        <f>HYPERLINK("https://mobile.twitter.com","Twitter Web App")</f>
        <v>Twitter Web App</v>
      </c>
      <c r="L684" s="16">
        <v>508</v>
      </c>
      <c r="M684" s="16">
        <v>48</v>
      </c>
      <c r="N684" s="16">
        <v>2</v>
      </c>
      <c r="O684" s="17"/>
      <c r="P684" s="18">
        <v>43733.409421296295</v>
      </c>
      <c r="Q684" s="7"/>
      <c r="R684" s="7" t="s">
        <v>5752</v>
      </c>
      <c r="S684" s="7"/>
      <c r="T684" s="8"/>
      <c r="U684" s="19" t="str">
        <f>HYPERLINK("https://pbs.twimg.com/profile_images/1177495046200782849/aIGJjiRN.jpg","View")</f>
        <v>View</v>
      </c>
      <c r="V684" s="8"/>
      <c r="W684" s="8"/>
      <c r="X684" s="8"/>
      <c r="Y684" s="8"/>
      <c r="Z684" s="8"/>
    </row>
    <row r="685" spans="1:26" ht="12.75">
      <c r="A685" s="11">
        <v>43747.298993055556</v>
      </c>
      <c r="B685" s="12" t="str">
        <f>HYPERLINK("https://twitter.com/Fenerbahceli_AA","@Fenerbahceli_AA")</f>
        <v>@Fenerbahceli_AA</v>
      </c>
      <c r="C685" s="7" t="s">
        <v>5753</v>
      </c>
      <c r="D685" s="7" t="s">
        <v>5754</v>
      </c>
      <c r="E685" s="12" t="str">
        <f>HYPERLINK("https://twitter.com/Fenerbahceli_AA/status/1181934981968519170","1181934981968519170")</f>
        <v>1181934981968519170</v>
      </c>
      <c r="F685" s="8"/>
      <c r="G685" s="14" t="s">
        <v>5755</v>
      </c>
      <c r="H685" s="8"/>
      <c r="I685" s="15">
        <v>0</v>
      </c>
      <c r="J685" s="15">
        <v>4</v>
      </c>
      <c r="K685" s="12" t="str">
        <f>HYPERLINK("http://twitter.com/download/iphone","Twitter for iPhone")</f>
        <v>Twitter for iPhone</v>
      </c>
      <c r="L685" s="16">
        <v>641</v>
      </c>
      <c r="M685" s="16">
        <v>408</v>
      </c>
      <c r="N685" s="16">
        <v>0</v>
      </c>
      <c r="O685" s="17"/>
      <c r="P685" s="18">
        <v>43359.263935185183</v>
      </c>
      <c r="Q685" s="7"/>
      <c r="R685" s="7" t="s">
        <v>5758</v>
      </c>
      <c r="S685" s="7"/>
      <c r="T685" s="8"/>
      <c r="U685" s="19" t="str">
        <f>HYPERLINK("https://pbs.twimg.com/profile_images/1177869540736282625/j8p5OOBP.jpg","View")</f>
        <v>View</v>
      </c>
      <c r="V685" s="8"/>
      <c r="W685" s="8"/>
      <c r="X685" s="8"/>
      <c r="Y685" s="8"/>
      <c r="Z685" s="8"/>
    </row>
    <row r="686" spans="1:26" ht="12.75">
      <c r="A686" s="11">
        <v>43747.298993055556</v>
      </c>
      <c r="B686" s="12" t="str">
        <f>HYPERLINK("https://twitter.com/kumtemir_ahmet","@kumtemir_ahmet")</f>
        <v>@kumtemir_ahmet</v>
      </c>
      <c r="C686" s="7" t="s">
        <v>5761</v>
      </c>
      <c r="D686" s="7" t="s">
        <v>5762</v>
      </c>
      <c r="E686" s="12" t="str">
        <f>HYPERLINK("https://twitter.com/kumtemir_ahmet/status/1181934981108654083","1181934981108654083")</f>
        <v>1181934981108654083</v>
      </c>
      <c r="F686" s="8"/>
      <c r="G686" s="14" t="s">
        <v>5764</v>
      </c>
      <c r="H686" s="8"/>
      <c r="I686" s="15">
        <v>1</v>
      </c>
      <c r="J686" s="15">
        <v>8</v>
      </c>
      <c r="K686" s="12" t="str">
        <f>HYPERLINK("http://twitter.com/download/android","Twitter for Android")</f>
        <v>Twitter for Android</v>
      </c>
      <c r="L686" s="16">
        <v>32758</v>
      </c>
      <c r="M686" s="16">
        <v>35100</v>
      </c>
      <c r="N686" s="16">
        <v>11</v>
      </c>
      <c r="O686" s="17"/>
      <c r="P686" s="18">
        <v>42954.164548611108</v>
      </c>
      <c r="Q686" s="7"/>
      <c r="R686" s="7" t="s">
        <v>5765</v>
      </c>
      <c r="S686" s="7"/>
      <c r="T686" s="8"/>
      <c r="U686" s="19" t="str">
        <f>HYPERLINK("https://pbs.twimg.com/profile_images/1181075502100037632/ZbIfHTKh.jpg","View")</f>
        <v>View</v>
      </c>
      <c r="V686" s="8"/>
      <c r="W686" s="8"/>
      <c r="X686" s="8"/>
      <c r="Y686" s="8"/>
      <c r="Z686" s="8"/>
    </row>
    <row r="687" spans="1:26" ht="12.75">
      <c r="A687" s="11">
        <v>43747.298958333333</v>
      </c>
      <c r="B687" s="12" t="str">
        <f>HYPERLINK("https://twitter.com/aysmanaf","@aysmanaf")</f>
        <v>@aysmanaf</v>
      </c>
      <c r="C687" s="7" t="s">
        <v>5769</v>
      </c>
      <c r="D687" s="7" t="s">
        <v>5770</v>
      </c>
      <c r="E687" s="12" t="str">
        <f>HYPERLINK("https://twitter.com/aysmanaf/status/1181934968714469383","1181934968714469383")</f>
        <v>1181934968714469383</v>
      </c>
      <c r="F687" s="8"/>
      <c r="G687" s="7"/>
      <c r="H687" s="8"/>
      <c r="I687" s="15">
        <v>0</v>
      </c>
      <c r="J687" s="15">
        <v>1</v>
      </c>
      <c r="K687" s="12" t="str">
        <f>HYPERLINK("http://twitter.com/download/iphone","Twitter for iPhone")</f>
        <v>Twitter for iPhone</v>
      </c>
      <c r="L687" s="16">
        <v>135</v>
      </c>
      <c r="M687" s="16">
        <v>121</v>
      </c>
      <c r="N687" s="16">
        <v>0</v>
      </c>
      <c r="O687" s="20"/>
      <c r="P687" s="18">
        <v>42713.273611111115</v>
      </c>
      <c r="Q687" s="7" t="s">
        <v>69</v>
      </c>
      <c r="R687" s="7" t="s">
        <v>5771</v>
      </c>
      <c r="S687" s="15"/>
      <c r="T687" s="8"/>
      <c r="U687" s="19" t="str">
        <f>HYPERLINK("https://pbs.twimg.com/profile_images/1158021647720488960/n3kvW830.jpg","View")</f>
        <v>View</v>
      </c>
      <c r="V687" s="8"/>
      <c r="W687" s="8"/>
      <c r="X687" s="8"/>
      <c r="Y687" s="8"/>
      <c r="Z687" s="8"/>
    </row>
    <row r="688" spans="1:26" ht="12.75">
      <c r="A688" s="11">
        <v>43747.298935185187</v>
      </c>
      <c r="B688" s="12" t="str">
        <f>HYPERLINK("https://twitter.com/Ramesoon","@Ramesoon")</f>
        <v>@Ramesoon</v>
      </c>
      <c r="C688" s="7" t="s">
        <v>5774</v>
      </c>
      <c r="D688" s="7" t="s">
        <v>5775</v>
      </c>
      <c r="E688" s="12" t="str">
        <f>HYPERLINK("https://twitter.com/Ramesoon/status/1181934959990333441","1181934959990333441")</f>
        <v>1181934959990333441</v>
      </c>
      <c r="F688" s="14" t="s">
        <v>5776</v>
      </c>
      <c r="G688" s="14" t="s">
        <v>5777</v>
      </c>
      <c r="H688" s="8"/>
      <c r="I688" s="15">
        <v>0</v>
      </c>
      <c r="J688" s="15">
        <v>2</v>
      </c>
      <c r="K688" s="12" t="str">
        <f>HYPERLINK("https://mobile.twitter.com","Twitter Web App")</f>
        <v>Twitter Web App</v>
      </c>
      <c r="L688" s="16">
        <v>445</v>
      </c>
      <c r="M688" s="16">
        <v>350</v>
      </c>
      <c r="N688" s="16">
        <v>1</v>
      </c>
      <c r="O688" s="17"/>
      <c r="P688" s="18">
        <v>41638.962083333332</v>
      </c>
      <c r="Q688" s="7" t="s">
        <v>5779</v>
      </c>
      <c r="R688" s="15" t="s">
        <v>5780</v>
      </c>
      <c r="S688" s="15"/>
      <c r="T688" s="8"/>
      <c r="U688" s="19" t="str">
        <f>HYPERLINK("https://pbs.twimg.com/profile_images/1070690844842303488/KUfX-kk9.jpg","View")</f>
        <v>View</v>
      </c>
      <c r="V688" s="8"/>
      <c r="W688" s="8"/>
      <c r="X688" s="8"/>
      <c r="Y688" s="8"/>
      <c r="Z688" s="8"/>
    </row>
    <row r="689" spans="1:26" ht="12.75">
      <c r="A689" s="11">
        <v>43747.29892361111</v>
      </c>
      <c r="B689" s="12" t="str">
        <f>HYPERLINK("https://twitter.com/raysosun","@raysosun")</f>
        <v>@raysosun</v>
      </c>
      <c r="C689" s="7" t="s">
        <v>5783</v>
      </c>
      <c r="D689" s="7" t="s">
        <v>5784</v>
      </c>
      <c r="E689" s="12" t="str">
        <f>HYPERLINK("https://twitter.com/raysosun/status/1181934954353172480","1181934954353172480")</f>
        <v>1181934954353172480</v>
      </c>
      <c r="F689" s="14" t="s">
        <v>5785</v>
      </c>
      <c r="G689" s="7"/>
      <c r="H689" s="8"/>
      <c r="I689" s="15">
        <v>0</v>
      </c>
      <c r="J689" s="15">
        <v>0</v>
      </c>
      <c r="K689" s="12" t="str">
        <f>HYPERLINK("https://mobile.twitter.com","Twitter Web App")</f>
        <v>Twitter Web App</v>
      </c>
      <c r="L689" s="16">
        <v>224</v>
      </c>
      <c r="M689" s="16">
        <v>684</v>
      </c>
      <c r="N689" s="16">
        <v>2</v>
      </c>
      <c r="O689" s="17"/>
      <c r="P689" s="18">
        <v>41376.49936342593</v>
      </c>
      <c r="Q689" s="7"/>
      <c r="R689" s="7" t="s">
        <v>5789</v>
      </c>
      <c r="S689" s="7"/>
      <c r="T689" s="8"/>
      <c r="U689" s="19" t="str">
        <f>HYPERLINK("https://pbs.twimg.com/profile_images/1154000714810712065/k307wtZk.jpg","View")</f>
        <v>View</v>
      </c>
      <c r="V689" s="8"/>
      <c r="W689" s="8"/>
      <c r="X689" s="8"/>
      <c r="Y689" s="8"/>
      <c r="Z689" s="8"/>
    </row>
    <row r="690" spans="1:26" ht="12.75">
      <c r="A690" s="11">
        <v>43747.298888888894</v>
      </c>
      <c r="B690" s="12" t="str">
        <f>HYPERLINK("https://twitter.com/hakankaya17","@hakankaya17")</f>
        <v>@hakankaya17</v>
      </c>
      <c r="C690" s="13" t="s">
        <v>5790</v>
      </c>
      <c r="D690" s="7" t="s">
        <v>5791</v>
      </c>
      <c r="E690" s="12" t="str">
        <f>HYPERLINK("https://twitter.com/hakankaya17/status/1181934942395211778","1181934942395211778")</f>
        <v>1181934942395211778</v>
      </c>
      <c r="F690" s="7"/>
      <c r="G690" s="15"/>
      <c r="H690" s="8"/>
      <c r="I690" s="15">
        <v>0</v>
      </c>
      <c r="J690" s="15">
        <v>0</v>
      </c>
      <c r="K690" s="12" t="str">
        <f>HYPERLINK("http://twitter.com/download/android","Twitter for Android")</f>
        <v>Twitter for Android</v>
      </c>
      <c r="L690" s="16">
        <v>28</v>
      </c>
      <c r="M690" s="16">
        <v>39</v>
      </c>
      <c r="N690" s="16">
        <v>0</v>
      </c>
      <c r="O690" s="17"/>
      <c r="P690" s="18">
        <v>40716.202870370369</v>
      </c>
      <c r="Q690" s="7" t="s">
        <v>1995</v>
      </c>
      <c r="R690" s="7"/>
      <c r="S690" s="7"/>
      <c r="T690" s="8"/>
      <c r="U690" s="19" t="str">
        <f>HYPERLINK("https://pbs.twimg.com/profile_images/1122048714376400896/Y-maWQOw.jpg","View")</f>
        <v>View</v>
      </c>
      <c r="V690" s="8"/>
      <c r="W690" s="8"/>
      <c r="X690" s="8"/>
      <c r="Y690" s="8"/>
      <c r="Z690" s="8"/>
    </row>
    <row r="691" spans="1:26" ht="12.75">
      <c r="A691" s="11">
        <v>43747.298819444448</v>
      </c>
      <c r="B691" s="12" t="str">
        <f>HYPERLINK("https://twitter.com/InancOzbek1514","@InancOzbek1514")</f>
        <v>@InancOzbek1514</v>
      </c>
      <c r="C691" s="7" t="s">
        <v>5793</v>
      </c>
      <c r="D691" s="7" t="s">
        <v>5794</v>
      </c>
      <c r="E691" s="12" t="str">
        <f>HYPERLINK("https://twitter.com/InancOzbek1514/status/1181934916839362560","1181934916839362560")</f>
        <v>1181934916839362560</v>
      </c>
      <c r="F691" s="8"/>
      <c r="G691" s="14" t="s">
        <v>5796</v>
      </c>
      <c r="H691" s="8"/>
      <c r="I691" s="15">
        <v>0</v>
      </c>
      <c r="J691" s="15">
        <v>1</v>
      </c>
      <c r="K691" s="12" t="str">
        <f>HYPERLINK("http://twitter.com/download/android","Twitter for Android")</f>
        <v>Twitter for Android</v>
      </c>
      <c r="L691" s="16">
        <v>77</v>
      </c>
      <c r="M691" s="16">
        <v>38</v>
      </c>
      <c r="N691" s="16">
        <v>0</v>
      </c>
      <c r="O691" s="17"/>
      <c r="P691" s="18">
        <v>43552.467939814815</v>
      </c>
      <c r="Q691" s="7" t="s">
        <v>3618</v>
      </c>
      <c r="R691" s="7" t="s">
        <v>3618</v>
      </c>
      <c r="S691" s="7"/>
      <c r="T691" s="8"/>
      <c r="U691" s="19" t="str">
        <f>HYPERLINK("https://pbs.twimg.com/profile_images/1173967715637309441/DPqHk9ov.jpg","View")</f>
        <v>View</v>
      </c>
      <c r="V691" s="8"/>
      <c r="W691" s="8"/>
      <c r="X691" s="8"/>
      <c r="Y691" s="8"/>
      <c r="Z691" s="8"/>
    </row>
    <row r="692" spans="1:26" ht="12.75">
      <c r="A692" s="11">
        <v>43747.298738425925</v>
      </c>
      <c r="B692" s="12" t="str">
        <f>HYPERLINK("https://twitter.com/WiselyWizard777","@WiselyWizard777")</f>
        <v>@WiselyWizard777</v>
      </c>
      <c r="C692" s="7" t="s">
        <v>5809</v>
      </c>
      <c r="D692" s="7" t="s">
        <v>5810</v>
      </c>
      <c r="E692" s="12" t="str">
        <f>HYPERLINK("https://twitter.com/WiselyWizard777/status/1181934887349211143","1181934887349211143")</f>
        <v>1181934887349211143</v>
      </c>
      <c r="F692" s="8"/>
      <c r="G692" s="15"/>
      <c r="H692" s="8"/>
      <c r="I692" s="15">
        <v>0</v>
      </c>
      <c r="J692" s="15">
        <v>0</v>
      </c>
      <c r="K692" s="12" t="str">
        <f>HYPERLINK("http://twitter.com/download/iphone","Twitter for iPhone")</f>
        <v>Twitter for iPhone</v>
      </c>
      <c r="L692" s="16">
        <v>1</v>
      </c>
      <c r="M692" s="16">
        <v>18</v>
      </c>
      <c r="N692" s="16">
        <v>0</v>
      </c>
      <c r="O692" s="17"/>
      <c r="P692" s="18">
        <v>43484.486145833333</v>
      </c>
      <c r="Q692" s="7" t="s">
        <v>668</v>
      </c>
      <c r="R692" s="7" t="s">
        <v>5811</v>
      </c>
      <c r="S692" s="14" t="s">
        <v>4588</v>
      </c>
      <c r="T692" s="8"/>
      <c r="U692" s="19" t="str">
        <f>HYPERLINK("https://pbs.twimg.com/profile_images/1181934230676393984/hE8wBjN8.jpg","View")</f>
        <v>View</v>
      </c>
      <c r="V692" s="8"/>
      <c r="W692" s="8"/>
      <c r="X692" s="8"/>
      <c r="Y692" s="8"/>
      <c r="Z692" s="8"/>
    </row>
    <row r="693" spans="1:26" ht="12.75">
      <c r="A693" s="11">
        <v>43747.298715277779</v>
      </c>
      <c r="B693" s="12" t="str">
        <f>HYPERLINK("https://twitter.com/peggyhill2020","@peggyhill2020")</f>
        <v>@peggyhill2020</v>
      </c>
      <c r="C693" s="7" t="s">
        <v>5815</v>
      </c>
      <c r="D693" s="7" t="s">
        <v>5816</v>
      </c>
      <c r="E693" s="12" t="str">
        <f>HYPERLINK("https://twitter.com/peggyhill2020/status/1181934879539421184","1181934879539421184")</f>
        <v>1181934879539421184</v>
      </c>
      <c r="F693" s="8"/>
      <c r="G693" s="7"/>
      <c r="H693" s="8"/>
      <c r="I693" s="15">
        <v>0</v>
      </c>
      <c r="J693" s="15">
        <v>0</v>
      </c>
      <c r="K693" s="12" t="str">
        <f>HYPERLINK("http://twitter.com/download/android","Twitter for Android")</f>
        <v>Twitter for Android</v>
      </c>
      <c r="L693" s="16">
        <v>880</v>
      </c>
      <c r="M693" s="16">
        <v>3466</v>
      </c>
      <c r="N693" s="16">
        <v>77</v>
      </c>
      <c r="O693" s="17"/>
      <c r="P693" s="18">
        <v>41204.62128472222</v>
      </c>
      <c r="Q693" s="7" t="s">
        <v>5817</v>
      </c>
      <c r="R693" s="7" t="s">
        <v>5819</v>
      </c>
      <c r="S693" s="7"/>
      <c r="T693" s="8"/>
      <c r="U693" s="19" t="str">
        <f>HYPERLINK("https://pbs.twimg.com/profile_images/1087002922389553156/_8PldfcN.jpg","View")</f>
        <v>View</v>
      </c>
      <c r="V693" s="8"/>
      <c r="W693" s="8"/>
      <c r="X693" s="8"/>
      <c r="Y693" s="8"/>
      <c r="Z693" s="8"/>
    </row>
    <row r="694" spans="1:26" ht="12.75">
      <c r="A694" s="11">
        <v>43747.298715277779</v>
      </c>
      <c r="B694" s="12" t="str">
        <f>HYPERLINK("https://twitter.com/aaronhowland","@aaronhowland")</f>
        <v>@aaronhowland</v>
      </c>
      <c r="C694" s="7" t="s">
        <v>5822</v>
      </c>
      <c r="D694" s="7" t="s">
        <v>5823</v>
      </c>
      <c r="E694" s="12" t="str">
        <f>HYPERLINK("https://twitter.com/aaronhowland/status/1181934879350677504","1181934879350677504")</f>
        <v>1181934879350677504</v>
      </c>
      <c r="F694" s="14" t="s">
        <v>5824</v>
      </c>
      <c r="G694" s="15"/>
      <c r="H694" s="8"/>
      <c r="I694" s="15">
        <v>0</v>
      </c>
      <c r="J694" s="15">
        <v>0</v>
      </c>
      <c r="K694" s="12" t="str">
        <f>HYPERLINK("http://twitter.com/download/android","Twitter for Android")</f>
        <v>Twitter for Android</v>
      </c>
      <c r="L694" s="16">
        <v>431</v>
      </c>
      <c r="M694" s="16">
        <v>427</v>
      </c>
      <c r="N694" s="16">
        <v>51</v>
      </c>
      <c r="O694" s="17"/>
      <c r="P694" s="18">
        <v>39922.416585648149</v>
      </c>
      <c r="Q694" s="7" t="s">
        <v>5826</v>
      </c>
      <c r="R694" s="7" t="s">
        <v>5827</v>
      </c>
      <c r="S694" s="14" t="s">
        <v>5828</v>
      </c>
      <c r="T694" s="8"/>
      <c r="U694" s="19" t="str">
        <f>HYPERLINK("https://pbs.twimg.com/profile_images/1065384674443255813/H10-jDWe.jpg","View")</f>
        <v>View</v>
      </c>
      <c r="V694" s="8"/>
      <c r="W694" s="8"/>
      <c r="X694" s="8"/>
      <c r="Y694" s="8"/>
      <c r="Z694" s="8"/>
    </row>
    <row r="695" spans="1:26" ht="12.75">
      <c r="A695" s="11">
        <v>43747.298668981486</v>
      </c>
      <c r="B695" s="12" t="str">
        <f>HYPERLINK("https://twitter.com/kaankont1","@kaankont1")</f>
        <v>@kaankont1</v>
      </c>
      <c r="C695" s="7" t="s">
        <v>5831</v>
      </c>
      <c r="D695" s="7" t="s">
        <v>5832</v>
      </c>
      <c r="E695" s="12" t="str">
        <f>HYPERLINK("https://twitter.com/kaankont1/status/1181934862611210243","1181934862611210243")</f>
        <v>1181934862611210243</v>
      </c>
      <c r="F695" s="8"/>
      <c r="G695" s="7"/>
      <c r="H695" s="8"/>
      <c r="I695" s="15">
        <v>0</v>
      </c>
      <c r="J695" s="15">
        <v>11</v>
      </c>
      <c r="K695" s="12" t="str">
        <f>HYPERLINK("http://twitter.com/download/iphone","Twitter for iPhone")</f>
        <v>Twitter for iPhone</v>
      </c>
      <c r="L695" s="16">
        <v>1914</v>
      </c>
      <c r="M695" s="16">
        <v>1977</v>
      </c>
      <c r="N695" s="16">
        <v>2</v>
      </c>
      <c r="O695" s="17"/>
      <c r="P695" s="18">
        <v>43654.528645833328</v>
      </c>
      <c r="Q695" s="7" t="s">
        <v>252</v>
      </c>
      <c r="R695" s="7" t="s">
        <v>5835</v>
      </c>
      <c r="S695" s="15"/>
      <c r="T695" s="8"/>
      <c r="U695" s="19" t="str">
        <f>HYPERLINK("https://pbs.twimg.com/profile_images/1180799503399575552/QJGcCyrV.jpg","View")</f>
        <v>View</v>
      </c>
      <c r="V695" s="8"/>
      <c r="W695" s="8"/>
      <c r="X695" s="8"/>
      <c r="Y695" s="8"/>
      <c r="Z695" s="8"/>
    </row>
    <row r="696" spans="1:26" ht="12.75">
      <c r="A696" s="11">
        <v>43747.298645833333</v>
      </c>
      <c r="B696" s="12" t="str">
        <f>HYPERLINK("https://twitter.com/fatihtakipte","@fatihtakipte")</f>
        <v>@fatihtakipte</v>
      </c>
      <c r="C696" s="7" t="s">
        <v>5836</v>
      </c>
      <c r="D696" s="7" t="s">
        <v>5837</v>
      </c>
      <c r="E696" s="12" t="str">
        <f>HYPERLINK("https://twitter.com/fatihtakipte/status/1181934857590640640","1181934857590640640")</f>
        <v>1181934857590640640</v>
      </c>
      <c r="F696" s="8"/>
      <c r="G696" s="15"/>
      <c r="H696" s="8"/>
      <c r="I696" s="15">
        <v>0</v>
      </c>
      <c r="J696" s="15">
        <v>0</v>
      </c>
      <c r="K696" s="12" t="str">
        <f>HYPERLINK("http://twitter.com/download/iphone","Twitter for iPhone")</f>
        <v>Twitter for iPhone</v>
      </c>
      <c r="L696" s="16">
        <v>856</v>
      </c>
      <c r="M696" s="16">
        <v>1573</v>
      </c>
      <c r="N696" s="16">
        <v>2</v>
      </c>
      <c r="O696" s="17"/>
      <c r="P696" s="18">
        <v>40226.55064814815</v>
      </c>
      <c r="Q696" s="7" t="s">
        <v>2036</v>
      </c>
      <c r="R696" s="7"/>
      <c r="S696" s="14" t="s">
        <v>5841</v>
      </c>
      <c r="T696" s="8"/>
      <c r="U696" s="19" t="str">
        <f>HYPERLINK("https://pbs.twimg.com/profile_images/1173010504262017025/_XFt3vu0.jpg","View")</f>
        <v>View</v>
      </c>
      <c r="V696" s="8"/>
      <c r="W696" s="8"/>
      <c r="X696" s="8"/>
      <c r="Y696" s="8"/>
      <c r="Z696" s="8"/>
    </row>
    <row r="697" spans="1:26" ht="12.75">
      <c r="A697" s="11">
        <v>43747.298634259263</v>
      </c>
      <c r="B697" s="12" t="str">
        <f>HYPERLINK("https://twitter.com/ichbienalper","@ichbienalper")</f>
        <v>@ichbienalper</v>
      </c>
      <c r="C697" s="7" t="s">
        <v>5842</v>
      </c>
      <c r="D697" s="7" t="s">
        <v>5843</v>
      </c>
      <c r="E697" s="12" t="str">
        <f>HYPERLINK("https://twitter.com/ichbienalper/status/1181934851102052354","1181934851102052354")</f>
        <v>1181934851102052354</v>
      </c>
      <c r="F697" s="14" t="s">
        <v>5845</v>
      </c>
      <c r="G697" s="14" t="s">
        <v>5847</v>
      </c>
      <c r="H697" s="8"/>
      <c r="I697" s="15">
        <v>0</v>
      </c>
      <c r="J697" s="15">
        <v>1</v>
      </c>
      <c r="K697" s="12" t="str">
        <f>HYPERLINK("http://twitter.com/download/android","Twitter for Android")</f>
        <v>Twitter for Android</v>
      </c>
      <c r="L697" s="16">
        <v>379</v>
      </c>
      <c r="M697" s="16">
        <v>197</v>
      </c>
      <c r="N697" s="16">
        <v>0</v>
      </c>
      <c r="O697" s="17"/>
      <c r="P697" s="18">
        <v>42236.11986111111</v>
      </c>
      <c r="Q697" s="7"/>
      <c r="R697" s="7"/>
      <c r="S697" s="7"/>
      <c r="T697" s="8"/>
      <c r="U697" s="19" t="str">
        <f>HYPERLINK("https://pbs.twimg.com/profile_images/1028222598239408128/_Vz49ksl.jpg","View")</f>
        <v>View</v>
      </c>
      <c r="V697" s="8"/>
      <c r="W697" s="8"/>
      <c r="X697" s="8"/>
      <c r="Y697" s="8"/>
      <c r="Z697" s="8"/>
    </row>
    <row r="698" spans="1:26" ht="12.75">
      <c r="A698" s="11">
        <v>43747.298587962963</v>
      </c>
      <c r="B698" s="12" t="str">
        <f>HYPERLINK("https://twitter.com/muratgozudok1","@muratgozudok1")</f>
        <v>@muratgozudok1</v>
      </c>
      <c r="C698" s="7" t="s">
        <v>5856</v>
      </c>
      <c r="D698" s="7" t="s">
        <v>5857</v>
      </c>
      <c r="E698" s="12" t="str">
        <f>HYPERLINK("https://twitter.com/muratgozudok1/status/1181934835503435784","1181934835503435784")</f>
        <v>1181934835503435784</v>
      </c>
      <c r="F698" s="8"/>
      <c r="G698" s="14" t="s">
        <v>5858</v>
      </c>
      <c r="H698" s="8"/>
      <c r="I698" s="15">
        <v>0</v>
      </c>
      <c r="J698" s="15">
        <v>2</v>
      </c>
      <c r="K698" s="12" t="str">
        <f>HYPERLINK("http://twitter.com/download/android","Twitter for Android")</f>
        <v>Twitter for Android</v>
      </c>
      <c r="L698" s="16">
        <v>803</v>
      </c>
      <c r="M698" s="16">
        <v>637</v>
      </c>
      <c r="N698" s="16">
        <v>0</v>
      </c>
      <c r="O698" s="17"/>
      <c r="P698" s="18">
        <v>41351.291261574072</v>
      </c>
      <c r="Q698" s="7" t="s">
        <v>576</v>
      </c>
      <c r="R698" s="7" t="s">
        <v>5861</v>
      </c>
      <c r="S698" s="7"/>
      <c r="T698" s="8"/>
      <c r="U698" s="19" t="str">
        <f>HYPERLINK("https://pbs.twimg.com/profile_images/1170466504170770433/qkPcwJAu.jpg","View")</f>
        <v>View</v>
      </c>
      <c r="V698" s="8"/>
      <c r="W698" s="8"/>
      <c r="X698" s="8"/>
      <c r="Y698" s="8"/>
      <c r="Z698" s="8"/>
    </row>
    <row r="699" spans="1:26" ht="12.75">
      <c r="A699" s="11">
        <v>43747.298587962963</v>
      </c>
      <c r="B699" s="12" t="str">
        <f>HYPERLINK("https://twitter.com/Enes_inci1","@Enes_inci1")</f>
        <v>@Enes_inci1</v>
      </c>
      <c r="C699" s="7" t="s">
        <v>5863</v>
      </c>
      <c r="D699" s="7" t="s">
        <v>5864</v>
      </c>
      <c r="E699" s="12" t="str">
        <f>HYPERLINK("https://twitter.com/Enes_inci1/status/1181934833192312832","1181934833192312832")</f>
        <v>1181934833192312832</v>
      </c>
      <c r="F699" s="14" t="s">
        <v>5865</v>
      </c>
      <c r="G699" s="15"/>
      <c r="H699" s="8"/>
      <c r="I699" s="15">
        <v>0</v>
      </c>
      <c r="J699" s="15">
        <v>1</v>
      </c>
      <c r="K699" s="12" t="str">
        <f>HYPERLINK("http://twitter.com/download/iphone","Twitter for iPhone")</f>
        <v>Twitter for iPhone</v>
      </c>
      <c r="L699" s="16">
        <v>3903</v>
      </c>
      <c r="M699" s="16">
        <v>748</v>
      </c>
      <c r="N699" s="16">
        <v>5</v>
      </c>
      <c r="O699" s="17"/>
      <c r="P699" s="18">
        <v>41990.465763888889</v>
      </c>
      <c r="Q699" s="7" t="s">
        <v>313</v>
      </c>
      <c r="R699" s="7" t="s">
        <v>5868</v>
      </c>
      <c r="S699" s="14" t="s">
        <v>5869</v>
      </c>
      <c r="T699" s="8"/>
      <c r="U699" s="19" t="str">
        <f>HYPERLINK("https://pbs.twimg.com/profile_images/1137867723256606720/y8UoMNQl.jpg","View")</f>
        <v>View</v>
      </c>
      <c r="V699" s="8"/>
      <c r="W699" s="8"/>
      <c r="X699" s="8"/>
      <c r="Y699" s="8"/>
      <c r="Z699" s="8"/>
    </row>
    <row r="700" spans="1:26" ht="12.75">
      <c r="A700" s="11">
        <v>43747.298576388886</v>
      </c>
      <c r="B700" s="12" t="str">
        <f>HYPERLINK("https://twitter.com/misvakcaps","@misvakcaps")</f>
        <v>@misvakcaps</v>
      </c>
      <c r="C700" s="7" t="s">
        <v>5870</v>
      </c>
      <c r="D700" s="7" t="s">
        <v>1744</v>
      </c>
      <c r="E700" s="12" t="str">
        <f>HYPERLINK("https://twitter.com/misvakcaps/status/1181934832408039431","1181934832408039431")</f>
        <v>1181934832408039431</v>
      </c>
      <c r="F700" s="8"/>
      <c r="G700" s="14" t="s">
        <v>5873</v>
      </c>
      <c r="H700" s="8"/>
      <c r="I700" s="15">
        <v>22</v>
      </c>
      <c r="J700" s="15">
        <v>137</v>
      </c>
      <c r="K700" s="12" t="str">
        <f>HYPERLINK("http://twitter.com/download/android","Twitter for Android")</f>
        <v>Twitter for Android</v>
      </c>
      <c r="L700" s="16">
        <v>28309</v>
      </c>
      <c r="M700" s="16">
        <v>6</v>
      </c>
      <c r="N700" s="16">
        <v>37</v>
      </c>
      <c r="O700" s="17"/>
      <c r="P700" s="18">
        <v>42589.463217592594</v>
      </c>
      <c r="Q700" s="7" t="s">
        <v>200</v>
      </c>
      <c r="R700" s="7"/>
      <c r="S700" s="14" t="s">
        <v>5875</v>
      </c>
      <c r="T700" s="8"/>
      <c r="U700" s="19" t="str">
        <f>HYPERLINK("https://pbs.twimg.com/profile_images/762350421352574976/8iEP4L_V.jpg","View")</f>
        <v>View</v>
      </c>
      <c r="V700" s="8"/>
      <c r="W700" s="8"/>
      <c r="X700" s="8"/>
      <c r="Y700" s="8"/>
      <c r="Z700" s="8"/>
    </row>
    <row r="701" spans="1:26" ht="12.75">
      <c r="A701" s="11">
        <v>43747.29855324074</v>
      </c>
      <c r="B701" s="12" t="str">
        <f>HYPERLINK("https://twitter.com/NecoTm","@NecoTm")</f>
        <v>@NecoTm</v>
      </c>
      <c r="C701" s="7" t="s">
        <v>5878</v>
      </c>
      <c r="D701" s="7" t="s">
        <v>5879</v>
      </c>
      <c r="E701" s="12" t="str">
        <f>HYPERLINK("https://twitter.com/NecoTm/status/1181934821616099328","1181934821616099328")</f>
        <v>1181934821616099328</v>
      </c>
      <c r="F701" s="7"/>
      <c r="G701" s="14" t="s">
        <v>5880</v>
      </c>
      <c r="H701" s="8"/>
      <c r="I701" s="15">
        <v>1</v>
      </c>
      <c r="J701" s="15">
        <v>9</v>
      </c>
      <c r="K701" s="12" t="str">
        <f>HYPERLINK("http://twitter.com/download/iphone","Twitter for iPhone")</f>
        <v>Twitter for iPhone</v>
      </c>
      <c r="L701" s="16">
        <v>7496</v>
      </c>
      <c r="M701" s="16">
        <v>5351</v>
      </c>
      <c r="N701" s="16">
        <v>0</v>
      </c>
      <c r="O701" s="17"/>
      <c r="P701" s="18">
        <v>41064.581701388888</v>
      </c>
      <c r="Q701" s="7" t="s">
        <v>200</v>
      </c>
      <c r="R701" s="7" t="s">
        <v>5884</v>
      </c>
      <c r="S701" s="15"/>
      <c r="T701" s="8"/>
      <c r="U701" s="19" t="str">
        <f>HYPERLINK("https://pbs.twimg.com/profile_images/1181474509028827137/1-MlwMP9.jpg","View")</f>
        <v>View</v>
      </c>
      <c r="V701" s="8"/>
      <c r="W701" s="8"/>
      <c r="X701" s="8"/>
      <c r="Y701" s="8"/>
      <c r="Z701" s="8"/>
    </row>
    <row r="702" spans="1:26" ht="12.75">
      <c r="A702" s="11">
        <v>43747.298483796301</v>
      </c>
      <c r="B702" s="12" t="str">
        <f>HYPERLINK("https://twitter.com/tariksincanlii","@tariksincanlii")</f>
        <v>@tariksincanlii</v>
      </c>
      <c r="C702" s="7" t="s">
        <v>5885</v>
      </c>
      <c r="D702" s="7" t="s">
        <v>1077</v>
      </c>
      <c r="E702" s="12" t="str">
        <f>HYPERLINK("https://twitter.com/tariksincanlii/status/1181934796647337985","1181934796647337985")</f>
        <v>1181934796647337985</v>
      </c>
      <c r="F702" s="8"/>
      <c r="G702" s="14" t="s">
        <v>5888</v>
      </c>
      <c r="H702" s="8"/>
      <c r="I702" s="15">
        <v>0</v>
      </c>
      <c r="J702" s="15">
        <v>0</v>
      </c>
      <c r="K702" s="12" t="str">
        <f>HYPERLINK("http://twitter.com/download/iphone","Twitter for iPhone")</f>
        <v>Twitter for iPhone</v>
      </c>
      <c r="L702" s="16">
        <v>3</v>
      </c>
      <c r="M702" s="16">
        <v>28</v>
      </c>
      <c r="N702" s="16">
        <v>0</v>
      </c>
      <c r="O702" s="17"/>
      <c r="P702" s="18">
        <v>43540.537523148145</v>
      </c>
      <c r="Q702" s="7"/>
      <c r="R702" s="7"/>
      <c r="S702" s="15"/>
      <c r="T702" s="8"/>
      <c r="U702" s="19" t="str">
        <f>HYPERLINK("https://pbs.twimg.com/profile_images/1135690142491037699/eoaQ8QLx.jpg","View")</f>
        <v>View</v>
      </c>
      <c r="V702" s="8"/>
      <c r="W702" s="8"/>
      <c r="X702" s="8"/>
      <c r="Y702" s="8"/>
      <c r="Z702" s="8"/>
    </row>
    <row r="703" spans="1:26" ht="12.75">
      <c r="A703" s="11">
        <v>43747.298460648148</v>
      </c>
      <c r="B703" s="12" t="str">
        <f>HYPERLINK("https://twitter.com/tayfkaya","@tayfkaya")</f>
        <v>@tayfkaya</v>
      </c>
      <c r="C703" s="7" t="s">
        <v>5892</v>
      </c>
      <c r="D703" s="7" t="s">
        <v>5893</v>
      </c>
      <c r="E703" s="12" t="str">
        <f>HYPERLINK("https://twitter.com/tayfkaya/status/1181934788741156865","1181934788741156865")</f>
        <v>1181934788741156865</v>
      </c>
      <c r="F703" s="14" t="s">
        <v>5894</v>
      </c>
      <c r="G703" s="7"/>
      <c r="H703" s="8"/>
      <c r="I703" s="15">
        <v>0</v>
      </c>
      <c r="J703" s="15">
        <v>1</v>
      </c>
      <c r="K703" s="12" t="str">
        <f>HYPERLINK("http://twitter.com/download/android","Twitter for Android")</f>
        <v>Twitter for Android</v>
      </c>
      <c r="L703" s="16">
        <v>17</v>
      </c>
      <c r="M703" s="16">
        <v>107</v>
      </c>
      <c r="N703" s="16">
        <v>0</v>
      </c>
      <c r="O703" s="17"/>
      <c r="P703" s="18">
        <v>43683.21497685185</v>
      </c>
      <c r="Q703" s="7" t="s">
        <v>313</v>
      </c>
      <c r="R703" s="7" t="s">
        <v>807</v>
      </c>
      <c r="S703" s="7"/>
      <c r="T703" s="8"/>
      <c r="U703" s="19" t="str">
        <f>HYPERLINK("https://pbs.twimg.com/profile_images/1158711813292339200/9ZNRRmhA.jpg","View")</f>
        <v>View</v>
      </c>
      <c r="V703" s="8"/>
      <c r="W703" s="8"/>
      <c r="X703" s="8"/>
      <c r="Y703" s="8"/>
      <c r="Z703" s="8"/>
    </row>
    <row r="704" spans="1:26" ht="12.75">
      <c r="A704" s="11">
        <v>43747.298391203702</v>
      </c>
      <c r="B704" s="12" t="str">
        <f>HYPERLINK("https://twitter.com/mehhmet_aksoy","@mehhmet_aksoy")</f>
        <v>@mehhmet_aksoy</v>
      </c>
      <c r="C704" s="7" t="s">
        <v>5898</v>
      </c>
      <c r="D704" s="7" t="s">
        <v>5899</v>
      </c>
      <c r="E704" s="12" t="str">
        <f>HYPERLINK("https://twitter.com/mehhmet_aksoy/status/1181934763118071808","1181934763118071808")</f>
        <v>1181934763118071808</v>
      </c>
      <c r="F704" s="8"/>
      <c r="G704" s="7"/>
      <c r="H704" s="8"/>
      <c r="I704" s="15">
        <v>0</v>
      </c>
      <c r="J704" s="15">
        <v>0</v>
      </c>
      <c r="K704" s="12" t="str">
        <f>HYPERLINK("http://twitter.com/download/iphone","Twitter for iPhone")</f>
        <v>Twitter for iPhone</v>
      </c>
      <c r="L704" s="16">
        <v>169</v>
      </c>
      <c r="M704" s="16">
        <v>996</v>
      </c>
      <c r="N704" s="16">
        <v>0</v>
      </c>
      <c r="O704" s="17"/>
      <c r="P704" s="18">
        <v>41013.287858796299</v>
      </c>
      <c r="Q704" s="7" t="s">
        <v>5900</v>
      </c>
      <c r="R704" s="7" t="s">
        <v>5901</v>
      </c>
      <c r="S704" s="7"/>
      <c r="T704" s="8"/>
      <c r="U704" s="19" t="str">
        <f>HYPERLINK("https://pbs.twimg.com/profile_images/502775964711923712/AfyTO7bJ.jpeg","View")</f>
        <v>View</v>
      </c>
      <c r="V704" s="8"/>
      <c r="W704" s="8"/>
      <c r="X704" s="8"/>
      <c r="Y704" s="8"/>
      <c r="Z704" s="8"/>
    </row>
    <row r="705" spans="1:26" ht="12.75">
      <c r="A705" s="11">
        <v>43747.298356481479</v>
      </c>
      <c r="B705" s="12" t="str">
        <f>HYPERLINK("https://twitter.com/kavemrah","@kavemrah")</f>
        <v>@kavemrah</v>
      </c>
      <c r="C705" s="7" t="s">
        <v>5902</v>
      </c>
      <c r="D705" s="7" t="s">
        <v>5903</v>
      </c>
      <c r="E705" s="12" t="str">
        <f>HYPERLINK("https://twitter.com/kavemrah/status/1181934748677132288","1181934748677132288")</f>
        <v>1181934748677132288</v>
      </c>
      <c r="F705" s="8"/>
      <c r="G705" s="14" t="s">
        <v>5904</v>
      </c>
      <c r="H705" s="8"/>
      <c r="I705" s="15">
        <v>0</v>
      </c>
      <c r="J705" s="15">
        <v>2</v>
      </c>
      <c r="K705" s="12" t="str">
        <f>HYPERLINK("http://twitter.com/download/android","Twitter for Android")</f>
        <v>Twitter for Android</v>
      </c>
      <c r="L705" s="16">
        <v>73</v>
      </c>
      <c r="M705" s="16">
        <v>120</v>
      </c>
      <c r="N705" s="16">
        <v>0</v>
      </c>
      <c r="O705" s="17"/>
      <c r="P705" s="18">
        <v>40314.164085648146</v>
      </c>
      <c r="Q705" s="7" t="s">
        <v>5906</v>
      </c>
      <c r="R705" s="7" t="s">
        <v>5907</v>
      </c>
      <c r="S705" s="7"/>
      <c r="T705" s="8"/>
      <c r="U705" s="19" t="str">
        <f>HYPERLINK("https://pbs.twimg.com/profile_images/1171169165568335872/uPTcsirZ.jpg","View")</f>
        <v>View</v>
      </c>
      <c r="V705" s="8"/>
      <c r="W705" s="8"/>
      <c r="X705" s="8"/>
      <c r="Y705" s="8"/>
      <c r="Z705" s="8"/>
    </row>
    <row r="706" spans="1:26" ht="12.75">
      <c r="A706" s="11">
        <v>43747.298356481479</v>
      </c>
      <c r="B706" s="12" t="str">
        <f>HYPERLINK("https://twitter.com/Btuhnnyvz","@Btuhnnyvz")</f>
        <v>@Btuhnnyvz</v>
      </c>
      <c r="C706" s="7" t="s">
        <v>5909</v>
      </c>
      <c r="D706" s="7" t="s">
        <v>5910</v>
      </c>
      <c r="E706" s="12" t="str">
        <f>HYPERLINK("https://twitter.com/Btuhnnyvz/status/1181934748597460998","1181934748597460998")</f>
        <v>1181934748597460998</v>
      </c>
      <c r="F706" s="15"/>
      <c r="G706" s="14" t="s">
        <v>5911</v>
      </c>
      <c r="H706" s="8"/>
      <c r="I706" s="15">
        <v>0</v>
      </c>
      <c r="J706" s="15">
        <v>5</v>
      </c>
      <c r="K706" s="12" t="str">
        <f>HYPERLINK("http://twitter.com/download/android","Twitter for Android")</f>
        <v>Twitter for Android</v>
      </c>
      <c r="L706" s="16">
        <v>243</v>
      </c>
      <c r="M706" s="16">
        <v>568</v>
      </c>
      <c r="N706" s="16">
        <v>0</v>
      </c>
      <c r="O706" s="17"/>
      <c r="P706" s="18">
        <v>42227.270775462966</v>
      </c>
      <c r="Q706" s="7"/>
      <c r="R706" s="7" t="s">
        <v>5915</v>
      </c>
      <c r="S706" s="15"/>
      <c r="T706" s="8"/>
      <c r="U706" s="19" t="str">
        <f>HYPERLINK("https://pbs.twimg.com/profile_images/990503417805144065/9dA0io4j.jpg","View")</f>
        <v>View</v>
      </c>
      <c r="V706" s="8"/>
      <c r="W706" s="8"/>
      <c r="X706" s="8"/>
      <c r="Y706" s="8"/>
      <c r="Z706" s="8"/>
    </row>
    <row r="707" spans="1:26" ht="12.75">
      <c r="A707" s="11">
        <v>43747.298275462963</v>
      </c>
      <c r="B707" s="12" t="str">
        <f>HYPERLINK("https://twitter.com/yurtajans","@yurtajans")</f>
        <v>@yurtajans</v>
      </c>
      <c r="C707" s="7" t="s">
        <v>5926</v>
      </c>
      <c r="D707" s="7" t="s">
        <v>5927</v>
      </c>
      <c r="E707" s="12" t="str">
        <f>HYPERLINK("https://twitter.com/yurtajans/status/1181934722450108416","1181934722450108416")</f>
        <v>1181934722450108416</v>
      </c>
      <c r="F707" s="14" t="s">
        <v>5928</v>
      </c>
      <c r="G707" s="14" t="s">
        <v>5929</v>
      </c>
      <c r="H707" s="8"/>
      <c r="I707" s="15">
        <v>0</v>
      </c>
      <c r="J707" s="15">
        <v>0</v>
      </c>
      <c r="K707" s="12" t="str">
        <f>HYPERLINK("https://mobile.twitter.com","Twitter Web App")</f>
        <v>Twitter Web App</v>
      </c>
      <c r="L707" s="16">
        <v>25</v>
      </c>
      <c r="M707" s="16">
        <v>16</v>
      </c>
      <c r="N707" s="16">
        <v>0</v>
      </c>
      <c r="O707" s="17"/>
      <c r="P707" s="18">
        <v>43550.20888888889</v>
      </c>
      <c r="Q707" s="7" t="s">
        <v>4645</v>
      </c>
      <c r="R707" s="7" t="s">
        <v>5933</v>
      </c>
      <c r="S707" s="7"/>
      <c r="T707" s="8"/>
      <c r="U707" s="19" t="str">
        <f>HYPERLINK("https://pbs.twimg.com/profile_images/1110512005411151878/u85ufTHN.jpg","View")</f>
        <v>View</v>
      </c>
      <c r="V707" s="8"/>
      <c r="W707" s="8"/>
      <c r="X707" s="8"/>
      <c r="Y707" s="8"/>
      <c r="Z707" s="8"/>
    </row>
    <row r="708" spans="1:26" ht="12.75">
      <c r="A708" s="11">
        <v>43747.298263888893</v>
      </c>
      <c r="B708" s="12" t="str">
        <f>HYPERLINK("https://twitter.com/Ozkan_H_RTE","@Ozkan_H_RTE")</f>
        <v>@Ozkan_H_RTE</v>
      </c>
      <c r="C708" s="7" t="s">
        <v>5934</v>
      </c>
      <c r="D708" s="7" t="s">
        <v>5935</v>
      </c>
      <c r="E708" s="12" t="str">
        <f>HYPERLINK("https://twitter.com/Ozkan_H_RTE/status/1181934715252695041","1181934715252695041")</f>
        <v>1181934715252695041</v>
      </c>
      <c r="F708" s="8"/>
      <c r="G708" s="14" t="s">
        <v>5937</v>
      </c>
      <c r="H708" s="8"/>
      <c r="I708" s="15">
        <v>0</v>
      </c>
      <c r="J708" s="15">
        <v>2</v>
      </c>
      <c r="K708" s="12" t="str">
        <f>HYPERLINK("http://twitter.com/download/android","Twitter for Android")</f>
        <v>Twitter for Android</v>
      </c>
      <c r="L708" s="16">
        <v>1239</v>
      </c>
      <c r="M708" s="16">
        <v>1187</v>
      </c>
      <c r="N708" s="16">
        <v>1</v>
      </c>
      <c r="O708" s="17"/>
      <c r="P708" s="18">
        <v>40978.342129629629</v>
      </c>
      <c r="Q708" s="7" t="s">
        <v>4895</v>
      </c>
      <c r="R708" s="7" t="s">
        <v>5939</v>
      </c>
      <c r="S708" s="7"/>
      <c r="T708" s="8"/>
      <c r="U708" s="19" t="str">
        <f>HYPERLINK("https://pbs.twimg.com/profile_images/1170432078678241286/a-uT9QHl.jpg","View")</f>
        <v>View</v>
      </c>
      <c r="V708" s="8"/>
      <c r="W708" s="8"/>
      <c r="X708" s="8"/>
      <c r="Y708" s="8"/>
      <c r="Z708" s="8"/>
    </row>
    <row r="709" spans="1:26" ht="12.75">
      <c r="A709" s="11">
        <v>43747.29824074074</v>
      </c>
      <c r="B709" s="12" t="str">
        <f>HYPERLINK("https://twitter.com/ooosaan","@ooosaan")</f>
        <v>@ooosaan</v>
      </c>
      <c r="C709" s="7" t="s">
        <v>5942</v>
      </c>
      <c r="D709" s="7" t="s">
        <v>5944</v>
      </c>
      <c r="E709" s="12" t="str">
        <f>HYPERLINK("https://twitter.com/ooosaan/status/1181934710425079809","1181934710425079809")</f>
        <v>1181934710425079809</v>
      </c>
      <c r="F709" s="8"/>
      <c r="G709" s="14" t="s">
        <v>5945</v>
      </c>
      <c r="H709" s="8"/>
      <c r="I709" s="15">
        <v>0</v>
      </c>
      <c r="J709" s="15">
        <v>1</v>
      </c>
      <c r="K709" s="12" t="str">
        <f>HYPERLINK("http://twitter.com/download/iphone","Twitter for iPhone")</f>
        <v>Twitter for iPhone</v>
      </c>
      <c r="L709" s="16">
        <v>215</v>
      </c>
      <c r="M709" s="16">
        <v>111</v>
      </c>
      <c r="N709" s="16">
        <v>1</v>
      </c>
      <c r="O709" s="17"/>
      <c r="P709" s="18">
        <v>40238.537476851852</v>
      </c>
      <c r="Q709" s="7" t="s">
        <v>5946</v>
      </c>
      <c r="R709" s="7" t="s">
        <v>5947</v>
      </c>
      <c r="S709" s="15"/>
      <c r="T709" s="8"/>
      <c r="U709" s="19" t="str">
        <f>HYPERLINK("https://pbs.twimg.com/profile_images/1033662114647425024/TzJTnCZZ.jpg","View")</f>
        <v>View</v>
      </c>
      <c r="V709" s="8"/>
      <c r="W709" s="8"/>
      <c r="X709" s="8"/>
      <c r="Y709" s="8"/>
      <c r="Z709" s="8"/>
    </row>
    <row r="710" spans="1:26" ht="12.75">
      <c r="A710" s="11">
        <v>43747.29822916667</v>
      </c>
      <c r="B710" s="12" t="str">
        <f>HYPERLINK("https://twitter.com/aytugbulut1","@aytugbulut1")</f>
        <v>@aytugbulut1</v>
      </c>
      <c r="C710" s="7" t="s">
        <v>5950</v>
      </c>
      <c r="D710" s="7" t="s">
        <v>5951</v>
      </c>
      <c r="E710" s="12" t="str">
        <f>HYPERLINK("https://twitter.com/aytugbulut1/status/1181934703814807553","1181934703814807553")</f>
        <v>1181934703814807553</v>
      </c>
      <c r="F710" s="14" t="s">
        <v>5865</v>
      </c>
      <c r="G710" s="15"/>
      <c r="H710" s="8"/>
      <c r="I710" s="15">
        <v>0</v>
      </c>
      <c r="J710" s="15">
        <v>1</v>
      </c>
      <c r="K710" s="12" t="str">
        <f>HYPERLINK("http://twitter.com/download/iphone","Twitter for iPhone")</f>
        <v>Twitter for iPhone</v>
      </c>
      <c r="L710" s="16">
        <v>406</v>
      </c>
      <c r="M710" s="16">
        <v>419</v>
      </c>
      <c r="N710" s="16">
        <v>0</v>
      </c>
      <c r="O710" s="17"/>
      <c r="P710" s="18">
        <v>41628.210277777776</v>
      </c>
      <c r="Q710" s="7" t="s">
        <v>5954</v>
      </c>
      <c r="R710" s="7" t="s">
        <v>5955</v>
      </c>
      <c r="S710" s="14" t="s">
        <v>5956</v>
      </c>
      <c r="T710" s="8"/>
      <c r="U710" s="19" t="str">
        <f>HYPERLINK("https://pbs.twimg.com/profile_images/1174809073881141248/7frW3l7a.jpg","View")</f>
        <v>View</v>
      </c>
      <c r="V710" s="8"/>
      <c r="W710" s="8"/>
      <c r="X710" s="8"/>
      <c r="Y710" s="8"/>
      <c r="Z710" s="8"/>
    </row>
    <row r="711" spans="1:26" ht="12.75">
      <c r="A711" s="11">
        <v>43747.29822916667</v>
      </c>
      <c r="B711" s="12" t="str">
        <f>HYPERLINK("https://twitter.com/wissamas123456","@wissamas123456")</f>
        <v>@wissamas123456</v>
      </c>
      <c r="C711" s="7" t="s">
        <v>5958</v>
      </c>
      <c r="D711" s="7" t="s">
        <v>5959</v>
      </c>
      <c r="E711" s="12" t="str">
        <f>HYPERLINK("https://twitter.com/wissamas123456/status/1181934702879531008","1181934702879531008")</f>
        <v>1181934702879531008</v>
      </c>
      <c r="F711" s="14" t="s">
        <v>5960</v>
      </c>
      <c r="G711" s="7"/>
      <c r="H711" s="8"/>
      <c r="I711" s="15">
        <v>0</v>
      </c>
      <c r="J711" s="15">
        <v>1</v>
      </c>
      <c r="K711" s="12" t="str">
        <f>HYPERLINK("http://twitter.com/download/android","Twitter for Android")</f>
        <v>Twitter for Android</v>
      </c>
      <c r="L711" s="16">
        <v>2206</v>
      </c>
      <c r="M711" s="16">
        <v>456</v>
      </c>
      <c r="N711" s="16">
        <v>0</v>
      </c>
      <c r="O711" s="17"/>
      <c r="P711" s="18">
        <v>42496.635509259257</v>
      </c>
      <c r="Q711" s="7" t="s">
        <v>5963</v>
      </c>
      <c r="R711" s="7" t="s">
        <v>5964</v>
      </c>
      <c r="S711" s="7"/>
      <c r="T711" s="8"/>
      <c r="U711" s="19" t="str">
        <f>HYPERLINK("https://pbs.twimg.com/profile_images/1064250567072059393/XCeBeRFM.jpg","View")</f>
        <v>View</v>
      </c>
      <c r="V711" s="8"/>
      <c r="W711" s="8"/>
      <c r="X711" s="8"/>
      <c r="Y711" s="8"/>
      <c r="Z711" s="8"/>
    </row>
    <row r="712" spans="1:26" ht="12.75">
      <c r="A712" s="11">
        <v>43747.298194444447</v>
      </c>
      <c r="B712" s="12" t="str">
        <f>HYPERLINK("https://twitter.com/omeralitaylan","@omeralitaylan")</f>
        <v>@omeralitaylan</v>
      </c>
      <c r="C712" s="7" t="s">
        <v>5970</v>
      </c>
      <c r="D712" s="7" t="s">
        <v>5971</v>
      </c>
      <c r="E712" s="12" t="str">
        <f>HYPERLINK("https://twitter.com/omeralitaylan/status/1181934690489569282","1181934690489569282")</f>
        <v>1181934690489569282</v>
      </c>
      <c r="F712" s="14" t="s">
        <v>5972</v>
      </c>
      <c r="G712" s="15"/>
      <c r="H712" s="8"/>
      <c r="I712" s="15">
        <v>0</v>
      </c>
      <c r="J712" s="15">
        <v>1</v>
      </c>
      <c r="K712" s="12" t="str">
        <f>HYPERLINK("http://twitter.com/download/android","Twitter for Android")</f>
        <v>Twitter for Android</v>
      </c>
      <c r="L712" s="16">
        <v>1</v>
      </c>
      <c r="M712" s="16">
        <v>7</v>
      </c>
      <c r="N712" s="16">
        <v>0</v>
      </c>
      <c r="O712" s="17"/>
      <c r="P712" s="18">
        <v>42762.063148148147</v>
      </c>
      <c r="Q712" s="7" t="s">
        <v>5975</v>
      </c>
      <c r="R712" s="7" t="s">
        <v>5976</v>
      </c>
      <c r="S712" s="14" t="s">
        <v>5977</v>
      </c>
      <c r="T712" s="8"/>
      <c r="U712" s="19" t="str">
        <f>HYPERLINK("https://pbs.twimg.com/profile_images/994979740476993536/v6UzzYPG.jpg","View")</f>
        <v>View</v>
      </c>
      <c r="V712" s="8"/>
      <c r="W712" s="8"/>
      <c r="X712" s="8"/>
      <c r="Y712" s="8"/>
      <c r="Z712" s="8"/>
    </row>
    <row r="713" spans="1:26" ht="12.75">
      <c r="A713" s="11">
        <v>43747.298171296294</v>
      </c>
      <c r="B713" s="12" t="str">
        <f>HYPERLINK("https://twitter.com/FaikEmreYILMAZ","@FaikEmreYILMAZ")</f>
        <v>@FaikEmreYILMAZ</v>
      </c>
      <c r="C713" s="7" t="s">
        <v>5980</v>
      </c>
      <c r="D713" s="7" t="s">
        <v>5981</v>
      </c>
      <c r="E713" s="12" t="str">
        <f>HYPERLINK("https://twitter.com/FaikEmreYILMAZ/status/1181934684550434816","1181934684550434816")</f>
        <v>1181934684550434816</v>
      </c>
      <c r="F713" s="8"/>
      <c r="G713" s="14" t="s">
        <v>5982</v>
      </c>
      <c r="H713" s="8"/>
      <c r="I713" s="15">
        <v>0</v>
      </c>
      <c r="J713" s="15">
        <v>0</v>
      </c>
      <c r="K713" s="12" t="str">
        <f>HYPERLINK("http://twitter.com/download/iphone","Twitter for iPhone")</f>
        <v>Twitter for iPhone</v>
      </c>
      <c r="L713" s="16">
        <v>10</v>
      </c>
      <c r="M713" s="16">
        <v>85</v>
      </c>
      <c r="N713" s="16">
        <v>0</v>
      </c>
      <c r="O713" s="17"/>
      <c r="P713" s="18">
        <v>43584.941631944443</v>
      </c>
      <c r="Q713" s="7" t="s">
        <v>5984</v>
      </c>
      <c r="R713" s="7" t="s">
        <v>5985</v>
      </c>
      <c r="S713" s="14" t="s">
        <v>5986</v>
      </c>
      <c r="T713" s="8"/>
      <c r="U713" s="19" t="str">
        <f>HYPERLINK("https://pbs.twimg.com/profile_images/1179825673831092226/JCtTX2Dg.jpg","View")</f>
        <v>View</v>
      </c>
      <c r="V713" s="8"/>
      <c r="W713" s="8"/>
      <c r="X713" s="8"/>
      <c r="Y713" s="8"/>
      <c r="Z713" s="8"/>
    </row>
    <row r="714" spans="1:26" ht="12.75">
      <c r="A714" s="11">
        <v>43747.298159722224</v>
      </c>
      <c r="B714" s="12" t="str">
        <f>HYPERLINK("https://twitter.com/ysndmrc07","@ysndmrc07")</f>
        <v>@ysndmrc07</v>
      </c>
      <c r="C714" s="7" t="s">
        <v>5987</v>
      </c>
      <c r="D714" s="7" t="s">
        <v>5988</v>
      </c>
      <c r="E714" s="12" t="str">
        <f>HYPERLINK("https://twitter.com/ysndmrc07/status/1181934679328468992","1181934679328468992")</f>
        <v>1181934679328468992</v>
      </c>
      <c r="F714" s="8"/>
      <c r="G714" s="7"/>
      <c r="H714" s="8"/>
      <c r="I714" s="15">
        <v>0</v>
      </c>
      <c r="J714" s="15">
        <v>1</v>
      </c>
      <c r="K714" s="12" t="str">
        <f>HYPERLINK("http://twitter.com/download/android","Twitter for Android")</f>
        <v>Twitter for Android</v>
      </c>
      <c r="L714" s="16">
        <v>734</v>
      </c>
      <c r="M714" s="16">
        <v>555</v>
      </c>
      <c r="N714" s="16">
        <v>6</v>
      </c>
      <c r="O714" s="17"/>
      <c r="P714" s="18">
        <v>41262.055</v>
      </c>
      <c r="Q714" s="7"/>
      <c r="R714" s="7" t="s">
        <v>5991</v>
      </c>
      <c r="S714" s="7"/>
      <c r="T714" s="8"/>
      <c r="U714" s="19" t="str">
        <f>HYPERLINK("https://pbs.twimg.com/profile_images/1175337790701277185/YWZnJgk7.jpg","View")</f>
        <v>View</v>
      </c>
      <c r="V714" s="8"/>
      <c r="W714" s="8"/>
      <c r="X714" s="8"/>
      <c r="Y714" s="8"/>
      <c r="Z714" s="8"/>
    </row>
    <row r="715" spans="1:26" ht="12.75">
      <c r="A715" s="11">
        <v>43747.298159722224</v>
      </c>
      <c r="B715" s="12" t="str">
        <f>HYPERLINK("https://twitter.com/la_edri61","@la_edri61")</f>
        <v>@la_edri61</v>
      </c>
      <c r="C715" s="7" t="s">
        <v>5992</v>
      </c>
      <c r="D715" s="7" t="s">
        <v>5993</v>
      </c>
      <c r="E715" s="12" t="str">
        <f>HYPERLINK("https://twitter.com/la_edri61/status/1181934678623870976","1181934678623870976")</f>
        <v>1181934678623870976</v>
      </c>
      <c r="F715" s="8"/>
      <c r="G715" s="14" t="s">
        <v>5994</v>
      </c>
      <c r="H715" s="8"/>
      <c r="I715" s="15">
        <v>0</v>
      </c>
      <c r="J715" s="15">
        <v>2</v>
      </c>
      <c r="K715" s="12" t="str">
        <f>HYPERLINK("http://twitter.com/download/android","Twitter for Android")</f>
        <v>Twitter for Android</v>
      </c>
      <c r="L715" s="16">
        <v>291</v>
      </c>
      <c r="M715" s="16">
        <v>52</v>
      </c>
      <c r="N715" s="16">
        <v>0</v>
      </c>
      <c r="O715" s="17"/>
      <c r="P715" s="18">
        <v>43202.284675925926</v>
      </c>
      <c r="Q715" s="7"/>
      <c r="R715" s="7" t="s">
        <v>5995</v>
      </c>
      <c r="S715" s="7"/>
      <c r="T715" s="8"/>
      <c r="U715" s="19" t="str">
        <f>HYPERLINK("https://pbs.twimg.com/profile_images/1168931812183293954/wCJbs2R_.jpg","View")</f>
        <v>View</v>
      </c>
      <c r="V715" s="8"/>
      <c r="W715" s="8"/>
      <c r="X715" s="8"/>
      <c r="Y715" s="8"/>
      <c r="Z715" s="8"/>
    </row>
    <row r="716" spans="1:26" ht="12.75">
      <c r="A716" s="11">
        <v>43747.298090277778</v>
      </c>
      <c r="B716" s="12" t="str">
        <f>HYPERLINK("https://twitter.com/cifcimetin","@cifcimetin")</f>
        <v>@cifcimetin</v>
      </c>
      <c r="C716" s="7" t="s">
        <v>5999</v>
      </c>
      <c r="D716" s="7" t="s">
        <v>6000</v>
      </c>
      <c r="E716" s="12" t="str">
        <f>HYPERLINK("https://twitter.com/cifcimetin/status/1181934656268230658","1181934656268230658")</f>
        <v>1181934656268230658</v>
      </c>
      <c r="F716" s="14" t="s">
        <v>6001</v>
      </c>
      <c r="G716" s="15"/>
      <c r="H716" s="8"/>
      <c r="I716" s="15">
        <v>0</v>
      </c>
      <c r="J716" s="15">
        <v>2</v>
      </c>
      <c r="K716" s="12" t="str">
        <f>HYPERLINK("http://twitter.com/download/iphone","Twitter for iPhone")</f>
        <v>Twitter for iPhone</v>
      </c>
      <c r="L716" s="16">
        <v>987</v>
      </c>
      <c r="M716" s="16">
        <v>387</v>
      </c>
      <c r="N716" s="16">
        <v>3</v>
      </c>
      <c r="O716" s="17"/>
      <c r="P716" s="18">
        <v>40973.168124999997</v>
      </c>
      <c r="Q716" s="7" t="s">
        <v>6003</v>
      </c>
      <c r="R716" s="7" t="s">
        <v>6004</v>
      </c>
      <c r="S716" s="14" t="s">
        <v>6005</v>
      </c>
      <c r="T716" s="8"/>
      <c r="U716" s="19" t="str">
        <f>HYPERLINK("https://pbs.twimg.com/profile_images/1170347305691746304/VrSIK6ky.jpg","View")</f>
        <v>View</v>
      </c>
      <c r="V716" s="8"/>
      <c r="W716" s="8"/>
      <c r="X716" s="8"/>
      <c r="Y716" s="8"/>
      <c r="Z716" s="8"/>
    </row>
    <row r="717" spans="1:26" ht="12.75">
      <c r="A717" s="11">
        <v>43747.298067129625</v>
      </c>
      <c r="B717" s="12" t="str">
        <f>HYPERLINK("https://twitter.com/FatihSarHasan","@FatihSarHasan")</f>
        <v>@FatihSarHasan</v>
      </c>
      <c r="C717" s="7" t="s">
        <v>6008</v>
      </c>
      <c r="D717" s="7" t="s">
        <v>6009</v>
      </c>
      <c r="E717" s="12" t="str">
        <f>HYPERLINK("https://twitter.com/FatihSarHasan/status/1181934644876500993","1181934644876500993")</f>
        <v>1181934644876500993</v>
      </c>
      <c r="F717" s="8"/>
      <c r="G717" s="14" t="s">
        <v>6010</v>
      </c>
      <c r="H717" s="8"/>
      <c r="I717" s="15">
        <v>0</v>
      </c>
      <c r="J717" s="15">
        <v>1</v>
      </c>
      <c r="K717" s="12" t="str">
        <f>HYPERLINK("http://twitter.com/download/android","Twitter for Android")</f>
        <v>Twitter for Android</v>
      </c>
      <c r="L717" s="16">
        <v>150</v>
      </c>
      <c r="M717" s="16">
        <v>248</v>
      </c>
      <c r="N717" s="16">
        <v>0</v>
      </c>
      <c r="O717" s="17"/>
      <c r="P717" s="18">
        <v>43001.512881944444</v>
      </c>
      <c r="Q717" s="13" t="s">
        <v>6011</v>
      </c>
      <c r="R717" s="7" t="s">
        <v>6012</v>
      </c>
      <c r="S717" s="14" t="s">
        <v>6013</v>
      </c>
      <c r="T717" s="8"/>
      <c r="U717" s="19" t="str">
        <f>HYPERLINK("https://pbs.twimg.com/profile_images/1138066685569748992/_rEAQ_UP.jpg","View")</f>
        <v>View</v>
      </c>
      <c r="V717" s="8"/>
      <c r="W717" s="8"/>
      <c r="X717" s="8"/>
      <c r="Y717" s="8"/>
      <c r="Z717" s="8"/>
    </row>
    <row r="718" spans="1:26" ht="12.75">
      <c r="A718" s="11">
        <v>43747.298055555555</v>
      </c>
      <c r="B718" s="12" t="str">
        <f>HYPERLINK("https://twitter.com/Tarikinmekani","@Tarikinmekani")</f>
        <v>@Tarikinmekani</v>
      </c>
      <c r="C718" s="7" t="s">
        <v>6017</v>
      </c>
      <c r="D718" s="7" t="s">
        <v>6018</v>
      </c>
      <c r="E718" s="12" t="str">
        <f>HYPERLINK("https://twitter.com/Tarikinmekani/status/1181934642997448704","1181934642997448704")</f>
        <v>1181934642997448704</v>
      </c>
      <c r="F718" s="8"/>
      <c r="G718" s="14" t="s">
        <v>6019</v>
      </c>
      <c r="H718" s="8"/>
      <c r="I718" s="15">
        <v>0</v>
      </c>
      <c r="J718" s="15">
        <v>2</v>
      </c>
      <c r="K718" s="12" t="str">
        <f>HYPERLINK("http://twitter.com/download/iphone","Twitter for iPhone")</f>
        <v>Twitter for iPhone</v>
      </c>
      <c r="L718" s="16">
        <v>27182</v>
      </c>
      <c r="M718" s="16">
        <v>15858</v>
      </c>
      <c r="N718" s="16">
        <v>16</v>
      </c>
      <c r="O718" s="17"/>
      <c r="P718" s="18">
        <v>41152.66746527778</v>
      </c>
      <c r="Q718" s="7" t="s">
        <v>6023</v>
      </c>
      <c r="R718" s="7" t="s">
        <v>6024</v>
      </c>
      <c r="S718" s="14" t="s">
        <v>6025</v>
      </c>
      <c r="T718" s="8"/>
      <c r="U718" s="19" t="str">
        <f>HYPERLINK("https://pbs.twimg.com/profile_images/1178802143484170241/cqKn65T7.jpg","View")</f>
        <v>View</v>
      </c>
      <c r="V718" s="8"/>
      <c r="W718" s="8"/>
      <c r="X718" s="8"/>
      <c r="Y718" s="8"/>
      <c r="Z718" s="8"/>
    </row>
    <row r="719" spans="1:26" ht="12.75">
      <c r="A719" s="11">
        <v>43747.297997685186</v>
      </c>
      <c r="B719" s="12" t="str">
        <f>HYPERLINK("https://twitter.com/hakanerciyes06","@hakanerciyes06")</f>
        <v>@hakanerciyes06</v>
      </c>
      <c r="C719" s="7" t="s">
        <v>6028</v>
      </c>
      <c r="D719" s="7" t="s">
        <v>6029</v>
      </c>
      <c r="E719" s="12" t="str">
        <f>HYPERLINK("https://twitter.com/hakanerciyes06/status/1181934622290141184","1181934622290141184")</f>
        <v>1181934622290141184</v>
      </c>
      <c r="F719" s="8"/>
      <c r="G719" s="14" t="s">
        <v>6030</v>
      </c>
      <c r="H719" s="8"/>
      <c r="I719" s="15">
        <v>0</v>
      </c>
      <c r="J719" s="15">
        <v>0</v>
      </c>
      <c r="K719" s="12" t="str">
        <f>HYPERLINK("http://twitter.com/download/android","Twitter for Android")</f>
        <v>Twitter for Android</v>
      </c>
      <c r="L719" s="16">
        <v>37</v>
      </c>
      <c r="M719" s="16">
        <v>168</v>
      </c>
      <c r="N719" s="16">
        <v>0</v>
      </c>
      <c r="O719" s="17"/>
      <c r="P719" s="18">
        <v>42500.477581018524</v>
      </c>
      <c r="Q719" s="7"/>
      <c r="R719" s="7" t="s">
        <v>6034</v>
      </c>
      <c r="S719" s="15"/>
      <c r="T719" s="8"/>
      <c r="U719" s="19" t="str">
        <f>HYPERLINK("https://pbs.twimg.com/profile_images/1079119098011967488/dRP1Les1.jpg","View")</f>
        <v>View</v>
      </c>
      <c r="V719" s="8"/>
      <c r="W719" s="8"/>
      <c r="X719" s="8"/>
      <c r="Y719" s="8"/>
      <c r="Z719" s="8"/>
    </row>
    <row r="720" spans="1:26" ht="12.75">
      <c r="A720" s="11">
        <v>43747.297974537039</v>
      </c>
      <c r="B720" s="12" t="str">
        <f>HYPERLINK("https://twitter.com/kutludavax","@kutludavax")</f>
        <v>@kutludavax</v>
      </c>
      <c r="C720" s="7" t="s">
        <v>6035</v>
      </c>
      <c r="D720" s="7" t="s">
        <v>6036</v>
      </c>
      <c r="E720" s="12" t="str">
        <f>HYPERLINK("https://twitter.com/kutludavax/status/1181934610428694528","1181934610428694528")</f>
        <v>1181934610428694528</v>
      </c>
      <c r="F720" s="14" t="s">
        <v>6037</v>
      </c>
      <c r="G720" s="15"/>
      <c r="H720" s="8"/>
      <c r="I720" s="15">
        <v>0</v>
      </c>
      <c r="J720" s="15">
        <v>0</v>
      </c>
      <c r="K720" s="12" t="str">
        <f>HYPERLINK("http://twitter.com/download/android","Twitter for Android")</f>
        <v>Twitter for Android</v>
      </c>
      <c r="L720" s="16">
        <v>344</v>
      </c>
      <c r="M720" s="16">
        <v>176</v>
      </c>
      <c r="N720" s="16">
        <v>2</v>
      </c>
      <c r="O720" s="17"/>
      <c r="P720" s="18">
        <v>42571.331666666665</v>
      </c>
      <c r="Q720" s="7" t="s">
        <v>313</v>
      </c>
      <c r="R720" s="7" t="s">
        <v>6040</v>
      </c>
      <c r="S720" s="14" t="s">
        <v>6041</v>
      </c>
      <c r="T720" s="8"/>
      <c r="U720" s="19" t="str">
        <f>HYPERLINK("https://pbs.twimg.com/profile_images/1142752025618386944/9kRwgX8D.jpg","View")</f>
        <v>View</v>
      </c>
      <c r="V720" s="8"/>
      <c r="W720" s="8"/>
      <c r="X720" s="8"/>
      <c r="Y720" s="8"/>
      <c r="Z720" s="8"/>
    </row>
    <row r="721" spans="1:26" ht="12.75">
      <c r="A721" s="11">
        <v>43747.297962962963</v>
      </c>
      <c r="B721" s="12" t="str">
        <f>HYPERLINK("https://twitter.com/enesdgr53","@enesdgr53")</f>
        <v>@enesdgr53</v>
      </c>
      <c r="C721" s="7" t="s">
        <v>6042</v>
      </c>
      <c r="D721" s="7" t="s">
        <v>6043</v>
      </c>
      <c r="E721" s="12" t="str">
        <f>HYPERLINK("https://twitter.com/enesdgr53/status/1181934608075677699","1181934608075677699")</f>
        <v>1181934608075677699</v>
      </c>
      <c r="F721" s="8"/>
      <c r="G721" s="14" t="s">
        <v>6044</v>
      </c>
      <c r="H721" s="8"/>
      <c r="I721" s="15">
        <v>0</v>
      </c>
      <c r="J721" s="15">
        <v>0</v>
      </c>
      <c r="K721" s="12" t="str">
        <f>HYPERLINK("http://twitter.com/download/iphone","Twitter for iPhone")</f>
        <v>Twitter for iPhone</v>
      </c>
      <c r="L721" s="16">
        <v>131</v>
      </c>
      <c r="M721" s="16">
        <v>145</v>
      </c>
      <c r="N721" s="16">
        <v>0</v>
      </c>
      <c r="O721" s="17"/>
      <c r="P721" s="18">
        <v>41539.400439814817</v>
      </c>
      <c r="Q721" s="7" t="s">
        <v>200</v>
      </c>
      <c r="R721" s="7" t="s">
        <v>6045</v>
      </c>
      <c r="S721" s="15"/>
      <c r="T721" s="8"/>
      <c r="U721" s="19" t="str">
        <f>HYPERLINK("https://pbs.twimg.com/profile_images/902286950819926017/5d5gkpOM.jpg","View")</f>
        <v>View</v>
      </c>
      <c r="V721" s="8"/>
      <c r="W721" s="8"/>
      <c r="X721" s="8"/>
      <c r="Y721" s="8"/>
      <c r="Z721" s="8"/>
    </row>
    <row r="722" spans="1:26" ht="12.75">
      <c r="A722" s="11">
        <v>43747.297951388886</v>
      </c>
      <c r="B722" s="12" t="str">
        <f>HYPERLINK("https://twitter.com/1azymz","@1azymz")</f>
        <v>@1azymz</v>
      </c>
      <c r="C722" s="7" t="s">
        <v>6049</v>
      </c>
      <c r="D722" s="7" t="s">
        <v>6050</v>
      </c>
      <c r="E722" s="12" t="str">
        <f>HYPERLINK("https://twitter.com/1azymz/status/1181934602845347840","1181934602845347840")</f>
        <v>1181934602845347840</v>
      </c>
      <c r="F722" s="15"/>
      <c r="G722" s="14" t="s">
        <v>6051</v>
      </c>
      <c r="H722" s="8"/>
      <c r="I722" s="15">
        <v>17</v>
      </c>
      <c r="J722" s="15">
        <v>40</v>
      </c>
      <c r="K722" s="12" t="str">
        <f>HYPERLINK("http://twitter.com/download/iphone","Twitter for iPhone")</f>
        <v>Twitter for iPhone</v>
      </c>
      <c r="L722" s="16">
        <v>23398</v>
      </c>
      <c r="M722" s="16">
        <v>22735</v>
      </c>
      <c r="N722" s="16">
        <v>29</v>
      </c>
      <c r="O722" s="17"/>
      <c r="P722" s="18">
        <v>41658.416851851856</v>
      </c>
      <c r="Q722" s="7" t="s">
        <v>2026</v>
      </c>
      <c r="R722" s="7" t="s">
        <v>6055</v>
      </c>
      <c r="S722" s="15"/>
      <c r="T722" s="8"/>
      <c r="U722" s="19" t="str">
        <f>HYPERLINK("https://pbs.twimg.com/profile_images/1141866931651272704/guL8YdPp.jpg","View")</f>
        <v>View</v>
      </c>
      <c r="V722" s="8"/>
      <c r="W722" s="8"/>
      <c r="X722" s="8"/>
      <c r="Y722" s="8"/>
      <c r="Z722" s="8"/>
    </row>
    <row r="723" spans="1:26" ht="12.75">
      <c r="A723" s="11">
        <v>43747.297939814816</v>
      </c>
      <c r="B723" s="12" t="str">
        <f>HYPERLINK("https://twitter.com/AKTASFATH","@AKTASFATH")</f>
        <v>@AKTASFATH</v>
      </c>
      <c r="C723" s="7" t="s">
        <v>6057</v>
      </c>
      <c r="D723" s="7" t="s">
        <v>6058</v>
      </c>
      <c r="E723" s="12" t="str">
        <f>HYPERLINK("https://twitter.com/AKTASFATH/status/1181934600068780033","1181934600068780033")</f>
        <v>1181934600068780033</v>
      </c>
      <c r="F723" s="8"/>
      <c r="G723" s="7"/>
      <c r="H723" s="8"/>
      <c r="I723" s="15">
        <v>0</v>
      </c>
      <c r="J723" s="15">
        <v>1</v>
      </c>
      <c r="K723" s="12" t="str">
        <f>HYPERLINK("http://twitter.com/download/iphone","Twitter for iPhone")</f>
        <v>Twitter for iPhone</v>
      </c>
      <c r="L723" s="16">
        <v>257</v>
      </c>
      <c r="M723" s="16">
        <v>258</v>
      </c>
      <c r="N723" s="16">
        <v>0</v>
      </c>
      <c r="O723" s="17"/>
      <c r="P723" s="18">
        <v>40847.548333333332</v>
      </c>
      <c r="Q723" s="7" t="s">
        <v>576</v>
      </c>
      <c r="R723" s="7" t="s">
        <v>6060</v>
      </c>
      <c r="S723" s="14" t="s">
        <v>6061</v>
      </c>
      <c r="T723" s="8"/>
      <c r="U723" s="19" t="str">
        <f>HYPERLINK("https://pbs.twimg.com/profile_images/1173342459604217856/IJtgSuk-.jpg","View")</f>
        <v>View</v>
      </c>
      <c r="V723" s="8"/>
      <c r="W723" s="8"/>
      <c r="X723" s="8"/>
      <c r="Y723" s="8"/>
      <c r="Z723" s="8"/>
    </row>
    <row r="724" spans="1:26" ht="12.75">
      <c r="A724" s="11">
        <v>43747.297905092593</v>
      </c>
      <c r="B724" s="12" t="str">
        <f>HYPERLINK("https://twitter.com/sivridillibiri","@sivridillibiri")</f>
        <v>@sivridillibiri</v>
      </c>
      <c r="C724" s="7" t="s">
        <v>6063</v>
      </c>
      <c r="D724" s="7" t="s">
        <v>6064</v>
      </c>
      <c r="E724" s="12" t="str">
        <f>HYPERLINK("https://twitter.com/sivridillibiri/status/1181934585082462208","1181934585082462208")</f>
        <v>1181934585082462208</v>
      </c>
      <c r="F724" s="8"/>
      <c r="G724" s="14" t="s">
        <v>6067</v>
      </c>
      <c r="H724" s="8"/>
      <c r="I724" s="15">
        <v>0</v>
      </c>
      <c r="J724" s="15">
        <v>0</v>
      </c>
      <c r="K724" s="12" t="str">
        <f>HYPERLINK("http://twitter.com/download/iphone","Twitter for iPhone")</f>
        <v>Twitter for iPhone</v>
      </c>
      <c r="L724" s="16">
        <v>52</v>
      </c>
      <c r="M724" s="16">
        <v>51</v>
      </c>
      <c r="N724" s="16">
        <v>0</v>
      </c>
      <c r="O724" s="17"/>
      <c r="P724" s="18">
        <v>43017.320844907408</v>
      </c>
      <c r="Q724" s="7"/>
      <c r="R724" s="7" t="s">
        <v>6069</v>
      </c>
      <c r="S724" s="15"/>
      <c r="T724" s="8"/>
      <c r="U724" s="19" t="str">
        <f>HYPERLINK("https://pbs.twimg.com/profile_images/917400450667896832/dZ-BQjtY.jpg","View")</f>
        <v>View</v>
      </c>
      <c r="V724" s="8"/>
      <c r="W724" s="8"/>
      <c r="X724" s="8"/>
      <c r="Y724" s="8"/>
      <c r="Z724" s="8"/>
    </row>
    <row r="725" spans="1:26" ht="12.75">
      <c r="A725" s="11">
        <v>43747.297893518524</v>
      </c>
      <c r="B725" s="12" t="str">
        <f>HYPERLINK("https://twitter.com/walter_emili","@walter_emili")</f>
        <v>@walter_emili</v>
      </c>
      <c r="C725" s="7" t="s">
        <v>6071</v>
      </c>
      <c r="D725" s="7" t="s">
        <v>6072</v>
      </c>
      <c r="E725" s="12" t="str">
        <f>HYPERLINK("https://twitter.com/walter_emili/status/1181934584537190405","1181934584537190405")</f>
        <v>1181934584537190405</v>
      </c>
      <c r="F725" s="14" t="s">
        <v>6074</v>
      </c>
      <c r="G725" s="7"/>
      <c r="H725" s="8"/>
      <c r="I725" s="15">
        <v>0</v>
      </c>
      <c r="J725" s="15">
        <v>0</v>
      </c>
      <c r="K725" s="12" t="str">
        <f>HYPERLINK("http://twitter.com/download/android","Twitter for Android")</f>
        <v>Twitter for Android</v>
      </c>
      <c r="L725" s="16">
        <v>196</v>
      </c>
      <c r="M725" s="16">
        <v>1276</v>
      </c>
      <c r="N725" s="16">
        <v>0</v>
      </c>
      <c r="O725" s="17"/>
      <c r="P725" s="18">
        <v>43339.643599537041</v>
      </c>
      <c r="Q725" s="7"/>
      <c r="R725" s="7" t="s">
        <v>6076</v>
      </c>
      <c r="S725" s="7"/>
      <c r="T725" s="8"/>
      <c r="U725" s="19" t="str">
        <f>HYPERLINK("https://pbs.twimg.com/profile_images/1117725126034960384/1R3OyS3X.jpg","View")</f>
        <v>View</v>
      </c>
      <c r="V725" s="8"/>
      <c r="W725" s="8"/>
      <c r="X725" s="8"/>
      <c r="Y725" s="8"/>
      <c r="Z725" s="8"/>
    </row>
    <row r="726" spans="1:26" ht="12.75">
      <c r="A726" s="11">
        <v>43747.297893518524</v>
      </c>
      <c r="B726" s="12" t="str">
        <f>HYPERLINK("https://twitter.com/malikulat","@malikulat")</f>
        <v>@malikulat</v>
      </c>
      <c r="C726" s="7" t="s">
        <v>6078</v>
      </c>
      <c r="D726" s="7" t="s">
        <v>5431</v>
      </c>
      <c r="E726" s="12" t="str">
        <f>HYPERLINK("https://twitter.com/malikulat/status/1181934582268125184","1181934582268125184")</f>
        <v>1181934582268125184</v>
      </c>
      <c r="F726" s="7"/>
      <c r="G726" s="7"/>
      <c r="H726" s="8"/>
      <c r="I726" s="15">
        <v>6</v>
      </c>
      <c r="J726" s="15">
        <v>40</v>
      </c>
      <c r="K726" s="12" t="str">
        <f>HYPERLINK("http://twitter.com/download/android","Twitter for Android")</f>
        <v>Twitter for Android</v>
      </c>
      <c r="L726" s="16">
        <v>29895</v>
      </c>
      <c r="M726" s="16">
        <v>3990</v>
      </c>
      <c r="N726" s="16">
        <v>48</v>
      </c>
      <c r="O726" s="17"/>
      <c r="P726" s="18">
        <v>41400.988483796296</v>
      </c>
      <c r="Q726" s="7" t="s">
        <v>4422</v>
      </c>
      <c r="R726" s="7" t="s">
        <v>6080</v>
      </c>
      <c r="S726" s="14" t="s">
        <v>6081</v>
      </c>
      <c r="T726" s="8"/>
      <c r="U726" s="19" t="str">
        <f>HYPERLINK("https://pbs.twimg.com/profile_images/934877700120023041/W6he4Uc1.jpg","View")</f>
        <v>View</v>
      </c>
      <c r="V726" s="8"/>
      <c r="W726" s="8"/>
      <c r="X726" s="8"/>
      <c r="Y726" s="8"/>
      <c r="Z726" s="8"/>
    </row>
    <row r="727" spans="1:26" ht="12.75">
      <c r="A727" s="11">
        <v>43747.297893518524</v>
      </c>
      <c r="B727" s="12" t="str">
        <f>HYPERLINK("https://twitter.com/efilgoktugg","@efilgoktugg")</f>
        <v>@efilgoktugg</v>
      </c>
      <c r="C727" s="7" t="s">
        <v>6082</v>
      </c>
      <c r="D727" s="7" t="s">
        <v>6083</v>
      </c>
      <c r="E727" s="12" t="str">
        <f>HYPERLINK("https://twitter.com/efilgoktugg/status/1181934580854603782","1181934580854603782")</f>
        <v>1181934580854603782</v>
      </c>
      <c r="F727" s="14" t="s">
        <v>6084</v>
      </c>
      <c r="G727" s="14" t="s">
        <v>6085</v>
      </c>
      <c r="H727" s="8"/>
      <c r="I727" s="15">
        <v>0</v>
      </c>
      <c r="J727" s="15">
        <v>0</v>
      </c>
      <c r="K727" s="12" t="str">
        <f>HYPERLINK("http://twitter.com/download/iphone","Twitter for iPhone")</f>
        <v>Twitter for iPhone</v>
      </c>
      <c r="L727" s="16">
        <v>1465</v>
      </c>
      <c r="M727" s="16">
        <v>1493</v>
      </c>
      <c r="N727" s="16">
        <v>1</v>
      </c>
      <c r="O727" s="17"/>
      <c r="P727" s="18">
        <v>40766.400925925926</v>
      </c>
      <c r="Q727" s="7"/>
      <c r="R727" s="7" t="s">
        <v>6089</v>
      </c>
      <c r="S727" s="14" t="s">
        <v>6090</v>
      </c>
      <c r="T727" s="8"/>
      <c r="U727" s="19" t="str">
        <f>HYPERLINK("https://pbs.twimg.com/profile_images/955595313020067840/sgiQ3BKp.jpg","View")</f>
        <v>View</v>
      </c>
      <c r="V727" s="8"/>
      <c r="W727" s="8"/>
      <c r="X727" s="8"/>
      <c r="Y727" s="8"/>
      <c r="Z727" s="8"/>
    </row>
    <row r="728" spans="1:26" ht="12.75">
      <c r="A728" s="11">
        <v>43747.297858796301</v>
      </c>
      <c r="B728" s="12" t="str">
        <f>HYPERLINK("https://twitter.com/ceemdg","@ceemdg")</f>
        <v>@ceemdg</v>
      </c>
      <c r="C728" s="7" t="s">
        <v>6093</v>
      </c>
      <c r="D728" s="7" t="s">
        <v>6094</v>
      </c>
      <c r="E728" s="12" t="str">
        <f>HYPERLINK("https://twitter.com/ceemdg/status/1181934572029784064","1181934572029784064")</f>
        <v>1181934572029784064</v>
      </c>
      <c r="F728" s="8"/>
      <c r="G728" s="15"/>
      <c r="H728" s="8"/>
      <c r="I728" s="15">
        <v>0</v>
      </c>
      <c r="J728" s="15">
        <v>2</v>
      </c>
      <c r="K728" s="12" t="str">
        <f>HYPERLINK("http://twitter.com/download/android","Twitter for Android")</f>
        <v>Twitter for Android</v>
      </c>
      <c r="L728" s="16">
        <v>455</v>
      </c>
      <c r="M728" s="16">
        <v>378</v>
      </c>
      <c r="N728" s="16">
        <v>0</v>
      </c>
      <c r="O728" s="17"/>
      <c r="P728" s="18">
        <v>43418.480081018519</v>
      </c>
      <c r="Q728" s="7"/>
      <c r="R728" s="7" t="s">
        <v>6097</v>
      </c>
      <c r="S728" s="14" t="s">
        <v>6098</v>
      </c>
      <c r="T728" s="8"/>
      <c r="U728" s="19" t="str">
        <f>HYPERLINK("https://pbs.twimg.com/profile_images/1122251760444354561/m4KDCa2g.jpg","View")</f>
        <v>View</v>
      </c>
      <c r="V728" s="8"/>
      <c r="W728" s="8"/>
      <c r="X728" s="8"/>
      <c r="Y728" s="8"/>
      <c r="Z728" s="8"/>
    </row>
    <row r="729" spans="1:26" ht="12.75">
      <c r="A729" s="11">
        <v>43747.297858796301</v>
      </c>
      <c r="B729" s="12" t="str">
        <f>HYPERLINK("https://twitter.com/ENGINEGILMEZ","@ENGINEGILMEZ")</f>
        <v>@ENGINEGILMEZ</v>
      </c>
      <c r="C729" s="7" t="s">
        <v>6099</v>
      </c>
      <c r="D729" s="7" t="s">
        <v>6100</v>
      </c>
      <c r="E729" s="12" t="str">
        <f>HYPERLINK("https://twitter.com/ENGINEGILMEZ/status/1181934568364007429","1181934568364007429")</f>
        <v>1181934568364007429</v>
      </c>
      <c r="F729" s="8"/>
      <c r="G729" s="7"/>
      <c r="H729" s="8"/>
      <c r="I729" s="15">
        <v>0</v>
      </c>
      <c r="J729" s="15">
        <v>0</v>
      </c>
      <c r="K729" s="12" t="str">
        <f>HYPERLINK("http://twitter.com/download/android","Twitter for Android")</f>
        <v>Twitter for Android</v>
      </c>
      <c r="L729" s="16">
        <v>1078</v>
      </c>
      <c r="M729" s="16">
        <v>1005</v>
      </c>
      <c r="N729" s="16">
        <v>3</v>
      </c>
      <c r="O729" s="17"/>
      <c r="P729" s="18">
        <v>41429.2816087963</v>
      </c>
      <c r="Q729" s="7"/>
      <c r="R729" s="7" t="s">
        <v>6103</v>
      </c>
      <c r="S729" s="7"/>
      <c r="T729" s="8"/>
      <c r="U729" s="19" t="str">
        <f>HYPERLINK("https://pbs.twimg.com/profile_images/1136206621837811712/7nblREML.jpg","View")</f>
        <v>View</v>
      </c>
      <c r="V729" s="8"/>
      <c r="W729" s="8"/>
      <c r="X729" s="8"/>
      <c r="Y729" s="8"/>
      <c r="Z729" s="8"/>
    </row>
    <row r="730" spans="1:26" ht="12.75">
      <c r="A730" s="11">
        <v>43747.297835648147</v>
      </c>
      <c r="B730" s="12" t="str">
        <f>HYPERLINK("https://twitter.com/ismail_Ertek","@ismail_Ertek")</f>
        <v>@ismail_Ertek</v>
      </c>
      <c r="C730" s="7" t="s">
        <v>6104</v>
      </c>
      <c r="D730" s="7" t="s">
        <v>6105</v>
      </c>
      <c r="E730" s="12" t="str">
        <f>HYPERLINK("https://twitter.com/ismail_Ertek/status/1181934562244530176","1181934562244530176")</f>
        <v>1181934562244530176</v>
      </c>
      <c r="F730" s="8"/>
      <c r="G730" s="14" t="s">
        <v>6106</v>
      </c>
      <c r="H730" s="8"/>
      <c r="I730" s="15">
        <v>0</v>
      </c>
      <c r="J730" s="15">
        <v>2</v>
      </c>
      <c r="K730" s="12" t="str">
        <f>HYPERLINK("http://twitter.com/download/iphone","Twitter for iPhone")</f>
        <v>Twitter for iPhone</v>
      </c>
      <c r="L730" s="16">
        <v>378</v>
      </c>
      <c r="M730" s="16">
        <v>897</v>
      </c>
      <c r="N730" s="16">
        <v>0</v>
      </c>
      <c r="O730" s="17"/>
      <c r="P730" s="18">
        <v>40720.162094907406</v>
      </c>
      <c r="Q730" s="7"/>
      <c r="R730" s="7"/>
      <c r="S730" s="7"/>
      <c r="T730" s="8"/>
      <c r="U730" s="19" t="str">
        <f>HYPERLINK("https://pbs.twimg.com/profile_images/1159885917986967552/Mt2NtMD9.jpg","View")</f>
        <v>View</v>
      </c>
      <c r="V730" s="8"/>
      <c r="W730" s="8"/>
      <c r="X730" s="8"/>
      <c r="Y730" s="8"/>
      <c r="Z730" s="8"/>
    </row>
    <row r="731" spans="1:26" ht="12.75">
      <c r="A731" s="11">
        <v>43747.297824074078</v>
      </c>
      <c r="B731" s="12" t="str">
        <f>HYPERLINK("https://twitter.com/Ayhanbeyiniz","@Ayhanbeyiniz")</f>
        <v>@Ayhanbeyiniz</v>
      </c>
      <c r="C731" s="7" t="s">
        <v>6113</v>
      </c>
      <c r="D731" s="7" t="s">
        <v>6114</v>
      </c>
      <c r="E731" s="12" t="str">
        <f>HYPERLINK("https://twitter.com/Ayhanbeyiniz/status/1181934557647556611","1181934557647556611")</f>
        <v>1181934557647556611</v>
      </c>
      <c r="F731" s="7"/>
      <c r="G731" s="14" t="s">
        <v>6118</v>
      </c>
      <c r="H731" s="8"/>
      <c r="I731" s="15">
        <v>1</v>
      </c>
      <c r="J731" s="15">
        <v>1</v>
      </c>
      <c r="K731" s="12" t="str">
        <f>HYPERLINK("http://twitter.com/download/android","Twitter for Android")</f>
        <v>Twitter for Android</v>
      </c>
      <c r="L731" s="16">
        <v>2272</v>
      </c>
      <c r="M731" s="16">
        <v>3055</v>
      </c>
      <c r="N731" s="16">
        <v>0</v>
      </c>
      <c r="O731" s="17"/>
      <c r="P731" s="18">
        <v>43552.362280092595</v>
      </c>
      <c r="Q731" s="7" t="s">
        <v>6120</v>
      </c>
      <c r="R731" s="7" t="s">
        <v>3774</v>
      </c>
      <c r="S731" s="15"/>
      <c r="T731" s="8"/>
      <c r="U731" s="19" t="str">
        <f>HYPERLINK("https://pbs.twimg.com/profile_images/1118588762165002241/dRDRh_Zc.jpg","View")</f>
        <v>View</v>
      </c>
      <c r="V731" s="8"/>
      <c r="W731" s="8"/>
      <c r="X731" s="8"/>
      <c r="Y731" s="8"/>
      <c r="Z731" s="8"/>
    </row>
    <row r="732" spans="1:26" ht="12.75">
      <c r="A732" s="11">
        <v>43747.297824074078</v>
      </c>
      <c r="B732" s="12" t="str">
        <f>HYPERLINK("https://twitter.com/Hakan6284Zede","@Hakan6284Zede")</f>
        <v>@Hakan6284Zede</v>
      </c>
      <c r="C732" s="7" t="s">
        <v>6123</v>
      </c>
      <c r="D732" s="7" t="s">
        <v>6124</v>
      </c>
      <c r="E732" s="12" t="str">
        <f>HYPERLINK("https://twitter.com/Hakan6284Zede/status/1181934557207158784","1181934557207158784")</f>
        <v>1181934557207158784</v>
      </c>
      <c r="F732" s="8"/>
      <c r="G732" s="15"/>
      <c r="H732" s="8"/>
      <c r="I732" s="15">
        <v>0</v>
      </c>
      <c r="J732" s="15">
        <v>0</v>
      </c>
      <c r="K732" s="12" t="str">
        <f>HYPERLINK("http://twitter.com/download/android","Twitter for Android")</f>
        <v>Twitter for Android</v>
      </c>
      <c r="L732" s="16">
        <v>151</v>
      </c>
      <c r="M732" s="16">
        <v>291</v>
      </c>
      <c r="N732" s="16">
        <v>0</v>
      </c>
      <c r="O732" s="17"/>
      <c r="P732" s="18">
        <v>43588.775821759264</v>
      </c>
      <c r="Q732" s="7" t="s">
        <v>2050</v>
      </c>
      <c r="R732" s="7" t="s">
        <v>6126</v>
      </c>
      <c r="S732" s="7"/>
      <c r="T732" s="8"/>
      <c r="U732" s="19" t="str">
        <f>HYPERLINK("https://pbs.twimg.com/profile_images/1181601799171694592/DgUy_r3C.jpg","View")</f>
        <v>View</v>
      </c>
      <c r="V732" s="8"/>
      <c r="W732" s="8"/>
      <c r="X732" s="8"/>
      <c r="Y732" s="8"/>
      <c r="Z732" s="8"/>
    </row>
    <row r="733" spans="1:26" ht="12.75">
      <c r="A733" s="11">
        <v>43747.297789351855</v>
      </c>
      <c r="B733" s="12" t="str">
        <f>HYPERLINK("https://twitter.com/Staybehind2","@Staybehind2")</f>
        <v>@Staybehind2</v>
      </c>
      <c r="C733" s="7" t="s">
        <v>6130</v>
      </c>
      <c r="D733" s="7" t="s">
        <v>127</v>
      </c>
      <c r="E733" s="12" t="str">
        <f>HYPERLINK("https://twitter.com/Staybehind2/status/1181934545018523649","1181934545018523649")</f>
        <v>1181934545018523649</v>
      </c>
      <c r="F733" s="8"/>
      <c r="G733" s="14" t="s">
        <v>6131</v>
      </c>
      <c r="H733" s="8"/>
      <c r="I733" s="15">
        <v>0</v>
      </c>
      <c r="J733" s="15">
        <v>0</v>
      </c>
      <c r="K733" s="12" t="str">
        <f>HYPERLINK("http://twitter.com/download/android","Twitter for Android")</f>
        <v>Twitter for Android</v>
      </c>
      <c r="L733" s="16">
        <v>851</v>
      </c>
      <c r="M733" s="16">
        <v>2706</v>
      </c>
      <c r="N733" s="16">
        <v>0</v>
      </c>
      <c r="O733" s="17"/>
      <c r="P733" s="18">
        <v>43489.281956018516</v>
      </c>
      <c r="Q733" s="7"/>
      <c r="R733" s="7" t="s">
        <v>6134</v>
      </c>
      <c r="S733" s="15"/>
      <c r="T733" s="8"/>
      <c r="U733" s="19" t="str">
        <f>HYPERLINK("https://pbs.twimg.com/profile_images/1089256739743113216/4KjgKx2g.jpg","View")</f>
        <v>View</v>
      </c>
      <c r="V733" s="8"/>
      <c r="W733" s="8"/>
      <c r="X733" s="8"/>
      <c r="Y733" s="8"/>
      <c r="Z733" s="8"/>
    </row>
    <row r="734" spans="1:26" ht="12.75">
      <c r="A734" s="11">
        <v>43747.297789351855</v>
      </c>
      <c r="B734" s="12" t="str">
        <f>HYPERLINK("https://twitter.com/DrOsmanNuri","@DrOsmanNuri")</f>
        <v>@DrOsmanNuri</v>
      </c>
      <c r="C734" s="7" t="s">
        <v>6135</v>
      </c>
      <c r="D734" s="7" t="s">
        <v>6136</v>
      </c>
      <c r="E734" s="12" t="str">
        <f>HYPERLINK("https://twitter.com/DrOsmanNuri/status/1181934544498368517","1181934544498368517")</f>
        <v>1181934544498368517</v>
      </c>
      <c r="F734" s="8"/>
      <c r="G734" s="15"/>
      <c r="H734" s="8"/>
      <c r="I734" s="15">
        <v>0</v>
      </c>
      <c r="J734" s="15">
        <v>0</v>
      </c>
      <c r="K734" s="12" t="str">
        <f>HYPERLINK("http://twitter.com/download/iphone","Twitter for iPhone")</f>
        <v>Twitter for iPhone</v>
      </c>
      <c r="L734" s="16">
        <v>67</v>
      </c>
      <c r="M734" s="16">
        <v>138</v>
      </c>
      <c r="N734" s="16">
        <v>0</v>
      </c>
      <c r="O734" s="17"/>
      <c r="P734" s="18">
        <v>43464.437280092592</v>
      </c>
      <c r="Q734" s="7" t="s">
        <v>313</v>
      </c>
      <c r="R734" s="7"/>
      <c r="S734" s="14" t="s">
        <v>6137</v>
      </c>
      <c r="T734" s="8"/>
      <c r="U734" s="19" t="str">
        <f>HYPERLINK("https://pbs.twimg.com/profile_images/1154829224672407552/_Ko9eIPM.jpg","View")</f>
        <v>View</v>
      </c>
      <c r="V734" s="8"/>
      <c r="W734" s="8"/>
      <c r="X734" s="8"/>
      <c r="Y734" s="8"/>
      <c r="Z734" s="8"/>
    </row>
    <row r="735" spans="1:26" ht="12.75">
      <c r="A735" s="11">
        <v>43747.297777777778</v>
      </c>
      <c r="B735" s="12" t="str">
        <f>HYPERLINK("https://twitter.com/esraduran320","@esraduran320")</f>
        <v>@esraduran320</v>
      </c>
      <c r="C735" s="7" t="s">
        <v>6140</v>
      </c>
      <c r="D735" s="7" t="s">
        <v>6141</v>
      </c>
      <c r="E735" s="12" t="str">
        <f>HYPERLINK("https://twitter.com/esraduran320/status/1181934541683990529","1181934541683990529")</f>
        <v>1181934541683990529</v>
      </c>
      <c r="F735" s="8"/>
      <c r="G735" s="14" t="s">
        <v>6142</v>
      </c>
      <c r="H735" s="8"/>
      <c r="I735" s="15">
        <v>0</v>
      </c>
      <c r="J735" s="15">
        <v>2</v>
      </c>
      <c r="K735" s="12" t="str">
        <f>HYPERLINK("http://twitter.com/download/android","Twitter for Android")</f>
        <v>Twitter for Android</v>
      </c>
      <c r="L735" s="16">
        <v>111</v>
      </c>
      <c r="M735" s="16">
        <v>10</v>
      </c>
      <c r="N735" s="16">
        <v>0</v>
      </c>
      <c r="O735" s="17"/>
      <c r="P735" s="18">
        <v>42309.602743055555</v>
      </c>
      <c r="Q735" s="7"/>
      <c r="R735" s="7" t="s">
        <v>6145</v>
      </c>
      <c r="S735" s="7"/>
      <c r="T735" s="8"/>
      <c r="U735" s="19" t="str">
        <f>HYPERLINK("https://pbs.twimg.com/profile_images/1165417189794603009/tA1K2Sg4.jpg","View")</f>
        <v>View</v>
      </c>
      <c r="V735" s="8"/>
      <c r="W735" s="8"/>
      <c r="X735" s="8"/>
      <c r="Y735" s="8"/>
      <c r="Z735" s="8"/>
    </row>
    <row r="736" spans="1:26" ht="12.75">
      <c r="A736" s="11">
        <v>43747.297766203701</v>
      </c>
      <c r="B736" s="12" t="str">
        <f>HYPERLINK("https://twitter.com/hayatislamlagzl","@hayatislamlagzl")</f>
        <v>@hayatislamlagzl</v>
      </c>
      <c r="C736" s="7" t="s">
        <v>6146</v>
      </c>
      <c r="D736" s="7" t="s">
        <v>6147</v>
      </c>
      <c r="E736" s="12" t="str">
        <f>HYPERLINK("https://twitter.com/hayatislamlagzl/status/1181934538118897665","1181934538118897665")</f>
        <v>1181934538118897665</v>
      </c>
      <c r="F736" s="8"/>
      <c r="G736" s="7"/>
      <c r="H736" s="8"/>
      <c r="I736" s="15">
        <v>0</v>
      </c>
      <c r="J736" s="15">
        <v>2</v>
      </c>
      <c r="K736" s="12" t="str">
        <f>HYPERLINK("http://twitter.com/download/android","Twitter for Android")</f>
        <v>Twitter for Android</v>
      </c>
      <c r="L736" s="16">
        <v>552</v>
      </c>
      <c r="M736" s="16">
        <v>707</v>
      </c>
      <c r="N736" s="16">
        <v>1</v>
      </c>
      <c r="O736" s="17"/>
      <c r="P736" s="18">
        <v>43212.75371527778</v>
      </c>
      <c r="Q736" s="7"/>
      <c r="R736" s="7" t="s">
        <v>6151</v>
      </c>
      <c r="S736" s="7"/>
      <c r="T736" s="8"/>
      <c r="U736" s="19" t="str">
        <f>HYPERLINK("https://pbs.twimg.com/profile_images/1180730909202567168/DLxqSNFB.jpg","View")</f>
        <v>View</v>
      </c>
      <c r="V736" s="8"/>
      <c r="W736" s="8"/>
      <c r="X736" s="8"/>
      <c r="Y736" s="8"/>
      <c r="Z736" s="8"/>
    </row>
    <row r="737" spans="1:26" ht="12.75">
      <c r="A737" s="11">
        <v>43747.297743055555</v>
      </c>
      <c r="B737" s="12" t="str">
        <f>HYPERLINK("https://twitter.com/komodoejderi53","@komodoejderi53")</f>
        <v>@komodoejderi53</v>
      </c>
      <c r="C737" s="7" t="s">
        <v>6152</v>
      </c>
      <c r="D737" s="7" t="s">
        <v>6153</v>
      </c>
      <c r="E737" s="12" t="str">
        <f>HYPERLINK("https://twitter.com/komodoejderi53/status/1181934529260470273","1181934529260470273")</f>
        <v>1181934529260470273</v>
      </c>
      <c r="F737" s="8"/>
      <c r="G737" s="14" t="s">
        <v>6154</v>
      </c>
      <c r="H737" s="8"/>
      <c r="I737" s="15">
        <v>0</v>
      </c>
      <c r="J737" s="15">
        <v>0</v>
      </c>
      <c r="K737" s="12" t="str">
        <f>HYPERLINK("http://twitter.com/download/iphone","Twitter for iPhone")</f>
        <v>Twitter for iPhone</v>
      </c>
      <c r="L737" s="16">
        <v>14</v>
      </c>
      <c r="M737" s="16">
        <v>49</v>
      </c>
      <c r="N737" s="16">
        <v>0</v>
      </c>
      <c r="O737" s="17"/>
      <c r="P737" s="18">
        <v>43604.287881944445</v>
      </c>
      <c r="Q737" s="7"/>
      <c r="R737" s="13"/>
      <c r="S737" s="7"/>
      <c r="T737" s="8"/>
      <c r="U737" s="19" t="str">
        <f>HYPERLINK("https://pbs.twimg.com/profile_images/1130140758768537606/lNp6I3vK.jpg","View")</f>
        <v>View</v>
      </c>
      <c r="V737" s="8"/>
      <c r="W737" s="8"/>
      <c r="X737" s="8"/>
      <c r="Y737" s="8"/>
      <c r="Z737" s="8"/>
    </row>
    <row r="738" spans="1:26" ht="12.75">
      <c r="A738" s="11">
        <v>43747.297731481478</v>
      </c>
      <c r="B738" s="12" t="str">
        <f>HYPERLINK("https://twitter.com/emrahcikgoz","@emrahcikgoz")</f>
        <v>@emrahcikgoz</v>
      </c>
      <c r="C738" s="7" t="s">
        <v>6158</v>
      </c>
      <c r="D738" s="7" t="s">
        <v>6159</v>
      </c>
      <c r="E738" s="12" t="str">
        <f>HYPERLINK("https://twitter.com/emrahcikgoz/status/1181934525326254080","1181934525326254080")</f>
        <v>1181934525326254080</v>
      </c>
      <c r="F738" s="8"/>
      <c r="G738" s="7"/>
      <c r="H738" s="8"/>
      <c r="I738" s="15">
        <v>0</v>
      </c>
      <c r="J738" s="15">
        <v>6</v>
      </c>
      <c r="K738" s="12" t="str">
        <f>HYPERLINK("http://twitter.com/download/android","Twitter for Android")</f>
        <v>Twitter for Android</v>
      </c>
      <c r="L738" s="16">
        <v>204</v>
      </c>
      <c r="M738" s="16">
        <v>490</v>
      </c>
      <c r="N738" s="16">
        <v>0</v>
      </c>
      <c r="O738" s="17"/>
      <c r="P738" s="18">
        <v>41400.1484375</v>
      </c>
      <c r="Q738" s="7"/>
      <c r="R738" s="7"/>
      <c r="S738" s="7"/>
      <c r="T738" s="8"/>
      <c r="U738" s="20" t="s">
        <v>354</v>
      </c>
      <c r="V738" s="8"/>
      <c r="W738" s="8"/>
      <c r="X738" s="8"/>
      <c r="Y738" s="8"/>
      <c r="Z738" s="8"/>
    </row>
    <row r="739" spans="1:26" ht="12.75">
      <c r="A739" s="11">
        <v>43747.297719907408</v>
      </c>
      <c r="B739" s="12" t="str">
        <f>HYPERLINK("https://twitter.com/mttbsakarya","@mttbsakarya")</f>
        <v>@mttbsakarya</v>
      </c>
      <c r="C739" s="7" t="s">
        <v>6162</v>
      </c>
      <c r="D739" s="7" t="s">
        <v>3843</v>
      </c>
      <c r="E739" s="12" t="str">
        <f>HYPERLINK("https://twitter.com/mttbsakarya/status/1181934521224183808","1181934521224183808")</f>
        <v>1181934521224183808</v>
      </c>
      <c r="F739" s="15"/>
      <c r="G739" s="15"/>
      <c r="H739" s="8"/>
      <c r="I739" s="15">
        <v>4</v>
      </c>
      <c r="J739" s="15">
        <v>6</v>
      </c>
      <c r="K739" s="12" t="str">
        <f>HYPERLINK("http://twitter.com/download/android","Twitter for Android")</f>
        <v>Twitter for Android</v>
      </c>
      <c r="L739" s="16">
        <v>1703</v>
      </c>
      <c r="M739" s="16">
        <v>47</v>
      </c>
      <c r="N739" s="16">
        <v>4</v>
      </c>
      <c r="O739" s="17"/>
      <c r="P739" s="18">
        <v>40902.548298611109</v>
      </c>
      <c r="Q739" s="7" t="s">
        <v>6163</v>
      </c>
      <c r="R739" s="7" t="s">
        <v>6164</v>
      </c>
      <c r="S739" s="14" t="s">
        <v>6165</v>
      </c>
      <c r="T739" s="8"/>
      <c r="U739" s="19" t="str">
        <f>HYPERLINK("https://pbs.twimg.com/profile_images/925281869993832450/__H1xTO9.jpg","View")</f>
        <v>View</v>
      </c>
      <c r="V739" s="8"/>
      <c r="W739" s="8"/>
      <c r="X739" s="8"/>
      <c r="Y739" s="8"/>
      <c r="Z739" s="8"/>
    </row>
    <row r="740" spans="1:26" ht="12.75">
      <c r="A740" s="11">
        <v>43747.297708333332</v>
      </c>
      <c r="B740" s="12" t="str">
        <f>HYPERLINK("https://twitter.com/nargileci7","@nargileci7")</f>
        <v>@nargileci7</v>
      </c>
      <c r="C740" s="7" t="s">
        <v>6168</v>
      </c>
      <c r="D740" s="7" t="s">
        <v>6169</v>
      </c>
      <c r="E740" s="12" t="str">
        <f>HYPERLINK("https://twitter.com/nargileci7/status/1181934517185056769","1181934517185056769")</f>
        <v>1181934517185056769</v>
      </c>
      <c r="F740" s="8"/>
      <c r="G740" s="14" t="s">
        <v>6170</v>
      </c>
      <c r="H740" s="8"/>
      <c r="I740" s="15">
        <v>0</v>
      </c>
      <c r="J740" s="15">
        <v>1</v>
      </c>
      <c r="K740" s="12" t="str">
        <f>HYPERLINK("http://twitter.com/download/iphone","Twitter for iPhone")</f>
        <v>Twitter for iPhone</v>
      </c>
      <c r="L740" s="16">
        <v>2235</v>
      </c>
      <c r="M740" s="16">
        <v>3827</v>
      </c>
      <c r="N740" s="16">
        <v>0</v>
      </c>
      <c r="O740" s="17"/>
      <c r="P740" s="18">
        <v>43361.463865740741</v>
      </c>
      <c r="Q740" s="7"/>
      <c r="R740" s="7" t="s">
        <v>6173</v>
      </c>
      <c r="S740" s="7"/>
      <c r="T740" s="8"/>
      <c r="U740" s="19" t="str">
        <f>HYPERLINK("https://pbs.twimg.com/profile_images/1181876238660620288/Zdvisuis.jpg","View")</f>
        <v>View</v>
      </c>
      <c r="V740" s="8"/>
      <c r="W740" s="8"/>
      <c r="X740" s="8"/>
      <c r="Y740" s="8"/>
      <c r="Z740" s="8"/>
    </row>
    <row r="741" spans="1:26" ht="12.75">
      <c r="A741" s="11">
        <v>43747.297696759255</v>
      </c>
      <c r="B741" s="12" t="str">
        <f>HYPERLINK("https://twitter.com/KubilayAkkanat","@KubilayAkkanat")</f>
        <v>@KubilayAkkanat</v>
      </c>
      <c r="C741" s="7" t="s">
        <v>6176</v>
      </c>
      <c r="D741" s="7" t="s">
        <v>6177</v>
      </c>
      <c r="E741" s="12" t="str">
        <f>HYPERLINK("https://twitter.com/KubilayAkkanat/status/1181934513510854656","1181934513510854656")</f>
        <v>1181934513510854656</v>
      </c>
      <c r="F741" s="8"/>
      <c r="G741" s="14" t="s">
        <v>6179</v>
      </c>
      <c r="H741" s="8"/>
      <c r="I741" s="15">
        <v>0</v>
      </c>
      <c r="J741" s="15">
        <v>0</v>
      </c>
      <c r="K741" s="12" t="str">
        <f>HYPERLINK("http://twitter.com/download/android","Twitter for Android")</f>
        <v>Twitter for Android</v>
      </c>
      <c r="L741" s="16">
        <v>4</v>
      </c>
      <c r="M741" s="16">
        <v>19</v>
      </c>
      <c r="N741" s="16">
        <v>0</v>
      </c>
      <c r="O741" s="17"/>
      <c r="P741" s="18">
        <v>43686.364317129628</v>
      </c>
      <c r="Q741" s="7"/>
      <c r="R741" s="7" t="s">
        <v>6180</v>
      </c>
      <c r="S741" s="7"/>
      <c r="T741" s="8"/>
      <c r="U741" s="19" t="str">
        <f>HYPERLINK("https://pbs.twimg.com/profile_images/1159853154835619842/-ieMRRbl.jpg","View")</f>
        <v>View</v>
      </c>
      <c r="V741" s="8"/>
      <c r="W741" s="8"/>
      <c r="X741" s="8"/>
      <c r="Y741" s="8"/>
      <c r="Z741" s="8"/>
    </row>
    <row r="742" spans="1:26" ht="12.75">
      <c r="A742" s="11">
        <v>43747.297696759255</v>
      </c>
      <c r="B742" s="12" t="str">
        <f>HYPERLINK("https://twitter.com/avare_reis","@avare_reis")</f>
        <v>@avare_reis</v>
      </c>
      <c r="C742" s="7" t="s">
        <v>6182</v>
      </c>
      <c r="D742" s="7" t="s">
        <v>6183</v>
      </c>
      <c r="E742" s="12" t="str">
        <f>HYPERLINK("https://twitter.com/avare_reis/status/1181934510281314304","1181934510281314304")</f>
        <v>1181934510281314304</v>
      </c>
      <c r="F742" s="8"/>
      <c r="G742" s="15"/>
      <c r="H742" s="8"/>
      <c r="I742" s="15">
        <v>0</v>
      </c>
      <c r="J742" s="15">
        <v>1</v>
      </c>
      <c r="K742" s="12" t="str">
        <f>HYPERLINK("http://twitter.com/download/android","Twitter for Android")</f>
        <v>Twitter for Android</v>
      </c>
      <c r="L742" s="16">
        <v>214</v>
      </c>
      <c r="M742" s="16">
        <v>820</v>
      </c>
      <c r="N742" s="16">
        <v>0</v>
      </c>
      <c r="O742" s="17"/>
      <c r="P742" s="18">
        <v>40559.622708333336</v>
      </c>
      <c r="Q742" s="7"/>
      <c r="R742" s="7"/>
      <c r="S742" s="7"/>
      <c r="T742" s="8"/>
      <c r="U742" s="19" t="str">
        <f>HYPERLINK("https://pbs.twimg.com/profile_images/1173191573355552768/Rqnx3BF1.jpg","View")</f>
        <v>View</v>
      </c>
      <c r="V742" s="8"/>
      <c r="W742" s="8"/>
      <c r="X742" s="8"/>
      <c r="Y742" s="8"/>
      <c r="Z742" s="8"/>
    </row>
    <row r="743" spans="1:26" ht="12.75">
      <c r="A743" s="11">
        <v>43747.297662037032</v>
      </c>
      <c r="B743" s="12" t="str">
        <f>HYPERLINK("https://twitter.com/mavibere__","@mavibere__")</f>
        <v>@mavibere__</v>
      </c>
      <c r="C743" s="7" t="s">
        <v>6190</v>
      </c>
      <c r="D743" s="7" t="s">
        <v>6191</v>
      </c>
      <c r="E743" s="12" t="str">
        <f>HYPERLINK("https://twitter.com/mavibere__/status/1181934497685786626","1181934497685786626")</f>
        <v>1181934497685786626</v>
      </c>
      <c r="F743" s="8"/>
      <c r="G743" s="14" t="s">
        <v>6192</v>
      </c>
      <c r="H743" s="8"/>
      <c r="I743" s="15">
        <v>0</v>
      </c>
      <c r="J743" s="15">
        <v>0</v>
      </c>
      <c r="K743" s="12" t="str">
        <f>HYPERLINK("http://twitter.com/download/android","Twitter for Android")</f>
        <v>Twitter for Android</v>
      </c>
      <c r="L743" s="16">
        <v>18</v>
      </c>
      <c r="M743" s="16">
        <v>24</v>
      </c>
      <c r="N743" s="16">
        <v>0</v>
      </c>
      <c r="O743" s="17"/>
      <c r="P743" s="18">
        <v>43482.240081018521</v>
      </c>
      <c r="Q743" s="7"/>
      <c r="R743" s="7" t="s">
        <v>6195</v>
      </c>
      <c r="S743" s="7"/>
      <c r="T743" s="8"/>
      <c r="U743" s="19" t="str">
        <f>HYPERLINK("https://pbs.twimg.com/profile_images/1152981178489745414/7w07-2vq.jpg","View")</f>
        <v>View</v>
      </c>
      <c r="V743" s="8"/>
      <c r="W743" s="8"/>
      <c r="X743" s="8"/>
      <c r="Y743" s="8"/>
      <c r="Z743" s="8"/>
    </row>
    <row r="744" spans="1:26" ht="12.75">
      <c r="A744" s="11">
        <v>43747.297627314816</v>
      </c>
      <c r="B744" s="12" t="str">
        <f>HYPERLINK("https://twitter.com/memanli","@memanli")</f>
        <v>@memanli</v>
      </c>
      <c r="C744" s="7" t="s">
        <v>6197</v>
      </c>
      <c r="D744" s="7" t="s">
        <v>6198</v>
      </c>
      <c r="E744" s="12" t="str">
        <f>HYPERLINK("https://twitter.com/memanli/status/1181934485107101696","1181934485107101696")</f>
        <v>1181934485107101696</v>
      </c>
      <c r="F744" s="8"/>
      <c r="G744" s="15"/>
      <c r="H744" s="8"/>
      <c r="I744" s="15">
        <v>0</v>
      </c>
      <c r="J744" s="15">
        <v>0</v>
      </c>
      <c r="K744" s="12" t="str">
        <f>HYPERLINK("http://twitter.com/download/android","Twitter for Android")</f>
        <v>Twitter for Android</v>
      </c>
      <c r="L744" s="16">
        <v>64</v>
      </c>
      <c r="M744" s="16">
        <v>345</v>
      </c>
      <c r="N744" s="16">
        <v>0</v>
      </c>
      <c r="O744" s="17"/>
      <c r="P744" s="18">
        <v>41736.545358796298</v>
      </c>
      <c r="Q744" s="7" t="s">
        <v>6199</v>
      </c>
      <c r="R744" s="7" t="s">
        <v>6200</v>
      </c>
      <c r="S744" s="7"/>
      <c r="T744" s="8"/>
      <c r="U744" s="19" t="str">
        <f>HYPERLINK("https://pbs.twimg.com/profile_images/1124389666340339712/irujW6e_.jpg","View")</f>
        <v>View</v>
      </c>
      <c r="V744" s="8"/>
      <c r="W744" s="8"/>
      <c r="X744" s="8"/>
      <c r="Y744" s="8"/>
      <c r="Z744" s="8"/>
    </row>
    <row r="745" spans="1:26" ht="12.75">
      <c r="A745" s="11">
        <v>43747.29760416667</v>
      </c>
      <c r="B745" s="12" t="str">
        <f>HYPERLINK("https://twitter.com/mehriata","@mehriata")</f>
        <v>@mehriata</v>
      </c>
      <c r="C745" s="7" t="s">
        <v>6203</v>
      </c>
      <c r="D745" s="7" t="s">
        <v>6204</v>
      </c>
      <c r="E745" s="12" t="str">
        <f>HYPERLINK("https://twitter.com/mehriata/status/1181934476038946816","1181934476038946816")</f>
        <v>1181934476038946816</v>
      </c>
      <c r="F745" s="8"/>
      <c r="G745" s="14" t="s">
        <v>6205</v>
      </c>
      <c r="H745" s="8"/>
      <c r="I745" s="15">
        <v>0</v>
      </c>
      <c r="J745" s="15">
        <v>0</v>
      </c>
      <c r="K745" s="12" t="str">
        <f>HYPERLINK("http://twitter.com/download/iphone","Twitter for iPhone")</f>
        <v>Twitter for iPhone</v>
      </c>
      <c r="L745" s="16">
        <v>34</v>
      </c>
      <c r="M745" s="16">
        <v>5</v>
      </c>
      <c r="N745" s="16">
        <v>0</v>
      </c>
      <c r="O745" s="17"/>
      <c r="P745" s="18">
        <v>43654.521296296298</v>
      </c>
      <c r="Q745" s="7" t="s">
        <v>6208</v>
      </c>
      <c r="R745" s="7" t="s">
        <v>6210</v>
      </c>
      <c r="S745" s="14" t="s">
        <v>6211</v>
      </c>
      <c r="T745" s="8"/>
      <c r="U745" s="19" t="str">
        <f>HYPERLINK("https://pbs.twimg.com/profile_images/1148314075929219072/vlXclx46.jpg","View")</f>
        <v>View</v>
      </c>
      <c r="V745" s="8"/>
      <c r="W745" s="8"/>
      <c r="X745" s="8"/>
      <c r="Y745" s="8"/>
      <c r="Z745" s="8"/>
    </row>
    <row r="746" spans="1:26" ht="12.75">
      <c r="A746" s="11">
        <v>43747.297581018516</v>
      </c>
      <c r="B746" s="12" t="str">
        <f>HYPERLINK("https://twitter.com/fbasaris","@fbasaris")</f>
        <v>@fbasaris</v>
      </c>
      <c r="C746" s="13" t="s">
        <v>6212</v>
      </c>
      <c r="D746" s="7" t="s">
        <v>6213</v>
      </c>
      <c r="E746" s="12" t="str">
        <f>HYPERLINK("https://twitter.com/fbasaris/status/1181934471211372544","1181934471211372544")</f>
        <v>1181934471211372544</v>
      </c>
      <c r="F746" s="8"/>
      <c r="G746" s="14" t="s">
        <v>6214</v>
      </c>
      <c r="H746" s="8"/>
      <c r="I746" s="15">
        <v>0</v>
      </c>
      <c r="J746" s="15">
        <v>0</v>
      </c>
      <c r="K746" s="12" t="str">
        <f>HYPERLINK("http://twitter.com/download/iphone","Twitter for iPhone")</f>
        <v>Twitter for iPhone</v>
      </c>
      <c r="L746" s="16">
        <v>119</v>
      </c>
      <c r="M746" s="16">
        <v>256</v>
      </c>
      <c r="N746" s="16">
        <v>1</v>
      </c>
      <c r="O746" s="17"/>
      <c r="P746" s="18">
        <v>40049.284872685181</v>
      </c>
      <c r="Q746" s="7" t="s">
        <v>6218</v>
      </c>
      <c r="R746" s="7"/>
      <c r="S746" s="14" t="s">
        <v>6219</v>
      </c>
      <c r="T746" s="8"/>
      <c r="U746" s="19" t="str">
        <f>HYPERLINK("https://pbs.twimg.com/profile_images/550042076256407554/gQOeH04J.jpeg","View")</f>
        <v>View</v>
      </c>
      <c r="V746" s="8"/>
      <c r="W746" s="8"/>
      <c r="X746" s="8"/>
      <c r="Y746" s="8"/>
      <c r="Z746" s="8"/>
    </row>
    <row r="747" spans="1:26" ht="12.75">
      <c r="A747" s="11">
        <v>43747.297569444447</v>
      </c>
      <c r="B747" s="12" t="str">
        <f>HYPERLINK("https://twitter.com/ysnozky","@ysnozky")</f>
        <v>@ysnozky</v>
      </c>
      <c r="C747" s="7" t="s">
        <v>6222</v>
      </c>
      <c r="D747" s="7" t="s">
        <v>6223</v>
      </c>
      <c r="E747" s="12" t="str">
        <f>HYPERLINK("https://twitter.com/ysnozky/status/1181934465553227777","1181934465553227777")</f>
        <v>1181934465553227777</v>
      </c>
      <c r="F747" s="8"/>
      <c r="G747" s="14" t="s">
        <v>6224</v>
      </c>
      <c r="H747" s="8"/>
      <c r="I747" s="15">
        <v>0</v>
      </c>
      <c r="J747" s="15">
        <v>1</v>
      </c>
      <c r="K747" s="12" t="str">
        <f>HYPERLINK("http://twitter.com/download/iphone","Twitter for iPhone")</f>
        <v>Twitter for iPhone</v>
      </c>
      <c r="L747" s="16">
        <v>1113</v>
      </c>
      <c r="M747" s="16">
        <v>431</v>
      </c>
      <c r="N747" s="16">
        <v>4</v>
      </c>
      <c r="O747" s="17"/>
      <c r="P747" s="18">
        <v>40882.199479166666</v>
      </c>
      <c r="Q747" s="7"/>
      <c r="R747" s="7" t="s">
        <v>6228</v>
      </c>
      <c r="S747" s="7"/>
      <c r="T747" s="8"/>
      <c r="U747" s="19" t="str">
        <f>HYPERLINK("https://pbs.twimg.com/profile_images/1123571919721250817/tL0yZztJ.jpg","View")</f>
        <v>View</v>
      </c>
      <c r="V747" s="8"/>
      <c r="W747" s="8"/>
      <c r="X747" s="8"/>
      <c r="Y747" s="8"/>
      <c r="Z747" s="8"/>
    </row>
    <row r="748" spans="1:26" ht="12.75">
      <c r="A748" s="11">
        <v>43747.29755787037</v>
      </c>
      <c r="B748" s="12" t="str">
        <f>HYPERLINK("https://twitter.com/News_India_24x7","@News_India_24x7")</f>
        <v>@News_India_24x7</v>
      </c>
      <c r="C748" s="7" t="s">
        <v>6231</v>
      </c>
      <c r="D748" s="7" t="s">
        <v>6232</v>
      </c>
      <c r="E748" s="12" t="str">
        <f>HYPERLINK("https://twitter.com/News_India_24x7/status/1181934461736255488","1181934461736255488")</f>
        <v>1181934461736255488</v>
      </c>
      <c r="F748" s="8"/>
      <c r="G748" s="14" t="s">
        <v>6233</v>
      </c>
      <c r="H748" s="8"/>
      <c r="I748" s="15">
        <v>2</v>
      </c>
      <c r="J748" s="15">
        <v>3</v>
      </c>
      <c r="K748" s="12" t="str">
        <f>HYPERLINK("https://mobile.twitter.com","Twitter Web App")</f>
        <v>Twitter Web App</v>
      </c>
      <c r="L748" s="16">
        <v>1084</v>
      </c>
      <c r="M748" s="16">
        <v>266</v>
      </c>
      <c r="N748" s="16">
        <v>4</v>
      </c>
      <c r="O748" s="17"/>
      <c r="P748" s="18">
        <v>42769.08357638889</v>
      </c>
      <c r="Q748" s="7" t="s">
        <v>6234</v>
      </c>
      <c r="R748" s="7" t="s">
        <v>6235</v>
      </c>
      <c r="S748" s="7"/>
      <c r="T748" s="8"/>
      <c r="U748" s="19" t="str">
        <f>HYPERLINK("https://pbs.twimg.com/profile_images/1180120416553033733/RTtkIMiZ.jpg","View")</f>
        <v>View</v>
      </c>
      <c r="V748" s="8"/>
      <c r="W748" s="8"/>
      <c r="X748" s="8"/>
      <c r="Y748" s="8"/>
      <c r="Z748" s="8"/>
    </row>
    <row r="749" spans="1:26" ht="12.75">
      <c r="A749" s="11">
        <v>43747.29755787037</v>
      </c>
      <c r="B749" s="12" t="str">
        <f>HYPERLINK("https://twitter.com/lacivertdiyorum","@lacivertdiyorum")</f>
        <v>@lacivertdiyorum</v>
      </c>
      <c r="C749" s="7" t="s">
        <v>6237</v>
      </c>
      <c r="D749" s="7" t="s">
        <v>6238</v>
      </c>
      <c r="E749" s="12" t="str">
        <f>HYPERLINK("https://twitter.com/lacivertdiyorum/status/1181934461245706240","1181934461245706240")</f>
        <v>1181934461245706240</v>
      </c>
      <c r="F749" s="8"/>
      <c r="G749" s="15"/>
      <c r="H749" s="8"/>
      <c r="I749" s="15">
        <v>0</v>
      </c>
      <c r="J749" s="15">
        <v>0</v>
      </c>
      <c r="K749" s="12" t="str">
        <f>HYPERLINK("http://twitter.com/download/iphone","Twitter for iPhone")</f>
        <v>Twitter for iPhone</v>
      </c>
      <c r="L749" s="16">
        <v>155</v>
      </c>
      <c r="M749" s="16">
        <v>115</v>
      </c>
      <c r="N749" s="16">
        <v>0</v>
      </c>
      <c r="O749" s="17"/>
      <c r="P749" s="18">
        <v>41136.904918981483</v>
      </c>
      <c r="Q749" s="7" t="s">
        <v>6239</v>
      </c>
      <c r="R749" s="7" t="s">
        <v>6240</v>
      </c>
      <c r="S749" s="7"/>
      <c r="T749" s="8"/>
      <c r="U749" s="19" t="str">
        <f>HYPERLINK("https://pbs.twimg.com/profile_images/1125882999793434624/CnfirAGB.jpg","View")</f>
        <v>View</v>
      </c>
      <c r="V749" s="8"/>
      <c r="W749" s="8"/>
      <c r="X749" s="8"/>
      <c r="Y749" s="8"/>
      <c r="Z749" s="8"/>
    </row>
    <row r="750" spans="1:26" ht="12.75">
      <c r="A750" s="11">
        <v>43747.297546296293</v>
      </c>
      <c r="B750" s="12" t="str">
        <f>HYPERLINK("https://twitter.com/HarunKO19","@HarunKO19")</f>
        <v>@HarunKO19</v>
      </c>
      <c r="C750" s="7" t="s">
        <v>6241</v>
      </c>
      <c r="D750" s="7" t="s">
        <v>6242</v>
      </c>
      <c r="E750" s="12" t="str">
        <f>HYPERLINK("https://twitter.com/HarunKO19/status/1181934459031052288","1181934459031052288")</f>
        <v>1181934459031052288</v>
      </c>
      <c r="F750" s="8"/>
      <c r="G750" s="14" t="s">
        <v>6243</v>
      </c>
      <c r="H750" s="8"/>
      <c r="I750" s="15">
        <v>0</v>
      </c>
      <c r="J750" s="15">
        <v>0</v>
      </c>
      <c r="K750" s="12" t="str">
        <f>HYPERLINK("http://twitter.com/download/android","Twitter for Android")</f>
        <v>Twitter for Android</v>
      </c>
      <c r="L750" s="16">
        <v>22</v>
      </c>
      <c r="M750" s="16">
        <v>85</v>
      </c>
      <c r="N750" s="16">
        <v>0</v>
      </c>
      <c r="O750" s="17"/>
      <c r="P750" s="18">
        <v>41146.08357638889</v>
      </c>
      <c r="Q750" s="7" t="s">
        <v>6244</v>
      </c>
      <c r="R750" s="7" t="s">
        <v>6245</v>
      </c>
      <c r="S750" s="7"/>
      <c r="T750" s="8"/>
      <c r="U750" s="19" t="str">
        <f>HYPERLINK("https://pbs.twimg.com/profile_images/1109157951925862400/ymsCaW7E.jpg","View")</f>
        <v>View</v>
      </c>
      <c r="V750" s="8"/>
      <c r="W750" s="8"/>
      <c r="X750" s="8"/>
      <c r="Y750" s="8"/>
      <c r="Z750" s="8"/>
    </row>
    <row r="751" spans="1:26" ht="12.75">
      <c r="A751" s="11">
        <v>43747.297546296293</v>
      </c>
      <c r="B751" s="12" t="str">
        <f>HYPERLINK("https://twitter.com/busrragull","@busrragull")</f>
        <v>@busrragull</v>
      </c>
      <c r="C751" s="7" t="s">
        <v>6246</v>
      </c>
      <c r="D751" s="7" t="s">
        <v>6247</v>
      </c>
      <c r="E751" s="12" t="str">
        <f>HYPERLINK("https://twitter.com/busrragull/status/1181934457072340992","1181934457072340992")</f>
        <v>1181934457072340992</v>
      </c>
      <c r="F751" s="14" t="s">
        <v>3207</v>
      </c>
      <c r="G751" s="15"/>
      <c r="H751" s="8"/>
      <c r="I751" s="15">
        <v>0</v>
      </c>
      <c r="J751" s="15">
        <v>0</v>
      </c>
      <c r="K751" s="12" t="str">
        <f>HYPERLINK("http://twitter.com/download/android","Twitter for Android")</f>
        <v>Twitter for Android</v>
      </c>
      <c r="L751" s="16">
        <v>174</v>
      </c>
      <c r="M751" s="16">
        <v>20</v>
      </c>
      <c r="N751" s="16">
        <v>0</v>
      </c>
      <c r="O751" s="17"/>
      <c r="P751" s="18">
        <v>43095.564722222218</v>
      </c>
      <c r="Q751" s="7"/>
      <c r="R751" s="7" t="s">
        <v>6248</v>
      </c>
      <c r="S751" s="7"/>
      <c r="T751" s="8"/>
      <c r="U751" s="19" t="str">
        <f>HYPERLINK("https://pbs.twimg.com/profile_images/1175690618066087938/ZDKsF8RQ.jpg","View")</f>
        <v>View</v>
      </c>
      <c r="V751" s="8"/>
      <c r="W751" s="8"/>
      <c r="X751" s="8"/>
      <c r="Y751" s="8"/>
      <c r="Z751" s="8"/>
    </row>
    <row r="752" spans="1:26" ht="12.75">
      <c r="A752" s="11">
        <v>43747.297546296293</v>
      </c>
      <c r="B752" s="12" t="str">
        <f>HYPERLINK("https://twitter.com/mafilehanim","@mafilehanim")</f>
        <v>@mafilehanim</v>
      </c>
      <c r="C752" s="7" t="s">
        <v>6249</v>
      </c>
      <c r="D752" s="7" t="s">
        <v>6250</v>
      </c>
      <c r="E752" s="12" t="str">
        <f>HYPERLINK("https://twitter.com/mafilehanim/status/1181934456816488448","1181934456816488448")</f>
        <v>1181934456816488448</v>
      </c>
      <c r="F752" s="14" t="s">
        <v>6251</v>
      </c>
      <c r="G752" s="14" t="s">
        <v>6252</v>
      </c>
      <c r="H752" s="8"/>
      <c r="I752" s="15">
        <v>0</v>
      </c>
      <c r="J752" s="15">
        <v>0</v>
      </c>
      <c r="K752" s="12" t="str">
        <f>HYPERLINK("http://twitter.com/download/android","Twitter for Android")</f>
        <v>Twitter for Android</v>
      </c>
      <c r="L752" s="16">
        <v>582</v>
      </c>
      <c r="M752" s="16">
        <v>574</v>
      </c>
      <c r="N752" s="16">
        <v>0</v>
      </c>
      <c r="O752" s="17"/>
      <c r="P752" s="18">
        <v>41946.269756944443</v>
      </c>
      <c r="Q752" s="7"/>
      <c r="R752" s="7" t="s">
        <v>6253</v>
      </c>
      <c r="S752" s="7"/>
      <c r="T752" s="8"/>
      <c r="U752" s="19" t="str">
        <f>HYPERLINK("https://pbs.twimg.com/profile_images/1165748749634801665/TFeX2PfN.jpg","View")</f>
        <v>View</v>
      </c>
      <c r="V752" s="8"/>
      <c r="W752" s="8"/>
      <c r="X752" s="8"/>
      <c r="Y752" s="8"/>
      <c r="Z752" s="8"/>
    </row>
    <row r="753" spans="1:26" ht="12.75">
      <c r="A753" s="11">
        <v>43747.297534722224</v>
      </c>
      <c r="B753" s="12" t="str">
        <f>HYPERLINK("https://twitter.com/nurgulcstnn","@nurgulcstnn")</f>
        <v>@nurgulcstnn</v>
      </c>
      <c r="C753" s="7" t="s">
        <v>6254</v>
      </c>
      <c r="D753" s="7" t="s">
        <v>6255</v>
      </c>
      <c r="E753" s="12" t="str">
        <f>HYPERLINK("https://twitter.com/nurgulcstnn/status/1181934452546646017","1181934452546646017")</f>
        <v>1181934452546646017</v>
      </c>
      <c r="F753" s="8" t="s">
        <v>6256</v>
      </c>
      <c r="G753" s="14" t="s">
        <v>6257</v>
      </c>
      <c r="H753" s="8"/>
      <c r="I753" s="15">
        <v>0</v>
      </c>
      <c r="J753" s="15">
        <v>1</v>
      </c>
      <c r="K753" s="12" t="str">
        <f>HYPERLINK("http://twitter.com/download/android","Twitter for Android")</f>
        <v>Twitter for Android</v>
      </c>
      <c r="L753" s="16">
        <v>433</v>
      </c>
      <c r="M753" s="16">
        <v>128</v>
      </c>
      <c r="N753" s="16">
        <v>1</v>
      </c>
      <c r="O753" s="17"/>
      <c r="P753" s="18">
        <v>41607.263414351852</v>
      </c>
      <c r="Q753" s="7" t="s">
        <v>313</v>
      </c>
      <c r="R753" s="7" t="s">
        <v>6258</v>
      </c>
      <c r="S753" s="14" t="s">
        <v>6259</v>
      </c>
      <c r="T753" s="8"/>
      <c r="U753" s="19" t="str">
        <f>HYPERLINK("https://pbs.twimg.com/profile_images/1170464018982735872/3WW4EP6f.jpg","View")</f>
        <v>View</v>
      </c>
      <c r="V753" s="8"/>
      <c r="W753" s="8"/>
      <c r="X753" s="8"/>
      <c r="Y753" s="8"/>
      <c r="Z753" s="8"/>
    </row>
    <row r="754" spans="1:26" ht="12.75">
      <c r="A754" s="11">
        <v>43747.297523148147</v>
      </c>
      <c r="B754" s="12" t="str">
        <f>HYPERLINK("https://twitter.com/freddie1999","@freddie1999")</f>
        <v>@freddie1999</v>
      </c>
      <c r="C754" s="7" t="s">
        <v>6260</v>
      </c>
      <c r="D754" s="7" t="s">
        <v>6261</v>
      </c>
      <c r="E754" s="12" t="str">
        <f>HYPERLINK("https://twitter.com/freddie1999/status/1181934446632722435","1181934446632722435")</f>
        <v>1181934446632722435</v>
      </c>
      <c r="F754" s="8"/>
      <c r="G754" s="14" t="s">
        <v>6262</v>
      </c>
      <c r="H754" s="8"/>
      <c r="I754" s="15">
        <v>5</v>
      </c>
      <c r="J754" s="15">
        <v>1</v>
      </c>
      <c r="K754" s="12" t="str">
        <f>HYPERLINK("http://twitter.com/download/iphone","Twitter for iPhone")</f>
        <v>Twitter for iPhone</v>
      </c>
      <c r="L754" s="16">
        <v>17559</v>
      </c>
      <c r="M754" s="16">
        <v>15135</v>
      </c>
      <c r="N754" s="16">
        <v>143</v>
      </c>
      <c r="O754" s="17"/>
      <c r="P754" s="18">
        <v>40091.520613425928</v>
      </c>
      <c r="Q754" s="7" t="s">
        <v>6266</v>
      </c>
      <c r="R754" s="7" t="s">
        <v>6267</v>
      </c>
      <c r="S754" s="15"/>
      <c r="T754" s="8"/>
      <c r="U754" s="19" t="str">
        <f>HYPERLINK("https://pbs.twimg.com/profile_images/980080309889916930/4XL0h2O3.jpg","View")</f>
        <v>View</v>
      </c>
      <c r="V754" s="8"/>
      <c r="W754" s="8"/>
      <c r="X754" s="8"/>
      <c r="Y754" s="8"/>
      <c r="Z754" s="8"/>
    </row>
    <row r="755" spans="1:26" ht="12.75">
      <c r="A755" s="11">
        <v>43747.297500000001</v>
      </c>
      <c r="B755" s="12" t="str">
        <f>HYPERLINK("https://twitter.com/hanmehmettt","@hanmehmettt")</f>
        <v>@hanmehmettt</v>
      </c>
      <c r="C755" s="7" t="s">
        <v>6268</v>
      </c>
      <c r="D755" s="7" t="s">
        <v>6269</v>
      </c>
      <c r="E755" s="12" t="str">
        <f>HYPERLINK("https://twitter.com/hanmehmettt/status/1181934441456967681","1181934441456967681")</f>
        <v>1181934441456967681</v>
      </c>
      <c r="F755" s="8"/>
      <c r="G755" s="14" t="s">
        <v>6270</v>
      </c>
      <c r="H755" s="8"/>
      <c r="I755" s="15">
        <v>0</v>
      </c>
      <c r="J755" s="15">
        <v>4</v>
      </c>
      <c r="K755" s="12" t="str">
        <f>HYPERLINK("http://twitter.com/download/iphone","Twitter for iPhone")</f>
        <v>Twitter for iPhone</v>
      </c>
      <c r="L755" s="16">
        <v>933</v>
      </c>
      <c r="M755" s="16">
        <v>417</v>
      </c>
      <c r="N755" s="16">
        <v>0</v>
      </c>
      <c r="O755" s="17"/>
      <c r="P755" s="18">
        <v>40894.29277777778</v>
      </c>
      <c r="Q755" s="7"/>
      <c r="R755" s="7" t="s">
        <v>6271</v>
      </c>
      <c r="S755" s="7"/>
      <c r="T755" s="8"/>
      <c r="U755" s="19" t="str">
        <f>HYPERLINK("https://pbs.twimg.com/profile_images/1181851007111880704/6xc2qK1G.jpg","View")</f>
        <v>View</v>
      </c>
      <c r="V755" s="8"/>
      <c r="W755" s="8"/>
      <c r="X755" s="8"/>
      <c r="Y755" s="8"/>
      <c r="Z755" s="8"/>
    </row>
    <row r="756" spans="1:26" ht="12.75">
      <c r="A756" s="11">
        <v>43747.297488425931</v>
      </c>
      <c r="B756" s="12" t="str">
        <f>HYPERLINK("https://twitter.com/AytekTncr","@AytekTncr")</f>
        <v>@AytekTncr</v>
      </c>
      <c r="C756" s="7" t="s">
        <v>6272</v>
      </c>
      <c r="D756" s="7" t="s">
        <v>6273</v>
      </c>
      <c r="E756" s="12" t="str">
        <f>HYPERLINK("https://twitter.com/AytekTncr/status/1181934434062422016","1181934434062422016")</f>
        <v>1181934434062422016</v>
      </c>
      <c r="F756" s="8"/>
      <c r="G756" s="15" t="s">
        <v>6274</v>
      </c>
      <c r="H756" s="8"/>
      <c r="I756" s="15">
        <v>1</v>
      </c>
      <c r="J756" s="15">
        <v>1</v>
      </c>
      <c r="K756" s="12" t="str">
        <f>HYPERLINK("http://twitter.com/download/android","Twitter for Android")</f>
        <v>Twitter for Android</v>
      </c>
      <c r="L756" s="16">
        <v>35</v>
      </c>
      <c r="M756" s="16">
        <v>41</v>
      </c>
      <c r="N756" s="16">
        <v>0</v>
      </c>
      <c r="O756" s="17"/>
      <c r="P756" s="18">
        <v>41867.597800925927</v>
      </c>
      <c r="Q756" s="7" t="s">
        <v>287</v>
      </c>
      <c r="R756" s="7" t="s">
        <v>6277</v>
      </c>
      <c r="S756" s="15"/>
      <c r="T756" s="8"/>
      <c r="U756" s="19" t="str">
        <f>HYPERLINK("https://pbs.twimg.com/profile_images/1164257183464394754/aSwiC8gN.jpg","View")</f>
        <v>View</v>
      </c>
      <c r="V756" s="8"/>
      <c r="W756" s="8"/>
      <c r="X756" s="8"/>
      <c r="Y756" s="8"/>
      <c r="Z756" s="8"/>
    </row>
    <row r="757" spans="1:26" ht="12.75">
      <c r="A757" s="11">
        <v>43747.297476851847</v>
      </c>
      <c r="B757" s="12" t="str">
        <f>HYPERLINK("https://twitter.com/Alexandros1909","@Alexandros1909")</f>
        <v>@Alexandros1909</v>
      </c>
      <c r="C757" s="7" t="s">
        <v>6278</v>
      </c>
      <c r="D757" s="7" t="s">
        <v>6279</v>
      </c>
      <c r="E757" s="12" t="str">
        <f>HYPERLINK("https://twitter.com/Alexandros1909/status/1181934432569167873","1181934432569167873")</f>
        <v>1181934432569167873</v>
      </c>
      <c r="F757" s="8"/>
      <c r="G757" s="7"/>
      <c r="H757" s="8"/>
      <c r="I757" s="15">
        <v>1</v>
      </c>
      <c r="J757" s="15">
        <v>1</v>
      </c>
      <c r="K757" s="12" t="str">
        <f>HYPERLINK("http://twitter.com/download/android","Twitter for Android")</f>
        <v>Twitter for Android</v>
      </c>
      <c r="L757" s="16">
        <v>3750</v>
      </c>
      <c r="M757" s="16">
        <v>3275</v>
      </c>
      <c r="N757" s="16">
        <v>70</v>
      </c>
      <c r="O757" s="17"/>
      <c r="P757" s="18">
        <v>42062.537754629629</v>
      </c>
      <c r="Q757" s="7" t="s">
        <v>6280</v>
      </c>
      <c r="R757" s="7" t="s">
        <v>6281</v>
      </c>
      <c r="S757" s="14" t="s">
        <v>6282</v>
      </c>
      <c r="T757" s="8"/>
      <c r="U757" s="19" t="str">
        <f>HYPERLINK("https://pbs.twimg.com/profile_images/1173633755900194817/7JXDOEp9.png","View")</f>
        <v>View</v>
      </c>
      <c r="V757" s="8"/>
      <c r="W757" s="8"/>
      <c r="X757" s="8"/>
      <c r="Y757" s="8"/>
      <c r="Z757" s="8"/>
    </row>
    <row r="758" spans="1:26" ht="12.75">
      <c r="A758" s="11">
        <v>43747.297453703708</v>
      </c>
      <c r="B758" s="12" t="str">
        <f>HYPERLINK("https://twitter.com/fatmabasarali","@fatmabasarali")</f>
        <v>@fatmabasarali</v>
      </c>
      <c r="C758" s="7" t="s">
        <v>6283</v>
      </c>
      <c r="D758" s="7" t="s">
        <v>6284</v>
      </c>
      <c r="E758" s="12" t="str">
        <f>HYPERLINK("https://twitter.com/fatmabasarali/status/1181934423446626307","1181934423446626307")</f>
        <v>1181934423446626307</v>
      </c>
      <c r="F758" s="8"/>
      <c r="G758" s="14" t="s">
        <v>6285</v>
      </c>
      <c r="H758" s="8"/>
      <c r="I758" s="15">
        <v>0</v>
      </c>
      <c r="J758" s="15">
        <v>2</v>
      </c>
      <c r="K758" s="12" t="str">
        <f>HYPERLINK("http://twitter.com/download/iphone","Twitter for iPhone")</f>
        <v>Twitter for iPhone</v>
      </c>
      <c r="L758" s="16">
        <v>1057</v>
      </c>
      <c r="M758" s="16">
        <v>271</v>
      </c>
      <c r="N758" s="16">
        <v>2</v>
      </c>
      <c r="O758" s="17"/>
      <c r="P758" s="18">
        <v>41483.449953703705</v>
      </c>
      <c r="Q758" s="7"/>
      <c r="R758" s="7"/>
      <c r="S758" s="7"/>
      <c r="T758" s="8"/>
      <c r="U758" s="19" t="str">
        <f>HYPERLINK("https://pbs.twimg.com/profile_images/1168893423702745095/vbV3cH8q.jpg","View")</f>
        <v>View</v>
      </c>
      <c r="V758" s="8"/>
      <c r="W758" s="8"/>
      <c r="X758" s="8"/>
      <c r="Y758" s="8"/>
      <c r="Z758" s="8"/>
    </row>
    <row r="759" spans="1:26" ht="12.75">
      <c r="A759" s="11">
        <v>43747.297453703708</v>
      </c>
      <c r="B759" s="12" t="str">
        <f>HYPERLINK("https://twitter.com/abdullahtirink","@abdullahtirink")</f>
        <v>@abdullahtirink</v>
      </c>
      <c r="C759" s="7" t="s">
        <v>6286</v>
      </c>
      <c r="D759" s="7" t="s">
        <v>6287</v>
      </c>
      <c r="E759" s="12" t="str">
        <f>HYPERLINK("https://twitter.com/abdullahtirink/status/1181934423106887680","1181934423106887680")</f>
        <v>1181934423106887680</v>
      </c>
      <c r="F759" s="14" t="s">
        <v>6288</v>
      </c>
      <c r="G759" s="7"/>
      <c r="H759" s="8"/>
      <c r="I759" s="15">
        <v>0</v>
      </c>
      <c r="J759" s="15">
        <v>2</v>
      </c>
      <c r="K759" s="12" t="str">
        <f>HYPERLINK("http://twitter.com/download/android","Twitter for Android")</f>
        <v>Twitter for Android</v>
      </c>
      <c r="L759" s="16">
        <v>2319</v>
      </c>
      <c r="M759" s="16">
        <v>1135</v>
      </c>
      <c r="N759" s="16">
        <v>42</v>
      </c>
      <c r="O759" s="17"/>
      <c r="P759" s="18">
        <v>39929.629548611112</v>
      </c>
      <c r="Q759" s="7" t="s">
        <v>6289</v>
      </c>
      <c r="R759" s="7" t="s">
        <v>6290</v>
      </c>
      <c r="S759" s="7"/>
      <c r="T759" s="8"/>
      <c r="U759" s="19" t="str">
        <f>HYPERLINK("https://pbs.twimg.com/profile_images/1181300561779421185/3ywAlSG6.jpg","View")</f>
        <v>View</v>
      </c>
      <c r="V759" s="8"/>
      <c r="W759" s="8"/>
      <c r="X759" s="8"/>
      <c r="Y759" s="8"/>
      <c r="Z759" s="8"/>
    </row>
    <row r="760" spans="1:26" ht="12.75">
      <c r="A760" s="11">
        <v>43747.297442129631</v>
      </c>
      <c r="B760" s="12" t="str">
        <f>HYPERLINK("https://twitter.com/beykozzafer1903","@beykozzafer1903")</f>
        <v>@beykozzafer1903</v>
      </c>
      <c r="C760" s="7" t="s">
        <v>6291</v>
      </c>
      <c r="D760" s="7" t="s">
        <v>6292</v>
      </c>
      <c r="E760" s="12" t="str">
        <f>HYPERLINK("https://twitter.com/beykozzafer1903/status/1181934417276755969","1181934417276755969")</f>
        <v>1181934417276755969</v>
      </c>
      <c r="F760" s="8"/>
      <c r="G760" s="14" t="s">
        <v>6293</v>
      </c>
      <c r="H760" s="8"/>
      <c r="I760" s="15">
        <v>0</v>
      </c>
      <c r="J760" s="15">
        <v>1</v>
      </c>
      <c r="K760" s="12" t="str">
        <f>HYPERLINK("http://twitter.com/download/android","Twitter for Android")</f>
        <v>Twitter for Android</v>
      </c>
      <c r="L760" s="16">
        <v>567</v>
      </c>
      <c r="M760" s="16">
        <v>486</v>
      </c>
      <c r="N760" s="16">
        <v>0</v>
      </c>
      <c r="O760" s="17"/>
      <c r="P760" s="18">
        <v>41167.001851851848</v>
      </c>
      <c r="Q760" s="7" t="s">
        <v>6294</v>
      </c>
      <c r="R760" s="7" t="s">
        <v>6295</v>
      </c>
      <c r="S760" s="7"/>
      <c r="T760" s="8"/>
      <c r="U760" s="19" t="str">
        <f>HYPERLINK("https://pbs.twimg.com/profile_images/1170441789892943873/U3hDk-f-.jpg","View")</f>
        <v>View</v>
      </c>
      <c r="V760" s="8"/>
      <c r="W760" s="8"/>
      <c r="X760" s="8"/>
      <c r="Y760" s="8"/>
      <c r="Z760" s="8"/>
    </row>
    <row r="761" spans="1:26" ht="12.75">
      <c r="A761" s="11">
        <v>43747.297407407408</v>
      </c>
      <c r="B761" s="12" t="str">
        <f>HYPERLINK("https://twitter.com/bkbym","@bkbym")</f>
        <v>@bkbym</v>
      </c>
      <c r="C761" s="7" t="s">
        <v>6296</v>
      </c>
      <c r="D761" s="7" t="s">
        <v>6297</v>
      </c>
      <c r="E761" s="12" t="str">
        <f>HYPERLINK("https://twitter.com/bkbym/status/1181934405356593152","1181934405356593152")</f>
        <v>1181934405356593152</v>
      </c>
      <c r="F761" s="8"/>
      <c r="G761" s="14" t="s">
        <v>6298</v>
      </c>
      <c r="H761" s="8"/>
      <c r="I761" s="15">
        <v>0</v>
      </c>
      <c r="J761" s="15">
        <v>1</v>
      </c>
      <c r="K761" s="12" t="str">
        <f>HYPERLINK("http://twitter.com/download/android","Twitter for Android")</f>
        <v>Twitter for Android</v>
      </c>
      <c r="L761" s="16">
        <v>1254</v>
      </c>
      <c r="M761" s="16">
        <v>1260</v>
      </c>
      <c r="N761" s="16">
        <v>0</v>
      </c>
      <c r="O761" s="17"/>
      <c r="P761" s="18">
        <v>43258.498124999998</v>
      </c>
      <c r="Q761" s="7"/>
      <c r="R761" s="7"/>
      <c r="S761" s="7"/>
      <c r="T761" s="8"/>
      <c r="U761" s="19" t="str">
        <f>HYPERLINK("https://pbs.twimg.com/profile_images/1173692199843901447/BnJaUtMS.jpg","View")</f>
        <v>View</v>
      </c>
      <c r="V761" s="8"/>
      <c r="W761" s="8"/>
      <c r="X761" s="8"/>
      <c r="Y761" s="8"/>
      <c r="Z761" s="8"/>
    </row>
    <row r="762" spans="1:26" ht="12.75">
      <c r="A762" s="11">
        <v>43747.297384259262</v>
      </c>
      <c r="B762" s="12" t="str">
        <f>HYPERLINK("https://twitter.com/karabuk_mttb","@karabuk_mttb")</f>
        <v>@karabuk_mttb</v>
      </c>
      <c r="C762" s="7" t="s">
        <v>6303</v>
      </c>
      <c r="D762" s="7" t="s">
        <v>3843</v>
      </c>
      <c r="E762" s="12" t="str">
        <f>HYPERLINK("https://twitter.com/karabuk_mttb/status/1181934399866232832","1181934399866232832")</f>
        <v>1181934399866232832</v>
      </c>
      <c r="F762" s="8"/>
      <c r="G762" s="7"/>
      <c r="H762" s="8"/>
      <c r="I762" s="15">
        <v>0</v>
      </c>
      <c r="J762" s="15">
        <v>0</v>
      </c>
      <c r="K762" s="12" t="str">
        <f>HYPERLINK("http://twitter.com/download/android","Twitter for Android")</f>
        <v>Twitter for Android</v>
      </c>
      <c r="L762" s="16">
        <v>41</v>
      </c>
      <c r="M762" s="16">
        <v>28</v>
      </c>
      <c r="N762" s="16">
        <v>0</v>
      </c>
      <c r="O762" s="17"/>
      <c r="P762" s="18">
        <v>43392.559432870374</v>
      </c>
      <c r="Q762" s="7"/>
      <c r="R762" s="7" t="s">
        <v>6304</v>
      </c>
      <c r="S762" s="7"/>
      <c r="T762" s="8"/>
      <c r="U762" s="19" t="str">
        <f>HYPERLINK("https://pbs.twimg.com/profile_images/1053382489954271232/fPjhewER.jpg","View")</f>
        <v>View</v>
      </c>
      <c r="V762" s="8"/>
      <c r="W762" s="8"/>
      <c r="X762" s="8"/>
      <c r="Y762" s="8"/>
      <c r="Z762" s="8"/>
    </row>
    <row r="763" spans="1:26" ht="12.75">
      <c r="A763" s="11">
        <v>43747.297361111108</v>
      </c>
      <c r="B763" s="12" t="str">
        <f>HYPERLINK("https://twitter.com/Atakz9","@Atakz9")</f>
        <v>@Atakz9</v>
      </c>
      <c r="C763" s="7" t="s">
        <v>6305</v>
      </c>
      <c r="D763" s="7" t="s">
        <v>6306</v>
      </c>
      <c r="E763" s="12" t="str">
        <f>HYPERLINK("https://twitter.com/Atakz9/status/1181934390001180674","1181934390001180674")</f>
        <v>1181934390001180674</v>
      </c>
      <c r="F763" s="14" t="s">
        <v>6307</v>
      </c>
      <c r="G763" s="14" t="s">
        <v>6308</v>
      </c>
      <c r="H763" s="8"/>
      <c r="I763" s="15">
        <v>0</v>
      </c>
      <c r="J763" s="15">
        <v>1</v>
      </c>
      <c r="K763" s="12" t="str">
        <f>HYPERLINK("http://twitter.com/download/android","Twitter for Android")</f>
        <v>Twitter for Android</v>
      </c>
      <c r="L763" s="16">
        <v>1942</v>
      </c>
      <c r="M763" s="16">
        <v>942</v>
      </c>
      <c r="N763" s="16">
        <v>1</v>
      </c>
      <c r="O763" s="17"/>
      <c r="P763" s="18">
        <v>43128.247534722221</v>
      </c>
      <c r="Q763" s="7"/>
      <c r="R763" s="7" t="s">
        <v>6309</v>
      </c>
      <c r="S763" s="7"/>
      <c r="T763" s="8"/>
      <c r="U763" s="19" t="str">
        <f>HYPERLINK("https://pbs.twimg.com/profile_images/1057188264317202432/Joxwrh5j.jpg","View")</f>
        <v>View</v>
      </c>
      <c r="V763" s="8"/>
      <c r="W763" s="8"/>
      <c r="X763" s="8"/>
      <c r="Y763" s="8"/>
      <c r="Z763" s="8"/>
    </row>
    <row r="764" spans="1:26" ht="12.75">
      <c r="A764" s="11">
        <v>43747.297349537039</v>
      </c>
      <c r="B764" s="12" t="str">
        <f>HYPERLINK("https://twitter.com/Hasan_Erdgn_","@Hasan_Erdgn_")</f>
        <v>@Hasan_Erdgn_</v>
      </c>
      <c r="C764" s="7" t="s">
        <v>6310</v>
      </c>
      <c r="D764" s="7" t="s">
        <v>6311</v>
      </c>
      <c r="E764" s="12" t="str">
        <f>HYPERLINK("https://twitter.com/Hasan_Erdgn_/status/1181934384988991488","1181934384988991488")</f>
        <v>1181934384988991488</v>
      </c>
      <c r="F764" s="8"/>
      <c r="G764" s="15"/>
      <c r="H764" s="8"/>
      <c r="I764" s="15">
        <v>0</v>
      </c>
      <c r="J764" s="15">
        <v>0</v>
      </c>
      <c r="K764" s="12" t="str">
        <f>HYPERLINK("http://twitter.com/download/iphone","Twitter for iPhone")</f>
        <v>Twitter for iPhone</v>
      </c>
      <c r="L764" s="16">
        <v>167</v>
      </c>
      <c r="M764" s="16">
        <v>240</v>
      </c>
      <c r="N764" s="16">
        <v>0</v>
      </c>
      <c r="O764" s="17"/>
      <c r="P764" s="18">
        <v>40247.144606481481</v>
      </c>
      <c r="Q764" s="7" t="s">
        <v>200</v>
      </c>
      <c r="R764" s="7"/>
      <c r="S764" s="7"/>
      <c r="T764" s="8"/>
      <c r="U764" s="19" t="str">
        <f>HYPERLINK("https://pbs.twimg.com/profile_images/1164718758595895296/rJqhfmAO.jpg","View")</f>
        <v>View</v>
      </c>
      <c r="V764" s="8"/>
      <c r="W764" s="8"/>
      <c r="X764" s="8"/>
      <c r="Y764" s="8"/>
      <c r="Z764" s="8"/>
    </row>
    <row r="765" spans="1:26" ht="12.75">
      <c r="A765" s="11">
        <v>43747.297303240739</v>
      </c>
      <c r="B765" s="12" t="str">
        <f>HYPERLINK("https://twitter.com/Hac93213397","@Hac93213397")</f>
        <v>@Hac93213397</v>
      </c>
      <c r="C765" s="7" t="s">
        <v>6312</v>
      </c>
      <c r="D765" s="7" t="s">
        <v>6313</v>
      </c>
      <c r="E765" s="12" t="str">
        <f>HYPERLINK("https://twitter.com/Hac93213397/status/1181934368618680320","1181934368618680320")</f>
        <v>1181934368618680320</v>
      </c>
      <c r="F765" s="8"/>
      <c r="G765" s="7"/>
      <c r="H765" s="8"/>
      <c r="I765" s="15">
        <v>0</v>
      </c>
      <c r="J765" s="15">
        <v>1</v>
      </c>
      <c r="K765" s="12" t="str">
        <f>HYPERLINK("http://twitter.com/download/android","Twitter for Android")</f>
        <v>Twitter for Android</v>
      </c>
      <c r="L765" s="16">
        <v>60</v>
      </c>
      <c r="M765" s="16">
        <v>139</v>
      </c>
      <c r="N765" s="16">
        <v>0</v>
      </c>
      <c r="O765" s="17"/>
      <c r="P765" s="18">
        <v>43742.073807870373</v>
      </c>
      <c r="Q765" s="7"/>
      <c r="R765" s="7" t="s">
        <v>6314</v>
      </c>
      <c r="S765" s="7"/>
      <c r="T765" s="8"/>
      <c r="U765" s="19" t="str">
        <f>HYPERLINK("https://pbs.twimg.com/profile_images/1181498656400269312/qg47HqDi.jpg","View")</f>
        <v>View</v>
      </c>
      <c r="V765" s="8"/>
      <c r="W765" s="8"/>
      <c r="X765" s="8"/>
      <c r="Y765" s="8"/>
      <c r="Z765" s="8"/>
    </row>
    <row r="766" spans="1:26" ht="12.75">
      <c r="A766" s="11">
        <v>43747.297268518523</v>
      </c>
      <c r="B766" s="12" t="str">
        <f>HYPERLINK("https://twitter.com/jsmit12","@jsmit12")</f>
        <v>@jsmit12</v>
      </c>
      <c r="C766" s="7" t="s">
        <v>6315</v>
      </c>
      <c r="D766" s="7" t="s">
        <v>6316</v>
      </c>
      <c r="E766" s="12" t="str">
        <f>HYPERLINK("https://twitter.com/jsmit12/status/1181934355654033411","1181934355654033411")</f>
        <v>1181934355654033411</v>
      </c>
      <c r="F766" s="8"/>
      <c r="G766" s="15"/>
      <c r="H766" s="8"/>
      <c r="I766" s="15">
        <v>0</v>
      </c>
      <c r="J766" s="15">
        <v>0</v>
      </c>
      <c r="K766" s="12" t="str">
        <f>HYPERLINK("http://twitter.com/download/iphone","Twitter for iPhone")</f>
        <v>Twitter for iPhone</v>
      </c>
      <c r="L766" s="16">
        <v>393</v>
      </c>
      <c r="M766" s="16">
        <v>1399</v>
      </c>
      <c r="N766" s="16">
        <v>0</v>
      </c>
      <c r="O766" s="17"/>
      <c r="P766" s="18">
        <v>39891.246574074074</v>
      </c>
      <c r="Q766" s="7" t="s">
        <v>6317</v>
      </c>
      <c r="R766" s="7" t="s">
        <v>6318</v>
      </c>
      <c r="S766" s="7"/>
      <c r="T766" s="8"/>
      <c r="U766" s="19" t="str">
        <f>HYPERLINK("https://pbs.twimg.com/profile_images/891002675596341250/2GI31ukp.jpg","View")</f>
        <v>View</v>
      </c>
      <c r="V766" s="8"/>
      <c r="W766" s="8"/>
      <c r="X766" s="8"/>
      <c r="Y766" s="8"/>
      <c r="Z766" s="8"/>
    </row>
    <row r="767" spans="1:26" ht="12.75">
      <c r="A767" s="11">
        <v>43747.297256944439</v>
      </c>
      <c r="B767" s="12" t="str">
        <f>HYPERLINK("https://twitter.com/omerdagdevirenn","@omerdagdevirenn")</f>
        <v>@omerdagdevirenn</v>
      </c>
      <c r="C767" s="7" t="s">
        <v>6322</v>
      </c>
      <c r="D767" s="7" t="s">
        <v>6323</v>
      </c>
      <c r="E767" s="12" t="str">
        <f>HYPERLINK("https://twitter.com/omerdagdevirenn/status/1181934354144124929","1181934354144124929")</f>
        <v>1181934354144124929</v>
      </c>
      <c r="F767" s="8"/>
      <c r="G767" s="14" t="s">
        <v>6324</v>
      </c>
      <c r="H767" s="8"/>
      <c r="I767" s="15">
        <v>0</v>
      </c>
      <c r="J767" s="15">
        <v>1</v>
      </c>
      <c r="K767" s="12" t="str">
        <f>HYPERLINK("http://twitter.com/download/iphone","Twitter for iPhone")</f>
        <v>Twitter for iPhone</v>
      </c>
      <c r="L767" s="16">
        <v>21</v>
      </c>
      <c r="M767" s="16">
        <v>8</v>
      </c>
      <c r="N767" s="16">
        <v>0</v>
      </c>
      <c r="O767" s="17"/>
      <c r="P767" s="18">
        <v>43385.309548611112</v>
      </c>
      <c r="Q767" s="7" t="s">
        <v>80</v>
      </c>
      <c r="R767" s="7" t="s">
        <v>6327</v>
      </c>
      <c r="S767" s="14" t="s">
        <v>6328</v>
      </c>
      <c r="T767" s="8"/>
      <c r="U767" s="19" t="str">
        <f>HYPERLINK("https://pbs.twimg.com/profile_images/1167958054605742082/YMf6b1T0.jpg","View")</f>
        <v>View</v>
      </c>
      <c r="V767" s="8"/>
      <c r="W767" s="8"/>
      <c r="X767" s="8"/>
      <c r="Y767" s="8"/>
      <c r="Z767" s="8"/>
    </row>
    <row r="768" spans="1:26" ht="12.75">
      <c r="A768" s="11">
        <v>43747.297256944439</v>
      </c>
      <c r="B768" s="12" t="str">
        <f>HYPERLINK("https://twitter.com/tunnelonur","@tunnelonur")</f>
        <v>@tunnelonur</v>
      </c>
      <c r="C768" s="7" t="s">
        <v>6330</v>
      </c>
      <c r="D768" s="7" t="s">
        <v>6331</v>
      </c>
      <c r="E768" s="12" t="str">
        <f>HYPERLINK("https://twitter.com/tunnelonur/status/1181934353150042112","1181934353150042112")</f>
        <v>1181934353150042112</v>
      </c>
      <c r="F768" s="8" t="s">
        <v>6332</v>
      </c>
      <c r="G768" s="14" t="s">
        <v>6333</v>
      </c>
      <c r="H768" s="8"/>
      <c r="I768" s="15">
        <v>0</v>
      </c>
      <c r="J768" s="15">
        <v>0</v>
      </c>
      <c r="K768" s="12" t="str">
        <f>HYPERLINK("http://twitter.com/download/android","Twitter for Android")</f>
        <v>Twitter for Android</v>
      </c>
      <c r="L768" s="16">
        <v>108</v>
      </c>
      <c r="M768" s="16">
        <v>843</v>
      </c>
      <c r="N768" s="16">
        <v>0</v>
      </c>
      <c r="O768" s="17"/>
      <c r="P768" s="18">
        <v>43488.367581018523</v>
      </c>
      <c r="Q768" s="7" t="s">
        <v>313</v>
      </c>
      <c r="R768" s="7" t="s">
        <v>6334</v>
      </c>
      <c r="S768" s="7"/>
      <c r="T768" s="8"/>
      <c r="U768" s="19" t="str">
        <f>HYPERLINK("https://pbs.twimg.com/profile_images/1130945836945485824/vyTu7HmX.jpg","View")</f>
        <v>View</v>
      </c>
      <c r="V768" s="8"/>
      <c r="W768" s="8"/>
      <c r="X768" s="8"/>
      <c r="Y768" s="8"/>
      <c r="Z768" s="8"/>
    </row>
    <row r="769" spans="1:26" ht="12.75">
      <c r="A769" s="11">
        <v>43747.297222222223</v>
      </c>
      <c r="B769" s="12" t="str">
        <f>HYPERLINK("https://twitter.com/akilbirgenc","@akilbirgenc")</f>
        <v>@akilbirgenc</v>
      </c>
      <c r="C769" s="21" t="s">
        <v>6335</v>
      </c>
      <c r="D769" s="7" t="s">
        <v>6336</v>
      </c>
      <c r="E769" s="12" t="str">
        <f>HYPERLINK("https://twitter.com/akilbirgenc/status/1181934339485061122","1181934339485061122")</f>
        <v>1181934339485061122</v>
      </c>
      <c r="F769" s="14" t="s">
        <v>6337</v>
      </c>
      <c r="G769" s="15"/>
      <c r="H769" s="8"/>
      <c r="I769" s="15">
        <v>0</v>
      </c>
      <c r="J769" s="15">
        <v>0</v>
      </c>
      <c r="K769" s="12" t="str">
        <f>HYPERLINK("http://twitter.com/download/iphone","Twitter for iPhone")</f>
        <v>Twitter for iPhone</v>
      </c>
      <c r="L769" s="16">
        <v>55</v>
      </c>
      <c r="M769" s="16">
        <v>74</v>
      </c>
      <c r="N769" s="16">
        <v>0</v>
      </c>
      <c r="O769" s="17"/>
      <c r="P769" s="18">
        <v>43287.092141203699</v>
      </c>
      <c r="Q769" s="7"/>
      <c r="R769" s="7"/>
      <c r="S769" s="15"/>
      <c r="T769" s="8"/>
      <c r="U769" s="19" t="str">
        <f>HYPERLINK("https://pbs.twimg.com/profile_images/1163852346029432833/G9_3ZNlV.jpg","View")</f>
        <v>View</v>
      </c>
      <c r="V769" s="8"/>
      <c r="W769" s="8"/>
      <c r="X769" s="8"/>
      <c r="Y769" s="8"/>
      <c r="Z769" s="8"/>
    </row>
    <row r="770" spans="1:26" ht="12.75">
      <c r="A770" s="11">
        <v>43747.297222222223</v>
      </c>
      <c r="B770" s="12" t="str">
        <f>HYPERLINK("https://twitter.com/yusuffdonmez1","@yusuffdonmez1")</f>
        <v>@yusuffdonmez1</v>
      </c>
      <c r="C770" s="7" t="s">
        <v>6338</v>
      </c>
      <c r="D770" s="7" t="s">
        <v>6339</v>
      </c>
      <c r="E770" s="12" t="str">
        <f>HYPERLINK("https://twitter.com/yusuffdonmez1/status/1181934338218311680","1181934338218311680")</f>
        <v>1181934338218311680</v>
      </c>
      <c r="F770" s="8"/>
      <c r="G770" s="14" t="s">
        <v>6340</v>
      </c>
      <c r="H770" s="8"/>
      <c r="I770" s="15">
        <v>0</v>
      </c>
      <c r="J770" s="15">
        <v>2</v>
      </c>
      <c r="K770" s="12" t="str">
        <f>HYPERLINK("http://twitter.com/download/iphone","Twitter for iPhone")</f>
        <v>Twitter for iPhone</v>
      </c>
      <c r="L770" s="16">
        <v>188</v>
      </c>
      <c r="M770" s="16">
        <v>231</v>
      </c>
      <c r="N770" s="16">
        <v>0</v>
      </c>
      <c r="O770" s="17"/>
      <c r="P770" s="18">
        <v>43351.546643518523</v>
      </c>
      <c r="Q770" s="7"/>
      <c r="R770" s="7" t="s">
        <v>6341</v>
      </c>
      <c r="S770" s="7"/>
      <c r="T770" s="8"/>
      <c r="U770" s="19" t="str">
        <f>HYPERLINK("https://pbs.twimg.com/profile_images/1038519934777810944/UaiLFfGL.jpg","View")</f>
        <v>View</v>
      </c>
      <c r="V770" s="8"/>
      <c r="W770" s="8"/>
      <c r="X770" s="8"/>
      <c r="Y770" s="8"/>
      <c r="Z770" s="8"/>
    </row>
    <row r="771" spans="1:26" ht="12.75">
      <c r="A771" s="11">
        <v>43747.297222222223</v>
      </c>
      <c r="B771" s="12" t="str">
        <f>HYPERLINK("https://twitter.com/mehmetbsbyk","@mehmetbsbyk")</f>
        <v>@mehmetbsbyk</v>
      </c>
      <c r="C771" s="7" t="s">
        <v>6342</v>
      </c>
      <c r="D771" s="7" t="s">
        <v>6343</v>
      </c>
      <c r="E771" s="12" t="str">
        <f>HYPERLINK("https://twitter.com/mehmetbsbyk/status/1181934338188951552","1181934338188951552")</f>
        <v>1181934338188951552</v>
      </c>
      <c r="F771" s="15"/>
      <c r="G771" s="15"/>
      <c r="H771" s="8"/>
      <c r="I771" s="15">
        <v>0</v>
      </c>
      <c r="J771" s="15">
        <v>0</v>
      </c>
      <c r="K771" s="12" t="str">
        <f>HYPERLINK("http://twitter.com/download/iphone","Twitter for iPhone")</f>
        <v>Twitter for iPhone</v>
      </c>
      <c r="L771" s="16">
        <v>683</v>
      </c>
      <c r="M771" s="16">
        <v>631</v>
      </c>
      <c r="N771" s="16">
        <v>0</v>
      </c>
      <c r="O771" s="17"/>
      <c r="P771" s="18">
        <v>41110.596493055556</v>
      </c>
      <c r="Q771" s="7" t="s">
        <v>287</v>
      </c>
      <c r="R771" s="7" t="s">
        <v>6344</v>
      </c>
      <c r="S771" s="15"/>
      <c r="T771" s="8"/>
      <c r="U771" s="19" t="str">
        <f>HYPERLINK("https://pbs.twimg.com/profile_images/879810112076099584/slbf9UME.jpg","View")</f>
        <v>View</v>
      </c>
      <c r="V771" s="8"/>
      <c r="W771" s="8"/>
      <c r="X771" s="8"/>
      <c r="Y771" s="8"/>
      <c r="Z771" s="8"/>
    </row>
    <row r="772" spans="1:26" ht="12.75">
      <c r="A772" s="11">
        <v>43747.297199074077</v>
      </c>
      <c r="B772" s="12" t="str">
        <f>HYPERLINK("https://twitter.com/KiyyaBaloch","@KiyyaBaloch")</f>
        <v>@KiyyaBaloch</v>
      </c>
      <c r="C772" s="7" t="s">
        <v>6345</v>
      </c>
      <c r="D772" s="7" t="s">
        <v>6346</v>
      </c>
      <c r="E772" s="12" t="str">
        <f>HYPERLINK("https://twitter.com/KiyyaBaloch/status/1181934332967096321","1181934332967096321")</f>
        <v>1181934332967096321</v>
      </c>
      <c r="F772" s="14" t="s">
        <v>6347</v>
      </c>
      <c r="G772" s="15"/>
      <c r="H772" s="8"/>
      <c r="I772" s="15">
        <v>2</v>
      </c>
      <c r="J772" s="15">
        <v>1</v>
      </c>
      <c r="K772" s="12" t="str">
        <f>HYPERLINK("http://twitter.com/download/iphone","Twitter for iPhone")</f>
        <v>Twitter for iPhone</v>
      </c>
      <c r="L772" s="16">
        <v>2148</v>
      </c>
      <c r="M772" s="16">
        <v>663</v>
      </c>
      <c r="N772" s="16">
        <v>27</v>
      </c>
      <c r="O772" s="17"/>
      <c r="P772" s="18">
        <v>40956.92423611111</v>
      </c>
      <c r="Q772" s="7" t="s">
        <v>135</v>
      </c>
      <c r="R772" s="7" t="s">
        <v>6348</v>
      </c>
      <c r="S772" s="14" t="s">
        <v>6349</v>
      </c>
      <c r="T772" s="8"/>
      <c r="U772" s="19" t="str">
        <f>HYPERLINK("https://pbs.twimg.com/profile_images/1181599497966821376/_5R2XKNq.jpg","View")</f>
        <v>View</v>
      </c>
      <c r="V772" s="8"/>
      <c r="W772" s="8"/>
      <c r="X772" s="8"/>
      <c r="Y772" s="8"/>
      <c r="Z772" s="8"/>
    </row>
    <row r="773" spans="1:26" ht="12.75">
      <c r="A773" s="11">
        <v>43747.297175925924</v>
      </c>
      <c r="B773" s="12" t="str">
        <f>HYPERLINK("https://twitter.com/ymr_mtn","@ymr_mtn")</f>
        <v>@ymr_mtn</v>
      </c>
      <c r="C773" s="7" t="s">
        <v>6353</v>
      </c>
      <c r="D773" s="7" t="s">
        <v>6354</v>
      </c>
      <c r="E773" s="12" t="str">
        <f>HYPERLINK("https://twitter.com/ymr_mtn/status/1181934324872093702","1181934324872093702")</f>
        <v>1181934324872093702</v>
      </c>
      <c r="F773" s="8"/>
      <c r="G773" s="14" t="s">
        <v>6355</v>
      </c>
      <c r="H773" s="8"/>
      <c r="I773" s="15">
        <v>0</v>
      </c>
      <c r="J773" s="15">
        <v>1</v>
      </c>
      <c r="K773" s="12" t="str">
        <f>HYPERLINK("http://twitter.com/download/android","Twitter for Android")</f>
        <v>Twitter for Android</v>
      </c>
      <c r="L773" s="16">
        <v>256</v>
      </c>
      <c r="M773" s="16">
        <v>321</v>
      </c>
      <c r="N773" s="16">
        <v>0</v>
      </c>
      <c r="O773" s="17"/>
      <c r="P773" s="18">
        <v>43233.214837962965</v>
      </c>
      <c r="Q773" s="7"/>
      <c r="R773" s="7" t="s">
        <v>6356</v>
      </c>
      <c r="S773" s="7"/>
      <c r="T773" s="8"/>
      <c r="U773" s="19" t="str">
        <f>HYPERLINK("https://pbs.twimg.com/profile_images/1174587951092776960/gZBkkfWl.jpg","View")</f>
        <v>View</v>
      </c>
      <c r="V773" s="8"/>
      <c r="W773" s="8"/>
      <c r="X773" s="8"/>
      <c r="Y773" s="8"/>
      <c r="Z773" s="8"/>
    </row>
    <row r="774" spans="1:26" ht="12.75">
      <c r="A774" s="11">
        <v>43747.297175925924</v>
      </c>
      <c r="B774" s="12" t="str">
        <f>HYPERLINK("https://twitter.com/tedaviciiii","@tedaviciiii")</f>
        <v>@tedaviciiii</v>
      </c>
      <c r="C774" s="7" t="s">
        <v>6360</v>
      </c>
      <c r="D774" s="7" t="s">
        <v>6361</v>
      </c>
      <c r="E774" s="12" t="str">
        <f>HYPERLINK("https://twitter.com/tedaviciiii/status/1181934323773186054","1181934323773186054")</f>
        <v>1181934323773186054</v>
      </c>
      <c r="F774" s="8"/>
      <c r="G774" s="14" t="s">
        <v>6362</v>
      </c>
      <c r="H774" s="8"/>
      <c r="I774" s="15">
        <v>0</v>
      </c>
      <c r="J774" s="15">
        <v>2</v>
      </c>
      <c r="K774" s="12" t="str">
        <f>HYPERLINK("http://twitter.com/download/iphone","Twitter for iPhone")</f>
        <v>Twitter for iPhone</v>
      </c>
      <c r="L774" s="16">
        <v>306</v>
      </c>
      <c r="M774" s="16">
        <v>284</v>
      </c>
      <c r="N774" s="16">
        <v>0</v>
      </c>
      <c r="O774" s="17"/>
      <c r="P774" s="18">
        <v>42759.340138888889</v>
      </c>
      <c r="Q774" s="7" t="s">
        <v>6363</v>
      </c>
      <c r="R774" s="7" t="s">
        <v>6364</v>
      </c>
      <c r="S774" s="14" t="s">
        <v>6365</v>
      </c>
      <c r="T774" s="8"/>
      <c r="U774" s="19" t="str">
        <f>HYPERLINK("https://pbs.twimg.com/profile_images/1178318706532855809/slkzQqgj.jpg","View")</f>
        <v>View</v>
      </c>
      <c r="V774" s="8"/>
      <c r="W774" s="8"/>
      <c r="X774" s="8"/>
      <c r="Y774" s="8"/>
      <c r="Z774" s="8"/>
    </row>
    <row r="775" spans="1:26" ht="12.75">
      <c r="A775" s="11">
        <v>43747.297152777777</v>
      </c>
      <c r="B775" s="12" t="str">
        <f>HYPERLINK("https://twitter.com/kubralibasoglu","@kubralibasoglu")</f>
        <v>@kubralibasoglu</v>
      </c>
      <c r="C775" s="7" t="s">
        <v>6366</v>
      </c>
      <c r="D775" s="7" t="s">
        <v>6367</v>
      </c>
      <c r="E775" s="12" t="str">
        <f>HYPERLINK("https://twitter.com/kubralibasoglu/status/1181934313744547840","1181934313744547840")</f>
        <v>1181934313744547840</v>
      </c>
      <c r="F775" s="15"/>
      <c r="G775" s="7"/>
      <c r="H775" s="8"/>
      <c r="I775" s="15">
        <v>0</v>
      </c>
      <c r="J775" s="15">
        <v>0</v>
      </c>
      <c r="K775" s="12" t="str">
        <f>HYPERLINK("http://twitter.com/download/iphone","Twitter for iPhone")</f>
        <v>Twitter for iPhone</v>
      </c>
      <c r="L775" s="16">
        <v>66</v>
      </c>
      <c r="M775" s="16">
        <v>103</v>
      </c>
      <c r="N775" s="16">
        <v>0</v>
      </c>
      <c r="O775" s="17"/>
      <c r="P775" s="18">
        <v>40707.527824074074</v>
      </c>
      <c r="Q775" s="7" t="s">
        <v>4895</v>
      </c>
      <c r="R775" s="7" t="s">
        <v>6368</v>
      </c>
      <c r="S775" s="7"/>
      <c r="T775" s="8"/>
      <c r="U775" s="19" t="str">
        <f>HYPERLINK("https://pbs.twimg.com/profile_images/1181934574537990144/HuKbwG_5.jpg","View")</f>
        <v>View</v>
      </c>
      <c r="V775" s="8"/>
      <c r="W775" s="8"/>
      <c r="X775" s="8"/>
      <c r="Y775" s="8"/>
      <c r="Z775" s="8"/>
    </row>
    <row r="776" spans="1:26" ht="12.75">
      <c r="A776" s="11">
        <v>43747.2971412037</v>
      </c>
      <c r="B776" s="12" t="str">
        <f>HYPERLINK("https://twitter.com/AltindagYucel","@AltindagYucel")</f>
        <v>@AltindagYucel</v>
      </c>
      <c r="C776" s="7" t="s">
        <v>6369</v>
      </c>
      <c r="D776" s="7" t="s">
        <v>6370</v>
      </c>
      <c r="E776" s="12" t="str">
        <f>HYPERLINK("https://twitter.com/AltindagYucel/status/1181934311626465282","1181934311626465282")</f>
        <v>1181934311626465282</v>
      </c>
      <c r="F776" s="15"/>
      <c r="G776" s="7"/>
      <c r="H776" s="8"/>
      <c r="I776" s="15">
        <v>0</v>
      </c>
      <c r="J776" s="15">
        <v>1</v>
      </c>
      <c r="K776" s="12" t="str">
        <f>HYPERLINK("http://twitter.com/download/android","Twitter for Android")</f>
        <v>Twitter for Android</v>
      </c>
      <c r="L776" s="16">
        <v>132</v>
      </c>
      <c r="M776" s="16">
        <v>186</v>
      </c>
      <c r="N776" s="16">
        <v>0</v>
      </c>
      <c r="O776" s="17"/>
      <c r="P776" s="18">
        <v>43074.037719907406</v>
      </c>
      <c r="Q776" s="7"/>
      <c r="R776" s="7"/>
      <c r="S776" s="7"/>
      <c r="T776" s="8"/>
      <c r="U776" s="19" t="str">
        <f>HYPERLINK("https://pbs.twimg.com/profile_images/950351562181894144/UCNdp4Wc.jpg","View")</f>
        <v>View</v>
      </c>
      <c r="V776" s="8"/>
      <c r="W776" s="8"/>
      <c r="X776" s="8"/>
      <c r="Y776" s="8"/>
      <c r="Z776" s="8"/>
    </row>
    <row r="777" spans="1:26" ht="12.75">
      <c r="A777" s="11">
        <v>43747.2971412037</v>
      </c>
      <c r="B777" s="12" t="str">
        <f>HYPERLINK("https://twitter.com/svdmsnhkn355","@svdmsnhkn355")</f>
        <v>@svdmsnhkn355</v>
      </c>
      <c r="C777" s="7" t="s">
        <v>6373</v>
      </c>
      <c r="D777" s="7" t="s">
        <v>6374</v>
      </c>
      <c r="E777" s="12" t="str">
        <f>HYPERLINK("https://twitter.com/svdmsnhkn355/status/1181934311529996291","1181934311529996291")</f>
        <v>1181934311529996291</v>
      </c>
      <c r="F777" s="15"/>
      <c r="G777" s="14" t="s">
        <v>6376</v>
      </c>
      <c r="H777" s="8"/>
      <c r="I777" s="15">
        <v>13</v>
      </c>
      <c r="J777" s="15">
        <v>31</v>
      </c>
      <c r="K777" s="12" t="str">
        <f>HYPERLINK("http://twitter.com/download/iphone","Twitter for iPhone")</f>
        <v>Twitter for iPhone</v>
      </c>
      <c r="L777" s="16">
        <v>6756</v>
      </c>
      <c r="M777" s="16">
        <v>6817</v>
      </c>
      <c r="N777" s="16">
        <v>4</v>
      </c>
      <c r="O777" s="17"/>
      <c r="P777" s="18">
        <v>43340.629942129628</v>
      </c>
      <c r="Q777" s="7" t="s">
        <v>6379</v>
      </c>
      <c r="R777" s="7" t="s">
        <v>6380</v>
      </c>
      <c r="S777" s="7"/>
      <c r="T777" s="8"/>
      <c r="U777" s="19" t="str">
        <f>HYPERLINK("https://pbs.twimg.com/profile_images/1181942633679245312/GV7cYSE7.jpg","View")</f>
        <v>View</v>
      </c>
      <c r="V777" s="8"/>
      <c r="W777" s="8"/>
      <c r="X777" s="8"/>
      <c r="Y777" s="8"/>
      <c r="Z777" s="8"/>
    </row>
    <row r="778" spans="1:26" ht="12.75">
      <c r="A778" s="11">
        <v>43747.297094907408</v>
      </c>
      <c r="B778" s="12" t="str">
        <f>HYPERLINK("https://twitter.com/FatihAysu__","@FatihAysu__")</f>
        <v>@FatihAysu__</v>
      </c>
      <c r="C778" s="7" t="s">
        <v>6382</v>
      </c>
      <c r="D778" s="7" t="s">
        <v>6384</v>
      </c>
      <c r="E778" s="12" t="str">
        <f>HYPERLINK("https://twitter.com/FatihAysu__/status/1181934294496944128","1181934294496944128")</f>
        <v>1181934294496944128</v>
      </c>
      <c r="F778" s="8"/>
      <c r="G778" s="7"/>
      <c r="H778" s="8"/>
      <c r="I778" s="15">
        <v>0</v>
      </c>
      <c r="J778" s="15">
        <v>0</v>
      </c>
      <c r="K778" s="12" t="str">
        <f>HYPERLINK("http://twitter.com/download/android","Twitter for Android")</f>
        <v>Twitter for Android</v>
      </c>
      <c r="L778" s="16">
        <v>304</v>
      </c>
      <c r="M778" s="16">
        <v>1632</v>
      </c>
      <c r="N778" s="16">
        <v>1</v>
      </c>
      <c r="O778" s="17"/>
      <c r="P778" s="18">
        <v>41609.328750000001</v>
      </c>
      <c r="Q778" s="7"/>
      <c r="R778" s="7" t="s">
        <v>6386</v>
      </c>
      <c r="S778" s="15"/>
      <c r="T778" s="8"/>
      <c r="U778" s="19" t="str">
        <f>HYPERLINK("https://pbs.twimg.com/profile_images/913289169581019136/IsygeZXw.jpg","View")</f>
        <v>View</v>
      </c>
      <c r="V778" s="8"/>
      <c r="W778" s="8"/>
      <c r="X778" s="8"/>
      <c r="Y778" s="8"/>
      <c r="Z778" s="8"/>
    </row>
    <row r="779" spans="1:26" ht="12.75">
      <c r="A779" s="11">
        <v>43747.297094907408</v>
      </c>
      <c r="B779" s="12" t="str">
        <f>HYPERLINK("https://twitter.com/yamanbff","@yamanbff")</f>
        <v>@yamanbff</v>
      </c>
      <c r="C779" s="7" t="s">
        <v>6387</v>
      </c>
      <c r="D779" s="7" t="s">
        <v>6388</v>
      </c>
      <c r="E779" s="12" t="str">
        <f>HYPERLINK("https://twitter.com/yamanbff/status/1181934291871289346","1181934291871289346")</f>
        <v>1181934291871289346</v>
      </c>
      <c r="F779" s="8"/>
      <c r="G779" s="14" t="s">
        <v>6390</v>
      </c>
      <c r="H779" s="8"/>
      <c r="I779" s="15">
        <v>0</v>
      </c>
      <c r="J779" s="15">
        <v>7</v>
      </c>
      <c r="K779" s="12" t="str">
        <f>HYPERLINK("http://twitter.com/download/android","Twitter for Android")</f>
        <v>Twitter for Android</v>
      </c>
      <c r="L779" s="16">
        <v>5701</v>
      </c>
      <c r="M779" s="16">
        <v>1053</v>
      </c>
      <c r="N779" s="16">
        <v>13</v>
      </c>
      <c r="O779" s="17"/>
      <c r="P779" s="18">
        <v>41941.07472222222</v>
      </c>
      <c r="Q779" s="7" t="s">
        <v>6393</v>
      </c>
      <c r="R779" s="7" t="s">
        <v>6394</v>
      </c>
      <c r="S779" s="14" t="s">
        <v>6395</v>
      </c>
      <c r="T779" s="8"/>
      <c r="U779" s="19" t="str">
        <f>HYPERLINK("https://pbs.twimg.com/profile_images/1181697963330035712/Md0jGVc2.jpg","View")</f>
        <v>View</v>
      </c>
      <c r="V779" s="8"/>
      <c r="W779" s="8"/>
      <c r="X779" s="8"/>
      <c r="Y779" s="8"/>
      <c r="Z779" s="8"/>
    </row>
    <row r="780" spans="1:26" ht="12.75">
      <c r="A780" s="11">
        <v>43747.297071759254</v>
      </c>
      <c r="B780" s="12" t="str">
        <f>HYPERLINK("https://twitter.com/leibnzz","@leibnzz")</f>
        <v>@leibnzz</v>
      </c>
      <c r="C780" s="7" t="s">
        <v>6398</v>
      </c>
      <c r="D780" s="7" t="s">
        <v>6399</v>
      </c>
      <c r="E780" s="12" t="str">
        <f>HYPERLINK("https://twitter.com/leibnzz/status/1181934285760208898","1181934285760208898")</f>
        <v>1181934285760208898</v>
      </c>
      <c r="F780" s="8" t="s">
        <v>6400</v>
      </c>
      <c r="G780" s="15"/>
      <c r="H780" s="8"/>
      <c r="I780" s="15">
        <v>0</v>
      </c>
      <c r="J780" s="15">
        <v>2</v>
      </c>
      <c r="K780" s="12" t="str">
        <f>HYPERLINK("http://twitter.com/download/iphone","Twitter for iPhone")</f>
        <v>Twitter for iPhone</v>
      </c>
      <c r="L780" s="16">
        <v>162</v>
      </c>
      <c r="M780" s="16">
        <v>133</v>
      </c>
      <c r="N780" s="16">
        <v>2</v>
      </c>
      <c r="O780" s="17"/>
      <c r="P780" s="18">
        <v>42757.581736111111</v>
      </c>
      <c r="Q780" s="7"/>
      <c r="R780" s="7"/>
      <c r="S780" s="15"/>
      <c r="T780" s="8"/>
      <c r="U780" s="19" t="str">
        <f>HYPERLINK("https://pbs.twimg.com/profile_images/1181878902068858880/nrUt1YfU.jpg","View")</f>
        <v>View</v>
      </c>
      <c r="V780" s="8"/>
      <c r="W780" s="8"/>
      <c r="X780" s="8"/>
      <c r="Y780" s="8"/>
      <c r="Z780" s="8"/>
    </row>
    <row r="781" spans="1:26" ht="12.75">
      <c r="A781" s="11">
        <v>43747.297060185185</v>
      </c>
      <c r="B781" s="12" t="str">
        <f>HYPERLINK("https://twitter.com/gezginx07","@gezginx07")</f>
        <v>@gezginx07</v>
      </c>
      <c r="C781" s="7" t="s">
        <v>6402</v>
      </c>
      <c r="D781" s="7" t="s">
        <v>6403</v>
      </c>
      <c r="E781" s="12" t="str">
        <f>HYPERLINK("https://twitter.com/gezginx07/status/1181934280538234881","1181934280538234881")</f>
        <v>1181934280538234881</v>
      </c>
      <c r="F781" s="8"/>
      <c r="G781" s="14" t="s">
        <v>6405</v>
      </c>
      <c r="H781" s="8"/>
      <c r="I781" s="15">
        <v>0</v>
      </c>
      <c r="J781" s="15">
        <v>0</v>
      </c>
      <c r="K781" s="12" t="str">
        <f>HYPERLINK("http://twitter.com/download/android","Twitter for Android")</f>
        <v>Twitter for Android</v>
      </c>
      <c r="L781" s="16">
        <v>1399</v>
      </c>
      <c r="M781" s="16">
        <v>878</v>
      </c>
      <c r="N781" s="16">
        <v>4</v>
      </c>
      <c r="O781" s="17"/>
      <c r="P781" s="18">
        <v>40242.521493055552</v>
      </c>
      <c r="Q781" s="7" t="s">
        <v>6406</v>
      </c>
      <c r="R781" s="7" t="s">
        <v>6407</v>
      </c>
      <c r="S781" s="7"/>
      <c r="T781" s="8"/>
      <c r="U781" s="19" t="str">
        <f>HYPERLINK("https://pbs.twimg.com/profile_images/1167523793167900677/ozoMaRsx.jpg","View")</f>
        <v>View</v>
      </c>
      <c r="V781" s="8"/>
      <c r="W781" s="8"/>
      <c r="X781" s="8"/>
      <c r="Y781" s="8"/>
      <c r="Z781" s="8"/>
    </row>
    <row r="782" spans="1:26" ht="12.75">
      <c r="A782" s="11">
        <v>43747.297037037039</v>
      </c>
      <c r="B782" s="12" t="str">
        <f>HYPERLINK("https://twitter.com/emreguneeyy","@emreguneeyy")</f>
        <v>@emreguneeyy</v>
      </c>
      <c r="C782" s="7" t="s">
        <v>6410</v>
      </c>
      <c r="D782" s="7" t="s">
        <v>6411</v>
      </c>
      <c r="E782" s="12" t="str">
        <f>HYPERLINK("https://twitter.com/emreguneeyy/status/1181934272317415429","1181934272317415429")</f>
        <v>1181934272317415429</v>
      </c>
      <c r="F782" s="8"/>
      <c r="G782" s="14" t="s">
        <v>6412</v>
      </c>
      <c r="H782" s="8"/>
      <c r="I782" s="15">
        <v>0</v>
      </c>
      <c r="J782" s="15">
        <v>0</v>
      </c>
      <c r="K782" s="12" t="str">
        <f>HYPERLINK("http://twitter.com/download/iphone","Twitter for iPhone")</f>
        <v>Twitter for iPhone</v>
      </c>
      <c r="L782" s="16">
        <v>103</v>
      </c>
      <c r="M782" s="16">
        <v>52</v>
      </c>
      <c r="N782" s="16">
        <v>0</v>
      </c>
      <c r="O782" s="17"/>
      <c r="P782" s="18">
        <v>42679.05537037037</v>
      </c>
      <c r="Q782" s="7" t="s">
        <v>313</v>
      </c>
      <c r="R782" s="7" t="s">
        <v>6414</v>
      </c>
      <c r="S782" s="15"/>
      <c r="T782" s="8"/>
      <c r="U782" s="19" t="str">
        <f>HYPERLINK("https://pbs.twimg.com/profile_images/1148615286087700483/6l0tE2O-.jpg","View")</f>
        <v>View</v>
      </c>
      <c r="V782" s="8"/>
      <c r="W782" s="8"/>
      <c r="X782" s="8"/>
      <c r="Y782" s="8"/>
      <c r="Z782" s="8"/>
    </row>
    <row r="783" spans="1:26" ht="12.75">
      <c r="A783" s="11">
        <v>43747.297025462962</v>
      </c>
      <c r="B783" s="12" t="str">
        <f>HYPERLINK("https://twitter.com/emekli_baskan","@emekli_baskan")</f>
        <v>@emekli_baskan</v>
      </c>
      <c r="C783" s="7" t="s">
        <v>6416</v>
      </c>
      <c r="D783" s="7" t="s">
        <v>6417</v>
      </c>
      <c r="E783" s="12" t="str">
        <f>HYPERLINK("https://twitter.com/emekli_baskan/status/1181934268848771072","1181934268848771072")</f>
        <v>1181934268848771072</v>
      </c>
      <c r="F783" s="8"/>
      <c r="G783" s="7"/>
      <c r="H783" s="8"/>
      <c r="I783" s="15">
        <v>0</v>
      </c>
      <c r="J783" s="15">
        <v>0</v>
      </c>
      <c r="K783" s="12" t="str">
        <f>HYPERLINK("http://twitter.com/download/android","Twitter for Android")</f>
        <v>Twitter for Android</v>
      </c>
      <c r="L783" s="16">
        <v>690</v>
      </c>
      <c r="M783" s="16">
        <v>755</v>
      </c>
      <c r="N783" s="16">
        <v>0</v>
      </c>
      <c r="O783" s="17"/>
      <c r="P783" s="18">
        <v>43480.245520833334</v>
      </c>
      <c r="Q783" s="7"/>
      <c r="R783" s="7" t="s">
        <v>6418</v>
      </c>
      <c r="S783" s="15"/>
      <c r="T783" s="8"/>
      <c r="U783" s="19" t="str">
        <f>HYPERLINK("https://pbs.twimg.com/profile_images/1178428016478826498/PRiwkLoZ.jpg","View")</f>
        <v>View</v>
      </c>
      <c r="V783" s="8"/>
      <c r="W783" s="8"/>
      <c r="X783" s="8"/>
      <c r="Y783" s="8"/>
      <c r="Z783" s="8"/>
    </row>
    <row r="784" spans="1:26" ht="12.75">
      <c r="A784" s="11">
        <v>43747.296990740739</v>
      </c>
      <c r="B784" s="12" t="str">
        <f>HYPERLINK("https://twitter.com/uykusuzmirket","@uykusuzmirket")</f>
        <v>@uykusuzmirket</v>
      </c>
      <c r="C784" s="7" t="s">
        <v>6419</v>
      </c>
      <c r="D784" s="7" t="s">
        <v>6420</v>
      </c>
      <c r="E784" s="12" t="str">
        <f>HYPERLINK("https://twitter.com/uykusuzmirket/status/1181934256802672641","1181934256802672641")</f>
        <v>1181934256802672641</v>
      </c>
      <c r="F784" s="8"/>
      <c r="G784" s="14" t="s">
        <v>6421</v>
      </c>
      <c r="H784" s="8"/>
      <c r="I784" s="15">
        <v>0</v>
      </c>
      <c r="J784" s="15">
        <v>0</v>
      </c>
      <c r="K784" s="12" t="str">
        <f>HYPERLINK("http://twitter.com/download/android","Twitter for Android")</f>
        <v>Twitter for Android</v>
      </c>
      <c r="L784" s="16">
        <v>57</v>
      </c>
      <c r="M784" s="16">
        <v>498</v>
      </c>
      <c r="N784" s="16">
        <v>0</v>
      </c>
      <c r="O784" s="17"/>
      <c r="P784" s="18">
        <v>43659.156203703707</v>
      </c>
      <c r="Q784" s="7" t="s">
        <v>1748</v>
      </c>
      <c r="R784" s="7" t="s">
        <v>6423</v>
      </c>
      <c r="S784" s="7"/>
      <c r="T784" s="8"/>
      <c r="U784" s="19" t="str">
        <f>HYPERLINK("https://pbs.twimg.com/profile_images/1149994662771482624/7OuonBhy.jpg","View")</f>
        <v>View</v>
      </c>
      <c r="V784" s="8"/>
      <c r="W784" s="8"/>
      <c r="X784" s="8"/>
      <c r="Y784" s="8"/>
      <c r="Z784" s="8"/>
    </row>
    <row r="785" spans="1:26" ht="12.75">
      <c r="A785" s="11">
        <v>43747.296967592592</v>
      </c>
      <c r="B785" s="12" t="str">
        <f>HYPERLINK("https://twitter.com/omerftoprak","@omerftoprak")</f>
        <v>@omerftoprak</v>
      </c>
      <c r="C785" s="7" t="s">
        <v>6424</v>
      </c>
      <c r="D785" s="7" t="s">
        <v>6425</v>
      </c>
      <c r="E785" s="12" t="str">
        <f>HYPERLINK("https://twitter.com/omerftoprak/status/1181934248711917568","1181934248711917568")</f>
        <v>1181934248711917568</v>
      </c>
      <c r="F785" s="8"/>
      <c r="G785" s="14" t="s">
        <v>6426</v>
      </c>
      <c r="H785" s="8"/>
      <c r="I785" s="15">
        <v>0</v>
      </c>
      <c r="J785" s="15">
        <v>0</v>
      </c>
      <c r="K785" s="12" t="str">
        <f>HYPERLINK("http://twitter.com/download/android","Twitter for Android")</f>
        <v>Twitter for Android</v>
      </c>
      <c r="L785" s="16">
        <v>506</v>
      </c>
      <c r="M785" s="16">
        <v>614</v>
      </c>
      <c r="N785" s="16">
        <v>2</v>
      </c>
      <c r="O785" s="17"/>
      <c r="P785" s="18">
        <v>41528.316527777773</v>
      </c>
      <c r="Q785" s="7" t="s">
        <v>918</v>
      </c>
      <c r="R785" s="7" t="s">
        <v>6427</v>
      </c>
      <c r="S785" s="15"/>
      <c r="T785" s="8"/>
      <c r="U785" s="19" t="str">
        <f>HYPERLINK("https://pbs.twimg.com/profile_images/1129512746217746432/43kOsj90.jpg","View")</f>
        <v>View</v>
      </c>
      <c r="V785" s="8"/>
      <c r="W785" s="8"/>
      <c r="X785" s="8"/>
      <c r="Y785" s="8"/>
      <c r="Z785" s="8"/>
    </row>
    <row r="786" spans="1:26" ht="12.75">
      <c r="A786" s="11">
        <v>43747.296944444446</v>
      </c>
      <c r="B786" s="12" t="str">
        <f>HYPERLINK("https://twitter.com/ubayratar","@ubayratar")</f>
        <v>@ubayratar</v>
      </c>
      <c r="C786" s="7" t="s">
        <v>6428</v>
      </c>
      <c r="D786" s="7" t="s">
        <v>6429</v>
      </c>
      <c r="E786" s="12" t="str">
        <f>HYPERLINK("https://twitter.com/ubayratar/status/1181934238414901248","1181934238414901248")</f>
        <v>1181934238414901248</v>
      </c>
      <c r="F786" s="8"/>
      <c r="G786" s="15"/>
      <c r="H786" s="8"/>
      <c r="I786" s="15">
        <v>0</v>
      </c>
      <c r="J786" s="15">
        <v>2</v>
      </c>
      <c r="K786" s="12" t="str">
        <f>HYPERLINK("http://twitter.com/download/android","Twitter for Android")</f>
        <v>Twitter for Android</v>
      </c>
      <c r="L786" s="16">
        <v>891</v>
      </c>
      <c r="M786" s="16">
        <v>887</v>
      </c>
      <c r="N786" s="16">
        <v>0</v>
      </c>
      <c r="O786" s="17"/>
      <c r="P786" s="18">
        <v>41788.112511574072</v>
      </c>
      <c r="Q786" s="7"/>
      <c r="R786" s="7" t="s">
        <v>6430</v>
      </c>
      <c r="S786" s="15"/>
      <c r="T786" s="8"/>
      <c r="U786" s="19" t="str">
        <f>HYPERLINK("https://pbs.twimg.com/profile_images/1151904082556268544/P0M3Il-Q.jpg","View")</f>
        <v>View</v>
      </c>
      <c r="V786" s="8"/>
      <c r="W786" s="8"/>
      <c r="X786" s="8"/>
      <c r="Y786" s="8"/>
      <c r="Z786" s="8"/>
    </row>
    <row r="787" spans="1:26" ht="12.75">
      <c r="A787" s="11">
        <v>43747.296840277777</v>
      </c>
      <c r="B787" s="12" t="str">
        <f>HYPERLINK("https://twitter.com/omerfarukbodur","@omerfarukbodur")</f>
        <v>@omerfarukbodur</v>
      </c>
      <c r="C787" s="7" t="s">
        <v>6431</v>
      </c>
      <c r="D787" s="7" t="s">
        <v>6432</v>
      </c>
      <c r="E787" s="12" t="str">
        <f>HYPERLINK("https://twitter.com/omerfarukbodur/status/1181934200229974016","1181934200229974016")</f>
        <v>1181934200229974016</v>
      </c>
      <c r="F787" s="8"/>
      <c r="G787" s="7"/>
      <c r="H787" s="8"/>
      <c r="I787" s="15">
        <v>0</v>
      </c>
      <c r="J787" s="15">
        <v>1</v>
      </c>
      <c r="K787" s="12" t="str">
        <f>HYPERLINK("http://twitter.com/download/iphone","Twitter for iPhone")</f>
        <v>Twitter for iPhone</v>
      </c>
      <c r="L787" s="16">
        <v>209</v>
      </c>
      <c r="M787" s="16">
        <v>549</v>
      </c>
      <c r="N787" s="16">
        <v>0</v>
      </c>
      <c r="O787" s="17"/>
      <c r="P787" s="18">
        <v>40700.657465277778</v>
      </c>
      <c r="Q787" s="7" t="s">
        <v>6433</v>
      </c>
      <c r="R787" s="13"/>
      <c r="S787" s="15"/>
      <c r="T787" s="8"/>
      <c r="U787" s="19" t="str">
        <f>HYPERLINK("https://pbs.twimg.com/profile_images/784782737878253569/WCeFCtbt.jpg","View")</f>
        <v>View</v>
      </c>
      <c r="V787" s="8"/>
      <c r="W787" s="8"/>
      <c r="X787" s="8"/>
      <c r="Y787" s="8"/>
      <c r="Z787" s="8"/>
    </row>
    <row r="788" spans="1:26" ht="12.75">
      <c r="A788" s="11">
        <v>43747.296805555554</v>
      </c>
      <c r="B788" s="12" t="str">
        <f>HYPERLINK("https://twitter.com/cengizorta1","@cengizorta1")</f>
        <v>@cengizorta1</v>
      </c>
      <c r="C788" s="7" t="s">
        <v>6434</v>
      </c>
      <c r="D788" s="7" t="s">
        <v>6435</v>
      </c>
      <c r="E788" s="12" t="str">
        <f>HYPERLINK("https://twitter.com/cengizorta1/status/1181934190423621632","1181934190423621632")</f>
        <v>1181934190423621632</v>
      </c>
      <c r="F788" s="8"/>
      <c r="G788" s="15"/>
      <c r="H788" s="8"/>
      <c r="I788" s="15">
        <v>0</v>
      </c>
      <c r="J788" s="15">
        <v>0</v>
      </c>
      <c r="K788" s="12" t="str">
        <f>HYPERLINK("http://twitter.com/download/android","Twitter for Android")</f>
        <v>Twitter for Android</v>
      </c>
      <c r="L788" s="16">
        <v>217</v>
      </c>
      <c r="M788" s="16">
        <v>204</v>
      </c>
      <c r="N788" s="16">
        <v>1</v>
      </c>
      <c r="O788" s="17"/>
      <c r="P788" s="18">
        <v>40913.479456018518</v>
      </c>
      <c r="Q788" s="7" t="s">
        <v>287</v>
      </c>
      <c r="R788" s="7"/>
      <c r="S788" s="7"/>
      <c r="T788" s="8"/>
      <c r="U788" s="19" t="str">
        <f>HYPERLINK("https://pbs.twimg.com/profile_images/1735188441/cengiz_orta0eb9f2e30eb559b7by.jpg","View")</f>
        <v>View</v>
      </c>
      <c r="V788" s="8"/>
      <c r="W788" s="8"/>
      <c r="X788" s="8"/>
      <c r="Y788" s="8"/>
      <c r="Z788" s="8"/>
    </row>
    <row r="789" spans="1:26" ht="12.75">
      <c r="A789" s="11">
        <v>43747.296782407408</v>
      </c>
      <c r="B789" s="12" t="str">
        <f>HYPERLINK("https://twitter.com/asliiiiiiiishan","@asliiiiiiiishan")</f>
        <v>@asliiiiiiiishan</v>
      </c>
      <c r="C789" s="7" t="s">
        <v>6438</v>
      </c>
      <c r="D789" s="7" t="s">
        <v>6439</v>
      </c>
      <c r="E789" s="12" t="str">
        <f>HYPERLINK("https://twitter.com/asliiiiiiiishan/status/1181934180395028481","1181934180395028481")</f>
        <v>1181934180395028481</v>
      </c>
      <c r="F789" s="8"/>
      <c r="G789" s="14" t="s">
        <v>6440</v>
      </c>
      <c r="H789" s="8"/>
      <c r="I789" s="15">
        <v>0</v>
      </c>
      <c r="J789" s="15">
        <v>2</v>
      </c>
      <c r="K789" s="12" t="str">
        <f>HYPERLINK("http://twitter.com/download/android","Twitter for Android")</f>
        <v>Twitter for Android</v>
      </c>
      <c r="L789" s="16">
        <v>110</v>
      </c>
      <c r="M789" s="16">
        <v>110</v>
      </c>
      <c r="N789" s="16">
        <v>0</v>
      </c>
      <c r="O789" s="17"/>
      <c r="P789" s="18">
        <v>43390.488240740742</v>
      </c>
      <c r="Q789" s="7" t="s">
        <v>6441</v>
      </c>
      <c r="R789" s="7" t="s">
        <v>6442</v>
      </c>
      <c r="S789" s="7"/>
      <c r="T789" s="8"/>
      <c r="U789" s="19" t="str">
        <f>HYPERLINK("https://pbs.twimg.com/profile_images/1181698047601979392/8MOgM2vq.jpg","View")</f>
        <v>View</v>
      </c>
      <c r="V789" s="8"/>
      <c r="W789" s="8"/>
      <c r="X789" s="8"/>
      <c r="Y789" s="8"/>
      <c r="Z789" s="8"/>
    </row>
    <row r="790" spans="1:26" ht="12.75">
      <c r="A790" s="11">
        <v>43747.296701388885</v>
      </c>
      <c r="B790" s="12" t="str">
        <f>HYPERLINK("https://twitter.com/mstfoztas","@mstfoztas")</f>
        <v>@mstfoztas</v>
      </c>
      <c r="C790" s="7" t="s">
        <v>6443</v>
      </c>
      <c r="D790" s="7" t="s">
        <v>6444</v>
      </c>
      <c r="E790" s="12" t="str">
        <f>HYPERLINK("https://twitter.com/mstfoztas/status/1181934152884658176","1181934152884658176")</f>
        <v>1181934152884658176</v>
      </c>
      <c r="F790" s="8"/>
      <c r="G790" s="14" t="s">
        <v>6445</v>
      </c>
      <c r="H790" s="8"/>
      <c r="I790" s="15">
        <v>0</v>
      </c>
      <c r="J790" s="15">
        <v>0</v>
      </c>
      <c r="K790" s="12" t="str">
        <f>HYPERLINK("http://twitter.com/download/iphone","Twitter for iPhone")</f>
        <v>Twitter for iPhone</v>
      </c>
      <c r="L790" s="16">
        <v>65</v>
      </c>
      <c r="M790" s="16">
        <v>91</v>
      </c>
      <c r="N790" s="16">
        <v>0</v>
      </c>
      <c r="O790" s="17"/>
      <c r="P790" s="18">
        <v>42502.527754629627</v>
      </c>
      <c r="Q790" s="7" t="s">
        <v>2050</v>
      </c>
      <c r="R790" s="7" t="s">
        <v>6446</v>
      </c>
      <c r="S790" s="14" t="s">
        <v>6447</v>
      </c>
      <c r="T790" s="8"/>
      <c r="U790" s="19" t="str">
        <f>HYPERLINK("https://pbs.twimg.com/profile_images/730846380370104321/0j3XVUiy.jpg","View")</f>
        <v>View</v>
      </c>
      <c r="V790" s="8"/>
      <c r="W790" s="8"/>
      <c r="X790" s="8"/>
      <c r="Y790" s="8"/>
      <c r="Z790" s="8"/>
    </row>
    <row r="791" spans="1:26" ht="12.75">
      <c r="A791" s="11">
        <v>43747.296701388885</v>
      </c>
      <c r="B791" s="12" t="str">
        <f>HYPERLINK("https://twitter.com/redyellow2006","@redyellow2006")</f>
        <v>@redyellow2006</v>
      </c>
      <c r="C791" s="7" t="s">
        <v>6448</v>
      </c>
      <c r="D791" s="7" t="s">
        <v>6449</v>
      </c>
      <c r="E791" s="12" t="str">
        <f>HYPERLINK("https://twitter.com/redyellow2006/status/1181934149931864065","1181934149931864065")</f>
        <v>1181934149931864065</v>
      </c>
      <c r="F791" s="14" t="s">
        <v>6450</v>
      </c>
      <c r="G791" s="14" t="s">
        <v>6451</v>
      </c>
      <c r="H791" s="8"/>
      <c r="I791" s="15">
        <v>0</v>
      </c>
      <c r="J791" s="15">
        <v>0</v>
      </c>
      <c r="K791" s="12" t="str">
        <f>HYPERLINK("http://twitter.com/download/android","Twitter for Android")</f>
        <v>Twitter for Android</v>
      </c>
      <c r="L791" s="16">
        <v>2391</v>
      </c>
      <c r="M791" s="16">
        <v>4998</v>
      </c>
      <c r="N791" s="16">
        <v>7</v>
      </c>
      <c r="O791" s="17"/>
      <c r="P791" s="18">
        <v>40246.613287037035</v>
      </c>
      <c r="Q791" s="7" t="s">
        <v>200</v>
      </c>
      <c r="R791" s="7" t="s">
        <v>6454</v>
      </c>
      <c r="S791" s="14" t="s">
        <v>6455</v>
      </c>
      <c r="T791" s="8"/>
      <c r="U791" s="19" t="str">
        <f>HYPERLINK("https://pbs.twimg.com/profile_images/1150305973942329344/gKSchSRY.png","View")</f>
        <v>View</v>
      </c>
      <c r="V791" s="8"/>
      <c r="W791" s="8"/>
      <c r="X791" s="8"/>
      <c r="Y791" s="8"/>
      <c r="Z791" s="8"/>
    </row>
    <row r="792" spans="1:26" ht="12.75">
      <c r="A792" s="11">
        <v>43747.296678240746</v>
      </c>
      <c r="B792" s="12" t="str">
        <f>HYPERLINK("https://twitter.com/iurasonur","@iurasonur")</f>
        <v>@iurasonur</v>
      </c>
      <c r="C792" s="7" t="s">
        <v>6456</v>
      </c>
      <c r="D792" s="7" t="s">
        <v>6457</v>
      </c>
      <c r="E792" s="12" t="str">
        <f>HYPERLINK("https://twitter.com/iurasonur/status/1181934141102837761","1181934141102837761")</f>
        <v>1181934141102837761</v>
      </c>
      <c r="F792" s="8"/>
      <c r="G792" s="14" t="s">
        <v>6458</v>
      </c>
      <c r="H792" s="8"/>
      <c r="I792" s="15">
        <v>0</v>
      </c>
      <c r="J792" s="15">
        <v>1</v>
      </c>
      <c r="K792" s="12" t="str">
        <f>HYPERLINK("http://twitter.com/download/android","Twitter for Android")</f>
        <v>Twitter for Android</v>
      </c>
      <c r="L792" s="16">
        <v>677</v>
      </c>
      <c r="M792" s="16">
        <v>389</v>
      </c>
      <c r="N792" s="16">
        <v>0</v>
      </c>
      <c r="O792" s="17"/>
      <c r="P792" s="18">
        <v>41618.551944444444</v>
      </c>
      <c r="Q792" s="7" t="s">
        <v>313</v>
      </c>
      <c r="R792" s="7" t="s">
        <v>6460</v>
      </c>
      <c r="S792" s="7"/>
      <c r="T792" s="8"/>
      <c r="U792" s="19" t="str">
        <f>HYPERLINK("https://pbs.twimg.com/profile_images/1175499503547375616/LcYMKPBn.jpg","View")</f>
        <v>View</v>
      </c>
      <c r="V792" s="8"/>
      <c r="W792" s="8"/>
      <c r="X792" s="8"/>
      <c r="Y792" s="8"/>
      <c r="Z792" s="8"/>
    </row>
    <row r="793" spans="1:26" ht="12.75">
      <c r="A793" s="11">
        <v>43747.296655092592</v>
      </c>
      <c r="B793" s="12" t="str">
        <f>HYPERLINK("https://twitter.com/06Pussat06","@06Pussat06")</f>
        <v>@06Pussat06</v>
      </c>
      <c r="C793" s="7" t="s">
        <v>6465</v>
      </c>
      <c r="D793" s="7" t="s">
        <v>6466</v>
      </c>
      <c r="E793" s="12" t="str">
        <f>HYPERLINK("https://twitter.com/06Pussat06/status/1181934133355921408","1181934133355921408")</f>
        <v>1181934133355921408</v>
      </c>
      <c r="F793" s="8"/>
      <c r="G793" s="14" t="s">
        <v>6467</v>
      </c>
      <c r="H793" s="8"/>
      <c r="I793" s="15">
        <v>0</v>
      </c>
      <c r="J793" s="15">
        <v>11</v>
      </c>
      <c r="K793" s="12" t="str">
        <f>HYPERLINK("http://twitter.com/download/iphone","Twitter for iPhone")</f>
        <v>Twitter for iPhone</v>
      </c>
      <c r="L793" s="16">
        <v>10384</v>
      </c>
      <c r="M793" s="16">
        <v>8322</v>
      </c>
      <c r="N793" s="16">
        <v>5</v>
      </c>
      <c r="O793" s="17"/>
      <c r="P793" s="18">
        <v>41485.082233796296</v>
      </c>
      <c r="Q793" s="7" t="s">
        <v>287</v>
      </c>
      <c r="R793" s="7" t="s">
        <v>6468</v>
      </c>
      <c r="S793" s="14" t="s">
        <v>6469</v>
      </c>
      <c r="T793" s="8"/>
      <c r="U793" s="19" t="str">
        <f>HYPERLINK("https://pbs.twimg.com/profile_images/1112775611125301248/ev2t0P2f.jpg","View")</f>
        <v>View</v>
      </c>
      <c r="V793" s="8"/>
      <c r="W793" s="8"/>
      <c r="X793" s="8"/>
      <c r="Y793" s="8"/>
      <c r="Z793" s="8"/>
    </row>
    <row r="794" spans="1:26" ht="12.75">
      <c r="A794" s="11">
        <v>43747.296631944446</v>
      </c>
      <c r="B794" s="12" t="str">
        <f>HYPERLINK("https://twitter.com/holymolyberk","@holymolyberk")</f>
        <v>@holymolyberk</v>
      </c>
      <c r="C794" s="7" t="s">
        <v>6474</v>
      </c>
      <c r="D794" s="7" t="s">
        <v>6475</v>
      </c>
      <c r="E794" s="12" t="str">
        <f>HYPERLINK("https://twitter.com/holymolyberk/status/1181934125227368448","1181934125227368448")</f>
        <v>1181934125227368448</v>
      </c>
      <c r="F794" s="8"/>
      <c r="G794" s="14" t="s">
        <v>6476</v>
      </c>
      <c r="H794" s="8"/>
      <c r="I794" s="15">
        <v>5</v>
      </c>
      <c r="J794" s="15">
        <v>12</v>
      </c>
      <c r="K794" s="12" t="str">
        <f>HYPERLINK("http://twitter.com/download/iphone","Twitter for iPhone")</f>
        <v>Twitter for iPhone</v>
      </c>
      <c r="L794" s="16">
        <v>4931</v>
      </c>
      <c r="M794" s="16">
        <v>311</v>
      </c>
      <c r="N794" s="16">
        <v>25</v>
      </c>
      <c r="O794" s="17"/>
      <c r="P794" s="18">
        <v>42249.977766203709</v>
      </c>
      <c r="Q794" s="7"/>
      <c r="R794" s="7" t="s">
        <v>6479</v>
      </c>
      <c r="S794" s="15"/>
      <c r="T794" s="8"/>
      <c r="U794" s="19" t="str">
        <f>HYPERLINK("https://pbs.twimg.com/profile_images/1000488491460059140/4P8Vf_dD.jpg","View")</f>
        <v>View</v>
      </c>
      <c r="V794" s="8"/>
      <c r="W794" s="8"/>
      <c r="X794" s="8"/>
      <c r="Y794" s="8"/>
      <c r="Z794" s="8"/>
    </row>
    <row r="795" spans="1:26" ht="12.75">
      <c r="A795" s="11">
        <v>43747.2966087963</v>
      </c>
      <c r="B795" s="12" t="str">
        <f>HYPERLINK("https://twitter.com/_MPehlivan","@_MPehlivan")</f>
        <v>@_MPehlivan</v>
      </c>
      <c r="C795" s="7" t="s">
        <v>6484</v>
      </c>
      <c r="D795" s="7" t="s">
        <v>6485</v>
      </c>
      <c r="E795" s="12" t="str">
        <f>HYPERLINK("https://twitter.com/_MPehlivan/status/1181934115630792704","1181934115630792704")</f>
        <v>1181934115630792704</v>
      </c>
      <c r="F795" s="8"/>
      <c r="G795" s="14" t="s">
        <v>6486</v>
      </c>
      <c r="H795" s="8"/>
      <c r="I795" s="15">
        <v>0</v>
      </c>
      <c r="J795" s="15">
        <v>2</v>
      </c>
      <c r="K795" s="12" t="str">
        <f>HYPERLINK("http://twitter.com/download/iphone","Twitter for iPhone")</f>
        <v>Twitter for iPhone</v>
      </c>
      <c r="L795" s="16">
        <v>1162</v>
      </c>
      <c r="M795" s="16">
        <v>740</v>
      </c>
      <c r="N795" s="16">
        <v>3</v>
      </c>
      <c r="O795" s="17"/>
      <c r="P795" s="18">
        <v>42887.544594907406</v>
      </c>
      <c r="Q795" s="7" t="s">
        <v>6487</v>
      </c>
      <c r="R795" s="7"/>
      <c r="S795" s="7"/>
      <c r="T795" s="8"/>
      <c r="U795" s="19" t="str">
        <f>HYPERLINK("https://pbs.twimg.com/profile_images/1175807446176141312/_O9RPaYo.jpg","View")</f>
        <v>View</v>
      </c>
      <c r="V795" s="8"/>
      <c r="W795" s="8"/>
      <c r="X795" s="8"/>
      <c r="Y795" s="8"/>
      <c r="Z795" s="8"/>
    </row>
    <row r="796" spans="1:26" ht="12.75">
      <c r="A796" s="11">
        <v>43747.296597222223</v>
      </c>
      <c r="B796" s="12" t="str">
        <f>HYPERLINK("https://twitter.com/elfeyess","@elfeyess")</f>
        <v>@elfeyess</v>
      </c>
      <c r="C796" s="7" t="s">
        <v>6488</v>
      </c>
      <c r="D796" s="7" t="s">
        <v>6489</v>
      </c>
      <c r="E796" s="12" t="str">
        <f>HYPERLINK("https://twitter.com/elfeyess/status/1181934111159705600","1181934111159705600")</f>
        <v>1181934111159705600</v>
      </c>
      <c r="F796" s="14" t="s">
        <v>6084</v>
      </c>
      <c r="G796" s="14" t="s">
        <v>6085</v>
      </c>
      <c r="H796" s="8"/>
      <c r="I796" s="15">
        <v>0</v>
      </c>
      <c r="J796" s="15">
        <v>0</v>
      </c>
      <c r="K796" s="12" t="str">
        <f>HYPERLINK("http://twitter.com/download/iphone","Twitter for iPhone")</f>
        <v>Twitter for iPhone</v>
      </c>
      <c r="L796" s="16">
        <v>83</v>
      </c>
      <c r="M796" s="16">
        <v>300</v>
      </c>
      <c r="N796" s="16">
        <v>1</v>
      </c>
      <c r="O796" s="17"/>
      <c r="P796" s="18">
        <v>42875.565740740742</v>
      </c>
      <c r="Q796" s="7" t="s">
        <v>6494</v>
      </c>
      <c r="R796" s="7" t="s">
        <v>6495</v>
      </c>
      <c r="S796" s="7"/>
      <c r="T796" s="8"/>
      <c r="U796" s="19" t="str">
        <f>HYPERLINK("https://pbs.twimg.com/profile_images/866034587062947841/hDyyQBFp.jpg","View")</f>
        <v>View</v>
      </c>
      <c r="V796" s="8"/>
      <c r="W796" s="8"/>
      <c r="X796" s="8"/>
      <c r="Y796" s="8"/>
      <c r="Z796" s="8"/>
    </row>
    <row r="797" spans="1:26" ht="12.75">
      <c r="A797" s="11">
        <v>43747.2965625</v>
      </c>
      <c r="B797" s="12" t="str">
        <f>HYPERLINK("https://twitter.com/Sibel63083396","@Sibel63083396")</f>
        <v>@Sibel63083396</v>
      </c>
      <c r="C797" s="7" t="s">
        <v>6496</v>
      </c>
      <c r="D797" s="7" t="s">
        <v>6497</v>
      </c>
      <c r="E797" s="12" t="str">
        <f>HYPERLINK("https://twitter.com/Sibel63083396/status/1181934099352707072","1181934099352707072")</f>
        <v>1181934099352707072</v>
      </c>
      <c r="F797" s="8"/>
      <c r="G797" s="14" t="s">
        <v>6498</v>
      </c>
      <c r="H797" s="8"/>
      <c r="I797" s="15">
        <v>0</v>
      </c>
      <c r="J797" s="15">
        <v>0</v>
      </c>
      <c r="K797" s="12" t="str">
        <f>HYPERLINK("http://twitter.com/download/android","Twitter for Android")</f>
        <v>Twitter for Android</v>
      </c>
      <c r="L797" s="16">
        <v>219</v>
      </c>
      <c r="M797" s="16">
        <v>231</v>
      </c>
      <c r="N797" s="16">
        <v>0</v>
      </c>
      <c r="O797" s="17"/>
      <c r="P797" s="18">
        <v>43094.521192129629</v>
      </c>
      <c r="Q797" s="7" t="s">
        <v>287</v>
      </c>
      <c r="R797" s="7" t="s">
        <v>6499</v>
      </c>
      <c r="S797" s="7"/>
      <c r="T797" s="8"/>
      <c r="U797" s="19" t="str">
        <f>HYPERLINK("https://pbs.twimg.com/profile_images/1173243704783622149/klNlqaxe.jpg","View")</f>
        <v>View</v>
      </c>
      <c r="V797" s="8"/>
      <c r="W797" s="8"/>
      <c r="X797" s="8"/>
      <c r="Y797" s="8"/>
      <c r="Z797" s="8"/>
    </row>
    <row r="798" spans="1:26" ht="12.75">
      <c r="A798" s="11">
        <v>43747.296550925923</v>
      </c>
      <c r="B798" s="12" t="str">
        <f>HYPERLINK("https://twitter.com/chotadipti","@chotadipti")</f>
        <v>@chotadipti</v>
      </c>
      <c r="C798" s="7" t="s">
        <v>6502</v>
      </c>
      <c r="D798" s="7" t="s">
        <v>6503</v>
      </c>
      <c r="E798" s="12" t="str">
        <f>HYPERLINK("https://twitter.com/chotadipti/status/1181934094780895233","1181934094780895233")</f>
        <v>1181934094780895233</v>
      </c>
      <c r="F798" s="8"/>
      <c r="G798" s="15"/>
      <c r="H798" s="8"/>
      <c r="I798" s="15">
        <v>0</v>
      </c>
      <c r="J798" s="15">
        <v>1</v>
      </c>
      <c r="K798" s="12" t="str">
        <f>HYPERLINK("http://twitter.com/download/android","Twitter for Android")</f>
        <v>Twitter for Android</v>
      </c>
      <c r="L798" s="16">
        <v>1258</v>
      </c>
      <c r="M798" s="16">
        <v>1884</v>
      </c>
      <c r="N798" s="16">
        <v>0</v>
      </c>
      <c r="O798" s="17"/>
      <c r="P798" s="18">
        <v>43189.253217592588</v>
      </c>
      <c r="Q798" s="7"/>
      <c r="R798" s="7" t="s">
        <v>6504</v>
      </c>
      <c r="S798" s="7"/>
      <c r="T798" s="8"/>
      <c r="U798" s="19" t="str">
        <f>HYPERLINK("https://pbs.twimg.com/profile_images/1162292009807294464/fHTS6ple.jpg","View")</f>
        <v>View</v>
      </c>
      <c r="V798" s="8"/>
      <c r="W798" s="8"/>
      <c r="X798" s="8"/>
      <c r="Y798" s="8"/>
      <c r="Z798" s="8"/>
    </row>
    <row r="799" spans="1:26" ht="12.75">
      <c r="A799" s="11">
        <v>43747.296527777777</v>
      </c>
      <c r="B799" s="12" t="str">
        <f>HYPERLINK("https://twitter.com/ufukakil06","@ufukakil06")</f>
        <v>@ufukakil06</v>
      </c>
      <c r="C799" s="7" t="s">
        <v>6505</v>
      </c>
      <c r="D799" s="7" t="s">
        <v>6506</v>
      </c>
      <c r="E799" s="12" t="str">
        <f>HYPERLINK("https://twitter.com/ufukakil06/status/1181934087642271745","1181934087642271745")</f>
        <v>1181934087642271745</v>
      </c>
      <c r="F799" s="8"/>
      <c r="G799" s="14" t="s">
        <v>6507</v>
      </c>
      <c r="H799" s="8"/>
      <c r="I799" s="15">
        <v>5</v>
      </c>
      <c r="J799" s="15">
        <v>19</v>
      </c>
      <c r="K799" s="12" t="str">
        <f>HYPERLINK("http://twitter.com/download/iphone","Twitter for iPhone")</f>
        <v>Twitter for iPhone</v>
      </c>
      <c r="L799" s="16">
        <v>1690</v>
      </c>
      <c r="M799" s="16">
        <v>387</v>
      </c>
      <c r="N799" s="16">
        <v>1</v>
      </c>
      <c r="O799" s="17"/>
      <c r="P799" s="18">
        <v>40433.592233796298</v>
      </c>
      <c r="Q799" s="7" t="s">
        <v>6508</v>
      </c>
      <c r="R799" s="7" t="s">
        <v>6509</v>
      </c>
      <c r="S799" s="7"/>
      <c r="T799" s="8"/>
      <c r="U799" s="19" t="str">
        <f>HYPERLINK("https://pbs.twimg.com/profile_images/1151246796804493313/QalJrhCU.jpg","View")</f>
        <v>View</v>
      </c>
      <c r="V799" s="8"/>
      <c r="W799" s="8"/>
      <c r="X799" s="8"/>
      <c r="Y799" s="8"/>
      <c r="Z799" s="8"/>
    </row>
    <row r="800" spans="1:26" ht="12.75">
      <c r="A800" s="11">
        <v>43747.296435185184</v>
      </c>
      <c r="B800" s="12" t="str">
        <f>HYPERLINK("https://twitter.com/makomyvz","@makomyvz")</f>
        <v>@makomyvz</v>
      </c>
      <c r="C800" s="7" t="s">
        <v>6512</v>
      </c>
      <c r="D800" s="7" t="s">
        <v>6513</v>
      </c>
      <c r="E800" s="12" t="str">
        <f>HYPERLINK("https://twitter.com/makomyvz/status/1181934055497109506","1181934055497109506")</f>
        <v>1181934055497109506</v>
      </c>
      <c r="F800" s="8"/>
      <c r="G800" s="7"/>
      <c r="H800" s="8"/>
      <c r="I800" s="15">
        <v>0</v>
      </c>
      <c r="J800" s="15">
        <v>1</v>
      </c>
      <c r="K800" s="12" t="str">
        <f>HYPERLINK("http://twitter.com/download/iphone","Twitter for iPhone")</f>
        <v>Twitter for iPhone</v>
      </c>
      <c r="L800" s="16">
        <v>201</v>
      </c>
      <c r="M800" s="16">
        <v>97</v>
      </c>
      <c r="N800" s="16">
        <v>0</v>
      </c>
      <c r="O800" s="17"/>
      <c r="P800" s="18">
        <v>42751.448078703703</v>
      </c>
      <c r="Q800" s="7" t="s">
        <v>576</v>
      </c>
      <c r="R800" s="7"/>
      <c r="S800" s="7"/>
      <c r="T800" s="8"/>
      <c r="U800" s="19" t="str">
        <f>HYPERLINK("https://pbs.twimg.com/profile_images/1155593837571706885/5NNQnboN.jpg","View")</f>
        <v>View</v>
      </c>
      <c r="V800" s="8"/>
      <c r="W800" s="8"/>
      <c r="X800" s="8"/>
      <c r="Y800" s="8"/>
      <c r="Z800" s="8"/>
    </row>
    <row r="801" spans="1:26" ht="12.75">
      <c r="A801" s="11">
        <v>43747.296365740738</v>
      </c>
      <c r="B801" s="12" t="str">
        <f>HYPERLINK("https://twitter.com/MattiMuukkonen","@MattiMuukkonen")</f>
        <v>@MattiMuukkonen</v>
      </c>
      <c r="C801" s="7" t="s">
        <v>6514</v>
      </c>
      <c r="D801" s="7" t="s">
        <v>6515</v>
      </c>
      <c r="E801" s="12" t="str">
        <f>HYPERLINK("https://twitter.com/MattiMuukkonen/status/1181934029316218881","1181934029316218881")</f>
        <v>1181934029316218881</v>
      </c>
      <c r="F801" s="8"/>
      <c r="G801" s="14" t="s">
        <v>6516</v>
      </c>
      <c r="H801" s="8"/>
      <c r="I801" s="15">
        <v>0</v>
      </c>
      <c r="J801" s="15">
        <v>1</v>
      </c>
      <c r="K801" s="12" t="str">
        <f>HYPERLINK("http://twitter.com/download/android","Twitter for Android")</f>
        <v>Twitter for Android</v>
      </c>
      <c r="L801" s="16">
        <v>1775</v>
      </c>
      <c r="M801" s="16">
        <v>2844</v>
      </c>
      <c r="N801" s="16">
        <v>7</v>
      </c>
      <c r="O801" s="17"/>
      <c r="P801" s="18">
        <v>41252.00844907407</v>
      </c>
      <c r="Q801" s="7" t="s">
        <v>6518</v>
      </c>
      <c r="R801" s="7" t="s">
        <v>6520</v>
      </c>
      <c r="S801" s="14" t="s">
        <v>6521</v>
      </c>
      <c r="T801" s="8"/>
      <c r="U801" s="19" t="str">
        <f>HYPERLINK("https://pbs.twimg.com/profile_images/1144647003844042761/4vxiTz79.jpg","View")</f>
        <v>View</v>
      </c>
      <c r="V801" s="8"/>
      <c r="W801" s="8"/>
      <c r="X801" s="8"/>
      <c r="Y801" s="8"/>
      <c r="Z801" s="8"/>
    </row>
    <row r="802" spans="1:26" ht="12.75">
      <c r="A802" s="11">
        <v>43747.296365740738</v>
      </c>
      <c r="B802" s="12" t="str">
        <f>HYPERLINK("https://twitter.com/mehmetbaheli6","@mehmetbaheli6")</f>
        <v>@mehmetbaheli6</v>
      </c>
      <c r="C802" s="7" t="s">
        <v>6524</v>
      </c>
      <c r="D802" s="7" t="s">
        <v>6525</v>
      </c>
      <c r="E802" s="12" t="str">
        <f>HYPERLINK("https://twitter.com/mehmetbaheli6/status/1181934028624207872","1181934028624207872")</f>
        <v>1181934028624207872</v>
      </c>
      <c r="F802" s="8"/>
      <c r="G802" s="14" t="s">
        <v>6526</v>
      </c>
      <c r="H802" s="8"/>
      <c r="I802" s="15">
        <v>0</v>
      </c>
      <c r="J802" s="15">
        <v>0</v>
      </c>
      <c r="K802" s="12" t="str">
        <f>HYPERLINK("http://twitter.com/download/iphone","Twitter for iPhone")</f>
        <v>Twitter for iPhone</v>
      </c>
      <c r="L802" s="16">
        <v>19</v>
      </c>
      <c r="M802" s="16">
        <v>120</v>
      </c>
      <c r="N802" s="16">
        <v>0</v>
      </c>
      <c r="O802" s="17"/>
      <c r="P802" s="18">
        <v>43714.444849537038</v>
      </c>
      <c r="Q802" s="7"/>
      <c r="R802" s="7" t="s">
        <v>6529</v>
      </c>
      <c r="S802" s="7"/>
      <c r="T802" s="8"/>
      <c r="U802" s="19" t="str">
        <f>HYPERLINK("https://pbs.twimg.com/profile_images/1178252433866330113/rdgwgb7k.jpg","View")</f>
        <v>View</v>
      </c>
      <c r="V802" s="8"/>
      <c r="W802" s="8"/>
      <c r="X802" s="8"/>
      <c r="Y802" s="8"/>
      <c r="Z802" s="8"/>
    </row>
    <row r="803" spans="1:26" ht="12.75">
      <c r="A803" s="11">
        <v>43747.296354166669</v>
      </c>
      <c r="B803" s="12" t="str">
        <f>HYPERLINK("https://twitter.com/KCABUYUK","@KCABUYUK")</f>
        <v>@KCABUYUK</v>
      </c>
      <c r="C803" s="7" t="s">
        <v>4984</v>
      </c>
      <c r="D803" s="7" t="s">
        <v>6530</v>
      </c>
      <c r="E803" s="12" t="str">
        <f>HYPERLINK("https://twitter.com/KCABUYUK/status/1181934026493485059","1181934026493485059")</f>
        <v>1181934026493485059</v>
      </c>
      <c r="F803" s="8"/>
      <c r="G803" s="7"/>
      <c r="H803" s="8"/>
      <c r="I803" s="15">
        <v>0</v>
      </c>
      <c r="J803" s="15">
        <v>0</v>
      </c>
      <c r="K803" s="12" t="str">
        <f>HYPERLINK("http://twitter.com/download/android","Twitter for Android")</f>
        <v>Twitter for Android</v>
      </c>
      <c r="L803" s="16">
        <v>1203</v>
      </c>
      <c r="M803" s="16">
        <v>2163</v>
      </c>
      <c r="N803" s="16">
        <v>2</v>
      </c>
      <c r="O803" s="17"/>
      <c r="P803" s="18">
        <v>40364.529918981483</v>
      </c>
      <c r="Q803" s="7"/>
      <c r="R803" s="7" t="s">
        <v>6533</v>
      </c>
      <c r="S803" s="7"/>
      <c r="T803" s="8"/>
      <c r="U803" s="19" t="str">
        <f>HYPERLINK("https://pbs.twimg.com/profile_images/1088567319427731458/CKBHjJea.jpg","View")</f>
        <v>View</v>
      </c>
      <c r="V803" s="8"/>
      <c r="W803" s="8"/>
      <c r="X803" s="8"/>
      <c r="Y803" s="8"/>
      <c r="Z803" s="8"/>
    </row>
    <row r="804" spans="1:26" ht="12.75">
      <c r="A804" s="11">
        <v>43747.296354166669</v>
      </c>
      <c r="B804" s="12" t="str">
        <f>HYPERLINK("https://twitter.com/nobelstaid","@nobelstaid")</f>
        <v>@nobelstaid</v>
      </c>
      <c r="C804" s="7" t="s">
        <v>6534</v>
      </c>
      <c r="D804" s="7" t="s">
        <v>6535</v>
      </c>
      <c r="E804" s="12" t="str">
        <f>HYPERLINK("https://twitter.com/nobelstaid/status/1181934023725195264","1181934023725195264")</f>
        <v>1181934023725195264</v>
      </c>
      <c r="F804" s="8"/>
      <c r="G804" s="7"/>
      <c r="H804" s="8"/>
      <c r="I804" s="15">
        <v>0</v>
      </c>
      <c r="J804" s="15">
        <v>1</v>
      </c>
      <c r="K804" s="12" t="str">
        <f>HYPERLINK("http://twitter.com/download/iphone","Twitter for iPhone")</f>
        <v>Twitter for iPhone</v>
      </c>
      <c r="L804" s="16">
        <v>1</v>
      </c>
      <c r="M804" s="16">
        <v>47</v>
      </c>
      <c r="N804" s="16">
        <v>0</v>
      </c>
      <c r="O804" s="17"/>
      <c r="P804" s="18">
        <v>43718.637303240743</v>
      </c>
      <c r="Q804" s="7" t="s">
        <v>668</v>
      </c>
      <c r="R804" s="7"/>
      <c r="S804" s="7"/>
      <c r="T804" s="8"/>
      <c r="U804" s="19" t="str">
        <f>HYPERLINK("https://pbs.twimg.com/profile_images/1171549257398194176/_5nijSsG.jpg","View")</f>
        <v>View</v>
      </c>
      <c r="V804" s="8"/>
      <c r="W804" s="8"/>
      <c r="X804" s="8"/>
      <c r="Y804" s="8"/>
      <c r="Z804" s="8"/>
    </row>
    <row r="805" spans="1:26" ht="12.75">
      <c r="A805" s="11">
        <v>43747.296342592592</v>
      </c>
      <c r="B805" s="12" t="str">
        <f>HYPERLINK("https://twitter.com/ozcanBNGL1","@ozcanBNGL1")</f>
        <v>@ozcanBNGL1</v>
      </c>
      <c r="C805" s="7" t="s">
        <v>6539</v>
      </c>
      <c r="D805" s="7" t="s">
        <v>6541</v>
      </c>
      <c r="E805" s="12" t="str">
        <f>HYPERLINK("https://twitter.com/ozcanBNGL1/status/1181934022538215424","1181934022538215424")</f>
        <v>1181934022538215424</v>
      </c>
      <c r="F805" s="14" t="s">
        <v>6542</v>
      </c>
      <c r="G805" s="7"/>
      <c r="H805" s="8"/>
      <c r="I805" s="15">
        <v>0</v>
      </c>
      <c r="J805" s="15">
        <v>0</v>
      </c>
      <c r="K805" s="12" t="str">
        <f>HYPERLINK("https://mobile.twitter.com","Twitter Web App")</f>
        <v>Twitter Web App</v>
      </c>
      <c r="L805" s="16">
        <v>510</v>
      </c>
      <c r="M805" s="16">
        <v>479</v>
      </c>
      <c r="N805" s="16">
        <v>1</v>
      </c>
      <c r="O805" s="17"/>
      <c r="P805" s="18">
        <v>40162.452719907407</v>
      </c>
      <c r="Q805" s="7" t="s">
        <v>6543</v>
      </c>
      <c r="R805" s="7" t="s">
        <v>6544</v>
      </c>
      <c r="S805" s="7"/>
      <c r="T805" s="8"/>
      <c r="U805" s="19" t="str">
        <f>HYPERLINK("https://pbs.twimg.com/profile_images/1175059737286762497/H07vJO_I.jpg","View")</f>
        <v>View</v>
      </c>
      <c r="V805" s="8"/>
      <c r="W805" s="8"/>
      <c r="X805" s="8"/>
      <c r="Y805" s="8"/>
      <c r="Z805" s="8"/>
    </row>
    <row r="806" spans="1:26" ht="12.75">
      <c r="A806" s="11">
        <v>43747.296342592592</v>
      </c>
      <c r="B806" s="12" t="str">
        <f>HYPERLINK("https://twitter.com/bjksokakk","@bjksokakk")</f>
        <v>@bjksokakk</v>
      </c>
      <c r="C806" s="7" t="s">
        <v>6546</v>
      </c>
      <c r="D806" s="7" t="s">
        <v>6547</v>
      </c>
      <c r="E806" s="12" t="str">
        <f>HYPERLINK("https://twitter.com/bjksokakk/status/1181934021556748288","1181934021556748288")</f>
        <v>1181934021556748288</v>
      </c>
      <c r="F806" s="8"/>
      <c r="G806" s="14" t="s">
        <v>6548</v>
      </c>
      <c r="H806" s="8"/>
      <c r="I806" s="15">
        <v>0</v>
      </c>
      <c r="J806" s="15">
        <v>10</v>
      </c>
      <c r="K806" s="12" t="str">
        <f>HYPERLINK("http://twitter.com/download/iphone","Twitter for iPhone")</f>
        <v>Twitter for iPhone</v>
      </c>
      <c r="L806" s="16">
        <v>2968</v>
      </c>
      <c r="M806" s="16">
        <v>2660</v>
      </c>
      <c r="N806" s="16">
        <v>1</v>
      </c>
      <c r="O806" s="17"/>
      <c r="P806" s="18">
        <v>42484.021469907406</v>
      </c>
      <c r="Q806" s="7" t="s">
        <v>6551</v>
      </c>
      <c r="R806" s="7" t="s">
        <v>6552</v>
      </c>
      <c r="S806" s="14" t="s">
        <v>6554</v>
      </c>
      <c r="T806" s="8"/>
      <c r="U806" s="19" t="str">
        <f>HYPERLINK("https://pbs.twimg.com/profile_images/1151046782832525313/toW4TTj0.jpg","View")</f>
        <v>View</v>
      </c>
      <c r="V806" s="8"/>
      <c r="W806" s="8"/>
      <c r="X806" s="8"/>
      <c r="Y806" s="8"/>
      <c r="Z806" s="8"/>
    </row>
    <row r="807" spans="1:26" ht="12.75">
      <c r="A807" s="11">
        <v>43747.296331018515</v>
      </c>
      <c r="B807" s="12" t="str">
        <f>HYPERLINK("https://twitter.com/laceverd","@laceverd")</f>
        <v>@laceverd</v>
      </c>
      <c r="C807" s="7" t="s">
        <v>6555</v>
      </c>
      <c r="D807" s="7" t="s">
        <v>6556</v>
      </c>
      <c r="E807" s="12" t="str">
        <f>HYPERLINK("https://twitter.com/laceverd/status/1181934015810588673","1181934015810588673")</f>
        <v>1181934015810588673</v>
      </c>
      <c r="F807" s="8"/>
      <c r="G807" s="14" t="s">
        <v>6558</v>
      </c>
      <c r="H807" s="8"/>
      <c r="I807" s="15">
        <v>0</v>
      </c>
      <c r="J807" s="15">
        <v>4</v>
      </c>
      <c r="K807" s="12" t="str">
        <f>HYPERLINK("http://twitter.com/download/android","Twitter for Android")</f>
        <v>Twitter for Android</v>
      </c>
      <c r="L807" s="16">
        <v>119</v>
      </c>
      <c r="M807" s="16">
        <v>374</v>
      </c>
      <c r="N807" s="16">
        <v>0</v>
      </c>
      <c r="O807" s="17"/>
      <c r="P807" s="18">
        <v>42237.159456018519</v>
      </c>
      <c r="Q807" s="7"/>
      <c r="R807" s="15" t="s">
        <v>807</v>
      </c>
      <c r="S807" s="7"/>
      <c r="T807" s="8"/>
      <c r="U807" s="19" t="str">
        <f>HYPERLINK("https://pbs.twimg.com/profile_images/1179876988707840000/4L3dp-uc.jpg","View")</f>
        <v>View</v>
      </c>
      <c r="V807" s="8"/>
      <c r="W807" s="8"/>
      <c r="X807" s="8"/>
      <c r="Y807" s="8"/>
      <c r="Z807" s="8"/>
    </row>
    <row r="808" spans="1:26" ht="12.75">
      <c r="A808" s="11">
        <v>43747.296331018515</v>
      </c>
      <c r="B808" s="12" t="str">
        <f>HYPERLINK("https://twitter.com/matmazelbonus","@matmazelbonus")</f>
        <v>@matmazelbonus</v>
      </c>
      <c r="C808" s="7" t="s">
        <v>6561</v>
      </c>
      <c r="D808" s="7" t="s">
        <v>6562</v>
      </c>
      <c r="E808" s="12" t="str">
        <f>HYPERLINK("https://twitter.com/matmazelbonus/status/1181934015638626304","1181934015638626304")</f>
        <v>1181934015638626304</v>
      </c>
      <c r="F808" s="8"/>
      <c r="G808" s="14" t="s">
        <v>6564</v>
      </c>
      <c r="H808" s="8"/>
      <c r="I808" s="15">
        <v>0</v>
      </c>
      <c r="J808" s="15">
        <v>4</v>
      </c>
      <c r="K808" s="12" t="str">
        <f>HYPERLINK("http://twitter.com/download/iphone","Twitter for iPhone")</f>
        <v>Twitter for iPhone</v>
      </c>
      <c r="L808" s="16">
        <v>337</v>
      </c>
      <c r="M808" s="16">
        <v>370</v>
      </c>
      <c r="N808" s="16">
        <v>2</v>
      </c>
      <c r="O808" s="17"/>
      <c r="P808" s="18">
        <v>42516.657743055555</v>
      </c>
      <c r="Q808" s="7" t="s">
        <v>6565</v>
      </c>
      <c r="R808" s="7"/>
      <c r="S808" s="7"/>
      <c r="T808" s="8"/>
      <c r="U808" s="19" t="str">
        <f>HYPERLINK("https://pbs.twimg.com/profile_images/1181295651352526848/ytz_4Nk3.jpg","View")</f>
        <v>View</v>
      </c>
      <c r="V808" s="8"/>
      <c r="W808" s="8"/>
      <c r="X808" s="8"/>
      <c r="Y808" s="8"/>
      <c r="Z808" s="8"/>
    </row>
    <row r="809" spans="1:26" ht="12.75">
      <c r="A809" s="11">
        <v>43747.296319444446</v>
      </c>
      <c r="B809" s="12" t="str">
        <f>HYPERLINK("https://twitter.com/AslmOuz4","@AslmOuz4")</f>
        <v>@AslmOuz4</v>
      </c>
      <c r="C809" s="7" t="s">
        <v>6568</v>
      </c>
      <c r="D809" s="7" t="s">
        <v>6569</v>
      </c>
      <c r="E809" s="12" t="str">
        <f>HYPERLINK("https://twitter.com/AslmOuz4/status/1181934011515621387","1181934011515621387")</f>
        <v>1181934011515621387</v>
      </c>
      <c r="F809" s="7"/>
      <c r="G809" s="14" t="s">
        <v>6570</v>
      </c>
      <c r="H809" s="8"/>
      <c r="I809" s="15">
        <v>3</v>
      </c>
      <c r="J809" s="15">
        <v>8</v>
      </c>
      <c r="K809" s="12" t="str">
        <f>HYPERLINK("http://twitter.com/download/android","Twitter for Android")</f>
        <v>Twitter for Android</v>
      </c>
      <c r="L809" s="16">
        <v>202</v>
      </c>
      <c r="M809" s="16">
        <v>255</v>
      </c>
      <c r="N809" s="16">
        <v>0</v>
      </c>
      <c r="O809" s="17"/>
      <c r="P809" s="18">
        <v>43727.489398148144</v>
      </c>
      <c r="Q809" s="7"/>
      <c r="R809" s="7"/>
      <c r="S809" s="7"/>
      <c r="T809" s="8"/>
      <c r="U809" s="19" t="str">
        <f>HYPERLINK("https://pbs.twimg.com/profile_images/1174757850901549062/My9TdcH2.jpg","View")</f>
        <v>View</v>
      </c>
      <c r="V809" s="8"/>
      <c r="W809" s="8"/>
      <c r="X809" s="8"/>
      <c r="Y809" s="8"/>
      <c r="Z809" s="8"/>
    </row>
    <row r="810" spans="1:26" ht="12.75">
      <c r="A810" s="11">
        <v>43747.296307870369</v>
      </c>
      <c r="B810" s="12" t="str">
        <f>HYPERLINK("https://twitter.com/tugcekatun","@tugcekatun")</f>
        <v>@tugcekatun</v>
      </c>
      <c r="C810" s="7" t="s">
        <v>6572</v>
      </c>
      <c r="D810" s="7" t="s">
        <v>6573</v>
      </c>
      <c r="E810" s="12" t="str">
        <f>HYPERLINK("https://twitter.com/tugcekatun/status/1181934008235692035","1181934008235692035")</f>
        <v>1181934008235692035</v>
      </c>
      <c r="F810" s="15"/>
      <c r="G810" s="14" t="s">
        <v>6574</v>
      </c>
      <c r="H810" s="8"/>
      <c r="I810" s="15">
        <v>0</v>
      </c>
      <c r="J810" s="15">
        <v>6</v>
      </c>
      <c r="K810" s="12" t="str">
        <f>HYPERLINK("http://twitter.com/download/android","Twitter for Android")</f>
        <v>Twitter for Android</v>
      </c>
      <c r="L810" s="16">
        <v>1521</v>
      </c>
      <c r="M810" s="16">
        <v>261</v>
      </c>
      <c r="N810" s="16">
        <v>3</v>
      </c>
      <c r="O810" s="17"/>
      <c r="P810" s="18">
        <v>41554.220972222218</v>
      </c>
      <c r="Q810" s="7"/>
      <c r="R810" s="7"/>
      <c r="S810" s="7"/>
      <c r="T810" s="8"/>
      <c r="U810" s="19" t="str">
        <f>HYPERLINK("https://pbs.twimg.com/profile_images/1164202258046865408/aLP4FZft.jpg","View")</f>
        <v>View</v>
      </c>
      <c r="V810" s="8"/>
      <c r="W810" s="8"/>
      <c r="X810" s="8"/>
      <c r="Y810" s="8"/>
      <c r="Z810" s="8"/>
    </row>
    <row r="811" spans="1:26" ht="12.75">
      <c r="A811" s="11">
        <v>43747.296261574069</v>
      </c>
      <c r="B811" s="12" t="str">
        <f>HYPERLINK("https://twitter.com/zuzujojo","@zuzujojo")</f>
        <v>@zuzujojo</v>
      </c>
      <c r="C811" s="7" t="s">
        <v>6578</v>
      </c>
      <c r="D811" s="7" t="s">
        <v>6579</v>
      </c>
      <c r="E811" s="12" t="str">
        <f>HYPERLINK("https://twitter.com/zuzujojo/status/1181933990237949957","1181933990237949957")</f>
        <v>1181933990237949957</v>
      </c>
      <c r="F811" s="14" t="s">
        <v>2501</v>
      </c>
      <c r="G811" s="14" t="s">
        <v>2502</v>
      </c>
      <c r="H811" s="8"/>
      <c r="I811" s="15">
        <v>0</v>
      </c>
      <c r="J811" s="15">
        <v>1</v>
      </c>
      <c r="K811" s="12" t="str">
        <f>HYPERLINK("http://twitter.com/download/iphone","Twitter for iPhone")</f>
        <v>Twitter for iPhone</v>
      </c>
      <c r="L811" s="16">
        <v>1045</v>
      </c>
      <c r="M811" s="16">
        <v>920</v>
      </c>
      <c r="N811" s="16">
        <v>6</v>
      </c>
      <c r="O811" s="17"/>
      <c r="P811" s="18">
        <v>40758.576736111107</v>
      </c>
      <c r="Q811" s="7" t="s">
        <v>6583</v>
      </c>
      <c r="R811" s="7" t="s">
        <v>6584</v>
      </c>
      <c r="S811" s="14" t="s">
        <v>6585</v>
      </c>
      <c r="T811" s="8"/>
      <c r="U811" s="19" t="str">
        <f>HYPERLINK("https://pbs.twimg.com/profile_images/1176959882278461440/7XTZ_M_S.jpg","View")</f>
        <v>View</v>
      </c>
      <c r="V811" s="8"/>
      <c r="W811" s="8"/>
      <c r="X811" s="8"/>
      <c r="Y811" s="8"/>
      <c r="Z811" s="8"/>
    </row>
    <row r="812" spans="1:26" ht="12.75">
      <c r="A812" s="11">
        <v>43747.29623842593</v>
      </c>
      <c r="B812" s="12" t="str">
        <f>HYPERLINK("https://twitter.com/mgurkan435","@mgurkan435")</f>
        <v>@mgurkan435</v>
      </c>
      <c r="C812" s="7" t="s">
        <v>6588</v>
      </c>
      <c r="D812" s="7" t="s">
        <v>6590</v>
      </c>
      <c r="E812" s="12" t="str">
        <f>HYPERLINK("https://twitter.com/mgurkan435/status/1181933981878685701","1181933981878685701")</f>
        <v>1181933981878685701</v>
      </c>
      <c r="F812" s="8"/>
      <c r="G812" s="7"/>
      <c r="H812" s="8"/>
      <c r="I812" s="15">
        <v>0</v>
      </c>
      <c r="J812" s="15">
        <v>0</v>
      </c>
      <c r="K812" s="12" t="str">
        <f>HYPERLINK("http://twitter.com/download/android","Twitter for Android")</f>
        <v>Twitter for Android</v>
      </c>
      <c r="L812" s="16">
        <v>5868</v>
      </c>
      <c r="M812" s="16">
        <v>6077</v>
      </c>
      <c r="N812" s="16">
        <v>13</v>
      </c>
      <c r="O812" s="17"/>
      <c r="P812" s="18">
        <v>41432.339317129634</v>
      </c>
      <c r="Q812" s="7" t="s">
        <v>6591</v>
      </c>
      <c r="R812" s="7" t="s">
        <v>6592</v>
      </c>
      <c r="S812" s="15"/>
      <c r="T812" s="8"/>
      <c r="U812" s="19" t="str">
        <f>HYPERLINK("https://pbs.twimg.com/profile_images/1149045380803375104/m6ysWb1k.jpg","View")</f>
        <v>View</v>
      </c>
      <c r="V812" s="8"/>
      <c r="W812" s="8"/>
      <c r="X812" s="8"/>
      <c r="Y812" s="8"/>
      <c r="Z812" s="8"/>
    </row>
    <row r="813" spans="1:26" ht="12.75">
      <c r="A813" s="11">
        <v>43747.296203703707</v>
      </c>
      <c r="B813" s="12" t="str">
        <f>HYPERLINK("https://twitter.com/DusunuyorumK","@DusunuyorumK")</f>
        <v>@DusunuyorumK</v>
      </c>
      <c r="C813" s="7" t="s">
        <v>6596</v>
      </c>
      <c r="D813" s="7" t="s">
        <v>6597</v>
      </c>
      <c r="E813" s="12" t="str">
        <f>HYPERLINK("https://twitter.com/DusunuyorumK/status/1181933972525371395","1181933972525371395")</f>
        <v>1181933972525371395</v>
      </c>
      <c r="F813" s="8"/>
      <c r="G813" s="7"/>
      <c r="H813" s="8"/>
      <c r="I813" s="15">
        <v>0</v>
      </c>
      <c r="J813" s="15">
        <v>0</v>
      </c>
      <c r="K813" s="12" t="str">
        <f>HYPERLINK("https://mobile.twitter.com","Twitter Web App")</f>
        <v>Twitter Web App</v>
      </c>
      <c r="L813" s="16">
        <v>26</v>
      </c>
      <c r="M813" s="16">
        <v>106</v>
      </c>
      <c r="N813" s="16">
        <v>0</v>
      </c>
      <c r="O813" s="17"/>
      <c r="P813" s="18">
        <v>43633.080625000002</v>
      </c>
      <c r="Q813" s="7"/>
      <c r="R813" s="7" t="s">
        <v>6598</v>
      </c>
      <c r="S813" s="7"/>
      <c r="T813" s="8"/>
      <c r="U813" s="19" t="str">
        <f>HYPERLINK("https://pbs.twimg.com/profile_images/1156814354072973312/7iIIdtTd.jpg","View")</f>
        <v>View</v>
      </c>
      <c r="V813" s="8"/>
      <c r="W813" s="8"/>
      <c r="X813" s="8"/>
      <c r="Y813" s="8"/>
      <c r="Z813" s="8"/>
    </row>
    <row r="814" spans="1:26" ht="12.75">
      <c r="A814" s="11">
        <v>43747.296203703707</v>
      </c>
      <c r="B814" s="12" t="str">
        <f>HYPERLINK("https://twitter.com/_Atakan_1903","@_Atakan_1903")</f>
        <v>@_Atakan_1903</v>
      </c>
      <c r="C814" s="7" t="s">
        <v>6602</v>
      </c>
      <c r="D814" s="7" t="s">
        <v>6603</v>
      </c>
      <c r="E814" s="12" t="str">
        <f>HYPERLINK("https://twitter.com/_Atakan_1903/status/1181933969169928192","1181933969169928192")</f>
        <v>1181933969169928192</v>
      </c>
      <c r="F814" s="8"/>
      <c r="G814" s="14" t="s">
        <v>6604</v>
      </c>
      <c r="H814" s="8"/>
      <c r="I814" s="15">
        <v>0</v>
      </c>
      <c r="J814" s="15">
        <v>4</v>
      </c>
      <c r="K814" s="12" t="str">
        <f>HYPERLINK("http://twitter.com/download/android","Twitter for Android")</f>
        <v>Twitter for Android</v>
      </c>
      <c r="L814" s="16">
        <v>54</v>
      </c>
      <c r="M814" s="16">
        <v>60</v>
      </c>
      <c r="N814" s="16">
        <v>0</v>
      </c>
      <c r="O814" s="17"/>
      <c r="P814" s="18">
        <v>43639.498622685191</v>
      </c>
      <c r="Q814" s="7"/>
      <c r="R814" s="7" t="s">
        <v>6608</v>
      </c>
      <c r="S814" s="15"/>
      <c r="T814" s="8"/>
      <c r="U814" s="19" t="str">
        <f>HYPERLINK("https://pbs.twimg.com/profile_images/1173156015887589377/awrSP3Oo.jpg","View")</f>
        <v>View</v>
      </c>
      <c r="V814" s="8"/>
      <c r="W814" s="8"/>
      <c r="X814" s="8"/>
      <c r="Y814" s="8"/>
      <c r="Z814" s="8"/>
    </row>
    <row r="815" spans="1:26" ht="12.75">
      <c r="A815" s="11">
        <v>43747.29619212963</v>
      </c>
      <c r="B815" s="12" t="str">
        <f>HYPERLINK("https://twitter.com/NrknGnr","@NrknGnr")</f>
        <v>@NrknGnr</v>
      </c>
      <c r="C815" s="7" t="s">
        <v>6610</v>
      </c>
      <c r="D815" s="7" t="s">
        <v>6611</v>
      </c>
      <c r="E815" s="12" t="str">
        <f>HYPERLINK("https://twitter.com/NrknGnr/status/1181933967605452801","1181933967605452801")</f>
        <v>1181933967605452801</v>
      </c>
      <c r="F815" s="8"/>
      <c r="G815" s="15"/>
      <c r="H815" s="8"/>
      <c r="I815" s="15">
        <v>0</v>
      </c>
      <c r="J815" s="15">
        <v>1</v>
      </c>
      <c r="K815" s="12" t="str">
        <f>HYPERLINK("http://twitter.com/download/iphone","Twitter for iPhone")</f>
        <v>Twitter for iPhone</v>
      </c>
      <c r="L815" s="16">
        <v>2155</v>
      </c>
      <c r="M815" s="16">
        <v>2172</v>
      </c>
      <c r="N815" s="16">
        <v>0</v>
      </c>
      <c r="O815" s="17"/>
      <c r="P815" s="18">
        <v>40967.286944444444</v>
      </c>
      <c r="Q815" s="7"/>
      <c r="R815" s="7" t="s">
        <v>6612</v>
      </c>
      <c r="S815" s="15"/>
      <c r="T815" s="8"/>
      <c r="U815" s="19" t="str">
        <f>HYPERLINK("https://pbs.twimg.com/profile_images/1171852509247430663/jXc-GBDm.jpg","View")</f>
        <v>View</v>
      </c>
      <c r="V815" s="8"/>
      <c r="W815" s="8"/>
      <c r="X815" s="8"/>
      <c r="Y815" s="8"/>
      <c r="Z815" s="8"/>
    </row>
    <row r="816" spans="1:26" ht="12.75">
      <c r="A816" s="11">
        <v>43747.296168981484</v>
      </c>
      <c r="B816" s="12" t="str">
        <f>HYPERLINK("https://twitter.com/EvladiFatih57","@EvladiFatih57")</f>
        <v>@EvladiFatih57</v>
      </c>
      <c r="C816" s="7" t="s">
        <v>6614</v>
      </c>
      <c r="D816" s="7" t="s">
        <v>6615</v>
      </c>
      <c r="E816" s="12" t="str">
        <f>HYPERLINK("https://twitter.com/EvladiFatih57/status/1181933959976030210","1181933959976030210")</f>
        <v>1181933959976030210</v>
      </c>
      <c r="F816" s="8"/>
      <c r="G816" s="15"/>
      <c r="H816" s="8"/>
      <c r="I816" s="15">
        <v>0</v>
      </c>
      <c r="J816" s="15">
        <v>0</v>
      </c>
      <c r="K816" s="12" t="str">
        <f>HYPERLINK("http://twitter.com/download/iphone","Twitter for iPhone")</f>
        <v>Twitter for iPhone</v>
      </c>
      <c r="L816" s="16">
        <v>116</v>
      </c>
      <c r="M816" s="16">
        <v>137</v>
      </c>
      <c r="N816" s="16">
        <v>0</v>
      </c>
      <c r="O816" s="17"/>
      <c r="P816" s="18">
        <v>42753.367812500001</v>
      </c>
      <c r="Q816" s="7"/>
      <c r="R816" s="7" t="s">
        <v>6619</v>
      </c>
      <c r="S816" s="7"/>
      <c r="T816" s="8"/>
      <c r="U816" s="19" t="str">
        <f>HYPERLINK("https://pbs.twimg.com/profile_images/949997918584438786/tvFlHsfn.jpg","View")</f>
        <v>View</v>
      </c>
      <c r="V816" s="8"/>
      <c r="W816" s="8"/>
      <c r="X816" s="8"/>
      <c r="Y816" s="8"/>
      <c r="Z816" s="8"/>
    </row>
    <row r="817" spans="1:26" ht="12.75">
      <c r="A817" s="11">
        <v>43747.296168981484</v>
      </c>
      <c r="B817" s="12" t="str">
        <f>HYPERLINK("https://twitter.com/dr_musasahin","@dr_musasahin")</f>
        <v>@dr_musasahin</v>
      </c>
      <c r="C817" s="7" t="s">
        <v>6620</v>
      </c>
      <c r="D817" s="7" t="s">
        <v>6621</v>
      </c>
      <c r="E817" s="12" t="str">
        <f>HYPERLINK("https://twitter.com/dr_musasahin/status/1181933959711789056","1181933959711789056")</f>
        <v>1181933959711789056</v>
      </c>
      <c r="F817" s="8"/>
      <c r="G817" s="14" t="s">
        <v>6624</v>
      </c>
      <c r="H817" s="8"/>
      <c r="I817" s="15">
        <v>0</v>
      </c>
      <c r="J817" s="15">
        <v>1</v>
      </c>
      <c r="K817" s="12" t="str">
        <f>HYPERLINK("http://twitter.com/download/iphone","Twitter for iPhone")</f>
        <v>Twitter for iPhone</v>
      </c>
      <c r="L817" s="16">
        <v>76</v>
      </c>
      <c r="M817" s="16">
        <v>560</v>
      </c>
      <c r="N817" s="16">
        <v>0</v>
      </c>
      <c r="O817" s="17"/>
      <c r="P817" s="18">
        <v>40233.624120370368</v>
      </c>
      <c r="Q817" s="7" t="s">
        <v>200</v>
      </c>
      <c r="R817" s="7" t="s">
        <v>6626</v>
      </c>
      <c r="S817" s="14" t="s">
        <v>6627</v>
      </c>
      <c r="T817" s="8"/>
      <c r="U817" s="19" t="str">
        <f>HYPERLINK("https://pbs.twimg.com/profile_images/891353275769004034/HUgvM8CQ.jpg","View")</f>
        <v>View</v>
      </c>
      <c r="V817" s="8"/>
      <c r="W817" s="8"/>
      <c r="X817" s="8"/>
      <c r="Y817" s="8"/>
      <c r="Z817" s="8"/>
    </row>
    <row r="818" spans="1:26" ht="12.75">
      <c r="A818" s="11">
        <v>43747.296122685184</v>
      </c>
      <c r="B818" s="12" t="str">
        <f>HYPERLINK("https://twitter.com/brillynotbrili","@brillynotbrili")</f>
        <v>@brillynotbrili</v>
      </c>
      <c r="C818" s="7" t="s">
        <v>6631</v>
      </c>
      <c r="D818" s="13" t="s">
        <v>6632</v>
      </c>
      <c r="E818" s="12" t="str">
        <f>HYPERLINK("https://twitter.com/brillynotbrili/status/1181933939557974016","1181933939557974016")</f>
        <v>1181933939557974016</v>
      </c>
      <c r="F818" s="8"/>
      <c r="G818" s="7"/>
      <c r="H818" s="8"/>
      <c r="I818" s="15">
        <v>0</v>
      </c>
      <c r="J818" s="15">
        <v>0</v>
      </c>
      <c r="K818" s="12" t="str">
        <f>HYPERLINK("http://twitter.com/download/iphone","Twitter for iPhone")</f>
        <v>Twitter for iPhone</v>
      </c>
      <c r="L818" s="16">
        <v>845</v>
      </c>
      <c r="M818" s="16">
        <v>287</v>
      </c>
      <c r="N818" s="16">
        <v>3</v>
      </c>
      <c r="O818" s="17"/>
      <c r="P818" s="18">
        <v>40551.852314814816</v>
      </c>
      <c r="Q818" s="7" t="s">
        <v>6633</v>
      </c>
      <c r="R818" s="13"/>
      <c r="S818" s="15"/>
      <c r="T818" s="8"/>
      <c r="U818" s="19" t="str">
        <f>HYPERLINK("https://pbs.twimg.com/profile_images/1160175635156701185/x16PiyM6.jpg","View")</f>
        <v>View</v>
      </c>
      <c r="V818" s="8"/>
      <c r="W818" s="8"/>
      <c r="X818" s="8"/>
      <c r="Y818" s="8"/>
      <c r="Z818" s="8"/>
    </row>
    <row r="819" spans="1:26" ht="12.75">
      <c r="A819" s="11">
        <v>43747.296111111107</v>
      </c>
      <c r="B819" s="12" t="str">
        <f>HYPERLINK("https://twitter.com/MrBurak","@MrBurak")</f>
        <v>@MrBurak</v>
      </c>
      <c r="C819" s="7" t="s">
        <v>6636</v>
      </c>
      <c r="D819" s="7" t="s">
        <v>6637</v>
      </c>
      <c r="E819" s="12" t="str">
        <f>HYPERLINK("https://twitter.com/MrBurak/status/1181933935988793346","1181933935988793346")</f>
        <v>1181933935988793346</v>
      </c>
      <c r="F819" s="8"/>
      <c r="G819" s="14" t="s">
        <v>6638</v>
      </c>
      <c r="H819" s="8"/>
      <c r="I819" s="15">
        <v>0</v>
      </c>
      <c r="J819" s="15">
        <v>0</v>
      </c>
      <c r="K819" s="12" t="str">
        <f>HYPERLINK("http://twitter.com/download/android","Twitter for Android")</f>
        <v>Twitter for Android</v>
      </c>
      <c r="L819" s="16">
        <v>36</v>
      </c>
      <c r="M819" s="16">
        <v>97</v>
      </c>
      <c r="N819" s="16">
        <v>1</v>
      </c>
      <c r="O819" s="17"/>
      <c r="P819" s="18">
        <v>41309.492395833331</v>
      </c>
      <c r="Q819" s="7" t="s">
        <v>860</v>
      </c>
      <c r="R819" s="7" t="s">
        <v>6642</v>
      </c>
      <c r="S819" s="7"/>
      <c r="T819" s="8"/>
      <c r="U819" s="19" t="str">
        <f>HYPERLINK("https://pbs.twimg.com/profile_images/576876066574184448/48MtS0mM.jpeg","View")</f>
        <v>View</v>
      </c>
      <c r="V819" s="8"/>
      <c r="W819" s="8"/>
      <c r="X819" s="8"/>
      <c r="Y819" s="8"/>
      <c r="Z819" s="8"/>
    </row>
    <row r="820" spans="1:26" ht="12.75">
      <c r="A820" s="11">
        <v>43747.296087962968</v>
      </c>
      <c r="B820" s="12" t="str">
        <f>HYPERLINK("https://twitter.com/sacisevenadam","@sacisevenadam")</f>
        <v>@sacisevenadam</v>
      </c>
      <c r="C820" s="7" t="s">
        <v>6643</v>
      </c>
      <c r="D820" s="7" t="s">
        <v>6644</v>
      </c>
      <c r="E820" s="12" t="str">
        <f>HYPERLINK("https://twitter.com/sacisevenadam/status/1181933927667253252","1181933927667253252")</f>
        <v>1181933927667253252</v>
      </c>
      <c r="F820" s="8"/>
      <c r="G820" s="14" t="s">
        <v>6646</v>
      </c>
      <c r="H820" s="8"/>
      <c r="I820" s="15">
        <v>0</v>
      </c>
      <c r="J820" s="15">
        <v>0</v>
      </c>
      <c r="K820" s="12" t="str">
        <f>HYPERLINK("http://twitter.com/download/android","Twitter for Android")</f>
        <v>Twitter for Android</v>
      </c>
      <c r="L820" s="16">
        <v>411</v>
      </c>
      <c r="M820" s="16">
        <v>623</v>
      </c>
      <c r="N820" s="16">
        <v>0</v>
      </c>
      <c r="O820" s="17"/>
      <c r="P820" s="18">
        <v>43245.679548611108</v>
      </c>
      <c r="Q820" s="7" t="s">
        <v>69</v>
      </c>
      <c r="R820" s="7" t="s">
        <v>6647</v>
      </c>
      <c r="S820" s="7"/>
      <c r="T820" s="8"/>
      <c r="U820" s="19" t="str">
        <f>HYPERLINK("https://pbs.twimg.com/profile_images/1168285723662966784/yqCpBXzL.jpg","View")</f>
        <v>View</v>
      </c>
      <c r="V820" s="8"/>
      <c r="W820" s="8"/>
      <c r="X820" s="8"/>
      <c r="Y820" s="8"/>
      <c r="Z820" s="8"/>
    </row>
    <row r="821" spans="1:26" ht="12.75">
      <c r="A821" s="11">
        <v>43747.296076388884</v>
      </c>
      <c r="B821" s="12" t="str">
        <f>HYPERLINK("https://twitter.com/ribaykagit","@ribaykagit")</f>
        <v>@ribaykagit</v>
      </c>
      <c r="C821" s="7" t="s">
        <v>6650</v>
      </c>
      <c r="D821" s="7" t="s">
        <v>6651</v>
      </c>
      <c r="E821" s="12" t="str">
        <f>HYPERLINK("https://twitter.com/ribaykagit/status/1181933924307611648","1181933924307611648")</f>
        <v>1181933924307611648</v>
      </c>
      <c r="F821" s="8"/>
      <c r="G821" s="14" t="s">
        <v>6652</v>
      </c>
      <c r="H821" s="8"/>
      <c r="I821" s="15">
        <v>0</v>
      </c>
      <c r="J821" s="15">
        <v>0</v>
      </c>
      <c r="K821" s="12" t="str">
        <f>HYPERLINK("http://twitter.com/download/android","Twitter for Android")</f>
        <v>Twitter for Android</v>
      </c>
      <c r="L821" s="16">
        <v>3</v>
      </c>
      <c r="M821" s="16">
        <v>18</v>
      </c>
      <c r="N821" s="16">
        <v>0</v>
      </c>
      <c r="O821" s="17"/>
      <c r="P821" s="18">
        <v>43742.028414351851</v>
      </c>
      <c r="Q821" s="7" t="s">
        <v>6653</v>
      </c>
      <c r="R821" s="7"/>
      <c r="S821" s="7"/>
      <c r="T821" s="8"/>
      <c r="U821" s="19" t="str">
        <f>HYPERLINK("https://pbs.twimg.com/profile_images/1180025038810091520/tl1tK2QJ.jpg","View")</f>
        <v>View</v>
      </c>
      <c r="V821" s="8"/>
      <c r="W821" s="8"/>
      <c r="X821" s="8"/>
      <c r="Y821" s="8"/>
      <c r="Z821" s="8"/>
    </row>
    <row r="822" spans="1:26" ht="12.75">
      <c r="A822" s="11">
        <v>43747.296064814815</v>
      </c>
      <c r="B822" s="12" t="str">
        <f>HYPERLINK("https://twitter.com/Mrtszn12","@Mrtszn12")</f>
        <v>@Mrtszn12</v>
      </c>
      <c r="C822" s="7" t="s">
        <v>6656</v>
      </c>
      <c r="D822" s="7" t="s">
        <v>6657</v>
      </c>
      <c r="E822" s="12" t="str">
        <f>HYPERLINK("https://twitter.com/Mrtszn12/status/1181933921191301121","1181933921191301121")</f>
        <v>1181933921191301121</v>
      </c>
      <c r="F822" s="15"/>
      <c r="G822" s="7"/>
      <c r="H822" s="8"/>
      <c r="I822" s="15">
        <v>0</v>
      </c>
      <c r="J822" s="15">
        <v>0</v>
      </c>
      <c r="K822" s="12" t="str">
        <f>HYPERLINK("http://twitter.com/download/iphone","Twitter for iPhone")</f>
        <v>Twitter for iPhone</v>
      </c>
      <c r="L822" s="16">
        <v>12</v>
      </c>
      <c r="M822" s="16">
        <v>55</v>
      </c>
      <c r="N822" s="16">
        <v>0</v>
      </c>
      <c r="O822" s="17"/>
      <c r="P822" s="18">
        <v>42948.508217592593</v>
      </c>
      <c r="Q822" s="7" t="s">
        <v>6659</v>
      </c>
      <c r="R822" s="7"/>
      <c r="S822" s="7"/>
      <c r="T822" s="8"/>
      <c r="U822" s="19" t="str">
        <f>HYPERLINK("https://pbs.twimg.com/profile_images/892467682360086528/iWXSJVG5.jpg","View")</f>
        <v>View</v>
      </c>
      <c r="V822" s="8"/>
      <c r="W822" s="8"/>
      <c r="X822" s="8"/>
      <c r="Y822" s="8"/>
      <c r="Z822" s="8"/>
    </row>
    <row r="823" spans="1:26" ht="12.75">
      <c r="A823" s="11">
        <v>43747.296064814815</v>
      </c>
      <c r="B823" s="12" t="str">
        <f>HYPERLINK("https://twitter.com/Hadiorrdann","@Hadiorrdann")</f>
        <v>@Hadiorrdann</v>
      </c>
      <c r="C823" s="7" t="s">
        <v>6661</v>
      </c>
      <c r="D823" s="7" t="s">
        <v>6662</v>
      </c>
      <c r="E823" s="12" t="str">
        <f>HYPERLINK("https://twitter.com/Hadiorrdann/status/1181933920910217217","1181933920910217217")</f>
        <v>1181933920910217217</v>
      </c>
      <c r="F823" s="8"/>
      <c r="G823" s="7"/>
      <c r="H823" s="8"/>
      <c r="I823" s="15">
        <v>10</v>
      </c>
      <c r="J823" s="15">
        <v>76</v>
      </c>
      <c r="K823" s="12" t="str">
        <f>HYPERLINK("http://twitter.com/download/android","Twitter for Android")</f>
        <v>Twitter for Android</v>
      </c>
      <c r="L823" s="16">
        <v>5054</v>
      </c>
      <c r="M823" s="16">
        <v>4356</v>
      </c>
      <c r="N823" s="16">
        <v>5</v>
      </c>
      <c r="O823" s="17"/>
      <c r="P823" s="18">
        <v>43544.207754629635</v>
      </c>
      <c r="Q823" s="7"/>
      <c r="R823" s="7" t="s">
        <v>6666</v>
      </c>
      <c r="S823" s="15"/>
      <c r="T823" s="8"/>
      <c r="U823" s="19" t="str">
        <f>HYPERLINK("https://pbs.twimg.com/profile_images/1116650351334187008/xHnp8mKe.jpg","View")</f>
        <v>View</v>
      </c>
      <c r="V823" s="8"/>
      <c r="W823" s="8"/>
      <c r="X823" s="8"/>
      <c r="Y823" s="8"/>
      <c r="Z823" s="8"/>
    </row>
    <row r="824" spans="1:26" ht="12.75">
      <c r="A824" s="11">
        <v>43747.296030092592</v>
      </c>
      <c r="B824" s="12" t="str">
        <f>HYPERLINK("https://twitter.com/nurayklbs","@nurayklbs")</f>
        <v>@nurayklbs</v>
      </c>
      <c r="C824" s="7" t="s">
        <v>6672</v>
      </c>
      <c r="D824" s="7" t="s">
        <v>6673</v>
      </c>
      <c r="E824" s="12" t="str">
        <f>HYPERLINK("https://twitter.com/nurayklbs/status/1181933908142837760","1181933908142837760")</f>
        <v>1181933908142837760</v>
      </c>
      <c r="F824" s="8"/>
      <c r="G824" s="14" t="s">
        <v>6674</v>
      </c>
      <c r="H824" s="8"/>
      <c r="I824" s="15">
        <v>0</v>
      </c>
      <c r="J824" s="15">
        <v>2</v>
      </c>
      <c r="K824" s="12" t="str">
        <f>HYPERLINK("http://twitter.com/download/android","Twitter for Android")</f>
        <v>Twitter for Android</v>
      </c>
      <c r="L824" s="16">
        <v>816</v>
      </c>
      <c r="M824" s="16">
        <v>709</v>
      </c>
      <c r="N824" s="16">
        <v>0</v>
      </c>
      <c r="O824" s="17"/>
      <c r="P824" s="18">
        <v>43124.534988425927</v>
      </c>
      <c r="Q824" s="7"/>
      <c r="R824" s="7" t="s">
        <v>6677</v>
      </c>
      <c r="S824" s="7"/>
      <c r="T824" s="8"/>
      <c r="U824" s="19" t="str">
        <f>HYPERLINK("https://pbs.twimg.com/profile_images/1181690955994415104/ekTKNQvG.jpg","View")</f>
        <v>View</v>
      </c>
      <c r="V824" s="8"/>
      <c r="W824" s="8"/>
      <c r="X824" s="8"/>
      <c r="Y824" s="8"/>
      <c r="Z824" s="8"/>
    </row>
    <row r="825" spans="1:26" ht="12.75">
      <c r="A825" s="11">
        <v>43747.295995370368</v>
      </c>
      <c r="B825" s="12" t="str">
        <f>HYPERLINK("https://twitter.com/hknals","@hknals")</f>
        <v>@hknals</v>
      </c>
      <c r="C825" s="7" t="s">
        <v>6681</v>
      </c>
      <c r="D825" s="7" t="s">
        <v>6682</v>
      </c>
      <c r="E825" s="12" t="str">
        <f>HYPERLINK("https://twitter.com/hknals/status/1181933893575991296","1181933893575991296")</f>
        <v>1181933893575991296</v>
      </c>
      <c r="F825" s="8"/>
      <c r="G825" s="14" t="s">
        <v>6683</v>
      </c>
      <c r="H825" s="8"/>
      <c r="I825" s="15">
        <v>0</v>
      </c>
      <c r="J825" s="15">
        <v>1</v>
      </c>
      <c r="K825" s="12" t="str">
        <f>HYPERLINK("http://twitter.com/download/iphone","Twitter for iPhone")</f>
        <v>Twitter for iPhone</v>
      </c>
      <c r="L825" s="16">
        <v>41</v>
      </c>
      <c r="M825" s="16">
        <v>264</v>
      </c>
      <c r="N825" s="16">
        <v>0</v>
      </c>
      <c r="O825" s="17"/>
      <c r="P825" s="18">
        <v>43472.635567129633</v>
      </c>
      <c r="Q825" s="7"/>
      <c r="R825" s="7"/>
      <c r="S825" s="7"/>
      <c r="T825" s="8"/>
      <c r="U825" s="19" t="str">
        <f>HYPERLINK("https://pbs.twimg.com/profile_images/1083449125272727552/vyyg431m.jpg","View")</f>
        <v>View</v>
      </c>
      <c r="V825" s="8"/>
      <c r="W825" s="8"/>
      <c r="X825" s="8"/>
      <c r="Y825" s="8"/>
      <c r="Z825" s="8"/>
    </row>
    <row r="826" spans="1:26" ht="12.75">
      <c r="A826" s="11">
        <v>43747.295972222222</v>
      </c>
      <c r="B826" s="12" t="str">
        <f>HYPERLINK("https://twitter.com/MuhammetGulsoy","@MuhammetGulsoy")</f>
        <v>@MuhammetGulsoy</v>
      </c>
      <c r="C826" s="7" t="s">
        <v>6691</v>
      </c>
      <c r="D826" s="7" t="s">
        <v>6692</v>
      </c>
      <c r="E826" s="12" t="str">
        <f>HYPERLINK("https://twitter.com/MuhammetGulsoy/status/1181933886969921536","1181933886969921536")</f>
        <v>1181933886969921536</v>
      </c>
      <c r="F826" s="14" t="s">
        <v>6693</v>
      </c>
      <c r="G826" s="7" t="s">
        <v>6696</v>
      </c>
      <c r="H826" s="8"/>
      <c r="I826" s="15">
        <v>0</v>
      </c>
      <c r="J826" s="15">
        <v>0</v>
      </c>
      <c r="K826" s="12" t="str">
        <f>HYPERLINK("http://twitter.com/download/iphone","Twitter for iPhone")</f>
        <v>Twitter for iPhone</v>
      </c>
      <c r="L826" s="16">
        <v>489</v>
      </c>
      <c r="M826" s="16">
        <v>70</v>
      </c>
      <c r="N826" s="16">
        <v>0</v>
      </c>
      <c r="O826" s="17"/>
      <c r="P826" s="18">
        <v>40815.29105324074</v>
      </c>
      <c r="Q826" s="7" t="s">
        <v>313</v>
      </c>
      <c r="R826" s="7" t="s">
        <v>6698</v>
      </c>
      <c r="S826" s="14" t="s">
        <v>6699</v>
      </c>
      <c r="T826" s="8"/>
      <c r="U826" s="19" t="str">
        <f>HYPERLINK("https://pbs.twimg.com/profile_images/1179366512404172801/yoExNWGb.jpg","View")</f>
        <v>View</v>
      </c>
      <c r="V826" s="8"/>
      <c r="W826" s="8"/>
      <c r="X826" s="8"/>
      <c r="Y826" s="8"/>
      <c r="Z826" s="8"/>
    </row>
    <row r="827" spans="1:26" ht="12.75">
      <c r="A827" s="11">
        <v>43747.295972222222</v>
      </c>
      <c r="B827" s="12" t="str">
        <f>HYPERLINK("https://twitter.com/_kartal_goz_","@_kartal_goz_")</f>
        <v>@_kartal_goz_</v>
      </c>
      <c r="C827" s="7" t="s">
        <v>6700</v>
      </c>
      <c r="D827" s="7" t="s">
        <v>6702</v>
      </c>
      <c r="E827" s="12" t="str">
        <f>HYPERLINK("https://twitter.com/_kartal_goz_/status/1181933884684083202","1181933884684083202")</f>
        <v>1181933884684083202</v>
      </c>
      <c r="F827" s="8"/>
      <c r="G827" s="14" t="s">
        <v>5343</v>
      </c>
      <c r="H827" s="8"/>
      <c r="I827" s="15">
        <v>9</v>
      </c>
      <c r="J827" s="15">
        <v>20</v>
      </c>
      <c r="K827" s="12" t="str">
        <f>HYPERLINK("http://twitter.com/download/iphone","Twitter for iPhone")</f>
        <v>Twitter for iPhone</v>
      </c>
      <c r="L827" s="16">
        <v>1717</v>
      </c>
      <c r="M827" s="16">
        <v>1446</v>
      </c>
      <c r="N827" s="16">
        <v>0</v>
      </c>
      <c r="O827" s="17"/>
      <c r="P827" s="18">
        <v>43256.1328125</v>
      </c>
      <c r="Q827" s="7" t="s">
        <v>200</v>
      </c>
      <c r="R827" s="7" t="s">
        <v>6708</v>
      </c>
      <c r="S827" s="7"/>
      <c r="T827" s="8"/>
      <c r="U827" s="19" t="str">
        <f>HYPERLINK("https://pbs.twimg.com/profile_images/1069173902927167488/75i4lY1s.jpg","View")</f>
        <v>View</v>
      </c>
      <c r="V827" s="8"/>
      <c r="W827" s="8"/>
      <c r="X827" s="8"/>
      <c r="Y827" s="8"/>
      <c r="Z827" s="8"/>
    </row>
    <row r="828" spans="1:26" ht="12.75">
      <c r="A828" s="11">
        <v>43747.295902777776</v>
      </c>
      <c r="B828" s="12" t="str">
        <f>HYPERLINK("https://twitter.com/EllaJoSa","@EllaJoSa")</f>
        <v>@EllaJoSa</v>
      </c>
      <c r="C828" s="13" t="s">
        <v>6719</v>
      </c>
      <c r="D828" s="7" t="s">
        <v>6720</v>
      </c>
      <c r="E828" s="12" t="str">
        <f>HYPERLINK("https://twitter.com/EllaJoSa/status/1181933860738732039","1181933860738732039")</f>
        <v>1181933860738732039</v>
      </c>
      <c r="F828" s="8" t="s">
        <v>6721</v>
      </c>
      <c r="G828" s="7"/>
      <c r="H828" s="8"/>
      <c r="I828" s="15">
        <v>0</v>
      </c>
      <c r="J828" s="15">
        <v>3</v>
      </c>
      <c r="K828" s="12" t="str">
        <f>HYPERLINK("http://twitter.com/download/android","Twitter for Android")</f>
        <v>Twitter for Android</v>
      </c>
      <c r="L828" s="16">
        <v>161</v>
      </c>
      <c r="M828" s="16">
        <v>331</v>
      </c>
      <c r="N828" s="16">
        <v>1</v>
      </c>
      <c r="O828" s="17"/>
      <c r="P828" s="18">
        <v>43275.119884259257</v>
      </c>
      <c r="Q828" s="7"/>
      <c r="R828" s="7" t="s">
        <v>6722</v>
      </c>
      <c r="S828" s="15"/>
      <c r="T828" s="8"/>
      <c r="U828" s="19" t="str">
        <f>HYPERLINK("https://pbs.twimg.com/profile_images/1085196644650344449/UWHSe6tO.jpg","View")</f>
        <v>View</v>
      </c>
      <c r="V828" s="8"/>
      <c r="W828" s="8"/>
      <c r="X828" s="8"/>
      <c r="Y828" s="8"/>
      <c r="Z828" s="8"/>
    </row>
    <row r="829" spans="1:26" ht="12.75">
      <c r="A829" s="11">
        <v>43747.295891203699</v>
      </c>
      <c r="B829" s="12" t="str">
        <f>HYPERLINK("https://twitter.com/yagmurciceg","@yagmurciceg")</f>
        <v>@yagmurciceg</v>
      </c>
      <c r="C829" s="7" t="s">
        <v>6723</v>
      </c>
      <c r="D829" s="7" t="s">
        <v>160</v>
      </c>
      <c r="E829" s="12" t="str">
        <f>HYPERLINK("https://twitter.com/yagmurciceg/status/1181933858159235072","1181933858159235072")</f>
        <v>1181933858159235072</v>
      </c>
      <c r="F829" s="8"/>
      <c r="G829" s="14" t="s">
        <v>6725</v>
      </c>
      <c r="H829" s="8"/>
      <c r="I829" s="15">
        <v>0</v>
      </c>
      <c r="J829" s="15">
        <v>3</v>
      </c>
      <c r="K829" s="12" t="str">
        <f>HYPERLINK("http://twitter.com/download/android","Twitter for Android")</f>
        <v>Twitter for Android</v>
      </c>
      <c r="L829" s="16">
        <v>174</v>
      </c>
      <c r="M829" s="16">
        <v>733</v>
      </c>
      <c r="N829" s="16">
        <v>1</v>
      </c>
      <c r="O829" s="17"/>
      <c r="P829" s="18">
        <v>43520.546678240746</v>
      </c>
      <c r="Q829" s="7" t="s">
        <v>6727</v>
      </c>
      <c r="R829" s="7" t="s">
        <v>6728</v>
      </c>
      <c r="S829" s="7"/>
      <c r="T829" s="8"/>
      <c r="U829" s="19" t="str">
        <f>HYPERLINK("https://pbs.twimg.com/profile_images/1181166033081716736/jrGkgwFP.jpg","View")</f>
        <v>View</v>
      </c>
      <c r="V829" s="8"/>
      <c r="W829" s="8"/>
      <c r="X829" s="8"/>
      <c r="Y829" s="8"/>
      <c r="Z829" s="8"/>
    </row>
    <row r="830" spans="1:26" ht="12.75">
      <c r="A830" s="11">
        <v>43747.295891203699</v>
      </c>
      <c r="B830" s="12" t="str">
        <f>HYPERLINK("https://twitter.com/Thanatosx0025","@Thanatosx0025")</f>
        <v>@Thanatosx0025</v>
      </c>
      <c r="C830" s="7" t="s">
        <v>6731</v>
      </c>
      <c r="D830" s="7" t="s">
        <v>6732</v>
      </c>
      <c r="E830" s="12" t="str">
        <f>HYPERLINK("https://twitter.com/Thanatosx0025/status/1181933856838041605","1181933856838041605")</f>
        <v>1181933856838041605</v>
      </c>
      <c r="F830" s="8"/>
      <c r="G830" s="14" t="s">
        <v>6733</v>
      </c>
      <c r="H830" s="8"/>
      <c r="I830" s="15">
        <v>0</v>
      </c>
      <c r="J830" s="15">
        <v>0</v>
      </c>
      <c r="K830" s="12" t="str">
        <f>HYPERLINK("http://twitter.com/download/android","Twitter for Android")</f>
        <v>Twitter for Android</v>
      </c>
      <c r="L830" s="16">
        <v>411</v>
      </c>
      <c r="M830" s="16">
        <v>571</v>
      </c>
      <c r="N830" s="16">
        <v>0</v>
      </c>
      <c r="O830" s="17"/>
      <c r="P830" s="18">
        <v>42987.267118055555</v>
      </c>
      <c r="Q830" s="7" t="s">
        <v>200</v>
      </c>
      <c r="R830" s="7"/>
      <c r="S830" s="7"/>
      <c r="T830" s="8"/>
      <c r="U830" s="19" t="str">
        <f>HYPERLINK("https://pbs.twimg.com/profile_images/1157387723734487045/uxs1PWGM.jpg","View")</f>
        <v>View</v>
      </c>
      <c r="V830" s="8"/>
      <c r="W830" s="8"/>
      <c r="X830" s="8"/>
      <c r="Y830" s="8"/>
      <c r="Z830" s="8"/>
    </row>
    <row r="831" spans="1:26" ht="12.75">
      <c r="A831" s="11">
        <v>43747.295856481476</v>
      </c>
      <c r="B831" s="12" t="str">
        <f>HYPERLINK("https://twitter.com/mkemal_a","@mkemal_a")</f>
        <v>@mkemal_a</v>
      </c>
      <c r="C831" s="7" t="s">
        <v>6736</v>
      </c>
      <c r="D831" s="7" t="s">
        <v>6737</v>
      </c>
      <c r="E831" s="12" t="str">
        <f>HYPERLINK("https://twitter.com/mkemal_a/status/1181933846243237892","1181933846243237892")</f>
        <v>1181933846243237892</v>
      </c>
      <c r="F831" s="8"/>
      <c r="G831" s="7"/>
      <c r="H831" s="8"/>
      <c r="I831" s="15">
        <v>0</v>
      </c>
      <c r="J831" s="15">
        <v>0</v>
      </c>
      <c r="K831" s="12" t="str">
        <f>HYPERLINK("http://twitter.com/download/iphone","Twitter for iPhone")</f>
        <v>Twitter for iPhone</v>
      </c>
      <c r="L831" s="16">
        <v>17</v>
      </c>
      <c r="M831" s="16">
        <v>14</v>
      </c>
      <c r="N831" s="16">
        <v>0</v>
      </c>
      <c r="O831" s="17"/>
      <c r="P831" s="18">
        <v>41270.407106481478</v>
      </c>
      <c r="Q831" s="7"/>
      <c r="R831" s="7"/>
      <c r="S831" s="7"/>
      <c r="T831" s="8"/>
      <c r="U831" s="19" t="str">
        <f>HYPERLINK("https://pbs.twimg.com/profile_images/1181241605904318470/JGBzSEgQ.jpg","View")</f>
        <v>View</v>
      </c>
      <c r="V831" s="8"/>
      <c r="W831" s="8"/>
      <c r="X831" s="8"/>
      <c r="Y831" s="8"/>
      <c r="Z831" s="8"/>
    </row>
    <row r="832" spans="1:26" ht="12.75">
      <c r="A832" s="11">
        <v>43747.295856481476</v>
      </c>
      <c r="B832" s="12" t="str">
        <f>HYPERLINK("https://twitter.com/mustafayigitt","@mustafayigitt")</f>
        <v>@mustafayigitt</v>
      </c>
      <c r="C832" s="7" t="s">
        <v>6740</v>
      </c>
      <c r="D832" s="7" t="s">
        <v>6741</v>
      </c>
      <c r="E832" s="12" t="str">
        <f>HYPERLINK("https://twitter.com/mustafayigitt/status/1181933844842328070","1181933844842328070")</f>
        <v>1181933844842328070</v>
      </c>
      <c r="F832" s="8"/>
      <c r="G832" s="14" t="s">
        <v>6742</v>
      </c>
      <c r="H832" s="8"/>
      <c r="I832" s="15">
        <v>8</v>
      </c>
      <c r="J832" s="15">
        <v>46</v>
      </c>
      <c r="K832" s="12" t="str">
        <f>HYPERLINK("http://twitter.com/download/android","Twitter for Android")</f>
        <v>Twitter for Android</v>
      </c>
      <c r="L832" s="16">
        <v>6487</v>
      </c>
      <c r="M832" s="16">
        <v>7104</v>
      </c>
      <c r="N832" s="16">
        <v>5</v>
      </c>
      <c r="O832" s="17"/>
      <c r="P832" s="18">
        <v>40707.509756944448</v>
      </c>
      <c r="Q832" s="7"/>
      <c r="R832" s="7" t="s">
        <v>6745</v>
      </c>
      <c r="S832" s="7"/>
      <c r="T832" s="8"/>
      <c r="U832" s="19" t="str">
        <f>HYPERLINK("https://pbs.twimg.com/profile_images/1120657205798346752/_SXrdqs1.jpg","View")</f>
        <v>View</v>
      </c>
      <c r="V832" s="8"/>
      <c r="W832" s="8"/>
      <c r="X832" s="8"/>
      <c r="Y832" s="8"/>
      <c r="Z832" s="8"/>
    </row>
    <row r="833" spans="1:26" ht="12.75">
      <c r="A833" s="11">
        <v>43747.295856481476</v>
      </c>
      <c r="B833" s="12" t="str">
        <f>HYPERLINK("https://twitter.com/by_iLhan","@by_iLhan")</f>
        <v>@by_iLhan</v>
      </c>
      <c r="C833" s="7" t="s">
        <v>6746</v>
      </c>
      <c r="D833" s="7" t="s">
        <v>6747</v>
      </c>
      <c r="E833" s="12" t="str">
        <f>HYPERLINK("https://twitter.com/by_iLhan/status/1181933843688906752","1181933843688906752")</f>
        <v>1181933843688906752</v>
      </c>
      <c r="F833" s="8"/>
      <c r="G833" s="14" t="s">
        <v>6748</v>
      </c>
      <c r="H833" s="8"/>
      <c r="I833" s="15">
        <v>0</v>
      </c>
      <c r="J833" s="15">
        <v>0</v>
      </c>
      <c r="K833" s="12" t="str">
        <f>HYPERLINK("http://twitter.com/download/iphone","Twitter for iPhone")</f>
        <v>Twitter for iPhone</v>
      </c>
      <c r="L833" s="16">
        <v>58</v>
      </c>
      <c r="M833" s="16">
        <v>231</v>
      </c>
      <c r="N833" s="16">
        <v>0</v>
      </c>
      <c r="O833" s="17"/>
      <c r="P833" s="18">
        <v>40374.619976851856</v>
      </c>
      <c r="Q833" s="7" t="s">
        <v>313</v>
      </c>
      <c r="R833" s="7"/>
      <c r="S833" s="7"/>
      <c r="T833" s="8"/>
      <c r="U833" s="19" t="str">
        <f>HYPERLINK("https://pbs.twimg.com/profile_images/983612524582055936/nlwYS0Vk.jpg","View")</f>
        <v>View</v>
      </c>
      <c r="V833" s="8"/>
      <c r="W833" s="8"/>
      <c r="X833" s="8"/>
      <c r="Y833" s="8"/>
      <c r="Z833" s="8"/>
    </row>
    <row r="834" spans="1:26" ht="12.75">
      <c r="A834" s="11">
        <v>43747.295833333337</v>
      </c>
      <c r="B834" s="12" t="str">
        <f>HYPERLINK("https://twitter.com/susbakalimm","@susbakalimm")</f>
        <v>@susbakalimm</v>
      </c>
      <c r="C834" s="7" t="s">
        <v>6752</v>
      </c>
      <c r="D834" s="7" t="s">
        <v>6753</v>
      </c>
      <c r="E834" s="12" t="str">
        <f>HYPERLINK("https://twitter.com/susbakalimm/status/1181933837934383104","1181933837934383104")</f>
        <v>1181933837934383104</v>
      </c>
      <c r="F834" s="8"/>
      <c r="G834" s="14" t="s">
        <v>6754</v>
      </c>
      <c r="H834" s="8"/>
      <c r="I834" s="15">
        <v>0</v>
      </c>
      <c r="J834" s="15">
        <v>1</v>
      </c>
      <c r="K834" s="12" t="str">
        <f>HYPERLINK("http://twitter.com/download/iphone","Twitter for iPhone")</f>
        <v>Twitter for iPhone</v>
      </c>
      <c r="L834" s="16">
        <v>130</v>
      </c>
      <c r="M834" s="16">
        <v>113</v>
      </c>
      <c r="N834" s="16">
        <v>0</v>
      </c>
      <c r="O834" s="17"/>
      <c r="P834" s="18">
        <v>42649.655405092592</v>
      </c>
      <c r="Q834" s="7" t="s">
        <v>6755</v>
      </c>
      <c r="R834" s="7" t="s">
        <v>6756</v>
      </c>
      <c r="S834" s="7"/>
      <c r="T834" s="8"/>
      <c r="U834" s="19" t="str">
        <f>HYPERLINK("https://pbs.twimg.com/profile_images/1155060461630558209/SgIM_TJ4.jpg","View")</f>
        <v>View</v>
      </c>
      <c r="V834" s="8"/>
      <c r="W834" s="8"/>
      <c r="X834" s="8"/>
      <c r="Y834" s="8"/>
      <c r="Z834" s="8"/>
    </row>
    <row r="835" spans="1:26" ht="12.75">
      <c r="A835" s="11">
        <v>43747.295833333337</v>
      </c>
      <c r="B835" s="12" t="str">
        <f>HYPERLINK("https://twitter.com/cherylduckworth","@cherylduckworth")</f>
        <v>@cherylduckworth</v>
      </c>
      <c r="C835" s="7" t="s">
        <v>6759</v>
      </c>
      <c r="D835" s="7" t="s">
        <v>6760</v>
      </c>
      <c r="E835" s="12" t="str">
        <f>HYPERLINK("https://twitter.com/cherylduckworth/status/1181933837783375872","1181933837783375872")</f>
        <v>1181933837783375872</v>
      </c>
      <c r="F835" s="14" t="s">
        <v>6761</v>
      </c>
      <c r="G835" s="15"/>
      <c r="H835" s="8"/>
      <c r="I835" s="15">
        <v>0</v>
      </c>
      <c r="J835" s="15">
        <v>0</v>
      </c>
      <c r="K835" s="12" t="str">
        <f>HYPERLINK("http://twitter.com/download/iphone","Twitter for iPhone")</f>
        <v>Twitter for iPhone</v>
      </c>
      <c r="L835" s="16">
        <v>1013</v>
      </c>
      <c r="M835" s="16">
        <v>977</v>
      </c>
      <c r="N835" s="16">
        <v>57</v>
      </c>
      <c r="O835" s="17"/>
      <c r="P835" s="18">
        <v>40522.590428240743</v>
      </c>
      <c r="Q835" s="7" t="s">
        <v>1804</v>
      </c>
      <c r="R835" s="7" t="s">
        <v>6764</v>
      </c>
      <c r="S835" s="14" t="s">
        <v>6765</v>
      </c>
      <c r="T835" s="8"/>
      <c r="U835" s="19" t="str">
        <f>HYPERLINK("https://pbs.twimg.com/profile_images/1160938504727212032/4F40OaLk.jpg","View")</f>
        <v>View</v>
      </c>
      <c r="V835" s="8"/>
      <c r="W835" s="8"/>
      <c r="X835" s="8"/>
      <c r="Y835" s="8"/>
      <c r="Z835" s="8"/>
    </row>
    <row r="836" spans="1:26" ht="12.75">
      <c r="A836" s="11">
        <v>43747.29582175926</v>
      </c>
      <c r="B836" s="12" t="str">
        <f>HYPERLINK("https://twitter.com/eren_mka_fb","@eren_mka_fb")</f>
        <v>@eren_mka_fb</v>
      </c>
      <c r="C836" s="7" t="s">
        <v>6768</v>
      </c>
      <c r="D836" s="7" t="s">
        <v>6769</v>
      </c>
      <c r="E836" s="12" t="str">
        <f>HYPERLINK("https://twitter.com/eren_mka_fb/status/1181933833677152256","1181933833677152256")</f>
        <v>1181933833677152256</v>
      </c>
      <c r="F836" s="8"/>
      <c r="G836" s="14" t="s">
        <v>6770</v>
      </c>
      <c r="H836" s="8"/>
      <c r="I836" s="15">
        <v>0</v>
      </c>
      <c r="J836" s="15">
        <v>0</v>
      </c>
      <c r="K836" s="12" t="str">
        <f>HYPERLINK("http://twitter.com/download/iphone","Twitter for iPhone")</f>
        <v>Twitter for iPhone</v>
      </c>
      <c r="L836" s="16">
        <v>11</v>
      </c>
      <c r="M836" s="16">
        <v>30</v>
      </c>
      <c r="N836" s="16">
        <v>0</v>
      </c>
      <c r="O836" s="17"/>
      <c r="P836" s="18">
        <v>43693.247800925921</v>
      </c>
      <c r="Q836" s="7"/>
      <c r="R836" s="7" t="s">
        <v>6774</v>
      </c>
      <c r="S836" s="7"/>
      <c r="T836" s="8"/>
      <c r="U836" s="19" t="str">
        <f>HYPERLINK("https://pbs.twimg.com/profile_images/1166299245885964288/J7OnI4vc.jpg","View")</f>
        <v>View</v>
      </c>
      <c r="V836" s="8"/>
      <c r="W836" s="8"/>
      <c r="X836" s="8"/>
      <c r="Y836" s="8"/>
      <c r="Z836" s="8"/>
    </row>
    <row r="837" spans="1:26" ht="12.75">
      <c r="A837" s="11">
        <v>43747.29582175926</v>
      </c>
      <c r="B837" s="12" t="str">
        <f>HYPERLINK("https://twitter.com/AykutEyret","@AykutEyret")</f>
        <v>@AykutEyret</v>
      </c>
      <c r="C837" s="7" t="s">
        <v>6775</v>
      </c>
      <c r="D837" s="7" t="s">
        <v>6776</v>
      </c>
      <c r="E837" s="12" t="str">
        <f>HYPERLINK("https://twitter.com/AykutEyret/status/1181933833144459268","1181933833144459268")</f>
        <v>1181933833144459268</v>
      </c>
      <c r="F837" s="8"/>
      <c r="G837" s="14" t="s">
        <v>6777</v>
      </c>
      <c r="H837" s="8"/>
      <c r="I837" s="15">
        <v>0</v>
      </c>
      <c r="J837" s="15">
        <v>0</v>
      </c>
      <c r="K837" s="12" t="str">
        <f>HYPERLINK("http://twitter.com/download/android","Twitter for Android")</f>
        <v>Twitter for Android</v>
      </c>
      <c r="L837" s="16">
        <v>28</v>
      </c>
      <c r="M837" s="16">
        <v>39</v>
      </c>
      <c r="N837" s="16">
        <v>0</v>
      </c>
      <c r="O837" s="17"/>
      <c r="P837" s="18">
        <v>40777.111817129626</v>
      </c>
      <c r="Q837" s="7" t="s">
        <v>6778</v>
      </c>
      <c r="R837" s="7"/>
      <c r="S837" s="15"/>
      <c r="T837" s="8"/>
      <c r="U837" s="19" t="str">
        <f>HYPERLINK("https://pbs.twimg.com/profile_images/636204987031293952/9nxojTWV.jpg","View")</f>
        <v>View</v>
      </c>
      <c r="V837" s="8"/>
      <c r="W837" s="8"/>
      <c r="X837" s="8"/>
      <c r="Y837" s="8"/>
      <c r="Z837" s="8"/>
    </row>
    <row r="838" spans="1:26" ht="12.75">
      <c r="A838" s="11">
        <v>43747.29582175926</v>
      </c>
      <c r="B838" s="12" t="str">
        <f>HYPERLINK("https://twitter.com/Ruhadam_b","@Ruhadam_b")</f>
        <v>@Ruhadam_b</v>
      </c>
      <c r="C838" s="7" t="s">
        <v>6781</v>
      </c>
      <c r="D838" s="7" t="s">
        <v>6782</v>
      </c>
      <c r="E838" s="12" t="str">
        <f>HYPERLINK("https://twitter.com/Ruhadam_b/status/1181933832175591424","1181933832175591424")</f>
        <v>1181933832175591424</v>
      </c>
      <c r="F838" s="8"/>
      <c r="G838" s="14" t="s">
        <v>6783</v>
      </c>
      <c r="H838" s="8"/>
      <c r="I838" s="15">
        <v>4</v>
      </c>
      <c r="J838" s="15">
        <v>27</v>
      </c>
      <c r="K838" s="12" t="str">
        <f>HYPERLINK("http://twitter.com/download/android","Twitter for Android")</f>
        <v>Twitter for Android</v>
      </c>
      <c r="L838" s="16">
        <v>1059</v>
      </c>
      <c r="M838" s="16">
        <v>326</v>
      </c>
      <c r="N838" s="16">
        <v>5</v>
      </c>
      <c r="O838" s="17"/>
      <c r="P838" s="18">
        <v>43414.347534722227</v>
      </c>
      <c r="Q838" s="7" t="s">
        <v>6786</v>
      </c>
      <c r="R838" s="7" t="s">
        <v>6788</v>
      </c>
      <c r="S838" s="14" t="s">
        <v>6789</v>
      </c>
      <c r="T838" s="8"/>
      <c r="U838" s="19" t="str">
        <f>HYPERLINK("https://pbs.twimg.com/profile_images/1171547342853554179/nkmBDZE_.jpg","View")</f>
        <v>View</v>
      </c>
      <c r="V838" s="8"/>
      <c r="W838" s="8"/>
      <c r="X838" s="8"/>
      <c r="Y838" s="8"/>
      <c r="Z838" s="8"/>
    </row>
    <row r="839" spans="1:26" ht="12.75">
      <c r="A839" s="11">
        <v>43747.295798611114</v>
      </c>
      <c r="B839" s="12" t="str">
        <f>HYPERLINK("https://twitter.com/bowie_tweets","@bowie_tweets")</f>
        <v>@bowie_tweets</v>
      </c>
      <c r="C839" s="7" t="s">
        <v>6791</v>
      </c>
      <c r="D839" s="7" t="s">
        <v>6792</v>
      </c>
      <c r="E839" s="12" t="str">
        <f>HYPERLINK("https://twitter.com/bowie_tweets/status/1181933825632407553","1181933825632407553")</f>
        <v>1181933825632407553</v>
      </c>
      <c r="F839" s="14" t="s">
        <v>6793</v>
      </c>
      <c r="G839" s="14" t="s">
        <v>6796</v>
      </c>
      <c r="H839" s="8"/>
      <c r="I839" s="15">
        <v>0</v>
      </c>
      <c r="J839" s="15">
        <v>0</v>
      </c>
      <c r="K839" s="12" t="str">
        <f>HYPERLINK("http://twitter.com/download/android","Twitter for Android")</f>
        <v>Twitter for Android</v>
      </c>
      <c r="L839" s="16">
        <v>90</v>
      </c>
      <c r="M839" s="16">
        <v>547</v>
      </c>
      <c r="N839" s="16">
        <v>1</v>
      </c>
      <c r="O839" s="17"/>
      <c r="P839" s="18">
        <v>42694.546655092592</v>
      </c>
      <c r="Q839" s="7"/>
      <c r="R839" s="7" t="s">
        <v>6797</v>
      </c>
      <c r="S839" s="7"/>
      <c r="T839" s="8"/>
      <c r="U839" s="19" t="str">
        <f>HYPERLINK("https://pbs.twimg.com/profile_images/1098996799099031554/S1IF9kTZ.jpg","View")</f>
        <v>View</v>
      </c>
      <c r="V839" s="8"/>
      <c r="W839" s="8"/>
      <c r="X839" s="8"/>
      <c r="Y839" s="8"/>
      <c r="Z839" s="8"/>
    </row>
    <row r="840" spans="1:26" ht="12.75">
      <c r="A840" s="11">
        <v>43747.295798611114</v>
      </c>
      <c r="B840" s="12" t="str">
        <f>HYPERLINK("https://twitter.com/Sizintayfabich","@Sizintayfabich")</f>
        <v>@Sizintayfabich</v>
      </c>
      <c r="C840" s="7" t="s">
        <v>6800</v>
      </c>
      <c r="D840" s="7" t="s">
        <v>6801</v>
      </c>
      <c r="E840" s="12" t="str">
        <f>HYPERLINK("https://twitter.com/Sizintayfabich/status/1181933824579706882","1181933824579706882")</f>
        <v>1181933824579706882</v>
      </c>
      <c r="F840" s="8"/>
      <c r="G840" s="7"/>
      <c r="H840" s="8"/>
      <c r="I840" s="15">
        <v>0</v>
      </c>
      <c r="J840" s="15">
        <v>0</v>
      </c>
      <c r="K840" s="12" t="str">
        <f>HYPERLINK("http://twitter.com/download/iphone","Twitter for iPhone")</f>
        <v>Twitter for iPhone</v>
      </c>
      <c r="L840" s="16">
        <v>64</v>
      </c>
      <c r="M840" s="16">
        <v>53</v>
      </c>
      <c r="N840" s="16">
        <v>0</v>
      </c>
      <c r="O840" s="17"/>
      <c r="P840" s="18">
        <v>43547.528148148151</v>
      </c>
      <c r="Q840" s="7" t="s">
        <v>6802</v>
      </c>
      <c r="R840" s="7" t="s">
        <v>6803</v>
      </c>
      <c r="S840" s="15"/>
      <c r="T840" s="8"/>
      <c r="U840" s="19" t="str">
        <f>HYPERLINK("https://pbs.twimg.com/profile_images/1152668419071926272/k1Gk4UEw.jpg","View")</f>
        <v>View</v>
      </c>
      <c r="V840" s="8"/>
      <c r="W840" s="8"/>
      <c r="X840" s="8"/>
      <c r="Y840" s="8"/>
      <c r="Z840" s="8"/>
    </row>
    <row r="841" spans="1:26" ht="12.75">
      <c r="A841" s="11">
        <v>43747.295798611114</v>
      </c>
      <c r="B841" s="12" t="str">
        <f>HYPERLINK("https://twitter.com/koray_95","@koray_95")</f>
        <v>@koray_95</v>
      </c>
      <c r="C841" s="7" t="s">
        <v>6806</v>
      </c>
      <c r="D841" s="7" t="s">
        <v>6807</v>
      </c>
      <c r="E841" s="12" t="str">
        <f>HYPERLINK("https://twitter.com/koray_95/status/1181933824181178370","1181933824181178370")</f>
        <v>1181933824181178370</v>
      </c>
      <c r="F841" s="15"/>
      <c r="G841" s="15"/>
      <c r="H841" s="8"/>
      <c r="I841" s="15">
        <v>0</v>
      </c>
      <c r="J841" s="15">
        <v>0</v>
      </c>
      <c r="K841" s="12" t="str">
        <f>HYPERLINK("http://twitter.com/download/android","Twitter for Android")</f>
        <v>Twitter for Android</v>
      </c>
      <c r="L841" s="16">
        <v>160</v>
      </c>
      <c r="M841" s="16">
        <v>561</v>
      </c>
      <c r="N841" s="16">
        <v>0</v>
      </c>
      <c r="O841" s="17"/>
      <c r="P841" s="18">
        <v>40761.318090277782</v>
      </c>
      <c r="Q841" s="7" t="s">
        <v>6808</v>
      </c>
      <c r="R841" s="7" t="s">
        <v>6809</v>
      </c>
      <c r="S841" s="15"/>
      <c r="T841" s="8"/>
      <c r="U841" s="19" t="str">
        <f>HYPERLINK("https://pbs.twimg.com/profile_images/753920200861421568/ZIyd3mPF.jpg","View")</f>
        <v>View</v>
      </c>
      <c r="V841" s="8"/>
      <c r="W841" s="8"/>
      <c r="X841" s="8"/>
      <c r="Y841" s="8"/>
      <c r="Z841" s="8"/>
    </row>
    <row r="842" spans="1:26" ht="12.75">
      <c r="A842" s="11">
        <v>43747.295763888891</v>
      </c>
      <c r="B842" s="12" t="str">
        <f>HYPERLINK("https://twitter.com/JoseLBarragan","@JoseLBarragan")</f>
        <v>@JoseLBarragan</v>
      </c>
      <c r="C842" s="7" t="s">
        <v>6812</v>
      </c>
      <c r="D842" s="7" t="s">
        <v>6813</v>
      </c>
      <c r="E842" s="12" t="str">
        <f>HYPERLINK("https://twitter.com/JoseLBarragan/status/1181933809630994437","1181933809630994437")</f>
        <v>1181933809630994437</v>
      </c>
      <c r="F842" s="14" t="s">
        <v>6814</v>
      </c>
      <c r="G842" s="14" t="s">
        <v>6815</v>
      </c>
      <c r="H842" s="8"/>
      <c r="I842" s="15">
        <v>0</v>
      </c>
      <c r="J842" s="15">
        <v>0</v>
      </c>
      <c r="K842" s="12" t="str">
        <f>HYPERLINK("http://twitter.com/download/iphone","Twitter for iPhone")</f>
        <v>Twitter for iPhone</v>
      </c>
      <c r="L842" s="16">
        <v>123</v>
      </c>
      <c r="M842" s="16">
        <v>176</v>
      </c>
      <c r="N842" s="16">
        <v>3</v>
      </c>
      <c r="O842" s="17"/>
      <c r="P842" s="18">
        <v>40405.80091435185</v>
      </c>
      <c r="Q842" s="7" t="s">
        <v>6816</v>
      </c>
      <c r="R842" s="7" t="s">
        <v>6817</v>
      </c>
      <c r="S842" s="7"/>
      <c r="T842" s="8"/>
      <c r="U842" s="19" t="str">
        <f>HYPERLINK("https://pbs.twimg.com/profile_images/1124821459623223296/ME478sjp.jpg","View")</f>
        <v>View</v>
      </c>
      <c r="V842" s="8"/>
      <c r="W842" s="8"/>
      <c r="X842" s="8"/>
      <c r="Y842" s="8"/>
      <c r="Z842" s="8"/>
    </row>
    <row r="843" spans="1:26" ht="12.75">
      <c r="A843" s="11">
        <v>43747.295752314814</v>
      </c>
      <c r="B843" s="12" t="str">
        <f>HYPERLINK("https://twitter.com/canliyayinn","@canliyayinn")</f>
        <v>@canliyayinn</v>
      </c>
      <c r="C843" s="7" t="s">
        <v>6819</v>
      </c>
      <c r="D843" s="7" t="s">
        <v>6820</v>
      </c>
      <c r="E843" s="12" t="str">
        <f>HYPERLINK("https://twitter.com/canliyayinn/status/1181933808226099201","1181933808226099201")</f>
        <v>1181933808226099201</v>
      </c>
      <c r="F843" s="8"/>
      <c r="G843" s="15"/>
      <c r="H843" s="8"/>
      <c r="I843" s="15">
        <v>0</v>
      </c>
      <c r="J843" s="15">
        <v>0</v>
      </c>
      <c r="K843" s="12" t="str">
        <f>HYPERLINK("http://twitter.com/download/iphone","Twitter for iPhone")</f>
        <v>Twitter for iPhone</v>
      </c>
      <c r="L843" s="16">
        <v>600</v>
      </c>
      <c r="M843" s="16">
        <v>275</v>
      </c>
      <c r="N843" s="16">
        <v>7</v>
      </c>
      <c r="O843" s="17"/>
      <c r="P843" s="18">
        <v>40422.654293981483</v>
      </c>
      <c r="Q843" s="7"/>
      <c r="R843" s="13" t="s">
        <v>6822</v>
      </c>
      <c r="S843" s="7"/>
      <c r="T843" s="8"/>
      <c r="U843" s="19" t="str">
        <f>HYPERLINK("https://pbs.twimg.com/profile_images/1014563125520142336/vT4ZxsGL.jpg","View")</f>
        <v>View</v>
      </c>
      <c r="V843" s="8"/>
      <c r="W843" s="8"/>
      <c r="X843" s="8"/>
      <c r="Y843" s="8"/>
      <c r="Z843" s="8"/>
    </row>
    <row r="844" spans="1:26" ht="12.75">
      <c r="A844" s="11">
        <v>43747.295752314814</v>
      </c>
      <c r="B844" s="12" t="str">
        <f>HYPERLINK("https://twitter.com/bakirkanli","@bakirkanli")</f>
        <v>@bakirkanli</v>
      </c>
      <c r="C844" s="7" t="s">
        <v>6823</v>
      </c>
      <c r="D844" s="7" t="s">
        <v>6824</v>
      </c>
      <c r="E844" s="12" t="str">
        <f>HYPERLINK("https://twitter.com/bakirkanli/status/1181933807911555076","1181933807911555076")</f>
        <v>1181933807911555076</v>
      </c>
      <c r="F844" s="8"/>
      <c r="G844" s="15"/>
      <c r="H844" s="8"/>
      <c r="I844" s="15">
        <v>0</v>
      </c>
      <c r="J844" s="15">
        <v>0</v>
      </c>
      <c r="K844" s="12" t="str">
        <f>HYPERLINK("http://twitter.com/download/android","Twitter for Android")</f>
        <v>Twitter for Android</v>
      </c>
      <c r="L844" s="16">
        <v>180</v>
      </c>
      <c r="M844" s="16">
        <v>51</v>
      </c>
      <c r="N844" s="16">
        <v>1</v>
      </c>
      <c r="O844" s="17"/>
      <c r="P844" s="18">
        <v>40831.51835648148</v>
      </c>
      <c r="Q844" s="7" t="s">
        <v>6828</v>
      </c>
      <c r="R844" s="7" t="s">
        <v>6829</v>
      </c>
      <c r="S844" s="7"/>
      <c r="T844" s="8"/>
      <c r="U844" s="19" t="str">
        <f>HYPERLINK("https://pbs.twimg.com/profile_images/1135353892689108992/ZmP2qC7c.jpg","View")</f>
        <v>View</v>
      </c>
      <c r="V844" s="8"/>
      <c r="W844" s="8"/>
      <c r="X844" s="8"/>
      <c r="Y844" s="8"/>
      <c r="Z844" s="8"/>
    </row>
    <row r="845" spans="1:26" ht="12.75">
      <c r="A845" s="11">
        <v>43747.295740740738</v>
      </c>
      <c r="B845" s="12" t="str">
        <f>HYPERLINK("https://twitter.com/tolgasafakk","@tolgasafakk")</f>
        <v>@tolgasafakk</v>
      </c>
      <c r="C845" s="7" t="s">
        <v>6833</v>
      </c>
      <c r="D845" s="7" t="s">
        <v>6834</v>
      </c>
      <c r="E845" s="12" t="str">
        <f>HYPERLINK("https://twitter.com/tolgasafakk/status/1181933803587227650","1181933803587227650")</f>
        <v>1181933803587227650</v>
      </c>
      <c r="F845" s="8"/>
      <c r="G845" s="15"/>
      <c r="H845" s="8"/>
      <c r="I845" s="15">
        <v>0</v>
      </c>
      <c r="J845" s="15">
        <v>0</v>
      </c>
      <c r="K845" s="12" t="str">
        <f>HYPERLINK("http://twitter.com/download/android","Twitter for Android")</f>
        <v>Twitter for Android</v>
      </c>
      <c r="L845" s="16">
        <v>244</v>
      </c>
      <c r="M845" s="16">
        <v>730</v>
      </c>
      <c r="N845" s="16">
        <v>2</v>
      </c>
      <c r="O845" s="17"/>
      <c r="P845" s="18">
        <v>40811.501898148148</v>
      </c>
      <c r="Q845" s="7" t="s">
        <v>4895</v>
      </c>
      <c r="R845" s="7" t="s">
        <v>6835</v>
      </c>
      <c r="S845" s="14" t="s">
        <v>6836</v>
      </c>
      <c r="T845" s="8"/>
      <c r="U845" s="19" t="str">
        <f>HYPERLINK("https://pbs.twimg.com/profile_images/1136409312333508609/rGHYkgiq.jpg","View")</f>
        <v>View</v>
      </c>
      <c r="V845" s="8"/>
      <c r="W845" s="8"/>
      <c r="X845" s="8"/>
      <c r="Y845" s="8"/>
      <c r="Z845" s="8"/>
    </row>
    <row r="846" spans="1:26" ht="12.75">
      <c r="A846" s="11">
        <v>43747.295694444445</v>
      </c>
      <c r="B846" s="12" t="str">
        <f>HYPERLINK("https://twitter.com/ispireladam","@ispireladam")</f>
        <v>@ispireladam</v>
      </c>
      <c r="C846" s="7" t="s">
        <v>6837</v>
      </c>
      <c r="D846" s="7" t="s">
        <v>6838</v>
      </c>
      <c r="E846" s="12" t="str">
        <f>HYPERLINK("https://twitter.com/ispireladam/status/1181933787833421824","1181933787833421824")</f>
        <v>1181933787833421824</v>
      </c>
      <c r="F846" s="8"/>
      <c r="G846" s="14" t="s">
        <v>6839</v>
      </c>
      <c r="H846" s="8"/>
      <c r="I846" s="15">
        <v>0</v>
      </c>
      <c r="J846" s="15">
        <v>0</v>
      </c>
      <c r="K846" s="12" t="str">
        <f>HYPERLINK("http://twitter.com/download/iphone","Twitter for iPhone")</f>
        <v>Twitter for iPhone</v>
      </c>
      <c r="L846" s="16">
        <v>152</v>
      </c>
      <c r="M846" s="16">
        <v>126</v>
      </c>
      <c r="N846" s="16">
        <v>0</v>
      </c>
      <c r="O846" s="17"/>
      <c r="P846" s="18">
        <v>41155.508935185186</v>
      </c>
      <c r="Q846" s="7" t="s">
        <v>200</v>
      </c>
      <c r="R846" s="7" t="s">
        <v>6843</v>
      </c>
      <c r="S846" s="14" t="s">
        <v>6844</v>
      </c>
      <c r="T846" s="8"/>
      <c r="U846" s="19" t="str">
        <f>HYPERLINK("https://pbs.twimg.com/profile_images/1006280844292608001/i7vQilzI.jpg","View")</f>
        <v>View</v>
      </c>
      <c r="V846" s="8"/>
      <c r="W846" s="8"/>
      <c r="X846" s="8"/>
      <c r="Y846" s="8"/>
      <c r="Z846" s="8"/>
    </row>
    <row r="847" spans="1:26" ht="12.75">
      <c r="A847" s="11">
        <v>43747.295671296291</v>
      </c>
      <c r="B847" s="12" t="str">
        <f>HYPERLINK("https://twitter.com/pleteaus","@pleteaus")</f>
        <v>@pleteaus</v>
      </c>
      <c r="C847" s="7" t="s">
        <v>6848</v>
      </c>
      <c r="D847" s="7" t="s">
        <v>6849</v>
      </c>
      <c r="E847" s="12" t="str">
        <f>HYPERLINK("https://twitter.com/pleteaus/status/1181933777444069376","1181933777444069376")</f>
        <v>1181933777444069376</v>
      </c>
      <c r="F847" s="14" t="s">
        <v>2631</v>
      </c>
      <c r="G847" s="14" t="s">
        <v>2632</v>
      </c>
      <c r="H847" s="8"/>
      <c r="I847" s="15">
        <v>0</v>
      </c>
      <c r="J847" s="15">
        <v>0</v>
      </c>
      <c r="K847" s="12" t="str">
        <f>HYPERLINK("http://twitter.com/download/android","Twitter for Android")</f>
        <v>Twitter for Android</v>
      </c>
      <c r="L847" s="16">
        <v>545</v>
      </c>
      <c r="M847" s="16">
        <v>428</v>
      </c>
      <c r="N847" s="16">
        <v>0</v>
      </c>
      <c r="O847" s="17"/>
      <c r="P847" s="18">
        <v>40366.075706018521</v>
      </c>
      <c r="Q847" s="7"/>
      <c r="R847" s="7" t="s">
        <v>6853</v>
      </c>
      <c r="S847" s="7"/>
      <c r="T847" s="8"/>
      <c r="U847" s="19" t="str">
        <f>HYPERLINK("https://pbs.twimg.com/profile_images/962914616635510784/FhkLhOsM.jpg","View")</f>
        <v>View</v>
      </c>
      <c r="V847" s="8"/>
      <c r="W847" s="8"/>
      <c r="X847" s="8"/>
      <c r="Y847" s="8"/>
      <c r="Z847" s="8"/>
    </row>
    <row r="848" spans="1:26" ht="12.75">
      <c r="A848" s="11">
        <v>43747.295648148152</v>
      </c>
      <c r="B848" s="12" t="str">
        <f>HYPERLINK("https://twitter.com/OkuducuGurkan","@OkuducuGurkan")</f>
        <v>@OkuducuGurkan</v>
      </c>
      <c r="C848" s="7" t="s">
        <v>6855</v>
      </c>
      <c r="D848" s="7" t="s">
        <v>6856</v>
      </c>
      <c r="E848" s="12" t="str">
        <f>HYPERLINK("https://twitter.com/OkuducuGurkan/status/1181933768912838657","1181933768912838657")</f>
        <v>1181933768912838657</v>
      </c>
      <c r="F848" s="15"/>
      <c r="G848" s="14" t="s">
        <v>6857</v>
      </c>
      <c r="H848" s="8"/>
      <c r="I848" s="15">
        <v>0</v>
      </c>
      <c r="J848" s="15">
        <v>0</v>
      </c>
      <c r="K848" s="12" t="str">
        <f>HYPERLINK("http://twitter.com/download/android","Twitter for Android")</f>
        <v>Twitter for Android</v>
      </c>
      <c r="L848" s="16">
        <v>134</v>
      </c>
      <c r="M848" s="16">
        <v>184</v>
      </c>
      <c r="N848" s="16">
        <v>0</v>
      </c>
      <c r="O848" s="17"/>
      <c r="P848" s="18">
        <v>43033.399409722224</v>
      </c>
      <c r="Q848" s="7" t="s">
        <v>287</v>
      </c>
      <c r="R848" s="7" t="s">
        <v>6858</v>
      </c>
      <c r="S848" s="7"/>
      <c r="T848" s="8"/>
      <c r="U848" s="19" t="str">
        <f>HYPERLINK("https://pbs.twimg.com/profile_images/1181589812115050498/vo3Ca5Gs.jpg","View")</f>
        <v>View</v>
      </c>
      <c r="V848" s="8"/>
      <c r="W848" s="8"/>
      <c r="X848" s="8"/>
      <c r="Y848" s="8"/>
      <c r="Z848" s="8"/>
    </row>
    <row r="849" spans="1:26" ht="12.75">
      <c r="A849" s="11">
        <v>43747.295636574076</v>
      </c>
      <c r="B849" s="12" t="str">
        <f>HYPERLINK("https://twitter.com/GKHNASMERTURK","@GKHNASMERTURK")</f>
        <v>@GKHNASMERTURK</v>
      </c>
      <c r="C849" s="7" t="s">
        <v>6861</v>
      </c>
      <c r="D849" s="7" t="s">
        <v>6862</v>
      </c>
      <c r="E849" s="12" t="str">
        <f>HYPERLINK("https://twitter.com/GKHNASMERTURK/status/1181933765293162497","1181933765293162497")</f>
        <v>1181933765293162497</v>
      </c>
      <c r="F849" s="15"/>
      <c r="G849" s="14" t="s">
        <v>6863</v>
      </c>
      <c r="H849" s="8"/>
      <c r="I849" s="15">
        <v>0</v>
      </c>
      <c r="J849" s="15">
        <v>0</v>
      </c>
      <c r="K849" s="12" t="str">
        <f>HYPERLINK("http://twitter.com/download/android","Twitter for Android")</f>
        <v>Twitter for Android</v>
      </c>
      <c r="L849" s="16">
        <v>281</v>
      </c>
      <c r="M849" s="16">
        <v>235</v>
      </c>
      <c r="N849" s="16">
        <v>0</v>
      </c>
      <c r="O849" s="17"/>
      <c r="P849" s="18">
        <v>41274.336863425924</v>
      </c>
      <c r="Q849" s="7" t="s">
        <v>6867</v>
      </c>
      <c r="R849" s="7" t="s">
        <v>6868</v>
      </c>
      <c r="S849" s="7"/>
      <c r="T849" s="8"/>
      <c r="U849" s="19" t="str">
        <f>HYPERLINK("https://pbs.twimg.com/profile_images/1151522373872566280/L8ROkSZr.jpg","View")</f>
        <v>View</v>
      </c>
      <c r="V849" s="8"/>
      <c r="W849" s="8"/>
      <c r="X849" s="8"/>
      <c r="Y849" s="8"/>
      <c r="Z849" s="8"/>
    </row>
    <row r="850" spans="1:26" ht="12.75">
      <c r="A850" s="11">
        <v>43747.295636574076</v>
      </c>
      <c r="B850" s="12" t="str">
        <f>HYPERLINK("https://twitter.com/abdullahozker","@abdullahozker")</f>
        <v>@abdullahozker</v>
      </c>
      <c r="C850" s="7" t="s">
        <v>6869</v>
      </c>
      <c r="D850" s="7" t="s">
        <v>6870</v>
      </c>
      <c r="E850" s="12" t="str">
        <f>HYPERLINK("https://twitter.com/abdullahozker/status/1181933763166703618","1181933763166703618")</f>
        <v>1181933763166703618</v>
      </c>
      <c r="F850" s="8"/>
      <c r="G850" s="14" t="s">
        <v>6871</v>
      </c>
      <c r="H850" s="8"/>
      <c r="I850" s="15">
        <v>0</v>
      </c>
      <c r="J850" s="15">
        <v>4</v>
      </c>
      <c r="K850" s="12" t="str">
        <f>HYPERLINK("http://twitter.com/download/android","Twitter for Android")</f>
        <v>Twitter for Android</v>
      </c>
      <c r="L850" s="16">
        <v>137</v>
      </c>
      <c r="M850" s="16">
        <v>253</v>
      </c>
      <c r="N850" s="16">
        <v>0</v>
      </c>
      <c r="O850" s="17"/>
      <c r="P850" s="18">
        <v>40942.204976851848</v>
      </c>
      <c r="Q850" s="7"/>
      <c r="R850" s="7" t="s">
        <v>6874</v>
      </c>
      <c r="S850" s="7"/>
      <c r="T850" s="8"/>
      <c r="U850" s="19" t="str">
        <f>HYPERLINK("https://pbs.twimg.com/profile_images/1164634507598843904/4IJtI6Wc.jpg","View")</f>
        <v>View</v>
      </c>
      <c r="V850" s="8"/>
      <c r="W850" s="8"/>
      <c r="X850" s="8"/>
      <c r="Y850" s="8"/>
      <c r="Z850" s="8"/>
    </row>
    <row r="851" spans="1:26" ht="12.75">
      <c r="A851" s="11">
        <v>43747.295624999999</v>
      </c>
      <c r="B851" s="12" t="str">
        <f>HYPERLINK("https://twitter.com/HuseyinCakmak","@HuseyinCakmak")</f>
        <v>@HuseyinCakmak</v>
      </c>
      <c r="C851" s="7" t="s">
        <v>6875</v>
      </c>
      <c r="D851" s="7" t="s">
        <v>6876</v>
      </c>
      <c r="E851" s="12" t="str">
        <f>HYPERLINK("https://twitter.com/HuseyinCakmak/status/1181933761631604738","1181933761631604738")</f>
        <v>1181933761631604738</v>
      </c>
      <c r="F851" s="8"/>
      <c r="G851" s="14" t="s">
        <v>6878</v>
      </c>
      <c r="H851" s="8"/>
      <c r="I851" s="15">
        <v>0</v>
      </c>
      <c r="J851" s="15">
        <v>4</v>
      </c>
      <c r="K851" s="12" t="str">
        <f>HYPERLINK("http://twitter.com/download/android","Twitter for Android")</f>
        <v>Twitter for Android</v>
      </c>
      <c r="L851" s="16">
        <v>760</v>
      </c>
      <c r="M851" s="16">
        <v>315</v>
      </c>
      <c r="N851" s="16">
        <v>2</v>
      </c>
      <c r="O851" s="17"/>
      <c r="P851" s="18">
        <v>40383.712789351848</v>
      </c>
      <c r="Q851" s="7" t="s">
        <v>6880</v>
      </c>
      <c r="R851" s="7" t="s">
        <v>6881</v>
      </c>
      <c r="S851" s="14" t="s">
        <v>6882</v>
      </c>
      <c r="T851" s="8"/>
      <c r="U851" s="19" t="str">
        <f>HYPERLINK("https://pbs.twimg.com/profile_images/1710556039/Huseyin_foto2.JPG","View")</f>
        <v>View</v>
      </c>
      <c r="V851" s="8"/>
      <c r="W851" s="8"/>
      <c r="X851" s="8"/>
      <c r="Y851" s="8"/>
      <c r="Z851" s="8"/>
    </row>
    <row r="852" spans="1:26" ht="12.75">
      <c r="A852" s="11">
        <v>43747.295613425929</v>
      </c>
      <c r="B852" s="12" t="str">
        <f>HYPERLINK("https://twitter.com/mceyylan007","@mceyylan007")</f>
        <v>@mceyylan007</v>
      </c>
      <c r="C852" s="7" t="s">
        <v>6883</v>
      </c>
      <c r="D852" s="7" t="s">
        <v>6884</v>
      </c>
      <c r="E852" s="12" t="str">
        <f>HYPERLINK("https://twitter.com/mceyylan007/status/1181933757827371008","1181933757827371008")</f>
        <v>1181933757827371008</v>
      </c>
      <c r="F852" s="15"/>
      <c r="G852" s="14" t="s">
        <v>6885</v>
      </c>
      <c r="H852" s="8"/>
      <c r="I852" s="15">
        <v>0</v>
      </c>
      <c r="J852" s="15">
        <v>1</v>
      </c>
      <c r="K852" s="12" t="str">
        <f>HYPERLINK("http://twitter.com/download/android","Twitter for Android")</f>
        <v>Twitter for Android</v>
      </c>
      <c r="L852" s="16">
        <v>42</v>
      </c>
      <c r="M852" s="16">
        <v>219</v>
      </c>
      <c r="N852" s="16">
        <v>0</v>
      </c>
      <c r="O852" s="17"/>
      <c r="P852" s="18">
        <v>43468.522534722222</v>
      </c>
      <c r="Q852" s="7" t="s">
        <v>80</v>
      </c>
      <c r="R852" s="7" t="s">
        <v>6888</v>
      </c>
      <c r="S852" s="7"/>
      <c r="T852" s="8"/>
      <c r="U852" s="19" t="str">
        <f>HYPERLINK("https://pbs.twimg.com/profile_images/1169342745879699457/3VkfTSsW.jpg","View")</f>
        <v>View</v>
      </c>
      <c r="V852" s="8"/>
      <c r="W852" s="8"/>
      <c r="X852" s="8"/>
      <c r="Y852" s="8"/>
      <c r="Z852" s="8"/>
    </row>
    <row r="853" spans="1:26" ht="12.75">
      <c r="A853" s="11">
        <v>43747.295613425929</v>
      </c>
      <c r="B853" s="12" t="str">
        <f>HYPERLINK("https://twitter.com/DKarakulak","@DKarakulak")</f>
        <v>@DKarakulak</v>
      </c>
      <c r="C853" s="21" t="s">
        <v>6891</v>
      </c>
      <c r="D853" s="7" t="s">
        <v>6893</v>
      </c>
      <c r="E853" s="12" t="str">
        <f>HYPERLINK("https://twitter.com/DKarakulak/status/1181933755990233088","1181933755990233088")</f>
        <v>1181933755990233088</v>
      </c>
      <c r="F853" s="8"/>
      <c r="G853" s="14" t="s">
        <v>6894</v>
      </c>
      <c r="H853" s="8"/>
      <c r="I853" s="15">
        <v>0</v>
      </c>
      <c r="J853" s="15">
        <v>4</v>
      </c>
      <c r="K853" s="12" t="str">
        <f>HYPERLINK("http://twitter.com/download/iphone","Twitter for iPhone")</f>
        <v>Twitter for iPhone</v>
      </c>
      <c r="L853" s="16">
        <v>728</v>
      </c>
      <c r="M853" s="16">
        <v>657</v>
      </c>
      <c r="N853" s="16">
        <v>0</v>
      </c>
      <c r="O853" s="17"/>
      <c r="P853" s="18">
        <v>41275.671481481484</v>
      </c>
      <c r="Q853" s="7" t="s">
        <v>576</v>
      </c>
      <c r="R853" s="7" t="s">
        <v>6896</v>
      </c>
      <c r="S853" s="14" t="s">
        <v>6897</v>
      </c>
      <c r="T853" s="8"/>
      <c r="U853" s="19" t="str">
        <f>HYPERLINK("https://pbs.twimg.com/profile_images/1176437294414356480/KRZ02hYs.jpg","View")</f>
        <v>View</v>
      </c>
      <c r="V853" s="8"/>
      <c r="W853" s="8"/>
      <c r="X853" s="8"/>
      <c r="Y853" s="8"/>
      <c r="Z853" s="8"/>
    </row>
    <row r="854" spans="1:26" ht="12.75">
      <c r="A854" s="11">
        <v>43747.295590277776</v>
      </c>
      <c r="B854" s="12" t="str">
        <f>HYPERLINK("https://twitter.com/nuranelmaci727","@nuranelmaci727")</f>
        <v>@nuranelmaci727</v>
      </c>
      <c r="C854" s="7" t="s">
        <v>6899</v>
      </c>
      <c r="D854" s="7" t="s">
        <v>6900</v>
      </c>
      <c r="E854" s="12" t="str">
        <f>HYPERLINK("https://twitter.com/nuranelmaci727/status/1181933749971365888","1181933749971365888")</f>
        <v>1181933749971365888</v>
      </c>
      <c r="F854" s="8"/>
      <c r="G854" s="7" t="s">
        <v>6901</v>
      </c>
      <c r="H854" s="8"/>
      <c r="I854" s="15">
        <v>1</v>
      </c>
      <c r="J854" s="15">
        <v>25</v>
      </c>
      <c r="K854" s="12" t="str">
        <f>HYPERLINK("http://twitter.com/download/android","Twitter for Android")</f>
        <v>Twitter for Android</v>
      </c>
      <c r="L854" s="16">
        <v>1922</v>
      </c>
      <c r="M854" s="16">
        <v>1890</v>
      </c>
      <c r="N854" s="16">
        <v>0</v>
      </c>
      <c r="O854" s="17"/>
      <c r="P854" s="18">
        <v>42791.328703703708</v>
      </c>
      <c r="Q854" s="7"/>
      <c r="R854" s="7" t="s">
        <v>6903</v>
      </c>
      <c r="S854" s="15"/>
      <c r="T854" s="8"/>
      <c r="U854" s="19" t="str">
        <f>HYPERLINK("https://pbs.twimg.com/profile_images/1169893965035798530/6FBztDN4.jpg","View")</f>
        <v>View</v>
      </c>
      <c r="V854" s="8"/>
      <c r="W854" s="8"/>
      <c r="X854" s="8"/>
      <c r="Y854" s="8"/>
      <c r="Z854" s="8"/>
    </row>
    <row r="855" spans="1:26" ht="12.75">
      <c r="A855" s="11">
        <v>43747.295555555553</v>
      </c>
      <c r="B855" s="12" t="str">
        <f>HYPERLINK("https://twitter.com/44xy4","@44xy4")</f>
        <v>@44xy4</v>
      </c>
      <c r="C855" s="7" t="s">
        <v>6904</v>
      </c>
      <c r="D855" s="7" t="s">
        <v>6905</v>
      </c>
      <c r="E855" s="12" t="str">
        <f>HYPERLINK("https://twitter.com/44xy4/status/1181933734561488896","1181933734561488896")</f>
        <v>1181933734561488896</v>
      </c>
      <c r="F855" s="8"/>
      <c r="G855" s="7"/>
      <c r="H855" s="8"/>
      <c r="I855" s="15">
        <v>1</v>
      </c>
      <c r="J855" s="15">
        <v>3</v>
      </c>
      <c r="K855" s="12" t="str">
        <f>HYPERLINK("http://twitter.com/download/android","Twitter for Android")</f>
        <v>Twitter for Android</v>
      </c>
      <c r="L855" s="16">
        <v>472</v>
      </c>
      <c r="M855" s="16">
        <v>757</v>
      </c>
      <c r="N855" s="16">
        <v>0</v>
      </c>
      <c r="O855" s="17"/>
      <c r="P855" s="18">
        <v>43542.435104166667</v>
      </c>
      <c r="Q855" s="7"/>
      <c r="R855" s="7"/>
      <c r="S855" s="7"/>
      <c r="T855" s="8"/>
      <c r="U855" s="19" t="str">
        <f>HYPERLINK("https://pbs.twimg.com/profile_images/1151012305729196032/S4KK3ApM.jpg","View")</f>
        <v>View</v>
      </c>
      <c r="V855" s="8"/>
      <c r="W855" s="8"/>
      <c r="X855" s="8"/>
      <c r="Y855" s="8"/>
      <c r="Z855" s="8"/>
    </row>
    <row r="856" spans="1:26" ht="12.75">
      <c r="A856" s="11">
        <v>43747.295543981483</v>
      </c>
      <c r="B856" s="12" t="str">
        <f>HYPERLINK("https://twitter.com/ahmetcevik_1907","@ahmetcevik_1907")</f>
        <v>@ahmetcevik_1907</v>
      </c>
      <c r="C856" s="7" t="s">
        <v>6908</v>
      </c>
      <c r="D856" s="7" t="s">
        <v>6909</v>
      </c>
      <c r="E856" s="12" t="str">
        <f>HYPERLINK("https://twitter.com/ahmetcevik_1907/status/1181933731008913409","1181933731008913409")</f>
        <v>1181933731008913409</v>
      </c>
      <c r="F856" s="15"/>
      <c r="G856" s="7"/>
      <c r="H856" s="8"/>
      <c r="I856" s="15">
        <v>0</v>
      </c>
      <c r="J856" s="15">
        <v>0</v>
      </c>
      <c r="K856" s="12" t="str">
        <f>HYPERLINK("http://twitter.com/download/android","Twitter for Android")</f>
        <v>Twitter for Android</v>
      </c>
      <c r="L856" s="16">
        <v>6702</v>
      </c>
      <c r="M856" s="16">
        <v>6001</v>
      </c>
      <c r="N856" s="16">
        <v>3</v>
      </c>
      <c r="O856" s="17"/>
      <c r="P856" s="18">
        <v>40398.447476851856</v>
      </c>
      <c r="Q856" s="7" t="s">
        <v>313</v>
      </c>
      <c r="R856" s="7" t="s">
        <v>6912</v>
      </c>
      <c r="S856" s="14" t="s">
        <v>6913</v>
      </c>
      <c r="T856" s="8"/>
      <c r="U856" s="19" t="str">
        <f>HYPERLINK("https://pbs.twimg.com/profile_images/1120730548568297472/3NPx7Qg6.png","View")</f>
        <v>View</v>
      </c>
      <c r="V856" s="8"/>
      <c r="W856" s="8"/>
      <c r="X856" s="8"/>
      <c r="Y856" s="8"/>
      <c r="Z856" s="8"/>
    </row>
    <row r="857" spans="1:26" ht="12.75">
      <c r="A857" s="11">
        <v>43747.29552083333</v>
      </c>
      <c r="B857" s="12" t="str">
        <f>HYPERLINK("https://twitter.com/Girdap_B","@Girdap_B")</f>
        <v>@Girdap_B</v>
      </c>
      <c r="C857" s="7" t="s">
        <v>6914</v>
      </c>
      <c r="D857" s="7" t="s">
        <v>6915</v>
      </c>
      <c r="E857" s="12" t="str">
        <f>HYPERLINK("https://twitter.com/Girdap_B/status/1181933720976138240","1181933720976138240")</f>
        <v>1181933720976138240</v>
      </c>
      <c r="F857" s="8"/>
      <c r="G857" s="14" t="s">
        <v>6916</v>
      </c>
      <c r="H857" s="8"/>
      <c r="I857" s="15">
        <v>0</v>
      </c>
      <c r="J857" s="15">
        <v>0</v>
      </c>
      <c r="K857" s="12" t="str">
        <f>HYPERLINK("http://twitter.com/download/android","Twitter for Android")</f>
        <v>Twitter for Android</v>
      </c>
      <c r="L857" s="16">
        <v>53</v>
      </c>
      <c r="M857" s="16">
        <v>107</v>
      </c>
      <c r="N857" s="16">
        <v>2</v>
      </c>
      <c r="O857" s="17"/>
      <c r="P857" s="18">
        <v>41425.59039351852</v>
      </c>
      <c r="Q857" s="7" t="s">
        <v>6393</v>
      </c>
      <c r="R857" s="7" t="s">
        <v>6917</v>
      </c>
      <c r="S857" s="15"/>
      <c r="T857" s="8"/>
      <c r="U857" s="19" t="str">
        <f>HYPERLINK("https://pbs.twimg.com/profile_images/1106472871055052800/JIYNDDFB.jpg","View")</f>
        <v>View</v>
      </c>
      <c r="V857" s="8"/>
      <c r="W857" s="8"/>
      <c r="X857" s="8"/>
      <c r="Y857" s="8"/>
      <c r="Z857" s="8"/>
    </row>
    <row r="858" spans="1:26" ht="12.75">
      <c r="A858" s="11">
        <v>43747.29550925926</v>
      </c>
      <c r="B858" s="12" t="str">
        <f>HYPERLINK("https://twitter.com/GoBreakNews","@GoBreakNews")</f>
        <v>@GoBreakNews</v>
      </c>
      <c r="C858" s="7" t="s">
        <v>6918</v>
      </c>
      <c r="D858" s="7" t="s">
        <v>6919</v>
      </c>
      <c r="E858" s="12" t="str">
        <f>HYPERLINK("https://twitter.com/GoBreakNews/status/1181933718312833024","1181933718312833024")</f>
        <v>1181933718312833024</v>
      </c>
      <c r="F858" s="14" t="s">
        <v>1500</v>
      </c>
      <c r="G858" s="14" t="s">
        <v>1502</v>
      </c>
      <c r="H858" s="8"/>
      <c r="I858" s="15">
        <v>1</v>
      </c>
      <c r="J858" s="15">
        <v>0</v>
      </c>
      <c r="K858" s="12" t="str">
        <f>HYPERLINK("https://mobile.twitter.com","Twitter Web App")</f>
        <v>Twitter Web App</v>
      </c>
      <c r="L858" s="16">
        <v>26</v>
      </c>
      <c r="M858" s="16">
        <v>99</v>
      </c>
      <c r="N858" s="16">
        <v>2</v>
      </c>
      <c r="O858" s="17"/>
      <c r="P858" s="18">
        <v>42632.01798611111</v>
      </c>
      <c r="Q858" s="7"/>
      <c r="R858" s="7" t="s">
        <v>6921</v>
      </c>
      <c r="S858" s="7"/>
      <c r="T858" s="8"/>
      <c r="U858" s="19" t="str">
        <f>HYPERLINK("https://pbs.twimg.com/profile_images/1174541362735276032/b2NrnQsr.jpg","View")</f>
        <v>View</v>
      </c>
      <c r="V858" s="8"/>
      <c r="W858" s="8"/>
      <c r="X858" s="8"/>
      <c r="Y858" s="8"/>
      <c r="Z858" s="8"/>
    </row>
    <row r="859" spans="1:26" ht="12.75">
      <c r="A859" s="11">
        <v>43747.295497685191</v>
      </c>
      <c r="B859" s="12" t="str">
        <f>HYPERLINK("https://twitter.com/sedatdil","@sedatdil")</f>
        <v>@sedatdil</v>
      </c>
      <c r="C859" s="7" t="s">
        <v>6922</v>
      </c>
      <c r="D859" s="7" t="s">
        <v>6923</v>
      </c>
      <c r="E859" s="12" t="str">
        <f>HYPERLINK("https://twitter.com/sedatdil/status/1181933713766129664","1181933713766129664")</f>
        <v>1181933713766129664</v>
      </c>
      <c r="F859" s="8"/>
      <c r="G859" s="14" t="s">
        <v>6924</v>
      </c>
      <c r="H859" s="8"/>
      <c r="I859" s="15">
        <v>0</v>
      </c>
      <c r="J859" s="15">
        <v>0</v>
      </c>
      <c r="K859" s="12" t="str">
        <f>HYPERLINK("http://twitter.com/download/android","Twitter for Android")</f>
        <v>Twitter for Android</v>
      </c>
      <c r="L859" s="16">
        <v>411</v>
      </c>
      <c r="M859" s="16">
        <v>821</v>
      </c>
      <c r="N859" s="16">
        <v>0</v>
      </c>
      <c r="O859" s="17"/>
      <c r="P859" s="18">
        <v>40092.307916666665</v>
      </c>
      <c r="Q859" s="7" t="s">
        <v>69</v>
      </c>
      <c r="R859" s="7" t="s">
        <v>6925</v>
      </c>
      <c r="S859" s="14" t="s">
        <v>6926</v>
      </c>
      <c r="T859" s="8"/>
      <c r="U859" s="19" t="str">
        <f>HYPERLINK("https://pbs.twimg.com/profile_images/1152709529127333888/XTURgQ4y.jpg","View")</f>
        <v>View</v>
      </c>
      <c r="V859" s="8"/>
      <c r="W859" s="8"/>
      <c r="X859" s="8"/>
      <c r="Y859" s="8"/>
      <c r="Z859" s="8"/>
    </row>
    <row r="860" spans="1:26" ht="12.75">
      <c r="A860" s="11">
        <v>43747.295486111107</v>
      </c>
      <c r="B860" s="12" t="str">
        <f>HYPERLINK("https://twitter.com/Onurakyildiz","@Onurakyildiz")</f>
        <v>@Onurakyildiz</v>
      </c>
      <c r="C860" s="7" t="s">
        <v>6927</v>
      </c>
      <c r="D860" s="7" t="s">
        <v>6928</v>
      </c>
      <c r="E860" s="12" t="str">
        <f>HYPERLINK("https://twitter.com/Onurakyildiz/status/1181933711396392960","1181933711396392960")</f>
        <v>1181933711396392960</v>
      </c>
      <c r="F860" s="15"/>
      <c r="G860" s="15"/>
      <c r="H860" s="8"/>
      <c r="I860" s="15">
        <v>0</v>
      </c>
      <c r="J860" s="15">
        <v>1</v>
      </c>
      <c r="K860" s="12" t="str">
        <f>HYPERLINK("https://mobile.twitter.com","Twitter Web App")</f>
        <v>Twitter Web App</v>
      </c>
      <c r="L860" s="16">
        <v>436</v>
      </c>
      <c r="M860" s="16">
        <v>716</v>
      </c>
      <c r="N860" s="16">
        <v>0</v>
      </c>
      <c r="O860" s="17"/>
      <c r="P860" s="18">
        <v>42960.23883101852</v>
      </c>
      <c r="Q860" s="7" t="s">
        <v>6929</v>
      </c>
      <c r="R860" s="7" t="s">
        <v>6930</v>
      </c>
      <c r="S860" s="7"/>
      <c r="T860" s="8"/>
      <c r="U860" s="19" t="str">
        <f>HYPERLINK("https://pbs.twimg.com/profile_images/1152868782379012098/IeRydHhJ.jpg","View")</f>
        <v>View</v>
      </c>
      <c r="V860" s="8"/>
      <c r="W860" s="8"/>
      <c r="X860" s="8"/>
      <c r="Y860" s="8"/>
      <c r="Z860" s="8"/>
    </row>
    <row r="861" spans="1:26" ht="12.75">
      <c r="A861" s="11">
        <v>43747.295462962968</v>
      </c>
      <c r="B861" s="12" t="str">
        <f>HYPERLINK("https://twitter.com/wefa_07","@wefa_07")</f>
        <v>@wefa_07</v>
      </c>
      <c r="C861" s="7" t="s">
        <v>6931</v>
      </c>
      <c r="D861" s="7" t="s">
        <v>6932</v>
      </c>
      <c r="E861" s="12" t="str">
        <f>HYPERLINK("https://twitter.com/wefa_07/status/1181933701892100096","1181933701892100096")</f>
        <v>1181933701892100096</v>
      </c>
      <c r="F861" s="8"/>
      <c r="G861" s="14" t="s">
        <v>6933</v>
      </c>
      <c r="H861" s="8"/>
      <c r="I861" s="15">
        <v>0</v>
      </c>
      <c r="J861" s="15">
        <v>1</v>
      </c>
      <c r="K861" s="12" t="str">
        <f>HYPERLINK("http://twitter.com/download/android","Twitter for Android")</f>
        <v>Twitter for Android</v>
      </c>
      <c r="L861" s="16">
        <v>173</v>
      </c>
      <c r="M861" s="16">
        <v>195</v>
      </c>
      <c r="N861" s="16">
        <v>0</v>
      </c>
      <c r="O861" s="17"/>
      <c r="P861" s="18">
        <v>41285.422638888893</v>
      </c>
      <c r="Q861" s="7" t="s">
        <v>6934</v>
      </c>
      <c r="R861" s="7" t="s">
        <v>6935</v>
      </c>
      <c r="S861" s="7"/>
      <c r="T861" s="8"/>
      <c r="U861" s="19" t="str">
        <f>HYPERLINK("https://pbs.twimg.com/profile_images/1145755005426786304/LUyIMbmO.jpg","View")</f>
        <v>View</v>
      </c>
      <c r="V861" s="8"/>
      <c r="W861" s="8"/>
      <c r="X861" s="8"/>
      <c r="Y861" s="8"/>
      <c r="Z861" s="8"/>
    </row>
    <row r="862" spans="1:26" ht="12.75">
      <c r="A862" s="11">
        <v>43747.295451388884</v>
      </c>
      <c r="B862" s="12" t="str">
        <f>HYPERLINK("https://twitter.com/MKavsit","@MKavsit")</f>
        <v>@MKavsit</v>
      </c>
      <c r="C862" s="7" t="s">
        <v>6936</v>
      </c>
      <c r="D862" s="7" t="s">
        <v>6939</v>
      </c>
      <c r="E862" s="12" t="str">
        <f>HYPERLINK("https://twitter.com/MKavsit/status/1181933698112987137","1181933698112987137")</f>
        <v>1181933698112987137</v>
      </c>
      <c r="F862" s="8"/>
      <c r="G862" s="14" t="s">
        <v>6941</v>
      </c>
      <c r="H862" s="8"/>
      <c r="I862" s="15">
        <v>0</v>
      </c>
      <c r="J862" s="15">
        <v>5</v>
      </c>
      <c r="K862" s="12" t="str">
        <f>HYPERLINK("http://twitter.com/download/iphone","Twitter for iPhone")</f>
        <v>Twitter for iPhone</v>
      </c>
      <c r="L862" s="16">
        <v>1102</v>
      </c>
      <c r="M862" s="16">
        <v>753</v>
      </c>
      <c r="N862" s="16">
        <v>2</v>
      </c>
      <c r="O862" s="17"/>
      <c r="P862" s="18">
        <v>41820.239293981482</v>
      </c>
      <c r="Q862" s="7" t="s">
        <v>6942</v>
      </c>
      <c r="R862" s="7" t="s">
        <v>6943</v>
      </c>
      <c r="S862" s="7"/>
      <c r="T862" s="8"/>
      <c r="U862" s="19" t="str">
        <f>HYPERLINK("https://pbs.twimg.com/profile_images/1162463646313844737/KYV6uQsx.jpg","View")</f>
        <v>View</v>
      </c>
      <c r="V862" s="8"/>
      <c r="W862" s="8"/>
      <c r="X862" s="8"/>
      <c r="Y862" s="8"/>
      <c r="Z862" s="8"/>
    </row>
    <row r="863" spans="1:26" ht="12.75">
      <c r="A863" s="11">
        <v>43747.295381944445</v>
      </c>
      <c r="B863" s="12" t="str">
        <f>HYPERLINK("https://twitter.com/JonnyAirborne","@JonnyAirborne")</f>
        <v>@JonnyAirborne</v>
      </c>
      <c r="C863" s="7" t="s">
        <v>6944</v>
      </c>
      <c r="D863" s="7" t="s">
        <v>6945</v>
      </c>
      <c r="E863" s="12" t="str">
        <f>HYPERLINK("https://twitter.com/JonnyAirborne/status/1181933671139479553","1181933671139479553")</f>
        <v>1181933671139479553</v>
      </c>
      <c r="F863" s="8"/>
      <c r="G863" s="7"/>
      <c r="H863" s="8"/>
      <c r="I863" s="15">
        <v>0</v>
      </c>
      <c r="J863" s="15">
        <v>0</v>
      </c>
      <c r="K863" s="12" t="str">
        <f>HYPERLINK("http://twitter.com/#!/download/ipad","Twitter for iPad")</f>
        <v>Twitter for iPad</v>
      </c>
      <c r="L863" s="16">
        <v>347</v>
      </c>
      <c r="M863" s="16">
        <v>3217</v>
      </c>
      <c r="N863" s="16">
        <v>6</v>
      </c>
      <c r="O863" s="17"/>
      <c r="P863" s="18">
        <v>39973.218090277776</v>
      </c>
      <c r="Q863" s="7" t="s">
        <v>6946</v>
      </c>
      <c r="R863" s="7" t="s">
        <v>6947</v>
      </c>
      <c r="S863" s="7"/>
      <c r="T863" s="8"/>
      <c r="U863" s="19" t="str">
        <f>HYPERLINK("https://pbs.twimg.com/profile_images/1134806804104450048/BIrI7Fek.jpg","View")</f>
        <v>View</v>
      </c>
      <c r="V863" s="8"/>
      <c r="W863" s="8"/>
      <c r="X863" s="8"/>
      <c r="Y863" s="8"/>
      <c r="Z863" s="8"/>
    </row>
    <row r="864" spans="1:26" ht="12.75">
      <c r="A864" s="11">
        <v>43747.295335648145</v>
      </c>
      <c r="B864" s="12" t="str">
        <f>HYPERLINK("https://twitter.com/Hellstorm901","@Hellstorm901")</f>
        <v>@Hellstorm901</v>
      </c>
      <c r="C864" s="7" t="s">
        <v>6948</v>
      </c>
      <c r="D864" s="7" t="s">
        <v>6949</v>
      </c>
      <c r="E864" s="12" t="str">
        <f>HYPERLINK("https://twitter.com/Hellstorm901/status/1181933657357012994","1181933657357012994")</f>
        <v>1181933657357012994</v>
      </c>
      <c r="F864" s="8"/>
      <c r="G864" s="15"/>
      <c r="H864" s="8"/>
      <c r="I864" s="15">
        <v>0</v>
      </c>
      <c r="J864" s="15">
        <v>0</v>
      </c>
      <c r="K864" s="12" t="str">
        <f>HYPERLINK("https://mobile.twitter.com","Twitter Web App")</f>
        <v>Twitter Web App</v>
      </c>
      <c r="L864" s="16">
        <v>799</v>
      </c>
      <c r="M864" s="16">
        <v>364</v>
      </c>
      <c r="N864" s="16">
        <v>30</v>
      </c>
      <c r="O864" s="17"/>
      <c r="P864" s="18">
        <v>41928.110439814816</v>
      </c>
      <c r="Q864" s="7" t="s">
        <v>6950</v>
      </c>
      <c r="R864" s="7" t="s">
        <v>6951</v>
      </c>
      <c r="S864" s="7"/>
      <c r="T864" s="8"/>
      <c r="U864" s="19" t="str">
        <f>HYPERLINK("https://pbs.twimg.com/profile_images/1180140784533868544/pK9ZpDKT.jpg","View")</f>
        <v>View</v>
      </c>
      <c r="V864" s="8"/>
      <c r="W864" s="8"/>
      <c r="X864" s="8"/>
      <c r="Y864" s="8"/>
      <c r="Z864" s="8"/>
    </row>
    <row r="865" spans="1:26" ht="12.75">
      <c r="A865" s="11">
        <v>43747.29524305556</v>
      </c>
      <c r="B865" s="12" t="str">
        <f>HYPERLINK("https://twitter.com/ceraslan","@ceraslan")</f>
        <v>@ceraslan</v>
      </c>
      <c r="C865" s="7" t="s">
        <v>6955</v>
      </c>
      <c r="D865" s="7" t="s">
        <v>6956</v>
      </c>
      <c r="E865" s="12" t="str">
        <f>HYPERLINK("https://twitter.com/ceraslan/status/1181933621650874369","1181933621650874369")</f>
        <v>1181933621650874369</v>
      </c>
      <c r="F865" s="15"/>
      <c r="G865" s="7"/>
      <c r="H865" s="8"/>
      <c r="I865" s="15">
        <v>0</v>
      </c>
      <c r="J865" s="15">
        <v>2</v>
      </c>
      <c r="K865" s="12" t="str">
        <f>HYPERLINK("http://twitter.com/download/android","Twitter for Android")</f>
        <v>Twitter for Android</v>
      </c>
      <c r="L865" s="16">
        <v>127</v>
      </c>
      <c r="M865" s="16">
        <v>145</v>
      </c>
      <c r="N865" s="16">
        <v>0</v>
      </c>
      <c r="O865" s="17"/>
      <c r="P865" s="18">
        <v>40053.352395833332</v>
      </c>
      <c r="Q865" s="7"/>
      <c r="R865" s="7" t="s">
        <v>6957</v>
      </c>
      <c r="S865" s="15"/>
      <c r="T865" s="8"/>
      <c r="U865" s="19" t="str">
        <f>HYPERLINK("https://pbs.twimg.com/profile_images/686875548572893184/AqByIxEe.jpg","View")</f>
        <v>View</v>
      </c>
      <c r="V865" s="8"/>
      <c r="W865" s="8"/>
      <c r="X865" s="8"/>
      <c r="Y865" s="8"/>
      <c r="Z865" s="8"/>
    </row>
    <row r="866" spans="1:26" ht="12.75">
      <c r="A866" s="11">
        <v>43747.295208333337</v>
      </c>
      <c r="B866" s="12" t="str">
        <f>HYPERLINK("https://twitter.com/AsiBayjoker","@AsiBayjoker")</f>
        <v>@AsiBayjoker</v>
      </c>
      <c r="C866" s="7" t="s">
        <v>6958</v>
      </c>
      <c r="D866" s="7" t="s">
        <v>6959</v>
      </c>
      <c r="E866" s="12" t="str">
        <f>HYPERLINK("https://twitter.com/AsiBayjoker/status/1181933609269235713","1181933609269235713")</f>
        <v>1181933609269235713</v>
      </c>
      <c r="F866" s="8"/>
      <c r="G866" s="15"/>
      <c r="H866" s="8"/>
      <c r="I866" s="15">
        <v>0</v>
      </c>
      <c r="J866" s="15">
        <v>0</v>
      </c>
      <c r="K866" s="12" t="str">
        <f>HYPERLINK("http://twitter.com/download/android","Twitter for Android")</f>
        <v>Twitter for Android</v>
      </c>
      <c r="L866" s="16">
        <v>1321</v>
      </c>
      <c r="M866" s="16">
        <v>4999</v>
      </c>
      <c r="N866" s="16">
        <v>0</v>
      </c>
      <c r="O866" s="17"/>
      <c r="P866" s="18">
        <v>41026.805150462962</v>
      </c>
      <c r="Q866" s="7"/>
      <c r="R866" s="7" t="s">
        <v>6960</v>
      </c>
      <c r="S866" s="15"/>
      <c r="T866" s="8"/>
      <c r="U866" s="19" t="str">
        <f>HYPERLINK("https://pbs.twimg.com/profile_images/642576971612987392/kj0ft8y5.jpg","View")</f>
        <v>View</v>
      </c>
      <c r="V866" s="8"/>
      <c r="W866" s="8"/>
      <c r="X866" s="8"/>
      <c r="Y866" s="8"/>
      <c r="Z866" s="8"/>
    </row>
    <row r="867" spans="1:26" ht="12.75">
      <c r="A867" s="11">
        <v>43747.29519675926</v>
      </c>
      <c r="B867" s="12" t="str">
        <f>HYPERLINK("https://twitter.com/leventkarayay","@leventkarayay")</f>
        <v>@leventkarayay</v>
      </c>
      <c r="C867" s="7" t="s">
        <v>6961</v>
      </c>
      <c r="D867" s="7" t="s">
        <v>6962</v>
      </c>
      <c r="E867" s="12" t="str">
        <f>HYPERLINK("https://twitter.com/leventkarayay/status/1181933607235002369","1181933607235002369")</f>
        <v>1181933607235002369</v>
      </c>
      <c r="F867" s="8"/>
      <c r="G867" s="14" t="s">
        <v>6964</v>
      </c>
      <c r="H867" s="8"/>
      <c r="I867" s="15">
        <v>1</v>
      </c>
      <c r="J867" s="15">
        <v>0</v>
      </c>
      <c r="K867" s="12" t="str">
        <f>HYPERLINK("https://mobile.twitter.com","Twitter Web App")</f>
        <v>Twitter Web App</v>
      </c>
      <c r="L867" s="16">
        <v>36</v>
      </c>
      <c r="M867" s="16">
        <v>823</v>
      </c>
      <c r="N867" s="16">
        <v>0</v>
      </c>
      <c r="O867" s="17"/>
      <c r="P867" s="18">
        <v>41840.99628472222</v>
      </c>
      <c r="Q867" s="7" t="s">
        <v>6966</v>
      </c>
      <c r="R867" s="7" t="s">
        <v>6967</v>
      </c>
      <c r="S867" s="7"/>
      <c r="T867" s="8"/>
      <c r="U867" s="19" t="str">
        <f>HYPERLINK("https://pbs.twimg.com/profile_images/1176035779191156737/xYr-NGcI.jpg","View")</f>
        <v>View</v>
      </c>
      <c r="V867" s="8"/>
      <c r="W867" s="8"/>
      <c r="X867" s="8"/>
      <c r="Y867" s="8"/>
      <c r="Z867" s="8"/>
    </row>
    <row r="868" spans="1:26" ht="12.75">
      <c r="A868" s="11">
        <v>43747.29519675926</v>
      </c>
      <c r="B868" s="12" t="str">
        <f>HYPERLINK("https://twitter.com/berkaycntr","@berkaycntr")</f>
        <v>@berkaycntr</v>
      </c>
      <c r="C868" s="7" t="s">
        <v>6970</v>
      </c>
      <c r="D868" s="7" t="s">
        <v>6971</v>
      </c>
      <c r="E868" s="12" t="str">
        <f>HYPERLINK("https://twitter.com/berkaycntr/status/1181933605741895681","1181933605741895681")</f>
        <v>1181933605741895681</v>
      </c>
      <c r="F868" s="8"/>
      <c r="G868" s="14" t="s">
        <v>6972</v>
      </c>
      <c r="H868" s="8"/>
      <c r="I868" s="15">
        <v>0</v>
      </c>
      <c r="J868" s="15">
        <v>0</v>
      </c>
      <c r="K868" s="12" t="str">
        <f>HYPERLINK("http://twitter.com/download/iphone","Twitter for iPhone")</f>
        <v>Twitter for iPhone</v>
      </c>
      <c r="L868" s="16">
        <v>187</v>
      </c>
      <c r="M868" s="16">
        <v>374</v>
      </c>
      <c r="N868" s="16">
        <v>0</v>
      </c>
      <c r="O868" s="17"/>
      <c r="P868" s="18">
        <v>42043.465995370367</v>
      </c>
      <c r="Q868" s="7" t="s">
        <v>6974</v>
      </c>
      <c r="R868" s="7" t="s">
        <v>6975</v>
      </c>
      <c r="S868" s="7"/>
      <c r="T868" s="8"/>
      <c r="U868" s="19" t="str">
        <f>HYPERLINK("https://pbs.twimg.com/profile_images/1172577893291089920/79lY9tPS.jpg","View")</f>
        <v>View</v>
      </c>
      <c r="V868" s="8"/>
      <c r="W868" s="8"/>
      <c r="X868" s="8"/>
      <c r="Y868" s="8"/>
      <c r="Z868" s="8"/>
    </row>
    <row r="869" spans="1:26" ht="12.75">
      <c r="A869" s="11">
        <v>43747.295185185183</v>
      </c>
      <c r="B869" s="12" t="str">
        <f>HYPERLINK("https://twitter.com/gokhangok23","@gokhangok23")</f>
        <v>@gokhangok23</v>
      </c>
      <c r="C869" s="7" t="s">
        <v>6977</v>
      </c>
      <c r="D869" s="7" t="s">
        <v>6978</v>
      </c>
      <c r="E869" s="12" t="str">
        <f>HYPERLINK("https://twitter.com/gokhangok23/status/1181933601417547776","1181933601417547776")</f>
        <v>1181933601417547776</v>
      </c>
      <c r="F869" s="15"/>
      <c r="G869" s="14" t="s">
        <v>6979</v>
      </c>
      <c r="H869" s="8"/>
      <c r="I869" s="15">
        <v>0</v>
      </c>
      <c r="J869" s="15">
        <v>9</v>
      </c>
      <c r="K869" s="12" t="str">
        <f>HYPERLINK("http://twitter.com/download/android","Twitter for Android")</f>
        <v>Twitter for Android</v>
      </c>
      <c r="L869" s="16">
        <v>545</v>
      </c>
      <c r="M869" s="16">
        <v>672</v>
      </c>
      <c r="N869" s="16">
        <v>0</v>
      </c>
      <c r="O869" s="17"/>
      <c r="P869" s="18">
        <v>43668.023831018523</v>
      </c>
      <c r="Q869" s="7" t="s">
        <v>1392</v>
      </c>
      <c r="R869" s="7" t="s">
        <v>6981</v>
      </c>
      <c r="S869" s="14" t="s">
        <v>6982</v>
      </c>
      <c r="T869" s="8"/>
      <c r="U869" s="19" t="str">
        <f>HYPERLINK("https://pbs.twimg.com/profile_images/1155407615347843072/I2VLQiE8.jpg","View")</f>
        <v>View</v>
      </c>
      <c r="V869" s="8"/>
      <c r="W869" s="8"/>
      <c r="X869" s="8"/>
      <c r="Y869" s="8"/>
      <c r="Z869" s="8"/>
    </row>
    <row r="870" spans="1:26" ht="12.75">
      <c r="A870" s="11">
        <v>43747.295185185183</v>
      </c>
      <c r="B870" s="12" t="str">
        <f>HYPERLINK("https://twitter.com/Matraq_37","@Matraq_37")</f>
        <v>@Matraq_37</v>
      </c>
      <c r="C870" s="7" t="s">
        <v>6983</v>
      </c>
      <c r="D870" s="7" t="s">
        <v>6984</v>
      </c>
      <c r="E870" s="12" t="str">
        <f>HYPERLINK("https://twitter.com/Matraq_37/status/1181933601291718656","1181933601291718656")</f>
        <v>1181933601291718656</v>
      </c>
      <c r="F870" s="8"/>
      <c r="G870" s="7"/>
      <c r="H870" s="8"/>
      <c r="I870" s="15">
        <v>0</v>
      </c>
      <c r="J870" s="15">
        <v>1</v>
      </c>
      <c r="K870" s="12" t="str">
        <f>HYPERLINK("http://twitter.com/download/iphone","Twitter for iPhone")</f>
        <v>Twitter for iPhone</v>
      </c>
      <c r="L870" s="16">
        <v>773</v>
      </c>
      <c r="M870" s="16">
        <v>2257</v>
      </c>
      <c r="N870" s="16">
        <v>1</v>
      </c>
      <c r="O870" s="17"/>
      <c r="P870" s="18">
        <v>42593.196087962962</v>
      </c>
      <c r="Q870" s="7"/>
      <c r="R870" s="7" t="s">
        <v>6985</v>
      </c>
      <c r="S870" s="14" t="s">
        <v>6986</v>
      </c>
      <c r="T870" s="8"/>
      <c r="U870" s="19" t="str">
        <f>HYPERLINK("https://pbs.twimg.com/profile_images/1180564592621215744/KeV2XIgj.jpg","View")</f>
        <v>View</v>
      </c>
      <c r="V870" s="8"/>
      <c r="W870" s="8"/>
      <c r="X870" s="8"/>
      <c r="Y870" s="8"/>
      <c r="Z870" s="8"/>
    </row>
    <row r="871" spans="1:26" ht="12.75">
      <c r="A871" s="11">
        <v>43747.29515046296</v>
      </c>
      <c r="B871" s="12" t="str">
        <f>HYPERLINK("https://twitter.com/ahmtemrn","@ahmtemrn")</f>
        <v>@ahmtemrn</v>
      </c>
      <c r="C871" s="7" t="s">
        <v>6992</v>
      </c>
      <c r="D871" s="7" t="s">
        <v>6993</v>
      </c>
      <c r="E871" s="12" t="str">
        <f>HYPERLINK("https://twitter.com/ahmtemrn/status/1181933590201929731","1181933590201929731")</f>
        <v>1181933590201929731</v>
      </c>
      <c r="F871" s="8"/>
      <c r="G871" s="14" t="s">
        <v>6994</v>
      </c>
      <c r="H871" s="8"/>
      <c r="I871" s="15">
        <v>0</v>
      </c>
      <c r="J871" s="15">
        <v>1</v>
      </c>
      <c r="K871" s="12" t="str">
        <f>HYPERLINK("http://twitter.com/download/iphone","Twitter for iPhone")</f>
        <v>Twitter for iPhone</v>
      </c>
      <c r="L871" s="16">
        <v>321</v>
      </c>
      <c r="M871" s="16">
        <v>83</v>
      </c>
      <c r="N871" s="16">
        <v>0</v>
      </c>
      <c r="O871" s="17"/>
      <c r="P871" s="18">
        <v>41154.703576388885</v>
      </c>
      <c r="Q871" s="7"/>
      <c r="R871" s="7" t="s">
        <v>6995</v>
      </c>
      <c r="S871" s="14" t="s">
        <v>6996</v>
      </c>
      <c r="T871" s="8"/>
      <c r="U871" s="19" t="str">
        <f>HYPERLINK("https://pbs.twimg.com/profile_images/1176614763197022208/CQyH20-S.jpg","View")</f>
        <v>View</v>
      </c>
      <c r="V871" s="8"/>
      <c r="W871" s="8"/>
      <c r="X871" s="8"/>
      <c r="Y871" s="8"/>
      <c r="Z871" s="8"/>
    </row>
    <row r="872" spans="1:26" ht="12.75">
      <c r="A872" s="11">
        <v>43747.295127314814</v>
      </c>
      <c r="B872" s="12" t="str">
        <f>HYPERLINK("https://twitter.com/saimgoktas","@saimgoktas")</f>
        <v>@saimgoktas</v>
      </c>
      <c r="C872" s="7" t="s">
        <v>6997</v>
      </c>
      <c r="D872" s="7" t="s">
        <v>6998</v>
      </c>
      <c r="E872" s="12" t="str">
        <f>HYPERLINK("https://twitter.com/saimgoktas/status/1181933581494636544","1181933581494636544")</f>
        <v>1181933581494636544</v>
      </c>
      <c r="F872" s="8"/>
      <c r="G872" s="15"/>
      <c r="H872" s="8"/>
      <c r="I872" s="15">
        <v>0</v>
      </c>
      <c r="J872" s="15">
        <v>1</v>
      </c>
      <c r="K872" s="12" t="str">
        <f>HYPERLINK("http://twitter.com/download/android","Twitter for Android")</f>
        <v>Twitter for Android</v>
      </c>
      <c r="L872" s="16">
        <v>151</v>
      </c>
      <c r="M872" s="16">
        <v>266</v>
      </c>
      <c r="N872" s="16">
        <v>0</v>
      </c>
      <c r="O872" s="17"/>
      <c r="P872" s="18">
        <v>41133.660949074074</v>
      </c>
      <c r="Q872" s="7" t="s">
        <v>287</v>
      </c>
      <c r="R872" s="7" t="s">
        <v>7001</v>
      </c>
      <c r="S872" s="7"/>
      <c r="T872" s="8"/>
      <c r="U872" s="19" t="str">
        <f>HYPERLINK("https://pbs.twimg.com/profile_images/1108038397011128325/o5FOXTTV.jpg","View")</f>
        <v>View</v>
      </c>
      <c r="V872" s="8"/>
      <c r="W872" s="8"/>
      <c r="X872" s="8"/>
      <c r="Y872" s="8"/>
      <c r="Z872" s="8"/>
    </row>
    <row r="873" spans="1:26" ht="12.75">
      <c r="A873" s="11">
        <v>43747.295115740737</v>
      </c>
      <c r="B873" s="12" t="str">
        <f>HYPERLINK("https://twitter.com/ozgurirdem","@ozgurirdem")</f>
        <v>@ozgurirdem</v>
      </c>
      <c r="C873" s="7" t="s">
        <v>7003</v>
      </c>
      <c r="D873" s="7" t="s">
        <v>7004</v>
      </c>
      <c r="E873" s="12" t="str">
        <f>HYPERLINK("https://twitter.com/ozgurirdem/status/1181933577526751232","1181933577526751232")</f>
        <v>1181933577526751232</v>
      </c>
      <c r="F873" s="15"/>
      <c r="G873" s="15"/>
      <c r="H873" s="8"/>
      <c r="I873" s="15">
        <v>0</v>
      </c>
      <c r="J873" s="15">
        <v>0</v>
      </c>
      <c r="K873" s="12" t="str">
        <f>HYPERLINK("http://twitter.com/download/android","Twitter for Android")</f>
        <v>Twitter for Android</v>
      </c>
      <c r="L873" s="16">
        <v>74</v>
      </c>
      <c r="M873" s="16">
        <v>173</v>
      </c>
      <c r="N873" s="16">
        <v>0</v>
      </c>
      <c r="O873" s="17"/>
      <c r="P873" s="18">
        <v>41682.058252314819</v>
      </c>
      <c r="Q873" s="7" t="s">
        <v>7005</v>
      </c>
      <c r="R873" s="7" t="s">
        <v>7006</v>
      </c>
      <c r="S873" s="15"/>
      <c r="T873" s="8"/>
      <c r="U873" s="19" t="str">
        <f>HYPERLINK("https://pbs.twimg.com/profile_images/1024237794078674945/G8KgRUCc.jpg","View")</f>
        <v>View</v>
      </c>
      <c r="V873" s="8"/>
      <c r="W873" s="8"/>
      <c r="X873" s="8"/>
      <c r="Y873" s="8"/>
      <c r="Z873" s="8"/>
    </row>
    <row r="874" spans="1:26" ht="12.75">
      <c r="A874" s="11">
        <v>43747.295092592598</v>
      </c>
      <c r="B874" s="12" t="str">
        <f>HYPERLINK("https://twitter.com/ahmetguleryuz6","@ahmetguleryuz6")</f>
        <v>@ahmetguleryuz6</v>
      </c>
      <c r="C874" s="13" t="s">
        <v>7007</v>
      </c>
      <c r="D874" s="7" t="s">
        <v>7008</v>
      </c>
      <c r="E874" s="12" t="str">
        <f>HYPERLINK("https://twitter.com/ahmetguleryuz6/status/1181933568039280640","1181933568039280640")</f>
        <v>1181933568039280640</v>
      </c>
      <c r="F874" s="14" t="s">
        <v>7009</v>
      </c>
      <c r="G874" s="7"/>
      <c r="H874" s="8"/>
      <c r="I874" s="15">
        <v>0</v>
      </c>
      <c r="J874" s="15">
        <v>0</v>
      </c>
      <c r="K874" s="12" t="str">
        <f>HYPERLINK("http://twitter.com/download/android","Twitter for Android")</f>
        <v>Twitter for Android</v>
      </c>
      <c r="L874" s="16">
        <v>159</v>
      </c>
      <c r="M874" s="16">
        <v>485</v>
      </c>
      <c r="N874" s="16">
        <v>0</v>
      </c>
      <c r="O874" s="17"/>
      <c r="P874" s="18">
        <v>43243.328645833331</v>
      </c>
      <c r="Q874" s="7" t="s">
        <v>313</v>
      </c>
      <c r="R874" s="7" t="s">
        <v>7010</v>
      </c>
      <c r="S874" s="7"/>
      <c r="T874" s="8"/>
      <c r="U874" s="20" t="s">
        <v>354</v>
      </c>
      <c r="V874" s="8"/>
      <c r="W874" s="8"/>
      <c r="X874" s="8"/>
      <c r="Y874" s="8"/>
      <c r="Z874" s="8"/>
    </row>
    <row r="875" spans="1:26" ht="12.75">
      <c r="A875" s="11">
        <v>43747.295092592598</v>
      </c>
      <c r="B875" s="12" t="str">
        <f>HYPERLINK("https://twitter.com/hilalthetomris","@hilalthetomris")</f>
        <v>@hilalthetomris</v>
      </c>
      <c r="C875" s="7" t="s">
        <v>7012</v>
      </c>
      <c r="D875" s="7" t="s">
        <v>160</v>
      </c>
      <c r="E875" s="12" t="str">
        <f>HYPERLINK("https://twitter.com/hilalthetomris/status/1181933567129112577","1181933567129112577")</f>
        <v>1181933567129112577</v>
      </c>
      <c r="F875" s="8"/>
      <c r="G875" s="14" t="s">
        <v>7014</v>
      </c>
      <c r="H875" s="8"/>
      <c r="I875" s="15">
        <v>0</v>
      </c>
      <c r="J875" s="15">
        <v>0</v>
      </c>
      <c r="K875" s="12" t="str">
        <f>HYPERLINK("http://twitter.com/download/iphone","Twitter for iPhone")</f>
        <v>Twitter for iPhone</v>
      </c>
      <c r="L875" s="16">
        <v>2</v>
      </c>
      <c r="M875" s="16">
        <v>104</v>
      </c>
      <c r="N875" s="16">
        <v>0</v>
      </c>
      <c r="O875" s="17"/>
      <c r="P875" s="18">
        <v>42978.564953703702</v>
      </c>
      <c r="Q875" s="7"/>
      <c r="R875" s="7"/>
      <c r="S875" s="7"/>
      <c r="T875" s="8"/>
      <c r="U875" s="19" t="str">
        <f>HYPERLINK("https://pbs.twimg.com/profile_images/907650981881577473/uM3BGXiX.jpg","View")</f>
        <v>View</v>
      </c>
      <c r="V875" s="8"/>
      <c r="W875" s="8"/>
      <c r="X875" s="8"/>
      <c r="Y875" s="8"/>
      <c r="Z875" s="8"/>
    </row>
    <row r="876" spans="1:26" ht="12.75">
      <c r="A876" s="11">
        <v>43747.295069444444</v>
      </c>
      <c r="B876" s="12" t="str">
        <f>HYPERLINK("https://twitter.com/Alprs33","@Alprs33")</f>
        <v>@Alprs33</v>
      </c>
      <c r="C876" s="7" t="s">
        <v>7015</v>
      </c>
      <c r="D876" s="7" t="s">
        <v>7016</v>
      </c>
      <c r="E876" s="12" t="str">
        <f>HYPERLINK("https://twitter.com/Alprs33/status/1181933560741220352","1181933560741220352")</f>
        <v>1181933560741220352</v>
      </c>
      <c r="F876" s="15"/>
      <c r="G876" s="14" t="s">
        <v>7017</v>
      </c>
      <c r="H876" s="8"/>
      <c r="I876" s="15">
        <v>7</v>
      </c>
      <c r="J876" s="15">
        <v>39</v>
      </c>
      <c r="K876" s="12" t="str">
        <f>HYPERLINK("http://twitter.com/download/android","Twitter for Android")</f>
        <v>Twitter for Android</v>
      </c>
      <c r="L876" s="16">
        <v>9983</v>
      </c>
      <c r="M876" s="16">
        <v>9679</v>
      </c>
      <c r="N876" s="16">
        <v>1</v>
      </c>
      <c r="O876" s="17"/>
      <c r="P876" s="18">
        <v>43419.418124999997</v>
      </c>
      <c r="Q876" s="7"/>
      <c r="R876" s="7" t="s">
        <v>7018</v>
      </c>
      <c r="S876" s="14" t="s">
        <v>7019</v>
      </c>
      <c r="T876" s="8"/>
      <c r="U876" s="19" t="str">
        <f>HYPERLINK("https://pbs.twimg.com/profile_images/1178788671945920512/Wytt8j6f.jpg","View")</f>
        <v>View</v>
      </c>
      <c r="V876" s="8"/>
      <c r="W876" s="8"/>
      <c r="X876" s="8"/>
      <c r="Y876" s="8"/>
      <c r="Z876" s="8"/>
    </row>
    <row r="877" spans="1:26" ht="12.75">
      <c r="A877" s="11">
        <v>43747.295057870375</v>
      </c>
      <c r="B877" s="12" t="str">
        <f>HYPERLINK("https://twitter.com/Pastrymat","@Pastrymat")</f>
        <v>@Pastrymat</v>
      </c>
      <c r="C877" s="7" t="s">
        <v>7025</v>
      </c>
      <c r="D877" s="7" t="s">
        <v>7026</v>
      </c>
      <c r="E877" s="12" t="str">
        <f>HYPERLINK("https://twitter.com/Pastrymat/status/1181933557238915072","1181933557238915072")</f>
        <v>1181933557238915072</v>
      </c>
      <c r="F877" s="8"/>
      <c r="G877" s="15"/>
      <c r="H877" s="8"/>
      <c r="I877" s="15">
        <v>0</v>
      </c>
      <c r="J877" s="15">
        <v>0</v>
      </c>
      <c r="K877" s="12" t="str">
        <f>HYPERLINK("http://twitter.com/download/android","Twitter for Android")</f>
        <v>Twitter for Android</v>
      </c>
      <c r="L877" s="16">
        <v>168</v>
      </c>
      <c r="M877" s="16">
        <v>1745</v>
      </c>
      <c r="N877" s="16">
        <v>10</v>
      </c>
      <c r="O877" s="17"/>
      <c r="P877" s="18">
        <v>42148.146990740745</v>
      </c>
      <c r="Q877" s="7" t="s">
        <v>7027</v>
      </c>
      <c r="R877" s="7" t="s">
        <v>7028</v>
      </c>
      <c r="S877" s="7"/>
      <c r="T877" s="8"/>
      <c r="U877" s="19" t="str">
        <f>HYPERLINK("https://pbs.twimg.com/profile_images/983300139115798528/IDla8k3q.jpg","View")</f>
        <v>View</v>
      </c>
      <c r="V877" s="8"/>
      <c r="W877" s="8"/>
      <c r="X877" s="8"/>
      <c r="Y877" s="8"/>
      <c r="Z877" s="8"/>
    </row>
    <row r="878" spans="1:26" ht="12.75">
      <c r="A878" s="11">
        <v>43747.295011574075</v>
      </c>
      <c r="B878" s="12" t="str">
        <f>HYPERLINK("https://twitter.com/sumeyyeeyagmur","@sumeyyeeyagmur")</f>
        <v>@sumeyyeeyagmur</v>
      </c>
      <c r="C878" s="13" t="s">
        <v>7029</v>
      </c>
      <c r="D878" s="7" t="s">
        <v>7030</v>
      </c>
      <c r="E878" s="12" t="str">
        <f>HYPERLINK("https://twitter.com/sumeyyeeyagmur/status/1181933538305871877","1181933538305871877")</f>
        <v>1181933538305871877</v>
      </c>
      <c r="F878" s="8"/>
      <c r="G878" s="15"/>
      <c r="H878" s="8"/>
      <c r="I878" s="15">
        <v>0</v>
      </c>
      <c r="J878" s="15">
        <v>2</v>
      </c>
      <c r="K878" s="12" t="str">
        <f>HYPERLINK("https://mobile.twitter.com","Twitter Web App")</f>
        <v>Twitter Web App</v>
      </c>
      <c r="L878" s="16">
        <v>204</v>
      </c>
      <c r="M878" s="16">
        <v>186</v>
      </c>
      <c r="N878" s="16">
        <v>0</v>
      </c>
      <c r="O878" s="17"/>
      <c r="P878" s="18">
        <v>42012.166493055556</v>
      </c>
      <c r="Q878" s="7" t="s">
        <v>7031</v>
      </c>
      <c r="R878" s="21" t="s">
        <v>7032</v>
      </c>
      <c r="S878" s="7"/>
      <c r="T878" s="8"/>
      <c r="U878" s="19" t="str">
        <f>HYPERLINK("https://pbs.twimg.com/profile_images/1178815198658023424/RpESOsgv.jpg","View")</f>
        <v>View</v>
      </c>
      <c r="V878" s="8"/>
      <c r="W878" s="8"/>
      <c r="X878" s="8"/>
      <c r="Y878" s="8"/>
      <c r="Z878" s="8"/>
    </row>
    <row r="879" spans="1:26" ht="12.75">
      <c r="A879" s="11">
        <v>43747.294988425929</v>
      </c>
      <c r="B879" s="12" t="str">
        <f>HYPERLINK("https://twitter.com/Avc65618020","@Avc65618020")</f>
        <v>@Avc65618020</v>
      </c>
      <c r="C879" s="7" t="s">
        <v>7043</v>
      </c>
      <c r="D879" s="7" t="s">
        <v>7044</v>
      </c>
      <c r="E879" s="12" t="str">
        <f>HYPERLINK("https://twitter.com/Avc65618020/status/1181933529753640960","1181933529753640960")</f>
        <v>1181933529753640960</v>
      </c>
      <c r="F879" s="15"/>
      <c r="G879" s="14" t="s">
        <v>7045</v>
      </c>
      <c r="H879" s="8"/>
      <c r="I879" s="15">
        <v>0</v>
      </c>
      <c r="J879" s="15">
        <v>0</v>
      </c>
      <c r="K879" s="12" t="str">
        <f>HYPERLINK("http://twitter.com/download/android","Twitter for Android")</f>
        <v>Twitter for Android</v>
      </c>
      <c r="L879" s="16">
        <v>139</v>
      </c>
      <c r="M879" s="16">
        <v>492</v>
      </c>
      <c r="N879" s="16">
        <v>0</v>
      </c>
      <c r="O879" s="17"/>
      <c r="P879" s="18">
        <v>43693.600428240738</v>
      </c>
      <c r="Q879" s="7"/>
      <c r="R879" s="7" t="s">
        <v>7046</v>
      </c>
      <c r="S879" s="15"/>
      <c r="T879" s="8"/>
      <c r="U879" s="19" t="str">
        <f>HYPERLINK("https://pbs.twimg.com/profile_images/1162482739527987200/d64FrUz2.jpg","View")</f>
        <v>View</v>
      </c>
      <c r="V879" s="8"/>
      <c r="W879" s="8"/>
      <c r="X879" s="8"/>
      <c r="Y879" s="8"/>
      <c r="Z879" s="8"/>
    </row>
    <row r="880" spans="1:26" ht="12.75">
      <c r="A880" s="11">
        <v>43747.294988425929</v>
      </c>
      <c r="B880" s="12" t="str">
        <f>HYPERLINK("https://twitter.com/esrasaglm","@esrasaglm")</f>
        <v>@esrasaglm</v>
      </c>
      <c r="C880" s="7" t="s">
        <v>7047</v>
      </c>
      <c r="D880" s="7" t="s">
        <v>7048</v>
      </c>
      <c r="E880" s="12" t="str">
        <f>HYPERLINK("https://twitter.com/esrasaglm/status/1181933529481043970","1181933529481043970")</f>
        <v>1181933529481043970</v>
      </c>
      <c r="F880" s="14" t="s">
        <v>7049</v>
      </c>
      <c r="G880" s="14" t="s">
        <v>7051</v>
      </c>
      <c r="H880" s="8"/>
      <c r="I880" s="15">
        <v>4</v>
      </c>
      <c r="J880" s="15">
        <v>5</v>
      </c>
      <c r="K880" s="12" t="str">
        <f>HYPERLINK("http://twitter.com/download/android","Twitter for Android")</f>
        <v>Twitter for Android</v>
      </c>
      <c r="L880" s="16">
        <v>213</v>
      </c>
      <c r="M880" s="16">
        <v>32</v>
      </c>
      <c r="N880" s="16">
        <v>0</v>
      </c>
      <c r="O880" s="17"/>
      <c r="P880" s="18">
        <v>43077.463344907403</v>
      </c>
      <c r="Q880" s="13" t="s">
        <v>7053</v>
      </c>
      <c r="R880" s="13" t="s">
        <v>7054</v>
      </c>
      <c r="S880" s="14" t="s">
        <v>7055</v>
      </c>
      <c r="T880" s="8"/>
      <c r="U880" s="19" t="str">
        <f>HYPERLINK("https://pbs.twimg.com/profile_images/1181662985179336712/U8WuZyF1.jpg","View")</f>
        <v>View</v>
      </c>
      <c r="V880" s="8"/>
      <c r="W880" s="8"/>
      <c r="X880" s="8"/>
      <c r="Y880" s="8"/>
      <c r="Z880" s="8"/>
    </row>
    <row r="881" spans="1:26" ht="12.75">
      <c r="A881" s="11">
        <v>43747.294942129629</v>
      </c>
      <c r="B881" s="12" t="str">
        <f>HYPERLINK("https://twitter.com/rhea5ilvia","@rhea5ilvia")</f>
        <v>@rhea5ilvia</v>
      </c>
      <c r="C881" s="7" t="s">
        <v>7065</v>
      </c>
      <c r="D881" s="7" t="s">
        <v>7066</v>
      </c>
      <c r="E881" s="12" t="str">
        <f>HYPERLINK("https://twitter.com/rhea5ilvia/status/1181933514360524801","1181933514360524801")</f>
        <v>1181933514360524801</v>
      </c>
      <c r="F881" s="14" t="s">
        <v>5824</v>
      </c>
      <c r="G881" s="7"/>
      <c r="H881" s="8"/>
      <c r="I881" s="15">
        <v>2</v>
      </c>
      <c r="J881" s="15">
        <v>3</v>
      </c>
      <c r="K881" s="12" t="str">
        <f>HYPERLINK("http://twitter.com/download/iphone","Twitter for iPhone")</f>
        <v>Twitter for iPhone</v>
      </c>
      <c r="L881" s="16">
        <v>105</v>
      </c>
      <c r="M881" s="16">
        <v>350</v>
      </c>
      <c r="N881" s="16">
        <v>0</v>
      </c>
      <c r="O881" s="17"/>
      <c r="P881" s="18">
        <v>42695.779675925922</v>
      </c>
      <c r="Q881" s="7" t="s">
        <v>7069</v>
      </c>
      <c r="R881" s="7" t="s">
        <v>7070</v>
      </c>
      <c r="S881" s="14" t="s">
        <v>7071</v>
      </c>
      <c r="T881" s="8"/>
      <c r="U881" s="19" t="str">
        <f>HYPERLINK("https://pbs.twimg.com/profile_images/970344500999655424/LiTsx2xd.jpg","View")</f>
        <v>View</v>
      </c>
      <c r="V881" s="8"/>
      <c r="W881" s="8"/>
      <c r="X881" s="8"/>
      <c r="Y881" s="8"/>
      <c r="Z881" s="8"/>
    </row>
    <row r="882" spans="1:26" ht="12.75">
      <c r="A882" s="11">
        <v>43747.294930555552</v>
      </c>
      <c r="B882" s="12" t="str">
        <f>HYPERLINK("https://twitter.com/nukleerbaris","@nukleerbaris")</f>
        <v>@nukleerbaris</v>
      </c>
      <c r="C882" s="7" t="s">
        <v>7077</v>
      </c>
      <c r="D882" s="7" t="s">
        <v>7078</v>
      </c>
      <c r="E882" s="12" t="str">
        <f>HYPERLINK("https://twitter.com/nukleerbaris/status/1181933508601810945","1181933508601810945")</f>
        <v>1181933508601810945</v>
      </c>
      <c r="F882" s="8"/>
      <c r="G882" s="15"/>
      <c r="H882" s="8"/>
      <c r="I882" s="15">
        <v>0</v>
      </c>
      <c r="J882" s="15">
        <v>1</v>
      </c>
      <c r="K882" s="12" t="str">
        <f>HYPERLINK("http://twitter.com/download/iphone","Twitter for iPhone")</f>
        <v>Twitter for iPhone</v>
      </c>
      <c r="L882" s="16">
        <v>9010</v>
      </c>
      <c r="M882" s="16">
        <v>5130</v>
      </c>
      <c r="N882" s="16">
        <v>10</v>
      </c>
      <c r="O882" s="17"/>
      <c r="P882" s="18">
        <v>40432.537881944445</v>
      </c>
      <c r="Q882" s="7" t="s">
        <v>2563</v>
      </c>
      <c r="R882" s="7" t="s">
        <v>7079</v>
      </c>
      <c r="S882" s="7"/>
      <c r="T882" s="8"/>
      <c r="U882" s="19" t="str">
        <f>HYPERLINK("https://pbs.twimg.com/profile_images/1177899345888366592/q1x33JFA.jpg","View")</f>
        <v>View</v>
      </c>
      <c r="V882" s="8"/>
      <c r="W882" s="8"/>
      <c r="X882" s="8"/>
      <c r="Y882" s="8"/>
      <c r="Z882" s="8"/>
    </row>
    <row r="883" spans="1:26" ht="12.75">
      <c r="A883" s="11">
        <v>43747.294895833329</v>
      </c>
      <c r="B883" s="12" t="str">
        <f>HYPERLINK("https://twitter.com/KYazanlar","@KYazanlar")</f>
        <v>@KYazanlar</v>
      </c>
      <c r="C883" s="7" t="s">
        <v>7080</v>
      </c>
      <c r="D883" s="7" t="s">
        <v>7081</v>
      </c>
      <c r="E883" s="12" t="str">
        <f>HYPERLINK("https://twitter.com/KYazanlar/status/1181933496530558976","1181933496530558976")</f>
        <v>1181933496530558976</v>
      </c>
      <c r="F883" s="15"/>
      <c r="G883" s="14" t="s">
        <v>7082</v>
      </c>
      <c r="H883" s="8"/>
      <c r="I883" s="15">
        <v>0</v>
      </c>
      <c r="J883" s="15">
        <v>1</v>
      </c>
      <c r="K883" s="12" t="str">
        <f>HYPERLINK("http://twitter.com/download/iphone","Twitter for iPhone")</f>
        <v>Twitter for iPhone</v>
      </c>
      <c r="L883" s="16">
        <v>49</v>
      </c>
      <c r="M883" s="16">
        <v>252</v>
      </c>
      <c r="N883" s="16">
        <v>0</v>
      </c>
      <c r="O883" s="17"/>
      <c r="P883" s="18">
        <v>41193.496064814812</v>
      </c>
      <c r="Q883" s="7" t="s">
        <v>7085</v>
      </c>
      <c r="R883" s="7" t="s">
        <v>7086</v>
      </c>
      <c r="S883" s="14" t="s">
        <v>7087</v>
      </c>
      <c r="T883" s="8"/>
      <c r="U883" s="19" t="str">
        <f>HYPERLINK("https://pbs.twimg.com/profile_images/1138873261100556289/GwKzaRce.jpg","View")</f>
        <v>View</v>
      </c>
      <c r="V883" s="8"/>
      <c r="W883" s="8"/>
      <c r="X883" s="8"/>
      <c r="Y883" s="8"/>
      <c r="Z883" s="8"/>
    </row>
    <row r="884" spans="1:26" ht="12.75">
      <c r="A884" s="11">
        <v>43747.29488425926</v>
      </c>
      <c r="B884" s="12" t="str">
        <f>HYPERLINK("https://twitter.com/muratbirsan","@muratbirsan")</f>
        <v>@muratbirsan</v>
      </c>
      <c r="C884" s="7" t="s">
        <v>7089</v>
      </c>
      <c r="D884" s="7" t="s">
        <v>7090</v>
      </c>
      <c r="E884" s="12" t="str">
        <f>HYPERLINK("https://twitter.com/muratbirsan/status/1181933491094790144","1181933491094790144")</f>
        <v>1181933491094790144</v>
      </c>
      <c r="F884" s="8"/>
      <c r="G884" s="15"/>
      <c r="H884" s="8"/>
      <c r="I884" s="15">
        <v>0</v>
      </c>
      <c r="J884" s="15">
        <v>1</v>
      </c>
      <c r="K884" s="12" t="str">
        <f>HYPERLINK("http://twitter.com/download/android","Twitter for Android")</f>
        <v>Twitter for Android</v>
      </c>
      <c r="L884" s="16">
        <v>411</v>
      </c>
      <c r="M884" s="16">
        <v>1061</v>
      </c>
      <c r="N884" s="16">
        <v>0</v>
      </c>
      <c r="O884" s="17"/>
      <c r="P884" s="18">
        <v>40424.432118055556</v>
      </c>
      <c r="Q884" s="7"/>
      <c r="R884" s="7"/>
      <c r="S884" s="15"/>
      <c r="T884" s="8"/>
      <c r="U884" s="19" t="str">
        <f>HYPERLINK("https://pbs.twimg.com/profile_images/1009802957750226945/pr_72Gc8.jpg","View")</f>
        <v>View</v>
      </c>
      <c r="V884" s="8"/>
      <c r="W884" s="8"/>
      <c r="X884" s="8"/>
      <c r="Y884" s="8"/>
      <c r="Z884" s="8"/>
    </row>
    <row r="885" spans="1:26" ht="12.75">
      <c r="A885" s="11">
        <v>43747.29487268519</v>
      </c>
      <c r="B885" s="12" t="str">
        <f>HYPERLINK("https://twitter.com/dtrumpreally","@dtrumpreally")</f>
        <v>@dtrumpreally</v>
      </c>
      <c r="C885" s="7" t="s">
        <v>7091</v>
      </c>
      <c r="D885" s="7" t="s">
        <v>7092</v>
      </c>
      <c r="E885" s="12" t="str">
        <f>HYPERLINK("https://twitter.com/dtrumpreally/status/1181933490125905921","1181933490125905921")</f>
        <v>1181933490125905921</v>
      </c>
      <c r="F885" s="8" t="s">
        <v>7093</v>
      </c>
      <c r="G885" s="14" t="s">
        <v>7094</v>
      </c>
      <c r="H885" s="8"/>
      <c r="I885" s="15">
        <v>0</v>
      </c>
      <c r="J885" s="15">
        <v>0</v>
      </c>
      <c r="K885" s="12" t="str">
        <f>HYPERLINK("http://twitter.com/download/iphone","Twitter for iPhone")</f>
        <v>Twitter for iPhone</v>
      </c>
      <c r="L885" s="16">
        <v>133</v>
      </c>
      <c r="M885" s="16">
        <v>1247</v>
      </c>
      <c r="N885" s="16">
        <v>3</v>
      </c>
      <c r="O885" s="17"/>
      <c r="P885" s="18">
        <v>42729.065092592587</v>
      </c>
      <c r="Q885" s="7"/>
      <c r="R885" s="7" t="s">
        <v>7099</v>
      </c>
      <c r="S885" s="7"/>
      <c r="T885" s="8"/>
      <c r="U885" s="19" t="str">
        <f>HYPERLINK("https://pbs.twimg.com/profile_images/1038889167185436672/PwNToudA.jpg","View")</f>
        <v>View</v>
      </c>
      <c r="V885" s="8"/>
      <c r="W885" s="8"/>
      <c r="X885" s="8"/>
      <c r="Y885" s="8"/>
      <c r="Z885" s="8"/>
    </row>
    <row r="886" spans="1:26" ht="12.75">
      <c r="A886" s="11">
        <v>43747.294837962967</v>
      </c>
      <c r="B886" s="12" t="str">
        <f>HYPERLINK("https://twitter.com/Abdulhay000","@Abdulhay000")</f>
        <v>@Abdulhay000</v>
      </c>
      <c r="C886" s="7" t="s">
        <v>7100</v>
      </c>
      <c r="D886" s="7" t="s">
        <v>7101</v>
      </c>
      <c r="E886" s="12" t="str">
        <f>HYPERLINK("https://twitter.com/Abdulhay000/status/1181933476758593538","1181933476758593538")</f>
        <v>1181933476758593538</v>
      </c>
      <c r="F886" s="14" t="s">
        <v>7102</v>
      </c>
      <c r="G886" s="15"/>
      <c r="H886" s="8"/>
      <c r="I886" s="15">
        <v>0</v>
      </c>
      <c r="J886" s="15">
        <v>0</v>
      </c>
      <c r="K886" s="12" t="str">
        <f>HYPERLINK("https://mobile.twitter.com","Twitter Web App")</f>
        <v>Twitter Web App</v>
      </c>
      <c r="L886" s="16">
        <v>157</v>
      </c>
      <c r="M886" s="16">
        <v>241</v>
      </c>
      <c r="N886" s="16">
        <v>0</v>
      </c>
      <c r="O886" s="17"/>
      <c r="P886" s="18">
        <v>42984.459988425922</v>
      </c>
      <c r="Q886" s="7"/>
      <c r="R886" s="7" t="s">
        <v>7103</v>
      </c>
      <c r="S886" s="7"/>
      <c r="T886" s="8"/>
      <c r="U886" s="19" t="str">
        <f>HYPERLINK("https://pbs.twimg.com/profile_images/905511816385748997/OLFRi1XD.jpg","View")</f>
        <v>View</v>
      </c>
      <c r="V886" s="8"/>
      <c r="W886" s="8"/>
      <c r="X886" s="8"/>
      <c r="Y886" s="8"/>
      <c r="Z886" s="8"/>
    </row>
    <row r="887" spans="1:26" ht="12.75">
      <c r="A887" s="11">
        <v>43747.294837962967</v>
      </c>
      <c r="B887" s="12" t="str">
        <f>HYPERLINK("https://twitter.com/Beowuulf","@Beowuulf")</f>
        <v>@Beowuulf</v>
      </c>
      <c r="C887" s="7" t="s">
        <v>5892</v>
      </c>
      <c r="D887" s="7" t="s">
        <v>7106</v>
      </c>
      <c r="E887" s="12" t="str">
        <f>HYPERLINK("https://twitter.com/Beowuulf/status/1181933475710066688","1181933475710066688")</f>
        <v>1181933475710066688</v>
      </c>
      <c r="F887" s="15"/>
      <c r="G887" s="7"/>
      <c r="H887" s="8"/>
      <c r="I887" s="15">
        <v>0</v>
      </c>
      <c r="J887" s="15">
        <v>3</v>
      </c>
      <c r="K887" s="12" t="str">
        <f>HYPERLINK("http://twitter.com/download/android","Twitter for Android")</f>
        <v>Twitter for Android</v>
      </c>
      <c r="L887" s="16">
        <v>869</v>
      </c>
      <c r="M887" s="16">
        <v>255</v>
      </c>
      <c r="N887" s="16">
        <v>2</v>
      </c>
      <c r="O887" s="17"/>
      <c r="P887" s="18">
        <v>41611.478090277778</v>
      </c>
      <c r="Q887" s="7" t="s">
        <v>287</v>
      </c>
      <c r="R887" s="7"/>
      <c r="S887" s="15"/>
      <c r="T887" s="8"/>
      <c r="U887" s="19" t="str">
        <f>HYPERLINK("https://pbs.twimg.com/profile_images/1172994307256737793/b-fYVhTv.jpg","View")</f>
        <v>View</v>
      </c>
      <c r="V887" s="8"/>
      <c r="W887" s="8"/>
      <c r="X887" s="8"/>
      <c r="Y887" s="8"/>
      <c r="Z887" s="8"/>
    </row>
    <row r="888" spans="1:26" ht="12.75">
      <c r="A888" s="11">
        <v>43747.294791666667</v>
      </c>
      <c r="B888" s="12" t="str">
        <f>HYPERLINK("https://twitter.com/ahmethakkoguz","@ahmethakkoguz")</f>
        <v>@ahmethakkoguz</v>
      </c>
      <c r="C888" s="7" t="s">
        <v>7111</v>
      </c>
      <c r="D888" s="7" t="s">
        <v>7112</v>
      </c>
      <c r="E888" s="12" t="str">
        <f>HYPERLINK("https://twitter.com/ahmethakkoguz/status/1181933458068824064","1181933458068824064")</f>
        <v>1181933458068824064</v>
      </c>
      <c r="F888" s="8"/>
      <c r="G888" s="15"/>
      <c r="H888" s="8"/>
      <c r="I888" s="15">
        <v>0</v>
      </c>
      <c r="J888" s="15">
        <v>0</v>
      </c>
      <c r="K888" s="12" t="str">
        <f>HYPERLINK("http://twitter.com/download/iphone","Twitter for iPhone")</f>
        <v>Twitter for iPhone</v>
      </c>
      <c r="L888" s="16">
        <v>181</v>
      </c>
      <c r="M888" s="16">
        <v>328</v>
      </c>
      <c r="N888" s="16">
        <v>2</v>
      </c>
      <c r="O888" s="17"/>
      <c r="P888" s="18">
        <v>40698.444618055553</v>
      </c>
      <c r="Q888" s="7" t="s">
        <v>313</v>
      </c>
      <c r="R888" s="7" t="s">
        <v>7114</v>
      </c>
      <c r="S888" s="15"/>
      <c r="T888" s="8"/>
      <c r="U888" s="19" t="str">
        <f>HYPERLINK("https://pbs.twimg.com/profile_images/1163408056723656704/hZSfGln_.jpg","View")</f>
        <v>View</v>
      </c>
      <c r="V888" s="8"/>
      <c r="W888" s="8"/>
      <c r="X888" s="8"/>
      <c r="Y888" s="8"/>
      <c r="Z888" s="8"/>
    </row>
    <row r="889" spans="1:26" ht="12.75">
      <c r="A889" s="11">
        <v>43747.294791666667</v>
      </c>
      <c r="B889" s="12" t="str">
        <f>HYPERLINK("https://twitter.com/YagizMertUgurlu","@YagizMertUgurlu")</f>
        <v>@YagizMertUgurlu</v>
      </c>
      <c r="C889" s="7" t="s">
        <v>7116</v>
      </c>
      <c r="D889" s="7" t="s">
        <v>7117</v>
      </c>
      <c r="E889" s="12" t="str">
        <f>HYPERLINK("https://twitter.com/YagizMertUgurlu/status/1181933457284517889","1181933457284517889")</f>
        <v>1181933457284517889</v>
      </c>
      <c r="F889" s="8"/>
      <c r="G889" s="14" t="s">
        <v>7118</v>
      </c>
      <c r="H889" s="8"/>
      <c r="I889" s="15">
        <v>0</v>
      </c>
      <c r="J889" s="15">
        <v>0</v>
      </c>
      <c r="K889" s="12" t="str">
        <f>HYPERLINK("http://twitter.com/download/android","Twitter for Android")</f>
        <v>Twitter for Android</v>
      </c>
      <c r="L889" s="16">
        <v>21</v>
      </c>
      <c r="M889" s="16">
        <v>73</v>
      </c>
      <c r="N889" s="16">
        <v>0</v>
      </c>
      <c r="O889" s="17"/>
      <c r="P889" s="18">
        <v>41923.481736111113</v>
      </c>
      <c r="Q889" s="7"/>
      <c r="R889" s="7" t="s">
        <v>7121</v>
      </c>
      <c r="S889" s="15"/>
      <c r="T889" s="8"/>
      <c r="U889" s="19" t="str">
        <f>HYPERLINK("https://pbs.twimg.com/profile_images/1138743858601353216/P8p-ZypH.jpg","View")</f>
        <v>View</v>
      </c>
      <c r="V889" s="8"/>
      <c r="W889" s="8"/>
      <c r="X889" s="8"/>
      <c r="Y889" s="8"/>
      <c r="Z889" s="8"/>
    </row>
    <row r="890" spans="1:26" ht="12.75">
      <c r="A890" s="11">
        <v>43747.294733796298</v>
      </c>
      <c r="B890" s="12" t="str">
        <f>HYPERLINK("https://twitter.com/kyadem61","@kyadem61")</f>
        <v>@kyadem61</v>
      </c>
      <c r="C890" s="7" t="s">
        <v>7124</v>
      </c>
      <c r="D890" s="7" t="s">
        <v>7125</v>
      </c>
      <c r="E890" s="12" t="str">
        <f>HYPERLINK("https://twitter.com/kyadem61/status/1181933439299260416","1181933439299260416")</f>
        <v>1181933439299260416</v>
      </c>
      <c r="F890" s="8"/>
      <c r="G890" s="14" t="s">
        <v>7126</v>
      </c>
      <c r="H890" s="8"/>
      <c r="I890" s="15">
        <v>0</v>
      </c>
      <c r="J890" s="15">
        <v>0</v>
      </c>
      <c r="K890" s="12" t="str">
        <f>HYPERLINK("http://twitter.com/download/android","Twitter for Android")</f>
        <v>Twitter for Android</v>
      </c>
      <c r="L890" s="16">
        <v>24</v>
      </c>
      <c r="M890" s="16">
        <v>119</v>
      </c>
      <c r="N890" s="16">
        <v>0</v>
      </c>
      <c r="O890" s="17"/>
      <c r="P890" s="18">
        <v>43572.856041666666</v>
      </c>
      <c r="Q890" s="7" t="s">
        <v>313</v>
      </c>
      <c r="R890" s="7" t="s">
        <v>807</v>
      </c>
      <c r="S890" s="7"/>
      <c r="T890" s="8"/>
      <c r="U890" s="19" t="str">
        <f>HYPERLINK("https://pbs.twimg.com/profile_images/1153109462904967168/9VfmPb_o.jpg","View")</f>
        <v>View</v>
      </c>
      <c r="V890" s="8"/>
      <c r="W890" s="8"/>
      <c r="X890" s="8"/>
      <c r="Y890" s="8"/>
      <c r="Z890" s="8"/>
    </row>
    <row r="891" spans="1:26" ht="12.75">
      <c r="A891" s="11">
        <v>43747.294733796298</v>
      </c>
      <c r="B891" s="12" t="str">
        <f>HYPERLINK("https://twitter.com/hazalemiktr","@hazalemiktr")</f>
        <v>@hazalemiktr</v>
      </c>
      <c r="C891" s="7" t="s">
        <v>7129</v>
      </c>
      <c r="D891" s="7" t="s">
        <v>7130</v>
      </c>
      <c r="E891" s="12" t="str">
        <f>HYPERLINK("https://twitter.com/hazalemiktr/status/1181933435918659584","1181933435918659584")</f>
        <v>1181933435918659584</v>
      </c>
      <c r="F891" s="15"/>
      <c r="G891" s="14" t="s">
        <v>7131</v>
      </c>
      <c r="H891" s="8"/>
      <c r="I891" s="15">
        <v>0</v>
      </c>
      <c r="J891" s="15">
        <v>11</v>
      </c>
      <c r="K891" s="12" t="str">
        <f>HYPERLINK("http://twitter.com/download/android","Twitter for Android")</f>
        <v>Twitter for Android</v>
      </c>
      <c r="L891" s="16">
        <v>997</v>
      </c>
      <c r="M891" s="16">
        <v>1040</v>
      </c>
      <c r="N891" s="16">
        <v>0</v>
      </c>
      <c r="O891" s="17"/>
      <c r="P891" s="18">
        <v>42914.462592592594</v>
      </c>
      <c r="Q891" s="7" t="s">
        <v>313</v>
      </c>
      <c r="R891" s="7" t="s">
        <v>7135</v>
      </c>
      <c r="S891" s="14" t="s">
        <v>7136</v>
      </c>
      <c r="T891" s="8"/>
      <c r="U891" s="19" t="str">
        <f>HYPERLINK("https://pbs.twimg.com/profile_images/1180197702451286016/TMbIDO8X.jpg","View")</f>
        <v>View</v>
      </c>
      <c r="V891" s="8"/>
      <c r="W891" s="8"/>
      <c r="X891" s="8"/>
      <c r="Y891" s="8"/>
      <c r="Z891" s="8"/>
    </row>
    <row r="892" spans="1:26" ht="12.75">
      <c r="A892" s="11">
        <v>43747.294722222221</v>
      </c>
      <c r="B892" s="12" t="str">
        <f>HYPERLINK("https://twitter.com/Ismail_Buhan","@Ismail_Buhan")</f>
        <v>@Ismail_Buhan</v>
      </c>
      <c r="C892" s="7" t="s">
        <v>7137</v>
      </c>
      <c r="D892" s="7" t="s">
        <v>7139</v>
      </c>
      <c r="E892" s="12" t="str">
        <f>HYPERLINK("https://twitter.com/Ismail_Buhan/status/1181933433376985089","1181933433376985089")</f>
        <v>1181933433376985089</v>
      </c>
      <c r="F892" s="8"/>
      <c r="G892" s="14" t="s">
        <v>7141</v>
      </c>
      <c r="H892" s="8"/>
      <c r="I892" s="15">
        <v>1</v>
      </c>
      <c r="J892" s="15">
        <v>2</v>
      </c>
      <c r="K892" s="12" t="str">
        <f>HYPERLINK("http://twitter.com/download/android","Twitter for Android")</f>
        <v>Twitter for Android</v>
      </c>
      <c r="L892" s="16">
        <v>273</v>
      </c>
      <c r="M892" s="16">
        <v>315</v>
      </c>
      <c r="N892" s="16">
        <v>0</v>
      </c>
      <c r="O892" s="17"/>
      <c r="P892" s="18">
        <v>41480.133657407408</v>
      </c>
      <c r="Q892" s="7" t="s">
        <v>7142</v>
      </c>
      <c r="R892" s="7" t="s">
        <v>7143</v>
      </c>
      <c r="S892" s="7"/>
      <c r="T892" s="8"/>
      <c r="U892" s="19" t="str">
        <f>HYPERLINK("https://pbs.twimg.com/profile_images/1016777831450374149/1soxuCH0.jpg","View")</f>
        <v>View</v>
      </c>
      <c r="V892" s="8"/>
      <c r="W892" s="8"/>
      <c r="X892" s="8"/>
      <c r="Y892" s="8"/>
      <c r="Z892" s="8"/>
    </row>
    <row r="893" spans="1:26" ht="12.75">
      <c r="A893" s="11">
        <v>43747.294710648144</v>
      </c>
      <c r="B893" s="12" t="str">
        <f>HYPERLINK("https://twitter.com/nailmirzacuneyt","@nailmirzacuneyt")</f>
        <v>@nailmirzacuneyt</v>
      </c>
      <c r="C893" s="7" t="s">
        <v>7146</v>
      </c>
      <c r="D893" s="7" t="s">
        <v>7147</v>
      </c>
      <c r="E893" s="12" t="str">
        <f>HYPERLINK("https://twitter.com/nailmirzacuneyt/status/1181933430319267840","1181933430319267840")</f>
        <v>1181933430319267840</v>
      </c>
      <c r="F893" s="8"/>
      <c r="G893" s="14" t="s">
        <v>7149</v>
      </c>
      <c r="H893" s="8"/>
      <c r="I893" s="15">
        <v>0</v>
      </c>
      <c r="J893" s="15">
        <v>0</v>
      </c>
      <c r="K893" s="12" t="str">
        <f>HYPERLINK("http://twitter.com/download/iphone","Twitter for iPhone")</f>
        <v>Twitter for iPhone</v>
      </c>
      <c r="L893" s="16">
        <v>139</v>
      </c>
      <c r="M893" s="16">
        <v>673</v>
      </c>
      <c r="N893" s="16">
        <v>0</v>
      </c>
      <c r="O893" s="17"/>
      <c r="P893" s="18">
        <v>40489.362997685181</v>
      </c>
      <c r="Q893" s="7" t="s">
        <v>7152</v>
      </c>
      <c r="R893" s="7" t="s">
        <v>7153</v>
      </c>
      <c r="S893" s="14" t="s">
        <v>7154</v>
      </c>
      <c r="T893" s="8"/>
      <c r="U893" s="19" t="str">
        <f>HYPERLINK("https://pbs.twimg.com/profile_images/1151060617559793670/aSmhhihT.jpg","View")</f>
        <v>View</v>
      </c>
      <c r="V893" s="8"/>
      <c r="W893" s="8"/>
      <c r="X893" s="8"/>
      <c r="Y893" s="8"/>
      <c r="Z893" s="8"/>
    </row>
    <row r="894" spans="1:26" ht="12.75">
      <c r="A894" s="11">
        <v>43747.294699074075</v>
      </c>
      <c r="B894" s="12" t="str">
        <f>HYPERLINK("https://twitter.com/snnyldz41","@snnyldz41")</f>
        <v>@snnyldz41</v>
      </c>
      <c r="C894" s="7" t="s">
        <v>7156</v>
      </c>
      <c r="D894" s="7" t="s">
        <v>7157</v>
      </c>
      <c r="E894" s="12" t="str">
        <f>HYPERLINK("https://twitter.com/snnyldz41/status/1181933425378373633","1181933425378373633")</f>
        <v>1181933425378373633</v>
      </c>
      <c r="F894" s="8"/>
      <c r="G894" s="14" t="s">
        <v>7159</v>
      </c>
      <c r="H894" s="8"/>
      <c r="I894" s="15">
        <v>6</v>
      </c>
      <c r="J894" s="15">
        <v>15</v>
      </c>
      <c r="K894" s="12" t="str">
        <f>HYPERLINK("https://mobile.twitter.com","Twitter Web App")</f>
        <v>Twitter Web App</v>
      </c>
      <c r="L894" s="16">
        <v>12454</v>
      </c>
      <c r="M894" s="16">
        <v>12881</v>
      </c>
      <c r="N894" s="16">
        <v>5</v>
      </c>
      <c r="O894" s="17"/>
      <c r="P894" s="18">
        <v>40581.415891203702</v>
      </c>
      <c r="Q894" s="7" t="s">
        <v>7160</v>
      </c>
      <c r="R894" s="7" t="s">
        <v>7161</v>
      </c>
      <c r="S894" s="7"/>
      <c r="T894" s="8"/>
      <c r="U894" s="19" t="str">
        <f>HYPERLINK("https://pbs.twimg.com/profile_images/1158330240608940032/Z60lMsAI.png","View")</f>
        <v>View</v>
      </c>
      <c r="V894" s="8"/>
      <c r="W894" s="8"/>
      <c r="X894" s="8"/>
      <c r="Y894" s="8"/>
      <c r="Z894" s="8"/>
    </row>
    <row r="895" spans="1:26" ht="12.75">
      <c r="A895" s="11">
        <v>43747.294699074075</v>
      </c>
      <c r="B895" s="12" t="str">
        <f>HYPERLINK("https://twitter.com/cagridurak","@cagridurak")</f>
        <v>@cagridurak</v>
      </c>
      <c r="C895" s="7" t="s">
        <v>7166</v>
      </c>
      <c r="D895" s="7" t="s">
        <v>7167</v>
      </c>
      <c r="E895" s="12" t="str">
        <f>HYPERLINK("https://twitter.com/cagridurak/status/1181933424484999171","1181933424484999171")</f>
        <v>1181933424484999171</v>
      </c>
      <c r="F895" s="8"/>
      <c r="G895" s="14" t="s">
        <v>7168</v>
      </c>
      <c r="H895" s="8"/>
      <c r="I895" s="15">
        <v>0</v>
      </c>
      <c r="J895" s="15">
        <v>0</v>
      </c>
      <c r="K895" s="12" t="str">
        <f>HYPERLINK("http://twitter.com/download/android","Twitter for Android")</f>
        <v>Twitter for Android</v>
      </c>
      <c r="L895" s="16">
        <v>362</v>
      </c>
      <c r="M895" s="16">
        <v>64</v>
      </c>
      <c r="N895" s="16">
        <v>1</v>
      </c>
      <c r="O895" s="17"/>
      <c r="P895" s="18">
        <v>40101.582546296297</v>
      </c>
      <c r="Q895" s="7" t="s">
        <v>576</v>
      </c>
      <c r="R895" s="7" t="s">
        <v>7171</v>
      </c>
      <c r="S895" s="15"/>
      <c r="T895" s="8"/>
      <c r="U895" s="19" t="str">
        <f>HYPERLINK("https://pbs.twimg.com/profile_images/1054670331439468544/0d88Dbyq.jpg","View")</f>
        <v>View</v>
      </c>
      <c r="V895" s="8"/>
      <c r="W895" s="8"/>
      <c r="X895" s="8"/>
      <c r="Y895" s="8"/>
      <c r="Z895" s="8"/>
    </row>
    <row r="896" spans="1:26" ht="12.75">
      <c r="A896" s="11">
        <v>43747.294641203705</v>
      </c>
      <c r="B896" s="12" t="str">
        <f>HYPERLINK("https://twitter.com/receptzman","@receptzman")</f>
        <v>@receptzman</v>
      </c>
      <c r="C896" s="7" t="s">
        <v>7176</v>
      </c>
      <c r="D896" s="7" t="s">
        <v>7177</v>
      </c>
      <c r="E896" s="12" t="str">
        <f>HYPERLINK("https://twitter.com/receptzman/status/1181933405291864064","1181933405291864064")</f>
        <v>1181933405291864064</v>
      </c>
      <c r="F896" s="8"/>
      <c r="G896" s="14" t="s">
        <v>7178</v>
      </c>
      <c r="H896" s="8"/>
      <c r="I896" s="15">
        <v>2</v>
      </c>
      <c r="J896" s="15">
        <v>6</v>
      </c>
      <c r="K896" s="12" t="str">
        <f>HYPERLINK("http://twitter.com/download/android","Twitter for Android")</f>
        <v>Twitter for Android</v>
      </c>
      <c r="L896" s="16">
        <v>67</v>
      </c>
      <c r="M896" s="16">
        <v>86</v>
      </c>
      <c r="N896" s="16">
        <v>0</v>
      </c>
      <c r="O896" s="17"/>
      <c r="P896" s="18">
        <v>43633.024768518517</v>
      </c>
      <c r="Q896" s="7"/>
      <c r="R896" s="7" t="s">
        <v>807</v>
      </c>
      <c r="S896" s="7"/>
      <c r="T896" s="8"/>
      <c r="U896" s="19" t="str">
        <f>HYPERLINK("https://pbs.twimg.com/profile_images/1161996652842037248/XL_eDPCN.jpg","View")</f>
        <v>View</v>
      </c>
      <c r="V896" s="8"/>
      <c r="W896" s="8"/>
      <c r="X896" s="8"/>
      <c r="Y896" s="8"/>
      <c r="Z896" s="8"/>
    </row>
    <row r="897" spans="1:26" ht="12.75">
      <c r="A897" s="11">
        <v>43747.294641203705</v>
      </c>
      <c r="B897" s="12" t="str">
        <f>HYPERLINK("https://twitter.com/gazeteortadogu","@gazeteortadogu")</f>
        <v>@gazeteortadogu</v>
      </c>
      <c r="C897" s="7" t="s">
        <v>7181</v>
      </c>
      <c r="D897" s="7" t="s">
        <v>7182</v>
      </c>
      <c r="E897" s="12" t="str">
        <f>HYPERLINK("https://twitter.com/gazeteortadogu/status/1181933403853205506","1181933403853205506")</f>
        <v>1181933403853205506</v>
      </c>
      <c r="F897" s="8"/>
      <c r="G897" s="14" t="s">
        <v>6085</v>
      </c>
      <c r="H897" s="8"/>
      <c r="I897" s="15">
        <v>4</v>
      </c>
      <c r="J897" s="15">
        <v>14</v>
      </c>
      <c r="K897" s="12" t="str">
        <f>HYPERLINK("https://mobile.twitter.com","Twitter Web App")</f>
        <v>Twitter Web App</v>
      </c>
      <c r="L897" s="16">
        <v>83335</v>
      </c>
      <c r="M897" s="16">
        <v>3</v>
      </c>
      <c r="N897" s="16">
        <v>164</v>
      </c>
      <c r="O897" s="17"/>
      <c r="P897" s="18">
        <v>40952.279791666668</v>
      </c>
      <c r="Q897" s="7" t="s">
        <v>313</v>
      </c>
      <c r="R897" s="7" t="s">
        <v>7185</v>
      </c>
      <c r="S897" s="14" t="s">
        <v>7186</v>
      </c>
      <c r="T897" s="8"/>
      <c r="U897" s="19" t="str">
        <f>HYPERLINK("https://pbs.twimg.com/profile_images/1039476684335005696/KPq-_UPo.jpg","View")</f>
        <v>View</v>
      </c>
      <c r="V897" s="8"/>
      <c r="W897" s="8"/>
      <c r="X897" s="8"/>
      <c r="Y897" s="8"/>
      <c r="Z897" s="8"/>
    </row>
    <row r="898" spans="1:26" ht="12.75">
      <c r="A898" s="11">
        <v>43747.294629629629</v>
      </c>
      <c r="B898" s="12" t="str">
        <f>HYPERLINK("https://twitter.com/islamiBuluslar","@islamiBuluslar")</f>
        <v>@islamiBuluslar</v>
      </c>
      <c r="C898" s="7" t="s">
        <v>7190</v>
      </c>
      <c r="D898" s="7" t="s">
        <v>7191</v>
      </c>
      <c r="E898" s="12" t="str">
        <f>HYPERLINK("https://twitter.com/islamiBuluslar/status/1181933399654748160","1181933399654748160")</f>
        <v>1181933399654748160</v>
      </c>
      <c r="F898" s="14" t="s">
        <v>7193</v>
      </c>
      <c r="G898" s="14" t="s">
        <v>7195</v>
      </c>
      <c r="H898" s="8"/>
      <c r="I898" s="15">
        <v>4</v>
      </c>
      <c r="J898" s="15">
        <v>5</v>
      </c>
      <c r="K898" s="12" t="str">
        <f>HYPERLINK("http://twitter.com/download/android","Twitter for Android")</f>
        <v>Twitter for Android</v>
      </c>
      <c r="L898" s="16">
        <v>96228</v>
      </c>
      <c r="M898" s="16">
        <v>46</v>
      </c>
      <c r="N898" s="16">
        <v>179</v>
      </c>
      <c r="O898" s="17"/>
      <c r="P898" s="18">
        <v>42363.787858796291</v>
      </c>
      <c r="Q898" s="7" t="s">
        <v>80</v>
      </c>
      <c r="R898" s="7" t="s">
        <v>7196</v>
      </c>
      <c r="S898" s="14" t="s">
        <v>7197</v>
      </c>
      <c r="T898" s="8"/>
      <c r="U898" s="19" t="str">
        <f>HYPERLINK("https://pbs.twimg.com/profile_images/1148729024463724544/NjAAkonR.jpg","View")</f>
        <v>View</v>
      </c>
      <c r="V898" s="8"/>
      <c r="W898" s="8"/>
      <c r="X898" s="8"/>
      <c r="Y898" s="8"/>
      <c r="Z898" s="8"/>
    </row>
    <row r="899" spans="1:26" ht="12.75">
      <c r="A899" s="11">
        <v>43747.294618055559</v>
      </c>
      <c r="B899" s="12" t="str">
        <f>HYPERLINK("https://twitter.com/ugrbcr1","@ugrbcr1")</f>
        <v>@ugrbcr1</v>
      </c>
      <c r="C899" s="7" t="s">
        <v>7199</v>
      </c>
      <c r="D899" s="7" t="s">
        <v>7200</v>
      </c>
      <c r="E899" s="12" t="str">
        <f>HYPERLINK("https://twitter.com/ugrbcr1/status/1181933396685131777","1181933396685131777")</f>
        <v>1181933396685131777</v>
      </c>
      <c r="F899" s="8"/>
      <c r="G899" s="7"/>
      <c r="H899" s="8"/>
      <c r="I899" s="15">
        <v>3</v>
      </c>
      <c r="J899" s="15">
        <v>3</v>
      </c>
      <c r="K899" s="12" t="str">
        <f>HYPERLINK("http://twitter.com/download/android","Twitter for Android")</f>
        <v>Twitter for Android</v>
      </c>
      <c r="L899" s="16">
        <v>1118</v>
      </c>
      <c r="M899" s="16">
        <v>857</v>
      </c>
      <c r="N899" s="16">
        <v>2</v>
      </c>
      <c r="O899" s="17"/>
      <c r="P899" s="18">
        <v>42198.664571759262</v>
      </c>
      <c r="Q899" s="7"/>
      <c r="R899" s="7" t="s">
        <v>7202</v>
      </c>
      <c r="S899" s="15"/>
      <c r="T899" s="8"/>
      <c r="U899" s="19" t="str">
        <f>HYPERLINK("https://pbs.twimg.com/profile_images/1170217925153828864/VX4g1MrE.jpg","View")</f>
        <v>View</v>
      </c>
      <c r="V899" s="8"/>
      <c r="W899" s="8"/>
      <c r="X899" s="8"/>
      <c r="Y899" s="8"/>
      <c r="Z899" s="8"/>
    </row>
    <row r="900" spans="1:26" ht="12.75">
      <c r="A900" s="11">
        <v>43747.294606481482</v>
      </c>
      <c r="B900" s="12" t="str">
        <f>HYPERLINK("https://twitter.com/banukaraviran","@banukaraviran")</f>
        <v>@banukaraviran</v>
      </c>
      <c r="C900" s="7" t="s">
        <v>7204</v>
      </c>
      <c r="D900" s="7" t="s">
        <v>7205</v>
      </c>
      <c r="E900" s="12" t="str">
        <f>HYPERLINK("https://twitter.com/banukaraviran/status/1181933391849148418","1181933391849148418")</f>
        <v>1181933391849148418</v>
      </c>
      <c r="F900" s="15"/>
      <c r="G900" s="15"/>
      <c r="H900" s="8"/>
      <c r="I900" s="15">
        <v>0</v>
      </c>
      <c r="J900" s="15">
        <v>1</v>
      </c>
      <c r="K900" s="12" t="str">
        <f>HYPERLINK("http://twitter.com/download/android","Twitter for Android")</f>
        <v>Twitter for Android</v>
      </c>
      <c r="L900" s="16">
        <v>179</v>
      </c>
      <c r="M900" s="16">
        <v>465</v>
      </c>
      <c r="N900" s="16">
        <v>0</v>
      </c>
      <c r="O900" s="17"/>
      <c r="P900" s="18">
        <v>41166.337858796294</v>
      </c>
      <c r="Q900" s="7"/>
      <c r="R900" s="7" t="s">
        <v>7206</v>
      </c>
      <c r="S900" s="15"/>
      <c r="T900" s="8"/>
      <c r="U900" s="19" t="str">
        <f>HYPERLINK("https://pbs.twimg.com/profile_images/2610272217/ft5ci6dwjmysdohg2qs5.jpeg","View")</f>
        <v>View</v>
      </c>
      <c r="V900" s="8"/>
      <c r="W900" s="8"/>
      <c r="X900" s="8"/>
      <c r="Y900" s="8"/>
      <c r="Z900" s="8"/>
    </row>
    <row r="901" spans="1:26" ht="12.75">
      <c r="A901" s="11">
        <v>43747.294571759259</v>
      </c>
      <c r="B901" s="12" t="str">
        <f>HYPERLINK("https://twitter.com/Esmerpikachuu","@Esmerpikachuu")</f>
        <v>@Esmerpikachuu</v>
      </c>
      <c r="C901" s="7" t="s">
        <v>7210</v>
      </c>
      <c r="D901" s="7" t="s">
        <v>7211</v>
      </c>
      <c r="E901" s="12" t="str">
        <f>HYPERLINK("https://twitter.com/Esmerpikachuu/status/1181933380541308928","1181933380541308928")</f>
        <v>1181933380541308928</v>
      </c>
      <c r="F901" s="8"/>
      <c r="G901" s="14" t="s">
        <v>7212</v>
      </c>
      <c r="H901" s="8"/>
      <c r="I901" s="15">
        <v>0</v>
      </c>
      <c r="J901" s="15">
        <v>7</v>
      </c>
      <c r="K901" s="12" t="str">
        <f>HYPERLINK("http://twitter.com/download/android","Twitter for Android")</f>
        <v>Twitter for Android</v>
      </c>
      <c r="L901" s="16">
        <v>3519</v>
      </c>
      <c r="M901" s="16">
        <v>3290</v>
      </c>
      <c r="N901" s="16">
        <v>0</v>
      </c>
      <c r="O901" s="17"/>
      <c r="P901" s="18">
        <v>43543.186967592592</v>
      </c>
      <c r="Q901" s="7" t="s">
        <v>2050</v>
      </c>
      <c r="R901" s="7" t="s">
        <v>7213</v>
      </c>
      <c r="S901" s="14" t="s">
        <v>7214</v>
      </c>
      <c r="T901" s="8"/>
      <c r="U901" s="19" t="str">
        <f>HYPERLINK("https://pbs.twimg.com/profile_images/1175516186391515141/bGQ0H_y-.jpg","View")</f>
        <v>View</v>
      </c>
      <c r="V901" s="8"/>
      <c r="W901" s="8"/>
      <c r="X901" s="8"/>
      <c r="Y901" s="8"/>
      <c r="Z901" s="8"/>
    </row>
    <row r="902" spans="1:26" ht="12.75">
      <c r="A902" s="11">
        <v>43747.294560185182</v>
      </c>
      <c r="B902" s="12" t="str">
        <f>HYPERLINK("https://twitter.com/isgorenozz","@isgorenozz")</f>
        <v>@isgorenozz</v>
      </c>
      <c r="C902" s="7" t="s">
        <v>7217</v>
      </c>
      <c r="D902" s="7" t="s">
        <v>7218</v>
      </c>
      <c r="E902" s="12" t="str">
        <f>HYPERLINK("https://twitter.com/isgorenozz/status/1181933375956946944","1181933375956946944")</f>
        <v>1181933375956946944</v>
      </c>
      <c r="F902" s="8"/>
      <c r="G902" s="14" t="s">
        <v>7219</v>
      </c>
      <c r="H902" s="8"/>
      <c r="I902" s="15">
        <v>0</v>
      </c>
      <c r="J902" s="15">
        <v>1</v>
      </c>
      <c r="K902" s="12" t="str">
        <f>HYPERLINK("http://twitter.com/download/android","Twitter for Android")</f>
        <v>Twitter for Android</v>
      </c>
      <c r="L902" s="16">
        <v>0</v>
      </c>
      <c r="M902" s="16">
        <v>22</v>
      </c>
      <c r="N902" s="16">
        <v>0</v>
      </c>
      <c r="O902" s="17"/>
      <c r="P902" s="18">
        <v>43743.335405092592</v>
      </c>
      <c r="Q902" s="7"/>
      <c r="R902" s="7" t="s">
        <v>7222</v>
      </c>
      <c r="S902" s="15"/>
      <c r="T902" s="8"/>
      <c r="U902" s="19" t="str">
        <f>HYPERLINK("https://pbs.twimg.com/profile_images/1180498757043007488/47A-7zOT.jpg","View")</f>
        <v>View</v>
      </c>
      <c r="V902" s="8"/>
      <c r="W902" s="8"/>
      <c r="X902" s="8"/>
      <c r="Y902" s="8"/>
      <c r="Z902" s="8"/>
    </row>
    <row r="903" spans="1:26" ht="12.75">
      <c r="A903" s="11">
        <v>43747.294548611113</v>
      </c>
      <c r="B903" s="12" t="str">
        <f>HYPERLINK("https://twitter.com/J0K3RR9","@J0K3RR9")</f>
        <v>@J0K3RR9</v>
      </c>
      <c r="C903" s="7" t="s">
        <v>7224</v>
      </c>
      <c r="D903" s="7" t="s">
        <v>7225</v>
      </c>
      <c r="E903" s="12" t="str">
        <f>HYPERLINK("https://twitter.com/J0K3RR9/status/1181933369657040896","1181933369657040896")</f>
        <v>1181933369657040896</v>
      </c>
      <c r="F903" s="8"/>
      <c r="G903" s="14" t="s">
        <v>7227</v>
      </c>
      <c r="H903" s="8"/>
      <c r="I903" s="15">
        <v>0</v>
      </c>
      <c r="J903" s="15">
        <v>0</v>
      </c>
      <c r="K903" s="12" t="str">
        <f>HYPERLINK("http://twitter.com/download/android","Twitter for Android")</f>
        <v>Twitter for Android</v>
      </c>
      <c r="L903" s="16">
        <v>14</v>
      </c>
      <c r="M903" s="16">
        <v>29</v>
      </c>
      <c r="N903" s="16">
        <v>0</v>
      </c>
      <c r="O903" s="17"/>
      <c r="P903" s="18">
        <v>42809.552534722221</v>
      </c>
      <c r="Q903" s="7"/>
      <c r="R903" s="7" t="s">
        <v>7228</v>
      </c>
      <c r="S903" s="7"/>
      <c r="T903" s="8"/>
      <c r="U903" s="19" t="str">
        <f>HYPERLINK("https://pbs.twimg.com/profile_images/1180985663962976257/CDhP9I6W.jpg","View")</f>
        <v>View</v>
      </c>
      <c r="V903" s="8"/>
      <c r="W903" s="8"/>
      <c r="X903" s="8"/>
      <c r="Y903" s="8"/>
      <c r="Z903" s="8"/>
    </row>
    <row r="904" spans="1:26" ht="12.75">
      <c r="A904" s="11">
        <v>43747.294537037036</v>
      </c>
      <c r="B904" s="12" t="str">
        <f>HYPERLINK("https://twitter.com/inalzge","@inalzge")</f>
        <v>@inalzge</v>
      </c>
      <c r="C904" s="7" t="s">
        <v>7232</v>
      </c>
      <c r="D904" s="7" t="s">
        <v>7233</v>
      </c>
      <c r="E904" s="12" t="str">
        <f>HYPERLINK("https://twitter.com/inalzge/status/1181933365517266944","1181933365517266944")</f>
        <v>1181933365517266944</v>
      </c>
      <c r="F904" s="8"/>
      <c r="G904" s="14" t="s">
        <v>7234</v>
      </c>
      <c r="H904" s="8"/>
      <c r="I904" s="15">
        <v>3</v>
      </c>
      <c r="J904" s="15">
        <v>8</v>
      </c>
      <c r="K904" s="12" t="str">
        <f>HYPERLINK("http://twitter.com/download/android","Twitter for Android")</f>
        <v>Twitter for Android</v>
      </c>
      <c r="L904" s="16">
        <v>253</v>
      </c>
      <c r="M904" s="16">
        <v>254</v>
      </c>
      <c r="N904" s="16">
        <v>0</v>
      </c>
      <c r="O904" s="17"/>
      <c r="P904" s="18">
        <v>43323.572268518517</v>
      </c>
      <c r="Q904" s="7" t="s">
        <v>7235</v>
      </c>
      <c r="R904" s="7" t="s">
        <v>7236</v>
      </c>
      <c r="S904" s="7"/>
      <c r="T904" s="8"/>
      <c r="U904" s="19" t="str">
        <f>HYPERLINK("https://pbs.twimg.com/profile_images/1180460714827407361/9eUWIT0M.jpg","View")</f>
        <v>View</v>
      </c>
      <c r="V904" s="8"/>
      <c r="W904" s="8"/>
      <c r="X904" s="8"/>
      <c r="Y904" s="8"/>
      <c r="Z904" s="8"/>
    </row>
    <row r="905" spans="1:26" ht="12.75">
      <c r="A905" s="11">
        <v>43747.29451388889</v>
      </c>
      <c r="B905" s="12" t="str">
        <f>HYPERLINK("https://twitter.com/ServetHassan","@ServetHassan")</f>
        <v>@ServetHassan</v>
      </c>
      <c r="C905" s="7" t="s">
        <v>7238</v>
      </c>
      <c r="D905" s="7" t="s">
        <v>7239</v>
      </c>
      <c r="E905" s="12" t="str">
        <f>HYPERLINK("https://twitter.com/ServetHassan/status/1181933358479220737","1181933358479220737")</f>
        <v>1181933358479220737</v>
      </c>
      <c r="F905" s="8"/>
      <c r="G905" s="14" t="s">
        <v>7240</v>
      </c>
      <c r="H905" s="8"/>
      <c r="I905" s="15">
        <v>0</v>
      </c>
      <c r="J905" s="15">
        <v>0</v>
      </c>
      <c r="K905" s="12" t="str">
        <f>HYPERLINK("http://twitter.com/download/iphone","Twitter for iPhone")</f>
        <v>Twitter for iPhone</v>
      </c>
      <c r="L905" s="16">
        <v>42</v>
      </c>
      <c r="M905" s="16">
        <v>71</v>
      </c>
      <c r="N905" s="16">
        <v>0</v>
      </c>
      <c r="O905" s="17"/>
      <c r="P905" s="18">
        <v>42723.440625000003</v>
      </c>
      <c r="Q905" s="7"/>
      <c r="R905" s="7"/>
      <c r="S905" s="15"/>
      <c r="T905" s="8"/>
      <c r="U905" s="19" t="str">
        <f>HYPERLINK("https://pbs.twimg.com/profile_images/810920221863198720/eferHLAu.jpg","View")</f>
        <v>View</v>
      </c>
      <c r="V905" s="8"/>
      <c r="W905" s="8"/>
      <c r="X905" s="8"/>
      <c r="Y905" s="8"/>
      <c r="Z905" s="8"/>
    </row>
    <row r="906" spans="1:26" ht="12.75">
      <c r="A906" s="11">
        <v>43747.294490740736</v>
      </c>
      <c r="B906" s="12" t="str">
        <f>HYPERLINK("https://twitter.com/openpodbaydoor_","@openpodbaydoor_")</f>
        <v>@openpodbaydoor_</v>
      </c>
      <c r="C906" s="7" t="s">
        <v>7243</v>
      </c>
      <c r="D906" s="7" t="s">
        <v>7244</v>
      </c>
      <c r="E906" s="12" t="str">
        <f>HYPERLINK("https://twitter.com/openpodbaydoor_/status/1181933349310468097","1181933349310468097")</f>
        <v>1181933349310468097</v>
      </c>
      <c r="F906" s="14" t="s">
        <v>7246</v>
      </c>
      <c r="G906" s="15"/>
      <c r="H906" s="8"/>
      <c r="I906" s="15">
        <v>1</v>
      </c>
      <c r="J906" s="15">
        <v>2</v>
      </c>
      <c r="K906" s="12" t="str">
        <f>HYPERLINK("http://twitter.com/download/android","Twitter for Android")</f>
        <v>Twitter for Android</v>
      </c>
      <c r="L906" s="16">
        <v>9925</v>
      </c>
      <c r="M906" s="16">
        <v>10710</v>
      </c>
      <c r="N906" s="16">
        <v>111</v>
      </c>
      <c r="O906" s="17"/>
      <c r="P906" s="18">
        <v>42682.370949074073</v>
      </c>
      <c r="Q906" s="7" t="s">
        <v>2858</v>
      </c>
      <c r="R906" s="13" t="s">
        <v>7249</v>
      </c>
      <c r="S906" s="7"/>
      <c r="T906" s="8"/>
      <c r="U906" s="19" t="str">
        <f>HYPERLINK("https://pbs.twimg.com/profile_images/985462039614279680/x4mZi4rH.jpg","View")</f>
        <v>View</v>
      </c>
      <c r="V906" s="8"/>
      <c r="W906" s="8"/>
      <c r="X906" s="8"/>
      <c r="Y906" s="8"/>
      <c r="Z906" s="8"/>
    </row>
    <row r="907" spans="1:26" ht="12.75">
      <c r="A907" s="11">
        <v>43747.294467592597</v>
      </c>
      <c r="B907" s="12" t="str">
        <f>HYPERLINK("https://twitter.com/OpenMilitary","@OpenMilitary")</f>
        <v>@OpenMilitary</v>
      </c>
      <c r="C907" s="7" t="s">
        <v>7253</v>
      </c>
      <c r="D907" s="7" t="s">
        <v>7254</v>
      </c>
      <c r="E907" s="12" t="str">
        <f>HYPERLINK("https://twitter.com/OpenMilitary/status/1181933343031595009","1181933343031595009")</f>
        <v>1181933343031595009</v>
      </c>
      <c r="F907" s="8"/>
      <c r="G907" s="14" t="s">
        <v>7255</v>
      </c>
      <c r="H907" s="8"/>
      <c r="I907" s="15">
        <v>0</v>
      </c>
      <c r="J907" s="15">
        <v>3</v>
      </c>
      <c r="K907" s="12" t="str">
        <f>HYPERLINK("http://twitter.com/download/android","Twitter for Android")</f>
        <v>Twitter for Android</v>
      </c>
      <c r="L907" s="16">
        <v>118</v>
      </c>
      <c r="M907" s="16">
        <v>1081</v>
      </c>
      <c r="N907" s="16">
        <v>3</v>
      </c>
      <c r="O907" s="17"/>
      <c r="P907" s="18">
        <v>43125.664317129631</v>
      </c>
      <c r="Q907" s="7" t="s">
        <v>7257</v>
      </c>
      <c r="R907" s="21" t="s">
        <v>7259</v>
      </c>
      <c r="S907" s="14" t="s">
        <v>7260</v>
      </c>
      <c r="T907" s="8"/>
      <c r="U907" s="19" t="str">
        <f>HYPERLINK("https://pbs.twimg.com/profile_images/1141121362695806977/LjPGEqxC.jpg","View")</f>
        <v>View</v>
      </c>
      <c r="V907" s="8"/>
      <c r="W907" s="8"/>
      <c r="X907" s="8"/>
      <c r="Y907" s="8"/>
      <c r="Z907" s="8"/>
    </row>
    <row r="908" spans="1:26" ht="12.75">
      <c r="A908" s="11">
        <v>43747.294432870374</v>
      </c>
      <c r="B908" s="12" t="str">
        <f>HYPERLINK("https://twitter.com/KartalMelih4","@KartalMelih4")</f>
        <v>@KartalMelih4</v>
      </c>
      <c r="C908" s="7" t="s">
        <v>7266</v>
      </c>
      <c r="D908" s="7" t="s">
        <v>7267</v>
      </c>
      <c r="E908" s="12" t="str">
        <f>HYPERLINK("https://twitter.com/KartalMelih4/status/1181933328406110208","1181933328406110208")</f>
        <v>1181933328406110208</v>
      </c>
      <c r="F908" s="14" t="s">
        <v>3623</v>
      </c>
      <c r="G908" s="15"/>
      <c r="H908" s="8"/>
      <c r="I908" s="15">
        <v>0</v>
      </c>
      <c r="J908" s="15">
        <v>0</v>
      </c>
      <c r="K908" s="12" t="str">
        <f>HYPERLINK("https://mobile.twitter.com","Twitter Web App")</f>
        <v>Twitter Web App</v>
      </c>
      <c r="L908" s="16">
        <v>2</v>
      </c>
      <c r="M908" s="16">
        <v>0</v>
      </c>
      <c r="N908" s="16">
        <v>0</v>
      </c>
      <c r="O908" s="17"/>
      <c r="P908" s="18">
        <v>43562.238935185189</v>
      </c>
      <c r="Q908" s="7" t="s">
        <v>7269</v>
      </c>
      <c r="R908" s="7" t="s">
        <v>7228</v>
      </c>
      <c r="S908" s="7"/>
      <c r="T908" s="8"/>
      <c r="U908" s="19" t="str">
        <f>HYPERLINK("https://pbs.twimg.com/profile_images/1114872043395272704/Ljs18hFb.jpg","View")</f>
        <v>View</v>
      </c>
      <c r="V908" s="8"/>
      <c r="W908" s="8"/>
      <c r="X908" s="8"/>
      <c r="Y908" s="8"/>
      <c r="Z908" s="8"/>
    </row>
    <row r="909" spans="1:26" ht="12.75">
      <c r="A909" s="11">
        <v>43747.294432870374</v>
      </c>
      <c r="B909" s="12" t="str">
        <f>HYPERLINK("https://twitter.com/MVOLKANERTRK1","@MVOLKANERTRK1")</f>
        <v>@MVOLKANERTRK1</v>
      </c>
      <c r="C909" s="7" t="s">
        <v>7274</v>
      </c>
      <c r="D909" s="7" t="s">
        <v>160</v>
      </c>
      <c r="E909" s="12" t="str">
        <f>HYPERLINK("https://twitter.com/MVOLKANERTRK1/status/1181933327298781185","1181933327298781185")</f>
        <v>1181933327298781185</v>
      </c>
      <c r="F909" s="8"/>
      <c r="G909" s="7"/>
      <c r="H909" s="8"/>
      <c r="I909" s="15">
        <v>0</v>
      </c>
      <c r="J909" s="15">
        <v>0</v>
      </c>
      <c r="K909" s="12" t="str">
        <f>HYPERLINK("http://twitter.com/download/android","Twitter for Android")</f>
        <v>Twitter for Android</v>
      </c>
      <c r="L909" s="16">
        <v>1</v>
      </c>
      <c r="M909" s="16">
        <v>2</v>
      </c>
      <c r="N909" s="16">
        <v>0</v>
      </c>
      <c r="O909" s="17"/>
      <c r="P909" s="18">
        <v>43717.440555555557</v>
      </c>
      <c r="Q909" s="7"/>
      <c r="R909" s="7" t="s">
        <v>7275</v>
      </c>
      <c r="S909" s="15"/>
      <c r="T909" s="8"/>
      <c r="U909" s="19" t="str">
        <f>HYPERLINK("https://pbs.twimg.com/profile_images/1171115123286654984/NWJsYpek.jpg","View")</f>
        <v>View</v>
      </c>
      <c r="V909" s="8"/>
      <c r="W909" s="8"/>
      <c r="X909" s="8"/>
      <c r="Y909" s="8"/>
      <c r="Z909" s="8"/>
    </row>
    <row r="910" spans="1:26" ht="12.75">
      <c r="A910" s="11">
        <v>43747.294409722221</v>
      </c>
      <c r="B910" s="12" t="str">
        <f>HYPERLINK("https://twitter.com/EbruKaramut","@EbruKaramut")</f>
        <v>@EbruKaramut</v>
      </c>
      <c r="C910" s="7" t="s">
        <v>7278</v>
      </c>
      <c r="D910" s="7" t="s">
        <v>7279</v>
      </c>
      <c r="E910" s="12" t="str">
        <f>HYPERLINK("https://twitter.com/EbruKaramut/status/1181933321502253056","1181933321502253056")</f>
        <v>1181933321502253056</v>
      </c>
      <c r="F910" s="8"/>
      <c r="G910" s="14" t="s">
        <v>7281</v>
      </c>
      <c r="H910" s="8"/>
      <c r="I910" s="15">
        <v>0</v>
      </c>
      <c r="J910" s="15">
        <v>1</v>
      </c>
      <c r="K910" s="12" t="str">
        <f>HYPERLINK("http://twitter.com/download/iphone","Twitter for iPhone")</f>
        <v>Twitter for iPhone</v>
      </c>
      <c r="L910" s="16">
        <v>103</v>
      </c>
      <c r="M910" s="16">
        <v>141</v>
      </c>
      <c r="N910" s="16">
        <v>0</v>
      </c>
      <c r="O910" s="17"/>
      <c r="P910" s="18">
        <v>42151.115416666667</v>
      </c>
      <c r="Q910" s="7"/>
      <c r="R910" s="7" t="s">
        <v>7283</v>
      </c>
      <c r="S910" s="7"/>
      <c r="T910" s="8"/>
      <c r="U910" s="19" t="str">
        <f>HYPERLINK("https://pbs.twimg.com/profile_images/1174968079404523520/uoRAEmpS.jpg","View")</f>
        <v>View</v>
      </c>
      <c r="V910" s="8"/>
      <c r="W910" s="8"/>
      <c r="X910" s="8"/>
      <c r="Y910" s="8"/>
      <c r="Z910" s="8"/>
    </row>
    <row r="911" spans="1:26" ht="12.75">
      <c r="A911" s="11">
        <v>43747.294409722221</v>
      </c>
      <c r="B911" s="12" t="str">
        <f>HYPERLINK("https://twitter.com/miray_atalay","@miray_atalay")</f>
        <v>@miray_atalay</v>
      </c>
      <c r="C911" s="7" t="s">
        <v>7285</v>
      </c>
      <c r="D911" s="7" t="s">
        <v>7286</v>
      </c>
      <c r="E911" s="12" t="str">
        <f>HYPERLINK("https://twitter.com/miray_atalay/status/1181933321229651974","1181933321229651974")</f>
        <v>1181933321229651974</v>
      </c>
      <c r="F911" s="8"/>
      <c r="G911" s="15"/>
      <c r="H911" s="8"/>
      <c r="I911" s="15">
        <v>1</v>
      </c>
      <c r="J911" s="15">
        <v>7</v>
      </c>
      <c r="K911" s="12" t="str">
        <f>HYPERLINK("http://twitter.com/download/iphone","Twitter for iPhone")</f>
        <v>Twitter for iPhone</v>
      </c>
      <c r="L911" s="16">
        <v>214</v>
      </c>
      <c r="M911" s="16">
        <v>168</v>
      </c>
      <c r="N911" s="16">
        <v>0</v>
      </c>
      <c r="O911" s="17"/>
      <c r="P911" s="18">
        <v>42507.584490740745</v>
      </c>
      <c r="Q911" s="7" t="s">
        <v>7288</v>
      </c>
      <c r="R911" s="7" t="s">
        <v>7289</v>
      </c>
      <c r="S911" s="7"/>
      <c r="T911" s="8"/>
      <c r="U911" s="19" t="str">
        <f>HYPERLINK("https://pbs.twimg.com/profile_images/1086103250707902465/45_zeDZ5.jpg","View")</f>
        <v>View</v>
      </c>
      <c r="V911" s="8"/>
      <c r="W911" s="8"/>
      <c r="X911" s="8"/>
      <c r="Y911" s="8"/>
      <c r="Z911" s="8"/>
    </row>
    <row r="912" spans="1:26" ht="12.75">
      <c r="A912" s="11">
        <v>43747.294409722221</v>
      </c>
      <c r="B912" s="12" t="str">
        <f>HYPERLINK("https://twitter.com/SerhatSemra","@SerhatSemra")</f>
        <v>@SerhatSemra</v>
      </c>
      <c r="C912" s="7" t="s">
        <v>7291</v>
      </c>
      <c r="D912" s="7" t="s">
        <v>7292</v>
      </c>
      <c r="E912" s="12" t="str">
        <f>HYPERLINK("https://twitter.com/SerhatSemra/status/1181933320642400256","1181933320642400256")</f>
        <v>1181933320642400256</v>
      </c>
      <c r="F912" s="8"/>
      <c r="G912" s="14" t="s">
        <v>7293</v>
      </c>
      <c r="H912" s="8"/>
      <c r="I912" s="15">
        <v>0</v>
      </c>
      <c r="J912" s="15">
        <v>0</v>
      </c>
      <c r="K912" s="12" t="str">
        <f>HYPERLINK("http://twitter.com/download/android","Twitter for Android")</f>
        <v>Twitter for Android</v>
      </c>
      <c r="L912" s="16">
        <v>50</v>
      </c>
      <c r="M912" s="16">
        <v>162</v>
      </c>
      <c r="N912" s="16">
        <v>0</v>
      </c>
      <c r="O912" s="17"/>
      <c r="P912" s="18">
        <v>41705.549826388888</v>
      </c>
      <c r="Q912" s="7"/>
      <c r="R912" s="7" t="s">
        <v>7296</v>
      </c>
      <c r="S912" s="7"/>
      <c r="T912" s="8"/>
      <c r="U912" s="19" t="str">
        <f>HYPERLINK("https://pbs.twimg.com/profile_images/1018510595677663232/WDnrBNO8.jpg","View")</f>
        <v>View</v>
      </c>
      <c r="V912" s="8"/>
      <c r="W912" s="8"/>
      <c r="X912" s="8"/>
      <c r="Y912" s="8"/>
      <c r="Z912" s="8"/>
    </row>
    <row r="913" spans="1:26" ht="12.75">
      <c r="A913" s="11">
        <v>43747.294398148151</v>
      </c>
      <c r="B913" s="12" t="str">
        <f>HYPERLINK("https://twitter.com/apydnnn","@apydnnn")</f>
        <v>@apydnnn</v>
      </c>
      <c r="C913" s="7" t="s">
        <v>7297</v>
      </c>
      <c r="D913" s="7" t="s">
        <v>7298</v>
      </c>
      <c r="E913" s="12" t="str">
        <f>HYPERLINK("https://twitter.com/apydnnn/status/1181933314812325888","1181933314812325888")</f>
        <v>1181933314812325888</v>
      </c>
      <c r="F913" s="8"/>
      <c r="G913" s="14" t="s">
        <v>7299</v>
      </c>
      <c r="H913" s="8"/>
      <c r="I913" s="15">
        <v>0</v>
      </c>
      <c r="J913" s="15">
        <v>0</v>
      </c>
      <c r="K913" s="12" t="str">
        <f>HYPERLINK("http://twitter.com/download/iphone","Twitter for iPhone")</f>
        <v>Twitter for iPhone</v>
      </c>
      <c r="L913" s="16">
        <v>508</v>
      </c>
      <c r="M913" s="16">
        <v>520</v>
      </c>
      <c r="N913" s="16">
        <v>0</v>
      </c>
      <c r="O913" s="17"/>
      <c r="P913" s="18">
        <v>40560.194143518514</v>
      </c>
      <c r="Q913" s="7"/>
      <c r="R913" s="7" t="s">
        <v>7303</v>
      </c>
      <c r="S913" s="7"/>
      <c r="T913" s="8"/>
      <c r="U913" s="19" t="str">
        <f>HYPERLINK("https://pbs.twimg.com/profile_images/1175534494616629248/1kCkgCuI.jpg","View")</f>
        <v>View</v>
      </c>
      <c r="V913" s="8"/>
      <c r="W913" s="8"/>
      <c r="X913" s="8"/>
      <c r="Y913" s="8"/>
      <c r="Z913" s="8"/>
    </row>
    <row r="914" spans="1:26" ht="12.75">
      <c r="A914" s="11">
        <v>43747.294351851851</v>
      </c>
      <c r="B914" s="12" t="str">
        <f>HYPERLINK("https://twitter.com/osmanburakbenli","@osmanburakbenli")</f>
        <v>@osmanburakbenli</v>
      </c>
      <c r="C914" s="7" t="s">
        <v>7310</v>
      </c>
      <c r="D914" s="7" t="s">
        <v>7312</v>
      </c>
      <c r="E914" s="12" t="str">
        <f>HYPERLINK("https://twitter.com/osmanburakbenli/status/1181933298626379777","1181933298626379777")</f>
        <v>1181933298626379777</v>
      </c>
      <c r="F914" s="8"/>
      <c r="G914" s="14" t="s">
        <v>7314</v>
      </c>
      <c r="H914" s="8"/>
      <c r="I914" s="15">
        <v>0</v>
      </c>
      <c r="J914" s="15">
        <v>0</v>
      </c>
      <c r="K914" s="12" t="str">
        <f>HYPERLINK("http://twitter.com/download/android","Twitter for Android")</f>
        <v>Twitter for Android</v>
      </c>
      <c r="L914" s="16">
        <v>982</v>
      </c>
      <c r="M914" s="16">
        <v>2042</v>
      </c>
      <c r="N914" s="16">
        <v>0</v>
      </c>
      <c r="O914" s="17"/>
      <c r="P914" s="18">
        <v>40735.532812500001</v>
      </c>
      <c r="Q914" s="7" t="s">
        <v>7316</v>
      </c>
      <c r="R914" s="7" t="s">
        <v>7317</v>
      </c>
      <c r="S914" s="7"/>
      <c r="T914" s="8"/>
      <c r="U914" s="19" t="str">
        <f>HYPERLINK("https://pbs.twimg.com/profile_images/611500433870356480/PsWxYcKR.jpg","View")</f>
        <v>View</v>
      </c>
      <c r="V914" s="8"/>
      <c r="W914" s="8"/>
      <c r="X914" s="8"/>
      <c r="Y914" s="8"/>
      <c r="Z914" s="8"/>
    </row>
    <row r="915" spans="1:26" ht="12.75">
      <c r="A915" s="11">
        <v>43747.294340277775</v>
      </c>
      <c r="B915" s="12" t="str">
        <f>HYPERLINK("https://twitter.com/alfakangal","@alfakangal")</f>
        <v>@alfakangal</v>
      </c>
      <c r="C915" s="7" t="s">
        <v>7319</v>
      </c>
      <c r="D915" s="7" t="s">
        <v>7320</v>
      </c>
      <c r="E915" s="12" t="str">
        <f>HYPERLINK("https://twitter.com/alfakangal/status/1181933296101593089","1181933296101593089")</f>
        <v>1181933296101593089</v>
      </c>
      <c r="F915" s="8"/>
      <c r="G915" s="14" t="s">
        <v>7321</v>
      </c>
      <c r="H915" s="8"/>
      <c r="I915" s="15">
        <v>0</v>
      </c>
      <c r="J915" s="15">
        <v>2</v>
      </c>
      <c r="K915" s="12" t="str">
        <f>HYPERLINK("http://twitter.com/download/android","Twitter for Android")</f>
        <v>Twitter for Android</v>
      </c>
      <c r="L915" s="16">
        <v>464</v>
      </c>
      <c r="M915" s="16">
        <v>312</v>
      </c>
      <c r="N915" s="16">
        <v>0</v>
      </c>
      <c r="O915" s="17"/>
      <c r="P915" s="18">
        <v>43465.142638888894</v>
      </c>
      <c r="Q915" s="7" t="s">
        <v>7322</v>
      </c>
      <c r="R915" s="7"/>
      <c r="S915" s="14" t="s">
        <v>7323</v>
      </c>
      <c r="T915" s="8"/>
      <c r="U915" s="19" t="str">
        <f>HYPERLINK("https://pbs.twimg.com/profile_images/1180151981467426821/tphqRTwZ.jpg","View")</f>
        <v>View</v>
      </c>
      <c r="V915" s="8"/>
      <c r="W915" s="8"/>
      <c r="X915" s="8"/>
      <c r="Y915" s="8"/>
      <c r="Z915" s="8"/>
    </row>
    <row r="916" spans="1:26" ht="12.75">
      <c r="A916" s="11">
        <v>43747.294317129628</v>
      </c>
      <c r="B916" s="12" t="str">
        <f>HYPERLINK("https://twitter.com/omerisik123","@omerisik123")</f>
        <v>@omerisik123</v>
      </c>
      <c r="C916" s="7" t="s">
        <v>7324</v>
      </c>
      <c r="D916" s="7" t="s">
        <v>7325</v>
      </c>
      <c r="E916" s="12" t="str">
        <f>HYPERLINK("https://twitter.com/omerisik123/status/1181933288161779712","1181933288161779712")</f>
        <v>1181933288161779712</v>
      </c>
      <c r="F916" s="8"/>
      <c r="G916" s="14" t="s">
        <v>7326</v>
      </c>
      <c r="H916" s="8"/>
      <c r="I916" s="15">
        <v>0</v>
      </c>
      <c r="J916" s="15">
        <v>1</v>
      </c>
      <c r="K916" s="12" t="str">
        <f>HYPERLINK("http://twitter.com/download/iphone","Twitter for iPhone")</f>
        <v>Twitter for iPhone</v>
      </c>
      <c r="L916" s="16">
        <v>27</v>
      </c>
      <c r="M916" s="16">
        <v>105</v>
      </c>
      <c r="N916" s="16">
        <v>0</v>
      </c>
      <c r="O916" s="17"/>
      <c r="P916" s="18">
        <v>41301.577175925922</v>
      </c>
      <c r="Q916" s="7"/>
      <c r="R916" s="7" t="s">
        <v>7327</v>
      </c>
      <c r="S916" s="15"/>
      <c r="T916" s="8"/>
      <c r="U916" s="19" t="str">
        <f>HYPERLINK("https://pbs.twimg.com/profile_images/1167494125282873345/OtpxtU88.jpg","View")</f>
        <v>View</v>
      </c>
      <c r="V916" s="8"/>
      <c r="W916" s="8"/>
      <c r="X916" s="8"/>
      <c r="Y916" s="8"/>
      <c r="Z916" s="8"/>
    </row>
    <row r="917" spans="1:26" ht="12.75">
      <c r="A917" s="11">
        <v>43747.294305555552</v>
      </c>
      <c r="B917" s="12" t="str">
        <f>HYPERLINK("https://twitter.com/ilhanocaklisile","@ilhanocaklisile")</f>
        <v>@ilhanocaklisile</v>
      </c>
      <c r="C917" s="7" t="s">
        <v>7328</v>
      </c>
      <c r="D917" s="7" t="s">
        <v>7329</v>
      </c>
      <c r="E917" s="12" t="str">
        <f>HYPERLINK("https://twitter.com/ilhanocaklisile/status/1181933283489304583","1181933283489304583")</f>
        <v>1181933283489304583</v>
      </c>
      <c r="F917" s="8"/>
      <c r="G917" s="15"/>
      <c r="H917" s="8"/>
      <c r="I917" s="15">
        <v>1</v>
      </c>
      <c r="J917" s="15">
        <v>10</v>
      </c>
      <c r="K917" s="12" t="str">
        <f>HYPERLINK("http://twitter.com/download/iphone","Twitter for iPhone")</f>
        <v>Twitter for iPhone</v>
      </c>
      <c r="L917" s="16">
        <v>3314</v>
      </c>
      <c r="M917" s="16">
        <v>748</v>
      </c>
      <c r="N917" s="16">
        <v>11</v>
      </c>
      <c r="O917" s="17"/>
      <c r="P917" s="18">
        <v>40944.476215277777</v>
      </c>
      <c r="Q917" s="7"/>
      <c r="R917" s="7" t="s">
        <v>7330</v>
      </c>
      <c r="S917" s="14" t="s">
        <v>7331</v>
      </c>
      <c r="T917" s="8"/>
      <c r="U917" s="19" t="str">
        <f>HYPERLINK("https://pbs.twimg.com/profile_images/1151428597237866496/Joi7TkOA.jpg","View")</f>
        <v>View</v>
      </c>
      <c r="V917" s="8"/>
      <c r="W917" s="8"/>
      <c r="X917" s="8"/>
      <c r="Y917" s="8"/>
      <c r="Z917" s="8"/>
    </row>
    <row r="918" spans="1:26" ht="12.75">
      <c r="A918" s="11">
        <v>43747.294247685189</v>
      </c>
      <c r="B918" s="12" t="str">
        <f>HYPERLINK("https://twitter.com/Salihagok3","@Salihagok3")</f>
        <v>@Salihagok3</v>
      </c>
      <c r="C918" s="7" t="s">
        <v>7332</v>
      </c>
      <c r="D918" s="7" t="s">
        <v>7333</v>
      </c>
      <c r="E918" s="12" t="str">
        <f>HYPERLINK("https://twitter.com/Salihagok3/status/1181933262803017730","1181933262803017730")</f>
        <v>1181933262803017730</v>
      </c>
      <c r="F918" s="8"/>
      <c r="G918" s="15"/>
      <c r="H918" s="8"/>
      <c r="I918" s="15">
        <v>0</v>
      </c>
      <c r="J918" s="15">
        <v>0</v>
      </c>
      <c r="K918" s="12" t="str">
        <f>HYPERLINK("http://twitter.com/download/android","Twitter for Android")</f>
        <v>Twitter for Android</v>
      </c>
      <c r="L918" s="16">
        <v>1</v>
      </c>
      <c r="M918" s="16">
        <v>0</v>
      </c>
      <c r="N918" s="16">
        <v>0</v>
      </c>
      <c r="O918" s="17"/>
      <c r="P918" s="18">
        <v>43651.143506944441</v>
      </c>
      <c r="Q918" s="7"/>
      <c r="R918" s="7"/>
      <c r="S918" s="7"/>
      <c r="T918" s="8"/>
      <c r="U918" s="19" t="str">
        <f>HYPERLINK("https://pbs.twimg.com/profile_images/1149664573177262082/Vn9YRuR8.jpg","View")</f>
        <v>View</v>
      </c>
      <c r="V918" s="8"/>
      <c r="W918" s="8"/>
      <c r="X918" s="8"/>
      <c r="Y918" s="8"/>
      <c r="Z918" s="8"/>
    </row>
    <row r="919" spans="1:26" ht="12.75">
      <c r="A919" s="11">
        <v>43747.294236111113</v>
      </c>
      <c r="B919" s="12" t="str">
        <f>HYPERLINK("https://twitter.com/KulpaBart","@KulpaBart")</f>
        <v>@KulpaBart</v>
      </c>
      <c r="C919" s="7" t="s">
        <v>7336</v>
      </c>
      <c r="D919" s="7" t="s">
        <v>7337</v>
      </c>
      <c r="E919" s="12" t="str">
        <f>HYPERLINK("https://twitter.com/KulpaBart/status/1181933256452841473","1181933256452841473")</f>
        <v>1181933256452841473</v>
      </c>
      <c r="F919" s="14" t="s">
        <v>7338</v>
      </c>
      <c r="G919" s="7"/>
      <c r="H919" s="8"/>
      <c r="I919" s="15">
        <v>0</v>
      </c>
      <c r="J919" s="15">
        <v>0</v>
      </c>
      <c r="K919" s="12" t="str">
        <f>HYPERLINK("http://twitter.com/download/android","Twitter for Android")</f>
        <v>Twitter for Android</v>
      </c>
      <c r="L919" s="16">
        <v>3813</v>
      </c>
      <c r="M919" s="16">
        <v>3360</v>
      </c>
      <c r="N919" s="16">
        <v>108</v>
      </c>
      <c r="O919" s="17"/>
      <c r="P919" s="18">
        <v>41712.36582175926</v>
      </c>
      <c r="Q919" s="7" t="s">
        <v>7339</v>
      </c>
      <c r="R919" s="7" t="s">
        <v>7340</v>
      </c>
      <c r="S919" s="14" t="s">
        <v>7341</v>
      </c>
      <c r="T919" s="8"/>
      <c r="U919" s="19" t="str">
        <f>HYPERLINK("https://pbs.twimg.com/profile_images/1177910337229787136/c7jgcJrV.jpg","View")</f>
        <v>View</v>
      </c>
      <c r="V919" s="8"/>
      <c r="W919" s="8"/>
      <c r="X919" s="8"/>
      <c r="Y919" s="8"/>
      <c r="Z919" s="8"/>
    </row>
    <row r="920" spans="1:26" ht="12.75">
      <c r="A920" s="11">
        <v>43747.294212962966</v>
      </c>
      <c r="B920" s="12" t="str">
        <f>HYPERLINK("https://twitter.com/smyrecrn","@smyrecrn")</f>
        <v>@smyrecrn</v>
      </c>
      <c r="C920" s="7" t="s">
        <v>7346</v>
      </c>
      <c r="D920" s="7" t="s">
        <v>7347</v>
      </c>
      <c r="E920" s="12" t="str">
        <f>HYPERLINK("https://twitter.com/smyrecrn/status/1181933249783840768","1181933249783840768")</f>
        <v>1181933249783840768</v>
      </c>
      <c r="F920" s="15"/>
      <c r="G920" s="14" t="s">
        <v>7348</v>
      </c>
      <c r="H920" s="8"/>
      <c r="I920" s="15">
        <v>0</v>
      </c>
      <c r="J920" s="15">
        <v>1</v>
      </c>
      <c r="K920" s="12" t="str">
        <f>HYPERLINK("http://twitter.com/download/android","Twitter for Android")</f>
        <v>Twitter for Android</v>
      </c>
      <c r="L920" s="16">
        <v>498</v>
      </c>
      <c r="M920" s="16">
        <v>677</v>
      </c>
      <c r="N920" s="16">
        <v>0</v>
      </c>
      <c r="O920" s="17"/>
      <c r="P920" s="18">
        <v>41700.514293981483</v>
      </c>
      <c r="Q920" s="7" t="s">
        <v>313</v>
      </c>
      <c r="R920" s="7" t="s">
        <v>7349</v>
      </c>
      <c r="S920" s="15"/>
      <c r="T920" s="8"/>
      <c r="U920" s="19" t="str">
        <f>HYPERLINK("https://pbs.twimg.com/profile_images/1173361628097712138/RRgc_MAY.jpg","View")</f>
        <v>View</v>
      </c>
      <c r="V920" s="8"/>
      <c r="W920" s="8"/>
      <c r="X920" s="8"/>
      <c r="Y920" s="8"/>
      <c r="Z920" s="8"/>
    </row>
    <row r="921" spans="1:26" ht="12.75">
      <c r="A921" s="11">
        <v>43747.294189814813</v>
      </c>
      <c r="B921" s="12" t="str">
        <f>HYPERLINK("https://twitter.com/Ramo42taspinar","@Ramo42taspinar")</f>
        <v>@Ramo42taspinar</v>
      </c>
      <c r="C921" s="7" t="s">
        <v>7352</v>
      </c>
      <c r="D921" s="7" t="s">
        <v>1313</v>
      </c>
      <c r="E921" s="12" t="str">
        <f>HYPERLINK("https://twitter.com/Ramo42taspinar/status/1181933239792996354","1181933239792996354")</f>
        <v>1181933239792996354</v>
      </c>
      <c r="F921" s="8"/>
      <c r="G921" s="14" t="s">
        <v>7353</v>
      </c>
      <c r="H921" s="8"/>
      <c r="I921" s="15">
        <v>0</v>
      </c>
      <c r="J921" s="15">
        <v>0</v>
      </c>
      <c r="K921" s="12" t="str">
        <f>HYPERLINK("http://twitter.com/download/android","Twitter for Android")</f>
        <v>Twitter for Android</v>
      </c>
      <c r="L921" s="16">
        <v>13</v>
      </c>
      <c r="M921" s="16">
        <v>51</v>
      </c>
      <c r="N921" s="16">
        <v>0</v>
      </c>
      <c r="O921" s="17"/>
      <c r="P921" s="18">
        <v>42894.623344907406</v>
      </c>
      <c r="Q921" s="7"/>
      <c r="R921" s="7"/>
      <c r="S921" s="7"/>
      <c r="T921" s="8"/>
      <c r="U921" s="19" t="str">
        <f>HYPERLINK("https://pbs.twimg.com/profile_images/1180778003053338624/smjemdds.jpg","View")</f>
        <v>View</v>
      </c>
      <c r="V921" s="8"/>
      <c r="W921" s="8"/>
      <c r="X921" s="8"/>
      <c r="Y921" s="8"/>
      <c r="Z921" s="8"/>
    </row>
    <row r="922" spans="1:26" ht="12.75">
      <c r="A922" s="11">
        <v>43747.294131944444</v>
      </c>
      <c r="B922" s="12" t="str">
        <f>HYPERLINK("https://twitter.com/cemalcelik27","@cemalcelik27")</f>
        <v>@cemalcelik27</v>
      </c>
      <c r="C922" s="7" t="s">
        <v>7356</v>
      </c>
      <c r="D922" s="7" t="s">
        <v>7357</v>
      </c>
      <c r="E922" s="12" t="str">
        <f>HYPERLINK("https://twitter.com/cemalcelik27/status/1181933219702300672","1181933219702300672")</f>
        <v>1181933219702300672</v>
      </c>
      <c r="F922" s="8"/>
      <c r="G922" s="14" t="s">
        <v>7358</v>
      </c>
      <c r="H922" s="8"/>
      <c r="I922" s="15">
        <v>0</v>
      </c>
      <c r="J922" s="15">
        <v>1</v>
      </c>
      <c r="K922" s="12" t="str">
        <f>HYPERLINK("http://twitter.com/download/android","Twitter for Android")</f>
        <v>Twitter for Android</v>
      </c>
      <c r="L922" s="16">
        <v>1214</v>
      </c>
      <c r="M922" s="16">
        <v>2380</v>
      </c>
      <c r="N922" s="16">
        <v>1</v>
      </c>
      <c r="O922" s="17"/>
      <c r="P922" s="18">
        <v>42721.170694444445</v>
      </c>
      <c r="Q922" s="7" t="s">
        <v>7359</v>
      </c>
      <c r="R922" s="7" t="s">
        <v>7360</v>
      </c>
      <c r="S922" s="14" t="s">
        <v>7361</v>
      </c>
      <c r="T922" s="8"/>
      <c r="U922" s="19" t="str">
        <f>HYPERLINK("https://pbs.twimg.com/profile_images/1158841311711178752/MEsmvG6-.jpg","View")</f>
        <v>View</v>
      </c>
      <c r="V922" s="8"/>
      <c r="W922" s="8"/>
      <c r="X922" s="8"/>
      <c r="Y922" s="8"/>
      <c r="Z922" s="8"/>
    </row>
    <row r="923" spans="1:26" ht="12.75">
      <c r="A923" s="11">
        <v>43747.294085648144</v>
      </c>
      <c r="B923" s="12" t="str">
        <f>HYPERLINK("https://twitter.com/muhammed29_onur","@muhammed29_onur")</f>
        <v>@muhammed29_onur</v>
      </c>
      <c r="C923" s="7" t="s">
        <v>7365</v>
      </c>
      <c r="D923" s="7" t="s">
        <v>7366</v>
      </c>
      <c r="E923" s="12" t="str">
        <f>HYPERLINK("https://twitter.com/muhammed29_onur/status/1181933204078501888","1181933204078501888")</f>
        <v>1181933204078501888</v>
      </c>
      <c r="F923" s="8"/>
      <c r="G923" s="14" t="s">
        <v>7367</v>
      </c>
      <c r="H923" s="8"/>
      <c r="I923" s="15">
        <v>0</v>
      </c>
      <c r="J923" s="15">
        <v>1</v>
      </c>
      <c r="K923" s="12" t="str">
        <f>HYPERLINK("http://twitter.com/download/android","Twitter for Android")</f>
        <v>Twitter for Android</v>
      </c>
      <c r="L923" s="16">
        <v>43</v>
      </c>
      <c r="M923" s="16">
        <v>128</v>
      </c>
      <c r="N923" s="16">
        <v>0</v>
      </c>
      <c r="O923" s="17"/>
      <c r="P923" s="18">
        <v>43419.551122685181</v>
      </c>
      <c r="Q923" s="7" t="s">
        <v>200</v>
      </c>
      <c r="R923" s="7" t="s">
        <v>7368</v>
      </c>
      <c r="S923" s="7"/>
      <c r="T923" s="8"/>
      <c r="U923" s="19" t="str">
        <f>HYPERLINK("https://pbs.twimg.com/profile_images/1074437330675601409/oguwuW1T.jpg","View")</f>
        <v>View</v>
      </c>
      <c r="V923" s="8"/>
      <c r="W923" s="8"/>
      <c r="X923" s="8"/>
      <c r="Y923" s="8"/>
      <c r="Z923" s="8"/>
    </row>
    <row r="924" spans="1:26" ht="12.75">
      <c r="A924" s="11">
        <v>43747.294085648144</v>
      </c>
      <c r="B924" s="12" t="str">
        <f>HYPERLINK("https://twitter.com/zbeuedutr","@zbeuedutr")</f>
        <v>@zbeuedutr</v>
      </c>
      <c r="C924" s="7" t="s">
        <v>7373</v>
      </c>
      <c r="D924" s="7" t="s">
        <v>7374</v>
      </c>
      <c r="E924" s="12" t="str">
        <f>HYPERLINK("https://twitter.com/zbeuedutr/status/1181933200970584064","1181933200970584064")</f>
        <v>1181933200970584064</v>
      </c>
      <c r="F924" s="8"/>
      <c r="G924" s="15"/>
      <c r="H924" s="8"/>
      <c r="I924" s="15">
        <v>0</v>
      </c>
      <c r="J924" s="15">
        <v>7</v>
      </c>
      <c r="K924" s="12" t="str">
        <f>HYPERLINK("https://mobile.twitter.com","Twitter Web App")</f>
        <v>Twitter Web App</v>
      </c>
      <c r="L924" s="16">
        <v>1510</v>
      </c>
      <c r="M924" s="16">
        <v>1043</v>
      </c>
      <c r="N924" s="16">
        <v>0</v>
      </c>
      <c r="O924" s="17"/>
      <c r="P924" s="18">
        <v>43321.248020833329</v>
      </c>
      <c r="Q924" s="7" t="s">
        <v>1066</v>
      </c>
      <c r="R924" s="7" t="s">
        <v>7375</v>
      </c>
      <c r="S924" s="15"/>
      <c r="T924" s="8"/>
      <c r="U924" s="19" t="str">
        <f>HYPERLINK("https://pbs.twimg.com/profile_images/1158415394585096194/RSLUQUmt.jpg","View")</f>
        <v>View</v>
      </c>
      <c r="V924" s="8"/>
      <c r="W924" s="8"/>
      <c r="X924" s="8"/>
      <c r="Y924" s="8"/>
      <c r="Z924" s="8"/>
    </row>
    <row r="925" spans="1:26" ht="12.75">
      <c r="A925" s="11">
        <v>43747.294074074074</v>
      </c>
      <c r="B925" s="12" t="str">
        <f>HYPERLINK("https://twitter.com/umitsennn97","@umitsennn97")</f>
        <v>@umitsennn97</v>
      </c>
      <c r="C925" s="7" t="s">
        <v>7378</v>
      </c>
      <c r="D925" s="7" t="s">
        <v>7379</v>
      </c>
      <c r="E925" s="12" t="str">
        <f>HYPERLINK("https://twitter.com/umitsennn97/status/1181933198017777666","1181933198017777666")</f>
        <v>1181933198017777666</v>
      </c>
      <c r="F925" s="8"/>
      <c r="G925" s="14" t="s">
        <v>7380</v>
      </c>
      <c r="H925" s="8"/>
      <c r="I925" s="15">
        <v>1</v>
      </c>
      <c r="J925" s="15">
        <v>2</v>
      </c>
      <c r="K925" s="12" t="str">
        <f>HYPERLINK("http://twitter.com/download/android","Twitter for Android")</f>
        <v>Twitter for Android</v>
      </c>
      <c r="L925" s="16">
        <v>298</v>
      </c>
      <c r="M925" s="16">
        <v>127</v>
      </c>
      <c r="N925" s="16">
        <v>0</v>
      </c>
      <c r="O925" s="17"/>
      <c r="P925" s="18">
        <v>42257.499895833331</v>
      </c>
      <c r="Q925" s="7"/>
      <c r="R925" s="7" t="s">
        <v>7381</v>
      </c>
      <c r="S925" s="15"/>
      <c r="T925" s="8"/>
      <c r="U925" s="19" t="str">
        <f>HYPERLINK("https://pbs.twimg.com/profile_images/1088397531971751938/S3CtjJxk.jpg","View")</f>
        <v>View</v>
      </c>
      <c r="V925" s="8"/>
      <c r="W925" s="8"/>
      <c r="X925" s="8"/>
      <c r="Y925" s="8"/>
      <c r="Z925" s="8"/>
    </row>
    <row r="926" spans="1:26" ht="12.75">
      <c r="A926" s="11">
        <v>43747.294062500005</v>
      </c>
      <c r="B926" s="12" t="str">
        <f>HYPERLINK("https://twitter.com/purkinaa","@purkinaa")</f>
        <v>@purkinaa</v>
      </c>
      <c r="C926" s="7" t="s">
        <v>7385</v>
      </c>
      <c r="D926" s="7" t="s">
        <v>7386</v>
      </c>
      <c r="E926" s="12" t="str">
        <f>HYPERLINK("https://twitter.com/purkinaa/status/1181933195572531200","1181933195572531200")</f>
        <v>1181933195572531200</v>
      </c>
      <c r="F926" s="8"/>
      <c r="G926" s="15"/>
      <c r="H926" s="8"/>
      <c r="I926" s="15">
        <v>0</v>
      </c>
      <c r="J926" s="15">
        <v>0</v>
      </c>
      <c r="K926" s="12" t="str">
        <f>HYPERLINK("http://twitter.com/download/android","Twitter for Android")</f>
        <v>Twitter for Android</v>
      </c>
      <c r="L926" s="16">
        <v>1226</v>
      </c>
      <c r="M926" s="16">
        <v>1486</v>
      </c>
      <c r="N926" s="16">
        <v>0</v>
      </c>
      <c r="O926" s="17"/>
      <c r="P926" s="18">
        <v>42256.450324074074</v>
      </c>
      <c r="Q926" s="7"/>
      <c r="R926" s="7" t="s">
        <v>7389</v>
      </c>
      <c r="S926" s="7"/>
      <c r="T926" s="8"/>
      <c r="U926" s="19" t="str">
        <f>HYPERLINK("https://pbs.twimg.com/profile_images/1180513194827288582/B8UeNvXw.jpg","View")</f>
        <v>View</v>
      </c>
      <c r="V926" s="8"/>
      <c r="W926" s="8"/>
      <c r="X926" s="8"/>
      <c r="Y926" s="8"/>
      <c r="Z926" s="8"/>
    </row>
    <row r="927" spans="1:26" ht="12.75">
      <c r="A927" s="11">
        <v>43747.294039351851</v>
      </c>
      <c r="B927" s="12" t="str">
        <f>HYPERLINK("https://twitter.com/muhammedluma","@muhammedluma")</f>
        <v>@muhammedluma</v>
      </c>
      <c r="C927" s="7" t="s">
        <v>7393</v>
      </c>
      <c r="D927" s="7" t="s">
        <v>7394</v>
      </c>
      <c r="E927" s="12" t="str">
        <f>HYPERLINK("https://twitter.com/muhammedluma/status/1181933185732665347","1181933185732665347")</f>
        <v>1181933185732665347</v>
      </c>
      <c r="F927" s="8"/>
      <c r="G927" s="7"/>
      <c r="H927" s="8"/>
      <c r="I927" s="15">
        <v>0</v>
      </c>
      <c r="J927" s="15">
        <v>0</v>
      </c>
      <c r="K927" s="12" t="str">
        <f>HYPERLINK("http://twitter.com/download/android","Twitter for Android")</f>
        <v>Twitter for Android</v>
      </c>
      <c r="L927" s="16">
        <v>63</v>
      </c>
      <c r="M927" s="16">
        <v>192</v>
      </c>
      <c r="N927" s="16">
        <v>0</v>
      </c>
      <c r="O927" s="17"/>
      <c r="P927" s="18">
        <v>43698.958969907406</v>
      </c>
      <c r="Q927" s="7" t="s">
        <v>313</v>
      </c>
      <c r="R927" s="7" t="s">
        <v>7398</v>
      </c>
      <c r="S927" s="15"/>
      <c r="T927" s="8"/>
      <c r="U927" s="19" t="str">
        <f>HYPERLINK("https://pbs.twimg.com/profile_images/1172897167150895104/lNsxJCzz.jpg","View")</f>
        <v>View</v>
      </c>
      <c r="V927" s="8"/>
      <c r="W927" s="8"/>
      <c r="X927" s="8"/>
      <c r="Y927" s="8"/>
      <c r="Z927" s="8"/>
    </row>
    <row r="928" spans="1:26" ht="12.75">
      <c r="A928" s="11">
        <v>43747.294027777782</v>
      </c>
      <c r="B928" s="12" t="str">
        <f>HYPERLINK("https://twitter.com/KazimElMikrop","@KazimElMikrop")</f>
        <v>@KazimElMikrop</v>
      </c>
      <c r="C928" s="7" t="s">
        <v>7403</v>
      </c>
      <c r="D928" s="7" t="s">
        <v>7404</v>
      </c>
      <c r="E928" s="12" t="str">
        <f>HYPERLINK("https://twitter.com/KazimElMikrop/status/1181933181756493825","1181933181756493825")</f>
        <v>1181933181756493825</v>
      </c>
      <c r="F928" s="8"/>
      <c r="G928" s="14" t="s">
        <v>7405</v>
      </c>
      <c r="H928" s="8"/>
      <c r="I928" s="15">
        <v>0</v>
      </c>
      <c r="J928" s="15">
        <v>0</v>
      </c>
      <c r="K928" s="12" t="str">
        <f>HYPERLINK("http://twitter.com/download/android","Twitter for Android")</f>
        <v>Twitter for Android</v>
      </c>
      <c r="L928" s="16">
        <v>132</v>
      </c>
      <c r="M928" s="16">
        <v>237</v>
      </c>
      <c r="N928" s="16">
        <v>0</v>
      </c>
      <c r="O928" s="17"/>
      <c r="P928" s="18">
        <v>43053.114652777775</v>
      </c>
      <c r="Q928" s="7"/>
      <c r="R928" s="7" t="s">
        <v>7408</v>
      </c>
      <c r="S928" s="7"/>
      <c r="T928" s="8"/>
      <c r="U928" s="19" t="str">
        <f>HYPERLINK("https://pbs.twimg.com/profile_images/1095553225032376320/iZz36Bky.jpg","View")</f>
        <v>View</v>
      </c>
      <c r="V928" s="8"/>
      <c r="W928" s="8"/>
      <c r="X928" s="8"/>
      <c r="Y928" s="8"/>
      <c r="Z928" s="8"/>
    </row>
    <row r="929" spans="1:26" ht="12.75">
      <c r="A929" s="11">
        <v>43747.294004629628</v>
      </c>
      <c r="B929" s="12" t="str">
        <f>HYPERLINK("https://twitter.com/cumaerdogan","@cumaerdogan")</f>
        <v>@cumaerdogan</v>
      </c>
      <c r="C929" s="7" t="s">
        <v>7410</v>
      </c>
      <c r="D929" s="7" t="s">
        <v>7411</v>
      </c>
      <c r="E929" s="12" t="str">
        <f>HYPERLINK("https://twitter.com/cumaerdogan/status/1181933175234277376","1181933175234277376")</f>
        <v>1181933175234277376</v>
      </c>
      <c r="F929" s="8"/>
      <c r="G929" s="7"/>
      <c r="H929" s="8"/>
      <c r="I929" s="15">
        <v>0</v>
      </c>
      <c r="J929" s="15">
        <v>0</v>
      </c>
      <c r="K929" s="12" t="str">
        <f>HYPERLINK("http://twitter.com/download/iphone","Twitter for iPhone")</f>
        <v>Twitter for iPhone</v>
      </c>
      <c r="L929" s="16">
        <v>826</v>
      </c>
      <c r="M929" s="16">
        <v>581</v>
      </c>
      <c r="N929" s="16">
        <v>2</v>
      </c>
      <c r="O929" s="17"/>
      <c r="P929" s="18">
        <v>40440.291678240741</v>
      </c>
      <c r="Q929" s="7" t="s">
        <v>6115</v>
      </c>
      <c r="R929" s="7" t="s">
        <v>7415</v>
      </c>
      <c r="S929" s="7"/>
      <c r="T929" s="8"/>
      <c r="U929" s="19" t="str">
        <f>HYPERLINK("https://pbs.twimg.com/profile_images/1135588560566984707/dDGqrfO9.jpg","View")</f>
        <v>View</v>
      </c>
      <c r="V929" s="8"/>
      <c r="W929" s="8"/>
      <c r="X929" s="8"/>
      <c r="Y929" s="8"/>
      <c r="Z929" s="8"/>
    </row>
    <row r="930" spans="1:26" ht="12.75">
      <c r="A930" s="11">
        <v>43747.294004629628</v>
      </c>
      <c r="B930" s="12" t="str">
        <f>HYPERLINK("https://twitter.com/MsCmrt","@MsCmrt")</f>
        <v>@MsCmrt</v>
      </c>
      <c r="C930" s="7" t="s">
        <v>7416</v>
      </c>
      <c r="D930" s="7" t="s">
        <v>7417</v>
      </c>
      <c r="E930" s="12" t="str">
        <f>HYPERLINK("https://twitter.com/MsCmrt/status/1181933174894579716","1181933174894579716")</f>
        <v>1181933174894579716</v>
      </c>
      <c r="F930" s="8"/>
      <c r="G930" s="15"/>
      <c r="H930" s="8"/>
      <c r="I930" s="15">
        <v>0</v>
      </c>
      <c r="J930" s="15">
        <v>0</v>
      </c>
      <c r="K930" s="12" t="str">
        <f>HYPERLINK("http://twitter.com/download/iphone","Twitter for iPhone")</f>
        <v>Twitter for iPhone</v>
      </c>
      <c r="L930" s="16">
        <v>267</v>
      </c>
      <c r="M930" s="16">
        <v>308</v>
      </c>
      <c r="N930" s="16">
        <v>0</v>
      </c>
      <c r="O930" s="17"/>
      <c r="P930" s="18">
        <v>40099.293611111112</v>
      </c>
      <c r="Q930" s="7" t="s">
        <v>7420</v>
      </c>
      <c r="R930" s="7" t="s">
        <v>7421</v>
      </c>
      <c r="S930" s="14" t="s">
        <v>7422</v>
      </c>
      <c r="T930" s="8"/>
      <c r="U930" s="19" t="str">
        <f>HYPERLINK("https://pbs.twimg.com/profile_images/1086377563407245312/iIy5Sw6F.jpg","View")</f>
        <v>View</v>
      </c>
      <c r="V930" s="8"/>
      <c r="W930" s="8"/>
      <c r="X930" s="8"/>
      <c r="Y930" s="8"/>
      <c r="Z930" s="8"/>
    </row>
    <row r="931" spans="1:26" ht="12.75">
      <c r="A931" s="11">
        <v>43747.293981481482</v>
      </c>
      <c r="B931" s="12" t="str">
        <f>HYPERLINK("https://twitter.com/mehmetakseki","@mehmetakseki")</f>
        <v>@mehmetakseki</v>
      </c>
      <c r="C931" s="7" t="s">
        <v>7425</v>
      </c>
      <c r="D931" s="7" t="s">
        <v>7426</v>
      </c>
      <c r="E931" s="12" t="str">
        <f>HYPERLINK("https://twitter.com/mehmetakseki/status/1181933164119412736","1181933164119412736")</f>
        <v>1181933164119412736</v>
      </c>
      <c r="F931" s="15"/>
      <c r="G931" s="14" t="s">
        <v>7427</v>
      </c>
      <c r="H931" s="8"/>
      <c r="I931" s="15">
        <v>0</v>
      </c>
      <c r="J931" s="15">
        <v>0</v>
      </c>
      <c r="K931" s="12" t="str">
        <f>HYPERLINK("http://twitter.com/download/android","Twitter for Android")</f>
        <v>Twitter for Android</v>
      </c>
      <c r="L931" s="16">
        <v>292</v>
      </c>
      <c r="M931" s="16">
        <v>466</v>
      </c>
      <c r="N931" s="16">
        <v>1</v>
      </c>
      <c r="O931" s="17"/>
      <c r="P931" s="18">
        <v>40392.220763888887</v>
      </c>
      <c r="Q931" s="7"/>
      <c r="R931" s="7" t="s">
        <v>7429</v>
      </c>
      <c r="S931" s="7"/>
      <c r="T931" s="8"/>
      <c r="U931" s="19" t="str">
        <f>HYPERLINK("https://pbs.twimg.com/profile_images/955883083659644928/V1AH0EQa.jpg","View")</f>
        <v>View</v>
      </c>
      <c r="V931" s="8"/>
      <c r="W931" s="8"/>
      <c r="X931" s="8"/>
      <c r="Y931" s="8"/>
      <c r="Z931" s="8"/>
    </row>
    <row r="932" spans="1:26" ht="12.75">
      <c r="A932" s="11">
        <v>43747.293969907405</v>
      </c>
      <c r="B932" s="12" t="str">
        <f>HYPERLINK("https://twitter.com/umitkurt_61","@umitkurt_61")</f>
        <v>@umitkurt_61</v>
      </c>
      <c r="C932" s="7" t="s">
        <v>7430</v>
      </c>
      <c r="D932" s="7" t="s">
        <v>7431</v>
      </c>
      <c r="E932" s="12" t="str">
        <f>HYPERLINK("https://twitter.com/umitkurt_61/status/1181933162672410624","1181933162672410624")</f>
        <v>1181933162672410624</v>
      </c>
      <c r="F932" s="15"/>
      <c r="G932" s="14" t="s">
        <v>7433</v>
      </c>
      <c r="H932" s="8"/>
      <c r="I932" s="15">
        <v>0</v>
      </c>
      <c r="J932" s="15">
        <v>1</v>
      </c>
      <c r="K932" s="12" t="str">
        <f>HYPERLINK("http://twitter.com/download/android","Twitter for Android")</f>
        <v>Twitter for Android</v>
      </c>
      <c r="L932" s="16">
        <v>857</v>
      </c>
      <c r="M932" s="16">
        <v>894</v>
      </c>
      <c r="N932" s="16">
        <v>0</v>
      </c>
      <c r="O932" s="17"/>
      <c r="P932" s="18">
        <v>43570.282060185185</v>
      </c>
      <c r="Q932" s="7" t="s">
        <v>1748</v>
      </c>
      <c r="R932" s="7" t="s">
        <v>7434</v>
      </c>
      <c r="S932" s="14" t="s">
        <v>7435</v>
      </c>
      <c r="T932" s="8"/>
      <c r="U932" s="19" t="str">
        <f>HYPERLINK("https://pbs.twimg.com/profile_images/1153227405760303104/LDCKmDQ-.jpg","View")</f>
        <v>View</v>
      </c>
      <c r="V932" s="8"/>
      <c r="W932" s="8"/>
      <c r="X932" s="8"/>
      <c r="Y932" s="8"/>
      <c r="Z932" s="8"/>
    </row>
    <row r="933" spans="1:26" ht="12.75">
      <c r="A933" s="11">
        <v>43747.293969907405</v>
      </c>
      <c r="B933" s="12" t="str">
        <f>HYPERLINK("https://twitter.com/DGDimitrakop","@DGDimitrakop")</f>
        <v>@DGDimitrakop</v>
      </c>
      <c r="C933" s="7" t="s">
        <v>7439</v>
      </c>
      <c r="D933" s="7" t="s">
        <v>7440</v>
      </c>
      <c r="E933" s="12" t="str">
        <f>HYPERLINK("https://twitter.com/DGDimitrakop/status/1181933160285769729","1181933160285769729")</f>
        <v>1181933160285769729</v>
      </c>
      <c r="F933" s="14" t="s">
        <v>7441</v>
      </c>
      <c r="G933" s="14" t="s">
        <v>7442</v>
      </c>
      <c r="H933" s="8"/>
      <c r="I933" s="15">
        <v>1</v>
      </c>
      <c r="J933" s="15">
        <v>1</v>
      </c>
      <c r="K933" s="12" t="str">
        <f>HYPERLINK("http://twitter.com/download/iphone","Twitter for iPhone")</f>
        <v>Twitter for iPhone</v>
      </c>
      <c r="L933" s="16">
        <v>1383</v>
      </c>
      <c r="M933" s="16">
        <v>1158</v>
      </c>
      <c r="N933" s="16">
        <v>97</v>
      </c>
      <c r="O933" s="17"/>
      <c r="P933" s="18">
        <v>42002.27506944444</v>
      </c>
      <c r="Q933" s="7" t="s">
        <v>6115</v>
      </c>
      <c r="R933" s="7" t="s">
        <v>7444</v>
      </c>
      <c r="S933" s="14" t="s">
        <v>7446</v>
      </c>
      <c r="T933" s="8"/>
      <c r="U933" s="19" t="str">
        <f>HYPERLINK("https://pbs.twimg.com/profile_images/1106129279472070656/g_Gb4RAl.png","View")</f>
        <v>View</v>
      </c>
      <c r="V933" s="8"/>
      <c r="W933" s="8"/>
      <c r="X933" s="8"/>
      <c r="Y933" s="8"/>
      <c r="Z933" s="8"/>
    </row>
    <row r="934" spans="1:26" ht="12.75">
      <c r="A934" s="11">
        <v>43747.293912037036</v>
      </c>
      <c r="B934" s="12" t="str">
        <f>HYPERLINK("https://twitter.com/bratjennie","@bratjennie")</f>
        <v>@bratjennie</v>
      </c>
      <c r="C934" s="7" t="s">
        <v>7447</v>
      </c>
      <c r="D934" s="7" t="s">
        <v>7448</v>
      </c>
      <c r="E934" s="12" t="str">
        <f>HYPERLINK("https://twitter.com/bratjennie/status/1181933141684097026","1181933141684097026")</f>
        <v>1181933141684097026</v>
      </c>
      <c r="F934" s="8"/>
      <c r="G934" s="14" t="s">
        <v>7449</v>
      </c>
      <c r="H934" s="8"/>
      <c r="I934" s="15">
        <v>0</v>
      </c>
      <c r="J934" s="15">
        <v>0</v>
      </c>
      <c r="K934" s="12" t="str">
        <f>HYPERLINK("http://twitter.com/download/iphone","Twitter for iPhone")</f>
        <v>Twitter for iPhone</v>
      </c>
      <c r="L934" s="16">
        <v>906</v>
      </c>
      <c r="M934" s="16">
        <v>479</v>
      </c>
      <c r="N934" s="16">
        <v>21</v>
      </c>
      <c r="O934" s="17"/>
      <c r="P934" s="18">
        <v>42966.802569444444</v>
      </c>
      <c r="Q934" s="7" t="s">
        <v>7453</v>
      </c>
      <c r="R934" s="7" t="s">
        <v>7454</v>
      </c>
      <c r="S934" s="14" t="s">
        <v>7455</v>
      </c>
      <c r="T934" s="8"/>
      <c r="U934" s="19" t="str">
        <f>HYPERLINK("https://pbs.twimg.com/profile_images/1181331367428345856/T2W_OPKH.jpg","View")</f>
        <v>View</v>
      </c>
      <c r="V934" s="8"/>
      <c r="W934" s="8"/>
      <c r="X934" s="8"/>
      <c r="Y934" s="8"/>
      <c r="Z934" s="8"/>
    </row>
    <row r="935" spans="1:26" ht="12.75">
      <c r="A935" s="11">
        <v>43747.293900462959</v>
      </c>
      <c r="B935" s="12" t="str">
        <f>HYPERLINK("https://twitter.com/syhdlny","@syhdlny")</f>
        <v>@syhdlny</v>
      </c>
      <c r="C935" s="7" t="s">
        <v>7458</v>
      </c>
      <c r="D935" s="7" t="s">
        <v>7459</v>
      </c>
      <c r="E935" s="12" t="str">
        <f>HYPERLINK("https://twitter.com/syhdlny/status/1181933137623953411","1181933137623953411")</f>
        <v>1181933137623953411</v>
      </c>
      <c r="F935" s="8"/>
      <c r="G935" s="14" t="s">
        <v>7460</v>
      </c>
      <c r="H935" s="8"/>
      <c r="I935" s="15">
        <v>0</v>
      </c>
      <c r="J935" s="15">
        <v>0</v>
      </c>
      <c r="K935" s="12" t="str">
        <f>HYPERLINK("http://twitter.com/download/android","Twitter for Android")</f>
        <v>Twitter for Android</v>
      </c>
      <c r="L935" s="16">
        <v>79</v>
      </c>
      <c r="M935" s="16">
        <v>120</v>
      </c>
      <c r="N935" s="16">
        <v>0</v>
      </c>
      <c r="O935" s="17"/>
      <c r="P935" s="18">
        <v>40942.565462962964</v>
      </c>
      <c r="Q935" s="7" t="s">
        <v>860</v>
      </c>
      <c r="R935" s="7"/>
      <c r="S935" s="7"/>
      <c r="T935" s="8"/>
      <c r="U935" s="19" t="str">
        <f>HYPERLINK("https://pbs.twimg.com/profile_images/1180372849397243906/bDSzuYU9.jpg","View")</f>
        <v>View</v>
      </c>
      <c r="V935" s="8"/>
      <c r="W935" s="8"/>
      <c r="X935" s="8"/>
      <c r="Y935" s="8"/>
      <c r="Z935" s="8"/>
    </row>
    <row r="936" spans="1:26" ht="12.75">
      <c r="A936" s="11">
        <v>43747.293888888889</v>
      </c>
      <c r="B936" s="12" t="str">
        <f>HYPERLINK("https://twitter.com/serkan_grcn","@serkan_grcn")</f>
        <v>@serkan_grcn</v>
      </c>
      <c r="C936" s="7" t="s">
        <v>7463</v>
      </c>
      <c r="D936" s="7" t="s">
        <v>7464</v>
      </c>
      <c r="E936" s="12" t="str">
        <f>HYPERLINK("https://twitter.com/serkan_grcn/status/1181933131177365505","1181933131177365505")</f>
        <v>1181933131177365505</v>
      </c>
      <c r="F936" s="8"/>
      <c r="G936" s="14" t="s">
        <v>7465</v>
      </c>
      <c r="H936" s="8"/>
      <c r="I936" s="15">
        <v>0</v>
      </c>
      <c r="J936" s="15">
        <v>1</v>
      </c>
      <c r="K936" s="12" t="str">
        <f>HYPERLINK("http://twitter.com/download/iphone","Twitter for iPhone")</f>
        <v>Twitter for iPhone</v>
      </c>
      <c r="L936" s="16">
        <v>94</v>
      </c>
      <c r="M936" s="16">
        <v>500</v>
      </c>
      <c r="N936" s="16">
        <v>0</v>
      </c>
      <c r="O936" s="17"/>
      <c r="P936" s="18">
        <v>41646.50712962963</v>
      </c>
      <c r="Q936" s="7"/>
      <c r="R936" s="7"/>
      <c r="S936" s="7"/>
      <c r="T936" s="8"/>
      <c r="U936" s="19" t="str">
        <f>HYPERLINK("https://pbs.twimg.com/profile_images/1065529217667014656/68oF3D5K.jpg","View")</f>
        <v>View</v>
      </c>
      <c r="V936" s="8"/>
      <c r="W936" s="8"/>
      <c r="X936" s="8"/>
      <c r="Y936" s="8"/>
      <c r="Z936" s="8"/>
    </row>
    <row r="937" spans="1:26" ht="12.75">
      <c r="A937" s="11">
        <v>43747.29387731482</v>
      </c>
      <c r="B937" s="12" t="str">
        <f>HYPERLINK("https://twitter.com/whisprzz","@whisprzz")</f>
        <v>@whisprzz</v>
      </c>
      <c r="C937" s="7" t="s">
        <v>7468</v>
      </c>
      <c r="D937" s="7" t="s">
        <v>7469</v>
      </c>
      <c r="E937" s="12" t="str">
        <f>HYPERLINK("https://twitter.com/whisprzz/status/1181933128891416576","1181933128891416576")</f>
        <v>1181933128891416576</v>
      </c>
      <c r="F937" s="8"/>
      <c r="G937" s="7"/>
      <c r="H937" s="8"/>
      <c r="I937" s="15">
        <v>0</v>
      </c>
      <c r="J937" s="15">
        <v>2</v>
      </c>
      <c r="K937" s="12" t="str">
        <f>HYPERLINK("http://twitter.com/download/android","Twitter for Android")</f>
        <v>Twitter for Android</v>
      </c>
      <c r="L937" s="16">
        <v>1538</v>
      </c>
      <c r="M937" s="16">
        <v>408</v>
      </c>
      <c r="N937" s="16">
        <v>2</v>
      </c>
      <c r="O937" s="17"/>
      <c r="P937" s="18">
        <v>40547.184340277774</v>
      </c>
      <c r="Q937" s="7" t="s">
        <v>7470</v>
      </c>
      <c r="R937" s="7" t="s">
        <v>7471</v>
      </c>
      <c r="S937" s="14" t="s">
        <v>7472</v>
      </c>
      <c r="T937" s="8"/>
      <c r="U937" s="19" t="str">
        <f>HYPERLINK("https://pbs.twimg.com/profile_images/1036064043994427393/xiXtc1gR.jpg","View")</f>
        <v>View</v>
      </c>
      <c r="V937" s="8"/>
      <c r="W937" s="8"/>
      <c r="X937" s="8"/>
      <c r="Y937" s="8"/>
      <c r="Z937" s="8"/>
    </row>
    <row r="938" spans="1:26" ht="12.75">
      <c r="A938" s="11">
        <v>43747.29387731482</v>
      </c>
      <c r="B938" s="12" t="str">
        <f>HYPERLINK("https://twitter.com/byadigar","@byadigar")</f>
        <v>@byadigar</v>
      </c>
      <c r="C938" s="7" t="s">
        <v>7475</v>
      </c>
      <c r="D938" s="7" t="s">
        <v>7476</v>
      </c>
      <c r="E938" s="12" t="str">
        <f>HYPERLINK("https://twitter.com/byadigar/status/1181933128488816640","1181933128488816640")</f>
        <v>1181933128488816640</v>
      </c>
      <c r="F938" s="8"/>
      <c r="G938" s="14" t="s">
        <v>7479</v>
      </c>
      <c r="H938" s="8"/>
      <c r="I938" s="15">
        <v>1</v>
      </c>
      <c r="J938" s="15">
        <v>18</v>
      </c>
      <c r="K938" s="12" t="str">
        <f>HYPERLINK("http://twitter.com/download/android","Twitter for Android")</f>
        <v>Twitter for Android</v>
      </c>
      <c r="L938" s="16">
        <v>20965</v>
      </c>
      <c r="M938" s="16">
        <v>20595</v>
      </c>
      <c r="N938" s="16">
        <v>4</v>
      </c>
      <c r="O938" s="17"/>
      <c r="P938" s="18">
        <v>40670.387708333335</v>
      </c>
      <c r="Q938" s="7" t="s">
        <v>287</v>
      </c>
      <c r="R938" s="7" t="s">
        <v>7482</v>
      </c>
      <c r="S938" s="7"/>
      <c r="T938" s="8"/>
      <c r="U938" s="19" t="str">
        <f>HYPERLINK("https://pbs.twimg.com/profile_images/1181878196767219713/uHYsra0i.jpg","View")</f>
        <v>View</v>
      </c>
      <c r="V938" s="8"/>
      <c r="W938" s="8"/>
      <c r="X938" s="8"/>
      <c r="Y938" s="8"/>
      <c r="Z938" s="8"/>
    </row>
    <row r="939" spans="1:26" ht="12.75">
      <c r="A939" s="11">
        <v>43747.293865740736</v>
      </c>
      <c r="B939" s="12" t="str">
        <f>HYPERLINK("https://twitter.com/erdalcanicelli","@erdalcanicelli")</f>
        <v>@erdalcanicelli</v>
      </c>
      <c r="C939" s="7" t="s">
        <v>7485</v>
      </c>
      <c r="D939" s="7" t="s">
        <v>7486</v>
      </c>
      <c r="E939" s="12" t="str">
        <f>HYPERLINK("https://twitter.com/erdalcanicelli/status/1181933124378345472","1181933124378345472")</f>
        <v>1181933124378345472</v>
      </c>
      <c r="F939" s="8"/>
      <c r="G939" s="14" t="s">
        <v>7487</v>
      </c>
      <c r="H939" s="8"/>
      <c r="I939" s="15">
        <v>0</v>
      </c>
      <c r="J939" s="15">
        <v>0</v>
      </c>
      <c r="K939" s="12" t="str">
        <f>HYPERLINK("http://twitter.com/download/iphone","Twitter for iPhone")</f>
        <v>Twitter for iPhone</v>
      </c>
      <c r="L939" s="16">
        <v>85</v>
      </c>
      <c r="M939" s="16">
        <v>117</v>
      </c>
      <c r="N939" s="16">
        <v>0</v>
      </c>
      <c r="O939" s="17"/>
      <c r="P939" s="18">
        <v>42947.978252314817</v>
      </c>
      <c r="Q939" s="7" t="s">
        <v>313</v>
      </c>
      <c r="R939" s="7" t="s">
        <v>7488</v>
      </c>
      <c r="S939" s="7"/>
      <c r="T939" s="8"/>
      <c r="U939" s="19" t="str">
        <f>HYPERLINK("https://pbs.twimg.com/profile_images/1173883597696229376/7FtrL9aH.jpg","View")</f>
        <v>View</v>
      </c>
      <c r="V939" s="8"/>
      <c r="W939" s="8"/>
      <c r="X939" s="8"/>
      <c r="Y939" s="8"/>
      <c r="Z939" s="8"/>
    </row>
    <row r="940" spans="1:26" ht="12.75">
      <c r="A940" s="11">
        <v>43747.293854166666</v>
      </c>
      <c r="B940" s="12" t="str">
        <f>HYPERLINK("https://twitter.com/yesim_soner_26","@yesim_soner_26")</f>
        <v>@yesim_soner_26</v>
      </c>
      <c r="C940" s="7" t="s">
        <v>7489</v>
      </c>
      <c r="D940" s="7" t="s">
        <v>7490</v>
      </c>
      <c r="E940" s="12" t="str">
        <f>HYPERLINK("https://twitter.com/yesim_soner_26/status/1181933121131941889","1181933121131941889")</f>
        <v>1181933121131941889</v>
      </c>
      <c r="F940" s="15"/>
      <c r="G940" s="14" t="s">
        <v>7491</v>
      </c>
      <c r="H940" s="8"/>
      <c r="I940" s="15">
        <v>1</v>
      </c>
      <c r="J940" s="15">
        <v>4</v>
      </c>
      <c r="K940" s="12" t="str">
        <f>HYPERLINK("http://twitter.com/download/android","Twitter for Android")</f>
        <v>Twitter for Android</v>
      </c>
      <c r="L940" s="16">
        <v>52</v>
      </c>
      <c r="M940" s="16">
        <v>376</v>
      </c>
      <c r="N940" s="16">
        <v>0</v>
      </c>
      <c r="O940" s="17"/>
      <c r="P940" s="18">
        <v>40425.263657407406</v>
      </c>
      <c r="Q940" s="7" t="s">
        <v>2277</v>
      </c>
      <c r="R940" s="7" t="s">
        <v>7494</v>
      </c>
      <c r="S940" s="7"/>
      <c r="T940" s="8"/>
      <c r="U940" s="19" t="str">
        <f>HYPERLINK("https://pbs.twimg.com/profile_images/1026202388154249216/pVJJU7Yl.jpg","View")</f>
        <v>View</v>
      </c>
      <c r="V940" s="8"/>
      <c r="W940" s="8"/>
      <c r="X940" s="8"/>
      <c r="Y940" s="8"/>
      <c r="Z940" s="8"/>
    </row>
    <row r="941" spans="1:26" ht="12.75">
      <c r="A941" s="11">
        <v>43747.29383101852</v>
      </c>
      <c r="B941" s="12" t="str">
        <f>HYPERLINK("https://twitter.com/karahanliMemed","@karahanliMemed")</f>
        <v>@karahanliMemed</v>
      </c>
      <c r="C941" s="7" t="s">
        <v>7496</v>
      </c>
      <c r="D941" s="7" t="s">
        <v>7497</v>
      </c>
      <c r="E941" s="12" t="str">
        <f>HYPERLINK("https://twitter.com/karahanliMemed/status/1181933112495874049","1181933112495874049")</f>
        <v>1181933112495874049</v>
      </c>
      <c r="F941" s="8"/>
      <c r="G941" s="14" t="s">
        <v>7500</v>
      </c>
      <c r="H941" s="8"/>
      <c r="I941" s="15">
        <v>0</v>
      </c>
      <c r="J941" s="15">
        <v>1</v>
      </c>
      <c r="K941" s="12" t="str">
        <f>HYPERLINK("https://mobile.twitter.com","Twitter Web App")</f>
        <v>Twitter Web App</v>
      </c>
      <c r="L941" s="16">
        <v>28109</v>
      </c>
      <c r="M941" s="16">
        <v>22587</v>
      </c>
      <c r="N941" s="16">
        <v>8</v>
      </c>
      <c r="O941" s="17"/>
      <c r="P941" s="18">
        <v>41567.132303240738</v>
      </c>
      <c r="Q941" s="7"/>
      <c r="R941" s="7" t="s">
        <v>7501</v>
      </c>
      <c r="S941" s="7"/>
      <c r="T941" s="8"/>
      <c r="U941" s="19" t="str">
        <f>HYPERLINK("https://pbs.twimg.com/profile_images/1107841902110523392/WPmiYh9V.png","View")</f>
        <v>View</v>
      </c>
      <c r="V941" s="8"/>
      <c r="W941" s="8"/>
      <c r="X941" s="8"/>
      <c r="Y941" s="8"/>
      <c r="Z941" s="8"/>
    </row>
    <row r="942" spans="1:26" ht="12.75">
      <c r="A942" s="11">
        <v>43747.29383101852</v>
      </c>
      <c r="B942" s="12" t="str">
        <f>HYPERLINK("https://twitter.com/Yasin94177595","@Yasin94177595")</f>
        <v>@Yasin94177595</v>
      </c>
      <c r="C942" s="7" t="s">
        <v>7504</v>
      </c>
      <c r="D942" s="7" t="s">
        <v>7505</v>
      </c>
      <c r="E942" s="12" t="str">
        <f>HYPERLINK("https://twitter.com/Yasin94177595/status/1181933110662959107","1181933110662959107")</f>
        <v>1181933110662959107</v>
      </c>
      <c r="F942" s="8"/>
      <c r="G942" s="14" t="s">
        <v>7506</v>
      </c>
      <c r="H942" s="8"/>
      <c r="I942" s="15">
        <v>0</v>
      </c>
      <c r="J942" s="15">
        <v>1</v>
      </c>
      <c r="K942" s="12" t="str">
        <f>HYPERLINK("http://twitter.com/download/android","Twitter for Android")</f>
        <v>Twitter for Android</v>
      </c>
      <c r="L942" s="16">
        <v>80</v>
      </c>
      <c r="M942" s="16">
        <v>37</v>
      </c>
      <c r="N942" s="16">
        <v>0</v>
      </c>
      <c r="O942" s="17"/>
      <c r="P942" s="18">
        <v>43536.609618055554</v>
      </c>
      <c r="Q942" s="7" t="s">
        <v>6778</v>
      </c>
      <c r="R942" s="7"/>
      <c r="S942" s="7"/>
      <c r="T942" s="8"/>
      <c r="U942" s="19" t="str">
        <f>HYPERLINK("https://pbs.twimg.com/profile_images/1181708842591240192/qsrVJiWl.jpg","View")</f>
        <v>View</v>
      </c>
      <c r="V942" s="8"/>
      <c r="W942" s="8"/>
      <c r="X942" s="8"/>
      <c r="Y942" s="8"/>
      <c r="Z942" s="8"/>
    </row>
    <row r="943" spans="1:26" ht="12.75">
      <c r="A943" s="11">
        <v>43747.293796296297</v>
      </c>
      <c r="B943" s="12" t="str">
        <f>HYPERLINK("https://twitter.com/recepshn19","@recepshn19")</f>
        <v>@recepshn19</v>
      </c>
      <c r="C943" s="7" t="s">
        <v>7510</v>
      </c>
      <c r="D943" s="7" t="s">
        <v>7511</v>
      </c>
      <c r="E943" s="12" t="str">
        <f>HYPERLINK("https://twitter.com/recepshn19/status/1181933096490426373","1181933096490426373")</f>
        <v>1181933096490426373</v>
      </c>
      <c r="F943" s="8"/>
      <c r="G943" s="15"/>
      <c r="H943" s="8"/>
      <c r="I943" s="15">
        <v>0</v>
      </c>
      <c r="J943" s="15">
        <v>0</v>
      </c>
      <c r="K943" s="12" t="str">
        <f>HYPERLINK("http://twitter.com/download/android","Twitter for Android")</f>
        <v>Twitter for Android</v>
      </c>
      <c r="L943" s="16">
        <v>621</v>
      </c>
      <c r="M943" s="16">
        <v>659</v>
      </c>
      <c r="N943" s="16">
        <v>0</v>
      </c>
      <c r="O943" s="17"/>
      <c r="P943" s="18">
        <v>43571.631574074076</v>
      </c>
      <c r="Q943" s="7" t="s">
        <v>7513</v>
      </c>
      <c r="R943" s="7" t="s">
        <v>7514</v>
      </c>
      <c r="S943" s="14" t="s">
        <v>7515</v>
      </c>
      <c r="T943" s="8"/>
      <c r="U943" s="19" t="str">
        <f>HYPERLINK("https://pbs.twimg.com/profile_images/1174079118218014720/fWs95sIR.jpg","View")</f>
        <v>View</v>
      </c>
      <c r="V943" s="8"/>
      <c r="W943" s="8"/>
      <c r="X943" s="8"/>
      <c r="Y943" s="8"/>
      <c r="Z943" s="8"/>
    </row>
    <row r="944" spans="1:26" ht="12.75">
      <c r="A944" s="11">
        <v>43747.293726851851</v>
      </c>
      <c r="B944" s="12" t="str">
        <f>HYPERLINK("https://twitter.com/muhammedkrtrr","@muhammedkrtrr")</f>
        <v>@muhammedkrtrr</v>
      </c>
      <c r="C944" s="7" t="s">
        <v>7524</v>
      </c>
      <c r="D944" s="7" t="s">
        <v>7525</v>
      </c>
      <c r="E944" s="12" t="str">
        <f>HYPERLINK("https://twitter.com/muhammedkrtrr/status/1181933074042511361","1181933074042511361")</f>
        <v>1181933074042511361</v>
      </c>
      <c r="F944" s="8"/>
      <c r="G944" s="15"/>
      <c r="H944" s="8"/>
      <c r="I944" s="15">
        <v>0</v>
      </c>
      <c r="J944" s="15">
        <v>0</v>
      </c>
      <c r="K944" s="12" t="str">
        <f>HYPERLINK("https://mobile.twitter.com","Twitter Web App")</f>
        <v>Twitter Web App</v>
      </c>
      <c r="L944" s="16">
        <v>1905</v>
      </c>
      <c r="M944" s="16">
        <v>1757</v>
      </c>
      <c r="N944" s="16">
        <v>2</v>
      </c>
      <c r="O944" s="17"/>
      <c r="P944" s="18">
        <v>40740.275208333333</v>
      </c>
      <c r="Q944" s="7" t="s">
        <v>4771</v>
      </c>
      <c r="R944" s="7" t="s">
        <v>7529</v>
      </c>
      <c r="S944" s="14" t="s">
        <v>7530</v>
      </c>
      <c r="T944" s="8"/>
      <c r="U944" s="19" t="str">
        <f>HYPERLINK("https://pbs.twimg.com/profile_images/1170358155785723905/0p3-rWJu.jpg","View")</f>
        <v>View</v>
      </c>
      <c r="V944" s="8"/>
      <c r="W944" s="8"/>
      <c r="X944" s="8"/>
      <c r="Y944" s="8"/>
      <c r="Z944" s="8"/>
    </row>
    <row r="945" spans="1:26" ht="12.75">
      <c r="A945" s="11">
        <v>43747.293726851851</v>
      </c>
      <c r="B945" s="12" t="str">
        <f>HYPERLINK("https://twitter.com/RabiaDilaraa","@RabiaDilaraa")</f>
        <v>@RabiaDilaraa</v>
      </c>
      <c r="C945" s="7" t="s">
        <v>7531</v>
      </c>
      <c r="D945" s="7" t="s">
        <v>7532</v>
      </c>
      <c r="E945" s="12" t="str">
        <f>HYPERLINK("https://twitter.com/RabiaDilaraa/status/1181933073371467777","1181933073371467777")</f>
        <v>1181933073371467777</v>
      </c>
      <c r="F945" s="8"/>
      <c r="G945" s="14" t="s">
        <v>7533</v>
      </c>
      <c r="H945" s="8"/>
      <c r="I945" s="15">
        <v>0</v>
      </c>
      <c r="J945" s="15">
        <v>0</v>
      </c>
      <c r="K945" s="12" t="str">
        <f>HYPERLINK("http://twitter.com/download/android","Twitter for Android")</f>
        <v>Twitter for Android</v>
      </c>
      <c r="L945" s="16">
        <v>472</v>
      </c>
      <c r="M945" s="16">
        <v>177</v>
      </c>
      <c r="N945" s="16">
        <v>1</v>
      </c>
      <c r="O945" s="17"/>
      <c r="P945" s="18">
        <v>41391.304988425924</v>
      </c>
      <c r="Q945" s="7"/>
      <c r="R945" s="7" t="s">
        <v>7534</v>
      </c>
      <c r="S945" s="7"/>
      <c r="T945" s="8"/>
      <c r="U945" s="19" t="str">
        <f>HYPERLINK("https://pbs.twimg.com/profile_images/1181935928253792257/dWoMYkvg.jpg","View")</f>
        <v>View</v>
      </c>
      <c r="V945" s="8"/>
      <c r="W945" s="8"/>
      <c r="X945" s="8"/>
      <c r="Y945" s="8"/>
      <c r="Z945" s="8"/>
    </row>
    <row r="946" spans="1:26" ht="12.75">
      <c r="A946" s="11">
        <v>43747.293703703705</v>
      </c>
      <c r="B946" s="12" t="str">
        <f>HYPERLINK("https://twitter.com/canosass","@canosass")</f>
        <v>@canosass</v>
      </c>
      <c r="C946" s="7" t="s">
        <v>7535</v>
      </c>
      <c r="D946" s="7" t="s">
        <v>7536</v>
      </c>
      <c r="E946" s="12" t="str">
        <f>HYPERLINK("https://twitter.com/canosass/status/1181933065934966785","1181933065934966785")</f>
        <v>1181933065934966785</v>
      </c>
      <c r="F946" s="15"/>
      <c r="G946" s="14" t="s">
        <v>7537</v>
      </c>
      <c r="H946" s="8"/>
      <c r="I946" s="15">
        <v>0</v>
      </c>
      <c r="J946" s="15">
        <v>0</v>
      </c>
      <c r="K946" s="12" t="str">
        <f>HYPERLINK("http://twitter.com/download/iphone","Twitter for iPhone")</f>
        <v>Twitter for iPhone</v>
      </c>
      <c r="L946" s="16">
        <v>542</v>
      </c>
      <c r="M946" s="16">
        <v>382</v>
      </c>
      <c r="N946" s="16">
        <v>1</v>
      </c>
      <c r="O946" s="17"/>
      <c r="P946" s="18">
        <v>42218.226041666669</v>
      </c>
      <c r="Q946" s="7" t="s">
        <v>7539</v>
      </c>
      <c r="R946" s="7" t="s">
        <v>7540</v>
      </c>
      <c r="S946" s="14" t="s">
        <v>7542</v>
      </c>
      <c r="T946" s="8"/>
      <c r="U946" s="19" t="str">
        <f>HYPERLINK("https://pbs.twimg.com/profile_images/1175734815045431297/hg5nAEA-.jpg","View")</f>
        <v>View</v>
      </c>
      <c r="V946" s="8"/>
      <c r="W946" s="8"/>
      <c r="X946" s="8"/>
      <c r="Y946" s="8"/>
      <c r="Z946" s="8"/>
    </row>
    <row r="947" spans="1:26" ht="12.75">
      <c r="A947" s="11">
        <v>43747.293680555551</v>
      </c>
      <c r="B947" s="12" t="str">
        <f>HYPERLINK("https://twitter.com/kanpara_furkan","@kanpara_furkan")</f>
        <v>@kanpara_furkan</v>
      </c>
      <c r="C947" s="7" t="s">
        <v>7543</v>
      </c>
      <c r="D947" s="7" t="s">
        <v>2572</v>
      </c>
      <c r="E947" s="12" t="str">
        <f>HYPERLINK("https://twitter.com/kanpara_furkan/status/1181933056585801728","1181933056585801728")</f>
        <v>1181933056585801728</v>
      </c>
      <c r="F947" s="8"/>
      <c r="G947" s="14" t="s">
        <v>7544</v>
      </c>
      <c r="H947" s="8"/>
      <c r="I947" s="15">
        <v>0</v>
      </c>
      <c r="J947" s="15">
        <v>0</v>
      </c>
      <c r="K947" s="12" t="str">
        <f>HYPERLINK("http://twitter.com/download/android","Twitter for Android")</f>
        <v>Twitter for Android</v>
      </c>
      <c r="L947" s="16">
        <v>37</v>
      </c>
      <c r="M947" s="16">
        <v>49</v>
      </c>
      <c r="N947" s="16">
        <v>0</v>
      </c>
      <c r="O947" s="17"/>
      <c r="P947" s="18">
        <v>42064.573900462958</v>
      </c>
      <c r="Q947" s="7"/>
      <c r="R947" s="7"/>
      <c r="S947" s="7"/>
      <c r="T947" s="8"/>
      <c r="U947" s="19" t="str">
        <f>HYPERLINK("https://pbs.twimg.com/profile_images/572151665652072448/kPVaX9QN.jpeg","View")</f>
        <v>View</v>
      </c>
      <c r="V947" s="8"/>
      <c r="W947" s="8"/>
      <c r="X947" s="8"/>
      <c r="Y947" s="8"/>
      <c r="Z947" s="8"/>
    </row>
    <row r="948" spans="1:26" ht="12.75">
      <c r="A948" s="11">
        <v>43747.293657407412</v>
      </c>
      <c r="B948" s="12" t="str">
        <f>HYPERLINK("https://twitter.com/Nimetullah_GS","@Nimetullah_GS")</f>
        <v>@Nimetullah_GS</v>
      </c>
      <c r="C948" s="7" t="s">
        <v>7547</v>
      </c>
      <c r="D948" s="7" t="s">
        <v>7548</v>
      </c>
      <c r="E948" s="12" t="str">
        <f>HYPERLINK("https://twitter.com/Nimetullah_GS/status/1181933049388441600","1181933049388441600")</f>
        <v>1181933049388441600</v>
      </c>
      <c r="F948" s="8"/>
      <c r="G948" s="7"/>
      <c r="H948" s="8"/>
      <c r="I948" s="15">
        <v>0</v>
      </c>
      <c r="J948" s="15">
        <v>1</v>
      </c>
      <c r="K948" s="12" t="str">
        <f>HYPERLINK("http://twitter.com/download/iphone","Twitter for iPhone")</f>
        <v>Twitter for iPhone</v>
      </c>
      <c r="L948" s="16">
        <v>453</v>
      </c>
      <c r="M948" s="16">
        <v>907</v>
      </c>
      <c r="N948" s="16">
        <v>1</v>
      </c>
      <c r="O948" s="17"/>
      <c r="P948" s="18">
        <v>41048.638773148152</v>
      </c>
      <c r="Q948" s="7" t="s">
        <v>1567</v>
      </c>
      <c r="R948" s="7" t="s">
        <v>7551</v>
      </c>
      <c r="S948" s="7"/>
      <c r="T948" s="8"/>
      <c r="U948" s="19" t="str">
        <f>HYPERLINK("https://pbs.twimg.com/profile_images/1179882780219596801/aL_TCpYj.jpg","View")</f>
        <v>View</v>
      </c>
      <c r="V948" s="8"/>
      <c r="W948" s="8"/>
      <c r="X948" s="8"/>
      <c r="Y948" s="8"/>
      <c r="Z948" s="8"/>
    </row>
    <row r="949" spans="1:26" ht="12.75">
      <c r="A949" s="11">
        <v>43747.293634259258</v>
      </c>
      <c r="B949" s="12" t="str">
        <f>HYPERLINK("https://twitter.com/ceyhuninal1","@ceyhuninal1")</f>
        <v>@ceyhuninal1</v>
      </c>
      <c r="C949" s="7" t="s">
        <v>7552</v>
      </c>
      <c r="D949" s="7" t="s">
        <v>7553</v>
      </c>
      <c r="E949" s="12" t="str">
        <f>HYPERLINK("https://twitter.com/ceyhuninal1/status/1181933039271718912","1181933039271718912")</f>
        <v>1181933039271718912</v>
      </c>
      <c r="F949" s="8"/>
      <c r="G949" s="14" t="s">
        <v>7554</v>
      </c>
      <c r="H949" s="8"/>
      <c r="I949" s="15">
        <v>0</v>
      </c>
      <c r="J949" s="15">
        <v>0</v>
      </c>
      <c r="K949" s="12" t="str">
        <f>HYPERLINK("http://twitter.com/download/android","Twitter for Android")</f>
        <v>Twitter for Android</v>
      </c>
      <c r="L949" s="16">
        <v>868</v>
      </c>
      <c r="M949" s="16">
        <v>639</v>
      </c>
      <c r="N949" s="16">
        <v>1</v>
      </c>
      <c r="O949" s="17"/>
      <c r="P949" s="18">
        <v>40748.218993055554</v>
      </c>
      <c r="Q949" s="7"/>
      <c r="R949" s="7" t="s">
        <v>7557</v>
      </c>
      <c r="S949" s="7"/>
      <c r="T949" s="8"/>
      <c r="U949" s="19" t="str">
        <f>HYPERLINK("https://pbs.twimg.com/profile_images/998224148919828480/dVLDSrZx.jpg","View")</f>
        <v>View</v>
      </c>
      <c r="V949" s="8"/>
      <c r="W949" s="8"/>
      <c r="X949" s="8"/>
      <c r="Y949" s="8"/>
      <c r="Z949" s="8"/>
    </row>
    <row r="950" spans="1:26" ht="12.75">
      <c r="A950" s="11">
        <v>43747.293622685189</v>
      </c>
      <c r="B950" s="12" t="str">
        <f>HYPERLINK("https://twitter.com/Tarikucuktireli","@Tarikucuktireli")</f>
        <v>@Tarikucuktireli</v>
      </c>
      <c r="C950" s="7" t="s">
        <v>7558</v>
      </c>
      <c r="D950" s="7" t="s">
        <v>7559</v>
      </c>
      <c r="E950" s="12" t="str">
        <f>HYPERLINK("https://twitter.com/Tarikucuktireli/status/1181933033760395265","1181933033760395265")</f>
        <v>1181933033760395265</v>
      </c>
      <c r="F950" s="8"/>
      <c r="G950" s="14" t="s">
        <v>7560</v>
      </c>
      <c r="H950" s="8"/>
      <c r="I950" s="15">
        <v>0</v>
      </c>
      <c r="J950" s="15">
        <v>0</v>
      </c>
      <c r="K950" s="12" t="str">
        <f>HYPERLINK("http://twitter.com/download/android","Twitter for Android")</f>
        <v>Twitter for Android</v>
      </c>
      <c r="L950" s="16">
        <v>10</v>
      </c>
      <c r="M950" s="16">
        <v>90</v>
      </c>
      <c r="N950" s="16">
        <v>0</v>
      </c>
      <c r="O950" s="17"/>
      <c r="P950" s="18">
        <v>42844.540937500002</v>
      </c>
      <c r="Q950" s="7"/>
      <c r="R950" s="7"/>
      <c r="S950" s="15"/>
      <c r="T950" s="8"/>
      <c r="U950" s="19" t="str">
        <f>HYPERLINK("https://pbs.twimg.com/profile_images/1176595498276466688/KBdOLq9y.jpg","View")</f>
        <v>View</v>
      </c>
      <c r="V950" s="8"/>
      <c r="W950" s="8"/>
      <c r="X950" s="8"/>
      <c r="Y950" s="8"/>
      <c r="Z950" s="8"/>
    </row>
    <row r="951" spans="1:26" ht="12.75">
      <c r="A951" s="11">
        <v>43747.293611111112</v>
      </c>
      <c r="B951" s="12" t="str">
        <f>HYPERLINK("https://twitter.com/bsrakyuzz","@bsrakyuzz")</f>
        <v>@bsrakyuzz</v>
      </c>
      <c r="C951" s="7" t="s">
        <v>7563</v>
      </c>
      <c r="D951" s="7" t="s">
        <v>7564</v>
      </c>
      <c r="E951" s="12" t="str">
        <f>HYPERLINK("https://twitter.com/bsrakyuzz/status/1181933030950281216","1181933030950281216")</f>
        <v>1181933030950281216</v>
      </c>
      <c r="F951" s="7"/>
      <c r="G951" s="15"/>
      <c r="H951" s="8"/>
      <c r="I951" s="15">
        <v>0</v>
      </c>
      <c r="J951" s="15">
        <v>7</v>
      </c>
      <c r="K951" s="12" t="str">
        <f>HYPERLINK("http://twitter.com/download/iphone","Twitter for iPhone")</f>
        <v>Twitter for iPhone</v>
      </c>
      <c r="L951" s="16">
        <v>1239</v>
      </c>
      <c r="M951" s="16">
        <v>1193</v>
      </c>
      <c r="N951" s="16">
        <v>0</v>
      </c>
      <c r="O951" s="17"/>
      <c r="P951" s="18">
        <v>41153.313460648147</v>
      </c>
      <c r="Q951" s="7" t="s">
        <v>576</v>
      </c>
      <c r="R951" s="7" t="s">
        <v>7565</v>
      </c>
      <c r="S951" s="7"/>
      <c r="T951" s="8"/>
      <c r="U951" s="19" t="str">
        <f>HYPERLINK("https://pbs.twimg.com/profile_images/1181714726881038336/dQd23781.jpg","View")</f>
        <v>View</v>
      </c>
      <c r="V951" s="8"/>
      <c r="W951" s="8"/>
      <c r="X951" s="8"/>
      <c r="Y951" s="8"/>
      <c r="Z951" s="8"/>
    </row>
    <row r="952" spans="1:26" ht="12.75">
      <c r="A952" s="11">
        <v>43747.293576388889</v>
      </c>
      <c r="B952" s="12" t="str">
        <f>HYPERLINK("https://twitter.com/Meryem2072","@Meryem2072")</f>
        <v>@Meryem2072</v>
      </c>
      <c r="C952" s="7" t="s">
        <v>7570</v>
      </c>
      <c r="D952" s="7" t="s">
        <v>7571</v>
      </c>
      <c r="E952" s="12" t="str">
        <f>HYPERLINK("https://twitter.com/Meryem2072/status/1181933019579453441","1181933019579453441")</f>
        <v>1181933019579453441</v>
      </c>
      <c r="F952" s="14" t="s">
        <v>2476</v>
      </c>
      <c r="G952" s="14" t="s">
        <v>2477</v>
      </c>
      <c r="H952" s="8"/>
      <c r="I952" s="15">
        <v>0</v>
      </c>
      <c r="J952" s="15">
        <v>0</v>
      </c>
      <c r="K952" s="12" t="str">
        <f>HYPERLINK("http://twitter.com/download/android","Twitter for Android")</f>
        <v>Twitter for Android</v>
      </c>
      <c r="L952" s="16">
        <v>898</v>
      </c>
      <c r="M952" s="16">
        <v>672</v>
      </c>
      <c r="N952" s="16">
        <v>1</v>
      </c>
      <c r="O952" s="17"/>
      <c r="P952" s="18">
        <v>42509.618009259255</v>
      </c>
      <c r="Q952" s="7"/>
      <c r="R952" s="7" t="s">
        <v>7575</v>
      </c>
      <c r="S952" s="15"/>
      <c r="T952" s="8"/>
      <c r="U952" s="19" t="str">
        <f>HYPERLINK("https://pbs.twimg.com/profile_images/1011516674003087362/Y5p9XFWL.jpg","View")</f>
        <v>View</v>
      </c>
      <c r="V952" s="8"/>
      <c r="W952" s="8"/>
      <c r="X952" s="8"/>
      <c r="Y952" s="8"/>
      <c r="Z952" s="8"/>
    </row>
    <row r="953" spans="1:26" ht="12.75">
      <c r="A953" s="11">
        <v>43747.293564814812</v>
      </c>
      <c r="B953" s="12" t="str">
        <f>HYPERLINK("https://twitter.com/nymlk","@nymlk")</f>
        <v>@nymlk</v>
      </c>
      <c r="C953" s="15" t="s">
        <v>7576</v>
      </c>
      <c r="D953" s="7" t="s">
        <v>7577</v>
      </c>
      <c r="E953" s="12" t="str">
        <f>HYPERLINK("https://twitter.com/nymlk/status/1181933015599058944","1181933015599058944")</f>
        <v>1181933015599058944</v>
      </c>
      <c r="F953" s="14" t="s">
        <v>7578</v>
      </c>
      <c r="G953" s="14" t="s">
        <v>7580</v>
      </c>
      <c r="H953" s="8"/>
      <c r="I953" s="15">
        <v>0</v>
      </c>
      <c r="J953" s="15">
        <v>0</v>
      </c>
      <c r="K953" s="12" t="str">
        <f>HYPERLINK("http://twitter.com/download/android","Twitter for Android")</f>
        <v>Twitter for Android</v>
      </c>
      <c r="L953" s="16">
        <v>119</v>
      </c>
      <c r="M953" s="16">
        <v>338</v>
      </c>
      <c r="N953" s="16">
        <v>2</v>
      </c>
      <c r="O953" s="17"/>
      <c r="P953" s="18">
        <v>40797.368206018517</v>
      </c>
      <c r="Q953" s="7" t="s">
        <v>7582</v>
      </c>
      <c r="R953" s="7" t="s">
        <v>7583</v>
      </c>
      <c r="S953" s="7"/>
      <c r="T953" s="8"/>
      <c r="U953" s="19" t="str">
        <f>HYPERLINK("https://pbs.twimg.com/profile_images/1088558592553308160/MKQuLB9h.jpg","View")</f>
        <v>View</v>
      </c>
      <c r="V953" s="8"/>
      <c r="W953" s="8"/>
      <c r="X953" s="8"/>
      <c r="Y953" s="8"/>
      <c r="Z953" s="8"/>
    </row>
    <row r="954" spans="1:26" ht="12.75">
      <c r="A954" s="11">
        <v>43747.293553240743</v>
      </c>
      <c r="B954" s="12" t="str">
        <f>HYPERLINK("https://twitter.com/MMesutYRR","@MMesutYRR")</f>
        <v>@MMesutYRR</v>
      </c>
      <c r="C954" s="7" t="s">
        <v>7586</v>
      </c>
      <c r="D954" s="7" t="s">
        <v>7587</v>
      </c>
      <c r="E954" s="12" t="str">
        <f>HYPERLINK("https://twitter.com/MMesutYRR/status/1181933011178283008","1181933011178283008")</f>
        <v>1181933011178283008</v>
      </c>
      <c r="F954" s="8"/>
      <c r="G954" s="15"/>
      <c r="H954" s="8"/>
      <c r="I954" s="15">
        <v>0</v>
      </c>
      <c r="J954" s="15">
        <v>0</v>
      </c>
      <c r="K954" s="12" t="str">
        <f>HYPERLINK("http://twitter.com/download/iphone","Twitter for iPhone")</f>
        <v>Twitter for iPhone</v>
      </c>
      <c r="L954" s="16">
        <v>29</v>
      </c>
      <c r="M954" s="16">
        <v>244</v>
      </c>
      <c r="N954" s="16">
        <v>0</v>
      </c>
      <c r="O954" s="17"/>
      <c r="P954" s="18">
        <v>43196.411319444444</v>
      </c>
      <c r="Q954" s="7" t="s">
        <v>287</v>
      </c>
      <c r="R954" s="7" t="s">
        <v>7588</v>
      </c>
      <c r="S954" s="7"/>
      <c r="T954" s="8"/>
      <c r="U954" s="19" t="str">
        <f>HYPERLINK("https://pbs.twimg.com/profile_images/1181330555977244674/xTyEwGve.jpg","View")</f>
        <v>View</v>
      </c>
      <c r="V954" s="8"/>
      <c r="W954" s="8"/>
      <c r="X954" s="8"/>
      <c r="Y954" s="8"/>
      <c r="Z954" s="8"/>
    </row>
    <row r="955" spans="1:26" ht="12.75">
      <c r="A955" s="11">
        <v>43747.293530092589</v>
      </c>
      <c r="B955" s="12" t="str">
        <f>HYPERLINK("https://twitter.com/doan71872376","@doan71872376")</f>
        <v>@doan71872376</v>
      </c>
      <c r="C955" s="7" t="s">
        <v>7589</v>
      </c>
      <c r="D955" s="7" t="s">
        <v>7590</v>
      </c>
      <c r="E955" s="12" t="str">
        <f>HYPERLINK("https://twitter.com/doan71872376/status/1181933001132953600","1181933001132953600")</f>
        <v>1181933001132953600</v>
      </c>
      <c r="F955" s="8"/>
      <c r="G955" s="7"/>
      <c r="H955" s="8"/>
      <c r="I955" s="15">
        <v>0</v>
      </c>
      <c r="J955" s="15">
        <v>0</v>
      </c>
      <c r="K955" s="12" t="str">
        <f>HYPERLINK("http://twitter.com/download/iphone","Twitter for iPhone")</f>
        <v>Twitter for iPhone</v>
      </c>
      <c r="L955" s="16">
        <v>33</v>
      </c>
      <c r="M955" s="16">
        <v>1027</v>
      </c>
      <c r="N955" s="16">
        <v>0</v>
      </c>
      <c r="O955" s="17"/>
      <c r="P955" s="18">
        <v>43577.280706018515</v>
      </c>
      <c r="Q955" s="7" t="s">
        <v>313</v>
      </c>
      <c r="R955" s="7"/>
      <c r="S955" s="7"/>
      <c r="T955" s="8"/>
      <c r="U955" s="19" t="str">
        <f>HYPERLINK("https://pbs.twimg.com/profile_images/1120618074628141056/1VmLW5z1.png","View")</f>
        <v>View</v>
      </c>
      <c r="V955" s="8"/>
      <c r="W955" s="8"/>
      <c r="X955" s="8"/>
      <c r="Y955" s="8"/>
      <c r="Z955" s="8"/>
    </row>
    <row r="956" spans="1:26" ht="12.75">
      <c r="A956" s="11">
        <v>43747.29351851852</v>
      </c>
      <c r="B956" s="12" t="str">
        <f>HYPERLINK("https://twitter.com/hhkra1","@hhkra1")</f>
        <v>@hhkra1</v>
      </c>
      <c r="C956" s="7" t="s">
        <v>7593</v>
      </c>
      <c r="D956" s="7" t="s">
        <v>7594</v>
      </c>
      <c r="E956" s="12" t="str">
        <f>HYPERLINK("https://twitter.com/hhkra1/status/1181932999430017025","1181932999430017025")</f>
        <v>1181932999430017025</v>
      </c>
      <c r="F956" s="15"/>
      <c r="G956" s="7"/>
      <c r="H956" s="8"/>
      <c r="I956" s="15">
        <v>0</v>
      </c>
      <c r="J956" s="15">
        <v>0</v>
      </c>
      <c r="K956" s="12" t="str">
        <f>HYPERLINK("http://twitter.com/download/iphone","Twitter for iPhone")</f>
        <v>Twitter for iPhone</v>
      </c>
      <c r="L956" s="16">
        <v>3</v>
      </c>
      <c r="M956" s="16">
        <v>26</v>
      </c>
      <c r="N956" s="16">
        <v>0</v>
      </c>
      <c r="O956" s="17"/>
      <c r="P956" s="18">
        <v>43747.267812499995</v>
      </c>
      <c r="Q956" s="7"/>
      <c r="R956" s="7" t="s">
        <v>7595</v>
      </c>
      <c r="S956" s="15"/>
      <c r="T956" s="8"/>
      <c r="U956" s="19" t="str">
        <f>HYPERLINK("https://pbs.twimg.com/profile_images/1181926416046276608/woaNkvrf.jpg","View")</f>
        <v>View</v>
      </c>
      <c r="V956" s="8"/>
      <c r="W956" s="8"/>
      <c r="X956" s="8"/>
      <c r="Y956" s="8"/>
      <c r="Z956" s="8"/>
    </row>
    <row r="957" spans="1:26" ht="12.75">
      <c r="A957" s="11">
        <v>43747.29351851852</v>
      </c>
      <c r="B957" s="12" t="str">
        <f>HYPERLINK("https://twitter.com/SerhatERDUR","@SerhatERDUR")</f>
        <v>@SerhatERDUR</v>
      </c>
      <c r="C957" s="7" t="s">
        <v>7598</v>
      </c>
      <c r="D957" s="7" t="s">
        <v>7599</v>
      </c>
      <c r="E957" s="12" t="str">
        <f>HYPERLINK("https://twitter.com/SerhatERDUR/status/1181932998754783232","1181932998754783232")</f>
        <v>1181932998754783232</v>
      </c>
      <c r="F957" s="8"/>
      <c r="G957" s="7"/>
      <c r="H957" s="8"/>
      <c r="I957" s="15">
        <v>0</v>
      </c>
      <c r="J957" s="15">
        <v>0</v>
      </c>
      <c r="K957" s="12" t="str">
        <f>HYPERLINK("http://twitter.com/download/iphone","Twitter for iPhone")</f>
        <v>Twitter for iPhone</v>
      </c>
      <c r="L957" s="16">
        <v>340</v>
      </c>
      <c r="M957" s="16">
        <v>647</v>
      </c>
      <c r="N957" s="16">
        <v>0</v>
      </c>
      <c r="O957" s="17"/>
      <c r="P957" s="18">
        <v>40820.426979166667</v>
      </c>
      <c r="Q957" s="7" t="s">
        <v>7600</v>
      </c>
      <c r="R957" s="7" t="s">
        <v>7601</v>
      </c>
      <c r="S957" s="7"/>
      <c r="T957" s="8"/>
      <c r="U957" s="19" t="str">
        <f>HYPERLINK("https://pbs.twimg.com/profile_images/1150977549767458816/eyXDpxAy.jpg","View")</f>
        <v>View</v>
      </c>
      <c r="V957" s="8"/>
      <c r="W957" s="8"/>
      <c r="X957" s="8"/>
      <c r="Y957" s="8"/>
      <c r="Z957" s="8"/>
    </row>
    <row r="958" spans="1:26" ht="12.75">
      <c r="A958" s="11">
        <v>43747.29351851852</v>
      </c>
      <c r="B958" s="12" t="str">
        <f>HYPERLINK("https://twitter.com/ibrahimenes840","@ibrahimenes840")</f>
        <v>@ibrahimenes840</v>
      </c>
      <c r="C958" s="7" t="s">
        <v>7602</v>
      </c>
      <c r="D958" s="7" t="s">
        <v>7603</v>
      </c>
      <c r="E958" s="12" t="str">
        <f>HYPERLINK("https://twitter.com/ibrahimenes840/status/1181932998331158528","1181932998331158528")</f>
        <v>1181932998331158528</v>
      </c>
      <c r="F958" s="8"/>
      <c r="G958" s="15"/>
      <c r="H958" s="8"/>
      <c r="I958" s="15">
        <v>0</v>
      </c>
      <c r="J958" s="15">
        <v>4</v>
      </c>
      <c r="K958" s="12" t="str">
        <f>HYPERLINK("http://twitter.com/download/android","Twitter for Android")</f>
        <v>Twitter for Android</v>
      </c>
      <c r="L958" s="16">
        <v>2605</v>
      </c>
      <c r="M958" s="16">
        <v>2804</v>
      </c>
      <c r="N958" s="16">
        <v>2</v>
      </c>
      <c r="O958" s="17"/>
      <c r="P958" s="18">
        <v>42263.457604166666</v>
      </c>
      <c r="Q958" s="7"/>
      <c r="R958" s="7" t="s">
        <v>7604</v>
      </c>
      <c r="S958" s="7"/>
      <c r="T958" s="8"/>
      <c r="U958" s="19" t="str">
        <f>HYPERLINK("https://pbs.twimg.com/profile_images/1174325713413050370/Hwb-OZFC.jpg","View")</f>
        <v>View</v>
      </c>
      <c r="V958" s="8"/>
      <c r="W958" s="8"/>
      <c r="X958" s="8"/>
      <c r="Y958" s="8"/>
      <c r="Z958" s="8"/>
    </row>
    <row r="959" spans="1:26" ht="12.75">
      <c r="A959" s="11">
        <v>43747.29351851852</v>
      </c>
      <c r="B959" s="12" t="str">
        <f>HYPERLINK("https://twitter.com/nuusyaa","@nuusyaa")</f>
        <v>@nuusyaa</v>
      </c>
      <c r="C959" s="7" t="s">
        <v>7605</v>
      </c>
      <c r="D959" s="7" t="s">
        <v>7606</v>
      </c>
      <c r="E959" s="12" t="str">
        <f>HYPERLINK("https://twitter.com/nuusyaa/status/1181932997181935616","1181932997181935616")</f>
        <v>1181932997181935616</v>
      </c>
      <c r="F959" s="8"/>
      <c r="G959" s="14" t="s">
        <v>7607</v>
      </c>
      <c r="H959" s="8"/>
      <c r="I959" s="15">
        <v>0</v>
      </c>
      <c r="J959" s="15">
        <v>3</v>
      </c>
      <c r="K959" s="12" t="str">
        <f>HYPERLINK("http://twitter.com/download/android","Twitter for Android")</f>
        <v>Twitter for Android</v>
      </c>
      <c r="L959" s="16">
        <v>72</v>
      </c>
      <c r="M959" s="16">
        <v>96</v>
      </c>
      <c r="N959" s="16">
        <v>0</v>
      </c>
      <c r="O959" s="17"/>
      <c r="P959" s="18">
        <v>42779.45820601852</v>
      </c>
      <c r="Q959" s="7"/>
      <c r="R959" s="7" t="s">
        <v>7608</v>
      </c>
      <c r="S959" s="15"/>
      <c r="T959" s="8"/>
      <c r="U959" s="19" t="str">
        <f>HYPERLINK("https://pbs.twimg.com/profile_images/1179983009946181632/Mguyjyh-.jpg","View")</f>
        <v>View</v>
      </c>
      <c r="V959" s="8"/>
      <c r="W959" s="8"/>
      <c r="X959" s="8"/>
      <c r="Y959" s="8"/>
      <c r="Z959" s="8"/>
    </row>
    <row r="960" spans="1:26" ht="12.75">
      <c r="A960" s="11">
        <v>43747.293495370366</v>
      </c>
      <c r="B960" s="12" t="str">
        <f>HYPERLINK("https://twitter.com/AKCESMELI59","@AKCESMELI59")</f>
        <v>@AKCESMELI59</v>
      </c>
      <c r="C960" s="7" t="s">
        <v>7609</v>
      </c>
      <c r="D960" s="7" t="s">
        <v>7610</v>
      </c>
      <c r="E960" s="12" t="str">
        <f>HYPERLINK("https://twitter.com/AKCESMELI59/status/1181932990240309248","1181932990240309248")</f>
        <v>1181932990240309248</v>
      </c>
      <c r="F960" s="8"/>
      <c r="G960" s="14" t="s">
        <v>7611</v>
      </c>
      <c r="H960" s="8"/>
      <c r="I960" s="15">
        <v>0</v>
      </c>
      <c r="J960" s="15">
        <v>0</v>
      </c>
      <c r="K960" s="12" t="str">
        <f>HYPERLINK("http://twitter.com/download/android","Twitter for Android")</f>
        <v>Twitter for Android</v>
      </c>
      <c r="L960" s="16">
        <v>44</v>
      </c>
      <c r="M960" s="16">
        <v>70</v>
      </c>
      <c r="N960" s="16">
        <v>0</v>
      </c>
      <c r="O960" s="17"/>
      <c r="P960" s="18">
        <v>40291.772418981483</v>
      </c>
      <c r="Q960" s="7" t="s">
        <v>7612</v>
      </c>
      <c r="R960" s="7" t="s">
        <v>7613</v>
      </c>
      <c r="S960" s="7"/>
      <c r="T960" s="8"/>
      <c r="U960" s="19" t="str">
        <f>HYPERLINK("https://pbs.twimg.com/profile_images/1178084862919692288/3kLp5igu.jpg","View")</f>
        <v>View</v>
      </c>
      <c r="V960" s="8"/>
      <c r="W960" s="8"/>
      <c r="X960" s="8"/>
      <c r="Y960" s="8"/>
      <c r="Z960" s="8"/>
    </row>
    <row r="961" spans="1:26" ht="12.75">
      <c r="A961" s="11">
        <v>43747.293472222227</v>
      </c>
      <c r="B961" s="12" t="str">
        <f>HYPERLINK("https://twitter.com/senelyediyildiz","@senelyediyildiz")</f>
        <v>@senelyediyildiz</v>
      </c>
      <c r="C961" s="7" t="s">
        <v>7614</v>
      </c>
      <c r="D961" s="7" t="s">
        <v>7615</v>
      </c>
      <c r="E961" s="12" t="str">
        <f>HYPERLINK("https://twitter.com/senelyediyildiz/status/1181932980996063232","1181932980996063232")</f>
        <v>1181932980996063232</v>
      </c>
      <c r="F961" s="8"/>
      <c r="G961" s="14" t="s">
        <v>7616</v>
      </c>
      <c r="H961" s="8"/>
      <c r="I961" s="15">
        <v>3</v>
      </c>
      <c r="J961" s="15">
        <v>10</v>
      </c>
      <c r="K961" s="12" t="str">
        <f>HYPERLINK("http://twitter.com/download/iphone","Twitter for iPhone")</f>
        <v>Twitter for iPhone</v>
      </c>
      <c r="L961" s="16">
        <v>8748</v>
      </c>
      <c r="M961" s="16">
        <v>308</v>
      </c>
      <c r="N961" s="16">
        <v>16</v>
      </c>
      <c r="O961" s="17" t="s">
        <v>984</v>
      </c>
      <c r="P961" s="18">
        <v>40704.098425925928</v>
      </c>
      <c r="Q961" s="7" t="s">
        <v>7619</v>
      </c>
      <c r="R961" s="7" t="s">
        <v>7620</v>
      </c>
      <c r="S961" s="14" t="s">
        <v>7621</v>
      </c>
      <c r="T961" s="8"/>
      <c r="U961" s="19" t="str">
        <f>HYPERLINK("https://pbs.twimg.com/profile_images/1151478972498292736/FxzCclzJ.jpg","View")</f>
        <v>View</v>
      </c>
      <c r="V961" s="8"/>
      <c r="W961" s="8"/>
      <c r="X961" s="8"/>
      <c r="Y961" s="8"/>
      <c r="Z961" s="8"/>
    </row>
    <row r="962" spans="1:26" ht="12.75">
      <c r="A962" s="11">
        <v>43747.293472222227</v>
      </c>
      <c r="B962" s="12" t="str">
        <f>HYPERLINK("https://twitter.com/npzuryn1","@npzuryn1")</f>
        <v>@npzuryn1</v>
      </c>
      <c r="C962" s="7" t="s">
        <v>7622</v>
      </c>
      <c r="D962" s="7" t="s">
        <v>7623</v>
      </c>
      <c r="E962" s="12" t="str">
        <f>HYPERLINK("https://twitter.com/npzuryn1/status/1181932980543070215","1181932980543070215")</f>
        <v>1181932980543070215</v>
      </c>
      <c r="F962" s="8"/>
      <c r="G962" s="14" t="s">
        <v>7624</v>
      </c>
      <c r="H962" s="8"/>
      <c r="I962" s="15">
        <v>0</v>
      </c>
      <c r="J962" s="15">
        <v>4</v>
      </c>
      <c r="K962" s="12" t="str">
        <f>HYPERLINK("http://twitter.com/download/android","Twitter for Android")</f>
        <v>Twitter for Android</v>
      </c>
      <c r="L962" s="16">
        <v>136</v>
      </c>
      <c r="M962" s="16">
        <v>144</v>
      </c>
      <c r="N962" s="16">
        <v>0</v>
      </c>
      <c r="O962" s="17"/>
      <c r="P962" s="18">
        <v>43446.481087962966</v>
      </c>
      <c r="Q962" s="7"/>
      <c r="R962" s="7" t="s">
        <v>7626</v>
      </c>
      <c r="S962" s="7"/>
      <c r="T962" s="8"/>
      <c r="U962" s="19" t="str">
        <f>HYPERLINK("https://pbs.twimg.com/profile_images/1152208654558466050/Mo42cp3o.jpg","View")</f>
        <v>View</v>
      </c>
      <c r="V962" s="8"/>
      <c r="W962" s="8"/>
      <c r="X962" s="8"/>
      <c r="Y962" s="8"/>
      <c r="Z962" s="8"/>
    </row>
    <row r="963" spans="1:26" ht="12.75">
      <c r="A963" s="11">
        <v>43747.293460648143</v>
      </c>
      <c r="B963" s="12" t="str">
        <f>HYPERLINK("https://twitter.com/isaAkkilic06","@isaAkkilic06")</f>
        <v>@isaAkkilic06</v>
      </c>
      <c r="C963" s="7" t="s">
        <v>7628</v>
      </c>
      <c r="D963" s="7" t="s">
        <v>7629</v>
      </c>
      <c r="E963" s="12" t="str">
        <f>HYPERLINK("https://twitter.com/isaAkkilic06/status/1181932977351221248","1181932977351221248")</f>
        <v>1181932977351221248</v>
      </c>
      <c r="F963" s="8"/>
      <c r="G963" s="7"/>
      <c r="H963" s="8"/>
      <c r="I963" s="15">
        <v>1</v>
      </c>
      <c r="J963" s="15">
        <v>7</v>
      </c>
      <c r="K963" s="12" t="str">
        <f>HYPERLINK("http://twitter.com/download/android","Twitter for Android")</f>
        <v>Twitter for Android</v>
      </c>
      <c r="L963" s="16">
        <v>83</v>
      </c>
      <c r="M963" s="16">
        <v>202</v>
      </c>
      <c r="N963" s="16">
        <v>0</v>
      </c>
      <c r="O963" s="17"/>
      <c r="P963" s="18">
        <v>43452.247777777782</v>
      </c>
      <c r="Q963" s="7" t="s">
        <v>287</v>
      </c>
      <c r="R963" s="7" t="s">
        <v>7630</v>
      </c>
      <c r="S963" s="7"/>
      <c r="T963" s="8"/>
      <c r="U963" s="19" t="str">
        <f>HYPERLINK("https://pbs.twimg.com/profile_images/1164569572458061824/mCEUgmPA.jpg","View")</f>
        <v>View</v>
      </c>
      <c r="V963" s="8"/>
      <c r="W963" s="8"/>
      <c r="X963" s="8"/>
      <c r="Y963" s="8"/>
      <c r="Z963" s="8"/>
    </row>
    <row r="964" spans="1:26" ht="12.75">
      <c r="A964" s="11">
        <v>43747.293460648143</v>
      </c>
      <c r="B964" s="12" t="str">
        <f>HYPERLINK("https://twitter.com/tonyukuk","@tonyukuk")</f>
        <v>@tonyukuk</v>
      </c>
      <c r="C964" s="7" t="s">
        <v>7633</v>
      </c>
      <c r="D964" s="7" t="s">
        <v>7634</v>
      </c>
      <c r="E964" s="12" t="str">
        <f>HYPERLINK("https://twitter.com/tonyukuk/status/1181932976092913667","1181932976092913667")</f>
        <v>1181932976092913667</v>
      </c>
      <c r="F964" s="8"/>
      <c r="G964" s="14" t="s">
        <v>7635</v>
      </c>
      <c r="H964" s="8"/>
      <c r="I964" s="15">
        <v>2</v>
      </c>
      <c r="J964" s="15">
        <v>6</v>
      </c>
      <c r="K964" s="12" t="str">
        <f>HYPERLINK("https://mobile.twitter.com","Twitter Web App")</f>
        <v>Twitter Web App</v>
      </c>
      <c r="L964" s="16">
        <v>246</v>
      </c>
      <c r="M964" s="16">
        <v>649</v>
      </c>
      <c r="N964" s="16">
        <v>0</v>
      </c>
      <c r="O964" s="17"/>
      <c r="P964" s="18">
        <v>40131.596932870372</v>
      </c>
      <c r="Q964" s="7" t="s">
        <v>4895</v>
      </c>
      <c r="R964" s="7" t="s">
        <v>7639</v>
      </c>
      <c r="S964" s="14" t="s">
        <v>7640</v>
      </c>
      <c r="T964" s="8"/>
      <c r="U964" s="19" t="str">
        <f>HYPERLINK("https://pbs.twimg.com/profile_images/772732763329990656/cQpy2BJv.jpg","View")</f>
        <v>View</v>
      </c>
      <c r="V964" s="8"/>
      <c r="W964" s="8"/>
      <c r="X964" s="8"/>
      <c r="Y964" s="8"/>
      <c r="Z964" s="8"/>
    </row>
    <row r="965" spans="1:26" ht="12.75">
      <c r="A965" s="11">
        <v>43747.293460648143</v>
      </c>
      <c r="B965" s="12" t="str">
        <f>HYPERLINK("https://twitter.com/sbporse","@sbporse")</f>
        <v>@sbporse</v>
      </c>
      <c r="C965" s="7" t="s">
        <v>7641</v>
      </c>
      <c r="D965" s="7" t="s">
        <v>7642</v>
      </c>
      <c r="E965" s="12" t="str">
        <f>HYPERLINK("https://twitter.com/sbporse/status/1181932975241469957","1181932975241469957")</f>
        <v>1181932975241469957</v>
      </c>
      <c r="F965" s="14" t="s">
        <v>7643</v>
      </c>
      <c r="G965" s="14" t="s">
        <v>7646</v>
      </c>
      <c r="H965" s="8"/>
      <c r="I965" s="15">
        <v>0</v>
      </c>
      <c r="J965" s="15">
        <v>0</v>
      </c>
      <c r="K965" s="12" t="str">
        <f>HYPERLINK("https://mobile.twitter.com","Twitter Web App")</f>
        <v>Twitter Web App</v>
      </c>
      <c r="L965" s="16">
        <v>42</v>
      </c>
      <c r="M965" s="16">
        <v>400</v>
      </c>
      <c r="N965" s="16">
        <v>0</v>
      </c>
      <c r="O965" s="17"/>
      <c r="P965" s="18">
        <v>43705.096365740741</v>
      </c>
      <c r="Q965" s="7" t="s">
        <v>7647</v>
      </c>
      <c r="R965" s="7" t="s">
        <v>7648</v>
      </c>
      <c r="S965" s="7"/>
      <c r="T965" s="8"/>
      <c r="U965" s="19" t="str">
        <f>HYPERLINK("https://pbs.twimg.com/profile_images/1167795126367920130/KUT5rinV.jpg","View")</f>
        <v>View</v>
      </c>
      <c r="V965" s="8"/>
      <c r="W965" s="8"/>
      <c r="X965" s="8"/>
      <c r="Y965" s="8"/>
      <c r="Z965" s="8"/>
    </row>
    <row r="966" spans="1:26" ht="12.75">
      <c r="A966" s="11">
        <v>43747.293449074074</v>
      </c>
      <c r="B966" s="12" t="str">
        <f>HYPERLINK("https://twitter.com/DrYanardag","@DrYanardag")</f>
        <v>@DrYanardag</v>
      </c>
      <c r="C966" s="7" t="s">
        <v>7651</v>
      </c>
      <c r="D966" s="7" t="s">
        <v>7652</v>
      </c>
      <c r="E966" s="12" t="str">
        <f>HYPERLINK("https://twitter.com/DrYanardag/status/1181932974318723074","1181932974318723074")</f>
        <v>1181932974318723074</v>
      </c>
      <c r="F966" s="14" t="s">
        <v>3623</v>
      </c>
      <c r="G966" s="15"/>
      <c r="H966" s="8"/>
      <c r="I966" s="15">
        <v>0</v>
      </c>
      <c r="J966" s="15">
        <v>0</v>
      </c>
      <c r="K966" s="12" t="str">
        <f>HYPERLINK("https://mobile.twitter.com","Twitter Web App")</f>
        <v>Twitter Web App</v>
      </c>
      <c r="L966" s="16">
        <v>1</v>
      </c>
      <c r="M966" s="16">
        <v>1</v>
      </c>
      <c r="N966" s="16">
        <v>0</v>
      </c>
      <c r="O966" s="17"/>
      <c r="P966" s="18">
        <v>43559.434861111113</v>
      </c>
      <c r="Q966" s="7" t="s">
        <v>7655</v>
      </c>
      <c r="R966" s="7" t="s">
        <v>7656</v>
      </c>
      <c r="S966" s="7"/>
      <c r="T966" s="8"/>
      <c r="U966" s="19" t="str">
        <f>HYPERLINK("https://pbs.twimg.com/profile_images/1113855585391382535/xmDzdHFI.jpg","View")</f>
        <v>View</v>
      </c>
      <c r="V966" s="8"/>
      <c r="W966" s="8"/>
      <c r="X966" s="8"/>
      <c r="Y966" s="8"/>
      <c r="Z966" s="8"/>
    </row>
    <row r="967" spans="1:26" ht="12.75">
      <c r="A967" s="11">
        <v>43747.293449074074</v>
      </c>
      <c r="B967" s="12" t="str">
        <f>HYPERLINK("https://twitter.com/svgzrl","@svgzrl")</f>
        <v>@svgzrl</v>
      </c>
      <c r="C967" s="7" t="s">
        <v>7657</v>
      </c>
      <c r="D967" s="7" t="s">
        <v>7658</v>
      </c>
      <c r="E967" s="12" t="str">
        <f>HYPERLINK("https://twitter.com/svgzrl/status/1181932971005267968","1181932971005267968")</f>
        <v>1181932971005267968</v>
      </c>
      <c r="F967" s="8"/>
      <c r="G967" s="7"/>
      <c r="H967" s="8"/>
      <c r="I967" s="15">
        <v>0</v>
      </c>
      <c r="J967" s="15">
        <v>14</v>
      </c>
      <c r="K967" s="12" t="str">
        <f>HYPERLINK("http://twitter.com/download/android","Twitter for Android")</f>
        <v>Twitter for Android</v>
      </c>
      <c r="L967" s="16">
        <v>554</v>
      </c>
      <c r="M967" s="16">
        <v>84</v>
      </c>
      <c r="N967" s="16">
        <v>0</v>
      </c>
      <c r="O967" s="17"/>
      <c r="P967" s="18">
        <v>43647.920347222222</v>
      </c>
      <c r="Q967" s="7" t="s">
        <v>7662</v>
      </c>
      <c r="R967" s="7" t="s">
        <v>7663</v>
      </c>
      <c r="S967" s="7"/>
      <c r="T967" s="8"/>
      <c r="U967" s="19" t="str">
        <f>HYPERLINK("https://pbs.twimg.com/profile_images/1180427219128246272/D-6IzMlN.jpg","View")</f>
        <v>View</v>
      </c>
      <c r="V967" s="8"/>
      <c r="W967" s="8"/>
      <c r="X967" s="8"/>
      <c r="Y967" s="8"/>
      <c r="Z967" s="8"/>
    </row>
    <row r="968" spans="1:26" ht="12.75">
      <c r="A968" s="11">
        <v>43747.293425925927</v>
      </c>
      <c r="B968" s="12" t="str">
        <f>HYPERLINK("https://twitter.com/_GUVEN02_","@_GUVEN02_")</f>
        <v>@_GUVEN02_</v>
      </c>
      <c r="C968" s="7" t="s">
        <v>7664</v>
      </c>
      <c r="D968" s="7" t="s">
        <v>7665</v>
      </c>
      <c r="E968" s="12" t="str">
        <f>HYPERLINK("https://twitter.com/_GUVEN02_/status/1181932964583788544","1181932964583788544")</f>
        <v>1181932964583788544</v>
      </c>
      <c r="F968" s="8"/>
      <c r="G968" s="15"/>
      <c r="H968" s="8"/>
      <c r="I968" s="15">
        <v>0</v>
      </c>
      <c r="J968" s="15">
        <v>0</v>
      </c>
      <c r="K968" s="12" t="str">
        <f>HYPERLINK("http://twitter.com/download/iphone","Twitter for iPhone")</f>
        <v>Twitter for iPhone</v>
      </c>
      <c r="L968" s="16">
        <v>4</v>
      </c>
      <c r="M968" s="16">
        <v>13</v>
      </c>
      <c r="N968" s="16">
        <v>0</v>
      </c>
      <c r="O968" s="17"/>
      <c r="P968" s="18">
        <v>43741.357499999998</v>
      </c>
      <c r="Q968" s="7" t="s">
        <v>7667</v>
      </c>
      <c r="R968" s="7" t="s">
        <v>7669</v>
      </c>
      <c r="S968" s="7"/>
      <c r="T968" s="8"/>
      <c r="U968" s="19" t="str">
        <f>HYPERLINK("https://pbs.twimg.com/profile_images/1180400941775953920/g7V5BHNe.jpg","View")</f>
        <v>View</v>
      </c>
      <c r="V968" s="8"/>
      <c r="W968" s="8"/>
      <c r="X968" s="8"/>
      <c r="Y968" s="8"/>
      <c r="Z968" s="8"/>
    </row>
    <row r="969" spans="1:26" ht="12.75">
      <c r="A969" s="11">
        <v>43747.293391203704</v>
      </c>
      <c r="B969" s="12" t="str">
        <f>HYPERLINK("https://twitter.com/oguzhanderebasi","@oguzhanderebasi")</f>
        <v>@oguzhanderebasi</v>
      </c>
      <c r="C969" s="7" t="s">
        <v>7672</v>
      </c>
      <c r="D969" s="7" t="s">
        <v>7673</v>
      </c>
      <c r="E969" s="12" t="str">
        <f>HYPERLINK("https://twitter.com/oguzhanderebasi/status/1181932949572325376","1181932949572325376")</f>
        <v>1181932949572325376</v>
      </c>
      <c r="F969" s="8"/>
      <c r="G969" s="14" t="s">
        <v>7676</v>
      </c>
      <c r="H969" s="8"/>
      <c r="I969" s="15">
        <v>1</v>
      </c>
      <c r="J969" s="15">
        <v>2</v>
      </c>
      <c r="K969" s="12" t="str">
        <f>HYPERLINK("http://twitter.com/download/iphone","Twitter for iPhone")</f>
        <v>Twitter for iPhone</v>
      </c>
      <c r="L969" s="16">
        <v>28</v>
      </c>
      <c r="M969" s="16">
        <v>38</v>
      </c>
      <c r="N969" s="16">
        <v>0</v>
      </c>
      <c r="O969" s="17"/>
      <c r="P969" s="18">
        <v>41658.176446759258</v>
      </c>
      <c r="Q969" s="7"/>
      <c r="R969" s="7"/>
      <c r="S969" s="7"/>
      <c r="T969" s="8"/>
      <c r="U969" s="19" t="str">
        <f>HYPERLINK("https://pbs.twimg.com/profile_images/1026059726390476800/t4PSQBcs.jpg","View")</f>
        <v>View</v>
      </c>
      <c r="V969" s="8"/>
      <c r="W969" s="8"/>
      <c r="X969" s="8"/>
      <c r="Y969" s="8"/>
      <c r="Z969" s="8"/>
    </row>
    <row r="970" spans="1:26" ht="12.75">
      <c r="A970" s="11">
        <v>43747.293368055558</v>
      </c>
      <c r="B970" s="12" t="str">
        <f>HYPERLINK("https://twitter.com/emrahsr1907","@emrahsr1907")</f>
        <v>@emrahsr1907</v>
      </c>
      <c r="C970" s="7" t="s">
        <v>7678</v>
      </c>
      <c r="D970" s="7" t="s">
        <v>7679</v>
      </c>
      <c r="E970" s="12" t="str">
        <f>HYPERLINK("https://twitter.com/emrahsr1907/status/1181932942299410433","1181932942299410433")</f>
        <v>1181932942299410433</v>
      </c>
      <c r="F970" s="8"/>
      <c r="G970" s="14" t="s">
        <v>7680</v>
      </c>
      <c r="H970" s="8"/>
      <c r="I970" s="15">
        <v>0</v>
      </c>
      <c r="J970" s="15">
        <v>0</v>
      </c>
      <c r="K970" s="12" t="str">
        <f>HYPERLINK("http://twitter.com/download/iphone","Twitter for iPhone")</f>
        <v>Twitter for iPhone</v>
      </c>
      <c r="L970" s="16">
        <v>61</v>
      </c>
      <c r="M970" s="16">
        <v>275</v>
      </c>
      <c r="N970" s="16">
        <v>0</v>
      </c>
      <c r="O970" s="17"/>
      <c r="P970" s="18">
        <v>42365.483715277776</v>
      </c>
      <c r="Q970" s="7" t="s">
        <v>287</v>
      </c>
      <c r="R970" s="7" t="s">
        <v>7682</v>
      </c>
      <c r="S970" s="7"/>
      <c r="T970" s="8"/>
      <c r="U970" s="19" t="str">
        <f>HYPERLINK("https://pbs.twimg.com/profile_images/1174991496589795328/2LloBrfA.jpg","View")</f>
        <v>View</v>
      </c>
      <c r="V970" s="8"/>
      <c r="W970" s="8"/>
      <c r="X970" s="8"/>
      <c r="Y970" s="8"/>
      <c r="Z970" s="8"/>
    </row>
    <row r="971" spans="1:26" ht="12.75">
      <c r="A971" s="11">
        <v>43747.293356481481</v>
      </c>
      <c r="B971" s="12" t="str">
        <f>HYPERLINK("https://twitter.com/hasanadymn7","@hasanadymn7")</f>
        <v>@hasanadymn7</v>
      </c>
      <c r="C971" s="7" t="s">
        <v>7684</v>
      </c>
      <c r="D971" s="7" t="s">
        <v>7685</v>
      </c>
      <c r="E971" s="12" t="str">
        <f>HYPERLINK("https://twitter.com/hasanadymn7/status/1181932940642664448","1181932940642664448")</f>
        <v>1181932940642664448</v>
      </c>
      <c r="F971" s="8"/>
      <c r="G971" s="15"/>
      <c r="H971" s="8"/>
      <c r="I971" s="15">
        <v>0</v>
      </c>
      <c r="J971" s="15">
        <v>3</v>
      </c>
      <c r="K971" s="12" t="str">
        <f>HYPERLINK("http://twitter.com/download/iphone","Twitter for iPhone")</f>
        <v>Twitter for iPhone</v>
      </c>
      <c r="L971" s="16">
        <v>123</v>
      </c>
      <c r="M971" s="16">
        <v>202</v>
      </c>
      <c r="N971" s="16">
        <v>0</v>
      </c>
      <c r="O971" s="17"/>
      <c r="P971" s="18">
        <v>42827.080231481479</v>
      </c>
      <c r="Q971" s="7" t="s">
        <v>69</v>
      </c>
      <c r="R971" s="7" t="s">
        <v>7686</v>
      </c>
      <c r="S971" s="7"/>
      <c r="T971" s="8"/>
      <c r="U971" s="19" t="str">
        <f>HYPERLINK("https://pbs.twimg.com/profile_images/1075699491116847104/OLVg02Q6.jpg","View")</f>
        <v>View</v>
      </c>
      <c r="V971" s="8"/>
      <c r="W971" s="8"/>
      <c r="X971" s="8"/>
      <c r="Y971" s="8"/>
      <c r="Z971" s="8"/>
    </row>
    <row r="972" spans="1:26" ht="12.75">
      <c r="A972" s="11">
        <v>43747.293333333335</v>
      </c>
      <c r="B972" s="12" t="str">
        <f>HYPERLINK("https://twitter.com/Liseson7","@Liseson7")</f>
        <v>@Liseson7</v>
      </c>
      <c r="C972" s="7" t="s">
        <v>7689</v>
      </c>
      <c r="D972" s="7" t="s">
        <v>7690</v>
      </c>
      <c r="E972" s="12" t="str">
        <f>HYPERLINK("https://twitter.com/Liseson7/status/1181932929401966593","1181932929401966593")</f>
        <v>1181932929401966593</v>
      </c>
      <c r="F972" s="8"/>
      <c r="G972" s="7"/>
      <c r="H972" s="8"/>
      <c r="I972" s="15">
        <v>0</v>
      </c>
      <c r="J972" s="15">
        <v>0</v>
      </c>
      <c r="K972" s="12" t="str">
        <f>HYPERLINK("http://twitter.com/download/android","Twitter for Android")</f>
        <v>Twitter for Android</v>
      </c>
      <c r="L972" s="16">
        <v>19</v>
      </c>
      <c r="M972" s="16">
        <v>85</v>
      </c>
      <c r="N972" s="16">
        <v>0</v>
      </c>
      <c r="O972" s="17"/>
      <c r="P972" s="18">
        <v>43328.492106481484</v>
      </c>
      <c r="Q972" s="7"/>
      <c r="R972" s="7" t="s">
        <v>7693</v>
      </c>
      <c r="S972" s="7"/>
      <c r="T972" s="8"/>
      <c r="U972" s="19" t="str">
        <f>HYPERLINK("https://pbs.twimg.com/profile_images/1177948118454820864/QPzF5vL8.jpg","View")</f>
        <v>View</v>
      </c>
      <c r="V972" s="8"/>
      <c r="W972" s="8"/>
      <c r="X972" s="8"/>
      <c r="Y972" s="8"/>
      <c r="Z972" s="8"/>
    </row>
    <row r="973" spans="1:26" ht="12.75">
      <c r="A973" s="11">
        <v>43747.293310185181</v>
      </c>
      <c r="B973" s="12" t="str">
        <f>HYPERLINK("https://twitter.com/eyupsulubey","@eyupsulubey")</f>
        <v>@eyupsulubey</v>
      </c>
      <c r="C973" s="7" t="s">
        <v>7695</v>
      </c>
      <c r="D973" s="7" t="s">
        <v>7696</v>
      </c>
      <c r="E973" s="12" t="str">
        <f>HYPERLINK("https://twitter.com/eyupsulubey/status/1181932920942026752","1181932920942026752")</f>
        <v>1181932920942026752</v>
      </c>
      <c r="F973" s="8"/>
      <c r="G973" s="7"/>
      <c r="H973" s="8"/>
      <c r="I973" s="15">
        <v>0</v>
      </c>
      <c r="J973" s="15">
        <v>0</v>
      </c>
      <c r="K973" s="12" t="str">
        <f>HYPERLINK("http://twitter.com/download/iphone","Twitter for iPhone")</f>
        <v>Twitter for iPhone</v>
      </c>
      <c r="L973" s="16">
        <v>11</v>
      </c>
      <c r="M973" s="16">
        <v>78</v>
      </c>
      <c r="N973" s="16">
        <v>0</v>
      </c>
      <c r="O973" s="17"/>
      <c r="P973" s="18">
        <v>41930.585046296299</v>
      </c>
      <c r="Q973" s="7" t="s">
        <v>313</v>
      </c>
      <c r="R973" s="7"/>
      <c r="S973" s="7"/>
      <c r="T973" s="8"/>
      <c r="U973" s="19" t="str">
        <f>HYPERLINK("https://pbs.twimg.com/profile_images/1155935799009054720/kY2Z8AVJ.jpg","View")</f>
        <v>View</v>
      </c>
      <c r="V973" s="8"/>
      <c r="W973" s="8"/>
      <c r="X973" s="8"/>
      <c r="Y973" s="8"/>
      <c r="Z973" s="8"/>
    </row>
    <row r="974" spans="1:26" ht="12.75">
      <c r="A974" s="11">
        <v>43747.293240740742</v>
      </c>
      <c r="B974" s="12" t="str">
        <f>HYPERLINK("https://twitter.com/mnrkaman","@mnrkaman")</f>
        <v>@mnrkaman</v>
      </c>
      <c r="C974" s="7" t="s">
        <v>7699</v>
      </c>
      <c r="D974" s="7" t="s">
        <v>7700</v>
      </c>
      <c r="E974" s="12" t="str">
        <f>HYPERLINK("https://twitter.com/mnrkaman/status/1181932897357434881","1181932897357434881")</f>
        <v>1181932897357434881</v>
      </c>
      <c r="F974" s="8"/>
      <c r="G974" s="7"/>
      <c r="H974" s="8"/>
      <c r="I974" s="15">
        <v>0</v>
      </c>
      <c r="J974" s="15">
        <v>1</v>
      </c>
      <c r="K974" s="12" t="str">
        <f>HYPERLINK("http://twitter.com/download/iphone","Twitter for iPhone")</f>
        <v>Twitter for iPhone</v>
      </c>
      <c r="L974" s="16">
        <v>319</v>
      </c>
      <c r="M974" s="16">
        <v>535</v>
      </c>
      <c r="N974" s="16">
        <v>1</v>
      </c>
      <c r="O974" s="17"/>
      <c r="P974" s="18">
        <v>40680.599976851852</v>
      </c>
      <c r="Q974" s="7" t="s">
        <v>313</v>
      </c>
      <c r="R974" s="7" t="s">
        <v>7701</v>
      </c>
      <c r="S974" s="7"/>
      <c r="T974" s="8"/>
      <c r="U974" s="19" t="str">
        <f>HYPERLINK("https://pbs.twimg.com/profile_images/767884759410151424/zqA_a1KR.jpg","View")</f>
        <v>View</v>
      </c>
      <c r="V974" s="8"/>
      <c r="W974" s="8"/>
      <c r="X974" s="8"/>
      <c r="Y974" s="8"/>
      <c r="Z974" s="8"/>
    </row>
    <row r="975" spans="1:26" ht="12.75">
      <c r="A975" s="11">
        <v>43747.293240740742</v>
      </c>
      <c r="B975" s="12" t="str">
        <f>HYPERLINK("https://twitter.com/MKaraca444","@MKaraca444")</f>
        <v>@MKaraca444</v>
      </c>
      <c r="C975" s="7" t="s">
        <v>7704</v>
      </c>
      <c r="D975" s="7" t="s">
        <v>7705</v>
      </c>
      <c r="E975" s="12" t="str">
        <f>HYPERLINK("https://twitter.com/MKaraca444/status/1181932894723416066","1181932894723416066")</f>
        <v>1181932894723416066</v>
      </c>
      <c r="F975" s="8"/>
      <c r="G975" s="14" t="s">
        <v>7706</v>
      </c>
      <c r="H975" s="8"/>
      <c r="I975" s="15">
        <v>0</v>
      </c>
      <c r="J975" s="15">
        <v>2</v>
      </c>
      <c r="K975" s="12" t="str">
        <f>HYPERLINK("http://twitter.com/download/iphone","Twitter for iPhone")</f>
        <v>Twitter for iPhone</v>
      </c>
      <c r="L975" s="16">
        <v>343</v>
      </c>
      <c r="M975" s="16">
        <v>354</v>
      </c>
      <c r="N975" s="16">
        <v>0</v>
      </c>
      <c r="O975" s="17"/>
      <c r="P975" s="18">
        <v>41345.456250000003</v>
      </c>
      <c r="Q975" s="7"/>
      <c r="R975" s="7" t="s">
        <v>7709</v>
      </c>
      <c r="S975" s="7"/>
      <c r="T975" s="8"/>
      <c r="U975" s="19" t="str">
        <f>HYPERLINK("https://pbs.twimg.com/profile_images/1128068774765236230/Ljs-_10I.jpg","View")</f>
        <v>View</v>
      </c>
      <c r="V975" s="8"/>
      <c r="W975" s="8"/>
      <c r="X975" s="8"/>
      <c r="Y975" s="8"/>
      <c r="Z975" s="8"/>
    </row>
    <row r="976" spans="1:26" ht="12.75">
      <c r="A976" s="11">
        <v>43747.293229166666</v>
      </c>
      <c r="B976" s="12" t="str">
        <f>HYPERLINK("https://twitter.com/cohmoxikah","@cohmoxikah")</f>
        <v>@cohmoxikah</v>
      </c>
      <c r="C976" s="7" t="s">
        <v>7710</v>
      </c>
      <c r="D976" s="7" t="s">
        <v>160</v>
      </c>
      <c r="E976" s="12" t="str">
        <f>HYPERLINK("https://twitter.com/cohmoxikah/status/1181932893003767808","1181932893003767808")</f>
        <v>1181932893003767808</v>
      </c>
      <c r="F976" s="8"/>
      <c r="G976" s="14" t="s">
        <v>7711</v>
      </c>
      <c r="H976" s="8"/>
      <c r="I976" s="15">
        <v>0</v>
      </c>
      <c r="J976" s="15">
        <v>0</v>
      </c>
      <c r="K976" s="12" t="str">
        <f>HYPERLINK("http://twitter.com/download/iphone","Twitter for iPhone")</f>
        <v>Twitter for iPhone</v>
      </c>
      <c r="L976" s="16">
        <v>286</v>
      </c>
      <c r="M976" s="16">
        <v>85</v>
      </c>
      <c r="N976" s="16">
        <v>20</v>
      </c>
      <c r="O976" s="17"/>
      <c r="P976" s="18">
        <v>41698.668275462966</v>
      </c>
      <c r="Q976" s="7" t="s">
        <v>7715</v>
      </c>
      <c r="R976" s="7" t="s">
        <v>7716</v>
      </c>
      <c r="S976" s="7"/>
      <c r="T976" s="8"/>
      <c r="U976" s="19" t="str">
        <f>HYPERLINK("https://pbs.twimg.com/profile_images/1103432494744027136/Rvvdco4M.png","View")</f>
        <v>View</v>
      </c>
      <c r="V976" s="8"/>
      <c r="W976" s="8"/>
      <c r="X976" s="8"/>
      <c r="Y976" s="8"/>
      <c r="Z976" s="8"/>
    </row>
    <row r="977" spans="1:26" ht="12.75">
      <c r="A977" s="11">
        <v>43747.293217592596</v>
      </c>
      <c r="B977" s="12" t="str">
        <f>HYPERLINK("https://twitter.com/erdogan_yesil11","@erdogan_yesil11")</f>
        <v>@erdogan_yesil11</v>
      </c>
      <c r="C977" s="7" t="s">
        <v>7717</v>
      </c>
      <c r="D977" s="7" t="s">
        <v>7718</v>
      </c>
      <c r="E977" s="12" t="str">
        <f>HYPERLINK("https://twitter.com/erdogan_yesil11/status/1181932889480601601","1181932889480601601")</f>
        <v>1181932889480601601</v>
      </c>
      <c r="F977" s="8"/>
      <c r="G977" s="15"/>
      <c r="H977" s="8"/>
      <c r="I977" s="15">
        <v>0</v>
      </c>
      <c r="J977" s="15">
        <v>2</v>
      </c>
      <c r="K977" s="12" t="str">
        <f>HYPERLINK("http://twitter.com/download/iphone","Twitter for iPhone")</f>
        <v>Twitter for iPhone</v>
      </c>
      <c r="L977" s="16">
        <v>1643</v>
      </c>
      <c r="M977" s="16">
        <v>1750</v>
      </c>
      <c r="N977" s="16">
        <v>0</v>
      </c>
      <c r="O977" s="17"/>
      <c r="P977" s="18">
        <v>42434.198611111111</v>
      </c>
      <c r="Q977" s="7" t="s">
        <v>6929</v>
      </c>
      <c r="R977" s="7" t="s">
        <v>7719</v>
      </c>
      <c r="S977" s="7"/>
      <c r="T977" s="8"/>
      <c r="U977" s="19" t="str">
        <f>HYPERLINK("https://pbs.twimg.com/profile_images/1155794537148813313/TK8Ne-y8.jpg","View")</f>
        <v>View</v>
      </c>
      <c r="V977" s="8"/>
      <c r="W977" s="8"/>
      <c r="X977" s="8"/>
      <c r="Y977" s="8"/>
      <c r="Z977" s="8"/>
    </row>
    <row r="978" spans="1:26" ht="12.75">
      <c r="A978" s="11">
        <v>43747.293194444443</v>
      </c>
      <c r="B978" s="12" t="str">
        <f>HYPERLINK("https://twitter.com/wonderturk","@wonderturk")</f>
        <v>@wonderturk</v>
      </c>
      <c r="C978" s="7" t="s">
        <v>7721</v>
      </c>
      <c r="D978" s="7" t="s">
        <v>7723</v>
      </c>
      <c r="E978" s="12" t="str">
        <f>HYPERLINK("https://twitter.com/wonderturk/status/1181932879615610881","1181932879615610881")</f>
        <v>1181932879615610881</v>
      </c>
      <c r="F978" s="8"/>
      <c r="G978" s="14" t="s">
        <v>7724</v>
      </c>
      <c r="H978" s="8"/>
      <c r="I978" s="15">
        <v>0</v>
      </c>
      <c r="J978" s="15">
        <v>0</v>
      </c>
      <c r="K978" s="12" t="str">
        <f>HYPERLINK("http://twitter.com/download/android","Twitter for Android")</f>
        <v>Twitter for Android</v>
      </c>
      <c r="L978" s="16">
        <v>68</v>
      </c>
      <c r="M978" s="16">
        <v>41</v>
      </c>
      <c r="N978" s="16">
        <v>0</v>
      </c>
      <c r="O978" s="17"/>
      <c r="P978" s="18">
        <v>40905.968611111108</v>
      </c>
      <c r="Q978" s="7" t="s">
        <v>860</v>
      </c>
      <c r="R978" s="7" t="s">
        <v>7727</v>
      </c>
      <c r="S978" s="15"/>
      <c r="T978" s="8"/>
      <c r="U978" s="19" t="str">
        <f>HYPERLINK("https://pbs.twimg.com/profile_images/1175473613073473536/Czlkj1w5.jpg","View")</f>
        <v>View</v>
      </c>
      <c r="V978" s="8"/>
      <c r="W978" s="8"/>
      <c r="X978" s="8"/>
      <c r="Y978" s="8"/>
      <c r="Z978" s="8"/>
    </row>
    <row r="979" spans="1:26" ht="12.75">
      <c r="A979" s="11">
        <v>43747.293136574073</v>
      </c>
      <c r="B979" s="12" t="str">
        <f>HYPERLINK("https://twitter.com/haciislamoglu","@haciislamoglu")</f>
        <v>@haciislamoglu</v>
      </c>
      <c r="C979" s="7" t="s">
        <v>7730</v>
      </c>
      <c r="D979" s="7" t="s">
        <v>7731</v>
      </c>
      <c r="E979" s="12" t="str">
        <f>HYPERLINK("https://twitter.com/haciislamoglu/status/1181932859369676800","1181932859369676800")</f>
        <v>1181932859369676800</v>
      </c>
      <c r="F979" s="8"/>
      <c r="G979" s="15"/>
      <c r="H979" s="8"/>
      <c r="I979" s="15">
        <v>0</v>
      </c>
      <c r="J979" s="15">
        <v>0</v>
      </c>
      <c r="K979" s="12" t="str">
        <f>HYPERLINK("http://twitter.com/download/iphone","Twitter for iPhone")</f>
        <v>Twitter for iPhone</v>
      </c>
      <c r="L979" s="16">
        <v>211</v>
      </c>
      <c r="M979" s="16">
        <v>1028</v>
      </c>
      <c r="N979" s="16">
        <v>0</v>
      </c>
      <c r="O979" s="17"/>
      <c r="P979" s="18">
        <v>41420.537962962961</v>
      </c>
      <c r="Q979" s="7" t="s">
        <v>7733</v>
      </c>
      <c r="R979" s="7" t="s">
        <v>7734</v>
      </c>
      <c r="S979" s="15"/>
      <c r="T979" s="8"/>
      <c r="U979" s="19" t="str">
        <f>HYPERLINK("https://pbs.twimg.com/profile_images/1181442377220870144/ULELvt8A.jpg","View")</f>
        <v>View</v>
      </c>
      <c r="V979" s="8"/>
      <c r="W979" s="8"/>
      <c r="X979" s="8"/>
      <c r="Y979" s="8"/>
      <c r="Z979" s="8"/>
    </row>
    <row r="980" spans="1:26" ht="12.75">
      <c r="A980" s="11">
        <v>43747.293136574073</v>
      </c>
      <c r="B980" s="12" t="str">
        <f>HYPERLINK("https://twitter.com/GazetecilerCom","@GazetecilerCom")</f>
        <v>@GazetecilerCom</v>
      </c>
      <c r="C980" s="7" t="s">
        <v>7739</v>
      </c>
      <c r="D980" s="7" t="s">
        <v>7740</v>
      </c>
      <c r="E980" s="12" t="str">
        <f>HYPERLINK("https://twitter.com/GazetecilerCom/status/1181932857192800256","1181932857192800256")</f>
        <v>1181932857192800256</v>
      </c>
      <c r="F980" s="14" t="s">
        <v>7741</v>
      </c>
      <c r="G980" s="14" t="s">
        <v>7744</v>
      </c>
      <c r="H980" s="8"/>
      <c r="I980" s="15">
        <v>0</v>
      </c>
      <c r="J980" s="15">
        <v>0</v>
      </c>
      <c r="K980" s="12" t="str">
        <f>HYPERLINK("https://mobile.twitter.com","Twitter Web App")</f>
        <v>Twitter Web App</v>
      </c>
      <c r="L980" s="16">
        <v>53707</v>
      </c>
      <c r="M980" s="16">
        <v>492</v>
      </c>
      <c r="N980" s="16">
        <v>313</v>
      </c>
      <c r="O980" s="17"/>
      <c r="P980" s="18">
        <v>40171.984328703707</v>
      </c>
      <c r="Q980" s="7" t="s">
        <v>576</v>
      </c>
      <c r="R980" s="7" t="s">
        <v>7745</v>
      </c>
      <c r="S980" s="14" t="s">
        <v>7746</v>
      </c>
      <c r="T980" s="8"/>
      <c r="U980" s="19" t="str">
        <f>HYPERLINK("https://pbs.twimg.com/profile_images/462225067745624064/zBG7L7-a.png","View")</f>
        <v>View</v>
      </c>
      <c r="V980" s="8"/>
      <c r="W980" s="8"/>
      <c r="X980" s="8"/>
      <c r="Y980" s="8"/>
      <c r="Z980" s="8"/>
    </row>
    <row r="981" spans="1:26" ht="12.75">
      <c r="A981" s="11">
        <v>43747.293136574073</v>
      </c>
      <c r="B981" s="12" t="str">
        <f>HYPERLINK("https://twitter.com/abdlhamitkilic","@abdlhamitkilic")</f>
        <v>@abdlhamitkilic</v>
      </c>
      <c r="C981" s="7" t="s">
        <v>7747</v>
      </c>
      <c r="D981" s="7" t="s">
        <v>7748</v>
      </c>
      <c r="E981" s="12" t="str">
        <f>HYPERLINK("https://twitter.com/abdlhamitkilic/status/1181932857117347841","1181932857117347841")</f>
        <v>1181932857117347841</v>
      </c>
      <c r="F981" s="15"/>
      <c r="G981" s="7"/>
      <c r="H981" s="8"/>
      <c r="I981" s="15">
        <v>0</v>
      </c>
      <c r="J981" s="15">
        <v>0</v>
      </c>
      <c r="K981" s="12" t="str">
        <f>HYPERLINK("http://twitter.com/download/android","Twitter for Android")</f>
        <v>Twitter for Android</v>
      </c>
      <c r="L981" s="16">
        <v>488</v>
      </c>
      <c r="M981" s="16">
        <v>769</v>
      </c>
      <c r="N981" s="16">
        <v>3</v>
      </c>
      <c r="O981" s="20"/>
      <c r="P981" s="18">
        <v>41022.693113425928</v>
      </c>
      <c r="Q981" s="7" t="s">
        <v>1150</v>
      </c>
      <c r="R981" s="7" t="s">
        <v>7752</v>
      </c>
      <c r="S981" s="15"/>
      <c r="T981" s="8"/>
      <c r="U981" s="19" t="str">
        <f>HYPERLINK("https://pbs.twimg.com/profile_images/1170016349118193664/mAjnIb3a.jpg","View")</f>
        <v>View</v>
      </c>
      <c r="V981" s="8"/>
      <c r="W981" s="8"/>
      <c r="X981" s="8"/>
      <c r="Y981" s="8"/>
      <c r="Z981" s="8"/>
    </row>
    <row r="982" spans="1:26" ht="12.75">
      <c r="A982" s="11">
        <v>43747.293090277773</v>
      </c>
      <c r="B982" s="12" t="str">
        <f>HYPERLINK("https://twitter.com/erdgn9","@erdgn9")</f>
        <v>@erdgn9</v>
      </c>
      <c r="C982" s="7" t="s">
        <v>7753</v>
      </c>
      <c r="D982" s="7" t="s">
        <v>7754</v>
      </c>
      <c r="E982" s="12" t="str">
        <f>HYPERLINK("https://twitter.com/erdgn9/status/1181932843225747461","1181932843225747461")</f>
        <v>1181932843225747461</v>
      </c>
      <c r="F982" s="8"/>
      <c r="G982" s="14" t="s">
        <v>7755</v>
      </c>
      <c r="H982" s="8"/>
      <c r="I982" s="15">
        <v>0</v>
      </c>
      <c r="J982" s="15">
        <v>1</v>
      </c>
      <c r="K982" s="12" t="str">
        <f>HYPERLINK("http://twitter.com/download/iphone","Twitter for iPhone")</f>
        <v>Twitter for iPhone</v>
      </c>
      <c r="L982" s="16">
        <v>100</v>
      </c>
      <c r="M982" s="16">
        <v>98</v>
      </c>
      <c r="N982" s="16">
        <v>0</v>
      </c>
      <c r="O982" s="17"/>
      <c r="P982" s="18">
        <v>41155.602233796293</v>
      </c>
      <c r="Q982" s="7"/>
      <c r="R982" s="7" t="s">
        <v>7758</v>
      </c>
      <c r="S982" s="7"/>
      <c r="T982" s="8"/>
      <c r="U982" s="19" t="str">
        <f>HYPERLINK("https://pbs.twimg.com/profile_images/1120418953061380097/V711_qh6.jpg","View")</f>
        <v>View</v>
      </c>
      <c r="V982" s="8"/>
      <c r="W982" s="8"/>
      <c r="X982" s="8"/>
      <c r="Y982" s="8"/>
      <c r="Z982" s="8"/>
    </row>
    <row r="983" spans="1:26" ht="12.75">
      <c r="A983" s="11">
        <v>43747.29305555555</v>
      </c>
      <c r="B983" s="12" t="str">
        <f>HYPERLINK("https://twitter.com/IremAtmc_","@IremAtmc_")</f>
        <v>@IremAtmc_</v>
      </c>
      <c r="C983" s="7" t="s">
        <v>7759</v>
      </c>
      <c r="D983" s="7" t="s">
        <v>7760</v>
      </c>
      <c r="E983" s="12" t="str">
        <f>HYPERLINK("https://twitter.com/IremAtmc_/status/1181932828650561536","1181932828650561536")</f>
        <v>1181932828650561536</v>
      </c>
      <c r="F983" s="8"/>
      <c r="G983" s="15"/>
      <c r="H983" s="8"/>
      <c r="I983" s="15">
        <v>0</v>
      </c>
      <c r="J983" s="15">
        <v>0</v>
      </c>
      <c r="K983" s="12" t="str">
        <f>HYPERLINK("http://twitter.com/download/android","Twitter for Android")</f>
        <v>Twitter for Android</v>
      </c>
      <c r="L983" s="16">
        <v>1975</v>
      </c>
      <c r="M983" s="16">
        <v>2692</v>
      </c>
      <c r="N983" s="16">
        <v>1</v>
      </c>
      <c r="O983" s="17"/>
      <c r="P983" s="18">
        <v>41447.262407407405</v>
      </c>
      <c r="Q983" s="7"/>
      <c r="R983" s="7" t="s">
        <v>7761</v>
      </c>
      <c r="S983" s="7"/>
      <c r="T983" s="8"/>
      <c r="U983" s="19" t="str">
        <f>HYPERLINK("https://pbs.twimg.com/profile_images/1162101967658897410/btt-sT3b.jpg","View")</f>
        <v>View</v>
      </c>
      <c r="V983" s="8"/>
      <c r="W983" s="8"/>
      <c r="X983" s="8"/>
      <c r="Y983" s="8"/>
      <c r="Z983" s="8"/>
    </row>
    <row r="984" spans="1:26" ht="12.75">
      <c r="A984" s="11">
        <v>43747.293020833335</v>
      </c>
      <c r="B984" s="12" t="str">
        <f>HYPERLINK("https://twitter.com/Elazigsivesi","@Elazigsivesi")</f>
        <v>@Elazigsivesi</v>
      </c>
      <c r="C984" s="7" t="s">
        <v>7762</v>
      </c>
      <c r="D984" s="7" t="s">
        <v>7763</v>
      </c>
      <c r="E984" s="12" t="str">
        <f>HYPERLINK("https://twitter.com/Elazigsivesi/status/1181932816147218432","1181932816147218432")</f>
        <v>1181932816147218432</v>
      </c>
      <c r="F984" s="8"/>
      <c r="G984" s="14" t="s">
        <v>7764</v>
      </c>
      <c r="H984" s="8"/>
      <c r="I984" s="15">
        <v>10</v>
      </c>
      <c r="J984" s="15">
        <v>59</v>
      </c>
      <c r="K984" s="12" t="str">
        <f>HYPERLINK("http://twitter.com/download/android","Twitter for Android")</f>
        <v>Twitter for Android</v>
      </c>
      <c r="L984" s="16">
        <v>7129</v>
      </c>
      <c r="M984" s="16">
        <v>22</v>
      </c>
      <c r="N984" s="16">
        <v>7</v>
      </c>
      <c r="O984" s="17"/>
      <c r="P984" s="18">
        <v>41350.567986111113</v>
      </c>
      <c r="Q984" s="7" t="s">
        <v>1392</v>
      </c>
      <c r="R984" s="7" t="s">
        <v>7765</v>
      </c>
      <c r="S984" s="14" t="s">
        <v>7766</v>
      </c>
      <c r="T984" s="8"/>
      <c r="U984" s="19" t="str">
        <f>HYPERLINK("https://pbs.twimg.com/profile_images/1167721649250213888/S2JREInS.jpg","View")</f>
        <v>View</v>
      </c>
      <c r="V984" s="8"/>
      <c r="W984" s="8"/>
      <c r="X984" s="8"/>
      <c r="Y984" s="8"/>
      <c r="Z984" s="8"/>
    </row>
    <row r="985" spans="1:26" ht="12.75">
      <c r="A985" s="11">
        <v>43747.292997685188</v>
      </c>
      <c r="B985" s="12" t="str">
        <f>HYPERLINK("https://twitter.com/Umutmka","@Umutmka")</f>
        <v>@Umutmka</v>
      </c>
      <c r="C985" s="7" t="s">
        <v>7769</v>
      </c>
      <c r="D985" s="7" t="s">
        <v>7771</v>
      </c>
      <c r="E985" s="12" t="str">
        <f>HYPERLINK("https://twitter.com/Umutmka/status/1181932809553940480","1181932809553940480")</f>
        <v>1181932809553940480</v>
      </c>
      <c r="F985" s="8"/>
      <c r="G985" s="14" t="s">
        <v>7773</v>
      </c>
      <c r="H985" s="8"/>
      <c r="I985" s="15">
        <v>3</v>
      </c>
      <c r="J985" s="15">
        <v>8</v>
      </c>
      <c r="K985" s="12" t="str">
        <f>HYPERLINK("http://twitter.com/download/iphone","Twitter for iPhone")</f>
        <v>Twitter for iPhone</v>
      </c>
      <c r="L985" s="16">
        <v>32256</v>
      </c>
      <c r="M985" s="16">
        <v>14465</v>
      </c>
      <c r="N985" s="16">
        <v>37</v>
      </c>
      <c r="O985" s="17"/>
      <c r="P985" s="18">
        <v>41346.683067129634</v>
      </c>
      <c r="Q985" s="7"/>
      <c r="R985" s="7" t="s">
        <v>7775</v>
      </c>
      <c r="S985" s="14" t="s">
        <v>7776</v>
      </c>
      <c r="T985" s="8"/>
      <c r="U985" s="19" t="str">
        <f>HYPERLINK("https://pbs.twimg.com/profile_images/1129296456576323584/qCgcse0F.jpg","View")</f>
        <v>View</v>
      </c>
      <c r="V985" s="8"/>
      <c r="W985" s="8"/>
      <c r="X985" s="8"/>
      <c r="Y985" s="8"/>
      <c r="Z985" s="8"/>
    </row>
    <row r="986" spans="1:26" ht="12.75">
      <c r="A986" s="11">
        <v>43747.292986111112</v>
      </c>
      <c r="B986" s="12" t="str">
        <f>HYPERLINK("https://twitter.com/trhabermerkezii","@trhabermerkezii")</f>
        <v>@trhabermerkezii</v>
      </c>
      <c r="C986" s="7" t="s">
        <v>7781</v>
      </c>
      <c r="D986" s="7" t="s">
        <v>6954</v>
      </c>
      <c r="E986" s="12" t="str">
        <f>HYPERLINK("https://twitter.com/trhabermerkezii/status/1181932802591330306","1181932802591330306")</f>
        <v>1181932802591330306</v>
      </c>
      <c r="F986" s="8"/>
      <c r="G986" s="14" t="s">
        <v>7782</v>
      </c>
      <c r="H986" s="8"/>
      <c r="I986" s="15">
        <v>0</v>
      </c>
      <c r="J986" s="15">
        <v>2</v>
      </c>
      <c r="K986" s="12" t="str">
        <f>HYPERLINK("http://twitter.com/download/android","Twitter for Android")</f>
        <v>Twitter for Android</v>
      </c>
      <c r="L986" s="16">
        <v>62</v>
      </c>
      <c r="M986" s="16">
        <v>37</v>
      </c>
      <c r="N986" s="16">
        <v>0</v>
      </c>
      <c r="O986" s="17"/>
      <c r="P986" s="18">
        <v>43676.459131944444</v>
      </c>
      <c r="Q986" s="7"/>
      <c r="R986" s="14" t="s">
        <v>7784</v>
      </c>
      <c r="S986" s="14" t="s">
        <v>7784</v>
      </c>
      <c r="T986" s="8"/>
      <c r="U986" s="19" t="str">
        <f>HYPERLINK("https://pbs.twimg.com/profile_images/1180779460930494466/JZc1eM8-.jpg","View")</f>
        <v>View</v>
      </c>
      <c r="V986" s="8"/>
      <c r="W986" s="8"/>
      <c r="X986" s="8"/>
      <c r="Y986" s="8"/>
      <c r="Z986" s="8"/>
    </row>
    <row r="987" spans="1:26" ht="12.75">
      <c r="A987" s="11">
        <v>43747.292974537035</v>
      </c>
      <c r="B987" s="12" t="str">
        <f>HYPERLINK("https://twitter.com/Semraaa81676332","@Semraaa81676332")</f>
        <v>@Semraaa81676332</v>
      </c>
      <c r="C987" s="7" t="s">
        <v>7788</v>
      </c>
      <c r="D987" s="7" t="s">
        <v>7789</v>
      </c>
      <c r="E987" s="12" t="str">
        <f>HYPERLINK("https://twitter.com/Semraaa81676332/status/1181932802020974593","1181932802020974593")</f>
        <v>1181932802020974593</v>
      </c>
      <c r="F987" s="8"/>
      <c r="G987" s="15"/>
      <c r="H987" s="8"/>
      <c r="I987" s="15">
        <v>0</v>
      </c>
      <c r="J987" s="15">
        <v>3</v>
      </c>
      <c r="K987" s="12" t="str">
        <f>HYPERLINK("http://twitter.com/download/android","Twitter for Android")</f>
        <v>Twitter for Android</v>
      </c>
      <c r="L987" s="16">
        <v>168</v>
      </c>
      <c r="M987" s="16">
        <v>201</v>
      </c>
      <c r="N987" s="16">
        <v>1</v>
      </c>
      <c r="O987" s="17"/>
      <c r="P987" s="18">
        <v>43387.528032407412</v>
      </c>
      <c r="Q987" s="7"/>
      <c r="R987" s="7" t="s">
        <v>7790</v>
      </c>
      <c r="S987" s="7"/>
      <c r="T987" s="8"/>
      <c r="U987" s="19" t="str">
        <f>HYPERLINK("https://pbs.twimg.com/profile_images/1180538492817948672/GdGtIULY.jpg","View")</f>
        <v>View</v>
      </c>
      <c r="V987" s="8"/>
      <c r="W987" s="8"/>
      <c r="X987" s="8"/>
      <c r="Y987" s="8"/>
      <c r="Z987" s="8"/>
    </row>
    <row r="988" spans="1:26" ht="12.75">
      <c r="A988" s="11">
        <v>43747.292928240742</v>
      </c>
      <c r="B988" s="12" t="str">
        <f>HYPERLINK("https://twitter.com/Atletizmsever","@Atletizmsever")</f>
        <v>@Atletizmsever</v>
      </c>
      <c r="C988" s="7" t="s">
        <v>7794</v>
      </c>
      <c r="D988" s="7" t="s">
        <v>7795</v>
      </c>
      <c r="E988" s="12" t="str">
        <f>HYPERLINK("https://twitter.com/Atletizmsever/status/1181932782555222016","1181932782555222016")</f>
        <v>1181932782555222016</v>
      </c>
      <c r="F988" s="14" t="s">
        <v>7796</v>
      </c>
      <c r="G988" s="14" t="s">
        <v>7797</v>
      </c>
      <c r="H988" s="8"/>
      <c r="I988" s="15">
        <v>0</v>
      </c>
      <c r="J988" s="15">
        <v>0</v>
      </c>
      <c r="K988" s="12" t="str">
        <f>HYPERLINK("https://about.twitter.com/products/tweetdeck","TweetDeck")</f>
        <v>TweetDeck</v>
      </c>
      <c r="L988" s="16">
        <v>201</v>
      </c>
      <c r="M988" s="16">
        <v>435</v>
      </c>
      <c r="N988" s="16">
        <v>1</v>
      </c>
      <c r="O988" s="17"/>
      <c r="P988" s="18">
        <v>42159.108298611114</v>
      </c>
      <c r="Q988" s="7" t="s">
        <v>7800</v>
      </c>
      <c r="R988" s="7" t="s">
        <v>7801</v>
      </c>
      <c r="S988" s="15"/>
      <c r="T988" s="8"/>
      <c r="U988" s="19" t="str">
        <f>HYPERLINK("https://pbs.twimg.com/profile_images/1113841008578633728/C2mnL04U.png","View")</f>
        <v>View</v>
      </c>
      <c r="V988" s="8"/>
      <c r="W988" s="8"/>
      <c r="X988" s="8"/>
      <c r="Y988" s="8"/>
      <c r="Z988" s="8"/>
    </row>
    <row r="989" spans="1:26" ht="12.75">
      <c r="A989" s="11">
        <v>43747.292905092589</v>
      </c>
      <c r="B989" s="12" t="str">
        <f>HYPERLINK("https://twitter.com/IzzetEthem","@IzzetEthem")</f>
        <v>@IzzetEthem</v>
      </c>
      <c r="C989" s="7" t="s">
        <v>7804</v>
      </c>
      <c r="D989" s="7" t="s">
        <v>7805</v>
      </c>
      <c r="E989" s="12" t="str">
        <f>HYPERLINK("https://twitter.com/IzzetEthem/status/1181932776104370176","1181932776104370176")</f>
        <v>1181932776104370176</v>
      </c>
      <c r="F989" s="8"/>
      <c r="G989" s="14" t="s">
        <v>7806</v>
      </c>
      <c r="H989" s="8"/>
      <c r="I989" s="15">
        <v>0</v>
      </c>
      <c r="J989" s="15">
        <v>0</v>
      </c>
      <c r="K989" s="12" t="str">
        <f>HYPERLINK("http://twitter.com/download/android","Twitter for Android")</f>
        <v>Twitter for Android</v>
      </c>
      <c r="L989" s="16">
        <v>177</v>
      </c>
      <c r="M989" s="16">
        <v>599</v>
      </c>
      <c r="N989" s="16">
        <v>1</v>
      </c>
      <c r="O989" s="17"/>
      <c r="P989" s="18">
        <v>40716.472372685181</v>
      </c>
      <c r="Q989" s="7" t="s">
        <v>7807</v>
      </c>
      <c r="R989" s="7" t="s">
        <v>7808</v>
      </c>
      <c r="S989" s="14" t="s">
        <v>7809</v>
      </c>
      <c r="T989" s="8"/>
      <c r="U989" s="19" t="str">
        <f>HYPERLINK("https://pbs.twimg.com/profile_images/1096447736851951622/Ssh3-II8.jpg","View")</f>
        <v>View</v>
      </c>
      <c r="V989" s="8"/>
      <c r="W989" s="8"/>
      <c r="X989" s="8"/>
      <c r="Y989" s="8"/>
      <c r="Z989" s="8"/>
    </row>
    <row r="990" spans="1:26" ht="12.75">
      <c r="A990" s="11">
        <v>43747.29288194445</v>
      </c>
      <c r="B990" s="12" t="str">
        <f>HYPERLINK("https://twitter.com/izzettinyilgin","@izzettinyilgin")</f>
        <v>@izzettinyilgin</v>
      </c>
      <c r="C990" s="7" t="s">
        <v>7813</v>
      </c>
      <c r="D990" s="7" t="s">
        <v>7814</v>
      </c>
      <c r="E990" s="12" t="str">
        <f>HYPERLINK("https://twitter.com/izzettinyilgin/status/1181932768017735681","1181932768017735681")</f>
        <v>1181932768017735681</v>
      </c>
      <c r="F990" s="15"/>
      <c r="G990" s="14" t="s">
        <v>7815</v>
      </c>
      <c r="H990" s="8"/>
      <c r="I990" s="15">
        <v>0</v>
      </c>
      <c r="J990" s="15">
        <v>0</v>
      </c>
      <c r="K990" s="12" t="str">
        <f>HYPERLINK("http://twitter.com/download/android","Twitter for Android")</f>
        <v>Twitter for Android</v>
      </c>
      <c r="L990" s="16">
        <v>723</v>
      </c>
      <c r="M990" s="16">
        <v>253</v>
      </c>
      <c r="N990" s="16">
        <v>3</v>
      </c>
      <c r="O990" s="17"/>
      <c r="P990" s="18">
        <v>40989.879710648151</v>
      </c>
      <c r="Q990" s="7" t="s">
        <v>252</v>
      </c>
      <c r="R990" s="7" t="s">
        <v>7817</v>
      </c>
      <c r="S990" s="14" t="s">
        <v>7818</v>
      </c>
      <c r="T990" s="8"/>
      <c r="U990" s="19" t="str">
        <f>HYPERLINK("https://pbs.twimg.com/profile_images/1147219878404874241/1fNaLz4O.jpg","View")</f>
        <v>View</v>
      </c>
      <c r="V990" s="8"/>
      <c r="W990" s="8"/>
      <c r="X990" s="8"/>
      <c r="Y990" s="8"/>
      <c r="Z990" s="8"/>
    </row>
    <row r="991" spans="1:26" ht="12.75">
      <c r="A991" s="11">
        <v>43747.29288194445</v>
      </c>
      <c r="B991" s="12" t="str">
        <f>HYPERLINK("https://twitter.com/omerburak_tetik","@omerburak_tetik")</f>
        <v>@omerburak_tetik</v>
      </c>
      <c r="C991" s="7" t="s">
        <v>7820</v>
      </c>
      <c r="D991" s="7" t="s">
        <v>7821</v>
      </c>
      <c r="E991" s="12" t="str">
        <f>HYPERLINK("https://twitter.com/omerburak_tetik/status/1181932767078166529","1181932767078166529")</f>
        <v>1181932767078166529</v>
      </c>
      <c r="F991" s="8"/>
      <c r="G991" s="14" t="s">
        <v>7822</v>
      </c>
      <c r="H991" s="8"/>
      <c r="I991" s="15">
        <v>0</v>
      </c>
      <c r="J991" s="15">
        <v>2</v>
      </c>
      <c r="K991" s="12" t="str">
        <f>HYPERLINK("http://twitter.com/download/iphone","Twitter for iPhone")</f>
        <v>Twitter for iPhone</v>
      </c>
      <c r="L991" s="16">
        <v>180</v>
      </c>
      <c r="M991" s="16">
        <v>347</v>
      </c>
      <c r="N991" s="16">
        <v>0</v>
      </c>
      <c r="O991" s="17"/>
      <c r="P991" s="18">
        <v>43191.598159722227</v>
      </c>
      <c r="Q991" s="7" t="s">
        <v>69</v>
      </c>
      <c r="R991" s="7" t="s">
        <v>7826</v>
      </c>
      <c r="S991" s="7"/>
      <c r="T991" s="8"/>
      <c r="U991" s="19" t="str">
        <f>HYPERLINK("https://pbs.twimg.com/profile_images/1150915502237257728/pjJPgQDV.jpg","View")</f>
        <v>View</v>
      </c>
      <c r="V991" s="8"/>
      <c r="W991" s="8"/>
      <c r="X991" s="8"/>
      <c r="Y991" s="8"/>
      <c r="Z991" s="8"/>
    </row>
    <row r="992" spans="1:26" ht="12.75">
      <c r="A992" s="11">
        <v>43747.292800925927</v>
      </c>
      <c r="B992" s="12" t="str">
        <f>HYPERLINK("https://twitter.com/Lokmandalli1","@Lokmandalli1")</f>
        <v>@Lokmandalli1</v>
      </c>
      <c r="C992" s="7" t="s">
        <v>7833</v>
      </c>
      <c r="D992" s="7" t="s">
        <v>7834</v>
      </c>
      <c r="E992" s="12" t="str">
        <f>HYPERLINK("https://twitter.com/Lokmandalli1/status/1181932737554452481","1181932737554452481")</f>
        <v>1181932737554452481</v>
      </c>
      <c r="F992" s="8"/>
      <c r="G992" s="15"/>
      <c r="H992" s="8"/>
      <c r="I992" s="15">
        <v>0</v>
      </c>
      <c r="J992" s="15">
        <v>2</v>
      </c>
      <c r="K992" s="12" t="str">
        <f>HYPERLINK("http://twitter.com/download/android","Twitter for Android")</f>
        <v>Twitter for Android</v>
      </c>
      <c r="L992" s="16">
        <v>237</v>
      </c>
      <c r="M992" s="16">
        <v>278</v>
      </c>
      <c r="N992" s="16">
        <v>0</v>
      </c>
      <c r="O992" s="17"/>
      <c r="P992" s="18">
        <v>42651.377812499995</v>
      </c>
      <c r="Q992" s="7" t="s">
        <v>69</v>
      </c>
      <c r="R992" s="7" t="s">
        <v>7835</v>
      </c>
      <c r="S992" s="7"/>
      <c r="T992" s="8"/>
      <c r="U992" s="19" t="str">
        <f>HYPERLINK("https://pbs.twimg.com/profile_images/1171227599386886144/YrIHkZG0.jpg","View")</f>
        <v>View</v>
      </c>
      <c r="V992" s="8"/>
      <c r="W992" s="8"/>
      <c r="X992" s="8"/>
      <c r="Y992" s="8"/>
      <c r="Z992" s="8"/>
    </row>
    <row r="993" spans="1:26" ht="12.75">
      <c r="A993" s="11">
        <v>43747.29277777778</v>
      </c>
      <c r="B993" s="12" t="str">
        <f>HYPERLINK("https://twitter.com/Kadirceliik61","@Kadirceliik61")</f>
        <v>@Kadirceliik61</v>
      </c>
      <c r="C993" s="13" t="s">
        <v>7836</v>
      </c>
      <c r="D993" s="7" t="s">
        <v>7838</v>
      </c>
      <c r="E993" s="12" t="str">
        <f>HYPERLINK("https://twitter.com/Kadirceliik61/status/1181932729304260610","1181932729304260610")</f>
        <v>1181932729304260610</v>
      </c>
      <c r="F993" s="8"/>
      <c r="G993" s="14" t="s">
        <v>7840</v>
      </c>
      <c r="H993" s="8"/>
      <c r="I993" s="15">
        <v>1</v>
      </c>
      <c r="J993" s="15">
        <v>4</v>
      </c>
      <c r="K993" s="12" t="str">
        <f>HYPERLINK("http://twitter.com/download/iphone","Twitter for iPhone")</f>
        <v>Twitter for iPhone</v>
      </c>
      <c r="L993" s="16">
        <v>243</v>
      </c>
      <c r="M993" s="16">
        <v>413</v>
      </c>
      <c r="N993" s="16">
        <v>0</v>
      </c>
      <c r="O993" s="17"/>
      <c r="P993" s="18">
        <v>43005.381851851853</v>
      </c>
      <c r="Q993" s="7" t="s">
        <v>7843</v>
      </c>
      <c r="R993" s="13"/>
      <c r="S993" s="7"/>
      <c r="T993" s="8"/>
      <c r="U993" s="19" t="str">
        <f>HYPERLINK("https://pbs.twimg.com/profile_images/989555628145364993/P-gwEKM7.jpg","View")</f>
        <v>View</v>
      </c>
      <c r="V993" s="8"/>
      <c r="W993" s="8"/>
      <c r="X993" s="8"/>
      <c r="Y993" s="8"/>
      <c r="Z993" s="8"/>
    </row>
    <row r="994" spans="1:26" ht="12.75">
      <c r="A994" s="11">
        <v>43747.292754629627</v>
      </c>
      <c r="B994" s="12" t="str">
        <f>HYPERLINK("https://twitter.com/esinisb","@esinisb")</f>
        <v>@esinisb</v>
      </c>
      <c r="C994" s="7" t="s">
        <v>7845</v>
      </c>
      <c r="D994" s="7" t="s">
        <v>7846</v>
      </c>
      <c r="E994" s="12" t="str">
        <f>HYPERLINK("https://twitter.com/esinisb/status/1181932719032471552","1181932719032471552")</f>
        <v>1181932719032471552</v>
      </c>
      <c r="F994" s="8"/>
      <c r="G994" s="15"/>
      <c r="H994" s="8"/>
      <c r="I994" s="15">
        <v>0</v>
      </c>
      <c r="J994" s="15">
        <v>1</v>
      </c>
      <c r="K994" s="12" t="str">
        <f>HYPERLINK("http://twitter.com/download/android","Twitter for Android")</f>
        <v>Twitter for Android</v>
      </c>
      <c r="L994" s="16">
        <v>675</v>
      </c>
      <c r="M994" s="16">
        <v>625</v>
      </c>
      <c r="N994" s="16">
        <v>5</v>
      </c>
      <c r="O994" s="17"/>
      <c r="P994" s="18">
        <v>41814.162974537037</v>
      </c>
      <c r="Q994" s="7" t="s">
        <v>80</v>
      </c>
      <c r="R994" s="7" t="s">
        <v>7848</v>
      </c>
      <c r="S994" s="7"/>
      <c r="T994" s="8"/>
      <c r="U994" s="19" t="str">
        <f>HYPERLINK("https://pbs.twimg.com/profile_images/1167859844163833856/CKEYub4M.jpg","View")</f>
        <v>View</v>
      </c>
      <c r="V994" s="8"/>
      <c r="W994" s="8"/>
      <c r="X994" s="8"/>
      <c r="Y994" s="8"/>
      <c r="Z994" s="8"/>
    </row>
    <row r="995" spans="1:26" ht="12.75">
      <c r="A995" s="11">
        <v>43747.292731481481</v>
      </c>
      <c r="B995" s="12" t="str">
        <f>HYPERLINK("https://twitter.com/MehmetHIZLI4","@MehmetHIZLI4")</f>
        <v>@MehmetHIZLI4</v>
      </c>
      <c r="C995" s="7" t="s">
        <v>7850</v>
      </c>
      <c r="D995" s="7" t="s">
        <v>7851</v>
      </c>
      <c r="E995" s="12" t="str">
        <f>HYPERLINK("https://twitter.com/MehmetHIZLI4/status/1181932714188034048","1181932714188034048")</f>
        <v>1181932714188034048</v>
      </c>
      <c r="F995" s="8"/>
      <c r="G995" s="7"/>
      <c r="H995" s="8"/>
      <c r="I995" s="15">
        <v>0</v>
      </c>
      <c r="J995" s="15">
        <v>5</v>
      </c>
      <c r="K995" s="12" t="str">
        <f>HYPERLINK("http://twitter.com/download/android","Twitter for Android")</f>
        <v>Twitter for Android</v>
      </c>
      <c r="L995" s="16">
        <v>42</v>
      </c>
      <c r="M995" s="16">
        <v>148</v>
      </c>
      <c r="N995" s="16">
        <v>0</v>
      </c>
      <c r="O995" s="17"/>
      <c r="P995" s="18">
        <v>43099.210451388892</v>
      </c>
      <c r="Q995" s="7" t="s">
        <v>7854</v>
      </c>
      <c r="R995" s="7"/>
      <c r="S995" s="7"/>
      <c r="T995" s="8"/>
      <c r="U995" s="19" t="str">
        <f>HYPERLINK("https://pbs.twimg.com/profile_images/1097199448084619265/V81ZGEW4.jpg","View")</f>
        <v>View</v>
      </c>
      <c r="V995" s="8"/>
      <c r="W995" s="8"/>
      <c r="X995" s="8"/>
      <c r="Y995" s="8"/>
      <c r="Z995" s="8"/>
    </row>
    <row r="996" spans="1:26" ht="12.75">
      <c r="A996" s="11">
        <v>43747.292731481481</v>
      </c>
      <c r="B996" s="12" t="str">
        <f>HYPERLINK("https://twitter.com/feritsaridag","@feritsaridag")</f>
        <v>@feritsaridag</v>
      </c>
      <c r="C996" s="7" t="s">
        <v>7856</v>
      </c>
      <c r="D996" s="7" t="s">
        <v>7857</v>
      </c>
      <c r="E996" s="12" t="str">
        <f>HYPERLINK("https://twitter.com/feritsaridag/status/1181932713101742080","1181932713101742080")</f>
        <v>1181932713101742080</v>
      </c>
      <c r="F996" s="8"/>
      <c r="G996" s="15"/>
      <c r="H996" s="8"/>
      <c r="I996" s="15">
        <v>0</v>
      </c>
      <c r="J996" s="15">
        <v>0</v>
      </c>
      <c r="K996" s="12" t="str">
        <f>HYPERLINK("http://twitter.com/download/iphone","Twitter for iPhone")</f>
        <v>Twitter for iPhone</v>
      </c>
      <c r="L996" s="16">
        <v>12</v>
      </c>
      <c r="M996" s="16">
        <v>100</v>
      </c>
      <c r="N996" s="16">
        <v>0</v>
      </c>
      <c r="O996" s="17"/>
      <c r="P996" s="18">
        <v>43273.164722222224</v>
      </c>
      <c r="Q996" s="7"/>
      <c r="R996" s="7" t="s">
        <v>7859</v>
      </c>
      <c r="S996" s="15"/>
      <c r="T996" s="8"/>
      <c r="U996" s="19" t="str">
        <f>HYPERLINK("https://pbs.twimg.com/profile_images/1010116231318458368/oOcf6-VH.jpg","View")</f>
        <v>View</v>
      </c>
      <c r="V996" s="8"/>
      <c r="W996" s="8"/>
      <c r="X996" s="8"/>
      <c r="Y996" s="8"/>
      <c r="Z996" s="8"/>
    </row>
    <row r="997" spans="1:26" ht="12.75">
      <c r="A997" s="11">
        <v>43747.292708333334</v>
      </c>
      <c r="B997" s="12" t="str">
        <f>HYPERLINK("https://twitter.com/Sutozu26","@Sutozu26")</f>
        <v>@Sutozu26</v>
      </c>
      <c r="C997" s="7" t="s">
        <v>7861</v>
      </c>
      <c r="D997" s="7" t="s">
        <v>7862</v>
      </c>
      <c r="E997" s="12" t="str">
        <f>HYPERLINK("https://twitter.com/Sutozu26/status/1181932701827452928","1181932701827452928")</f>
        <v>1181932701827452928</v>
      </c>
      <c r="F997" s="8"/>
      <c r="G997" s="14" t="s">
        <v>7863</v>
      </c>
      <c r="H997" s="8"/>
      <c r="I997" s="15">
        <v>1</v>
      </c>
      <c r="J997" s="15">
        <v>1</v>
      </c>
      <c r="K997" s="12" t="str">
        <f>HYPERLINK("http://twitter.com/download/android","Twitter for Android")</f>
        <v>Twitter for Android</v>
      </c>
      <c r="L997" s="16">
        <v>207</v>
      </c>
      <c r="M997" s="16">
        <v>2034</v>
      </c>
      <c r="N997" s="16">
        <v>1</v>
      </c>
      <c r="O997" s="17"/>
      <c r="P997" s="18">
        <v>40959.237280092595</v>
      </c>
      <c r="Q997" s="7"/>
      <c r="R997" s="7" t="s">
        <v>7865</v>
      </c>
      <c r="S997" s="7"/>
      <c r="T997" s="8"/>
      <c r="U997" s="19" t="str">
        <f>HYPERLINK("https://pbs.twimg.com/profile_images/378800000050408160/4ce97cd505ee43ad209bc887e1cc5f3b.jpeg","View")</f>
        <v>View</v>
      </c>
      <c r="V997" s="8"/>
      <c r="W997" s="8"/>
      <c r="X997" s="8"/>
      <c r="Y997" s="8"/>
      <c r="Z997" s="8"/>
    </row>
    <row r="998" spans="1:26" ht="12.75">
      <c r="A998" s="11">
        <v>43747.292696759258</v>
      </c>
      <c r="B998" s="12" t="str">
        <f>HYPERLINK("https://twitter.com/Hkn_Tanriverdi","@Hkn_Tanriverdi")</f>
        <v>@Hkn_Tanriverdi</v>
      </c>
      <c r="C998" s="7" t="s">
        <v>7866</v>
      </c>
      <c r="D998" s="7" t="s">
        <v>7867</v>
      </c>
      <c r="E998" s="12" t="str">
        <f>HYPERLINK("https://twitter.com/Hkn_Tanriverdi/status/1181932701294743553","1181932701294743553")</f>
        <v>1181932701294743553</v>
      </c>
      <c r="F998" s="8"/>
      <c r="G998" s="14" t="s">
        <v>7871</v>
      </c>
      <c r="H998" s="8"/>
      <c r="I998" s="15">
        <v>0</v>
      </c>
      <c r="J998" s="15">
        <v>0</v>
      </c>
      <c r="K998" s="12" t="str">
        <f>HYPERLINK("http://twitter.com/download/iphone","Twitter for iPhone")</f>
        <v>Twitter for iPhone</v>
      </c>
      <c r="L998" s="16">
        <v>137</v>
      </c>
      <c r="M998" s="16">
        <v>220</v>
      </c>
      <c r="N998" s="16">
        <v>0</v>
      </c>
      <c r="O998" s="17"/>
      <c r="P998" s="18">
        <v>41331.969166666662</v>
      </c>
      <c r="Q998" s="7" t="s">
        <v>287</v>
      </c>
      <c r="R998" s="7" t="s">
        <v>7872</v>
      </c>
      <c r="S998" s="7"/>
      <c r="T998" s="8"/>
      <c r="U998" s="19" t="str">
        <f>HYPERLINK("https://pbs.twimg.com/profile_images/924818426614419456/kIV5q6GX.jpg","View")</f>
        <v>View</v>
      </c>
      <c r="V998" s="8"/>
      <c r="W998" s="8"/>
      <c r="X998" s="8"/>
      <c r="Y998" s="8"/>
      <c r="Z998" s="8"/>
    </row>
    <row r="999" spans="1:26" ht="12.75">
      <c r="A999" s="11">
        <v>43747.292673611111</v>
      </c>
      <c r="B999" s="12" t="str">
        <f>HYPERLINK("https://twitter.com/artist_zafar","@artist_zafar")</f>
        <v>@artist_zafar</v>
      </c>
      <c r="C999" s="7" t="s">
        <v>7879</v>
      </c>
      <c r="D999" s="7" t="s">
        <v>7880</v>
      </c>
      <c r="E999" s="12" t="str">
        <f>HYPERLINK("https://twitter.com/artist_zafar/status/1181932692058890240","1181932692058890240")</f>
        <v>1181932692058890240</v>
      </c>
      <c r="F999" s="8"/>
      <c r="G999" s="7"/>
      <c r="H999" s="8"/>
      <c r="I999" s="15">
        <v>0</v>
      </c>
      <c r="J999" s="15">
        <v>4</v>
      </c>
      <c r="K999" s="12" t="str">
        <f>HYPERLINK("https://mobile.twitter.com","Twitter Web App")</f>
        <v>Twitter Web App</v>
      </c>
      <c r="L999" s="16">
        <v>29</v>
      </c>
      <c r="M999" s="16">
        <v>143</v>
      </c>
      <c r="N999" s="16">
        <v>0</v>
      </c>
      <c r="O999" s="17"/>
      <c r="P999" s="18">
        <v>43525.378645833334</v>
      </c>
      <c r="Q999" s="7" t="s">
        <v>7883</v>
      </c>
      <c r="R999" s="7" t="s">
        <v>7884</v>
      </c>
      <c r="S999" s="14" t="s">
        <v>7885</v>
      </c>
      <c r="T999" s="8"/>
      <c r="U999" s="19" t="str">
        <f>HYPERLINK("https://pbs.twimg.com/profile_images/1165309106787356672/bwcaAX8L.jpg","View")</f>
        <v>View</v>
      </c>
      <c r="V999" s="8"/>
      <c r="W999" s="8"/>
      <c r="X999" s="8"/>
      <c r="Y999" s="8"/>
      <c r="Z999" s="8"/>
    </row>
    <row r="1000" spans="1:26" ht="12.75">
      <c r="A1000" s="11">
        <v>43747.292662037042</v>
      </c>
      <c r="B1000" s="12" t="str">
        <f>HYPERLINK("https://twitter.com/ercumentata","@ercumentata")</f>
        <v>@ercumentata</v>
      </c>
      <c r="C1000" s="7" t="s">
        <v>7886</v>
      </c>
      <c r="D1000" s="7" t="s">
        <v>7887</v>
      </c>
      <c r="E1000" s="12" t="str">
        <f>HYPERLINK("https://twitter.com/ercumentata/status/1181932687151554561","1181932687151554561")</f>
        <v>1181932687151554561</v>
      </c>
      <c r="F1000" s="15"/>
      <c r="G1000" s="14" t="s">
        <v>7888</v>
      </c>
      <c r="H1000" s="8"/>
      <c r="I1000" s="15">
        <v>0</v>
      </c>
      <c r="J1000" s="15">
        <v>2</v>
      </c>
      <c r="K1000" s="12" t="str">
        <f>HYPERLINK("http://twitter.com/download/android","Twitter for Android")</f>
        <v>Twitter for Android</v>
      </c>
      <c r="L1000" s="16">
        <v>139</v>
      </c>
      <c r="M1000" s="16">
        <v>327</v>
      </c>
      <c r="N1000" s="16">
        <v>0</v>
      </c>
      <c r="O1000" s="17"/>
      <c r="P1000" s="18">
        <v>40839.563032407408</v>
      </c>
      <c r="Q1000" s="7" t="s">
        <v>313</v>
      </c>
      <c r="R1000" s="7" t="s">
        <v>7889</v>
      </c>
      <c r="S1000" s="14" t="s">
        <v>7890</v>
      </c>
      <c r="T1000" s="8"/>
      <c r="U1000" s="19" t="str">
        <f>HYPERLINK("https://pbs.twimg.com/profile_images/1006573758256177153/GsrXfIgE.jpg","View")</f>
        <v>View</v>
      </c>
      <c r="V1000" s="8"/>
      <c r="W1000" s="8"/>
      <c r="X1000" s="8"/>
      <c r="Y1000" s="8"/>
      <c r="Z1000" s="8"/>
    </row>
    <row r="1001" spans="1:26" ht="12.75">
      <c r="A1001" s="11">
        <v>43747.292650462958</v>
      </c>
      <c r="B1001" s="12" t="str">
        <f>HYPERLINK("https://twitter.com/tarafsiz1haber","@tarafsiz1haber")</f>
        <v>@tarafsiz1haber</v>
      </c>
      <c r="C1001" s="7" t="s">
        <v>7893</v>
      </c>
      <c r="D1001" s="7" t="s">
        <v>7894</v>
      </c>
      <c r="E1001" s="12" t="str">
        <f>HYPERLINK("https://twitter.com/tarafsiz1haber/status/1181932684135849986","1181932684135849986")</f>
        <v>1181932684135849986</v>
      </c>
      <c r="F1001" s="8"/>
      <c r="G1001" s="15"/>
      <c r="H1001" s="8"/>
      <c r="I1001" s="15">
        <v>0</v>
      </c>
      <c r="J1001" s="15">
        <v>0</v>
      </c>
      <c r="K1001" s="12" t="str">
        <f>HYPERLINK("http://twitter.com/download/android","Twitter for Android")</f>
        <v>Twitter for Android</v>
      </c>
      <c r="L1001" s="16">
        <v>2</v>
      </c>
      <c r="M1001" s="16">
        <v>2</v>
      </c>
      <c r="N1001" s="16">
        <v>0</v>
      </c>
      <c r="O1001" s="17"/>
      <c r="P1001" s="18">
        <v>43649.558310185181</v>
      </c>
      <c r="Q1001" s="7"/>
      <c r="R1001" s="7"/>
      <c r="S1001" s="15"/>
      <c r="T1001" s="8"/>
      <c r="U1001" s="19" t="str">
        <f>HYPERLINK("https://pbs.twimg.com/profile_images/1146515081695518720/wwIBokLz.jpg","View")</f>
        <v>View</v>
      </c>
      <c r="V1001" s="8"/>
      <c r="W1001" s="8"/>
      <c r="X1001" s="8"/>
      <c r="Y1001" s="8"/>
      <c r="Z1001" s="8"/>
    </row>
    <row r="1002" spans="1:26" ht="12.75">
      <c r="A1002" s="11">
        <v>43747.292650462958</v>
      </c>
      <c r="B1002" s="12" t="str">
        <f>HYPERLINK("https://twitter.com/ErmisBugra","@ErmisBugra")</f>
        <v>@ErmisBugra</v>
      </c>
      <c r="C1002" s="7" t="s">
        <v>7895</v>
      </c>
      <c r="D1002" s="7" t="s">
        <v>7896</v>
      </c>
      <c r="E1002" s="12" t="str">
        <f>HYPERLINK("https://twitter.com/ErmisBugra/status/1181932683036901381","1181932683036901381")</f>
        <v>1181932683036901381</v>
      </c>
      <c r="F1002" s="8"/>
      <c r="G1002" s="14" t="s">
        <v>7897</v>
      </c>
      <c r="H1002" s="8"/>
      <c r="I1002" s="15">
        <v>0</v>
      </c>
      <c r="J1002" s="15">
        <v>0</v>
      </c>
      <c r="K1002" s="12" t="str">
        <f>HYPERLINK("http://twitter.com/download/iphone","Twitter for iPhone")</f>
        <v>Twitter for iPhone</v>
      </c>
      <c r="L1002" s="16">
        <v>63</v>
      </c>
      <c r="M1002" s="16">
        <v>20</v>
      </c>
      <c r="N1002" s="16">
        <v>0</v>
      </c>
      <c r="O1002" s="17"/>
      <c r="P1002" s="18">
        <v>43246.088796296295</v>
      </c>
      <c r="Q1002" s="7" t="s">
        <v>287</v>
      </c>
      <c r="R1002" s="7" t="s">
        <v>7901</v>
      </c>
      <c r="S1002" s="7"/>
      <c r="T1002" s="8"/>
      <c r="U1002" s="19" t="str">
        <f>HYPERLINK("https://pbs.twimg.com/profile_images/1181628687667617793/jLTfjZLh.jpg","View")</f>
        <v>View</v>
      </c>
      <c r="V1002" s="8"/>
      <c r="W1002" s="8"/>
      <c r="X1002" s="8"/>
      <c r="Y1002" s="8"/>
      <c r="Z1002" s="8"/>
    </row>
    <row r="1003" spans="1:26" ht="12.75">
      <c r="A1003" s="11">
        <v>43747.292511574073</v>
      </c>
      <c r="B1003" s="12" t="str">
        <f>HYPERLINK("https://twitter.com/E_AmirZain","@E_AmirZain")</f>
        <v>@E_AmirZain</v>
      </c>
      <c r="C1003" s="7" t="s">
        <v>7902</v>
      </c>
      <c r="D1003" s="7" t="s">
        <v>7903</v>
      </c>
      <c r="E1003" s="12" t="str">
        <f>HYPERLINK("https://twitter.com/E_AmirZain/status/1181932630796840961","1181932630796840961")</f>
        <v>1181932630796840961</v>
      </c>
      <c r="F1003" s="8"/>
      <c r="G1003" s="15"/>
      <c r="H1003" s="8"/>
      <c r="I1003" s="15">
        <v>0</v>
      </c>
      <c r="J1003" s="15">
        <v>1</v>
      </c>
      <c r="K1003" s="12" t="str">
        <f>HYPERLINK("http://twitter.com/download/iphone","Twitter for iPhone")</f>
        <v>Twitter for iPhone</v>
      </c>
      <c r="L1003" s="16">
        <v>104</v>
      </c>
      <c r="M1003" s="16">
        <v>77</v>
      </c>
      <c r="N1003" s="16">
        <v>0</v>
      </c>
      <c r="O1003" s="17"/>
      <c r="P1003" s="18">
        <v>41820.314340277779</v>
      </c>
      <c r="Q1003" s="7" t="s">
        <v>1850</v>
      </c>
      <c r="R1003" s="7" t="s">
        <v>7904</v>
      </c>
      <c r="S1003" s="7"/>
      <c r="T1003" s="8"/>
      <c r="U1003" s="19" t="str">
        <f>HYPERLINK("https://pbs.twimg.com/profile_images/1157233680475201536/ZxTFjs20.jpg","View")</f>
        <v>View</v>
      </c>
      <c r="V1003" s="8"/>
      <c r="W1003" s="8"/>
      <c r="X1003" s="8"/>
      <c r="Y1003" s="8"/>
      <c r="Z1003" s="8"/>
    </row>
    <row r="1004" spans="1:26" ht="12.75">
      <c r="A1004" s="11">
        <v>43747.292499999996</v>
      </c>
      <c r="B1004" s="12" t="str">
        <f>HYPERLINK("https://twitter.com/pseuxofficial","@pseuxofficial")</f>
        <v>@pseuxofficial</v>
      </c>
      <c r="C1004" s="7" t="s">
        <v>7905</v>
      </c>
      <c r="D1004" s="7" t="s">
        <v>7906</v>
      </c>
      <c r="E1004" s="12" t="str">
        <f>HYPERLINK("https://twitter.com/pseuxofficial/status/1181932627684667393","1181932627684667393")</f>
        <v>1181932627684667393</v>
      </c>
      <c r="F1004" s="8"/>
      <c r="G1004" s="14" t="s">
        <v>7907</v>
      </c>
      <c r="H1004" s="8"/>
      <c r="I1004" s="15">
        <v>0</v>
      </c>
      <c r="J1004" s="15">
        <v>0</v>
      </c>
      <c r="K1004" s="12" t="str">
        <f>HYPERLINK("https://mobile.twitter.com","Twitter Web App")</f>
        <v>Twitter Web App</v>
      </c>
      <c r="L1004" s="16">
        <v>16</v>
      </c>
      <c r="M1004" s="16">
        <v>542</v>
      </c>
      <c r="N1004" s="16">
        <v>0</v>
      </c>
      <c r="O1004" s="17"/>
      <c r="P1004" s="18">
        <v>40717.024965277778</v>
      </c>
      <c r="Q1004" s="7" t="s">
        <v>7911</v>
      </c>
      <c r="R1004" s="7" t="s">
        <v>7912</v>
      </c>
      <c r="S1004" s="14" t="s">
        <v>7913</v>
      </c>
      <c r="T1004" s="8"/>
      <c r="U1004" s="19" t="str">
        <f>HYPERLINK("https://pbs.twimg.com/profile_images/1129464752554557440/L0OvjhrX.png","View")</f>
        <v>View</v>
      </c>
      <c r="V1004" s="8"/>
      <c r="W1004" s="8"/>
      <c r="X1004" s="8"/>
      <c r="Y1004" s="8"/>
      <c r="Z1004" s="8"/>
    </row>
    <row r="1005" spans="1:26" ht="12.75">
      <c r="A1005" s="11">
        <v>43747.292499999996</v>
      </c>
      <c r="B1005" s="12" t="str">
        <f>HYPERLINK("https://twitter.com/ahmetorkenn","@ahmetorkenn")</f>
        <v>@ahmetorkenn</v>
      </c>
      <c r="C1005" s="7" t="s">
        <v>7916</v>
      </c>
      <c r="D1005" s="7" t="s">
        <v>7917</v>
      </c>
      <c r="E1005" s="12" t="str">
        <f>HYPERLINK("https://twitter.com/ahmetorkenn/status/1181932626510258176","1181932626510258176")</f>
        <v>1181932626510258176</v>
      </c>
      <c r="F1005" s="8"/>
      <c r="G1005" s="14" t="s">
        <v>7918</v>
      </c>
      <c r="H1005" s="8"/>
      <c r="I1005" s="15">
        <v>0</v>
      </c>
      <c r="J1005" s="15">
        <v>6</v>
      </c>
      <c r="K1005" s="12" t="str">
        <f>HYPERLINK("http://twitter.com/download/android","Twitter for Android")</f>
        <v>Twitter for Android</v>
      </c>
      <c r="L1005" s="16">
        <v>2959</v>
      </c>
      <c r="M1005" s="16">
        <v>249</v>
      </c>
      <c r="N1005" s="16">
        <v>26</v>
      </c>
      <c r="O1005" s="17"/>
      <c r="P1005" s="18">
        <v>41571.252557870372</v>
      </c>
      <c r="Q1005" s="7" t="s">
        <v>7921</v>
      </c>
      <c r="R1005" s="7" t="s">
        <v>7922</v>
      </c>
      <c r="S1005" s="7"/>
      <c r="T1005" s="8"/>
      <c r="U1005" s="19" t="str">
        <f>HYPERLINK("https://pbs.twimg.com/profile_images/1181664080446328832/dI38WlfT.jpg","View")</f>
        <v>View</v>
      </c>
      <c r="V1005" s="8"/>
      <c r="W1005" s="8"/>
      <c r="X1005" s="8"/>
      <c r="Y1005" s="8"/>
      <c r="Z1005" s="8"/>
    </row>
    <row r="1006" spans="1:26" ht="12.75">
      <c r="A1006" s="11">
        <v>43747.292488425926</v>
      </c>
      <c r="B1006" s="12" t="str">
        <f>HYPERLINK("https://twitter.com/semihGerek1","@semihGerek1")</f>
        <v>@semihGerek1</v>
      </c>
      <c r="C1006" s="7" t="s">
        <v>7929</v>
      </c>
      <c r="D1006" s="7" t="s">
        <v>7652</v>
      </c>
      <c r="E1006" s="12" t="str">
        <f>HYPERLINK("https://twitter.com/semihGerek1/status/1181932623813365763","1181932623813365763")</f>
        <v>1181932623813365763</v>
      </c>
      <c r="F1006" s="14" t="s">
        <v>3623</v>
      </c>
      <c r="G1006" s="15"/>
      <c r="H1006" s="8"/>
      <c r="I1006" s="15">
        <v>0</v>
      </c>
      <c r="J1006" s="15">
        <v>0</v>
      </c>
      <c r="K1006" s="12" t="str">
        <f>HYPERLINK("https://mobile.twitter.com","Twitter Web App")</f>
        <v>Twitter Web App</v>
      </c>
      <c r="L1006" s="16">
        <v>1</v>
      </c>
      <c r="M1006" s="16">
        <v>5</v>
      </c>
      <c r="N1006" s="16">
        <v>0</v>
      </c>
      <c r="O1006" s="17"/>
      <c r="P1006" s="18">
        <v>43555.523645833338</v>
      </c>
      <c r="Q1006" s="7" t="s">
        <v>7930</v>
      </c>
      <c r="R1006" s="7" t="s">
        <v>7931</v>
      </c>
      <c r="S1006" s="15"/>
      <c r="T1006" s="8"/>
      <c r="U1006" s="19" t="str">
        <f>HYPERLINK("https://pbs.twimg.com/profile_images/1112438237962948608/XqaVh7oA.jpg","View")</f>
        <v>View</v>
      </c>
      <c r="V1006" s="8"/>
      <c r="W1006" s="8"/>
      <c r="X1006" s="8"/>
      <c r="Y1006" s="8"/>
      <c r="Z1006" s="8"/>
    </row>
    <row r="1007" spans="1:26" ht="12.75">
      <c r="A1007" s="11">
        <v>43747.292442129634</v>
      </c>
      <c r="B1007" s="12" t="str">
        <f>HYPERLINK("https://twitter.com/cihatkarabicak","@cihatkarabicak")</f>
        <v>@cihatkarabicak</v>
      </c>
      <c r="C1007" s="7" t="s">
        <v>7932</v>
      </c>
      <c r="D1007" s="7" t="s">
        <v>7933</v>
      </c>
      <c r="E1007" s="12" t="str">
        <f>HYPERLINK("https://twitter.com/cihatkarabicak/status/1181932608328015872","1181932608328015872")</f>
        <v>1181932608328015872</v>
      </c>
      <c r="F1007" s="8"/>
      <c r="G1007" s="7"/>
      <c r="H1007" s="8"/>
      <c r="I1007" s="15">
        <v>0</v>
      </c>
      <c r="J1007" s="15">
        <v>0</v>
      </c>
      <c r="K1007" s="12" t="str">
        <f>HYPERLINK("http://twitter.com/download/iphone","Twitter for iPhone")</f>
        <v>Twitter for iPhone</v>
      </c>
      <c r="L1007" s="16">
        <v>230</v>
      </c>
      <c r="M1007" s="16">
        <v>1226</v>
      </c>
      <c r="N1007" s="16">
        <v>2</v>
      </c>
      <c r="O1007" s="17"/>
      <c r="P1007" s="18">
        <v>42146.020972222221</v>
      </c>
      <c r="Q1007" s="7" t="s">
        <v>287</v>
      </c>
      <c r="R1007" s="7" t="s">
        <v>7934</v>
      </c>
      <c r="S1007" s="7"/>
      <c r="T1007" s="8"/>
      <c r="U1007" s="19" t="str">
        <f>HYPERLINK("https://pbs.twimg.com/profile_images/954742442674319360/lZrMIKa0.jpg","View")</f>
        <v>View</v>
      </c>
      <c r="V1007" s="8"/>
      <c r="W1007" s="8"/>
      <c r="X1007" s="8"/>
      <c r="Y1007" s="8"/>
      <c r="Z1007" s="8"/>
    </row>
    <row r="1008" spans="1:26" ht="12.75">
      <c r="A1008" s="11">
        <v>43747.292361111111</v>
      </c>
      <c r="B1008" s="12" t="str">
        <f>HYPERLINK("https://twitter.com/Atalante_K","@Atalante_K")</f>
        <v>@Atalante_K</v>
      </c>
      <c r="C1008" s="7" t="s">
        <v>7935</v>
      </c>
      <c r="D1008" s="7" t="s">
        <v>7936</v>
      </c>
      <c r="E1008" s="12" t="str">
        <f>HYPERLINK("https://twitter.com/Atalante_K/status/1181932577147498496","1181932577147498496")</f>
        <v>1181932577147498496</v>
      </c>
      <c r="F1008" s="8"/>
      <c r="G1008" s="7"/>
      <c r="H1008" s="8"/>
      <c r="I1008" s="15">
        <v>2</v>
      </c>
      <c r="J1008" s="15">
        <v>15</v>
      </c>
      <c r="K1008" s="12" t="str">
        <f>HYPERLINK("http://twitter.com/download/android","Twitter for Android")</f>
        <v>Twitter for Android</v>
      </c>
      <c r="L1008" s="16">
        <v>314</v>
      </c>
      <c r="M1008" s="16">
        <v>354</v>
      </c>
      <c r="N1008" s="16">
        <v>4</v>
      </c>
      <c r="O1008" s="17"/>
      <c r="P1008" s="18">
        <v>43627.278356481482</v>
      </c>
      <c r="Q1008" s="7"/>
      <c r="R1008" s="7" t="s">
        <v>7937</v>
      </c>
      <c r="S1008" s="7"/>
      <c r="T1008" s="8"/>
      <c r="U1008" s="19" t="str">
        <f>HYPERLINK("https://pbs.twimg.com/profile_images/1172958432154066944/toZ17keC.jpg","View")</f>
        <v>View</v>
      </c>
      <c r="V1008" s="8"/>
      <c r="W1008" s="8"/>
      <c r="X1008" s="8"/>
      <c r="Y1008" s="8"/>
      <c r="Z1008" s="8"/>
    </row>
    <row r="1009" spans="1:26" ht="12.75">
      <c r="A1009" s="11">
        <v>43747.292349537034</v>
      </c>
      <c r="B1009" s="12" t="str">
        <f>HYPERLINK("https://twitter.com/Metezel5","@Metezel5")</f>
        <v>@Metezel5</v>
      </c>
      <c r="C1009" s="7" t="s">
        <v>7940</v>
      </c>
      <c r="D1009" s="7" t="s">
        <v>7941</v>
      </c>
      <c r="E1009" s="12" t="str">
        <f>HYPERLINK("https://twitter.com/Metezel5/status/1181932572407934982","1181932572407934982")</f>
        <v>1181932572407934982</v>
      </c>
      <c r="F1009" s="8"/>
      <c r="G1009" s="15"/>
      <c r="H1009" s="8"/>
      <c r="I1009" s="15">
        <v>0</v>
      </c>
      <c r="J1009" s="15">
        <v>0</v>
      </c>
      <c r="K1009" s="12" t="str">
        <f>HYPERLINK("http://twitter.com/download/iphone","Twitter for iPhone")</f>
        <v>Twitter for iPhone</v>
      </c>
      <c r="L1009" s="16">
        <v>41</v>
      </c>
      <c r="M1009" s="16">
        <v>131</v>
      </c>
      <c r="N1009" s="16">
        <v>0</v>
      </c>
      <c r="O1009" s="17"/>
      <c r="P1009" s="18">
        <v>42443.582384259258</v>
      </c>
      <c r="Q1009" s="7" t="s">
        <v>6393</v>
      </c>
      <c r="R1009" s="7" t="s">
        <v>7942</v>
      </c>
      <c r="S1009" s="7"/>
      <c r="T1009" s="8"/>
      <c r="U1009" s="19" t="str">
        <f>HYPERLINK("https://pbs.twimg.com/profile_images/1147452899288670208/NAkmPRvr.jpg","View")</f>
        <v>View</v>
      </c>
      <c r="V1009" s="8"/>
      <c r="W1009" s="8"/>
      <c r="X1009" s="8"/>
      <c r="Y1009" s="8"/>
      <c r="Z1009" s="8"/>
    </row>
    <row r="1010" spans="1:26" ht="12.75">
      <c r="A1010" s="11">
        <v>43747.292349537034</v>
      </c>
      <c r="B1010" s="12" t="str">
        <f>HYPERLINK("https://twitter.com/bnyamn44","@bnyamn44")</f>
        <v>@bnyamn44</v>
      </c>
      <c r="C1010" s="7" t="s">
        <v>7945</v>
      </c>
      <c r="D1010" s="7" t="s">
        <v>7946</v>
      </c>
      <c r="E1010" s="12" t="str">
        <f>HYPERLINK("https://twitter.com/bnyamn44/status/1181932572105936896","1181932572105936896")</f>
        <v>1181932572105936896</v>
      </c>
      <c r="F1010" s="8"/>
      <c r="G1010" s="14" t="s">
        <v>7948</v>
      </c>
      <c r="H1010" s="8"/>
      <c r="I1010" s="15">
        <v>1</v>
      </c>
      <c r="J1010" s="15">
        <v>2</v>
      </c>
      <c r="K1010" s="12" t="str">
        <f>HYPERLINK("http://twitter.com/download/iphone","Twitter for iPhone")</f>
        <v>Twitter for iPhone</v>
      </c>
      <c r="L1010" s="16">
        <v>151</v>
      </c>
      <c r="M1010" s="16">
        <v>202</v>
      </c>
      <c r="N1010" s="16">
        <v>0</v>
      </c>
      <c r="O1010" s="17"/>
      <c r="P1010" s="18">
        <v>41804.148194444446</v>
      </c>
      <c r="Q1010" s="7" t="s">
        <v>7949</v>
      </c>
      <c r="R1010" s="7"/>
      <c r="S1010" s="7"/>
      <c r="T1010" s="8"/>
      <c r="U1010" s="19" t="str">
        <f>HYPERLINK("https://pbs.twimg.com/profile_images/1177605871825760257/xKXSpp82.jpg","View")</f>
        <v>View</v>
      </c>
      <c r="V1010" s="8"/>
      <c r="W1010" s="8"/>
      <c r="X1010" s="8"/>
      <c r="Y1010" s="8"/>
      <c r="Z1010" s="8"/>
    </row>
    <row r="1011" spans="1:26" ht="12.75">
      <c r="A1011" s="11">
        <v>43747.292337962965</v>
      </c>
      <c r="B1011" s="12" t="str">
        <f>HYPERLINK("https://twitter.com/TimarFerhat","@TimarFerhat")</f>
        <v>@TimarFerhat</v>
      </c>
      <c r="C1011" s="7" t="s">
        <v>7952</v>
      </c>
      <c r="D1011" s="7" t="s">
        <v>7953</v>
      </c>
      <c r="E1011" s="12" t="str">
        <f>HYPERLINK("https://twitter.com/TimarFerhat/status/1181932569190895617","1181932569190895617")</f>
        <v>1181932569190895617</v>
      </c>
      <c r="F1011" s="8"/>
      <c r="G1011" s="7"/>
      <c r="H1011" s="8"/>
      <c r="I1011" s="15">
        <v>0</v>
      </c>
      <c r="J1011" s="15">
        <v>0</v>
      </c>
      <c r="K1011" s="12" t="str">
        <f>HYPERLINK("http://twitter.com/download/android","Twitter for Android")</f>
        <v>Twitter for Android</v>
      </c>
      <c r="L1011" s="16">
        <v>23</v>
      </c>
      <c r="M1011" s="16">
        <v>19</v>
      </c>
      <c r="N1011" s="16">
        <v>0</v>
      </c>
      <c r="O1011" s="17"/>
      <c r="P1011" s="18">
        <v>43725.684606481482</v>
      </c>
      <c r="Q1011" s="7"/>
      <c r="R1011" s="7" t="s">
        <v>7956</v>
      </c>
      <c r="S1011" s="7"/>
      <c r="T1011" s="8"/>
      <c r="U1011" s="19" t="str">
        <f>HYPERLINK("https://pbs.twimg.com/profile_images/1174355359533797376/ainHSWrP.jpg","View")</f>
        <v>View</v>
      </c>
      <c r="V1011" s="8"/>
      <c r="W1011" s="8"/>
      <c r="X1011" s="8"/>
      <c r="Y1011" s="8"/>
      <c r="Z1011" s="8"/>
    </row>
    <row r="1012" spans="1:26" ht="12.75">
      <c r="A1012" s="11">
        <v>43747.292303240742</v>
      </c>
      <c r="B1012" s="12" t="str">
        <f>HYPERLINK("https://twitter.com/abdulkerimkumru","@abdulkerimkumru")</f>
        <v>@abdulkerimkumru</v>
      </c>
      <c r="C1012" s="7" t="s">
        <v>7957</v>
      </c>
      <c r="D1012" s="7" t="s">
        <v>7958</v>
      </c>
      <c r="E1012" s="12" t="str">
        <f>HYPERLINK("https://twitter.com/abdulkerimkumru/status/1181932557744689152","1181932557744689152")</f>
        <v>1181932557744689152</v>
      </c>
      <c r="F1012" s="8"/>
      <c r="G1012" s="14" t="s">
        <v>7959</v>
      </c>
      <c r="H1012" s="8"/>
      <c r="I1012" s="15">
        <v>0</v>
      </c>
      <c r="J1012" s="15">
        <v>0</v>
      </c>
      <c r="K1012" s="12" t="str">
        <f>HYPERLINK("http://twitter.com/download/android","Twitter for Android")</f>
        <v>Twitter for Android</v>
      </c>
      <c r="L1012" s="16">
        <v>192</v>
      </c>
      <c r="M1012" s="16">
        <v>259</v>
      </c>
      <c r="N1012" s="16">
        <v>0</v>
      </c>
      <c r="O1012" s="17"/>
      <c r="P1012" s="18">
        <v>41818.63108796296</v>
      </c>
      <c r="Q1012" s="7" t="s">
        <v>576</v>
      </c>
      <c r="R1012" s="7" t="s">
        <v>7963</v>
      </c>
      <c r="S1012" s="15"/>
      <c r="T1012" s="8"/>
      <c r="U1012" s="19" t="str">
        <f>HYPERLINK("https://pbs.twimg.com/profile_images/1172796060428898304/xVqAkgQq.jpg","View")</f>
        <v>View</v>
      </c>
      <c r="V1012" s="8"/>
      <c r="W1012" s="8"/>
      <c r="X1012" s="8"/>
      <c r="Y1012" s="8"/>
      <c r="Z1012" s="8"/>
    </row>
    <row r="1013" spans="1:26" ht="12.75">
      <c r="A1013" s="11">
        <v>43747.292280092588</v>
      </c>
      <c r="B1013" s="12" t="str">
        <f>HYPERLINK("https://twitter.com/bayarebu","@bayarebu")</f>
        <v>@bayarebu</v>
      </c>
      <c r="C1013" s="7" t="s">
        <v>7964</v>
      </c>
      <c r="D1013" s="7" t="s">
        <v>7965</v>
      </c>
      <c r="E1013" s="12" t="str">
        <f>HYPERLINK("https://twitter.com/bayarebu/status/1181932550513664001","1181932550513664001")</f>
        <v>1181932550513664001</v>
      </c>
      <c r="F1013" s="8"/>
      <c r="G1013" s="14" t="s">
        <v>7966</v>
      </c>
      <c r="H1013" s="8"/>
      <c r="I1013" s="15">
        <v>0</v>
      </c>
      <c r="J1013" s="15">
        <v>5</v>
      </c>
      <c r="K1013" s="12" t="str">
        <f>HYPERLINK("http://twitter.com/download/android","Twitter for Android")</f>
        <v>Twitter for Android</v>
      </c>
      <c r="L1013" s="16">
        <v>12</v>
      </c>
      <c r="M1013" s="16">
        <v>38</v>
      </c>
      <c r="N1013" s="16">
        <v>0</v>
      </c>
      <c r="O1013" s="17"/>
      <c r="P1013" s="18">
        <v>43719.217986111107</v>
      </c>
      <c r="Q1013" s="7"/>
      <c r="R1013" s="7" t="s">
        <v>7969</v>
      </c>
      <c r="S1013" s="7"/>
      <c r="T1013" s="8"/>
      <c r="U1013" s="19" t="str">
        <f>HYPERLINK("https://pbs.twimg.com/profile_images/1172086431604457472/p2VMjjmB.jpg","View")</f>
        <v>View</v>
      </c>
      <c r="V1013" s="8"/>
      <c r="W1013" s="8"/>
      <c r="X1013" s="8"/>
      <c r="Y1013" s="8"/>
      <c r="Z1013" s="8"/>
    </row>
    <row r="1014" spans="1:26" ht="12.75">
      <c r="A1014" s="11">
        <v>43747.292280092588</v>
      </c>
      <c r="B1014" s="12" t="str">
        <f>HYPERLINK("https://twitter.com/Ers1n__","@Ers1n__")</f>
        <v>@Ers1n__</v>
      </c>
      <c r="C1014" s="7" t="s">
        <v>7973</v>
      </c>
      <c r="D1014" s="7" t="s">
        <v>7974</v>
      </c>
      <c r="E1014" s="12" t="str">
        <f>HYPERLINK("https://twitter.com/Ers1n__/status/1181932548638826499","1181932548638826499")</f>
        <v>1181932548638826499</v>
      </c>
      <c r="F1014" s="8"/>
      <c r="G1014" s="14" t="s">
        <v>7975</v>
      </c>
      <c r="H1014" s="8"/>
      <c r="I1014" s="15">
        <v>0</v>
      </c>
      <c r="J1014" s="15">
        <v>0</v>
      </c>
      <c r="K1014" s="12" t="str">
        <f>HYPERLINK("http://twitter.com/download/iphone","Twitter for iPhone")</f>
        <v>Twitter for iPhone</v>
      </c>
      <c r="L1014" s="16">
        <v>199</v>
      </c>
      <c r="M1014" s="16">
        <v>511</v>
      </c>
      <c r="N1014" s="16">
        <v>1</v>
      </c>
      <c r="O1014" s="17"/>
      <c r="P1014" s="18">
        <v>40668.626307870371</v>
      </c>
      <c r="Q1014" s="7"/>
      <c r="R1014" s="7"/>
      <c r="S1014" s="7"/>
      <c r="T1014" s="8"/>
      <c r="U1014" s="19" t="str">
        <f>HYPERLINK("https://pbs.twimg.com/profile_images/1155486603458097152/ldv2CHQH.jpg","View")</f>
        <v>View</v>
      </c>
      <c r="V1014" s="8"/>
      <c r="W1014" s="8"/>
      <c r="X1014" s="8"/>
      <c r="Y1014" s="8"/>
      <c r="Z1014" s="8"/>
    </row>
    <row r="1015" spans="1:26" ht="12.75">
      <c r="A1015" s="11">
        <v>43747.292268518519</v>
      </c>
      <c r="B1015" s="12" t="str">
        <f>HYPERLINK("https://twitter.com/MuratX1973","@MuratX1973")</f>
        <v>@MuratX1973</v>
      </c>
      <c r="C1015" s="7" t="s">
        <v>7976</v>
      </c>
      <c r="D1015" s="7" t="s">
        <v>7977</v>
      </c>
      <c r="E1015" s="12" t="str">
        <f>HYPERLINK("https://twitter.com/MuratX1973/status/1181932545920905220","1181932545920905220")</f>
        <v>1181932545920905220</v>
      </c>
      <c r="F1015" s="8"/>
      <c r="G1015" s="14" t="s">
        <v>7978</v>
      </c>
      <c r="H1015" s="8"/>
      <c r="I1015" s="15">
        <v>0</v>
      </c>
      <c r="J1015" s="15">
        <v>14</v>
      </c>
      <c r="K1015" s="12" t="str">
        <f>HYPERLINK("http://twitter.com/download/android","Twitter for Android")</f>
        <v>Twitter for Android</v>
      </c>
      <c r="L1015" s="16">
        <v>147</v>
      </c>
      <c r="M1015" s="16">
        <v>49</v>
      </c>
      <c r="N1015" s="16">
        <v>0</v>
      </c>
      <c r="O1015" s="17"/>
      <c r="P1015" s="18">
        <v>42654.04314814815</v>
      </c>
      <c r="Q1015" s="7" t="s">
        <v>7981</v>
      </c>
      <c r="R1015" s="7" t="s">
        <v>7982</v>
      </c>
      <c r="S1015" s="7"/>
      <c r="T1015" s="8"/>
      <c r="U1015" s="19" t="str">
        <f>HYPERLINK("https://pbs.twimg.com/profile_images/1181941134777618434/eLydm3YM.jpg","View")</f>
        <v>View</v>
      </c>
      <c r="V1015" s="8"/>
      <c r="W1015" s="8"/>
      <c r="X1015" s="8"/>
      <c r="Y1015" s="8"/>
      <c r="Z1015" s="8"/>
    </row>
    <row r="1016" spans="1:26" ht="12.75">
      <c r="A1016" s="11">
        <v>43747.292256944449</v>
      </c>
      <c r="B1016" s="12" t="str">
        <f>HYPERLINK("https://twitter.com/ferhat_bayoglu","@ferhat_bayoglu")</f>
        <v>@ferhat_bayoglu</v>
      </c>
      <c r="C1016" s="7" t="s">
        <v>7986</v>
      </c>
      <c r="D1016" s="7" t="s">
        <v>7987</v>
      </c>
      <c r="E1016" s="12" t="str">
        <f>HYPERLINK("https://twitter.com/ferhat_bayoglu/status/1181932541395243009","1181932541395243009")</f>
        <v>1181932541395243009</v>
      </c>
      <c r="F1016" s="8"/>
      <c r="G1016" s="15"/>
      <c r="H1016" s="8"/>
      <c r="I1016" s="15">
        <v>0</v>
      </c>
      <c r="J1016" s="15">
        <v>0</v>
      </c>
      <c r="K1016" s="12" t="str">
        <f>HYPERLINK("http://twitter.com/download/android","Twitter for Android")</f>
        <v>Twitter for Android</v>
      </c>
      <c r="L1016" s="16">
        <v>7</v>
      </c>
      <c r="M1016" s="16">
        <v>73</v>
      </c>
      <c r="N1016" s="16">
        <v>0</v>
      </c>
      <c r="O1016" s="17"/>
      <c r="P1016" s="18">
        <v>43594.211041666669</v>
      </c>
      <c r="Q1016" s="7"/>
      <c r="R1016" s="7"/>
      <c r="S1016" s="7"/>
      <c r="T1016" s="8"/>
      <c r="U1016" s="19" t="str">
        <f>HYPERLINK("https://pbs.twimg.com/profile_images/1126462097792151552/QEb6owTl.jpg","View")</f>
        <v>View</v>
      </c>
      <c r="V1016" s="8"/>
      <c r="W1016" s="8"/>
      <c r="X1016" s="8"/>
      <c r="Y1016" s="8"/>
      <c r="Z1016" s="8"/>
    </row>
    <row r="1017" spans="1:26" ht="12.75">
      <c r="A1017" s="11">
        <v>43747.292245370365</v>
      </c>
      <c r="B1017" s="12" t="str">
        <f>HYPERLINK("https://twitter.com/LdMarek","@LdMarek")</f>
        <v>@LdMarek</v>
      </c>
      <c r="C1017" s="7" t="s">
        <v>7989</v>
      </c>
      <c r="D1017" s="7" t="s">
        <v>7652</v>
      </c>
      <c r="E1017" s="12" t="str">
        <f>HYPERLINK("https://twitter.com/LdMarek/status/1181932538090184705","1181932538090184705")</f>
        <v>1181932538090184705</v>
      </c>
      <c r="F1017" s="14" t="s">
        <v>3623</v>
      </c>
      <c r="G1017" s="7"/>
      <c r="H1017" s="8"/>
      <c r="I1017" s="15">
        <v>0</v>
      </c>
      <c r="J1017" s="15">
        <v>0</v>
      </c>
      <c r="K1017" s="12" t="str">
        <f>HYPERLINK("https://mobile.twitter.com","Twitter Web App")</f>
        <v>Twitter Web App</v>
      </c>
      <c r="L1017" s="16">
        <v>8</v>
      </c>
      <c r="M1017" s="16">
        <v>1</v>
      </c>
      <c r="N1017" s="16">
        <v>0</v>
      </c>
      <c r="O1017" s="17"/>
      <c r="P1017" s="18">
        <v>43559.411134259259</v>
      </c>
      <c r="Q1017" s="7" t="s">
        <v>313</v>
      </c>
      <c r="R1017" s="7" t="s">
        <v>7992</v>
      </c>
      <c r="S1017" s="14" t="s">
        <v>3627</v>
      </c>
      <c r="T1017" s="8"/>
      <c r="U1017" s="19" t="str">
        <f>HYPERLINK("https://pbs.twimg.com/profile_images/1113846875273289730/k_e5K5H-.jpg","View")</f>
        <v>View</v>
      </c>
      <c r="V1017" s="8"/>
      <c r="W1017" s="8"/>
      <c r="X1017" s="8"/>
      <c r="Y1017" s="8"/>
      <c r="Z1017" s="8"/>
    </row>
    <row r="1018" spans="1:26" ht="12.75">
      <c r="A1018" s="11">
        <v>43747.292245370365</v>
      </c>
      <c r="B1018" s="12" t="str">
        <f>HYPERLINK("https://twitter.com/dnenada99130697","@dnenada99130697")</f>
        <v>@dnenada99130697</v>
      </c>
      <c r="C1018" s="7" t="s">
        <v>7997</v>
      </c>
      <c r="D1018" s="7" t="s">
        <v>7998</v>
      </c>
      <c r="E1018" s="12" t="str">
        <f>HYPERLINK("https://twitter.com/dnenada99130697/status/1181932537926602752","1181932537926602752")</f>
        <v>1181932537926602752</v>
      </c>
      <c r="F1018" s="8"/>
      <c r="G1018" s="14" t="s">
        <v>7999</v>
      </c>
      <c r="H1018" s="8"/>
      <c r="I1018" s="15">
        <v>0</v>
      </c>
      <c r="J1018" s="15">
        <v>0</v>
      </c>
      <c r="K1018" s="12" t="str">
        <f>HYPERLINK("http://twitter.com/download/iphone","Twitter for iPhone")</f>
        <v>Twitter for iPhone</v>
      </c>
      <c r="L1018" s="16">
        <v>28</v>
      </c>
      <c r="M1018" s="16">
        <v>146</v>
      </c>
      <c r="N1018" s="16">
        <v>0</v>
      </c>
      <c r="O1018" s="17"/>
      <c r="P1018" s="18">
        <v>43353.221099537041</v>
      </c>
      <c r="Q1018" s="7" t="s">
        <v>313</v>
      </c>
      <c r="R1018" s="7" t="s">
        <v>8000</v>
      </c>
      <c r="S1018" s="7"/>
      <c r="T1018" s="8"/>
      <c r="U1018" s="19" t="str">
        <f>HYPERLINK("https://pbs.twimg.com/profile_images/1090945935063109633/C1OumP5h.jpg","View")</f>
        <v>View</v>
      </c>
      <c r="V1018" s="8"/>
      <c r="W1018" s="8"/>
      <c r="X1018" s="8"/>
      <c r="Y1018" s="8"/>
      <c r="Z1018" s="8"/>
    </row>
    <row r="1019" spans="1:26" ht="12.75">
      <c r="A1019" s="11">
        <v>43747.292245370365</v>
      </c>
      <c r="B1019" s="12" t="str">
        <f>HYPERLINK("https://twitter.com/tekvatan199937","@tekvatan199937")</f>
        <v>@tekvatan199937</v>
      </c>
      <c r="C1019" s="7" t="s">
        <v>8001</v>
      </c>
      <c r="D1019" s="7" t="s">
        <v>8002</v>
      </c>
      <c r="E1019" s="12" t="str">
        <f>HYPERLINK("https://twitter.com/tekvatan199937/status/1181932534109745153","1181932534109745153")</f>
        <v>1181932534109745153</v>
      </c>
      <c r="F1019" s="8"/>
      <c r="G1019" s="14" t="s">
        <v>8003</v>
      </c>
      <c r="H1019" s="8"/>
      <c r="I1019" s="15">
        <v>1</v>
      </c>
      <c r="J1019" s="15">
        <v>3</v>
      </c>
      <c r="K1019" s="12" t="str">
        <f>HYPERLINK("http://twitter.com/download/android","Twitter for Android")</f>
        <v>Twitter for Android</v>
      </c>
      <c r="L1019" s="16">
        <v>4</v>
      </c>
      <c r="M1019" s="16">
        <v>125</v>
      </c>
      <c r="N1019" s="16">
        <v>0</v>
      </c>
      <c r="O1019" s="17"/>
      <c r="P1019" s="18">
        <v>43092.172349537039</v>
      </c>
      <c r="Q1019" s="7"/>
      <c r="R1019" s="7"/>
      <c r="S1019" s="15"/>
      <c r="T1019" s="8"/>
      <c r="U1019" s="19" t="str">
        <f>HYPERLINK("https://pbs.twimg.com/profile_images/956212714623393792/y2a5OTFT.jpg","View")</f>
        <v>View</v>
      </c>
      <c r="V1019" s="8"/>
      <c r="W1019" s="8"/>
      <c r="X1019" s="8"/>
      <c r="Y1019" s="8"/>
      <c r="Z1019" s="8"/>
    </row>
    <row r="1020" spans="1:26" ht="12.75">
      <c r="A1020" s="11">
        <v>43747.292233796295</v>
      </c>
      <c r="B1020" s="12" t="str">
        <f>HYPERLINK("https://twitter.com/hilalmarket","@hilalmarket")</f>
        <v>@hilalmarket</v>
      </c>
      <c r="C1020" s="7" t="s">
        <v>8006</v>
      </c>
      <c r="D1020" s="7" t="s">
        <v>8007</v>
      </c>
      <c r="E1020" s="12" t="str">
        <f>HYPERLINK("https://twitter.com/hilalmarket/status/1181932529852538885","1181932529852538885")</f>
        <v>1181932529852538885</v>
      </c>
      <c r="F1020" s="8"/>
      <c r="G1020" s="15"/>
      <c r="H1020" s="8"/>
      <c r="I1020" s="15">
        <v>0</v>
      </c>
      <c r="J1020" s="15">
        <v>0</v>
      </c>
      <c r="K1020" s="12" t="str">
        <f>HYPERLINK("http://twitter.com/download/android","Twitter for Android")</f>
        <v>Twitter for Android</v>
      </c>
      <c r="L1020" s="16">
        <v>2031</v>
      </c>
      <c r="M1020" s="16">
        <v>676</v>
      </c>
      <c r="N1020" s="16">
        <v>1</v>
      </c>
      <c r="O1020" s="17"/>
      <c r="P1020" s="18">
        <v>40660.412847222222</v>
      </c>
      <c r="Q1020" s="7" t="s">
        <v>8008</v>
      </c>
      <c r="R1020" s="7" t="s">
        <v>8009</v>
      </c>
      <c r="S1020" s="14" t="s">
        <v>8010</v>
      </c>
      <c r="T1020" s="8"/>
      <c r="U1020" s="19" t="str">
        <f>HYPERLINK("https://pbs.twimg.com/profile_images/891769883108810754/1cOYncu4.jpg","View")</f>
        <v>View</v>
      </c>
      <c r="V1020" s="8"/>
      <c r="W1020" s="8"/>
      <c r="X1020" s="8"/>
      <c r="Y1020" s="8"/>
      <c r="Z1020" s="8"/>
    </row>
    <row r="1021" spans="1:26" ht="12.75">
      <c r="A1021" s="11">
        <v>43747.292222222226</v>
      </c>
      <c r="B1021" s="12" t="str">
        <f>HYPERLINK("https://twitter.com/abdullahkarae18","@abdullahkarae18")</f>
        <v>@abdullahkarae18</v>
      </c>
      <c r="C1021" s="7" t="s">
        <v>8011</v>
      </c>
      <c r="D1021" s="7" t="s">
        <v>8012</v>
      </c>
      <c r="E1021" s="12" t="str">
        <f>HYPERLINK("https://twitter.com/abdullahkarae18/status/1181932525796634624","1181932525796634624")</f>
        <v>1181932525796634624</v>
      </c>
      <c r="F1021" s="8"/>
      <c r="G1021" s="15"/>
      <c r="H1021" s="8"/>
      <c r="I1021" s="15">
        <v>0</v>
      </c>
      <c r="J1021" s="15">
        <v>0</v>
      </c>
      <c r="K1021" s="12" t="str">
        <f>HYPERLINK("http://twitter.com","Twitter Web Client")</f>
        <v>Twitter Web Client</v>
      </c>
      <c r="L1021" s="16">
        <v>7</v>
      </c>
      <c r="M1021" s="16">
        <v>0</v>
      </c>
      <c r="N1021" s="16">
        <v>0</v>
      </c>
      <c r="O1021" s="17"/>
      <c r="P1021" s="18">
        <v>43669.867731481485</v>
      </c>
      <c r="Q1021" s="7" t="s">
        <v>3140</v>
      </c>
      <c r="R1021" s="7" t="s">
        <v>8013</v>
      </c>
      <c r="S1021" s="7"/>
      <c r="T1021" s="8"/>
      <c r="U1021" s="19" t="str">
        <f>HYPERLINK("https://pbs.twimg.com/profile_images/1154295630405218304/zy_n3Vfd.jpg","View")</f>
        <v>View</v>
      </c>
      <c r="V1021" s="8"/>
      <c r="W1021" s="8"/>
      <c r="X1021" s="8"/>
      <c r="Y1021" s="8"/>
      <c r="Z1021" s="8"/>
    </row>
    <row r="1022" spans="1:26" ht="12.75">
      <c r="A1022" s="11">
        <v>43747.292210648149</v>
      </c>
      <c r="B1022" s="12" t="str">
        <f>HYPERLINK("https://twitter.com/Mustafa_aytac1","@Mustafa_aytac1")</f>
        <v>@Mustafa_aytac1</v>
      </c>
      <c r="C1022" s="7" t="s">
        <v>8016</v>
      </c>
      <c r="D1022" s="7" t="s">
        <v>8017</v>
      </c>
      <c r="E1022" s="12" t="str">
        <f>HYPERLINK("https://twitter.com/Mustafa_aytac1/status/1181932523510730753","1181932523510730753")</f>
        <v>1181932523510730753</v>
      </c>
      <c r="F1022" s="8"/>
      <c r="G1022" s="14" t="s">
        <v>8018</v>
      </c>
      <c r="H1022" s="8"/>
      <c r="I1022" s="15">
        <v>0</v>
      </c>
      <c r="J1022" s="15">
        <v>2</v>
      </c>
      <c r="K1022" s="12" t="str">
        <f>HYPERLINK("http://twitter.com/download/android","Twitter for Android")</f>
        <v>Twitter for Android</v>
      </c>
      <c r="L1022" s="16">
        <v>77</v>
      </c>
      <c r="M1022" s="16">
        <v>153</v>
      </c>
      <c r="N1022" s="16">
        <v>0</v>
      </c>
      <c r="O1022" s="17"/>
      <c r="P1022" s="18">
        <v>42041.546666666662</v>
      </c>
      <c r="Q1022" s="7" t="s">
        <v>287</v>
      </c>
      <c r="R1022" s="7" t="s">
        <v>8021</v>
      </c>
      <c r="S1022" s="7"/>
      <c r="T1022" s="8"/>
      <c r="U1022" s="19" t="str">
        <f>HYPERLINK("https://pbs.twimg.com/profile_images/1155217141156782086/EUll6MV5.jpg","View")</f>
        <v>View</v>
      </c>
      <c r="V1022" s="8"/>
      <c r="W1022" s="8"/>
      <c r="X1022" s="8"/>
      <c r="Y1022" s="8"/>
      <c r="Z1022" s="8"/>
    </row>
    <row r="1023" spans="1:26" ht="12.75">
      <c r="A1023" s="11">
        <v>43747.292210648149</v>
      </c>
      <c r="B1023" s="12" t="str">
        <f>HYPERLINK("https://twitter.com/FehmiYALCINKAYA","@FehmiYALCINKAYA")</f>
        <v>@FehmiYALCINKAYA</v>
      </c>
      <c r="C1023" s="7" t="s">
        <v>8023</v>
      </c>
      <c r="D1023" s="7" t="s">
        <v>8024</v>
      </c>
      <c r="E1023" s="12" t="str">
        <f>HYPERLINK("https://twitter.com/FehmiYALCINKAYA/status/1181932521442959360","1181932521442959360")</f>
        <v>1181932521442959360</v>
      </c>
      <c r="F1023" s="15"/>
      <c r="G1023" s="7"/>
      <c r="H1023" s="8"/>
      <c r="I1023" s="15">
        <v>0</v>
      </c>
      <c r="J1023" s="15">
        <v>0</v>
      </c>
      <c r="K1023" s="12" t="str">
        <f>HYPERLINK("http://twitter.com/download/android","Twitter for Android")</f>
        <v>Twitter for Android</v>
      </c>
      <c r="L1023" s="16">
        <v>21</v>
      </c>
      <c r="M1023" s="16">
        <v>65</v>
      </c>
      <c r="N1023" s="16">
        <v>0</v>
      </c>
      <c r="O1023" s="17"/>
      <c r="P1023" s="18">
        <v>42367.425810185188</v>
      </c>
      <c r="Q1023" s="7" t="s">
        <v>313</v>
      </c>
      <c r="R1023" s="7" t="s">
        <v>8027</v>
      </c>
      <c r="S1023" s="14" t="s">
        <v>8028</v>
      </c>
      <c r="T1023" s="8"/>
      <c r="U1023" s="19" t="str">
        <f>HYPERLINK("https://pbs.twimg.com/profile_images/1167016644725673984/Sz8d6frG.jpg","View")</f>
        <v>View</v>
      </c>
      <c r="V1023" s="8"/>
      <c r="W1023" s="8"/>
      <c r="X1023" s="8"/>
      <c r="Y1023" s="8"/>
      <c r="Z1023" s="8"/>
    </row>
    <row r="1024" spans="1:26" ht="12.75">
      <c r="A1024" s="11">
        <v>43747.292199074072</v>
      </c>
      <c r="B1024" s="12" t="str">
        <f>HYPERLINK("https://twitter.com/sitkicetin","@sitkicetin")</f>
        <v>@sitkicetin</v>
      </c>
      <c r="C1024" s="7" t="s">
        <v>8029</v>
      </c>
      <c r="D1024" s="7" t="s">
        <v>1077</v>
      </c>
      <c r="E1024" s="12" t="str">
        <f>HYPERLINK("https://twitter.com/sitkicetin/status/1181932519169708032","1181932519169708032")</f>
        <v>1181932519169708032</v>
      </c>
      <c r="F1024" s="8"/>
      <c r="G1024" s="14" t="s">
        <v>8031</v>
      </c>
      <c r="H1024" s="8"/>
      <c r="I1024" s="15">
        <v>0</v>
      </c>
      <c r="J1024" s="15">
        <v>0</v>
      </c>
      <c r="K1024" s="12" t="str">
        <f>HYPERLINK("http://twitter.com/download/iphone","Twitter for iPhone")</f>
        <v>Twitter for iPhone</v>
      </c>
      <c r="L1024" s="16">
        <v>30</v>
      </c>
      <c r="M1024" s="16">
        <v>251</v>
      </c>
      <c r="N1024" s="16">
        <v>0</v>
      </c>
      <c r="O1024" s="17"/>
      <c r="P1024" s="18">
        <v>43092.608657407407</v>
      </c>
      <c r="Q1024" s="7"/>
      <c r="R1024" s="7"/>
      <c r="S1024" s="7"/>
      <c r="T1024" s="8"/>
      <c r="U1024" s="19" t="str">
        <f>HYPERLINK("https://pbs.twimg.com/profile_images/1170785606814916608/MVvVZVf6.jpg","View")</f>
        <v>View</v>
      </c>
      <c r="V1024" s="8"/>
      <c r="W1024" s="8"/>
      <c r="X1024" s="8"/>
      <c r="Y1024" s="8"/>
      <c r="Z1024" s="8"/>
    </row>
    <row r="1025" spans="1:26" ht="12.75">
      <c r="A1025" s="11">
        <v>43747.292187500003</v>
      </c>
      <c r="B1025" s="12" t="str">
        <f>HYPERLINK("https://twitter.com/assasin0666","@assasin0666")</f>
        <v>@assasin0666</v>
      </c>
      <c r="C1025" s="7" t="s">
        <v>8033</v>
      </c>
      <c r="D1025" s="7" t="s">
        <v>160</v>
      </c>
      <c r="E1025" s="12" t="str">
        <f>HYPERLINK("https://twitter.com/assasin0666/status/1181932517005414401","1181932517005414401")</f>
        <v>1181932517005414401</v>
      </c>
      <c r="F1025" s="14" t="s">
        <v>666</v>
      </c>
      <c r="G1025" s="15"/>
      <c r="H1025" s="8"/>
      <c r="I1025" s="15">
        <v>0</v>
      </c>
      <c r="J1025" s="15">
        <v>0</v>
      </c>
      <c r="K1025" s="12" t="str">
        <f>HYPERLINK("http://twitter.com/download/android","Twitter for Android")</f>
        <v>Twitter for Android</v>
      </c>
      <c r="L1025" s="16">
        <v>46</v>
      </c>
      <c r="M1025" s="16">
        <v>272</v>
      </c>
      <c r="N1025" s="16">
        <v>0</v>
      </c>
      <c r="O1025" s="17"/>
      <c r="P1025" s="18">
        <v>40518.446585648147</v>
      </c>
      <c r="Q1025" s="7"/>
      <c r="R1025" s="7"/>
      <c r="S1025" s="15"/>
      <c r="T1025" s="8"/>
      <c r="U1025" s="20" t="s">
        <v>354</v>
      </c>
      <c r="V1025" s="8"/>
      <c r="W1025" s="8"/>
      <c r="X1025" s="8"/>
      <c r="Y1025" s="8"/>
      <c r="Z1025" s="8"/>
    </row>
    <row r="1026" spans="1:26" ht="12.75">
      <c r="A1026" s="11">
        <v>43747.292175925926</v>
      </c>
      <c r="B1026" s="12" t="str">
        <f>HYPERLINK("https://twitter.com/Sword983","@Sword983")</f>
        <v>@Sword983</v>
      </c>
      <c r="C1026" s="7" t="s">
        <v>8036</v>
      </c>
      <c r="D1026" s="7" t="s">
        <v>8037</v>
      </c>
      <c r="E1026" s="12" t="str">
        <f>HYPERLINK("https://twitter.com/Sword983/status/1181932510567157760","1181932510567157760")</f>
        <v>1181932510567157760</v>
      </c>
      <c r="F1026" s="8"/>
      <c r="G1026" s="15"/>
      <c r="H1026" s="8"/>
      <c r="I1026" s="15">
        <v>0</v>
      </c>
      <c r="J1026" s="15">
        <v>1</v>
      </c>
      <c r="K1026" s="12" t="str">
        <f>HYPERLINK("http://twitter.com/download/iphone","Twitter for iPhone")</f>
        <v>Twitter for iPhone</v>
      </c>
      <c r="L1026" s="16">
        <v>129</v>
      </c>
      <c r="M1026" s="16">
        <v>589</v>
      </c>
      <c r="N1026" s="16">
        <v>1</v>
      </c>
      <c r="O1026" s="17"/>
      <c r="P1026" s="18">
        <v>40651.562754629631</v>
      </c>
      <c r="Q1026" s="7"/>
      <c r="R1026" s="7" t="s">
        <v>8040</v>
      </c>
      <c r="S1026" s="7"/>
      <c r="T1026" s="8"/>
      <c r="U1026" s="19" t="str">
        <f>HYPERLINK("https://pbs.twimg.com/profile_images/488363695253516288/miN-6p6M.jpeg","View")</f>
        <v>View</v>
      </c>
      <c r="V1026" s="8"/>
      <c r="W1026" s="8"/>
      <c r="X1026" s="8"/>
      <c r="Y1026" s="8"/>
      <c r="Z1026" s="8"/>
    </row>
    <row r="1027" spans="1:26" ht="12.75">
      <c r="A1027" s="11">
        <v>43747.292175925926</v>
      </c>
      <c r="B1027" s="12" t="str">
        <f>HYPERLINK("https://twitter.com/HSYNYLMZ","@HSYNYLMZ")</f>
        <v>@HSYNYLMZ</v>
      </c>
      <c r="C1027" s="7" t="s">
        <v>8041</v>
      </c>
      <c r="D1027" s="7" t="s">
        <v>8042</v>
      </c>
      <c r="E1027" s="12" t="str">
        <f>HYPERLINK("https://twitter.com/HSYNYLMZ/status/1181932510395142144","1181932510395142144")</f>
        <v>1181932510395142144</v>
      </c>
      <c r="F1027" s="7"/>
      <c r="G1027" s="14" t="s">
        <v>8043</v>
      </c>
      <c r="H1027" s="8"/>
      <c r="I1027" s="15">
        <v>1</v>
      </c>
      <c r="J1027" s="15">
        <v>3</v>
      </c>
      <c r="K1027" s="12" t="str">
        <f>HYPERLINK("http://twitter.com/download/iphone","Twitter for iPhone")</f>
        <v>Twitter for iPhone</v>
      </c>
      <c r="L1027" s="16">
        <v>2752</v>
      </c>
      <c r="M1027" s="16">
        <v>1802</v>
      </c>
      <c r="N1027" s="16">
        <v>53</v>
      </c>
      <c r="O1027" s="17"/>
      <c r="P1027" s="18">
        <v>40012.227280092593</v>
      </c>
      <c r="Q1027" s="7" t="s">
        <v>1461</v>
      </c>
      <c r="R1027" s="7" t="s">
        <v>8045</v>
      </c>
      <c r="S1027" s="7"/>
      <c r="T1027" s="8"/>
      <c r="U1027" s="19" t="str">
        <f>HYPERLINK("https://pbs.twimg.com/profile_images/857093604120113152/Pwxnqqf1.jpg","View")</f>
        <v>View</v>
      </c>
      <c r="V1027" s="8"/>
      <c r="W1027" s="8"/>
      <c r="X1027" s="8"/>
      <c r="Y1027" s="8"/>
      <c r="Z1027" s="8"/>
    </row>
    <row r="1028" spans="1:26" ht="12.75">
      <c r="A1028" s="11">
        <v>43747.292164351849</v>
      </c>
      <c r="B1028" s="12" t="str">
        <f>HYPERLINK("https://twitter.com/1907gfbyusuf","@1907gfbyusuf")</f>
        <v>@1907gfbyusuf</v>
      </c>
      <c r="C1028" s="7" t="s">
        <v>8046</v>
      </c>
      <c r="D1028" s="7" t="s">
        <v>8047</v>
      </c>
      <c r="E1028" s="12" t="str">
        <f>HYPERLINK("https://twitter.com/1907gfbyusuf/status/1181932505169059841","1181932505169059841")</f>
        <v>1181932505169059841</v>
      </c>
      <c r="F1028" s="8"/>
      <c r="G1028" s="15"/>
      <c r="H1028" s="8"/>
      <c r="I1028" s="15">
        <v>0</v>
      </c>
      <c r="J1028" s="15">
        <v>0</v>
      </c>
      <c r="K1028" s="12" t="str">
        <f>HYPERLINK("http://twitter.com/download/android","Twitter for Android")</f>
        <v>Twitter for Android</v>
      </c>
      <c r="L1028" s="16">
        <v>309</v>
      </c>
      <c r="M1028" s="16">
        <v>357</v>
      </c>
      <c r="N1028" s="16">
        <v>3</v>
      </c>
      <c r="O1028" s="17"/>
      <c r="P1028" s="18">
        <v>42753.940937499996</v>
      </c>
      <c r="Q1028" s="7" t="s">
        <v>1639</v>
      </c>
      <c r="R1028" s="7" t="s">
        <v>8050</v>
      </c>
      <c r="S1028" s="7"/>
      <c r="T1028" s="8"/>
      <c r="U1028" s="19" t="str">
        <f>HYPERLINK("https://pbs.twimg.com/profile_images/1152850000323469312/YCV6E8kh.jpg","View")</f>
        <v>View</v>
      </c>
      <c r="V1028" s="8"/>
      <c r="W1028" s="8"/>
      <c r="X1028" s="8"/>
      <c r="Y1028" s="8"/>
      <c r="Z1028" s="8"/>
    </row>
    <row r="1029" spans="1:26" ht="12.75">
      <c r="A1029" s="11">
        <v>43747.29215277778</v>
      </c>
      <c r="B1029" s="12" t="str">
        <f>HYPERLINK("https://twitter.com/Fatihyildiz_16","@Fatihyildiz_16")</f>
        <v>@Fatihyildiz_16</v>
      </c>
      <c r="C1029" s="7" t="s">
        <v>8051</v>
      </c>
      <c r="D1029" s="7" t="s">
        <v>8052</v>
      </c>
      <c r="E1029" s="12" t="str">
        <f>HYPERLINK("https://twitter.com/Fatihyildiz_16/status/1181932502358859777","1181932502358859777")</f>
        <v>1181932502358859777</v>
      </c>
      <c r="F1029" s="8"/>
      <c r="G1029" s="14" t="s">
        <v>8053</v>
      </c>
      <c r="H1029" s="8"/>
      <c r="I1029" s="15">
        <v>0</v>
      </c>
      <c r="J1029" s="15">
        <v>1</v>
      </c>
      <c r="K1029" s="12" t="str">
        <f>HYPERLINK("http://twitter.com/download/android","Twitter for Android")</f>
        <v>Twitter for Android</v>
      </c>
      <c r="L1029" s="16">
        <v>66</v>
      </c>
      <c r="M1029" s="16">
        <v>315</v>
      </c>
      <c r="N1029" s="16">
        <v>0</v>
      </c>
      <c r="O1029" s="17"/>
      <c r="P1029" s="18">
        <v>43541.465219907404</v>
      </c>
      <c r="Q1029" s="7"/>
      <c r="R1029" s="7"/>
      <c r="S1029" s="7"/>
      <c r="T1029" s="8"/>
      <c r="U1029" s="19" t="str">
        <f>HYPERLINK("https://pbs.twimg.com/profile_images/1112779678564212738/mykWjzI2.jpg","View")</f>
        <v>View</v>
      </c>
      <c r="V1029" s="8"/>
      <c r="W1029" s="8"/>
      <c r="X1029" s="8"/>
      <c r="Y1029" s="8"/>
      <c r="Z1029" s="8"/>
    </row>
    <row r="1030" spans="1:26" ht="12.75">
      <c r="A1030" s="11">
        <v>43747.292141203703</v>
      </c>
      <c r="B1030" s="12" t="str">
        <f>HYPERLINK("https://twitter.com/Ali_Kalayci","@Ali_Kalayci")</f>
        <v>@Ali_Kalayci</v>
      </c>
      <c r="C1030" s="7" t="s">
        <v>8058</v>
      </c>
      <c r="D1030" s="7" t="s">
        <v>8059</v>
      </c>
      <c r="E1030" s="12" t="str">
        <f>HYPERLINK("https://twitter.com/Ali_Kalayci/status/1181932496369397761","1181932496369397761")</f>
        <v>1181932496369397761</v>
      </c>
      <c r="F1030" s="8"/>
      <c r="G1030" s="14" t="s">
        <v>8060</v>
      </c>
      <c r="H1030" s="8"/>
      <c r="I1030" s="15">
        <v>0</v>
      </c>
      <c r="J1030" s="15">
        <v>0</v>
      </c>
      <c r="K1030" s="12" t="str">
        <f>HYPERLINK("http://twitter.com/download/android","Twitter for Android")</f>
        <v>Twitter for Android</v>
      </c>
      <c r="L1030" s="16">
        <v>287</v>
      </c>
      <c r="M1030" s="16">
        <v>1041</v>
      </c>
      <c r="N1030" s="16">
        <v>0</v>
      </c>
      <c r="O1030" s="17"/>
      <c r="P1030" s="18">
        <v>40798.105300925927</v>
      </c>
      <c r="Q1030" s="7" t="s">
        <v>576</v>
      </c>
      <c r="R1030" s="7" t="s">
        <v>8061</v>
      </c>
      <c r="S1030" s="7"/>
      <c r="T1030" s="8"/>
      <c r="U1030" s="19" t="str">
        <f>HYPERLINK("https://pbs.twimg.com/profile_images/670147348358684672/O8OryA-W.jpg","View")</f>
        <v>View</v>
      </c>
      <c r="V1030" s="8"/>
      <c r="W1030" s="8"/>
      <c r="X1030" s="8"/>
      <c r="Y1030" s="8"/>
      <c r="Z1030" s="8"/>
    </row>
    <row r="1031" spans="1:26" ht="12.75">
      <c r="A1031" s="11">
        <v>43747.292118055557</v>
      </c>
      <c r="B1031" s="12" t="str">
        <f>HYPERLINK("https://twitter.com/bygztp","@bygztp")</f>
        <v>@bygztp</v>
      </c>
      <c r="C1031" s="7" t="s">
        <v>8062</v>
      </c>
      <c r="D1031" s="7" t="s">
        <v>8063</v>
      </c>
      <c r="E1031" s="12" t="str">
        <f>HYPERLINK("https://twitter.com/bygztp/status/1181932488056283136","1181932488056283136")</f>
        <v>1181932488056283136</v>
      </c>
      <c r="F1031" s="8"/>
      <c r="G1031" s="15"/>
      <c r="H1031" s="8"/>
      <c r="I1031" s="15">
        <v>0</v>
      </c>
      <c r="J1031" s="15">
        <v>0</v>
      </c>
      <c r="K1031" s="12" t="str">
        <f>HYPERLINK("http://twitter.com/download/android","Twitter for Android")</f>
        <v>Twitter for Android</v>
      </c>
      <c r="L1031" s="16">
        <v>537</v>
      </c>
      <c r="M1031" s="16">
        <v>353</v>
      </c>
      <c r="N1031" s="16">
        <v>0</v>
      </c>
      <c r="O1031" s="17"/>
      <c r="P1031" s="18">
        <v>41322.454398148147</v>
      </c>
      <c r="Q1031" s="7"/>
      <c r="R1031" s="7" t="s">
        <v>8064</v>
      </c>
      <c r="S1031" s="7"/>
      <c r="T1031" s="8"/>
      <c r="U1031" s="19" t="str">
        <f>HYPERLINK("https://pbs.twimg.com/profile_images/1171885361154396161/fQ1nOSuy.jpg","View")</f>
        <v>View</v>
      </c>
      <c r="V1031" s="8"/>
      <c r="W1031" s="8"/>
      <c r="X1031" s="8"/>
      <c r="Y1031" s="8"/>
      <c r="Z1031" s="8"/>
    </row>
    <row r="1032" spans="1:26" ht="12.75">
      <c r="A1032" s="11">
        <v>43747.29210648148</v>
      </c>
      <c r="B1032" s="12" t="str">
        <f>HYPERLINK("https://twitter.com/yaren987654321","@yaren987654321")</f>
        <v>@yaren987654321</v>
      </c>
      <c r="C1032" s="7" t="s">
        <v>8066</v>
      </c>
      <c r="D1032" s="7" t="s">
        <v>8068</v>
      </c>
      <c r="E1032" s="12" t="str">
        <f>HYPERLINK("https://twitter.com/yaren987654321/status/1181932486890311681","1181932486890311681")</f>
        <v>1181932486890311681</v>
      </c>
      <c r="F1032" s="14" t="s">
        <v>6001</v>
      </c>
      <c r="G1032" s="15"/>
      <c r="H1032" s="8"/>
      <c r="I1032" s="15">
        <v>0</v>
      </c>
      <c r="J1032" s="15">
        <v>1</v>
      </c>
      <c r="K1032" s="12" t="str">
        <f>HYPERLINK("http://twitter.com/download/iphone","Twitter for iPhone")</f>
        <v>Twitter for iPhone</v>
      </c>
      <c r="L1032" s="16">
        <v>182</v>
      </c>
      <c r="M1032" s="16">
        <v>117</v>
      </c>
      <c r="N1032" s="16">
        <v>1</v>
      </c>
      <c r="O1032" s="17"/>
      <c r="P1032" s="18">
        <v>42129.202037037037</v>
      </c>
      <c r="Q1032" s="7" t="s">
        <v>69</v>
      </c>
      <c r="R1032" s="7" t="s">
        <v>8070</v>
      </c>
      <c r="S1032" s="7"/>
      <c r="T1032" s="8"/>
      <c r="U1032" s="19" t="str">
        <f>HYPERLINK("https://pbs.twimg.com/profile_images/1176742485688803328/FE01uxrB.jpg","View")</f>
        <v>View</v>
      </c>
      <c r="V1032" s="8"/>
      <c r="W1032" s="8"/>
      <c r="X1032" s="8"/>
      <c r="Y1032" s="8"/>
      <c r="Z1032" s="8"/>
    </row>
    <row r="1033" spans="1:26" ht="12.75">
      <c r="A1033" s="11">
        <v>43747.29210648148</v>
      </c>
      <c r="B1033" s="12" t="str">
        <f>HYPERLINK("https://twitter.com/guzelimbenn","@guzelimbenn")</f>
        <v>@guzelimbenn</v>
      </c>
      <c r="C1033" s="7" t="s">
        <v>8072</v>
      </c>
      <c r="D1033" s="7" t="s">
        <v>8073</v>
      </c>
      <c r="E1033" s="12" t="str">
        <f>HYPERLINK("https://twitter.com/guzelimbenn/status/1181932485338423296","1181932485338423296")</f>
        <v>1181932485338423296</v>
      </c>
      <c r="F1033" s="8"/>
      <c r="G1033" s="14" t="s">
        <v>8074</v>
      </c>
      <c r="H1033" s="8"/>
      <c r="I1033" s="15">
        <v>4</v>
      </c>
      <c r="J1033" s="15">
        <v>10</v>
      </c>
      <c r="K1033" s="12" t="str">
        <f>HYPERLINK("http://twitter.com/download/iphone","Twitter for iPhone")</f>
        <v>Twitter for iPhone</v>
      </c>
      <c r="L1033" s="16">
        <v>931</v>
      </c>
      <c r="M1033" s="16">
        <v>560</v>
      </c>
      <c r="N1033" s="16">
        <v>2</v>
      </c>
      <c r="O1033" s="17"/>
      <c r="P1033" s="18">
        <v>42839.580335648148</v>
      </c>
      <c r="Q1033" s="7" t="s">
        <v>445</v>
      </c>
      <c r="R1033" s="7" t="s">
        <v>8076</v>
      </c>
      <c r="S1033" s="14" t="s">
        <v>1431</v>
      </c>
      <c r="T1033" s="8"/>
      <c r="U1033" s="19" t="str">
        <f>HYPERLINK("https://pbs.twimg.com/profile_images/1176459236945125382/EdL27LQ4.jpg","View")</f>
        <v>View</v>
      </c>
      <c r="V1033" s="8"/>
      <c r="W1033" s="8"/>
      <c r="X1033" s="8"/>
      <c r="Y1033" s="8"/>
      <c r="Z1033" s="8"/>
    </row>
    <row r="1034" spans="1:26" ht="12.75">
      <c r="A1034" s="11">
        <v>43747.29210648148</v>
      </c>
      <c r="B1034" s="12" t="str">
        <f>HYPERLINK("https://twitter.com/narsist00","@narsist00")</f>
        <v>@narsist00</v>
      </c>
      <c r="C1034" s="7" t="s">
        <v>8078</v>
      </c>
      <c r="D1034" s="7" t="s">
        <v>8079</v>
      </c>
      <c r="E1034" s="12" t="str">
        <f>HYPERLINK("https://twitter.com/narsist00/status/1181932483744616449","1181932483744616449")</f>
        <v>1181932483744616449</v>
      </c>
      <c r="F1034" s="15"/>
      <c r="G1034" s="14" t="s">
        <v>8081</v>
      </c>
      <c r="H1034" s="8"/>
      <c r="I1034" s="15">
        <v>0</v>
      </c>
      <c r="J1034" s="15">
        <v>3</v>
      </c>
      <c r="K1034" s="12" t="str">
        <f>HYPERLINK("http://twitter.com/download/android","Twitter for Android")</f>
        <v>Twitter for Android</v>
      </c>
      <c r="L1034" s="16">
        <v>120</v>
      </c>
      <c r="M1034" s="16">
        <v>112</v>
      </c>
      <c r="N1034" s="16">
        <v>0</v>
      </c>
      <c r="O1034" s="17"/>
      <c r="P1034" s="18">
        <v>43407.263171296298</v>
      </c>
      <c r="Q1034" s="7" t="s">
        <v>8083</v>
      </c>
      <c r="R1034" s="7" t="s">
        <v>8084</v>
      </c>
      <c r="S1034" s="14" t="s">
        <v>8085</v>
      </c>
      <c r="T1034" s="8"/>
      <c r="U1034" s="19" t="str">
        <f>HYPERLINK("https://pbs.twimg.com/profile_images/1181382118439620608/nCU17V-T.jpg","View")</f>
        <v>View</v>
      </c>
      <c r="V1034" s="8"/>
      <c r="W1034" s="8"/>
      <c r="X1034" s="8"/>
      <c r="Y1034" s="8"/>
      <c r="Z1034" s="8"/>
    </row>
    <row r="1035" spans="1:26" ht="12.75">
      <c r="A1035" s="11">
        <v>43747.292094907403</v>
      </c>
      <c r="B1035" s="12" t="str">
        <f>HYPERLINK("https://twitter.com/akincisehzade","@akincisehzade")</f>
        <v>@akincisehzade</v>
      </c>
      <c r="C1035" s="7" t="s">
        <v>8088</v>
      </c>
      <c r="D1035" s="7" t="s">
        <v>8089</v>
      </c>
      <c r="E1035" s="12" t="str">
        <f>HYPERLINK("https://twitter.com/akincisehzade/status/1181932483216056320","1181932483216056320")</f>
        <v>1181932483216056320</v>
      </c>
      <c r="F1035" s="8"/>
      <c r="G1035" s="15"/>
      <c r="H1035" s="8"/>
      <c r="I1035" s="15">
        <v>0</v>
      </c>
      <c r="J1035" s="15">
        <v>0</v>
      </c>
      <c r="K1035" s="12" t="str">
        <f>HYPERLINK("https://mobile.twitter.com","Twitter Web App")</f>
        <v>Twitter Web App</v>
      </c>
      <c r="L1035" s="16">
        <v>88</v>
      </c>
      <c r="M1035" s="16">
        <v>201</v>
      </c>
      <c r="N1035" s="16">
        <v>0</v>
      </c>
      <c r="O1035" s="17"/>
      <c r="P1035" s="18">
        <v>43696.095393518517</v>
      </c>
      <c r="Q1035" s="7" t="s">
        <v>8090</v>
      </c>
      <c r="R1035" s="7" t="s">
        <v>8091</v>
      </c>
      <c r="S1035" s="7"/>
      <c r="T1035" s="8"/>
      <c r="U1035" s="19" t="str">
        <f>HYPERLINK("https://pbs.twimg.com/profile_images/1163385746230829056/TIzmlYFq.jpg","View")</f>
        <v>View</v>
      </c>
      <c r="V1035" s="8"/>
      <c r="W1035" s="8"/>
      <c r="X1035" s="8"/>
      <c r="Y1035" s="8"/>
      <c r="Z1035" s="8"/>
    </row>
    <row r="1036" spans="1:26" ht="12.75">
      <c r="A1036" s="11">
        <v>43747.292094907403</v>
      </c>
      <c r="B1036" s="12" t="str">
        <f>HYPERLINK("https://twitter.com/ahmetkurucu1988","@ahmetkurucu1988")</f>
        <v>@ahmetkurucu1988</v>
      </c>
      <c r="C1036" s="7" t="s">
        <v>8092</v>
      </c>
      <c r="D1036" s="7" t="s">
        <v>8093</v>
      </c>
      <c r="E1036" s="12" t="str">
        <f>HYPERLINK("https://twitter.com/ahmetkurucu1988/status/1181932482930851840","1181932482930851840")</f>
        <v>1181932482930851840</v>
      </c>
      <c r="F1036" s="8"/>
      <c r="G1036" s="14" t="s">
        <v>8094</v>
      </c>
      <c r="H1036" s="8"/>
      <c r="I1036" s="15">
        <v>1</v>
      </c>
      <c r="J1036" s="15">
        <v>1</v>
      </c>
      <c r="K1036" s="12" t="str">
        <f>HYPERLINK("http://twitter.com/download/android","Twitter for Android")</f>
        <v>Twitter for Android</v>
      </c>
      <c r="L1036" s="16">
        <v>132</v>
      </c>
      <c r="M1036" s="16">
        <v>89</v>
      </c>
      <c r="N1036" s="16">
        <v>0</v>
      </c>
      <c r="O1036" s="17"/>
      <c r="P1036" s="18">
        <v>43026.078842592593</v>
      </c>
      <c r="Q1036" s="7" t="s">
        <v>445</v>
      </c>
      <c r="R1036" s="7" t="s">
        <v>8098</v>
      </c>
      <c r="S1036" s="14" t="s">
        <v>8099</v>
      </c>
      <c r="T1036" s="8"/>
      <c r="U1036" s="19" t="str">
        <f>HYPERLINK("https://pbs.twimg.com/profile_images/1154483550659457024/4xhdQtaG.jpg","View")</f>
        <v>View</v>
      </c>
      <c r="V1036" s="8"/>
      <c r="W1036" s="8"/>
      <c r="X1036" s="8"/>
      <c r="Y1036" s="8"/>
      <c r="Z1036" s="8"/>
    </row>
    <row r="1037" spans="1:26" ht="12.75">
      <c r="A1037" s="11">
        <v>43747.29206018518</v>
      </c>
      <c r="B1037" s="12" t="str">
        <f>HYPERLINK("https://twitter.com/ebuubeyde8","@ebuubeyde8")</f>
        <v>@ebuubeyde8</v>
      </c>
      <c r="C1037" s="7" t="s">
        <v>8104</v>
      </c>
      <c r="D1037" s="7" t="s">
        <v>8105</v>
      </c>
      <c r="E1037" s="12" t="str">
        <f>HYPERLINK("https://twitter.com/ebuubeyde8/status/1181932467126767617","1181932467126767617")</f>
        <v>1181932467126767617</v>
      </c>
      <c r="F1037" s="8"/>
      <c r="G1037" s="14" t="s">
        <v>8106</v>
      </c>
      <c r="H1037" s="8"/>
      <c r="I1037" s="15">
        <v>0</v>
      </c>
      <c r="J1037" s="15">
        <v>2</v>
      </c>
      <c r="K1037" s="12" t="str">
        <f>HYPERLINK("http://twitter.com/download/android","Twitter for Android")</f>
        <v>Twitter for Android</v>
      </c>
      <c r="L1037" s="16">
        <v>1196</v>
      </c>
      <c r="M1037" s="16">
        <v>1229</v>
      </c>
      <c r="N1037" s="16">
        <v>1</v>
      </c>
      <c r="O1037" s="17"/>
      <c r="P1037" s="18">
        <v>42130.13282407407</v>
      </c>
      <c r="Q1037" s="7" t="s">
        <v>200</v>
      </c>
      <c r="R1037" s="7" t="s">
        <v>8107</v>
      </c>
      <c r="S1037" s="15"/>
      <c r="T1037" s="8"/>
      <c r="U1037" s="19" t="str">
        <f>HYPERLINK("https://pbs.twimg.com/profile_images/1161694588031184901/AgYE19hk.jpg","View")</f>
        <v>View</v>
      </c>
      <c r="V1037" s="8"/>
      <c r="W1037" s="8"/>
      <c r="X1037" s="8"/>
      <c r="Y1037" s="8"/>
      <c r="Z1037" s="8"/>
    </row>
    <row r="1038" spans="1:26" ht="12.75">
      <c r="A1038" s="11">
        <v>43747.292037037041</v>
      </c>
      <c r="B1038" s="12" t="str">
        <f>HYPERLINK("https://twitter.com/lopezite16","@lopezite16")</f>
        <v>@lopezite16</v>
      </c>
      <c r="C1038" s="7" t="s">
        <v>8108</v>
      </c>
      <c r="D1038" s="7" t="s">
        <v>8109</v>
      </c>
      <c r="E1038" s="12" t="str">
        <f>HYPERLINK("https://twitter.com/lopezite16/status/1181932458947821568","1181932458947821568")</f>
        <v>1181932458947821568</v>
      </c>
      <c r="F1038" s="15"/>
      <c r="G1038" s="14" t="s">
        <v>8110</v>
      </c>
      <c r="H1038" s="8"/>
      <c r="I1038" s="15">
        <v>0</v>
      </c>
      <c r="J1038" s="15">
        <v>2</v>
      </c>
      <c r="K1038" s="12" t="str">
        <f>HYPERLINK("http://twitter.com/download/android","Twitter for Android")</f>
        <v>Twitter for Android</v>
      </c>
      <c r="L1038" s="16">
        <v>133</v>
      </c>
      <c r="M1038" s="16">
        <v>468</v>
      </c>
      <c r="N1038" s="16">
        <v>0</v>
      </c>
      <c r="O1038" s="17"/>
      <c r="P1038" s="18">
        <v>42033.393414351856</v>
      </c>
      <c r="Q1038" s="7" t="s">
        <v>8111</v>
      </c>
      <c r="R1038" s="7"/>
      <c r="S1038" s="7"/>
      <c r="T1038" s="8"/>
      <c r="U1038" s="19" t="str">
        <f>HYPERLINK("https://pbs.twimg.com/profile_images/561624778399035394/SrXXyI6Q.jpeg","View")</f>
        <v>View</v>
      </c>
      <c r="V1038" s="8"/>
      <c r="W1038" s="8"/>
      <c r="X1038" s="8"/>
      <c r="Y1038" s="8"/>
      <c r="Z1038" s="8"/>
    </row>
    <row r="1039" spans="1:26" ht="12.75">
      <c r="A1039" s="11">
        <v>43747.291979166665</v>
      </c>
      <c r="B1039" s="12" t="str">
        <f>HYPERLINK("https://twitter.com/ChanOmeroglu","@ChanOmeroglu")</f>
        <v>@ChanOmeroglu</v>
      </c>
      <c r="C1039" s="7" t="s">
        <v>8113</v>
      </c>
      <c r="D1039" s="7" t="s">
        <v>8114</v>
      </c>
      <c r="E1039" s="12" t="str">
        <f>HYPERLINK("https://twitter.com/ChanOmeroglu/status/1181932438806810624","1181932438806810624")</f>
        <v>1181932438806810624</v>
      </c>
      <c r="F1039" s="8"/>
      <c r="G1039" s="14" t="s">
        <v>8115</v>
      </c>
      <c r="H1039" s="8"/>
      <c r="I1039" s="15">
        <v>0</v>
      </c>
      <c r="J1039" s="15">
        <v>2</v>
      </c>
      <c r="K1039" s="12" t="str">
        <f>HYPERLINK("http://twitter.com/download/iphone","Twitter for iPhone")</f>
        <v>Twitter for iPhone</v>
      </c>
      <c r="L1039" s="16">
        <v>209</v>
      </c>
      <c r="M1039" s="16">
        <v>318</v>
      </c>
      <c r="N1039" s="16">
        <v>0</v>
      </c>
      <c r="O1039" s="17"/>
      <c r="P1039" s="18">
        <v>40792.57199074074</v>
      </c>
      <c r="Q1039" s="7" t="s">
        <v>313</v>
      </c>
      <c r="R1039" s="7" t="s">
        <v>8118</v>
      </c>
      <c r="S1039" s="7"/>
      <c r="T1039" s="8"/>
      <c r="U1039" s="19" t="str">
        <f>HYPERLINK("https://pbs.twimg.com/profile_images/1035425742484590592/_ULLfYAr.jpg","View")</f>
        <v>View</v>
      </c>
      <c r="V1039" s="8"/>
      <c r="W1039" s="8"/>
      <c r="X1039" s="8"/>
      <c r="Y1039" s="8"/>
      <c r="Z1039" s="8"/>
    </row>
    <row r="1040" spans="1:26" ht="12.75">
      <c r="A1040" s="11">
        <v>43747.291979166665</v>
      </c>
      <c r="B1040" s="12" t="str">
        <f>HYPERLINK("https://twitter.com/Nana_Yilmaz","@Nana_Yilmaz")</f>
        <v>@Nana_Yilmaz</v>
      </c>
      <c r="C1040" s="7" t="s">
        <v>8119</v>
      </c>
      <c r="D1040" s="7" t="s">
        <v>8120</v>
      </c>
      <c r="E1040" s="12" t="str">
        <f>HYPERLINK("https://twitter.com/Nana_Yilmaz/status/1181932438135676928","1181932438135676928")</f>
        <v>1181932438135676928</v>
      </c>
      <c r="F1040" s="8"/>
      <c r="G1040" s="7"/>
      <c r="H1040" s="8"/>
      <c r="I1040" s="15">
        <v>0</v>
      </c>
      <c r="J1040" s="15">
        <v>0</v>
      </c>
      <c r="K1040" s="12" t="str">
        <f>HYPERLINK("http://twitter.com/download/iphone","Twitter for iPhone")</f>
        <v>Twitter for iPhone</v>
      </c>
      <c r="L1040" s="16">
        <v>945</v>
      </c>
      <c r="M1040" s="16">
        <v>1007</v>
      </c>
      <c r="N1040" s="16">
        <v>5</v>
      </c>
      <c r="O1040" s="17"/>
      <c r="P1040" s="18">
        <v>41152.618715277778</v>
      </c>
      <c r="Q1040" s="7" t="s">
        <v>8121</v>
      </c>
      <c r="R1040" s="7" t="s">
        <v>8122</v>
      </c>
      <c r="S1040" s="7"/>
      <c r="T1040" s="8"/>
      <c r="U1040" s="19" t="str">
        <f>HYPERLINK("https://pbs.twimg.com/profile_images/702615860846919680/05RplfLs.jpg","View")</f>
        <v>View</v>
      </c>
      <c r="V1040" s="8"/>
      <c r="W1040" s="8"/>
      <c r="X1040" s="8"/>
      <c r="Y1040" s="8"/>
      <c r="Z1040" s="8"/>
    </row>
    <row r="1041" spans="1:26" ht="12.75">
      <c r="A1041" s="11">
        <v>43747.291967592595</v>
      </c>
      <c r="B1041" s="12" t="str">
        <f>HYPERLINK("https://twitter.com/Yorumadam0","@Yorumadam0")</f>
        <v>@Yorumadam0</v>
      </c>
      <c r="C1041" s="7" t="s">
        <v>8123</v>
      </c>
      <c r="D1041" s="7" t="s">
        <v>8124</v>
      </c>
      <c r="E1041" s="12" t="str">
        <f>HYPERLINK("https://twitter.com/Yorumadam0/status/1181932435073896448","1181932435073896448")</f>
        <v>1181932435073896448</v>
      </c>
      <c r="F1041" s="15"/>
      <c r="G1041" s="15"/>
      <c r="H1041" s="8"/>
      <c r="I1041" s="15">
        <v>0</v>
      </c>
      <c r="J1041" s="15">
        <v>0</v>
      </c>
      <c r="K1041" s="12" t="str">
        <f>HYPERLINK("http://twitter.com/download/android","Twitter for Android")</f>
        <v>Twitter for Android</v>
      </c>
      <c r="L1041" s="16">
        <v>33</v>
      </c>
      <c r="M1041" s="16">
        <v>169</v>
      </c>
      <c r="N1041" s="16">
        <v>0</v>
      </c>
      <c r="O1041" s="17"/>
      <c r="P1041" s="18">
        <v>43742.197256944448</v>
      </c>
      <c r="Q1041" s="7"/>
      <c r="R1041" s="7" t="s">
        <v>8125</v>
      </c>
      <c r="S1041" s="7"/>
      <c r="T1041" s="8"/>
      <c r="U1041" s="19" t="str">
        <f>HYPERLINK("https://pbs.twimg.com/profile_images/1180088053920141313/6G3hQ8KS.jpg","View")</f>
        <v>View</v>
      </c>
      <c r="V1041" s="8"/>
      <c r="W1041" s="8"/>
      <c r="X1041" s="8"/>
      <c r="Y1041" s="8"/>
      <c r="Z1041" s="8"/>
    </row>
    <row r="1042" spans="1:26" ht="12.75">
      <c r="A1042" s="11">
        <v>43747.291909722218</v>
      </c>
      <c r="B1042" s="12" t="str">
        <f>HYPERLINK("https://twitter.com/misdifalii","@misdifalii")</f>
        <v>@misdifalii</v>
      </c>
      <c r="C1042" s="7" t="s">
        <v>8126</v>
      </c>
      <c r="D1042" s="7" t="s">
        <v>8127</v>
      </c>
      <c r="E1042" s="12" t="str">
        <f>HYPERLINK("https://twitter.com/misdifalii/status/1181932414051991552","1181932414051991552")</f>
        <v>1181932414051991552</v>
      </c>
      <c r="F1042" s="8"/>
      <c r="G1042" s="7"/>
      <c r="H1042" s="8"/>
      <c r="I1042" s="15">
        <v>0</v>
      </c>
      <c r="J1042" s="15">
        <v>8</v>
      </c>
      <c r="K1042" s="12" t="str">
        <f>HYPERLINK("http://twitter.com/download/android","Twitter for Android")</f>
        <v>Twitter for Android</v>
      </c>
      <c r="L1042" s="16">
        <v>2311</v>
      </c>
      <c r="M1042" s="16">
        <v>2918</v>
      </c>
      <c r="N1042" s="16">
        <v>0</v>
      </c>
      <c r="O1042" s="17"/>
      <c r="P1042" s="18">
        <v>43712.612199074079</v>
      </c>
      <c r="Q1042" s="7" t="s">
        <v>8128</v>
      </c>
      <c r="R1042" s="7" t="s">
        <v>8129</v>
      </c>
      <c r="S1042" s="14" t="s">
        <v>8130</v>
      </c>
      <c r="T1042" s="8"/>
      <c r="U1042" s="19" t="str">
        <f>HYPERLINK("https://pbs.twimg.com/profile_images/1170027346050633730/EfK-Ae2s.jpg","View")</f>
        <v>View</v>
      </c>
      <c r="V1042" s="8"/>
      <c r="W1042" s="8"/>
      <c r="X1042" s="8"/>
      <c r="Y1042" s="8"/>
      <c r="Z1042" s="8"/>
    </row>
    <row r="1043" spans="1:26" ht="12.75">
      <c r="A1043" s="11">
        <v>43747.291898148149</v>
      </c>
      <c r="B1043" s="12" t="str">
        <f>HYPERLINK("https://twitter.com/ehtoglu","@ehtoglu")</f>
        <v>@ehtoglu</v>
      </c>
      <c r="C1043" s="7" t="s">
        <v>8136</v>
      </c>
      <c r="D1043" s="7" t="s">
        <v>8137</v>
      </c>
      <c r="E1043" s="12" t="str">
        <f>HYPERLINK("https://twitter.com/ehtoglu/status/1181932408733622272","1181932408733622272")</f>
        <v>1181932408733622272</v>
      </c>
      <c r="F1043" s="8"/>
      <c r="G1043" s="7"/>
      <c r="H1043" s="8"/>
      <c r="I1043" s="15">
        <v>0</v>
      </c>
      <c r="J1043" s="15">
        <v>0</v>
      </c>
      <c r="K1043" s="12" t="str">
        <f>HYPERLINK("http://twitter.com/download/android","Twitter for Android")</f>
        <v>Twitter for Android</v>
      </c>
      <c r="L1043" s="16">
        <v>3326</v>
      </c>
      <c r="M1043" s="16">
        <v>40</v>
      </c>
      <c r="N1043" s="16">
        <v>18</v>
      </c>
      <c r="O1043" s="17"/>
      <c r="P1043" s="18">
        <v>42406.337129629625</v>
      </c>
      <c r="Q1043" s="7" t="s">
        <v>668</v>
      </c>
      <c r="R1043" s="7" t="s">
        <v>8139</v>
      </c>
      <c r="S1043" s="14" t="s">
        <v>8140</v>
      </c>
      <c r="T1043" s="8"/>
      <c r="U1043" s="19" t="str">
        <f>HYPERLINK("https://pbs.twimg.com/profile_images/1037466253798109189/A3JOAchR.jpg","View")</f>
        <v>View</v>
      </c>
      <c r="V1043" s="8"/>
      <c r="W1043" s="8"/>
      <c r="X1043" s="8"/>
      <c r="Y1043" s="8"/>
      <c r="Z1043" s="8"/>
    </row>
    <row r="1044" spans="1:26" ht="12.75">
      <c r="A1044" s="11">
        <v>43747.291874999995</v>
      </c>
      <c r="B1044" s="12" t="str">
        <f>HYPERLINK("https://twitter.com/lllposeidon","@lllposeidon")</f>
        <v>@lllposeidon</v>
      </c>
      <c r="C1044" s="7" t="s">
        <v>8142</v>
      </c>
      <c r="D1044" s="7" t="s">
        <v>8143</v>
      </c>
      <c r="E1044" s="12" t="str">
        <f>HYPERLINK("https://twitter.com/lllposeidon/status/1181932403478151170","1181932403478151170")</f>
        <v>1181932403478151170</v>
      </c>
      <c r="F1044" s="14" t="s">
        <v>3207</v>
      </c>
      <c r="G1044" s="14" t="s">
        <v>8147</v>
      </c>
      <c r="H1044" s="8"/>
      <c r="I1044" s="15">
        <v>0</v>
      </c>
      <c r="J1044" s="15">
        <v>0</v>
      </c>
      <c r="K1044" s="12" t="str">
        <f>HYPERLINK("http://twitter.com/download/android","Twitter for Android")</f>
        <v>Twitter for Android</v>
      </c>
      <c r="L1044" s="16">
        <v>1</v>
      </c>
      <c r="M1044" s="16">
        <v>57</v>
      </c>
      <c r="N1044" s="16">
        <v>0</v>
      </c>
      <c r="O1044" s="17"/>
      <c r="P1044" s="18">
        <v>43714.759745370371</v>
      </c>
      <c r="Q1044" s="7"/>
      <c r="R1044" s="7" t="s">
        <v>8148</v>
      </c>
      <c r="S1044" s="15"/>
      <c r="T1044" s="8"/>
      <c r="U1044" s="19" t="str">
        <f>HYPERLINK("https://pbs.twimg.com/profile_images/1170154009488961542/K28Afrox.jpg","View")</f>
        <v>View</v>
      </c>
      <c r="V1044" s="8"/>
      <c r="W1044" s="8"/>
      <c r="X1044" s="8"/>
      <c r="Y1044" s="8"/>
      <c r="Z1044" s="8"/>
    </row>
    <row r="1045" spans="1:26" ht="12.75">
      <c r="A1045" s="11">
        <v>43747.291874999995</v>
      </c>
      <c r="B1045" s="12" t="str">
        <f>HYPERLINK("https://twitter.com/krynnlihalforc","@krynnlihalforc")</f>
        <v>@krynnlihalforc</v>
      </c>
      <c r="C1045" s="7" t="s">
        <v>8151</v>
      </c>
      <c r="D1045" s="7" t="s">
        <v>8152</v>
      </c>
      <c r="E1045" s="12" t="str">
        <f>HYPERLINK("https://twitter.com/krynnlihalforc/status/1181932401913683968","1181932401913683968")</f>
        <v>1181932401913683968</v>
      </c>
      <c r="F1045" s="8"/>
      <c r="G1045" s="15"/>
      <c r="H1045" s="8"/>
      <c r="I1045" s="15">
        <v>0</v>
      </c>
      <c r="J1045" s="15">
        <v>1</v>
      </c>
      <c r="K1045" s="12" t="str">
        <f>HYPERLINK("http://twitter.com/download/iphone","Twitter for iPhone")</f>
        <v>Twitter for iPhone</v>
      </c>
      <c r="L1045" s="16">
        <v>89</v>
      </c>
      <c r="M1045" s="16">
        <v>269</v>
      </c>
      <c r="N1045" s="16">
        <v>0</v>
      </c>
      <c r="O1045" s="17"/>
      <c r="P1045" s="18">
        <v>41709.566018518519</v>
      </c>
      <c r="Q1045" s="7"/>
      <c r="R1045" s="7" t="s">
        <v>8154</v>
      </c>
      <c r="S1045" s="15"/>
      <c r="T1045" s="8"/>
      <c r="U1045" s="19" t="str">
        <f>HYPERLINK("https://pbs.twimg.com/profile_images/1092085561760890886/DXuY5ZJh.jpg","View")</f>
        <v>View</v>
      </c>
      <c r="V1045" s="8"/>
      <c r="W1045" s="8"/>
      <c r="X1045" s="8"/>
      <c r="Y1045" s="8"/>
      <c r="Z1045" s="8"/>
    </row>
    <row r="1046" spans="1:26" ht="12.75">
      <c r="A1046" s="11">
        <v>43747.291805555556</v>
      </c>
      <c r="B1046" s="12" t="str">
        <f>HYPERLINK("https://twitter.com/Karaca0299","@Karaca0299")</f>
        <v>@Karaca0299</v>
      </c>
      <c r="C1046" s="7" t="s">
        <v>8156</v>
      </c>
      <c r="D1046" s="7" t="s">
        <v>8157</v>
      </c>
      <c r="E1046" s="12" t="str">
        <f>HYPERLINK("https://twitter.com/Karaca0299/status/1181932376366223362","1181932376366223362")</f>
        <v>1181932376366223362</v>
      </c>
      <c r="F1046" s="15"/>
      <c r="G1046" s="15"/>
      <c r="H1046" s="8"/>
      <c r="I1046" s="15">
        <v>0</v>
      </c>
      <c r="J1046" s="15">
        <v>1</v>
      </c>
      <c r="K1046" s="12" t="str">
        <f>HYPERLINK("http://twitter.com/download/android","Twitter for Android")</f>
        <v>Twitter for Android</v>
      </c>
      <c r="L1046" s="16">
        <v>1133</v>
      </c>
      <c r="M1046" s="16">
        <v>86</v>
      </c>
      <c r="N1046" s="16">
        <v>0</v>
      </c>
      <c r="O1046" s="17"/>
      <c r="P1046" s="18">
        <v>40614.207013888888</v>
      </c>
      <c r="Q1046" s="7"/>
      <c r="R1046" s="7"/>
      <c r="S1046" s="7"/>
      <c r="T1046" s="8"/>
      <c r="U1046" s="19" t="str">
        <f>HYPERLINK("https://pbs.twimg.com/profile_images/1172094036062220288/Kf8yGyqK.jpg","View")</f>
        <v>View</v>
      </c>
      <c r="V1046" s="8"/>
      <c r="W1046" s="8"/>
      <c r="X1046" s="8"/>
      <c r="Y1046" s="8"/>
      <c r="Z1046" s="8"/>
    </row>
    <row r="1047" spans="1:26" ht="12.75">
      <c r="A1047" s="11">
        <v>43747.29179398148</v>
      </c>
      <c r="B1047" s="12" t="str">
        <f>HYPERLINK("https://twitter.com/turkiyem1071","@turkiyem1071")</f>
        <v>@turkiyem1071</v>
      </c>
      <c r="C1047" s="7" t="s">
        <v>8159</v>
      </c>
      <c r="D1047" s="7" t="s">
        <v>8160</v>
      </c>
      <c r="E1047" s="12" t="str">
        <f>HYPERLINK("https://twitter.com/turkiyem1071/status/1181932372964642816","1181932372964642816")</f>
        <v>1181932372964642816</v>
      </c>
      <c r="F1047" s="8"/>
      <c r="G1047" s="15"/>
      <c r="H1047" s="8"/>
      <c r="I1047" s="15">
        <v>0</v>
      </c>
      <c r="J1047" s="15">
        <v>1</v>
      </c>
      <c r="K1047" s="12" t="str">
        <f>HYPERLINK("http://twitter.com/download/android","Twitter for Android")</f>
        <v>Twitter for Android</v>
      </c>
      <c r="L1047" s="16">
        <v>96</v>
      </c>
      <c r="M1047" s="16">
        <v>270</v>
      </c>
      <c r="N1047" s="16">
        <v>0</v>
      </c>
      <c r="O1047" s="17"/>
      <c r="P1047" s="18">
        <v>43727.255914351852</v>
      </c>
      <c r="Q1047" s="7"/>
      <c r="R1047" s="7" t="s">
        <v>8161</v>
      </c>
      <c r="S1047" s="7"/>
      <c r="T1047" s="8"/>
      <c r="U1047" s="19" t="str">
        <f>HYPERLINK("https://pbs.twimg.com/profile_images/1181871132133212160/ad99EqoL.jpg","View")</f>
        <v>View</v>
      </c>
      <c r="V1047" s="8"/>
      <c r="W1047" s="8"/>
      <c r="X1047" s="8"/>
      <c r="Y1047" s="8"/>
      <c r="Z1047" s="8"/>
    </row>
    <row r="1048" spans="1:26" ht="12.75">
      <c r="A1048" s="11">
        <v>43747.291747685187</v>
      </c>
      <c r="B1048" s="12" t="str">
        <f>HYPERLINK("https://twitter.com/myusufozturkk","@myusufozturkk")</f>
        <v>@myusufozturkk</v>
      </c>
      <c r="C1048" s="7" t="s">
        <v>8163</v>
      </c>
      <c r="D1048" s="7" t="s">
        <v>6457</v>
      </c>
      <c r="E1048" s="12" t="str">
        <f>HYPERLINK("https://twitter.com/myusufozturkk/status/1181932354715168770","1181932354715168770")</f>
        <v>1181932354715168770</v>
      </c>
      <c r="F1048" s="8"/>
      <c r="G1048" s="14" t="s">
        <v>8165</v>
      </c>
      <c r="H1048" s="8"/>
      <c r="I1048" s="15">
        <v>0</v>
      </c>
      <c r="J1048" s="15">
        <v>0</v>
      </c>
      <c r="K1048" s="12" t="str">
        <f>HYPERLINK("http://twitter.com/download/iphone","Twitter for iPhone")</f>
        <v>Twitter for iPhone</v>
      </c>
      <c r="L1048" s="16">
        <v>188</v>
      </c>
      <c r="M1048" s="16">
        <v>682</v>
      </c>
      <c r="N1048" s="16">
        <v>0</v>
      </c>
      <c r="O1048" s="17"/>
      <c r="P1048" s="18">
        <v>41013.712384259255</v>
      </c>
      <c r="Q1048" s="7" t="s">
        <v>80</v>
      </c>
      <c r="R1048" s="7" t="s">
        <v>8166</v>
      </c>
      <c r="S1048" s="7"/>
      <c r="T1048" s="8"/>
      <c r="U1048" s="19" t="str">
        <f>HYPERLINK("https://pbs.twimg.com/profile_images/1161760476038127616/JvCgERhN.jpg","View")</f>
        <v>View</v>
      </c>
      <c r="V1048" s="8"/>
      <c r="W1048" s="8"/>
      <c r="X1048" s="8"/>
      <c r="Y1048" s="8"/>
      <c r="Z1048" s="8"/>
    </row>
    <row r="1049" spans="1:26" ht="12.75">
      <c r="A1049" s="11">
        <v>43747.29173611111</v>
      </c>
      <c r="B1049" s="12" t="str">
        <f>HYPERLINK("https://twitter.com/muratsagman","@muratsagman")</f>
        <v>@muratsagman</v>
      </c>
      <c r="C1049" s="7" t="s">
        <v>8167</v>
      </c>
      <c r="D1049" s="7" t="s">
        <v>8168</v>
      </c>
      <c r="E1049" s="12" t="str">
        <f>HYPERLINK("https://twitter.com/muratsagman/status/1181932349564604416","1181932349564604416")</f>
        <v>1181932349564604416</v>
      </c>
      <c r="F1049" s="8"/>
      <c r="G1049" s="14" t="s">
        <v>8169</v>
      </c>
      <c r="H1049" s="8"/>
      <c r="I1049" s="15">
        <v>11</v>
      </c>
      <c r="J1049" s="15">
        <v>94</v>
      </c>
      <c r="K1049" s="12" t="str">
        <f>HYPERLINK("http://twitter.com/download/iphone","Twitter for iPhone")</f>
        <v>Twitter for iPhone</v>
      </c>
      <c r="L1049" s="16">
        <v>99956</v>
      </c>
      <c r="M1049" s="16">
        <v>1209</v>
      </c>
      <c r="N1049" s="16">
        <v>428</v>
      </c>
      <c r="O1049" s="17"/>
      <c r="P1049" s="18">
        <v>40782.045115740737</v>
      </c>
      <c r="Q1049" s="7" t="s">
        <v>1461</v>
      </c>
      <c r="R1049" s="7" t="s">
        <v>8172</v>
      </c>
      <c r="S1049" s="14" t="s">
        <v>8173</v>
      </c>
      <c r="T1049" s="8"/>
      <c r="U1049" s="19" t="str">
        <f>HYPERLINK("https://pbs.twimg.com/profile_images/929360294790430720/6Pxg6Kn4.jpg","View")</f>
        <v>View</v>
      </c>
      <c r="V1049" s="8"/>
      <c r="W1049" s="8"/>
      <c r="X1049" s="8"/>
      <c r="Y1049" s="8"/>
      <c r="Z1049" s="8"/>
    </row>
    <row r="1050" spans="1:26" ht="12.75">
      <c r="A1050" s="11">
        <v>43747.291701388887</v>
      </c>
      <c r="B1050" s="12" t="str">
        <f>HYPERLINK("https://twitter.com/fatihalan06","@fatihalan06")</f>
        <v>@fatihalan06</v>
      </c>
      <c r="C1050" s="7" t="s">
        <v>8175</v>
      </c>
      <c r="D1050" s="7" t="s">
        <v>8177</v>
      </c>
      <c r="E1050" s="12" t="str">
        <f>HYPERLINK("https://twitter.com/fatihalan06/status/1181932338403581953","1181932338403581953")</f>
        <v>1181932338403581953</v>
      </c>
      <c r="F1050" s="8"/>
      <c r="G1050" s="15"/>
      <c r="H1050" s="8"/>
      <c r="I1050" s="15">
        <v>1</v>
      </c>
      <c r="J1050" s="15">
        <v>1</v>
      </c>
      <c r="K1050" s="12" t="str">
        <f>HYPERLINK("http://twitter.com/download/android","Twitter for Android")</f>
        <v>Twitter for Android</v>
      </c>
      <c r="L1050" s="16">
        <v>528</v>
      </c>
      <c r="M1050" s="16">
        <v>616</v>
      </c>
      <c r="N1050" s="16">
        <v>1</v>
      </c>
      <c r="O1050" s="17"/>
      <c r="P1050" s="18">
        <v>41431.579328703701</v>
      </c>
      <c r="Q1050" s="7" t="s">
        <v>287</v>
      </c>
      <c r="R1050" s="7" t="s">
        <v>8178</v>
      </c>
      <c r="S1050" s="14" t="s">
        <v>8179</v>
      </c>
      <c r="T1050" s="8"/>
      <c r="U1050" s="19" t="str">
        <f>HYPERLINK("https://pbs.twimg.com/profile_images/669146573574692868/TKBYZWDe.jpg","View")</f>
        <v>View</v>
      </c>
      <c r="V1050" s="8"/>
      <c r="W1050" s="8"/>
      <c r="X1050" s="8"/>
      <c r="Y1050" s="8"/>
      <c r="Z1050" s="8"/>
    </row>
    <row r="1051" spans="1:26" ht="12.75">
      <c r="A1051" s="11">
        <v>43747.291689814811</v>
      </c>
      <c r="B1051" s="12" t="str">
        <f>HYPERLINK("https://twitter.com/hsnkayraus","@hsnkayraus")</f>
        <v>@hsnkayraus</v>
      </c>
      <c r="C1051" s="7" t="s">
        <v>8182</v>
      </c>
      <c r="D1051" s="7" t="s">
        <v>8183</v>
      </c>
      <c r="E1051" s="12" t="str">
        <f>HYPERLINK("https://twitter.com/hsnkayraus/status/1181932334133760000","1181932334133760000")</f>
        <v>1181932334133760000</v>
      </c>
      <c r="F1051" s="8"/>
      <c r="G1051" s="14" t="s">
        <v>8184</v>
      </c>
      <c r="H1051" s="8"/>
      <c r="I1051" s="15">
        <v>0</v>
      </c>
      <c r="J1051" s="15">
        <v>2</v>
      </c>
      <c r="K1051" s="12" t="str">
        <f>HYPERLINK("http://twitter.com/download/iphone","Twitter for iPhone")</f>
        <v>Twitter for iPhone</v>
      </c>
      <c r="L1051" s="16">
        <v>138</v>
      </c>
      <c r="M1051" s="16">
        <v>127</v>
      </c>
      <c r="N1051" s="16">
        <v>0</v>
      </c>
      <c r="O1051" s="17"/>
      <c r="P1051" s="18">
        <v>43566.438425925924</v>
      </c>
      <c r="Q1051" s="7" t="s">
        <v>7733</v>
      </c>
      <c r="R1051" s="7" t="s">
        <v>8187</v>
      </c>
      <c r="S1051" s="7"/>
      <c r="T1051" s="8"/>
      <c r="U1051" s="19" t="str">
        <f>HYPERLINK("https://pbs.twimg.com/profile_images/1177311279893143558/Ox2u_zsL.jpg","View")</f>
        <v>View</v>
      </c>
      <c r="V1051" s="8"/>
      <c r="W1051" s="8"/>
      <c r="X1051" s="8"/>
      <c r="Y1051" s="8"/>
      <c r="Z1051" s="8"/>
    </row>
    <row r="1052" spans="1:26" ht="12.75">
      <c r="A1052" s="11">
        <v>43747.291678240741</v>
      </c>
      <c r="B1052" s="12" t="str">
        <f>HYPERLINK("https://twitter.com/kulsuyu","@kulsuyu")</f>
        <v>@kulsuyu</v>
      </c>
      <c r="C1052" s="15" t="s">
        <v>8192</v>
      </c>
      <c r="D1052" s="7" t="s">
        <v>8193</v>
      </c>
      <c r="E1052" s="12" t="str">
        <f>HYPERLINK("https://twitter.com/kulsuyu/status/1181932330245599233","1181932330245599233")</f>
        <v>1181932330245599233</v>
      </c>
      <c r="F1052" s="8"/>
      <c r="G1052" s="15"/>
      <c r="H1052" s="8"/>
      <c r="I1052" s="15">
        <v>1</v>
      </c>
      <c r="J1052" s="15">
        <v>6</v>
      </c>
      <c r="K1052" s="12" t="str">
        <f>HYPERLINK("http://twitter.com/download/iphone","Twitter for iPhone")</f>
        <v>Twitter for iPhone</v>
      </c>
      <c r="L1052" s="16">
        <v>2226</v>
      </c>
      <c r="M1052" s="16">
        <v>49</v>
      </c>
      <c r="N1052" s="16">
        <v>5</v>
      </c>
      <c r="O1052" s="17"/>
      <c r="P1052" s="18">
        <v>42246.418935185182</v>
      </c>
      <c r="Q1052" s="7" t="s">
        <v>8194</v>
      </c>
      <c r="R1052" s="7" t="s">
        <v>8195</v>
      </c>
      <c r="S1052" s="15"/>
      <c r="T1052" s="8"/>
      <c r="U1052" s="19" t="str">
        <f>HYPERLINK("https://pbs.twimg.com/profile_images/1016849149088665600/wWbLCNdd.jpg","View")</f>
        <v>View</v>
      </c>
      <c r="V1052" s="8"/>
      <c r="W1052" s="8"/>
      <c r="X1052" s="8"/>
      <c r="Y1052" s="8"/>
      <c r="Z1052" s="8"/>
    </row>
    <row r="1053" spans="1:26" ht="12.75">
      <c r="A1053" s="11">
        <v>43747.291643518518</v>
      </c>
      <c r="B1053" s="12" t="str">
        <f>HYPERLINK("https://twitter.com/Zevahir__","@Zevahir__")</f>
        <v>@Zevahir__</v>
      </c>
      <c r="C1053" s="7" t="s">
        <v>7269</v>
      </c>
      <c r="D1053" s="7" t="s">
        <v>8196</v>
      </c>
      <c r="E1053" s="12" t="str">
        <f>HYPERLINK("https://twitter.com/Zevahir__/status/1181932317453012997","1181932317453012997")</f>
        <v>1181932317453012997</v>
      </c>
      <c r="F1053" s="8"/>
      <c r="G1053" s="7"/>
      <c r="H1053" s="8"/>
      <c r="I1053" s="15">
        <v>1</v>
      </c>
      <c r="J1053" s="15">
        <v>5</v>
      </c>
      <c r="K1053" s="12" t="str">
        <f>HYPERLINK("http://twitter.com/download/android","Twitter for Android")</f>
        <v>Twitter for Android</v>
      </c>
      <c r="L1053" s="16">
        <v>76</v>
      </c>
      <c r="M1053" s="16">
        <v>87</v>
      </c>
      <c r="N1053" s="16">
        <v>0</v>
      </c>
      <c r="O1053" s="17"/>
      <c r="P1053" s="18">
        <v>43643.027592592596</v>
      </c>
      <c r="Q1053" s="7"/>
      <c r="R1053" s="7" t="s">
        <v>807</v>
      </c>
      <c r="S1053" s="7"/>
      <c r="T1053" s="8"/>
      <c r="U1053" s="19" t="str">
        <f>HYPERLINK("https://pbs.twimg.com/profile_images/1180817859359973376/AJAGFNn6.jpg","View")</f>
        <v>View</v>
      </c>
      <c r="V1053" s="8"/>
      <c r="W1053" s="8"/>
      <c r="X1053" s="8"/>
      <c r="Y1053" s="8"/>
      <c r="Z1053" s="8"/>
    </row>
    <row r="1054" spans="1:26" ht="12.75">
      <c r="A1054" s="11">
        <v>43747.291631944448</v>
      </c>
      <c r="B1054" s="12" t="str">
        <f>HYPERLINK("https://twitter.com/uluzman47","@uluzman47")</f>
        <v>@uluzman47</v>
      </c>
      <c r="C1054" s="7" t="s">
        <v>8198</v>
      </c>
      <c r="D1054" s="7" t="s">
        <v>8199</v>
      </c>
      <c r="E1054" s="12" t="str">
        <f>HYPERLINK("https://twitter.com/uluzman47/status/1181932315766923264","1181932315766923264")</f>
        <v>1181932315766923264</v>
      </c>
      <c r="F1054" s="8"/>
      <c r="G1054" s="7"/>
      <c r="H1054" s="8"/>
      <c r="I1054" s="15">
        <v>0</v>
      </c>
      <c r="J1054" s="15">
        <v>0</v>
      </c>
      <c r="K1054" s="12" t="str">
        <f>HYPERLINK("http://twitter.com/download/android","Twitter for Android")</f>
        <v>Twitter for Android</v>
      </c>
      <c r="L1054" s="16">
        <v>21</v>
      </c>
      <c r="M1054" s="16">
        <v>61</v>
      </c>
      <c r="N1054" s="16">
        <v>0</v>
      </c>
      <c r="O1054" s="17"/>
      <c r="P1054" s="18">
        <v>42273.495995370366</v>
      </c>
      <c r="Q1054" s="7" t="s">
        <v>8200</v>
      </c>
      <c r="R1054" s="7" t="s">
        <v>8201</v>
      </c>
      <c r="S1054" s="7"/>
      <c r="T1054" s="8"/>
      <c r="U1054" s="19" t="str">
        <f>HYPERLINK("https://pbs.twimg.com/profile_images/1056688161944993793/yGfReugD.jpg","View")</f>
        <v>View</v>
      </c>
      <c r="V1054" s="8"/>
      <c r="W1054" s="8"/>
      <c r="X1054" s="8"/>
      <c r="Y1054" s="8"/>
      <c r="Z1054" s="8"/>
    </row>
    <row r="1055" spans="1:26" ht="12.75">
      <c r="A1055" s="11">
        <v>43747.291620370372</v>
      </c>
      <c r="B1055" s="12" t="str">
        <f>HYPERLINK("https://twitter.com/ttugcealbayrak","@ttugcealbayrak")</f>
        <v>@ttugcealbayrak</v>
      </c>
      <c r="C1055" s="7" t="s">
        <v>8202</v>
      </c>
      <c r="D1055" s="7" t="s">
        <v>8203</v>
      </c>
      <c r="E1055" s="12" t="str">
        <f>HYPERLINK("https://twitter.com/ttugcealbayrak/status/1181932311383871493","1181932311383871493")</f>
        <v>1181932311383871493</v>
      </c>
      <c r="F1055" s="8"/>
      <c r="G1055" s="14" t="s">
        <v>8204</v>
      </c>
      <c r="H1055" s="8"/>
      <c r="I1055" s="15">
        <v>0</v>
      </c>
      <c r="J1055" s="15">
        <v>4</v>
      </c>
      <c r="K1055" s="12" t="str">
        <f>HYPERLINK("http://twitter.com/download/iphone","Twitter for iPhone")</f>
        <v>Twitter for iPhone</v>
      </c>
      <c r="L1055" s="16">
        <v>582</v>
      </c>
      <c r="M1055" s="16">
        <v>557</v>
      </c>
      <c r="N1055" s="16">
        <v>1</v>
      </c>
      <c r="O1055" s="17"/>
      <c r="P1055" s="18">
        <v>40543.52375</v>
      </c>
      <c r="Q1055" s="7"/>
      <c r="R1055" s="7" t="s">
        <v>8205</v>
      </c>
      <c r="S1055" s="14" t="s">
        <v>8206</v>
      </c>
      <c r="T1055" s="8"/>
      <c r="U1055" s="19" t="str">
        <f>HYPERLINK("https://pbs.twimg.com/profile_images/1153061116941164547/PwizygfQ.jpg","View")</f>
        <v>View</v>
      </c>
      <c r="V1055" s="8"/>
      <c r="W1055" s="8"/>
      <c r="X1055" s="8"/>
      <c r="Y1055" s="8"/>
      <c r="Z1055" s="8"/>
    </row>
    <row r="1056" spans="1:26" ht="12.75">
      <c r="A1056" s="11">
        <v>43747.291608796295</v>
      </c>
      <c r="B1056" s="12" t="str">
        <f>HYPERLINK("https://twitter.com/bozok_ismail","@bozok_ismail")</f>
        <v>@bozok_ismail</v>
      </c>
      <c r="C1056" s="7" t="s">
        <v>8207</v>
      </c>
      <c r="D1056" s="7" t="s">
        <v>8208</v>
      </c>
      <c r="E1056" s="12" t="str">
        <f>HYPERLINK("https://twitter.com/bozok_ismail/status/1181932304387706880","1181932304387706880")</f>
        <v>1181932304387706880</v>
      </c>
      <c r="F1056" s="8"/>
      <c r="G1056" s="15"/>
      <c r="H1056" s="8"/>
      <c r="I1056" s="15">
        <v>0</v>
      </c>
      <c r="J1056" s="15">
        <v>1</v>
      </c>
      <c r="K1056" s="12" t="str">
        <f>HYPERLINK("http://twitter.com/download/iphone","Twitter for iPhone")</f>
        <v>Twitter for iPhone</v>
      </c>
      <c r="L1056" s="16">
        <v>148</v>
      </c>
      <c r="M1056" s="16">
        <v>217</v>
      </c>
      <c r="N1056" s="16">
        <v>0</v>
      </c>
      <c r="O1056" s="17"/>
      <c r="P1056" s="18">
        <v>42059.304918981477</v>
      </c>
      <c r="Q1056" s="7" t="s">
        <v>8209</v>
      </c>
      <c r="R1056" s="7" t="s">
        <v>8210</v>
      </c>
      <c r="S1056" s="7"/>
      <c r="T1056" s="8"/>
      <c r="U1056" s="19" t="str">
        <f>HYPERLINK("https://pbs.twimg.com/profile_images/1152932114284843008/VPRJh1mz.jpg","View")</f>
        <v>View</v>
      </c>
      <c r="V1056" s="8"/>
      <c r="W1056" s="8"/>
      <c r="X1056" s="8"/>
      <c r="Y1056" s="8"/>
      <c r="Z1056" s="8"/>
    </row>
    <row r="1057" spans="1:26" ht="12.75">
      <c r="A1057" s="11">
        <v>43747.291608796295</v>
      </c>
      <c r="B1057" s="12" t="str">
        <f>HYPERLINK("https://twitter.com/EmirEminler","@EmirEminler")</f>
        <v>@EmirEminler</v>
      </c>
      <c r="C1057" s="7" t="s">
        <v>8211</v>
      </c>
      <c r="D1057" s="7" t="s">
        <v>8212</v>
      </c>
      <c r="E1057" s="12" t="str">
        <f>HYPERLINK("https://twitter.com/EmirEminler/status/1181932303339134978","1181932303339134978")</f>
        <v>1181932303339134978</v>
      </c>
      <c r="F1057" s="15"/>
      <c r="G1057" s="14" t="s">
        <v>8213</v>
      </c>
      <c r="H1057" s="8"/>
      <c r="I1057" s="15">
        <v>0</v>
      </c>
      <c r="J1057" s="15">
        <v>1</v>
      </c>
      <c r="K1057" s="12" t="str">
        <f>HYPERLINK("https://mobile.twitter.com","Twitter Web App")</f>
        <v>Twitter Web App</v>
      </c>
      <c r="L1057" s="16">
        <v>315</v>
      </c>
      <c r="M1057" s="16">
        <v>255</v>
      </c>
      <c r="N1057" s="16">
        <v>2</v>
      </c>
      <c r="O1057" s="17"/>
      <c r="P1057" s="18">
        <v>40412.361932870372</v>
      </c>
      <c r="Q1057" s="7" t="s">
        <v>4895</v>
      </c>
      <c r="R1057" s="7" t="s">
        <v>8214</v>
      </c>
      <c r="S1057" s="7"/>
      <c r="T1057" s="8"/>
      <c r="U1057" s="19" t="str">
        <f>HYPERLINK("https://pbs.twimg.com/profile_images/1105846267517829121/gjmfPnMk.jpg","View")</f>
        <v>View</v>
      </c>
      <c r="V1057" s="8"/>
      <c r="W1057" s="8"/>
      <c r="X1057" s="8"/>
      <c r="Y1057" s="8"/>
      <c r="Z1057" s="8"/>
    </row>
    <row r="1058" spans="1:26" ht="12.75">
      <c r="A1058" s="11">
        <v>43747.291597222225</v>
      </c>
      <c r="B1058" s="12" t="str">
        <f>HYPERLINK("https://twitter.com/yunusdiyoki02","@yunusdiyoki02")</f>
        <v>@yunusdiyoki02</v>
      </c>
      <c r="C1058" s="7" t="s">
        <v>8215</v>
      </c>
      <c r="D1058" s="7" t="s">
        <v>8216</v>
      </c>
      <c r="E1058" s="12" t="str">
        <f>HYPERLINK("https://twitter.com/yunusdiyoki02/status/1181932301678186496","1181932301678186496")</f>
        <v>1181932301678186496</v>
      </c>
      <c r="F1058" s="8"/>
      <c r="G1058" s="15"/>
      <c r="H1058" s="8"/>
      <c r="I1058" s="15">
        <v>0</v>
      </c>
      <c r="J1058" s="15">
        <v>0</v>
      </c>
      <c r="K1058" s="12" t="str">
        <f>HYPERLINK("http://twitter.com/download/iphone","Twitter for iPhone")</f>
        <v>Twitter for iPhone</v>
      </c>
      <c r="L1058" s="16">
        <v>110</v>
      </c>
      <c r="M1058" s="16">
        <v>784</v>
      </c>
      <c r="N1058" s="16">
        <v>0</v>
      </c>
      <c r="O1058" s="17"/>
      <c r="P1058" s="18">
        <v>43718.262499999997</v>
      </c>
      <c r="Q1058" s="7" t="s">
        <v>8217</v>
      </c>
      <c r="R1058" s="7" t="s">
        <v>8218</v>
      </c>
      <c r="S1058" s="15"/>
      <c r="T1058" s="8"/>
      <c r="U1058" s="19" t="str">
        <f>HYPERLINK("https://pbs.twimg.com/profile_images/1171413602710016000/qZ6oYV3U.jpg","View")</f>
        <v>View</v>
      </c>
      <c r="V1058" s="8"/>
      <c r="W1058" s="8"/>
      <c r="X1058" s="8"/>
      <c r="Y1058" s="8"/>
      <c r="Z1058" s="8"/>
    </row>
    <row r="1059" spans="1:26" ht="12.75">
      <c r="A1059" s="11">
        <v>43747.291597222225</v>
      </c>
      <c r="B1059" s="12" t="str">
        <f>HYPERLINK("https://twitter.com/elifkararverpls","@elifkararverpls")</f>
        <v>@elifkararverpls</v>
      </c>
      <c r="C1059" s="7" t="s">
        <v>8219</v>
      </c>
      <c r="D1059" s="7" t="s">
        <v>8220</v>
      </c>
      <c r="E1059" s="12" t="str">
        <f>HYPERLINK("https://twitter.com/elifkararverpls/status/1181932301514657792","1181932301514657792")</f>
        <v>1181932301514657792</v>
      </c>
      <c r="F1059" s="8"/>
      <c r="G1059" s="7"/>
      <c r="H1059" s="8"/>
      <c r="I1059" s="15">
        <v>0</v>
      </c>
      <c r="J1059" s="15">
        <v>0</v>
      </c>
      <c r="K1059" s="12" t="str">
        <f>HYPERLINK("http://twitter.com/download/android","Twitter for Android")</f>
        <v>Twitter for Android</v>
      </c>
      <c r="L1059" s="16">
        <v>6</v>
      </c>
      <c r="M1059" s="16">
        <v>20</v>
      </c>
      <c r="N1059" s="16">
        <v>0</v>
      </c>
      <c r="O1059" s="17"/>
      <c r="P1059" s="18">
        <v>43739.281064814815</v>
      </c>
      <c r="Q1059" s="7"/>
      <c r="R1059" s="7" t="s">
        <v>8221</v>
      </c>
      <c r="S1059" s="14" t="s">
        <v>8222</v>
      </c>
      <c r="T1059" s="8"/>
      <c r="U1059" s="19" t="str">
        <f>HYPERLINK("https://pbs.twimg.com/profile_images/1179030534099329024/AY9auMRL.jpg","View")</f>
        <v>View</v>
      </c>
      <c r="V1059" s="8"/>
      <c r="W1059" s="8"/>
      <c r="X1059" s="8"/>
      <c r="Y1059" s="8"/>
      <c r="Z1059" s="8"/>
    </row>
    <row r="1060" spans="1:26" ht="12.75">
      <c r="A1060" s="11">
        <v>43747.291597222225</v>
      </c>
      <c r="B1060" s="12" t="str">
        <f>HYPERLINK("https://twitter.com/irfanozseker","@irfanozseker")</f>
        <v>@irfanozseker</v>
      </c>
      <c r="C1060" s="7" t="s">
        <v>8223</v>
      </c>
      <c r="D1060" s="7" t="s">
        <v>8224</v>
      </c>
      <c r="E1060" s="12" t="str">
        <f>HYPERLINK("https://twitter.com/irfanozseker/status/1181932300025638915","1181932300025638915")</f>
        <v>1181932300025638915</v>
      </c>
      <c r="F1060" s="8"/>
      <c r="G1060" s="14" t="s">
        <v>8226</v>
      </c>
      <c r="H1060" s="8"/>
      <c r="I1060" s="15">
        <v>0</v>
      </c>
      <c r="J1060" s="15">
        <v>0</v>
      </c>
      <c r="K1060" s="12" t="str">
        <f>HYPERLINK("http://twitter.com/download/iphone","Twitter for iPhone")</f>
        <v>Twitter for iPhone</v>
      </c>
      <c r="L1060" s="16">
        <v>296</v>
      </c>
      <c r="M1060" s="16">
        <v>424</v>
      </c>
      <c r="N1060" s="16">
        <v>0</v>
      </c>
      <c r="O1060" s="17"/>
      <c r="P1060" s="18">
        <v>40057.090324074074</v>
      </c>
      <c r="Q1060" s="7" t="s">
        <v>8228</v>
      </c>
      <c r="R1060" s="7" t="s">
        <v>8229</v>
      </c>
      <c r="S1060" s="7"/>
      <c r="T1060" s="8"/>
      <c r="U1060" s="19" t="str">
        <f>HYPERLINK("https://pbs.twimg.com/profile_images/549535562541961216/OG520sd8.jpeg","View")</f>
        <v>View</v>
      </c>
      <c r="V1060" s="8"/>
      <c r="W1060" s="8"/>
      <c r="X1060" s="8"/>
      <c r="Y1060" s="8"/>
      <c r="Z1060" s="8"/>
    </row>
    <row r="1061" spans="1:26" ht="12.75">
      <c r="A1061" s="11">
        <v>43747.291550925926</v>
      </c>
      <c r="B1061" s="12" t="str">
        <f>HYPERLINK("https://twitter.com/Ali_1453_02","@Ali_1453_02")</f>
        <v>@Ali_1453_02</v>
      </c>
      <c r="C1061" s="7" t="s">
        <v>8230</v>
      </c>
      <c r="D1061" s="7" t="s">
        <v>8231</v>
      </c>
      <c r="E1061" s="12" t="str">
        <f>HYPERLINK("https://twitter.com/Ali_1453_02/status/1181932282556366849","1181932282556366849")</f>
        <v>1181932282556366849</v>
      </c>
      <c r="F1061" s="8"/>
      <c r="G1061" s="14" t="s">
        <v>8232</v>
      </c>
      <c r="H1061" s="8"/>
      <c r="I1061" s="15">
        <v>2</v>
      </c>
      <c r="J1061" s="15">
        <v>7</v>
      </c>
      <c r="K1061" s="12" t="str">
        <f>HYPERLINK("http://twitter.com/download/android","Twitter for Android")</f>
        <v>Twitter for Android</v>
      </c>
      <c r="L1061" s="16">
        <v>7465</v>
      </c>
      <c r="M1061" s="16">
        <v>7385</v>
      </c>
      <c r="N1061" s="16">
        <v>5</v>
      </c>
      <c r="O1061" s="17"/>
      <c r="P1061" s="18">
        <v>42309.29215277778</v>
      </c>
      <c r="Q1061" s="7" t="s">
        <v>8233</v>
      </c>
      <c r="R1061" s="7" t="s">
        <v>8234</v>
      </c>
      <c r="S1061" s="7"/>
      <c r="T1061" s="8"/>
      <c r="U1061" s="19" t="str">
        <f>HYPERLINK("https://pbs.twimg.com/profile_images/1118784542649745408/7nr-Cr71.jpg","View")</f>
        <v>View</v>
      </c>
      <c r="V1061" s="8"/>
      <c r="W1061" s="8"/>
      <c r="X1061" s="8"/>
      <c r="Y1061" s="8"/>
      <c r="Z1061" s="8"/>
    </row>
    <row r="1062" spans="1:26" ht="12.75">
      <c r="A1062" s="11">
        <v>43747.291539351849</v>
      </c>
      <c r="B1062" s="12" t="str">
        <f>HYPERLINK("https://twitter.com/aaltinsoyy","@aaltinsoyy")</f>
        <v>@aaltinsoyy</v>
      </c>
      <c r="C1062" s="7" t="s">
        <v>2327</v>
      </c>
      <c r="D1062" s="7" t="s">
        <v>8235</v>
      </c>
      <c r="E1062" s="12" t="str">
        <f>HYPERLINK("https://twitter.com/aaltinsoyy/status/1181932281302257666","1181932281302257666")</f>
        <v>1181932281302257666</v>
      </c>
      <c r="F1062" s="8"/>
      <c r="G1062" s="14" t="s">
        <v>8236</v>
      </c>
      <c r="H1062" s="8"/>
      <c r="I1062" s="15">
        <v>0</v>
      </c>
      <c r="J1062" s="15">
        <v>2</v>
      </c>
      <c r="K1062" s="12" t="str">
        <f>HYPERLINK("http://twitter.com/download/iphone","Twitter for iPhone")</f>
        <v>Twitter for iPhone</v>
      </c>
      <c r="L1062" s="16">
        <v>198</v>
      </c>
      <c r="M1062" s="16">
        <v>174</v>
      </c>
      <c r="N1062" s="16">
        <v>0</v>
      </c>
      <c r="O1062" s="17"/>
      <c r="P1062" s="18">
        <v>40318.503599537034</v>
      </c>
      <c r="Q1062" s="7" t="s">
        <v>8237</v>
      </c>
      <c r="R1062" s="7" t="s">
        <v>8238</v>
      </c>
      <c r="S1062" s="7"/>
      <c r="T1062" s="8"/>
      <c r="U1062" s="19" t="str">
        <f>HYPERLINK("https://pbs.twimg.com/profile_images/1176920746230210560/ZT-ASusN.jpg","View")</f>
        <v>View</v>
      </c>
      <c r="V1062" s="8"/>
      <c r="W1062" s="8"/>
      <c r="X1062" s="8"/>
      <c r="Y1062" s="8"/>
      <c r="Z1062" s="8"/>
    </row>
    <row r="1063" spans="1:26" ht="12.75">
      <c r="A1063" s="11">
        <v>43747.291504629626</v>
      </c>
      <c r="B1063" s="12" t="str">
        <f>HYPERLINK("https://twitter.com/ilysysr06","@ilysysr06")</f>
        <v>@ilysysr06</v>
      </c>
      <c r="C1063" s="7" t="s">
        <v>8239</v>
      </c>
      <c r="D1063" s="7" t="s">
        <v>8240</v>
      </c>
      <c r="E1063" s="12" t="str">
        <f>HYPERLINK("https://twitter.com/ilysysr06/status/1181932269067522048","1181932269067522048")</f>
        <v>1181932269067522048</v>
      </c>
      <c r="F1063" s="8"/>
      <c r="G1063" s="14" t="s">
        <v>8241</v>
      </c>
      <c r="H1063" s="8"/>
      <c r="I1063" s="15">
        <v>1</v>
      </c>
      <c r="J1063" s="15">
        <v>1</v>
      </c>
      <c r="K1063" s="12" t="str">
        <f>HYPERLINK("http://twitter.com/download/android","Twitter for Android")</f>
        <v>Twitter for Android</v>
      </c>
      <c r="L1063" s="16">
        <v>1332</v>
      </c>
      <c r="M1063" s="16">
        <v>5000</v>
      </c>
      <c r="N1063" s="16">
        <v>0</v>
      </c>
      <c r="O1063" s="17"/>
      <c r="P1063" s="18">
        <v>40069.509351851855</v>
      </c>
      <c r="Q1063" s="7" t="s">
        <v>287</v>
      </c>
      <c r="R1063" s="7" t="s">
        <v>8242</v>
      </c>
      <c r="S1063" s="14" t="s">
        <v>8243</v>
      </c>
      <c r="T1063" s="8"/>
      <c r="U1063" s="19" t="str">
        <f>HYPERLINK("https://pbs.twimg.com/profile_images/1147612596272599041/b7a4yV_c.jpg","View")</f>
        <v>View</v>
      </c>
      <c r="V1063" s="8"/>
      <c r="W1063" s="8"/>
      <c r="X1063" s="8"/>
      <c r="Y1063" s="8"/>
      <c r="Z1063" s="8"/>
    </row>
    <row r="1064" spans="1:26" ht="12.75">
      <c r="A1064" s="11">
        <v>43747.291481481487</v>
      </c>
      <c r="B1064" s="12" t="str">
        <f>HYPERLINK("https://twitter.com/muratbldrcn2","@muratbldrcn2")</f>
        <v>@muratbldrcn2</v>
      </c>
      <c r="C1064" s="7" t="s">
        <v>8244</v>
      </c>
      <c r="D1064" s="7" t="s">
        <v>8245</v>
      </c>
      <c r="E1064" s="12" t="str">
        <f>HYPERLINK("https://twitter.com/muratbldrcn2/status/1181932261287092224","1181932261287092224")</f>
        <v>1181932261287092224</v>
      </c>
      <c r="F1064" s="8"/>
      <c r="G1064" s="14" t="s">
        <v>8246</v>
      </c>
      <c r="H1064" s="8"/>
      <c r="I1064" s="15">
        <v>0</v>
      </c>
      <c r="J1064" s="15">
        <v>2</v>
      </c>
      <c r="K1064" s="12" t="str">
        <f>HYPERLINK("http://twitter.com/download/android","Twitter for Android")</f>
        <v>Twitter for Android</v>
      </c>
      <c r="L1064" s="16">
        <v>967</v>
      </c>
      <c r="M1064" s="16">
        <v>2579</v>
      </c>
      <c r="N1064" s="16">
        <v>0</v>
      </c>
      <c r="O1064" s="17"/>
      <c r="P1064" s="18">
        <v>40899.149224537039</v>
      </c>
      <c r="Q1064" s="7"/>
      <c r="R1064" s="7" t="s">
        <v>8247</v>
      </c>
      <c r="S1064" s="7"/>
      <c r="T1064" s="8"/>
      <c r="U1064" s="19" t="str">
        <f>HYPERLINK("https://pbs.twimg.com/profile_images/1181530447681085441/KVbzqJKl.jpg","View")</f>
        <v>View</v>
      </c>
      <c r="V1064" s="8"/>
      <c r="W1064" s="8"/>
      <c r="X1064" s="8"/>
      <c r="Y1064" s="8"/>
      <c r="Z1064" s="8"/>
    </row>
    <row r="1065" spans="1:26" ht="12.75">
      <c r="A1065" s="11">
        <v>43747.291458333333</v>
      </c>
      <c r="B1065" s="12" t="str">
        <f>HYPERLINK("https://twitter.com/amatoryolcu","@amatoryolcu")</f>
        <v>@amatoryolcu</v>
      </c>
      <c r="C1065" s="7" t="s">
        <v>8248</v>
      </c>
      <c r="D1065" s="7" t="s">
        <v>8249</v>
      </c>
      <c r="E1065" s="12" t="str">
        <f>HYPERLINK("https://twitter.com/amatoryolcu/status/1181932248775512065","1181932248775512065")</f>
        <v>1181932248775512065</v>
      </c>
      <c r="F1065" s="14" t="s">
        <v>8250</v>
      </c>
      <c r="G1065" s="14" t="s">
        <v>8251</v>
      </c>
      <c r="H1065" s="8"/>
      <c r="I1065" s="15">
        <v>0</v>
      </c>
      <c r="J1065" s="15">
        <v>1</v>
      </c>
      <c r="K1065" s="12" t="str">
        <f>HYPERLINK("http://twitter.com/download/android","Twitter for Android")</f>
        <v>Twitter for Android</v>
      </c>
      <c r="L1065" s="16">
        <v>193</v>
      </c>
      <c r="M1065" s="16">
        <v>593</v>
      </c>
      <c r="N1065" s="16">
        <v>0</v>
      </c>
      <c r="O1065" s="17"/>
      <c r="P1065" s="18">
        <v>41825.129201388889</v>
      </c>
      <c r="Q1065" s="7"/>
      <c r="R1065" s="7"/>
      <c r="S1065" s="15"/>
      <c r="T1065" s="8"/>
      <c r="U1065" s="19" t="str">
        <f>HYPERLINK("https://pbs.twimg.com/profile_images/843523989255413760/M-0MYmvK.jpg","View")</f>
        <v>View</v>
      </c>
      <c r="V1065" s="8"/>
      <c r="W1065" s="8"/>
      <c r="X1065" s="8"/>
      <c r="Y1065" s="8"/>
      <c r="Z1065" s="8"/>
    </row>
    <row r="1066" spans="1:26" ht="12.75">
      <c r="A1066" s="11">
        <v>43747.291446759264</v>
      </c>
      <c r="B1066" s="12" t="str">
        <f>HYPERLINK("https://twitter.com/WORC789","@WORC789")</f>
        <v>@WORC789</v>
      </c>
      <c r="C1066" s="7" t="s">
        <v>8252</v>
      </c>
      <c r="D1066" s="7" t="s">
        <v>8253</v>
      </c>
      <c r="E1066" s="12" t="str">
        <f>HYPERLINK("https://twitter.com/WORC789/status/1181932246443450368","1181932246443450368")</f>
        <v>1181932246443450368</v>
      </c>
      <c r="F1066" s="8"/>
      <c r="G1066" s="7"/>
      <c r="H1066" s="8"/>
      <c r="I1066" s="15">
        <v>0</v>
      </c>
      <c r="J1066" s="15">
        <v>0</v>
      </c>
      <c r="K1066" s="12" t="str">
        <f>HYPERLINK("http://twitter.com/download/iphone","Twitter for iPhone")</f>
        <v>Twitter for iPhone</v>
      </c>
      <c r="L1066" s="16">
        <v>12</v>
      </c>
      <c r="M1066" s="16">
        <v>41</v>
      </c>
      <c r="N1066" s="16">
        <v>1</v>
      </c>
      <c r="O1066" s="17"/>
      <c r="P1066" s="18">
        <v>43727.500844907408</v>
      </c>
      <c r="Q1066" s="7"/>
      <c r="R1066" s="7" t="s">
        <v>8254</v>
      </c>
      <c r="S1066" s="7"/>
      <c r="T1066" s="8"/>
      <c r="U1066" s="19" t="str">
        <f>HYPERLINK("https://pbs.twimg.com/profile_images/1174776614061780998/teoX8y5-.jpg","View")</f>
        <v>View</v>
      </c>
      <c r="V1066" s="8"/>
      <c r="W1066" s="8"/>
      <c r="X1066" s="8"/>
      <c r="Y1066" s="8"/>
      <c r="Z1066" s="8"/>
    </row>
    <row r="1067" spans="1:26" ht="12.75">
      <c r="A1067" s="11">
        <v>43747.291400462964</v>
      </c>
      <c r="B1067" s="12" t="str">
        <f>HYPERLINK("https://twitter.com/Elabozdemir1","@Elabozdemir1")</f>
        <v>@Elabozdemir1</v>
      </c>
      <c r="C1067" s="7" t="s">
        <v>8255</v>
      </c>
      <c r="D1067" s="7" t="s">
        <v>8256</v>
      </c>
      <c r="E1067" s="12" t="str">
        <f>HYPERLINK("https://twitter.com/Elabozdemir1/status/1181932230291214336","1181932230291214336")</f>
        <v>1181932230291214336</v>
      </c>
      <c r="F1067" s="8"/>
      <c r="G1067" s="14" t="s">
        <v>8257</v>
      </c>
      <c r="H1067" s="8"/>
      <c r="I1067" s="15">
        <v>4</v>
      </c>
      <c r="J1067" s="15">
        <v>7</v>
      </c>
      <c r="K1067" s="12" t="str">
        <f>HYPERLINK("https://mobile.twitter.com","Twitter Web App")</f>
        <v>Twitter Web App</v>
      </c>
      <c r="L1067" s="16">
        <v>1760</v>
      </c>
      <c r="M1067" s="16">
        <v>2485</v>
      </c>
      <c r="N1067" s="16">
        <v>0</v>
      </c>
      <c r="O1067" s="17"/>
      <c r="P1067" s="18">
        <v>43264.645879629628</v>
      </c>
      <c r="Q1067" s="7"/>
      <c r="R1067" s="7" t="s">
        <v>8258</v>
      </c>
      <c r="S1067" s="7"/>
      <c r="T1067" s="8"/>
      <c r="U1067" s="19" t="str">
        <f>HYPERLINK("https://pbs.twimg.com/profile_images/1075142303650643971/_2msrwaG.jpg","View")</f>
        <v>View</v>
      </c>
      <c r="V1067" s="8"/>
      <c r="W1067" s="8"/>
      <c r="X1067" s="8"/>
      <c r="Y1067" s="8"/>
      <c r="Z1067" s="8"/>
    </row>
    <row r="1068" spans="1:26" ht="12.75">
      <c r="A1068" s="11">
        <v>43747.291388888887</v>
      </c>
      <c r="B1068" s="12" t="str">
        <f>HYPERLINK("https://twitter.com/AmannAllahimm","@AmannAllahimm")</f>
        <v>@AmannAllahimm</v>
      </c>
      <c r="C1068" s="7" t="s">
        <v>8259</v>
      </c>
      <c r="D1068" s="7" t="s">
        <v>8260</v>
      </c>
      <c r="E1068" s="12" t="str">
        <f>HYPERLINK("https://twitter.com/AmannAllahimm/status/1181932227095138304","1181932227095138304")</f>
        <v>1181932227095138304</v>
      </c>
      <c r="F1068" s="8"/>
      <c r="G1068" s="14" t="s">
        <v>8261</v>
      </c>
      <c r="H1068" s="8"/>
      <c r="I1068" s="15">
        <v>0</v>
      </c>
      <c r="J1068" s="15">
        <v>6</v>
      </c>
      <c r="K1068" s="12" t="str">
        <f>HYPERLINK("http://twitter.com/download/android","Twitter for Android")</f>
        <v>Twitter for Android</v>
      </c>
      <c r="L1068" s="16">
        <v>378</v>
      </c>
      <c r="M1068" s="16">
        <v>146</v>
      </c>
      <c r="N1068" s="16">
        <v>0</v>
      </c>
      <c r="O1068" s="17"/>
      <c r="P1068" s="18">
        <v>43123.15179398148</v>
      </c>
      <c r="Q1068" s="7"/>
      <c r="R1068" s="7" t="s">
        <v>8262</v>
      </c>
      <c r="S1068" s="7"/>
      <c r="T1068" s="8"/>
      <c r="U1068" s="19" t="str">
        <f>HYPERLINK("https://pbs.twimg.com/profile_images/1181932594537082880/6ZIql5Y5.jpg","View")</f>
        <v>View</v>
      </c>
      <c r="V1068" s="8"/>
      <c r="W1068" s="8"/>
      <c r="X1068" s="8"/>
      <c r="Y1068" s="8"/>
      <c r="Z1068" s="8"/>
    </row>
    <row r="1069" spans="1:26" ht="12.75">
      <c r="A1069" s="11">
        <v>43747.291388888887</v>
      </c>
      <c r="B1069" s="12" t="str">
        <f>HYPERLINK("https://twitter.com/TahirSimsek","@TahirSimsek")</f>
        <v>@TahirSimsek</v>
      </c>
      <c r="C1069" s="7" t="s">
        <v>8263</v>
      </c>
      <c r="D1069" s="7" t="s">
        <v>8264</v>
      </c>
      <c r="E1069" s="12" t="str">
        <f>HYPERLINK("https://twitter.com/TahirSimsek/status/1181932226335916032","1181932226335916032")</f>
        <v>1181932226335916032</v>
      </c>
      <c r="F1069" s="8"/>
      <c r="G1069" s="15"/>
      <c r="H1069" s="8"/>
      <c r="I1069" s="15">
        <v>0</v>
      </c>
      <c r="J1069" s="15">
        <v>14</v>
      </c>
      <c r="K1069" s="12" t="str">
        <f>HYPERLINK("http://twitter.com/download/android","Twitter for Android")</f>
        <v>Twitter for Android</v>
      </c>
      <c r="L1069" s="16">
        <v>13857</v>
      </c>
      <c r="M1069" s="16">
        <v>1</v>
      </c>
      <c r="N1069" s="16">
        <v>12</v>
      </c>
      <c r="O1069" s="17"/>
      <c r="P1069" s="18">
        <v>40444.511365740742</v>
      </c>
      <c r="Q1069" s="7"/>
      <c r="R1069" s="7" t="s">
        <v>8265</v>
      </c>
      <c r="S1069" s="14" t="s">
        <v>8266</v>
      </c>
      <c r="T1069" s="8"/>
      <c r="U1069" s="19" t="str">
        <f>HYPERLINK("https://pbs.twimg.com/profile_images/1098578079889481728/O-6TMAVm.jpg","View")</f>
        <v>View</v>
      </c>
      <c r="V1069" s="8"/>
      <c r="W1069" s="8"/>
      <c r="X1069" s="8"/>
      <c r="Y1069" s="8"/>
      <c r="Z1069" s="8"/>
    </row>
    <row r="1070" spans="1:26" ht="12.75">
      <c r="A1070" s="11">
        <v>43747.291377314818</v>
      </c>
      <c r="B1070" s="12" t="str">
        <f>HYPERLINK("https://twitter.com/bongyapsak","@bongyapsak")</f>
        <v>@bongyapsak</v>
      </c>
      <c r="C1070" s="7" t="s">
        <v>8267</v>
      </c>
      <c r="D1070" s="7" t="s">
        <v>8268</v>
      </c>
      <c r="E1070" s="12" t="str">
        <f>HYPERLINK("https://twitter.com/bongyapsak/status/1181932222355529730","1181932222355529730")</f>
        <v>1181932222355529730</v>
      </c>
      <c r="F1070" s="8"/>
      <c r="G1070" s="14" t="s">
        <v>8269</v>
      </c>
      <c r="H1070" s="8"/>
      <c r="I1070" s="15">
        <v>1</v>
      </c>
      <c r="J1070" s="15">
        <v>4</v>
      </c>
      <c r="K1070" s="12" t="str">
        <f>HYPERLINK("http://twitter.com/download/android","Twitter for Android")</f>
        <v>Twitter for Android</v>
      </c>
      <c r="L1070" s="16">
        <v>1508</v>
      </c>
      <c r="M1070" s="16">
        <v>621</v>
      </c>
      <c r="N1070" s="16">
        <v>2</v>
      </c>
      <c r="O1070" s="17"/>
      <c r="P1070" s="18">
        <v>41504.593159722222</v>
      </c>
      <c r="Q1070" s="7">
        <v>1</v>
      </c>
      <c r="R1070" s="7" t="s">
        <v>8270</v>
      </c>
      <c r="S1070" s="7"/>
      <c r="T1070" s="8"/>
      <c r="U1070" s="19" t="str">
        <f>HYPERLINK("https://pbs.twimg.com/profile_images/1175507513342615554/zFpCc5n6.jpg","View")</f>
        <v>View</v>
      </c>
      <c r="V1070" s="8"/>
      <c r="W1070" s="8"/>
      <c r="X1070" s="8"/>
      <c r="Y1070" s="8"/>
      <c r="Z1070" s="8"/>
    </row>
    <row r="1071" spans="1:26" ht="12.75">
      <c r="A1071" s="11">
        <v>43747.291365740741</v>
      </c>
      <c r="B1071" s="12" t="str">
        <f>HYPERLINK("https://twitter.com/karincayuvasiTR","@karincayuvasiTR")</f>
        <v>@karincayuvasiTR</v>
      </c>
      <c r="C1071" s="7" t="s">
        <v>8271</v>
      </c>
      <c r="D1071" s="7" t="s">
        <v>8272</v>
      </c>
      <c r="E1071" s="12" t="str">
        <f>HYPERLINK("https://twitter.com/karincayuvasiTR/status/1181932218098360321","1181932218098360321")</f>
        <v>1181932218098360321</v>
      </c>
      <c r="F1071" s="8"/>
      <c r="G1071" s="15"/>
      <c r="H1071" s="8"/>
      <c r="I1071" s="15">
        <v>0</v>
      </c>
      <c r="J1071" s="15">
        <v>0</v>
      </c>
      <c r="K1071" s="12" t="str">
        <f>HYPERLINK("http://twitter.com/download/iphone","Twitter for iPhone")</f>
        <v>Twitter for iPhone</v>
      </c>
      <c r="L1071" s="16">
        <v>8</v>
      </c>
      <c r="M1071" s="16">
        <v>60</v>
      </c>
      <c r="N1071" s="16">
        <v>0</v>
      </c>
      <c r="O1071" s="17"/>
      <c r="P1071" s="18">
        <v>43630.041886574079</v>
      </c>
      <c r="Q1071" s="7"/>
      <c r="R1071" s="7" t="s">
        <v>807</v>
      </c>
      <c r="S1071" s="15"/>
      <c r="T1071" s="8"/>
      <c r="U1071" s="19" t="str">
        <f>HYPERLINK("https://pbs.twimg.com/profile_images/1149282764488871936/f35eh01-.jpg","View")</f>
        <v>View</v>
      </c>
      <c r="V1071" s="8"/>
      <c r="W1071" s="8"/>
      <c r="X1071" s="8"/>
      <c r="Y1071" s="8"/>
      <c r="Z1071" s="8"/>
    </row>
    <row r="1072" spans="1:26" ht="12.75">
      <c r="A1072" s="11">
        <v>43747.291365740741</v>
      </c>
      <c r="B1072" s="12" t="str">
        <f>HYPERLINK("https://twitter.com/Celilonline","@Celilonline")</f>
        <v>@Celilonline</v>
      </c>
      <c r="C1072" s="7" t="s">
        <v>8273</v>
      </c>
      <c r="D1072" s="7" t="s">
        <v>8274</v>
      </c>
      <c r="E1072" s="12" t="str">
        <f>HYPERLINK("https://twitter.com/Celilonline/status/1181932215917305856","1181932215917305856")</f>
        <v>1181932215917305856</v>
      </c>
      <c r="F1072" s="14" t="s">
        <v>8275</v>
      </c>
      <c r="G1072" s="7" t="s">
        <v>8276</v>
      </c>
      <c r="H1072" s="8"/>
      <c r="I1072" s="15">
        <v>0</v>
      </c>
      <c r="J1072" s="15">
        <v>5</v>
      </c>
      <c r="K1072" s="12" t="str">
        <f>HYPERLINK("http://twitter.com/download/android","Twitter for Android")</f>
        <v>Twitter for Android</v>
      </c>
      <c r="L1072" s="16">
        <v>2317</v>
      </c>
      <c r="M1072" s="16">
        <v>1829</v>
      </c>
      <c r="N1072" s="16">
        <v>4</v>
      </c>
      <c r="O1072" s="17"/>
      <c r="P1072" s="18">
        <v>43109.051793981482</v>
      </c>
      <c r="Q1072" s="7" t="s">
        <v>8277</v>
      </c>
      <c r="R1072" s="7" t="s">
        <v>8278</v>
      </c>
      <c r="S1072" s="14" t="s">
        <v>8279</v>
      </c>
      <c r="T1072" s="8"/>
      <c r="U1072" s="19" t="str">
        <f>HYPERLINK("https://pbs.twimg.com/profile_images/1180219905469235200/4OC4w0Qr.jpg","View")</f>
        <v>View</v>
      </c>
      <c r="V1072" s="8"/>
      <c r="W1072" s="8"/>
      <c r="X1072" s="8"/>
      <c r="Y1072" s="8"/>
      <c r="Z1072" s="8"/>
    </row>
    <row r="1073" spans="1:26" ht="12.75">
      <c r="A1073" s="11">
        <v>43747.291342592594</v>
      </c>
      <c r="B1073" s="12" t="str">
        <f>HYPERLINK("https://twitter.com/mertkartalll","@mertkartalll")</f>
        <v>@mertkartalll</v>
      </c>
      <c r="C1073" s="7" t="s">
        <v>8280</v>
      </c>
      <c r="D1073" s="7" t="s">
        <v>8281</v>
      </c>
      <c r="E1073" s="12" t="str">
        <f>HYPERLINK("https://twitter.com/mertkartalll/status/1181932209034407936","1181932209034407936")</f>
        <v>1181932209034407936</v>
      </c>
      <c r="F1073" s="8"/>
      <c r="G1073" s="14" t="s">
        <v>8282</v>
      </c>
      <c r="H1073" s="8"/>
      <c r="I1073" s="15">
        <v>0</v>
      </c>
      <c r="J1073" s="15">
        <v>0</v>
      </c>
      <c r="K1073" s="12" t="str">
        <f>HYPERLINK("http://twitter.com/download/android","Twitter for Android")</f>
        <v>Twitter for Android</v>
      </c>
      <c r="L1073" s="16">
        <v>147</v>
      </c>
      <c r="M1073" s="16">
        <v>301</v>
      </c>
      <c r="N1073" s="16">
        <v>1</v>
      </c>
      <c r="O1073" s="17"/>
      <c r="P1073" s="18">
        <v>40667.438587962963</v>
      </c>
      <c r="Q1073" s="7" t="s">
        <v>8283</v>
      </c>
      <c r="R1073" s="7" t="s">
        <v>8284</v>
      </c>
      <c r="S1073" s="7"/>
      <c r="T1073" s="8"/>
      <c r="U1073" s="19" t="str">
        <f>HYPERLINK("https://pbs.twimg.com/profile_images/1125203892860592134/nujpJoZP.jpg","View")</f>
        <v>View</v>
      </c>
      <c r="V1073" s="8"/>
      <c r="W1073" s="8"/>
      <c r="X1073" s="8"/>
      <c r="Y1073" s="8"/>
      <c r="Z1073" s="8"/>
    </row>
    <row r="1074" spans="1:26" ht="12.75">
      <c r="A1074" s="11">
        <v>43747.291331018518</v>
      </c>
      <c r="B1074" s="12" t="str">
        <f>HYPERLINK("https://twitter.com/turkishdefense1","@turkishdefense1")</f>
        <v>@turkishdefense1</v>
      </c>
      <c r="C1074" s="7" t="s">
        <v>8285</v>
      </c>
      <c r="D1074" s="7" t="s">
        <v>8286</v>
      </c>
      <c r="E1074" s="12" t="str">
        <f>HYPERLINK("https://twitter.com/turkishdefense1/status/1181932206501052416","1181932206501052416")</f>
        <v>1181932206501052416</v>
      </c>
      <c r="F1074" s="8"/>
      <c r="G1074" s="14" t="s">
        <v>8287</v>
      </c>
      <c r="H1074" s="8"/>
      <c r="I1074" s="15">
        <v>2</v>
      </c>
      <c r="J1074" s="15">
        <v>16</v>
      </c>
      <c r="K1074" s="12" t="str">
        <f>HYPERLINK("http://twitter.com/download/android","Twitter for Android")</f>
        <v>Twitter for Android</v>
      </c>
      <c r="L1074" s="16">
        <v>7064</v>
      </c>
      <c r="M1074" s="16">
        <v>98</v>
      </c>
      <c r="N1074" s="16">
        <v>34</v>
      </c>
      <c r="O1074" s="17"/>
      <c r="P1074" s="18">
        <v>42570.601770833338</v>
      </c>
      <c r="Q1074" s="7" t="s">
        <v>200</v>
      </c>
      <c r="R1074" s="7" t="s">
        <v>8288</v>
      </c>
      <c r="S1074" s="14" t="s">
        <v>8289</v>
      </c>
      <c r="T1074" s="8"/>
      <c r="U1074" s="19" t="str">
        <f>HYPERLINK("https://pbs.twimg.com/profile_images/1075886245400731649/JHGNzko0.jpg","View")</f>
        <v>View</v>
      </c>
      <c r="V1074" s="8"/>
      <c r="W1074" s="8"/>
      <c r="X1074" s="8"/>
      <c r="Y1074" s="8"/>
      <c r="Z1074" s="8"/>
    </row>
    <row r="1075" spans="1:26" ht="12.75">
      <c r="A1075" s="11">
        <v>43747.291261574079</v>
      </c>
      <c r="B1075" s="12" t="str">
        <f>HYPERLINK("https://twitter.com/mrteren111","@mrteren111")</f>
        <v>@mrteren111</v>
      </c>
      <c r="C1075" s="7" t="s">
        <v>8292</v>
      </c>
      <c r="D1075" s="7" t="s">
        <v>8293</v>
      </c>
      <c r="E1075" s="12" t="str">
        <f>HYPERLINK("https://twitter.com/mrteren111/status/1181932181318447104","1181932181318447104")</f>
        <v>1181932181318447104</v>
      </c>
      <c r="F1075" s="8"/>
      <c r="G1075" s="15"/>
      <c r="H1075" s="8"/>
      <c r="I1075" s="15">
        <v>0</v>
      </c>
      <c r="J1075" s="15">
        <v>0</v>
      </c>
      <c r="K1075" s="12" t="str">
        <f>HYPERLINK("http://twitter.com/download/iphone","Twitter for iPhone")</f>
        <v>Twitter for iPhone</v>
      </c>
      <c r="L1075" s="16">
        <v>143</v>
      </c>
      <c r="M1075" s="16">
        <v>547</v>
      </c>
      <c r="N1075" s="16">
        <v>0</v>
      </c>
      <c r="O1075" s="17"/>
      <c r="P1075" s="18">
        <v>43245.345000000001</v>
      </c>
      <c r="Q1075" s="7"/>
      <c r="R1075" s="7" t="s">
        <v>8296</v>
      </c>
      <c r="S1075" s="15"/>
      <c r="T1075" s="8"/>
      <c r="U1075" s="19" t="str">
        <f>HYPERLINK("https://pbs.twimg.com/profile_images/1123345030696112134/N1sup6Z6.jpg","View")</f>
        <v>View</v>
      </c>
      <c r="V1075" s="8"/>
      <c r="W1075" s="8"/>
      <c r="X1075" s="8"/>
      <c r="Y1075" s="8"/>
      <c r="Z1075" s="8"/>
    </row>
    <row r="1076" spans="1:26" ht="12.75">
      <c r="A1076" s="11">
        <v>43747.291168981479</v>
      </c>
      <c r="B1076" s="12" t="str">
        <f>HYPERLINK("https://twitter.com/aeozkr","@aeozkr")</f>
        <v>@aeozkr</v>
      </c>
      <c r="C1076" s="7" t="s">
        <v>2347</v>
      </c>
      <c r="D1076" s="7" t="s">
        <v>8297</v>
      </c>
      <c r="E1076" s="12" t="str">
        <f>HYPERLINK("https://twitter.com/aeozkr/status/1181932147340394498","1181932147340394498")</f>
        <v>1181932147340394498</v>
      </c>
      <c r="F1076" s="8"/>
      <c r="G1076" s="14" t="s">
        <v>8298</v>
      </c>
      <c r="H1076" s="8"/>
      <c r="I1076" s="15">
        <v>0</v>
      </c>
      <c r="J1076" s="15">
        <v>0</v>
      </c>
      <c r="K1076" s="12" t="str">
        <f>HYPERLINK("http://twitter.com/download/android","Twitter for Android")</f>
        <v>Twitter for Android</v>
      </c>
      <c r="L1076" s="16">
        <v>439</v>
      </c>
      <c r="M1076" s="16">
        <v>253</v>
      </c>
      <c r="N1076" s="16">
        <v>1</v>
      </c>
      <c r="O1076" s="17"/>
      <c r="P1076" s="18">
        <v>40195.558518518519</v>
      </c>
      <c r="Q1076" s="7" t="s">
        <v>8299</v>
      </c>
      <c r="R1076" s="7"/>
      <c r="S1076" s="7"/>
      <c r="T1076" s="8"/>
      <c r="U1076" s="19" t="str">
        <f>HYPERLINK("https://pbs.twimg.com/profile_images/1181334219542409217/yMAkjzgZ.jpg","View")</f>
        <v>View</v>
      </c>
      <c r="V1076" s="8"/>
      <c r="W1076" s="8"/>
      <c r="X1076" s="8"/>
      <c r="Y1076" s="8"/>
      <c r="Z1076" s="8"/>
    </row>
    <row r="1077" spans="1:26" ht="12.75">
      <c r="A1077" s="11">
        <v>43747.29115740741</v>
      </c>
      <c r="B1077" s="12" t="str">
        <f>HYPERLINK("https://twitter.com/HKIDF","@HKIDF")</f>
        <v>@HKIDF</v>
      </c>
      <c r="C1077" s="7" t="s">
        <v>8315</v>
      </c>
      <c r="D1077" s="7" t="s">
        <v>8316</v>
      </c>
      <c r="E1077" s="12" t="str">
        <f>HYPERLINK("https://twitter.com/HKIDF/status/1181932140050751489","1181932140050751489")</f>
        <v>1181932140050751489</v>
      </c>
      <c r="F1077" s="8"/>
      <c r="G1077" s="7"/>
      <c r="H1077" s="8"/>
      <c r="I1077" s="15">
        <v>1</v>
      </c>
      <c r="J1077" s="15">
        <v>1</v>
      </c>
      <c r="K1077" s="12" t="str">
        <f>HYPERLINK("http://twitter.com/download/iphone","Twitter for iPhone")</f>
        <v>Twitter for iPhone</v>
      </c>
      <c r="L1077" s="16">
        <v>49</v>
      </c>
      <c r="M1077" s="16">
        <v>193</v>
      </c>
      <c r="N1077" s="16">
        <v>1</v>
      </c>
      <c r="O1077" s="17"/>
      <c r="P1077" s="18">
        <v>40933.225266203706</v>
      </c>
      <c r="Q1077" s="7"/>
      <c r="R1077" s="7" t="s">
        <v>8319</v>
      </c>
      <c r="S1077" s="7"/>
      <c r="T1077" s="8"/>
      <c r="U1077" s="19" t="str">
        <f>HYPERLINK("https://pbs.twimg.com/profile_images/1162020023583383552/2Ati-a77.jpg","View")</f>
        <v>View</v>
      </c>
      <c r="V1077" s="8"/>
      <c r="W1077" s="8"/>
      <c r="X1077" s="8"/>
      <c r="Y1077" s="8"/>
      <c r="Z1077" s="8"/>
    </row>
    <row r="1078" spans="1:26" ht="12.75">
      <c r="A1078" s="11">
        <v>43747.291134259256</v>
      </c>
      <c r="B1078" s="12" t="str">
        <f>HYPERLINK("https://twitter.com/AcademicResist","@AcademicResist")</f>
        <v>@AcademicResist</v>
      </c>
      <c r="C1078" s="7" t="s">
        <v>8320</v>
      </c>
      <c r="D1078" s="7" t="s">
        <v>8321</v>
      </c>
      <c r="E1078" s="12" t="str">
        <f>HYPERLINK("https://twitter.com/AcademicResist/status/1181932131968311296","1181932131968311296")</f>
        <v>1181932131968311296</v>
      </c>
      <c r="F1078" s="14" t="s">
        <v>8322</v>
      </c>
      <c r="G1078" s="7"/>
      <c r="H1078" s="8"/>
      <c r="I1078" s="15">
        <v>0</v>
      </c>
      <c r="J1078" s="15">
        <v>0</v>
      </c>
      <c r="K1078" s="12" t="str">
        <f>HYPERLINK("http://twitter.com/download/iphone","Twitter for iPhone")</f>
        <v>Twitter for iPhone</v>
      </c>
      <c r="L1078" s="16">
        <v>490</v>
      </c>
      <c r="M1078" s="16">
        <v>684</v>
      </c>
      <c r="N1078" s="16">
        <v>1</v>
      </c>
      <c r="O1078" s="17"/>
      <c r="P1078" s="18">
        <v>42761.897106481483</v>
      </c>
      <c r="Q1078" s="7" t="s">
        <v>8323</v>
      </c>
      <c r="R1078" s="7" t="s">
        <v>8324</v>
      </c>
      <c r="S1078" s="7"/>
      <c r="T1078" s="8"/>
      <c r="U1078" s="19" t="str">
        <f>HYPERLINK("https://pbs.twimg.com/profile_images/1156760396721729536/3AU6fgTZ.jpg","View")</f>
        <v>View</v>
      </c>
      <c r="V1078" s="8"/>
      <c r="W1078" s="8"/>
      <c r="X1078" s="8"/>
      <c r="Y1078" s="8"/>
      <c r="Z1078" s="8"/>
    </row>
    <row r="1079" spans="1:26" ht="12.75">
      <c r="A1079" s="11">
        <v>43747.291122685187</v>
      </c>
      <c r="B1079" s="12" t="str">
        <f>HYPERLINK("https://twitter.com/eryky61","@eryky61")</f>
        <v>@eryky61</v>
      </c>
      <c r="C1079" s="7" t="s">
        <v>8325</v>
      </c>
      <c r="D1079" s="7" t="s">
        <v>8326</v>
      </c>
      <c r="E1079" s="12" t="str">
        <f>HYPERLINK("https://twitter.com/eryky61/status/1181932130127040513","1181932130127040513")</f>
        <v>1181932130127040513</v>
      </c>
      <c r="F1079" s="8"/>
      <c r="G1079" s="7"/>
      <c r="H1079" s="8"/>
      <c r="I1079" s="15">
        <v>0</v>
      </c>
      <c r="J1079" s="15">
        <v>0</v>
      </c>
      <c r="K1079" s="12" t="str">
        <f>HYPERLINK("http://twitter.com/download/iphone","Twitter for iPhone")</f>
        <v>Twitter for iPhone</v>
      </c>
      <c r="L1079" s="16">
        <v>392</v>
      </c>
      <c r="M1079" s="16">
        <v>137</v>
      </c>
      <c r="N1079" s="16">
        <v>3</v>
      </c>
      <c r="O1079" s="17"/>
      <c r="P1079" s="18">
        <v>40828.461631944447</v>
      </c>
      <c r="Q1079" s="7"/>
      <c r="R1079" s="7" t="s">
        <v>8327</v>
      </c>
      <c r="S1079" s="7"/>
      <c r="T1079" s="8"/>
      <c r="U1079" s="19" t="str">
        <f>HYPERLINK("https://pbs.twimg.com/profile_images/1074232368301510656/H24FFA9L.jpg","View")</f>
        <v>View</v>
      </c>
      <c r="V1079" s="8"/>
      <c r="W1079" s="8"/>
      <c r="X1079" s="8"/>
      <c r="Y1079" s="8"/>
      <c r="Z1079" s="8"/>
    </row>
    <row r="1080" spans="1:26" ht="12.75">
      <c r="A1080" s="11">
        <v>43747.29111111111</v>
      </c>
      <c r="B1080" s="12" t="str">
        <f>HYPERLINK("https://twitter.com/tamrayn55","@tamrayn55")</f>
        <v>@tamrayn55</v>
      </c>
      <c r="C1080" s="7" t="s">
        <v>8330</v>
      </c>
      <c r="D1080" s="7" t="s">
        <v>8331</v>
      </c>
      <c r="E1080" s="12" t="str">
        <f>HYPERLINK("https://twitter.com/tamrayn55/status/1181932126339502080","1181932126339502080")</f>
        <v>1181932126339502080</v>
      </c>
      <c r="F1080" s="15"/>
      <c r="G1080" s="14" t="s">
        <v>8332</v>
      </c>
      <c r="H1080" s="8"/>
      <c r="I1080" s="15">
        <v>0</v>
      </c>
      <c r="J1080" s="15">
        <v>13</v>
      </c>
      <c r="K1080" s="12" t="str">
        <f>HYPERLINK("http://twitter.com/download/android","Twitter for Android")</f>
        <v>Twitter for Android</v>
      </c>
      <c r="L1080" s="16">
        <v>235</v>
      </c>
      <c r="M1080" s="16">
        <v>406</v>
      </c>
      <c r="N1080" s="16">
        <v>0</v>
      </c>
      <c r="O1080" s="17"/>
      <c r="P1080" s="18">
        <v>43349.204606481479</v>
      </c>
      <c r="Q1080" s="7" t="s">
        <v>8334</v>
      </c>
      <c r="R1080" s="7" t="s">
        <v>8335</v>
      </c>
      <c r="S1080" s="7"/>
      <c r="T1080" s="8"/>
      <c r="U1080" s="19" t="str">
        <f>HYPERLINK("https://pbs.twimg.com/profile_images/1181318297964277760/yCfFJZgq.jpg","View")</f>
        <v>View</v>
      </c>
      <c r="V1080" s="8"/>
      <c r="W1080" s="8"/>
      <c r="X1080" s="8"/>
      <c r="Y1080" s="8"/>
      <c r="Z1080" s="8"/>
    </row>
    <row r="1081" spans="1:26" ht="12.75">
      <c r="A1081" s="11">
        <v>43747.291099537033</v>
      </c>
      <c r="B1081" s="12" t="str">
        <f>HYPERLINK("https://twitter.com/SultanPolat","@SultanPolat")</f>
        <v>@SultanPolat</v>
      </c>
      <c r="C1081" s="7" t="s">
        <v>8336</v>
      </c>
      <c r="D1081" s="7" t="s">
        <v>8337</v>
      </c>
      <c r="E1081" s="12" t="str">
        <f>HYPERLINK("https://twitter.com/SultanPolat/status/1181932122862493696","1181932122862493696")</f>
        <v>1181932122862493696</v>
      </c>
      <c r="F1081" s="8"/>
      <c r="G1081" s="14" t="s">
        <v>8338</v>
      </c>
      <c r="H1081" s="8"/>
      <c r="I1081" s="15">
        <v>1</v>
      </c>
      <c r="J1081" s="15">
        <v>3</v>
      </c>
      <c r="K1081" s="12" t="str">
        <f>HYPERLINK("http://twitter.com/download/android","Twitter for Android")</f>
        <v>Twitter for Android</v>
      </c>
      <c r="L1081" s="16">
        <v>1160</v>
      </c>
      <c r="M1081" s="16">
        <v>653</v>
      </c>
      <c r="N1081" s="16">
        <v>5</v>
      </c>
      <c r="O1081" s="17"/>
      <c r="P1081" s="18">
        <v>40637.187685185185</v>
      </c>
      <c r="Q1081" s="7" t="s">
        <v>8339</v>
      </c>
      <c r="R1081" s="7" t="s">
        <v>8340</v>
      </c>
      <c r="S1081" s="14" t="s">
        <v>8341</v>
      </c>
      <c r="T1081" s="8"/>
      <c r="U1081" s="19" t="str">
        <f>HYPERLINK("https://pbs.twimg.com/profile_images/953252804323348487/_HERWJ__.jpg","View")</f>
        <v>View</v>
      </c>
      <c r="V1081" s="8"/>
      <c r="W1081" s="8"/>
      <c r="X1081" s="8"/>
      <c r="Y1081" s="8"/>
      <c r="Z1081" s="8"/>
    </row>
    <row r="1082" spans="1:26" ht="12.75">
      <c r="A1082" s="11">
        <v>43747.291099537033</v>
      </c>
      <c r="B1082" s="12" t="str">
        <f>HYPERLINK("https://twitter.com/Safderun35","@Safderun35")</f>
        <v>@Safderun35</v>
      </c>
      <c r="C1082" s="7" t="s">
        <v>8342</v>
      </c>
      <c r="D1082" s="7" t="s">
        <v>8343</v>
      </c>
      <c r="E1082" s="12" t="str">
        <f>HYPERLINK("https://twitter.com/Safderun35/status/1181932121570660352","1181932121570660352")</f>
        <v>1181932121570660352</v>
      </c>
      <c r="F1082" s="8"/>
      <c r="G1082" s="14" t="s">
        <v>8344</v>
      </c>
      <c r="H1082" s="8"/>
      <c r="I1082" s="15">
        <v>0</v>
      </c>
      <c r="J1082" s="15">
        <v>2</v>
      </c>
      <c r="K1082" s="12" t="str">
        <f>HYPERLINK("http://twitter.com/download/iphone","Twitter for iPhone")</f>
        <v>Twitter for iPhone</v>
      </c>
      <c r="L1082" s="16">
        <v>1971</v>
      </c>
      <c r="M1082" s="16">
        <v>3693</v>
      </c>
      <c r="N1082" s="16">
        <v>3</v>
      </c>
      <c r="O1082" s="17"/>
      <c r="P1082" s="18">
        <v>42311.343831018516</v>
      </c>
      <c r="Q1082" s="7" t="s">
        <v>8345</v>
      </c>
      <c r="R1082" s="7" t="s">
        <v>8346</v>
      </c>
      <c r="S1082" s="15"/>
      <c r="T1082" s="8"/>
      <c r="U1082" s="19" t="str">
        <f>HYPERLINK("https://pbs.twimg.com/profile_images/1175804269762613249/ZnXZi1gr.jpg","View")</f>
        <v>View</v>
      </c>
      <c r="V1082" s="8"/>
      <c r="W1082" s="8"/>
      <c r="X1082" s="8"/>
      <c r="Y1082" s="8"/>
      <c r="Z1082" s="8"/>
    </row>
    <row r="1083" spans="1:26" ht="12.75">
      <c r="A1083" s="11">
        <v>43747.29106481481</v>
      </c>
      <c r="B1083" s="12" t="str">
        <f>HYPERLINK("https://twitter.com/glsmykaya","@glsmykaya")</f>
        <v>@glsmykaya</v>
      </c>
      <c r="C1083" s="7" t="s">
        <v>8347</v>
      </c>
      <c r="D1083" s="7" t="s">
        <v>8348</v>
      </c>
      <c r="E1083" s="12" t="str">
        <f>HYPERLINK("https://twitter.com/glsmykaya/status/1181932108702453761","1181932108702453761")</f>
        <v>1181932108702453761</v>
      </c>
      <c r="F1083" s="8"/>
      <c r="G1083" s="15"/>
      <c r="H1083" s="8"/>
      <c r="I1083" s="15">
        <v>0</v>
      </c>
      <c r="J1083" s="15">
        <v>9</v>
      </c>
      <c r="K1083" s="12" t="str">
        <f>HYPERLINK("http://twitter.com/download/iphone","Twitter for iPhone")</f>
        <v>Twitter for iPhone</v>
      </c>
      <c r="L1083" s="16">
        <v>5095</v>
      </c>
      <c r="M1083" s="16">
        <v>2200</v>
      </c>
      <c r="N1083" s="16">
        <v>19</v>
      </c>
      <c r="O1083" s="17"/>
      <c r="P1083" s="18">
        <v>40748.223796296297</v>
      </c>
      <c r="Q1083" s="7" t="s">
        <v>8349</v>
      </c>
      <c r="R1083" s="7" t="s">
        <v>8350</v>
      </c>
      <c r="S1083" s="15"/>
      <c r="T1083" s="8"/>
      <c r="U1083" s="19" t="str">
        <f>HYPERLINK("https://pbs.twimg.com/profile_images/1164253276843495424/wv_N9DDI.jpg","View")</f>
        <v>View</v>
      </c>
      <c r="V1083" s="8"/>
      <c r="W1083" s="8"/>
      <c r="X1083" s="8"/>
      <c r="Y1083" s="8"/>
      <c r="Z1083" s="8"/>
    </row>
    <row r="1084" spans="1:26" ht="12.75">
      <c r="A1084" s="11">
        <v>43747.29105324074</v>
      </c>
      <c r="B1084" s="12" t="str">
        <f>HYPERLINK("https://twitter.com/ahmetseylan123","@ahmetseylan123")</f>
        <v>@ahmetseylan123</v>
      </c>
      <c r="C1084" s="7" t="s">
        <v>8351</v>
      </c>
      <c r="D1084" s="7" t="s">
        <v>8352</v>
      </c>
      <c r="E1084" s="12" t="str">
        <f>HYPERLINK("https://twitter.com/ahmetseylan123/status/1181932105711980544","1181932105711980544")</f>
        <v>1181932105711980544</v>
      </c>
      <c r="F1084" s="8"/>
      <c r="G1084" s="7"/>
      <c r="H1084" s="8"/>
      <c r="I1084" s="15">
        <v>0</v>
      </c>
      <c r="J1084" s="15">
        <v>0</v>
      </c>
      <c r="K1084" s="12" t="str">
        <f>HYPERLINK("http://twitter.com/download/android","Twitter for Android")</f>
        <v>Twitter for Android</v>
      </c>
      <c r="L1084" s="16">
        <v>386</v>
      </c>
      <c r="M1084" s="16">
        <v>303</v>
      </c>
      <c r="N1084" s="16">
        <v>0</v>
      </c>
      <c r="O1084" s="17"/>
      <c r="P1084" s="18">
        <v>40840.048182870371</v>
      </c>
      <c r="Q1084" s="7" t="s">
        <v>7359</v>
      </c>
      <c r="R1084" s="7" t="s">
        <v>8353</v>
      </c>
      <c r="S1084" s="7"/>
      <c r="T1084" s="8"/>
      <c r="U1084" s="19" t="str">
        <f>HYPERLINK("https://pbs.twimg.com/profile_images/986360102826446853/5OkMm9HJ.jpg","View")</f>
        <v>View</v>
      </c>
      <c r="V1084" s="8"/>
      <c r="W1084" s="8"/>
      <c r="X1084" s="8"/>
      <c r="Y1084" s="8"/>
      <c r="Z1084" s="8"/>
    </row>
    <row r="1085" spans="1:26" ht="12.75">
      <c r="A1085" s="11">
        <v>43747.291030092594</v>
      </c>
      <c r="B1085" s="12" t="str">
        <f>HYPERLINK("https://twitter.com/poyraz_dr","@poyraz_dr")</f>
        <v>@poyraz_dr</v>
      </c>
      <c r="C1085" s="7" t="s">
        <v>8354</v>
      </c>
      <c r="D1085" s="7" t="s">
        <v>8355</v>
      </c>
      <c r="E1085" s="12" t="str">
        <f>HYPERLINK("https://twitter.com/poyraz_dr/status/1181932094492155904","1181932094492155904")</f>
        <v>1181932094492155904</v>
      </c>
      <c r="F1085" s="8"/>
      <c r="G1085" s="7"/>
      <c r="H1085" s="8"/>
      <c r="I1085" s="15">
        <v>0</v>
      </c>
      <c r="J1085" s="15">
        <v>3</v>
      </c>
      <c r="K1085" s="12" t="str">
        <f>HYPERLINK("http://twitter.com/download/android","Twitter for Android")</f>
        <v>Twitter for Android</v>
      </c>
      <c r="L1085" s="16">
        <v>93</v>
      </c>
      <c r="M1085" s="16">
        <v>123</v>
      </c>
      <c r="N1085" s="16">
        <v>0</v>
      </c>
      <c r="O1085" s="17"/>
      <c r="P1085" s="18">
        <v>42055.015104166669</v>
      </c>
      <c r="Q1085" s="7" t="s">
        <v>287</v>
      </c>
      <c r="R1085" s="15" t="s">
        <v>8356</v>
      </c>
      <c r="S1085" s="7"/>
      <c r="T1085" s="8"/>
      <c r="U1085" s="19" t="str">
        <f>HYPERLINK("https://pbs.twimg.com/profile_images/1026466931170332672/es6dplD0.jpg","View")</f>
        <v>View</v>
      </c>
      <c r="V1085" s="8"/>
      <c r="W1085" s="8"/>
      <c r="X1085" s="8"/>
      <c r="Y1085" s="8"/>
      <c r="Z1085" s="8"/>
    </row>
    <row r="1086" spans="1:26" ht="12.75">
      <c r="A1086" s="11">
        <v>43747.291018518517</v>
      </c>
      <c r="B1086" s="12" t="str">
        <f>HYPERLINK("https://twitter.com/ahmetkizilkaya_","@ahmetkizilkaya_")</f>
        <v>@ahmetkizilkaya_</v>
      </c>
      <c r="C1086" s="7" t="s">
        <v>8357</v>
      </c>
      <c r="D1086" s="7" t="s">
        <v>8358</v>
      </c>
      <c r="E1086" s="12" t="str">
        <f>HYPERLINK("https://twitter.com/ahmetkizilkaya_/status/1181932090897641474","1181932090897641474")</f>
        <v>1181932090897641474</v>
      </c>
      <c r="F1086" s="15"/>
      <c r="G1086" s="14" t="s">
        <v>8359</v>
      </c>
      <c r="H1086" s="8"/>
      <c r="I1086" s="15">
        <v>0</v>
      </c>
      <c r="J1086" s="15">
        <v>1</v>
      </c>
      <c r="K1086" s="12" t="str">
        <f>HYPERLINK("http://twitter.com/download/android","Twitter for Android")</f>
        <v>Twitter for Android</v>
      </c>
      <c r="L1086" s="16">
        <v>1294</v>
      </c>
      <c r="M1086" s="16">
        <v>684</v>
      </c>
      <c r="N1086" s="16">
        <v>7</v>
      </c>
      <c r="O1086" s="17"/>
      <c r="P1086" s="18">
        <v>41670.328564814816</v>
      </c>
      <c r="Q1086" s="7"/>
      <c r="R1086" s="7" t="s">
        <v>8360</v>
      </c>
      <c r="S1086" s="15"/>
      <c r="T1086" s="8"/>
      <c r="U1086" s="19" t="str">
        <f>HYPERLINK("https://pbs.twimg.com/profile_images/1170797426472624129/QECBYi0J.jpg","View")</f>
        <v>View</v>
      </c>
      <c r="V1086" s="8"/>
      <c r="W1086" s="8"/>
      <c r="X1086" s="8"/>
      <c r="Y1086" s="8"/>
      <c r="Z1086" s="8"/>
    </row>
    <row r="1087" spans="1:26" ht="12.75">
      <c r="A1087" s="11">
        <v>43747.290949074071</v>
      </c>
      <c r="B1087" s="12" t="str">
        <f>HYPERLINK("https://twitter.com/ogzhnclskn19","@ogzhnclskn19")</f>
        <v>@ogzhnclskn19</v>
      </c>
      <c r="C1087" s="7" t="s">
        <v>8363</v>
      </c>
      <c r="D1087" s="7" t="s">
        <v>8364</v>
      </c>
      <c r="E1087" s="12" t="str">
        <f>HYPERLINK("https://twitter.com/ogzhnclskn19/status/1181932065190797312","1181932065190797312")</f>
        <v>1181932065190797312</v>
      </c>
      <c r="F1087" s="8"/>
      <c r="G1087" s="14" t="s">
        <v>8365</v>
      </c>
      <c r="H1087" s="8"/>
      <c r="I1087" s="15">
        <v>0</v>
      </c>
      <c r="J1087" s="15">
        <v>2</v>
      </c>
      <c r="K1087" s="12" t="str">
        <f>HYPERLINK("http://twitter.com/download/iphone","Twitter for iPhone")</f>
        <v>Twitter for iPhone</v>
      </c>
      <c r="L1087" s="16">
        <v>336</v>
      </c>
      <c r="M1087" s="16">
        <v>288</v>
      </c>
      <c r="N1087" s="16">
        <v>0</v>
      </c>
      <c r="O1087" s="17"/>
      <c r="P1087" s="18">
        <v>40764.289780092593</v>
      </c>
      <c r="Q1087" s="7" t="s">
        <v>8368</v>
      </c>
      <c r="R1087" s="7" t="s">
        <v>8369</v>
      </c>
      <c r="S1087" s="7"/>
      <c r="T1087" s="8"/>
      <c r="U1087" s="19" t="str">
        <f>HYPERLINK("https://pbs.twimg.com/profile_images/1152671355416043521/_byupEI3.jpg","View")</f>
        <v>View</v>
      </c>
      <c r="V1087" s="8"/>
      <c r="W1087" s="8"/>
      <c r="X1087" s="8"/>
      <c r="Y1087" s="8"/>
      <c r="Z1087" s="8"/>
    </row>
    <row r="1088" spans="1:26" ht="12.75">
      <c r="A1088" s="11">
        <v>43747.290914351848</v>
      </c>
      <c r="B1088" s="12" t="str">
        <f>HYPERLINK("https://twitter.com/dagdelenatilla","@dagdelenatilla")</f>
        <v>@dagdelenatilla</v>
      </c>
      <c r="C1088" s="7" t="s">
        <v>8372</v>
      </c>
      <c r="D1088" s="7" t="s">
        <v>8373</v>
      </c>
      <c r="E1088" s="12" t="str">
        <f>HYPERLINK("https://twitter.com/dagdelenatilla/status/1181932051630559232","1181932051630559232")</f>
        <v>1181932051630559232</v>
      </c>
      <c r="F1088" s="15"/>
      <c r="G1088" s="14" t="s">
        <v>8374</v>
      </c>
      <c r="H1088" s="8"/>
      <c r="I1088" s="15">
        <v>0</v>
      </c>
      <c r="J1088" s="15">
        <v>16</v>
      </c>
      <c r="K1088" s="12" t="str">
        <f>HYPERLINK("http://twitter.com/download/iphone","Twitter for iPhone")</f>
        <v>Twitter for iPhone</v>
      </c>
      <c r="L1088" s="16">
        <v>1218</v>
      </c>
      <c r="M1088" s="16">
        <v>298</v>
      </c>
      <c r="N1088" s="16">
        <v>5</v>
      </c>
      <c r="O1088" s="17"/>
      <c r="P1088" s="18">
        <v>41674.166250000002</v>
      </c>
      <c r="Q1088" s="7" t="s">
        <v>8375</v>
      </c>
      <c r="R1088" s="7" t="s">
        <v>8376</v>
      </c>
      <c r="S1088" s="15"/>
      <c r="T1088" s="8"/>
      <c r="U1088" s="19" t="str">
        <f>HYPERLINK("https://pbs.twimg.com/profile_images/1181143260821106690/05ky4d_i.jpg","View")</f>
        <v>View</v>
      </c>
      <c r="V1088" s="8"/>
      <c r="W1088" s="8"/>
      <c r="X1088" s="8"/>
      <c r="Y1088" s="8"/>
      <c r="Z1088" s="8"/>
    </row>
    <row r="1089" spans="1:26" ht="12.75">
      <c r="A1089" s="11">
        <v>43747.290902777779</v>
      </c>
      <c r="B1089" s="12" t="str">
        <f>HYPERLINK("https://twitter.com/eksiradyo","@eksiradyo")</f>
        <v>@eksiradyo</v>
      </c>
      <c r="C1089" s="7" t="s">
        <v>4769</v>
      </c>
      <c r="D1089" s="7" t="s">
        <v>8377</v>
      </c>
      <c r="E1089" s="12" t="str">
        <f>HYPERLINK("https://twitter.com/eksiradyo/status/1181932051324444672","1181932051324444672")</f>
        <v>1181932051324444672</v>
      </c>
      <c r="F1089" s="8"/>
      <c r="G1089" s="15"/>
      <c r="H1089" s="8"/>
      <c r="I1089" s="15">
        <v>0</v>
      </c>
      <c r="J1089" s="15">
        <v>0</v>
      </c>
      <c r="K1089" s="12" t="str">
        <f>HYPERLINK("https://mobile.twitter.com","Twitter Web App")</f>
        <v>Twitter Web App</v>
      </c>
      <c r="L1089" s="16">
        <v>71</v>
      </c>
      <c r="M1089" s="16">
        <v>80</v>
      </c>
      <c r="N1089" s="16">
        <v>0</v>
      </c>
      <c r="O1089" s="17"/>
      <c r="P1089" s="18">
        <v>43071.089849537035</v>
      </c>
      <c r="Q1089" s="7" t="s">
        <v>8378</v>
      </c>
      <c r="R1089" s="7" t="s">
        <v>8379</v>
      </c>
      <c r="S1089" s="7"/>
      <c r="T1089" s="8"/>
      <c r="U1089" s="19" t="str">
        <f>HYPERLINK("https://pbs.twimg.com/profile_images/1180910379129540609/YYiS9TIB.jpg","View")</f>
        <v>View</v>
      </c>
      <c r="V1089" s="8"/>
      <c r="W1089" s="8"/>
      <c r="X1089" s="8"/>
      <c r="Y1089" s="8"/>
      <c r="Z1089" s="8"/>
    </row>
    <row r="1090" spans="1:26" ht="12.75">
      <c r="A1090" s="11">
        <v>43747.290891203702</v>
      </c>
      <c r="B1090" s="12" t="str">
        <f>HYPERLINK("https://twitter.com/erbeylands","@erbeylands")</f>
        <v>@erbeylands</v>
      </c>
      <c r="C1090" s="7" t="s">
        <v>8380</v>
      </c>
      <c r="D1090" s="7" t="s">
        <v>8381</v>
      </c>
      <c r="E1090" s="12" t="str">
        <f>HYPERLINK("https://twitter.com/erbeylands/status/1181932047121731584","1181932047121731584")</f>
        <v>1181932047121731584</v>
      </c>
      <c r="F1090" s="15"/>
      <c r="G1090" s="14" t="s">
        <v>8382</v>
      </c>
      <c r="H1090" s="8"/>
      <c r="I1090" s="15">
        <v>0</v>
      </c>
      <c r="J1090" s="15">
        <v>3</v>
      </c>
      <c r="K1090" s="12" t="str">
        <f>HYPERLINK("http://twitter.com/download/iphone","Twitter for iPhone")</f>
        <v>Twitter for iPhone</v>
      </c>
      <c r="L1090" s="16">
        <v>378</v>
      </c>
      <c r="M1090" s="16">
        <v>358</v>
      </c>
      <c r="N1090" s="16">
        <v>0</v>
      </c>
      <c r="O1090" s="17"/>
      <c r="P1090" s="18">
        <v>43262.490416666667</v>
      </c>
      <c r="Q1090" s="7" t="s">
        <v>8383</v>
      </c>
      <c r="R1090" s="7" t="s">
        <v>8384</v>
      </c>
      <c r="S1090" s="14" t="s">
        <v>8385</v>
      </c>
      <c r="T1090" s="8"/>
      <c r="U1090" s="19" t="str">
        <f>HYPERLINK("https://pbs.twimg.com/profile_images/1180885074801246209/dvW72xSm.jpg","View")</f>
        <v>View</v>
      </c>
      <c r="V1090" s="8"/>
      <c r="W1090" s="8"/>
      <c r="X1090" s="8"/>
      <c r="Y1090" s="8"/>
      <c r="Z1090" s="8"/>
    </row>
    <row r="1091" spans="1:26" ht="12.75">
      <c r="A1091" s="11">
        <v>43747.290868055556</v>
      </c>
      <c r="B1091" s="12" t="str">
        <f>HYPERLINK("https://twitter.com/masumcan0102","@masumcan0102")</f>
        <v>@masumcan0102</v>
      </c>
      <c r="C1091" s="7" t="s">
        <v>8386</v>
      </c>
      <c r="D1091" s="7" t="s">
        <v>8387</v>
      </c>
      <c r="E1091" s="12" t="str">
        <f>HYPERLINK("https://twitter.com/masumcan0102/status/1181932038707929088","1181932038707929088")</f>
        <v>1181932038707929088</v>
      </c>
      <c r="F1091" s="15"/>
      <c r="G1091" s="14" t="s">
        <v>8388</v>
      </c>
      <c r="H1091" s="8"/>
      <c r="I1091" s="15">
        <v>0</v>
      </c>
      <c r="J1091" s="15">
        <v>2</v>
      </c>
      <c r="K1091" s="12" t="str">
        <f>HYPERLINK("http://twitter.com/download/iphone","Twitter for iPhone")</f>
        <v>Twitter for iPhone</v>
      </c>
      <c r="L1091" s="16">
        <v>109</v>
      </c>
      <c r="M1091" s="16">
        <v>192</v>
      </c>
      <c r="N1091" s="16">
        <v>0</v>
      </c>
      <c r="O1091" s="17"/>
      <c r="P1091" s="18">
        <v>43068.484629629631</v>
      </c>
      <c r="Q1091" s="7" t="s">
        <v>313</v>
      </c>
      <c r="R1091" s="7" t="s">
        <v>8391</v>
      </c>
      <c r="S1091" s="15"/>
      <c r="T1091" s="8"/>
      <c r="U1091" s="19" t="str">
        <f>HYPERLINK("https://pbs.twimg.com/profile_images/1164626983181004800/InEzXi9I.jpg","View")</f>
        <v>View</v>
      </c>
      <c r="V1091" s="8"/>
      <c r="W1091" s="8"/>
      <c r="X1091" s="8"/>
      <c r="Y1091" s="8"/>
      <c r="Z1091" s="8"/>
    </row>
    <row r="1092" spans="1:26" ht="12.75">
      <c r="A1092" s="11">
        <v>43747.290856481486</v>
      </c>
      <c r="B1092" s="12" t="str">
        <f>HYPERLINK("https://twitter.com/ahmetpala25","@ahmetpala25")</f>
        <v>@ahmetpala25</v>
      </c>
      <c r="C1092" s="7" t="s">
        <v>8393</v>
      </c>
      <c r="D1092" s="7" t="s">
        <v>3843</v>
      </c>
      <c r="E1092" s="12" t="str">
        <f>HYPERLINK("https://twitter.com/ahmetpala25/status/1181932030923345922","1181932030923345922")</f>
        <v>1181932030923345922</v>
      </c>
      <c r="F1092" s="8"/>
      <c r="G1092" s="14" t="s">
        <v>8394</v>
      </c>
      <c r="H1092" s="8"/>
      <c r="I1092" s="15">
        <v>0</v>
      </c>
      <c r="J1092" s="15">
        <v>1</v>
      </c>
      <c r="K1092" s="12" t="str">
        <f>HYPERLINK("http://twitter.com/download/iphone","Twitter for iPhone")</f>
        <v>Twitter for iPhone</v>
      </c>
      <c r="L1092" s="16">
        <v>149</v>
      </c>
      <c r="M1092" s="16">
        <v>208</v>
      </c>
      <c r="N1092" s="16">
        <v>0</v>
      </c>
      <c r="O1092" s="17"/>
      <c r="P1092" s="18">
        <v>41100.381932870368</v>
      </c>
      <c r="Q1092" s="7"/>
      <c r="R1092" s="7"/>
      <c r="S1092" s="7"/>
      <c r="T1092" s="8"/>
      <c r="U1092" s="19" t="str">
        <f>HYPERLINK("https://pbs.twimg.com/profile_images/1057357200077844481/qq5qFFlM.jpg","View")</f>
        <v>View</v>
      </c>
      <c r="V1092" s="8"/>
      <c r="W1092" s="8"/>
      <c r="X1092" s="8"/>
      <c r="Y1092" s="8"/>
      <c r="Z1092" s="8"/>
    </row>
    <row r="1093" spans="1:26" ht="12.75">
      <c r="A1093" s="11">
        <v>43747.290833333333</v>
      </c>
      <c r="B1093" s="12" t="str">
        <f>HYPERLINK("https://twitter.com/TANERTEBER","@TANERTEBER")</f>
        <v>@TANERTEBER</v>
      </c>
      <c r="C1093" s="7" t="s">
        <v>8395</v>
      </c>
      <c r="D1093" s="7" t="s">
        <v>8396</v>
      </c>
      <c r="E1093" s="12" t="str">
        <f>HYPERLINK("https://twitter.com/TANERTEBER/status/1181932023772000256","1181932023772000256")</f>
        <v>1181932023772000256</v>
      </c>
      <c r="F1093" s="8"/>
      <c r="G1093" s="14" t="s">
        <v>8397</v>
      </c>
      <c r="H1093" s="8"/>
      <c r="I1093" s="15">
        <v>1</v>
      </c>
      <c r="J1093" s="15">
        <v>2</v>
      </c>
      <c r="K1093" s="12" t="str">
        <f>HYPERLINK("http://twitter.com/download/android","Twitter for Android")</f>
        <v>Twitter for Android</v>
      </c>
      <c r="L1093" s="16">
        <v>674</v>
      </c>
      <c r="M1093" s="16">
        <v>256</v>
      </c>
      <c r="N1093" s="16">
        <v>1</v>
      </c>
      <c r="O1093" s="17"/>
      <c r="P1093" s="18">
        <v>40361.555173611108</v>
      </c>
      <c r="Q1093" s="7" t="s">
        <v>918</v>
      </c>
      <c r="R1093" s="7" t="s">
        <v>8398</v>
      </c>
      <c r="S1093" s="7"/>
      <c r="T1093" s="8"/>
      <c r="U1093" s="19" t="str">
        <f>HYPERLINK("https://pbs.twimg.com/profile_images/1160523634462658567/wN2eBOss.jpg","View")</f>
        <v>View</v>
      </c>
      <c r="V1093" s="8"/>
      <c r="W1093" s="8"/>
      <c r="X1093" s="8"/>
      <c r="Y1093" s="8"/>
      <c r="Z1093" s="8"/>
    </row>
    <row r="1094" spans="1:26" ht="12.75">
      <c r="A1094" s="11">
        <v>43747.290798611109</v>
      </c>
      <c r="B1094" s="12" t="str">
        <f>HYPERLINK("https://twitter.com/Elabozdemir1B","@Elabozdemir1B")</f>
        <v>@Elabozdemir1B</v>
      </c>
      <c r="C1094" s="7" t="s">
        <v>8399</v>
      </c>
      <c r="D1094" s="7" t="s">
        <v>8256</v>
      </c>
      <c r="E1094" s="12" t="str">
        <f>HYPERLINK("https://twitter.com/Elabozdemir1B/status/1181932013005262848","1181932013005262848")</f>
        <v>1181932013005262848</v>
      </c>
      <c r="F1094" s="8"/>
      <c r="G1094" s="14" t="s">
        <v>8400</v>
      </c>
      <c r="H1094" s="8"/>
      <c r="I1094" s="15">
        <v>0</v>
      </c>
      <c r="J1094" s="15">
        <v>5</v>
      </c>
      <c r="K1094" s="12" t="str">
        <f>HYPERLINK("http://twitter.com/download/android","Twitter for Android")</f>
        <v>Twitter for Android</v>
      </c>
      <c r="L1094" s="16">
        <v>1964</v>
      </c>
      <c r="M1094" s="16">
        <v>2684</v>
      </c>
      <c r="N1094" s="16">
        <v>0</v>
      </c>
      <c r="O1094" s="17"/>
      <c r="P1094" s="18">
        <v>43449.553032407406</v>
      </c>
      <c r="Q1094" s="7"/>
      <c r="R1094" s="7"/>
      <c r="S1094" s="7"/>
      <c r="T1094" s="8"/>
      <c r="U1094" s="19" t="str">
        <f>HYPERLINK("https://pbs.twimg.com/profile_images/1151273399274131461/yyyN2IJl.jpg","View")</f>
        <v>View</v>
      </c>
      <c r="V1094" s="8"/>
      <c r="W1094" s="8"/>
      <c r="X1094" s="8"/>
      <c r="Y1094" s="8"/>
      <c r="Z1094" s="8"/>
    </row>
    <row r="1095" spans="1:26" ht="12.75">
      <c r="A1095" s="11">
        <v>43747.29074074074</v>
      </c>
      <c r="B1095" s="12" t="str">
        <f>HYPERLINK("https://twitter.com/akayvalimah","@akayvalimah")</f>
        <v>@akayvalimah</v>
      </c>
      <c r="C1095" s="7" t="s">
        <v>8402</v>
      </c>
      <c r="D1095" s="7" t="s">
        <v>8403</v>
      </c>
      <c r="E1095" s="12" t="str">
        <f>HYPERLINK("https://twitter.com/akayvalimah/status/1181931990167232512","1181931990167232512")</f>
        <v>1181931990167232512</v>
      </c>
      <c r="F1095" s="8"/>
      <c r="G1095" s="14" t="s">
        <v>8405</v>
      </c>
      <c r="H1095" s="8"/>
      <c r="I1095" s="15">
        <v>1</v>
      </c>
      <c r="J1095" s="15">
        <v>2</v>
      </c>
      <c r="K1095" s="12" t="str">
        <f>HYPERLINK("http://twitter.com/download/android","Twitter for Android")</f>
        <v>Twitter for Android</v>
      </c>
      <c r="L1095" s="16">
        <v>1027</v>
      </c>
      <c r="M1095" s="16">
        <v>1063</v>
      </c>
      <c r="N1095" s="16">
        <v>3</v>
      </c>
      <c r="O1095" s="17"/>
      <c r="P1095" s="18">
        <v>41895.070729166662</v>
      </c>
      <c r="Q1095" s="7"/>
      <c r="R1095" s="7" t="s">
        <v>8406</v>
      </c>
      <c r="S1095" s="14" t="s">
        <v>8407</v>
      </c>
      <c r="T1095" s="8"/>
      <c r="U1095" s="19" t="str">
        <f>HYPERLINK("https://pbs.twimg.com/profile_images/1151501916851113984/PH-S6bc-.jpg","View")</f>
        <v>View</v>
      </c>
      <c r="V1095" s="8"/>
      <c r="W1095" s="8"/>
      <c r="X1095" s="8"/>
      <c r="Y1095" s="8"/>
      <c r="Z1095" s="8"/>
    </row>
    <row r="1096" spans="1:26" ht="12.75">
      <c r="A1096" s="11">
        <v>43747.290729166663</v>
      </c>
      <c r="B1096" s="12" t="str">
        <f>HYPERLINK("https://twitter.com/furkanuretdi","@furkanuretdi")</f>
        <v>@furkanuretdi</v>
      </c>
      <c r="C1096" s="7" t="s">
        <v>8408</v>
      </c>
      <c r="D1096" s="21" t="s">
        <v>8409</v>
      </c>
      <c r="E1096" s="12" t="str">
        <f>HYPERLINK("https://twitter.com/furkanuretdi/status/1181931986375585793","1181931986375585793")</f>
        <v>1181931986375585793</v>
      </c>
      <c r="F1096" s="8"/>
      <c r="G1096" s="14" t="s">
        <v>8410</v>
      </c>
      <c r="H1096" s="8"/>
      <c r="I1096" s="15">
        <v>0</v>
      </c>
      <c r="J1096" s="15">
        <v>1</v>
      </c>
      <c r="K1096" s="12" t="str">
        <f>HYPERLINK("http://twitter.com/download/iphone","Twitter for iPhone")</f>
        <v>Twitter for iPhone</v>
      </c>
      <c r="L1096" s="16">
        <v>85</v>
      </c>
      <c r="M1096" s="16">
        <v>75</v>
      </c>
      <c r="N1096" s="16">
        <v>0</v>
      </c>
      <c r="O1096" s="17"/>
      <c r="P1096" s="18">
        <v>43213.124525462961</v>
      </c>
      <c r="Q1096" s="7" t="s">
        <v>8411</v>
      </c>
      <c r="R1096" s="7" t="s">
        <v>8412</v>
      </c>
      <c r="S1096" s="14" t="s">
        <v>8413</v>
      </c>
      <c r="T1096" s="8"/>
      <c r="U1096" s="19" t="str">
        <f>HYPERLINK("https://pbs.twimg.com/profile_images/988359833110839299/tmSJQ-ow.jpg","View")</f>
        <v>View</v>
      </c>
      <c r="V1096" s="8"/>
      <c r="W1096" s="8"/>
      <c r="X1096" s="8"/>
      <c r="Y1096" s="8"/>
      <c r="Z1096" s="8"/>
    </row>
    <row r="1097" spans="1:26" ht="12.75">
      <c r="A1097" s="11">
        <v>43747.290706018517</v>
      </c>
      <c r="B1097" s="12" t="str">
        <f>HYPERLINK("https://twitter.com/TurkiyeHareket","@TurkiyeHareket")</f>
        <v>@TurkiyeHareket</v>
      </c>
      <c r="C1097" s="7" t="s">
        <v>8414</v>
      </c>
      <c r="D1097" s="7" t="s">
        <v>8415</v>
      </c>
      <c r="E1097" s="12" t="str">
        <f>HYPERLINK("https://twitter.com/TurkiyeHareket/status/1181931978649722880","1181931978649722880")</f>
        <v>1181931978649722880</v>
      </c>
      <c r="F1097" s="7"/>
      <c r="G1097" s="14" t="s">
        <v>8416</v>
      </c>
      <c r="H1097" s="8"/>
      <c r="I1097" s="15">
        <v>10</v>
      </c>
      <c r="J1097" s="15">
        <v>70</v>
      </c>
      <c r="K1097" s="12" t="str">
        <f>HYPERLINK("https://about.twitter.com/products/tweetdeck","TweetDeck")</f>
        <v>TweetDeck</v>
      </c>
      <c r="L1097" s="16">
        <v>6523</v>
      </c>
      <c r="M1097" s="16">
        <v>3</v>
      </c>
      <c r="N1097" s="16">
        <v>10</v>
      </c>
      <c r="O1097" s="17"/>
      <c r="P1097" s="18">
        <v>43605.224432870367</v>
      </c>
      <c r="Q1097" s="7" t="s">
        <v>200</v>
      </c>
      <c r="R1097" s="7" t="s">
        <v>8417</v>
      </c>
      <c r="S1097" s="14" t="s">
        <v>8418</v>
      </c>
      <c r="T1097" s="8"/>
      <c r="U1097" s="19" t="str">
        <f>HYPERLINK("https://pbs.twimg.com/profile_images/1131120506734878720/lE7hgIOc.png","View")</f>
        <v>View</v>
      </c>
      <c r="V1097" s="8"/>
      <c r="W1097" s="8"/>
      <c r="X1097" s="8"/>
      <c r="Y1097" s="8"/>
      <c r="Z1097" s="8"/>
    </row>
    <row r="1098" spans="1:26" ht="12.75">
      <c r="A1098" s="11">
        <v>43747.29069444444</v>
      </c>
      <c r="B1098" s="12" t="str">
        <f>HYPERLINK("https://twitter.com/threader_app","@threader_app")</f>
        <v>@threader_app</v>
      </c>
      <c r="C1098" s="7" t="s">
        <v>8419</v>
      </c>
      <c r="D1098" s="13" t="s">
        <v>8420</v>
      </c>
      <c r="E1098" s="12" t="str">
        <f>HYPERLINK("https://twitter.com/threader_app/status/1181931975264948226","1181931975264948226")</f>
        <v>1181931975264948226</v>
      </c>
      <c r="F1098" s="14" t="s">
        <v>8421</v>
      </c>
      <c r="G1098" s="7"/>
      <c r="H1098" s="8"/>
      <c r="I1098" s="15">
        <v>0</v>
      </c>
      <c r="J1098" s="15">
        <v>0</v>
      </c>
      <c r="K1098" s="12" t="str">
        <f>HYPERLINK("https://www.thrdr.com","Threader_client")</f>
        <v>Threader_client</v>
      </c>
      <c r="L1098" s="16">
        <v>16163</v>
      </c>
      <c r="M1098" s="16">
        <v>998</v>
      </c>
      <c r="N1098" s="16">
        <v>84</v>
      </c>
      <c r="O1098" s="17"/>
      <c r="P1098" s="18">
        <v>42970.056747685187</v>
      </c>
      <c r="Q1098" s="7" t="s">
        <v>8423</v>
      </c>
      <c r="R1098" s="7" t="s">
        <v>8424</v>
      </c>
      <c r="S1098" s="14" t="s">
        <v>8425</v>
      </c>
      <c r="T1098" s="8"/>
      <c r="U1098" s="19" t="str">
        <f>HYPERLINK("https://pbs.twimg.com/profile_images/926857336924397568/AB4-K0OD.jpg","View")</f>
        <v>View</v>
      </c>
      <c r="V1098" s="8"/>
      <c r="W1098" s="8"/>
      <c r="X1098" s="8"/>
      <c r="Y1098" s="8"/>
      <c r="Z1098" s="8"/>
    </row>
    <row r="1099" spans="1:26" ht="12.75">
      <c r="A1099" s="11">
        <v>43747.290671296301</v>
      </c>
      <c r="B1099" s="12" t="str">
        <f>HYPERLINK("https://twitter.com/DogukanAlkan","@DogukanAlkan")</f>
        <v>@DogukanAlkan</v>
      </c>
      <c r="C1099" s="7" t="s">
        <v>8427</v>
      </c>
      <c r="D1099" s="7" t="s">
        <v>8428</v>
      </c>
      <c r="E1099" s="12" t="str">
        <f>HYPERLINK("https://twitter.com/DogukanAlkan/status/1181931964850429954","1181931964850429954")</f>
        <v>1181931964850429954</v>
      </c>
      <c r="F1099" s="8"/>
      <c r="G1099" s="7"/>
      <c r="H1099" s="8"/>
      <c r="I1099" s="15">
        <v>0</v>
      </c>
      <c r="J1099" s="15">
        <v>0</v>
      </c>
      <c r="K1099" s="12" t="str">
        <f>HYPERLINK("http://twitter.com/download/iphone","Twitter for iPhone")</f>
        <v>Twitter for iPhone</v>
      </c>
      <c r="L1099" s="16">
        <v>2504</v>
      </c>
      <c r="M1099" s="16">
        <v>283</v>
      </c>
      <c r="N1099" s="16">
        <v>0</v>
      </c>
      <c r="O1099" s="17"/>
      <c r="P1099" s="18">
        <v>40215.512384259258</v>
      </c>
      <c r="Q1099" s="7" t="s">
        <v>80</v>
      </c>
      <c r="R1099" s="7" t="s">
        <v>8429</v>
      </c>
      <c r="S1099" s="7"/>
      <c r="T1099" s="8"/>
      <c r="U1099" s="19" t="str">
        <f>HYPERLINK("https://pbs.twimg.com/profile_images/1171483696081170433/KDwx4s9c.jpg","View")</f>
        <v>View</v>
      </c>
      <c r="V1099" s="8"/>
      <c r="W1099" s="8"/>
      <c r="X1099" s="8"/>
      <c r="Y1099" s="8"/>
      <c r="Z1099" s="8"/>
    </row>
    <row r="1100" spans="1:26" ht="12.75">
      <c r="A1100" s="11">
        <v>43747.290590277778</v>
      </c>
      <c r="B1100" s="12" t="str">
        <f>HYPERLINK("https://twitter.com/Hugosioner","@Hugosioner")</f>
        <v>@Hugosioner</v>
      </c>
      <c r="C1100" s="7" t="s">
        <v>8430</v>
      </c>
      <c r="D1100" s="7" t="s">
        <v>8431</v>
      </c>
      <c r="E1100" s="12" t="str">
        <f>HYPERLINK("https://twitter.com/Hugosioner/status/1181931936413040641","1181931936413040641")</f>
        <v>1181931936413040641</v>
      </c>
      <c r="F1100" s="8"/>
      <c r="G1100" s="14" t="s">
        <v>8432</v>
      </c>
      <c r="H1100" s="8"/>
      <c r="I1100" s="15">
        <v>0</v>
      </c>
      <c r="J1100" s="15">
        <v>1</v>
      </c>
      <c r="K1100" s="12" t="str">
        <f>HYPERLINK("http://twitter.com/download/iphone","Twitter for iPhone")</f>
        <v>Twitter for iPhone</v>
      </c>
      <c r="L1100" s="16">
        <v>27</v>
      </c>
      <c r="M1100" s="16">
        <v>50</v>
      </c>
      <c r="N1100" s="16">
        <v>0</v>
      </c>
      <c r="O1100" s="17"/>
      <c r="P1100" s="18">
        <v>43031.33090277778</v>
      </c>
      <c r="Q1100" s="7" t="s">
        <v>8433</v>
      </c>
      <c r="R1100" s="7"/>
      <c r="S1100" s="15"/>
      <c r="T1100" s="8"/>
      <c r="U1100" s="19" t="str">
        <f>HYPERLINK("https://pbs.twimg.com/profile_images/1145334893167165440/pXHeuPUD.jpg","View")</f>
        <v>View</v>
      </c>
      <c r="V1100" s="8"/>
      <c r="W1100" s="8"/>
      <c r="X1100" s="8"/>
      <c r="Y1100" s="8"/>
      <c r="Z1100" s="8"/>
    </row>
    <row r="1101" spans="1:26" ht="12.75">
      <c r="A1101" s="11">
        <v>43747.290590277778</v>
      </c>
      <c r="B1101" s="12" t="str">
        <f>HYPERLINK("https://twitter.com/vtnsvr_mhmt","@vtnsvr_mhmt")</f>
        <v>@vtnsvr_mhmt</v>
      </c>
      <c r="C1101" s="7" t="s">
        <v>8434</v>
      </c>
      <c r="D1101" s="7" t="s">
        <v>8435</v>
      </c>
      <c r="E1101" s="12" t="str">
        <f>HYPERLINK("https://twitter.com/vtnsvr_mhmt/status/1181931934454337536","1181931934454337536")</f>
        <v>1181931934454337536</v>
      </c>
      <c r="F1101" s="8"/>
      <c r="G1101" s="7"/>
      <c r="H1101" s="8"/>
      <c r="I1101" s="15">
        <v>0</v>
      </c>
      <c r="J1101" s="15">
        <v>0</v>
      </c>
      <c r="K1101" s="12" t="str">
        <f>HYPERLINK("https://mobile.twitter.com","Twitter Web App")</f>
        <v>Twitter Web App</v>
      </c>
      <c r="L1101" s="16">
        <v>152</v>
      </c>
      <c r="M1101" s="16">
        <v>118</v>
      </c>
      <c r="N1101" s="16">
        <v>0</v>
      </c>
      <c r="O1101" s="17"/>
      <c r="P1101" s="18">
        <v>40536.538437499999</v>
      </c>
      <c r="Q1101" s="7" t="s">
        <v>8436</v>
      </c>
      <c r="R1101" s="7" t="s">
        <v>8437</v>
      </c>
      <c r="S1101" s="7"/>
      <c r="T1101" s="8"/>
      <c r="U1101" s="19" t="str">
        <f>HYPERLINK("https://pbs.twimg.com/profile_images/1144531691324825600/lniWaRq-.jpg","View")</f>
        <v>View</v>
      </c>
      <c r="V1101" s="8"/>
      <c r="W1101" s="8"/>
      <c r="X1101" s="8"/>
      <c r="Y1101" s="8"/>
      <c r="Z1101" s="8"/>
    </row>
    <row r="1102" spans="1:26" ht="12.75">
      <c r="A1102" s="11">
        <v>43747.290578703702</v>
      </c>
      <c r="B1102" s="12" t="str">
        <f>HYPERLINK("https://twitter.com/antankantara","@antankantara")</f>
        <v>@antankantara</v>
      </c>
      <c r="C1102" s="7" t="s">
        <v>8438</v>
      </c>
      <c r="D1102" s="7" t="s">
        <v>8439</v>
      </c>
      <c r="E1102" s="12" t="str">
        <f>HYPERLINK("https://twitter.com/antankantara/status/1181931930729811969","1181931930729811969")</f>
        <v>1181931930729811969</v>
      </c>
      <c r="F1102" s="8"/>
      <c r="G1102" s="15"/>
      <c r="H1102" s="8"/>
      <c r="I1102" s="15">
        <v>0</v>
      </c>
      <c r="J1102" s="15">
        <v>0</v>
      </c>
      <c r="K1102" s="12" t="str">
        <f>HYPERLINK("http://twitter.com/download/android","Twitter for Android")</f>
        <v>Twitter for Android</v>
      </c>
      <c r="L1102" s="16">
        <v>392</v>
      </c>
      <c r="M1102" s="16">
        <v>419</v>
      </c>
      <c r="N1102" s="16">
        <v>0</v>
      </c>
      <c r="O1102" s="17"/>
      <c r="P1102" s="18">
        <v>43617.471087962964</v>
      </c>
      <c r="Q1102" s="7"/>
      <c r="R1102" s="7" t="s">
        <v>8440</v>
      </c>
      <c r="S1102" s="7"/>
      <c r="T1102" s="8"/>
      <c r="U1102" s="19" t="str">
        <f>HYPERLINK("https://pbs.twimg.com/profile_images/1164855285497942017/G4L0uoSD.jpg","View")</f>
        <v>View</v>
      </c>
      <c r="V1102" s="8"/>
      <c r="W1102" s="8"/>
      <c r="X1102" s="8"/>
      <c r="Y1102" s="8"/>
      <c r="Z1102" s="8"/>
    </row>
    <row r="1103" spans="1:26" ht="12.75">
      <c r="A1103" s="11">
        <v>43747.290555555555</v>
      </c>
      <c r="B1103" s="12" t="str">
        <f>HYPERLINK("https://twitter.com/Argan__yagi","@Argan__yagi")</f>
        <v>@Argan__yagi</v>
      </c>
      <c r="C1103" s="7" t="s">
        <v>8441</v>
      </c>
      <c r="D1103" s="7" t="s">
        <v>160</v>
      </c>
      <c r="E1103" s="12" t="str">
        <f>HYPERLINK("https://twitter.com/Argan__yagi/status/1181931921900789760","1181931921900789760")</f>
        <v>1181931921900789760</v>
      </c>
      <c r="F1103" s="8"/>
      <c r="G1103" s="14" t="s">
        <v>8442</v>
      </c>
      <c r="H1103" s="8"/>
      <c r="I1103" s="15">
        <v>0</v>
      </c>
      <c r="J1103" s="15">
        <v>0</v>
      </c>
      <c r="K1103" s="12" t="str">
        <f>HYPERLINK("http://twitter.com/download/iphone","Twitter for iPhone")</f>
        <v>Twitter for iPhone</v>
      </c>
      <c r="L1103" s="16">
        <v>372</v>
      </c>
      <c r="M1103" s="16">
        <v>1222</v>
      </c>
      <c r="N1103" s="16">
        <v>0</v>
      </c>
      <c r="O1103" s="17"/>
      <c r="P1103" s="18">
        <v>40878.695960648147</v>
      </c>
      <c r="Q1103" s="7" t="s">
        <v>8443</v>
      </c>
      <c r="R1103" s="7"/>
      <c r="S1103" s="7"/>
      <c r="T1103" s="8"/>
      <c r="U1103" s="19" t="str">
        <f>HYPERLINK("https://pbs.twimg.com/profile_images/1086627371082543104/KK5xeBjD.jpg","View")</f>
        <v>View</v>
      </c>
      <c r="V1103" s="8"/>
      <c r="W1103" s="8"/>
      <c r="X1103" s="8"/>
      <c r="Y1103" s="8"/>
      <c r="Z1103" s="8"/>
    </row>
    <row r="1104" spans="1:26" ht="12.75">
      <c r="A1104" s="11">
        <v>43747.290520833332</v>
      </c>
      <c r="B1104" s="12" t="str">
        <f>HYPERLINK("https://twitter.com/nurettinweb","@nurettinweb")</f>
        <v>@nurettinweb</v>
      </c>
      <c r="C1104" s="7" t="s">
        <v>8444</v>
      </c>
      <c r="D1104" s="7" t="s">
        <v>8445</v>
      </c>
      <c r="E1104" s="12" t="str">
        <f>HYPERLINK("https://twitter.com/nurettinweb/status/1181931912371326976","1181931912371326976")</f>
        <v>1181931912371326976</v>
      </c>
      <c r="F1104" s="8"/>
      <c r="G1104" s="14" t="s">
        <v>8446</v>
      </c>
      <c r="H1104" s="8"/>
      <c r="I1104" s="15">
        <v>0</v>
      </c>
      <c r="J1104" s="15">
        <v>0</v>
      </c>
      <c r="K1104" s="12" t="str">
        <f>HYPERLINK("http://twitter.com/download/iphone","Twitter for iPhone")</f>
        <v>Twitter for iPhone</v>
      </c>
      <c r="L1104" s="16">
        <v>12</v>
      </c>
      <c r="M1104" s="16">
        <v>78</v>
      </c>
      <c r="N1104" s="16">
        <v>0</v>
      </c>
      <c r="O1104" s="17"/>
      <c r="P1104" s="18">
        <v>41275.317615740743</v>
      </c>
      <c r="Q1104" s="7"/>
      <c r="R1104" s="7"/>
      <c r="S1104" s="7"/>
      <c r="T1104" s="8"/>
      <c r="U1104" s="19" t="str">
        <f>HYPERLINK("https://pbs.twimg.com/profile_images/1123584592009670656/om7-FdfW.jpg","View")</f>
        <v>View</v>
      </c>
      <c r="V1104" s="8"/>
      <c r="W1104" s="8"/>
      <c r="X1104" s="8"/>
      <c r="Y1104" s="8"/>
      <c r="Z1104" s="8"/>
    </row>
    <row r="1105" spans="1:26" ht="12.75">
      <c r="A1105" s="11">
        <v>43747.290497685186</v>
      </c>
      <c r="B1105" s="12" t="str">
        <f>HYPERLINK("https://twitter.com/RosieMStuart","@RosieMStuart")</f>
        <v>@RosieMStuart</v>
      </c>
      <c r="C1105" s="13" t="s">
        <v>8447</v>
      </c>
      <c r="D1105" s="7" t="s">
        <v>8448</v>
      </c>
      <c r="E1105" s="12" t="str">
        <f>HYPERLINK("https://twitter.com/RosieMStuart/status/1181931901478752256","1181931901478752256")</f>
        <v>1181931901478752256</v>
      </c>
      <c r="F1105" s="14" t="s">
        <v>8449</v>
      </c>
      <c r="G1105" s="15"/>
      <c r="H1105" s="8"/>
      <c r="I1105" s="15">
        <v>0</v>
      </c>
      <c r="J1105" s="15">
        <v>0</v>
      </c>
      <c r="K1105" s="12" t="str">
        <f>HYPERLINK("https://mobile.twitter.com","Twitter Web App")</f>
        <v>Twitter Web App</v>
      </c>
      <c r="L1105" s="16">
        <v>37</v>
      </c>
      <c r="M1105" s="16">
        <v>182</v>
      </c>
      <c r="N1105" s="16">
        <v>0</v>
      </c>
      <c r="O1105" s="17"/>
      <c r="P1105" s="18">
        <v>43443.205706018518</v>
      </c>
      <c r="Q1105" s="7"/>
      <c r="R1105" s="7" t="s">
        <v>8450</v>
      </c>
      <c r="S1105" s="15"/>
      <c r="T1105" s="8"/>
      <c r="U1105" s="19" t="str">
        <f>HYPERLINK("https://pbs.twimg.com/profile_images/1181279080160862209/USInhC-9.jpg","View")</f>
        <v>View</v>
      </c>
      <c r="V1105" s="8"/>
      <c r="W1105" s="8"/>
      <c r="X1105" s="8"/>
      <c r="Y1105" s="8"/>
      <c r="Z1105" s="8"/>
    </row>
    <row r="1106" spans="1:26" ht="12.75">
      <c r="A1106" s="11">
        <v>43747.290497685186</v>
      </c>
      <c r="B1106" s="12" t="str">
        <f>HYPERLINK("https://twitter.com/ahmeturhan_","@ahmeturhan_")</f>
        <v>@ahmeturhan_</v>
      </c>
      <c r="C1106" s="7" t="s">
        <v>8451</v>
      </c>
      <c r="D1106" s="7" t="s">
        <v>8452</v>
      </c>
      <c r="E1106" s="12" t="str">
        <f>HYPERLINK("https://twitter.com/ahmeturhan_/status/1181931900983750656","1181931900983750656")</f>
        <v>1181931900983750656</v>
      </c>
      <c r="F1106" s="8"/>
      <c r="G1106" s="14" t="s">
        <v>8453</v>
      </c>
      <c r="H1106" s="8"/>
      <c r="I1106" s="15">
        <v>10</v>
      </c>
      <c r="J1106" s="15">
        <v>36</v>
      </c>
      <c r="K1106" s="12" t="str">
        <f>HYPERLINK("http://twitter.com/download/android","Twitter for Android")</f>
        <v>Twitter for Android</v>
      </c>
      <c r="L1106" s="16">
        <v>20993</v>
      </c>
      <c r="M1106" s="16">
        <v>1646</v>
      </c>
      <c r="N1106" s="16">
        <v>45</v>
      </c>
      <c r="O1106" s="17"/>
      <c r="P1106" s="18">
        <v>40882.085104166668</v>
      </c>
      <c r="Q1106" s="7" t="s">
        <v>2765</v>
      </c>
      <c r="R1106" s="7" t="s">
        <v>8454</v>
      </c>
      <c r="S1106" s="7"/>
      <c r="T1106" s="8"/>
      <c r="U1106" s="19" t="str">
        <f>HYPERLINK("https://pbs.twimg.com/profile_images/1173843541178683392/7uFVvf7b.jpg","View")</f>
        <v>View</v>
      </c>
      <c r="V1106" s="8"/>
      <c r="W1106" s="8"/>
      <c r="X1106" s="8"/>
      <c r="Y1106" s="8"/>
      <c r="Z1106" s="8"/>
    </row>
    <row r="1107" spans="1:26" ht="12.75">
      <c r="A1107" s="11">
        <v>43747.290474537032</v>
      </c>
      <c r="B1107" s="12" t="str">
        <f>HYPERLINK("https://twitter.com/tteskilathaber","@tteskilathaber")</f>
        <v>@tteskilathaber</v>
      </c>
      <c r="C1107" s="7" t="s">
        <v>8455</v>
      </c>
      <c r="D1107" s="7" t="s">
        <v>8456</v>
      </c>
      <c r="E1107" s="12" t="str">
        <f>HYPERLINK("https://twitter.com/tteskilathaber/status/1181931894629384193","1181931894629384193")</f>
        <v>1181931894629384193</v>
      </c>
      <c r="F1107" s="8"/>
      <c r="G1107" s="15"/>
      <c r="H1107" s="8"/>
      <c r="I1107" s="15">
        <v>0</v>
      </c>
      <c r="J1107" s="15">
        <v>7</v>
      </c>
      <c r="K1107" s="12" t="str">
        <f>HYPERLINK("http://twitter.com/download/android","Twitter for Android")</f>
        <v>Twitter for Android</v>
      </c>
      <c r="L1107" s="16">
        <v>274</v>
      </c>
      <c r="M1107" s="16">
        <v>1</v>
      </c>
      <c r="N1107" s="16">
        <v>1</v>
      </c>
      <c r="O1107" s="17"/>
      <c r="P1107" s="18">
        <v>43649.507025462968</v>
      </c>
      <c r="Q1107" s="7"/>
      <c r="R1107" s="7" t="s">
        <v>8457</v>
      </c>
      <c r="S1107" s="15"/>
      <c r="T1107" s="8"/>
      <c r="U1107" s="19" t="str">
        <f>HYPERLINK("https://pbs.twimg.com/profile_images/1181720462411390976/IumY_ZS-.jpg","View")</f>
        <v>View</v>
      </c>
      <c r="V1107" s="8"/>
      <c r="W1107" s="8"/>
      <c r="X1107" s="8"/>
      <c r="Y1107" s="8"/>
      <c r="Z1107" s="8"/>
    </row>
    <row r="1108" spans="1:26" ht="12.75">
      <c r="A1108" s="11">
        <v>43747.290474537032</v>
      </c>
      <c r="B1108" s="12" t="str">
        <f>HYPERLINK("https://twitter.com/celalsezer_1","@celalsezer_1")</f>
        <v>@celalsezer_1</v>
      </c>
      <c r="C1108" s="7" t="s">
        <v>8458</v>
      </c>
      <c r="D1108" s="7" t="s">
        <v>8459</v>
      </c>
      <c r="E1108" s="12" t="str">
        <f>HYPERLINK("https://twitter.com/celalsezer_1/status/1181931893572427776","1181931893572427776")</f>
        <v>1181931893572427776</v>
      </c>
      <c r="F1108" s="8"/>
      <c r="G1108" s="15"/>
      <c r="H1108" s="8"/>
      <c r="I1108" s="15">
        <v>0</v>
      </c>
      <c r="J1108" s="15">
        <v>0</v>
      </c>
      <c r="K1108" s="12" t="str">
        <f>HYPERLINK("http://twitter.com/download/android","Twitter for Android")</f>
        <v>Twitter for Android</v>
      </c>
      <c r="L1108" s="16">
        <v>138</v>
      </c>
      <c r="M1108" s="16">
        <v>81</v>
      </c>
      <c r="N1108" s="16">
        <v>0</v>
      </c>
      <c r="O1108" s="17"/>
      <c r="P1108" s="18">
        <v>40822.606666666667</v>
      </c>
      <c r="Q1108" s="7"/>
      <c r="R1108" s="7"/>
      <c r="S1108" s="7"/>
      <c r="T1108" s="8"/>
      <c r="U1108" s="19" t="str">
        <f>HYPERLINK("https://pbs.twimg.com/profile_images/1142179782404321281/qjdksTdC.jpg","View")</f>
        <v>View</v>
      </c>
      <c r="V1108" s="8"/>
      <c r="W1108" s="8"/>
      <c r="X1108" s="8"/>
      <c r="Y1108" s="8"/>
      <c r="Z1108" s="8"/>
    </row>
    <row r="1109" spans="1:26" ht="12.75">
      <c r="A1109" s="11">
        <v>43747.29042824074</v>
      </c>
      <c r="B1109" s="12" t="str">
        <f>HYPERLINK("https://twitter.com/kayahan2","@kayahan2")</f>
        <v>@kayahan2</v>
      </c>
      <c r="C1109" s="7" t="s">
        <v>8460</v>
      </c>
      <c r="D1109" s="7" t="s">
        <v>8461</v>
      </c>
      <c r="E1109" s="12" t="str">
        <f>HYPERLINK("https://twitter.com/kayahan2/status/1181931875864125441","1181931875864125441")</f>
        <v>1181931875864125441</v>
      </c>
      <c r="F1109" s="8"/>
      <c r="G1109" s="14" t="s">
        <v>8462</v>
      </c>
      <c r="H1109" s="8"/>
      <c r="I1109" s="15">
        <v>1</v>
      </c>
      <c r="J1109" s="15">
        <v>2</v>
      </c>
      <c r="K1109" s="12" t="str">
        <f>HYPERLINK("http://twitter.com/download/android","Twitter for Android")</f>
        <v>Twitter for Android</v>
      </c>
      <c r="L1109" s="16">
        <v>135</v>
      </c>
      <c r="M1109" s="16">
        <v>152</v>
      </c>
      <c r="N1109" s="16">
        <v>0</v>
      </c>
      <c r="O1109" s="17"/>
      <c r="P1109" s="18">
        <v>40317.365439814814</v>
      </c>
      <c r="Q1109" s="7"/>
      <c r="R1109" s="7"/>
      <c r="S1109" s="7"/>
      <c r="T1109" s="8"/>
      <c r="U1109" s="19" t="str">
        <f>HYPERLINK("https://pbs.twimg.com/profile_images/794978605797347328/fgBAWqmU.jpg","View")</f>
        <v>View</v>
      </c>
      <c r="V1109" s="8"/>
      <c r="W1109" s="8"/>
      <c r="X1109" s="8"/>
      <c r="Y1109" s="8"/>
      <c r="Z1109" s="8"/>
    </row>
    <row r="1110" spans="1:26" ht="12.75">
      <c r="A1110" s="11">
        <v>43747.290393518517</v>
      </c>
      <c r="B1110" s="12" t="str">
        <f>HYPERLINK("https://twitter.com/97Husna","@97Husna")</f>
        <v>@97Husna</v>
      </c>
      <c r="C1110" s="7" t="s">
        <v>8463</v>
      </c>
      <c r="D1110" s="7" t="s">
        <v>8464</v>
      </c>
      <c r="E1110" s="12" t="str">
        <f>HYPERLINK("https://twitter.com/97Husna/status/1181931867047710720","1181931867047710720")</f>
        <v>1181931867047710720</v>
      </c>
      <c r="F1110" s="14" t="s">
        <v>8465</v>
      </c>
      <c r="G1110" s="15"/>
      <c r="H1110" s="8"/>
      <c r="I1110" s="15">
        <v>0</v>
      </c>
      <c r="J1110" s="15">
        <v>2</v>
      </c>
      <c r="K1110" s="12" t="str">
        <f>HYPERLINK("http://twitter.com/download/android","Twitter for Android")</f>
        <v>Twitter for Android</v>
      </c>
      <c r="L1110" s="16">
        <v>7962</v>
      </c>
      <c r="M1110" s="16">
        <v>6892</v>
      </c>
      <c r="N1110" s="16">
        <v>8</v>
      </c>
      <c r="O1110" s="17"/>
      <c r="P1110" s="18">
        <v>40769.122534722221</v>
      </c>
      <c r="Q1110" s="7" t="s">
        <v>80</v>
      </c>
      <c r="R1110" s="7" t="s">
        <v>8469</v>
      </c>
      <c r="S1110" s="7"/>
      <c r="T1110" s="8"/>
      <c r="U1110" s="19" t="str">
        <f>HYPERLINK("https://pbs.twimg.com/profile_images/817138791282593794/35Dvyzao.jpg","View")</f>
        <v>View</v>
      </c>
      <c r="V1110" s="8"/>
      <c r="W1110" s="8"/>
      <c r="X1110" s="8"/>
      <c r="Y1110" s="8"/>
      <c r="Z1110" s="8"/>
    </row>
    <row r="1111" spans="1:26" ht="12.75">
      <c r="A1111" s="11">
        <v>43747.290347222224</v>
      </c>
      <c r="B1111" s="12" t="str">
        <f>HYPERLINK("https://twitter.com/suatkose_","@suatkose_")</f>
        <v>@suatkose_</v>
      </c>
      <c r="C1111" s="7" t="s">
        <v>8470</v>
      </c>
      <c r="D1111" s="7" t="s">
        <v>8471</v>
      </c>
      <c r="E1111" s="12" t="str">
        <f>HYPERLINK("https://twitter.com/suatkose_/status/1181931849704202241","1181931849704202241")</f>
        <v>1181931849704202241</v>
      </c>
      <c r="F1111" s="14" t="s">
        <v>3207</v>
      </c>
      <c r="G1111" s="7"/>
      <c r="H1111" s="8"/>
      <c r="I1111" s="15">
        <v>0</v>
      </c>
      <c r="J1111" s="15">
        <v>1</v>
      </c>
      <c r="K1111" s="12" t="str">
        <f>HYPERLINK("http://twitter.com/download/android","Twitter for Android")</f>
        <v>Twitter for Android</v>
      </c>
      <c r="L1111" s="16">
        <v>91</v>
      </c>
      <c r="M1111" s="16">
        <v>198</v>
      </c>
      <c r="N1111" s="16">
        <v>0</v>
      </c>
      <c r="O1111" s="17"/>
      <c r="P1111" s="18">
        <v>43180.650868055556</v>
      </c>
      <c r="Q1111" s="7" t="s">
        <v>80</v>
      </c>
      <c r="R1111" s="7" t="s">
        <v>8474</v>
      </c>
      <c r="S1111" s="14" t="s">
        <v>8475</v>
      </c>
      <c r="T1111" s="8"/>
      <c r="U1111" s="19" t="str">
        <f>HYPERLINK("https://pbs.twimg.com/profile_images/1181895445922103296/62jkCWFP.jpg","View")</f>
        <v>View</v>
      </c>
      <c r="V1111" s="8"/>
      <c r="W1111" s="8"/>
      <c r="X1111" s="8"/>
      <c r="Y1111" s="8"/>
      <c r="Z1111" s="8"/>
    </row>
    <row r="1112" spans="1:26" ht="12.75">
      <c r="A1112" s="11">
        <v>43747.290324074071</v>
      </c>
      <c r="B1112" s="12" t="str">
        <f>HYPERLINK("https://twitter.com/veyseltopraakk","@veyseltopraakk")</f>
        <v>@veyseltopraakk</v>
      </c>
      <c r="C1112" s="7" t="s">
        <v>8477</v>
      </c>
      <c r="D1112" s="7" t="s">
        <v>8478</v>
      </c>
      <c r="E1112" s="12" t="str">
        <f>HYPERLINK("https://twitter.com/veyseltopraakk/status/1181931837800767496","1181931837800767496")</f>
        <v>1181931837800767496</v>
      </c>
      <c r="F1112" s="8"/>
      <c r="G1112" s="14" t="s">
        <v>8480</v>
      </c>
      <c r="H1112" s="8"/>
      <c r="I1112" s="15">
        <v>1</v>
      </c>
      <c r="J1112" s="15">
        <v>17</v>
      </c>
      <c r="K1112" s="12" t="str">
        <f>HYPERLINK("http://twitter.com/download/iphone","Twitter for iPhone")</f>
        <v>Twitter for iPhone</v>
      </c>
      <c r="L1112" s="16">
        <v>3928</v>
      </c>
      <c r="M1112" s="16">
        <v>4349</v>
      </c>
      <c r="N1112" s="16">
        <v>1</v>
      </c>
      <c r="O1112" s="17"/>
      <c r="P1112" s="18">
        <v>43344.623773148152</v>
      </c>
      <c r="Q1112" s="7" t="s">
        <v>8481</v>
      </c>
      <c r="R1112" s="7" t="s">
        <v>8482</v>
      </c>
      <c r="S1112" s="14" t="s">
        <v>8483</v>
      </c>
      <c r="T1112" s="8"/>
      <c r="U1112" s="19" t="str">
        <f>HYPERLINK("https://pbs.twimg.com/profile_images/1142790601802469376/zZRbuf6x.jpg","View")</f>
        <v>View</v>
      </c>
      <c r="V1112" s="8"/>
      <c r="W1112" s="8"/>
      <c r="X1112" s="8"/>
      <c r="Y1112" s="8"/>
      <c r="Z1112" s="8"/>
    </row>
    <row r="1113" spans="1:26" ht="12.75">
      <c r="A1113" s="11">
        <v>43747.290312500001</v>
      </c>
      <c r="B1113" s="12" t="str">
        <f>HYPERLINK("https://twitter.com/aaybalaa1","@aaybalaa1")</f>
        <v>@aaybalaa1</v>
      </c>
      <c r="C1113" s="7" t="s">
        <v>8487</v>
      </c>
      <c r="D1113" s="7" t="s">
        <v>8488</v>
      </c>
      <c r="E1113" s="12" t="str">
        <f>HYPERLINK("https://twitter.com/aaybalaa1/status/1181931836185993216","1181931836185993216")</f>
        <v>1181931836185993216</v>
      </c>
      <c r="F1113" s="8"/>
      <c r="G1113" s="14" t="s">
        <v>8489</v>
      </c>
      <c r="H1113" s="8"/>
      <c r="I1113" s="15">
        <v>0</v>
      </c>
      <c r="J1113" s="15">
        <v>2</v>
      </c>
      <c r="K1113" s="12" t="str">
        <f>HYPERLINK("http://twitter.com/download/android","Twitter for Android")</f>
        <v>Twitter for Android</v>
      </c>
      <c r="L1113" s="16">
        <v>1383</v>
      </c>
      <c r="M1113" s="16">
        <v>673</v>
      </c>
      <c r="N1113" s="16">
        <v>1</v>
      </c>
      <c r="O1113" s="17"/>
      <c r="P1113" s="18">
        <v>40712.771921296298</v>
      </c>
      <c r="Q1113" s="7" t="s">
        <v>8492</v>
      </c>
      <c r="R1113" s="7" t="s">
        <v>8493</v>
      </c>
      <c r="S1113" s="14" t="s">
        <v>8494</v>
      </c>
      <c r="T1113" s="8"/>
      <c r="U1113" s="19" t="str">
        <f>HYPERLINK("https://pbs.twimg.com/profile_images/1168672381533138946/2n9WpIcR.jpg","View")</f>
        <v>View</v>
      </c>
      <c r="V1113" s="8"/>
      <c r="W1113" s="8"/>
      <c r="X1113" s="8"/>
      <c r="Y1113" s="8"/>
      <c r="Z1113" s="8"/>
    </row>
    <row r="1114" spans="1:26" ht="12.75">
      <c r="A1114" s="11">
        <v>43747.290312500001</v>
      </c>
      <c r="B1114" s="12" t="str">
        <f>HYPERLINK("https://twitter.com/Ceyhunozd","@Ceyhunozd")</f>
        <v>@Ceyhunozd</v>
      </c>
      <c r="C1114" s="7" t="s">
        <v>8497</v>
      </c>
      <c r="D1114" s="7" t="s">
        <v>8498</v>
      </c>
      <c r="E1114" s="12" t="str">
        <f>HYPERLINK("https://twitter.com/Ceyhunozd/status/1181931835280019461","1181931835280019461")</f>
        <v>1181931835280019461</v>
      </c>
      <c r="F1114" s="8"/>
      <c r="G1114" s="14" t="s">
        <v>8499</v>
      </c>
      <c r="H1114" s="8"/>
      <c r="I1114" s="15">
        <v>1</v>
      </c>
      <c r="J1114" s="15">
        <v>6</v>
      </c>
      <c r="K1114" s="12" t="str">
        <f>HYPERLINK("http://twitter.com/download/android","Twitter for Android")</f>
        <v>Twitter for Android</v>
      </c>
      <c r="L1114" s="16">
        <v>896</v>
      </c>
      <c r="M1114" s="16">
        <v>811</v>
      </c>
      <c r="N1114" s="16">
        <v>0</v>
      </c>
      <c r="O1114" s="17"/>
      <c r="P1114" s="18">
        <v>43443.076365740737</v>
      </c>
      <c r="Q1114" s="7" t="s">
        <v>8502</v>
      </c>
      <c r="R1114" s="7" t="s">
        <v>8503</v>
      </c>
      <c r="S1114" s="7"/>
      <c r="T1114" s="8"/>
      <c r="U1114" s="19" t="str">
        <f>HYPERLINK("https://pbs.twimg.com/profile_images/1178943447610339328/rT138vrN.jpg","View")</f>
        <v>View</v>
      </c>
      <c r="V1114" s="8"/>
      <c r="W1114" s="8"/>
      <c r="X1114" s="8"/>
      <c r="Y1114" s="8"/>
      <c r="Z1114" s="8"/>
    </row>
    <row r="1115" spans="1:26" ht="12.75">
      <c r="A1115" s="11">
        <v>43747.290289351848</v>
      </c>
      <c r="B1115" s="12" t="str">
        <f>HYPERLINK("https://twitter.com/timurx1903","@timurx1903")</f>
        <v>@timurx1903</v>
      </c>
      <c r="C1115" s="7" t="s">
        <v>8506</v>
      </c>
      <c r="D1115" s="7" t="s">
        <v>8507</v>
      </c>
      <c r="E1115" s="12" t="str">
        <f>HYPERLINK("https://twitter.com/timurx1903/status/1181931828560699392","1181931828560699392")</f>
        <v>1181931828560699392</v>
      </c>
      <c r="F1115" s="15"/>
      <c r="G1115" s="15"/>
      <c r="H1115" s="8"/>
      <c r="I1115" s="15">
        <v>0</v>
      </c>
      <c r="J1115" s="15">
        <v>3</v>
      </c>
      <c r="K1115" s="12" t="str">
        <f>HYPERLINK("https://mobile.twitter.com","Twitter Web App")</f>
        <v>Twitter Web App</v>
      </c>
      <c r="L1115" s="16">
        <v>1125</v>
      </c>
      <c r="M1115" s="16">
        <v>887</v>
      </c>
      <c r="N1115" s="16">
        <v>2</v>
      </c>
      <c r="O1115" s="17"/>
      <c r="P1115" s="18">
        <v>41653.104722222226</v>
      </c>
      <c r="Q1115" s="7" t="s">
        <v>8508</v>
      </c>
      <c r="R1115" s="7" t="s">
        <v>8509</v>
      </c>
      <c r="S1115" s="15"/>
      <c r="T1115" s="8"/>
      <c r="U1115" s="19" t="str">
        <f>HYPERLINK("https://pbs.twimg.com/profile_images/1164453830672732162/dQ38JnVC.jpg","View")</f>
        <v>View</v>
      </c>
      <c r="V1115" s="8"/>
      <c r="W1115" s="8"/>
      <c r="X1115" s="8"/>
      <c r="Y1115" s="8"/>
      <c r="Z1115" s="8"/>
    </row>
    <row r="1116" spans="1:26" ht="12.75">
      <c r="A1116" s="11">
        <v>43747.290289351848</v>
      </c>
      <c r="B1116" s="12" t="str">
        <f>HYPERLINK("https://twitter.com/tameryavuz_","@tameryavuz_")</f>
        <v>@tameryavuz_</v>
      </c>
      <c r="C1116" s="7" t="s">
        <v>8510</v>
      </c>
      <c r="D1116" s="7" t="s">
        <v>8511</v>
      </c>
      <c r="E1116" s="12" t="str">
        <f>HYPERLINK("https://twitter.com/tameryavuz_/status/1181931825213640704","1181931825213640704")</f>
        <v>1181931825213640704</v>
      </c>
      <c r="F1116" s="8"/>
      <c r="G1116" s="14" t="s">
        <v>8512</v>
      </c>
      <c r="H1116" s="8"/>
      <c r="I1116" s="15">
        <v>3</v>
      </c>
      <c r="J1116" s="15">
        <v>18</v>
      </c>
      <c r="K1116" s="12" t="str">
        <f>HYPERLINK("http://twitter.com/download/iphone","Twitter for iPhone")</f>
        <v>Twitter for iPhone</v>
      </c>
      <c r="L1116" s="16">
        <v>2979</v>
      </c>
      <c r="M1116" s="16">
        <v>2730</v>
      </c>
      <c r="N1116" s="16">
        <v>7</v>
      </c>
      <c r="O1116" s="17"/>
      <c r="P1116" s="18">
        <v>40693.449976851851</v>
      </c>
      <c r="Q1116" s="7" t="s">
        <v>8513</v>
      </c>
      <c r="R1116" s="7" t="s">
        <v>8514</v>
      </c>
      <c r="S1116" s="7"/>
      <c r="T1116" s="8"/>
      <c r="U1116" s="19" t="str">
        <f>HYPERLINK("https://pbs.twimg.com/profile_images/1164670217475305472/z_1QIpnx.jpg","View")</f>
        <v>View</v>
      </c>
      <c r="V1116" s="8"/>
      <c r="W1116" s="8"/>
      <c r="X1116" s="8"/>
      <c r="Y1116" s="8"/>
      <c r="Z1116" s="8"/>
    </row>
    <row r="1117" spans="1:26" ht="12.75">
      <c r="A1117" s="11">
        <v>43747.290243055555</v>
      </c>
      <c r="B1117" s="12" t="str">
        <f>HYPERLINK("https://twitter.com/C14H21NO11n","@C14H21NO11n")</f>
        <v>@C14H21NO11n</v>
      </c>
      <c r="C1117" s="7" t="s">
        <v>6539</v>
      </c>
      <c r="D1117" s="7" t="s">
        <v>8515</v>
      </c>
      <c r="E1117" s="12" t="str">
        <f>HYPERLINK("https://twitter.com/C14H21NO11n/status/1181931811179499520","1181931811179499520")</f>
        <v>1181931811179499520</v>
      </c>
      <c r="F1117" s="8"/>
      <c r="G1117" s="14" t="s">
        <v>8516</v>
      </c>
      <c r="H1117" s="8"/>
      <c r="I1117" s="15">
        <v>0</v>
      </c>
      <c r="J1117" s="15">
        <v>1</v>
      </c>
      <c r="K1117" s="12" t="str">
        <f>HYPERLINK("http://twitter.com/download/android","Twitter for Android")</f>
        <v>Twitter for Android</v>
      </c>
      <c r="L1117" s="16">
        <v>207</v>
      </c>
      <c r="M1117" s="16">
        <v>50</v>
      </c>
      <c r="N1117" s="16">
        <v>0</v>
      </c>
      <c r="O1117" s="17"/>
      <c r="P1117" s="18">
        <v>43470.269513888888</v>
      </c>
      <c r="Q1117" s="7"/>
      <c r="R1117" s="7"/>
      <c r="S1117" s="7"/>
      <c r="T1117" s="8"/>
      <c r="U1117" s="19" t="str">
        <f>HYPERLINK("https://pbs.twimg.com/profile_images/1180952372471840769/-HkQNHQp.jpg","View")</f>
        <v>View</v>
      </c>
      <c r="V1117" s="8"/>
      <c r="W1117" s="8"/>
      <c r="X1117" s="8"/>
      <c r="Y1117" s="8"/>
      <c r="Z1117" s="8"/>
    </row>
    <row r="1118" spans="1:26" ht="12.75">
      <c r="A1118" s="11">
        <v>43747.290231481486</v>
      </c>
      <c r="B1118" s="12" t="str">
        <f>HYPERLINK("https://twitter.com/ekotr50","@ekotr50")</f>
        <v>@ekotr50</v>
      </c>
      <c r="C1118" s="7" t="s">
        <v>8517</v>
      </c>
      <c r="D1118" s="7" t="s">
        <v>8518</v>
      </c>
      <c r="E1118" s="12" t="str">
        <f>HYPERLINK("https://twitter.com/ekotr50/status/1181931805441744897","1181931805441744897")</f>
        <v>1181931805441744897</v>
      </c>
      <c r="F1118" s="8"/>
      <c r="G1118" s="14" t="s">
        <v>8519</v>
      </c>
      <c r="H1118" s="8"/>
      <c r="I1118" s="15">
        <v>1</v>
      </c>
      <c r="J1118" s="15">
        <v>0</v>
      </c>
      <c r="K1118" s="12" t="str">
        <f>HYPERLINK("http://twitter.com/download/android","Twitter for Android")</f>
        <v>Twitter for Android</v>
      </c>
      <c r="L1118" s="16">
        <v>2203</v>
      </c>
      <c r="M1118" s="16">
        <v>3718</v>
      </c>
      <c r="N1118" s="16">
        <v>3</v>
      </c>
      <c r="O1118" s="17"/>
      <c r="P1118" s="18">
        <v>43110.926886574074</v>
      </c>
      <c r="Q1118" s="7" t="s">
        <v>200</v>
      </c>
      <c r="R1118" s="7" t="s">
        <v>8521</v>
      </c>
      <c r="S1118" s="15"/>
      <c r="T1118" s="8"/>
      <c r="U1118" s="19" t="str">
        <f>HYPERLINK("https://pbs.twimg.com/profile_images/1102892011894571008/cwiaR5IK.png","View")</f>
        <v>View</v>
      </c>
      <c r="V1118" s="8"/>
      <c r="W1118" s="8"/>
      <c r="X1118" s="8"/>
      <c r="Y1118" s="8"/>
      <c r="Z1118" s="8"/>
    </row>
    <row r="1119" spans="1:26" ht="12.75">
      <c r="A1119" s="11">
        <v>43747.290208333332</v>
      </c>
      <c r="B1119" s="12" t="str">
        <f>HYPERLINK("https://twitter.com/uslubasmstf","@uslubasmstf")</f>
        <v>@uslubasmstf</v>
      </c>
      <c r="C1119" s="7" t="s">
        <v>4769</v>
      </c>
      <c r="D1119" s="7" t="s">
        <v>7946</v>
      </c>
      <c r="E1119" s="12" t="str">
        <f>HYPERLINK("https://twitter.com/uslubasmstf/status/1181931799951413249","1181931799951413249")</f>
        <v>1181931799951413249</v>
      </c>
      <c r="F1119" s="8"/>
      <c r="G1119" s="15"/>
      <c r="H1119" s="8"/>
      <c r="I1119" s="15">
        <v>0</v>
      </c>
      <c r="J1119" s="15">
        <v>0</v>
      </c>
      <c r="K1119" s="12" t="str">
        <f>HYPERLINK("http://twitter.com/download/iphone","Twitter for iPhone")</f>
        <v>Twitter for iPhone</v>
      </c>
      <c r="L1119" s="16">
        <v>310</v>
      </c>
      <c r="M1119" s="16">
        <v>236</v>
      </c>
      <c r="N1119" s="16">
        <v>0</v>
      </c>
      <c r="O1119" s="17"/>
      <c r="P1119" s="18">
        <v>40064.114270833335</v>
      </c>
      <c r="Q1119" s="7" t="s">
        <v>860</v>
      </c>
      <c r="R1119" s="7" t="s">
        <v>8522</v>
      </c>
      <c r="S1119" s="14" t="s">
        <v>8523</v>
      </c>
      <c r="T1119" s="8"/>
      <c r="U1119" s="19" t="str">
        <f>HYPERLINK("https://pbs.twimg.com/profile_images/1177919605601456130/gPX3ZJtO.jpg","View")</f>
        <v>View</v>
      </c>
      <c r="V1119" s="8"/>
      <c r="W1119" s="8"/>
      <c r="X1119" s="8"/>
      <c r="Y1119" s="8"/>
      <c r="Z1119" s="8"/>
    </row>
    <row r="1120" spans="1:26" ht="12.75">
      <c r="A1120" s="11">
        <v>43747.290208333332</v>
      </c>
      <c r="B1120" s="12" t="str">
        <f>HYPERLINK("https://twitter.com/VatanBayrak44","@VatanBayrak44")</f>
        <v>@VatanBayrak44</v>
      </c>
      <c r="C1120" s="7" t="s">
        <v>8524</v>
      </c>
      <c r="D1120" s="7" t="s">
        <v>8525</v>
      </c>
      <c r="E1120" s="12" t="str">
        <f>HYPERLINK("https://twitter.com/VatanBayrak44/status/1181931795828355072","1181931795828355072")</f>
        <v>1181931795828355072</v>
      </c>
      <c r="F1120" s="8"/>
      <c r="G1120" s="14" t="s">
        <v>8526</v>
      </c>
      <c r="H1120" s="8"/>
      <c r="I1120" s="15">
        <v>4</v>
      </c>
      <c r="J1120" s="15">
        <v>25</v>
      </c>
      <c r="K1120" s="12" t="str">
        <f>HYPERLINK("http://twitter.com/download/android","Twitter for Android")</f>
        <v>Twitter for Android</v>
      </c>
      <c r="L1120" s="16">
        <v>13575</v>
      </c>
      <c r="M1120" s="16">
        <v>13138</v>
      </c>
      <c r="N1120" s="16">
        <v>22</v>
      </c>
      <c r="O1120" s="17"/>
      <c r="P1120" s="18">
        <v>42828.531689814816</v>
      </c>
      <c r="Q1120" s="7" t="s">
        <v>313</v>
      </c>
      <c r="R1120" s="7" t="s">
        <v>8527</v>
      </c>
      <c r="S1120" s="14" t="s">
        <v>8528</v>
      </c>
      <c r="T1120" s="8"/>
      <c r="U1120" s="19" t="str">
        <f>HYPERLINK("https://pbs.twimg.com/profile_images/1152656083930046466/_9q4M8lq.jpg","View")</f>
        <v>View</v>
      </c>
      <c r="V1120" s="8"/>
      <c r="W1120" s="8"/>
      <c r="X1120" s="8"/>
      <c r="Y1120" s="8"/>
      <c r="Z1120" s="8"/>
    </row>
    <row r="1121" spans="1:26" ht="12.75">
      <c r="A1121" s="11">
        <v>43747.290185185186</v>
      </c>
      <c r="B1121" s="12" t="str">
        <f>HYPERLINK("https://twitter.com/semanur_akdemir","@semanur_akdemir")</f>
        <v>@semanur_akdemir</v>
      </c>
      <c r="C1121" s="7" t="s">
        <v>8529</v>
      </c>
      <c r="D1121" s="7" t="s">
        <v>8530</v>
      </c>
      <c r="E1121" s="12" t="str">
        <f>HYPERLINK("https://twitter.com/semanur_akdemir/status/1181931790652645377","1181931790652645377")</f>
        <v>1181931790652645377</v>
      </c>
      <c r="F1121" s="8"/>
      <c r="G1121" s="14" t="s">
        <v>8531</v>
      </c>
      <c r="H1121" s="8"/>
      <c r="I1121" s="15">
        <v>1</v>
      </c>
      <c r="J1121" s="15">
        <v>0</v>
      </c>
      <c r="K1121" s="12" t="str">
        <f>HYPERLINK("http://twitter.com/download/android","Twitter for Android")</f>
        <v>Twitter for Android</v>
      </c>
      <c r="L1121" s="16">
        <v>0</v>
      </c>
      <c r="M1121" s="16">
        <v>7</v>
      </c>
      <c r="N1121" s="16">
        <v>0</v>
      </c>
      <c r="O1121" s="17"/>
      <c r="P1121" s="18">
        <v>43747.111261574071</v>
      </c>
      <c r="Q1121" s="7"/>
      <c r="R1121" s="7"/>
      <c r="S1121" s="7"/>
      <c r="T1121" s="8"/>
      <c r="U1121" s="19" t="str">
        <f>HYPERLINK("https://pbs.twimg.com/profile_images/1181929082390482944/F5a0w0VN.jpg","View")</f>
        <v>View</v>
      </c>
      <c r="V1121" s="8"/>
      <c r="W1121" s="8"/>
      <c r="X1121" s="8"/>
      <c r="Y1121" s="8"/>
      <c r="Z1121" s="8"/>
    </row>
    <row r="1122" spans="1:26" ht="12.75">
      <c r="A1122" s="11">
        <v>43747.290162037039</v>
      </c>
      <c r="B1122" s="12" t="str">
        <f>HYPERLINK("https://twitter.com/sefakiler","@sefakiler")</f>
        <v>@sefakiler</v>
      </c>
      <c r="C1122" s="7" t="s">
        <v>8534</v>
      </c>
      <c r="D1122" s="7" t="s">
        <v>8535</v>
      </c>
      <c r="E1122" s="12" t="str">
        <f>HYPERLINK("https://twitter.com/sefakiler/status/1181931779063717888","1181931779063717888")</f>
        <v>1181931779063717888</v>
      </c>
      <c r="F1122" s="8"/>
      <c r="G1122" s="14" t="s">
        <v>8536</v>
      </c>
      <c r="H1122" s="8"/>
      <c r="I1122" s="15">
        <v>3</v>
      </c>
      <c r="J1122" s="15">
        <v>3</v>
      </c>
      <c r="K1122" s="12" t="str">
        <f>HYPERLINK("http://twitter.com/download/iphone","Twitter for iPhone")</f>
        <v>Twitter for iPhone</v>
      </c>
      <c r="L1122" s="16">
        <v>2723</v>
      </c>
      <c r="M1122" s="16">
        <v>213</v>
      </c>
      <c r="N1122" s="16">
        <v>14</v>
      </c>
      <c r="O1122" s="17"/>
      <c r="P1122" s="18">
        <v>40520.541388888887</v>
      </c>
      <c r="Q1122" s="7"/>
      <c r="R1122" s="7" t="s">
        <v>8537</v>
      </c>
      <c r="S1122" s="7"/>
      <c r="T1122" s="8"/>
      <c r="U1122" s="19" t="str">
        <f>HYPERLINK("https://pbs.twimg.com/profile_images/793023341842030592/zc1i1kU0.jpg","View")</f>
        <v>View</v>
      </c>
      <c r="V1122" s="8"/>
      <c r="W1122" s="8"/>
      <c r="X1122" s="8"/>
      <c r="Y1122" s="8"/>
      <c r="Z1122" s="8"/>
    </row>
    <row r="1123" spans="1:26" ht="12.75">
      <c r="A1123" s="11">
        <v>43747.290150462963</v>
      </c>
      <c r="B1123" s="12" t="str">
        <f>HYPERLINK("https://twitter.com/izgimedya","@izgimedya")</f>
        <v>@izgimedya</v>
      </c>
      <c r="C1123" s="7" t="s">
        <v>8538</v>
      </c>
      <c r="D1123" s="7" t="s">
        <v>8539</v>
      </c>
      <c r="E1123" s="12" t="str">
        <f>HYPERLINK("https://twitter.com/izgimedya/status/1181931776442339456","1181931776442339456")</f>
        <v>1181931776442339456</v>
      </c>
      <c r="F1123" s="15"/>
      <c r="G1123" s="14" t="s">
        <v>8540</v>
      </c>
      <c r="H1123" s="8"/>
      <c r="I1123" s="15">
        <v>0</v>
      </c>
      <c r="J1123" s="15">
        <v>0</v>
      </c>
      <c r="K1123" s="12" t="str">
        <f>HYPERLINK("http://twitter.com/download/android","Twitter for Android")</f>
        <v>Twitter for Android</v>
      </c>
      <c r="L1123" s="16">
        <v>619</v>
      </c>
      <c r="M1123" s="16">
        <v>1383</v>
      </c>
      <c r="N1123" s="16">
        <v>0</v>
      </c>
      <c r="O1123" s="17"/>
      <c r="P1123" s="18">
        <v>42322.429108796292</v>
      </c>
      <c r="Q1123" s="7" t="s">
        <v>313</v>
      </c>
      <c r="R1123" s="7" t="s">
        <v>8541</v>
      </c>
      <c r="S1123" s="14" t="s">
        <v>8542</v>
      </c>
      <c r="T1123" s="8"/>
      <c r="U1123" s="19" t="str">
        <f>HYPERLINK("https://pbs.twimg.com/profile_images/1181865355477737472/8k6YzfGv.jpg","View")</f>
        <v>View</v>
      </c>
      <c r="V1123" s="8"/>
      <c r="W1123" s="8"/>
      <c r="X1123" s="8"/>
      <c r="Y1123" s="8"/>
      <c r="Z1123" s="8"/>
    </row>
    <row r="1124" spans="1:26" ht="12.75">
      <c r="A1124" s="11">
        <v>43747.290127314816</v>
      </c>
      <c r="B1124" s="12" t="str">
        <f>HYPERLINK("https://twitter.com/thex3ctive","@thex3ctive")</f>
        <v>@thex3ctive</v>
      </c>
      <c r="C1124" s="7" t="s">
        <v>8543</v>
      </c>
      <c r="D1124" s="7" t="s">
        <v>8544</v>
      </c>
      <c r="E1124" s="12" t="str">
        <f>HYPERLINK("https://twitter.com/thex3ctive/status/1181931766715752448","1181931766715752448")</f>
        <v>1181931766715752448</v>
      </c>
      <c r="F1124" s="8"/>
      <c r="G1124" s="15"/>
      <c r="H1124" s="8"/>
      <c r="I1124" s="15">
        <v>0</v>
      </c>
      <c r="J1124" s="15">
        <v>0</v>
      </c>
      <c r="K1124" s="12" t="str">
        <f>HYPERLINK("http://twitter.com/download/iphone","Twitter for iPhone")</f>
        <v>Twitter for iPhone</v>
      </c>
      <c r="L1124" s="16">
        <v>191</v>
      </c>
      <c r="M1124" s="16">
        <v>459</v>
      </c>
      <c r="N1124" s="16">
        <v>6</v>
      </c>
      <c r="O1124" s="17"/>
      <c r="P1124" s="18">
        <v>40215.497534722221</v>
      </c>
      <c r="Q1124" s="7"/>
      <c r="R1124" s="15"/>
      <c r="S1124" s="15"/>
      <c r="T1124" s="8"/>
      <c r="U1124" s="19" t="str">
        <f>HYPERLINK("https://pbs.twimg.com/profile_images/1151589755794132992/dxXUGv0h.jpg","View")</f>
        <v>View</v>
      </c>
      <c r="V1124" s="8"/>
      <c r="W1124" s="8"/>
      <c r="X1124" s="8"/>
      <c r="Y1124" s="8"/>
      <c r="Z1124" s="8"/>
    </row>
    <row r="1125" spans="1:26" ht="12.75">
      <c r="A1125" s="11">
        <v>43747.290081018524</v>
      </c>
      <c r="B1125" s="12" t="str">
        <f>HYPERLINK("https://twitter.com/MustafaFth","@MustafaFth")</f>
        <v>@MustafaFth</v>
      </c>
      <c r="C1125" s="7" t="s">
        <v>8549</v>
      </c>
      <c r="D1125" s="7" t="s">
        <v>8550</v>
      </c>
      <c r="E1125" s="12" t="str">
        <f>HYPERLINK("https://twitter.com/MustafaFth/status/1181931752606044161","1181931752606044161")</f>
        <v>1181931752606044161</v>
      </c>
      <c r="F1125" s="8"/>
      <c r="G1125" s="14" t="s">
        <v>8552</v>
      </c>
      <c r="H1125" s="8"/>
      <c r="I1125" s="15">
        <v>0</v>
      </c>
      <c r="J1125" s="15">
        <v>1</v>
      </c>
      <c r="K1125" s="12" t="str">
        <f>HYPERLINK("http://twitter.com/download/iphone","Twitter for iPhone")</f>
        <v>Twitter for iPhone</v>
      </c>
      <c r="L1125" s="16">
        <v>63</v>
      </c>
      <c r="M1125" s="16">
        <v>178</v>
      </c>
      <c r="N1125" s="16">
        <v>0</v>
      </c>
      <c r="O1125" s="17"/>
      <c r="P1125" s="18">
        <v>42582.352280092593</v>
      </c>
      <c r="Q1125" s="7"/>
      <c r="R1125" s="7" t="s">
        <v>8554</v>
      </c>
      <c r="S1125" s="15"/>
      <c r="T1125" s="8"/>
      <c r="U1125" s="19" t="str">
        <f>HYPERLINK("https://pbs.twimg.com/profile_images/1167887343841230851/0CrimV-g.jpg","View")</f>
        <v>View</v>
      </c>
      <c r="V1125" s="8"/>
      <c r="W1125" s="8"/>
      <c r="X1125" s="8"/>
      <c r="Y1125" s="8"/>
      <c r="Z1125" s="8"/>
    </row>
    <row r="1126" spans="1:26" ht="12.75">
      <c r="A1126" s="11">
        <v>43747.29006944444</v>
      </c>
      <c r="B1126" s="12" t="str">
        <f>HYPERLINK("https://twitter.com/oyalanma0624","@oyalanma0624")</f>
        <v>@oyalanma0624</v>
      </c>
      <c r="C1126" s="7" t="s">
        <v>8555</v>
      </c>
      <c r="D1126" s="7" t="s">
        <v>8556</v>
      </c>
      <c r="E1126" s="12" t="str">
        <f>HYPERLINK("https://twitter.com/oyalanma0624/status/1181931746448871429","1181931746448871429")</f>
        <v>1181931746448871429</v>
      </c>
      <c r="F1126" s="15"/>
      <c r="G1126" s="14" t="s">
        <v>8557</v>
      </c>
      <c r="H1126" s="8"/>
      <c r="I1126" s="15">
        <v>0</v>
      </c>
      <c r="J1126" s="15">
        <v>5</v>
      </c>
      <c r="K1126" s="12" t="str">
        <f>HYPERLINK("http://twitter.com/download/android","Twitter for Android")</f>
        <v>Twitter for Android</v>
      </c>
      <c r="L1126" s="16">
        <v>331</v>
      </c>
      <c r="M1126" s="16">
        <v>289</v>
      </c>
      <c r="N1126" s="16">
        <v>1</v>
      </c>
      <c r="O1126" s="17"/>
      <c r="P1126" s="18">
        <v>43336.346006944441</v>
      </c>
      <c r="Q1126" s="7"/>
      <c r="R1126" s="7"/>
      <c r="S1126" s="7"/>
      <c r="T1126" s="8"/>
      <c r="U1126" s="19" t="str">
        <f>HYPERLINK("https://pbs.twimg.com/profile_images/1060476241764106240/i3KVPTe0.jpg","View")</f>
        <v>View</v>
      </c>
      <c r="V1126" s="8"/>
      <c r="W1126" s="8"/>
      <c r="X1126" s="8"/>
      <c r="Y1126" s="8"/>
      <c r="Z1126" s="8"/>
    </row>
    <row r="1127" spans="1:26" ht="12.75">
      <c r="A1127" s="11">
        <v>43747.29005787037</v>
      </c>
      <c r="B1127" s="12" t="str">
        <f>HYPERLINK("https://twitter.com/sardar_sp","@sardar_sp")</f>
        <v>@sardar_sp</v>
      </c>
      <c r="C1127" s="13" t="s">
        <v>8564</v>
      </c>
      <c r="D1127" s="7" t="s">
        <v>8565</v>
      </c>
      <c r="E1127" s="12" t="str">
        <f>HYPERLINK("https://twitter.com/sardar_sp/status/1181931744406200321","1181931744406200321")</f>
        <v>1181931744406200321</v>
      </c>
      <c r="F1127" s="8"/>
      <c r="G1127" s="14" t="s">
        <v>8566</v>
      </c>
      <c r="H1127" s="8"/>
      <c r="I1127" s="15">
        <v>0</v>
      </c>
      <c r="J1127" s="15">
        <v>1</v>
      </c>
      <c r="K1127" s="12" t="str">
        <f>HYPERLINK("http://twitter.com/download/iphone","Twitter for iPhone")</f>
        <v>Twitter for iPhone</v>
      </c>
      <c r="L1127" s="16">
        <v>962</v>
      </c>
      <c r="M1127" s="16">
        <v>181</v>
      </c>
      <c r="N1127" s="16">
        <v>5</v>
      </c>
      <c r="O1127" s="17"/>
      <c r="P1127" s="18">
        <v>42585.631620370375</v>
      </c>
      <c r="Q1127" s="7" t="s">
        <v>8569</v>
      </c>
      <c r="R1127" s="7" t="s">
        <v>8570</v>
      </c>
      <c r="S1127" s="7"/>
      <c r="T1127" s="8"/>
      <c r="U1127" s="19" t="str">
        <f>HYPERLINK("https://pbs.twimg.com/profile_images/1162111124747280386/FaHn3BnD.jpg","View")</f>
        <v>View</v>
      </c>
      <c r="V1127" s="8"/>
      <c r="W1127" s="8"/>
      <c r="X1127" s="8"/>
      <c r="Y1127" s="8"/>
      <c r="Z1127" s="8"/>
    </row>
    <row r="1128" spans="1:26" ht="12.75">
      <c r="A1128" s="11">
        <v>43747.29005787037</v>
      </c>
      <c r="B1128" s="12" t="str">
        <f>HYPERLINK("https://twitter.com/MahmutYRK8","@MahmutYRK8")</f>
        <v>@MahmutYRK8</v>
      </c>
      <c r="C1128" s="7" t="s">
        <v>8574</v>
      </c>
      <c r="D1128" s="7" t="s">
        <v>8576</v>
      </c>
      <c r="E1128" s="12" t="str">
        <f>HYPERLINK("https://twitter.com/MahmutYRK8/status/1181931741814181892","1181931741814181892")</f>
        <v>1181931741814181892</v>
      </c>
      <c r="F1128" s="8"/>
      <c r="G1128" s="14" t="s">
        <v>8578</v>
      </c>
      <c r="H1128" s="8"/>
      <c r="I1128" s="15">
        <v>0</v>
      </c>
      <c r="J1128" s="15">
        <v>0</v>
      </c>
      <c r="K1128" s="12" t="str">
        <f>HYPERLINK("http://twitter.com/download/android","Twitter for Android")</f>
        <v>Twitter for Android</v>
      </c>
      <c r="L1128" s="16">
        <v>348</v>
      </c>
      <c r="M1128" s="16">
        <v>1213</v>
      </c>
      <c r="N1128" s="16">
        <v>0</v>
      </c>
      <c r="O1128" s="17"/>
      <c r="P1128" s="18">
        <v>43253.609050925923</v>
      </c>
      <c r="Q1128" s="7" t="s">
        <v>2721</v>
      </c>
      <c r="R1128" s="7" t="s">
        <v>8581</v>
      </c>
      <c r="S1128" s="7"/>
      <c r="T1128" s="8"/>
      <c r="U1128" s="19" t="str">
        <f>HYPERLINK("https://pbs.twimg.com/profile_images/1180917001138651136/aYNmBGXd.jpg","View")</f>
        <v>View</v>
      </c>
      <c r="V1128" s="8"/>
      <c r="W1128" s="8"/>
      <c r="X1128" s="8"/>
      <c r="Y1128" s="8"/>
      <c r="Z1128" s="8"/>
    </row>
    <row r="1129" spans="1:26" ht="12.75">
      <c r="A1129" s="11">
        <v>43747.290046296301</v>
      </c>
      <c r="B1129" s="12" t="str">
        <f>HYPERLINK("https://twitter.com/eenesbayraktar","@eenesbayraktar")</f>
        <v>@eenesbayraktar</v>
      </c>
      <c r="C1129" s="7" t="s">
        <v>8582</v>
      </c>
      <c r="D1129" s="7" t="s">
        <v>8583</v>
      </c>
      <c r="E1129" s="12" t="str">
        <f>HYPERLINK("https://twitter.com/eenesbayraktar/status/1181931741184974854","1181931741184974854")</f>
        <v>1181931741184974854</v>
      </c>
      <c r="F1129" s="8"/>
      <c r="G1129" s="15"/>
      <c r="H1129" s="8"/>
      <c r="I1129" s="15">
        <v>0</v>
      </c>
      <c r="J1129" s="15">
        <v>1</v>
      </c>
      <c r="K1129" s="12" t="str">
        <f>HYPERLINK("http://twitter.com/download/iphone","Twitter for iPhone")</f>
        <v>Twitter for iPhone</v>
      </c>
      <c r="L1129" s="16">
        <v>141</v>
      </c>
      <c r="M1129" s="16">
        <v>552</v>
      </c>
      <c r="N1129" s="16">
        <v>0</v>
      </c>
      <c r="O1129" s="17"/>
      <c r="P1129" s="18">
        <v>40453.566307870373</v>
      </c>
      <c r="Q1129" s="7" t="s">
        <v>8585</v>
      </c>
      <c r="R1129" s="7"/>
      <c r="S1129" s="7"/>
      <c r="T1129" s="8"/>
      <c r="U1129" s="19" t="str">
        <f>HYPERLINK("https://pbs.twimg.com/profile_images/1158493276883816448/5fSRBsox.jpg","View")</f>
        <v>View</v>
      </c>
      <c r="V1129" s="8"/>
      <c r="W1129" s="8"/>
      <c r="X1129" s="8"/>
      <c r="Y1129" s="8"/>
      <c r="Z1129" s="8"/>
    </row>
    <row r="1130" spans="1:26" ht="12.75">
      <c r="A1130" s="11">
        <v>43747.289988425924</v>
      </c>
      <c r="B1130" s="12" t="str">
        <f>HYPERLINK("https://twitter.com/Tuncay_OzTurk3","@Tuncay_OzTurk3")</f>
        <v>@Tuncay_OzTurk3</v>
      </c>
      <c r="C1130" s="7" t="s">
        <v>8587</v>
      </c>
      <c r="D1130" s="7" t="s">
        <v>8588</v>
      </c>
      <c r="E1130" s="12" t="str">
        <f>HYPERLINK("https://twitter.com/Tuncay_OzTurk3/status/1181931717067771906","1181931717067771906")</f>
        <v>1181931717067771906</v>
      </c>
      <c r="F1130" s="8"/>
      <c r="G1130" s="7"/>
      <c r="H1130" s="8"/>
      <c r="I1130" s="15">
        <v>0</v>
      </c>
      <c r="J1130" s="15">
        <v>0</v>
      </c>
      <c r="K1130" s="12" t="str">
        <f>HYPERLINK("http://twitter.com/download/android","Twitter for Android")</f>
        <v>Twitter for Android</v>
      </c>
      <c r="L1130" s="16">
        <v>0</v>
      </c>
      <c r="M1130" s="16">
        <v>0</v>
      </c>
      <c r="N1130" s="16">
        <v>0</v>
      </c>
      <c r="O1130" s="17"/>
      <c r="P1130" s="18">
        <v>43533.745451388888</v>
      </c>
      <c r="Q1130" s="7"/>
      <c r="R1130" s="7"/>
      <c r="S1130" s="7"/>
      <c r="T1130" s="8"/>
      <c r="U1130" s="19" t="str">
        <f>HYPERLINK("https://pbs.twimg.com/profile_images/1181931054422253568/9GggoZze.jpg","View")</f>
        <v>View</v>
      </c>
      <c r="V1130" s="8"/>
      <c r="W1130" s="8"/>
      <c r="X1130" s="8"/>
      <c r="Y1130" s="8"/>
      <c r="Z1130" s="8"/>
    </row>
    <row r="1131" spans="1:26" ht="12.75">
      <c r="A1131" s="11">
        <v>43747.289942129632</v>
      </c>
      <c r="B1131" s="12" t="str">
        <f>HYPERLINK("https://twitter.com/VinePsychic","@VinePsychic")</f>
        <v>@VinePsychic</v>
      </c>
      <c r="C1131" s="7" t="s">
        <v>8593</v>
      </c>
      <c r="D1131" s="7" t="s">
        <v>8594</v>
      </c>
      <c r="E1131" s="12" t="str">
        <f>HYPERLINK("https://twitter.com/VinePsychic/status/1181931702429478918","1181931702429478918")</f>
        <v>1181931702429478918</v>
      </c>
      <c r="F1131" s="14" t="s">
        <v>8595</v>
      </c>
      <c r="G1131" s="14" t="s">
        <v>8598</v>
      </c>
      <c r="H1131" s="8"/>
      <c r="I1131" s="15">
        <v>0</v>
      </c>
      <c r="J1131" s="15">
        <v>0</v>
      </c>
      <c r="K1131" s="12" t="str">
        <f>HYPERLINK("https://mobile.twitter.com","Twitter Web App")</f>
        <v>Twitter Web App</v>
      </c>
      <c r="L1131" s="16">
        <v>2623</v>
      </c>
      <c r="M1131" s="16">
        <v>2895</v>
      </c>
      <c r="N1131" s="16">
        <v>361</v>
      </c>
      <c r="O1131" s="17"/>
      <c r="P1131" s="18">
        <v>39907.711111111115</v>
      </c>
      <c r="Q1131" s="7" t="s">
        <v>8599</v>
      </c>
      <c r="R1131" s="7" t="s">
        <v>8600</v>
      </c>
      <c r="S1131" s="14" t="s">
        <v>8601</v>
      </c>
      <c r="T1131" s="8"/>
      <c r="U1131" s="19" t="str">
        <f>HYPERLINK("https://pbs.twimg.com/profile_images/1152598285/Vine_Logo.jpg","View")</f>
        <v>View</v>
      </c>
      <c r="V1131" s="8"/>
      <c r="W1131" s="8"/>
      <c r="X1131" s="8"/>
      <c r="Y1131" s="8"/>
      <c r="Z1131" s="8"/>
    </row>
    <row r="1132" spans="1:26" ht="12.75">
      <c r="A1132" s="11">
        <v>43747.289930555555</v>
      </c>
      <c r="B1132" s="12" t="str">
        <f>HYPERLINK("https://twitter.com/mstfzymz","@mstfzymz")</f>
        <v>@mstfzymz</v>
      </c>
      <c r="C1132" s="7" t="s">
        <v>8604</v>
      </c>
      <c r="D1132" s="7" t="s">
        <v>8605</v>
      </c>
      <c r="E1132" s="12" t="str">
        <f>HYPERLINK("https://twitter.com/mstfzymz/status/1181931698369511428","1181931698369511428")</f>
        <v>1181931698369511428</v>
      </c>
      <c r="F1132" s="8"/>
      <c r="G1132" s="14" t="s">
        <v>8606</v>
      </c>
      <c r="H1132" s="8"/>
      <c r="I1132" s="15">
        <v>0</v>
      </c>
      <c r="J1132" s="15">
        <v>0</v>
      </c>
      <c r="K1132" s="12" t="str">
        <f>HYPERLINK("http://twitter.com/download/android","Twitter for Android")</f>
        <v>Twitter for Android</v>
      </c>
      <c r="L1132" s="16">
        <v>210</v>
      </c>
      <c r="M1132" s="16">
        <v>636</v>
      </c>
      <c r="N1132" s="16">
        <v>0</v>
      </c>
      <c r="O1132" s="17"/>
      <c r="P1132" s="18">
        <v>41499.378287037034</v>
      </c>
      <c r="Q1132" s="7" t="s">
        <v>313</v>
      </c>
      <c r="R1132" s="7"/>
      <c r="S1132" s="7"/>
      <c r="T1132" s="8"/>
      <c r="U1132" s="19" t="str">
        <f>HYPERLINK("https://pbs.twimg.com/profile_images/1180383005170442240/eqbt_ew5.jpg","View")</f>
        <v>View</v>
      </c>
      <c r="V1132" s="8"/>
      <c r="W1132" s="8"/>
      <c r="X1132" s="8"/>
      <c r="Y1132" s="8"/>
      <c r="Z1132" s="8"/>
    </row>
    <row r="1133" spans="1:26" ht="12.75">
      <c r="A1133" s="11">
        <v>43747.289907407408</v>
      </c>
      <c r="B1133" s="12" t="str">
        <f>HYPERLINK("https://twitter.com/KamerAMAN__","@KamerAMAN__")</f>
        <v>@KamerAMAN__</v>
      </c>
      <c r="C1133" s="7" t="s">
        <v>8611</v>
      </c>
      <c r="D1133" s="7" t="s">
        <v>8612</v>
      </c>
      <c r="E1133" s="12" t="str">
        <f>HYPERLINK("https://twitter.com/KamerAMAN__/status/1181931687707660291","1181931687707660291")</f>
        <v>1181931687707660291</v>
      </c>
      <c r="F1133" s="15"/>
      <c r="G1133" s="14" t="s">
        <v>8614</v>
      </c>
      <c r="H1133" s="8"/>
      <c r="I1133" s="15">
        <v>0</v>
      </c>
      <c r="J1133" s="15">
        <v>0</v>
      </c>
      <c r="K1133" s="12" t="str">
        <f>HYPERLINK("http://twitter.com/download/android","Twitter for Android")</f>
        <v>Twitter for Android</v>
      </c>
      <c r="L1133" s="16">
        <v>58</v>
      </c>
      <c r="M1133" s="16">
        <v>219</v>
      </c>
      <c r="N1133" s="16">
        <v>0</v>
      </c>
      <c r="O1133" s="20"/>
      <c r="P1133" s="18">
        <v>43719.176493055551</v>
      </c>
      <c r="Q1133" s="7"/>
      <c r="R1133" s="7" t="s">
        <v>8615</v>
      </c>
      <c r="S1133" s="15"/>
      <c r="T1133" s="8"/>
      <c r="U1133" s="19" t="str">
        <f>HYPERLINK("https://pbs.twimg.com/profile_images/1171743860088803328/zFX8DOTL.jpg","View")</f>
        <v>View</v>
      </c>
      <c r="V1133" s="8"/>
      <c r="W1133" s="8"/>
      <c r="X1133" s="8"/>
      <c r="Y1133" s="8"/>
      <c r="Z1133" s="8"/>
    </row>
    <row r="1134" spans="1:26" ht="12.75">
      <c r="A1134" s="11">
        <v>43747.289872685185</v>
      </c>
      <c r="B1134" s="12" t="str">
        <f>HYPERLINK("https://twitter.com/SpeeedyGG","@SpeeedyGG")</f>
        <v>@SpeeedyGG</v>
      </c>
      <c r="C1134" s="7" t="s">
        <v>8618</v>
      </c>
      <c r="D1134" s="7" t="s">
        <v>8619</v>
      </c>
      <c r="E1134" s="12" t="str">
        <f>HYPERLINK("https://twitter.com/SpeeedyGG/status/1181931675942604800","1181931675942604800")</f>
        <v>1181931675942604800</v>
      </c>
      <c r="F1134" s="8"/>
      <c r="G1134" s="14" t="s">
        <v>8620</v>
      </c>
      <c r="H1134" s="8"/>
      <c r="I1134" s="15">
        <v>0</v>
      </c>
      <c r="J1134" s="15">
        <v>1</v>
      </c>
      <c r="K1134" s="12" t="str">
        <f>HYPERLINK("http://twitter.com/download/iphone","Twitter for iPhone")</f>
        <v>Twitter for iPhone</v>
      </c>
      <c r="L1134" s="16">
        <v>150</v>
      </c>
      <c r="M1134" s="16">
        <v>251</v>
      </c>
      <c r="N1134" s="16">
        <v>0</v>
      </c>
      <c r="O1134" s="17"/>
      <c r="P1134" s="18">
        <v>41142.813738425924</v>
      </c>
      <c r="Q1134" s="7" t="s">
        <v>8622</v>
      </c>
      <c r="R1134" s="7"/>
      <c r="S1134" s="7"/>
      <c r="T1134" s="8"/>
      <c r="U1134" s="19" t="str">
        <f>HYPERLINK("https://pbs.twimg.com/profile_images/1159819374917763072/6EIjJk5u.jpg","View")</f>
        <v>View</v>
      </c>
      <c r="V1134" s="8"/>
      <c r="W1134" s="8"/>
      <c r="X1134" s="8"/>
      <c r="Y1134" s="8"/>
      <c r="Z1134" s="8"/>
    </row>
    <row r="1135" spans="1:26" ht="12.75">
      <c r="A1135" s="11">
        <v>43747.289826388893</v>
      </c>
      <c r="B1135" s="12" t="str">
        <f>HYPERLINK("https://twitter.com/onursimsir","@onursimsir")</f>
        <v>@onursimsir</v>
      </c>
      <c r="C1135" s="7" t="s">
        <v>8623</v>
      </c>
      <c r="D1135" s="7" t="s">
        <v>8624</v>
      </c>
      <c r="E1135" s="12" t="str">
        <f>HYPERLINK("https://twitter.com/onursimsir/status/1181931661451255809","1181931661451255809")</f>
        <v>1181931661451255809</v>
      </c>
      <c r="F1135" s="8"/>
      <c r="G1135" s="15"/>
      <c r="H1135" s="8"/>
      <c r="I1135" s="15">
        <v>1</v>
      </c>
      <c r="J1135" s="15">
        <v>2</v>
      </c>
      <c r="K1135" s="12" t="str">
        <f>HYPERLINK("http://twitter.com/download/iphone","Twitter for iPhone")</f>
        <v>Twitter for iPhone</v>
      </c>
      <c r="L1135" s="16">
        <v>1802</v>
      </c>
      <c r="M1135" s="16">
        <v>410</v>
      </c>
      <c r="N1135" s="16">
        <v>6</v>
      </c>
      <c r="O1135" s="17"/>
      <c r="P1135" s="18">
        <v>40288.075775462959</v>
      </c>
      <c r="Q1135" s="7"/>
      <c r="R1135" s="7" t="s">
        <v>8626</v>
      </c>
      <c r="S1135" s="15"/>
      <c r="T1135" s="8"/>
      <c r="U1135" s="19" t="str">
        <f>HYPERLINK("https://pbs.twimg.com/profile_images/1151988372983828480/jb2cRlwF.jpg","View")</f>
        <v>View</v>
      </c>
      <c r="V1135" s="8"/>
      <c r="W1135" s="8"/>
      <c r="X1135" s="8"/>
      <c r="Y1135" s="8"/>
      <c r="Z1135" s="8"/>
    </row>
    <row r="1136" spans="1:26" ht="12.75">
      <c r="A1136" s="11">
        <v>43747.289826388893</v>
      </c>
      <c r="B1136" s="12" t="str">
        <f>HYPERLINK("https://twitter.com/skara74571","@skara74571")</f>
        <v>@skara74571</v>
      </c>
      <c r="C1136" s="7" t="s">
        <v>8631</v>
      </c>
      <c r="D1136" s="7" t="s">
        <v>8632</v>
      </c>
      <c r="E1136" s="12" t="str">
        <f>HYPERLINK("https://twitter.com/skara74571/status/1181931658402025474","1181931658402025474")</f>
        <v>1181931658402025474</v>
      </c>
      <c r="F1136" s="8"/>
      <c r="G1136" s="15"/>
      <c r="H1136" s="8"/>
      <c r="I1136" s="15">
        <v>2</v>
      </c>
      <c r="J1136" s="15">
        <v>5</v>
      </c>
      <c r="K1136" s="12" t="str">
        <f>HYPERLINK("http://twitter.com/download/android","Twitter for Android")</f>
        <v>Twitter for Android</v>
      </c>
      <c r="L1136" s="16">
        <v>623</v>
      </c>
      <c r="M1136" s="16">
        <v>633</v>
      </c>
      <c r="N1136" s="16">
        <v>0</v>
      </c>
      <c r="O1136" s="17"/>
      <c r="P1136" s="18">
        <v>43547.056886574079</v>
      </c>
      <c r="Q1136" s="7"/>
      <c r="R1136" s="7" t="s">
        <v>8635</v>
      </c>
      <c r="S1136" s="7"/>
      <c r="T1136" s="8"/>
      <c r="U1136" s="19" t="str">
        <f>HYPERLINK("https://pbs.twimg.com/profile_images/1109484907418521601/uXqlYhAB.jpg","View")</f>
        <v>View</v>
      </c>
      <c r="V1136" s="8"/>
      <c r="W1136" s="8"/>
      <c r="X1136" s="8"/>
      <c r="Y1136" s="8"/>
      <c r="Z1136" s="8"/>
    </row>
    <row r="1137" spans="1:26" ht="12.75">
      <c r="A1137" s="11">
        <v>43747.289814814816</v>
      </c>
      <c r="B1137" s="12" t="str">
        <f>HYPERLINK("https://twitter.com/Faruk190332","@Faruk190332")</f>
        <v>@Faruk190332</v>
      </c>
      <c r="C1137" s="7" t="s">
        <v>8639</v>
      </c>
      <c r="D1137" s="7" t="s">
        <v>8640</v>
      </c>
      <c r="E1137" s="12" t="str">
        <f>HYPERLINK("https://twitter.com/Faruk190332/status/1181931656548163590","1181931656548163590")</f>
        <v>1181931656548163590</v>
      </c>
      <c r="F1137" s="8"/>
      <c r="G1137" s="14" t="s">
        <v>8641</v>
      </c>
      <c r="H1137" s="8"/>
      <c r="I1137" s="15">
        <v>2</v>
      </c>
      <c r="J1137" s="15">
        <v>4</v>
      </c>
      <c r="K1137" s="12" t="str">
        <f>HYPERLINK("http://twitter.com/download/android","Twitter for Android")</f>
        <v>Twitter for Android</v>
      </c>
      <c r="L1137" s="16">
        <v>650</v>
      </c>
      <c r="M1137" s="16">
        <v>988</v>
      </c>
      <c r="N1137" s="16">
        <v>0</v>
      </c>
      <c r="O1137" s="17"/>
      <c r="P1137" s="18">
        <v>41639.234548611115</v>
      </c>
      <c r="Q1137" s="7" t="s">
        <v>8643</v>
      </c>
      <c r="R1137" s="7" t="s">
        <v>8644</v>
      </c>
      <c r="S1137" s="14" t="s">
        <v>8645</v>
      </c>
      <c r="T1137" s="8"/>
      <c r="U1137" s="19" t="str">
        <f>HYPERLINK("https://pbs.twimg.com/profile_images/1180827097754943488/SS-X3zoQ.jpg","View")</f>
        <v>View</v>
      </c>
      <c r="V1137" s="8"/>
      <c r="W1137" s="8"/>
      <c r="X1137" s="8"/>
      <c r="Y1137" s="8"/>
      <c r="Z1137" s="8"/>
    </row>
    <row r="1138" spans="1:26" ht="12.75">
      <c r="A1138" s="11">
        <v>43747.28979166667</v>
      </c>
      <c r="B1138" s="12" t="str">
        <f>HYPERLINK("https://twitter.com/eddierss","@eddierss")</f>
        <v>@eddierss</v>
      </c>
      <c r="C1138" s="7" t="s">
        <v>8648</v>
      </c>
      <c r="D1138" s="7" t="s">
        <v>8649</v>
      </c>
      <c r="E1138" s="12" t="str">
        <f>HYPERLINK("https://twitter.com/eddierss/status/1181931645974274049","1181931645974274049")</f>
        <v>1181931645974274049</v>
      </c>
      <c r="F1138" s="8"/>
      <c r="G1138" s="14" t="s">
        <v>8650</v>
      </c>
      <c r="H1138" s="8"/>
      <c r="I1138" s="15">
        <v>0</v>
      </c>
      <c r="J1138" s="15">
        <v>0</v>
      </c>
      <c r="K1138" s="12" t="str">
        <f>HYPERLINK("http://twitter.com/download/iphone","Twitter for iPhone")</f>
        <v>Twitter for iPhone</v>
      </c>
      <c r="L1138" s="16">
        <v>422</v>
      </c>
      <c r="M1138" s="16">
        <v>189</v>
      </c>
      <c r="N1138" s="16">
        <v>0</v>
      </c>
      <c r="O1138" s="17"/>
      <c r="P1138" s="18">
        <v>43083.50204861111</v>
      </c>
      <c r="Q1138" s="7" t="s">
        <v>8651</v>
      </c>
      <c r="R1138" s="7" t="s">
        <v>8652</v>
      </c>
      <c r="S1138" s="14" t="s">
        <v>8653</v>
      </c>
      <c r="T1138" s="8"/>
      <c r="U1138" s="19" t="str">
        <f>HYPERLINK("https://pbs.twimg.com/profile_images/1175488503792250881/F0PE-0c-.jpg","View")</f>
        <v>View</v>
      </c>
      <c r="V1138" s="8"/>
      <c r="W1138" s="8"/>
      <c r="X1138" s="8"/>
      <c r="Y1138" s="8"/>
      <c r="Z1138" s="8"/>
    </row>
    <row r="1139" spans="1:26" ht="12.75">
      <c r="A1139" s="11">
        <v>43747.289768518516</v>
      </c>
      <c r="B1139" s="12" t="str">
        <f>HYPERLINK("https://twitter.com/Fatih341990","@Fatih341990")</f>
        <v>@Fatih341990</v>
      </c>
      <c r="C1139" s="7" t="s">
        <v>8654</v>
      </c>
      <c r="D1139" s="7" t="s">
        <v>8655</v>
      </c>
      <c r="E1139" s="12" t="str">
        <f>HYPERLINK("https://twitter.com/Fatih341990/status/1181931637560492032","1181931637560492032")</f>
        <v>1181931637560492032</v>
      </c>
      <c r="F1139" s="8"/>
      <c r="G1139" s="14" t="s">
        <v>8656</v>
      </c>
      <c r="H1139" s="8"/>
      <c r="I1139" s="15">
        <v>0</v>
      </c>
      <c r="J1139" s="15">
        <v>0</v>
      </c>
      <c r="K1139" s="12" t="str">
        <f>HYPERLINK("http://twitter.com/download/android","Twitter for Android")</f>
        <v>Twitter for Android</v>
      </c>
      <c r="L1139" s="16">
        <v>175</v>
      </c>
      <c r="M1139" s="16">
        <v>499</v>
      </c>
      <c r="N1139" s="16">
        <v>0</v>
      </c>
      <c r="O1139" s="17"/>
      <c r="P1139" s="18">
        <v>43041.686898148153</v>
      </c>
      <c r="Q1139" s="7" t="s">
        <v>313</v>
      </c>
      <c r="R1139" s="7" t="s">
        <v>8659</v>
      </c>
      <c r="S1139" s="15"/>
      <c r="T1139" s="8"/>
      <c r="U1139" s="19" t="str">
        <f>HYPERLINK("https://pbs.twimg.com/profile_images/1154076199167115264/EGjPVo8x.jpg","View")</f>
        <v>View</v>
      </c>
      <c r="V1139" s="8"/>
      <c r="W1139" s="8"/>
      <c r="X1139" s="8"/>
      <c r="Y1139" s="8"/>
      <c r="Z1139" s="8"/>
    </row>
    <row r="1140" spans="1:26" ht="12.75">
      <c r="A1140" s="11">
        <v>43747.289710648147</v>
      </c>
      <c r="B1140" s="12" t="str">
        <f>HYPERLINK("https://twitter.com/alicetinnkaya","@alicetinnkaya")</f>
        <v>@alicetinnkaya</v>
      </c>
      <c r="C1140" s="7" t="s">
        <v>8661</v>
      </c>
      <c r="D1140" s="7" t="s">
        <v>8662</v>
      </c>
      <c r="E1140" s="12" t="str">
        <f>HYPERLINK("https://twitter.com/alicetinnkaya/status/1181931616232443906","1181931616232443906")</f>
        <v>1181931616232443906</v>
      </c>
      <c r="F1140" s="15"/>
      <c r="G1140" s="14" t="s">
        <v>8664</v>
      </c>
      <c r="H1140" s="8"/>
      <c r="I1140" s="15">
        <v>0</v>
      </c>
      <c r="J1140" s="15">
        <v>1</v>
      </c>
      <c r="K1140" s="12" t="str">
        <f>HYPERLINK("http://twitter.com/download/iphone","Twitter for iPhone")</f>
        <v>Twitter for iPhone</v>
      </c>
      <c r="L1140" s="16">
        <v>106</v>
      </c>
      <c r="M1140" s="16">
        <v>782</v>
      </c>
      <c r="N1140" s="16">
        <v>0</v>
      </c>
      <c r="O1140" s="17"/>
      <c r="P1140" s="18">
        <v>43657.017916666664</v>
      </c>
      <c r="Q1140" s="7" t="s">
        <v>8665</v>
      </c>
      <c r="R1140" s="7" t="s">
        <v>8666</v>
      </c>
      <c r="S1140" s="15"/>
      <c r="T1140" s="8"/>
      <c r="U1140" s="19" t="str">
        <f>HYPERLINK("https://pbs.twimg.com/profile_images/1179258696939003904/GgIj52CC.jpg","View")</f>
        <v>View</v>
      </c>
      <c r="V1140" s="8"/>
      <c r="W1140" s="8"/>
      <c r="X1140" s="8"/>
      <c r="Y1140" s="8"/>
      <c r="Z1140" s="8"/>
    </row>
    <row r="1141" spans="1:26" ht="12.75">
      <c r="A1141" s="11">
        <v>43747.289675925931</v>
      </c>
      <c r="B1141" s="12" t="str">
        <f>HYPERLINK("https://twitter.com/zanzarahtr","@zanzarahtr")</f>
        <v>@zanzarahtr</v>
      </c>
      <c r="C1141" s="7" t="s">
        <v>8670</v>
      </c>
      <c r="D1141" s="7" t="s">
        <v>8671</v>
      </c>
      <c r="E1141" s="12" t="str">
        <f>HYPERLINK("https://twitter.com/zanzarahtr/status/1181931603850940416","1181931603850940416")</f>
        <v>1181931603850940416</v>
      </c>
      <c r="F1141" s="8"/>
      <c r="G1141" s="15"/>
      <c r="H1141" s="8"/>
      <c r="I1141" s="15">
        <v>0</v>
      </c>
      <c r="J1141" s="15">
        <v>0</v>
      </c>
      <c r="K1141" s="12" t="str">
        <f>HYPERLINK("http://twitter.com/download/android","Twitter for Android")</f>
        <v>Twitter for Android</v>
      </c>
      <c r="L1141" s="16">
        <v>0</v>
      </c>
      <c r="M1141" s="16">
        <v>2</v>
      </c>
      <c r="N1141" s="16">
        <v>0</v>
      </c>
      <c r="O1141" s="17"/>
      <c r="P1141" s="18">
        <v>43746.608182870375</v>
      </c>
      <c r="Q1141" s="7"/>
      <c r="R1141" s="7" t="s">
        <v>8674</v>
      </c>
      <c r="S1141" s="15"/>
      <c r="T1141" s="8"/>
      <c r="U1141" s="19" t="str">
        <f>HYPERLINK("https://pbs.twimg.com/profile_images/1181685256069505024/fxggfYK8.jpg","View")</f>
        <v>View</v>
      </c>
      <c r="V1141" s="8"/>
      <c r="W1141" s="8"/>
      <c r="X1141" s="8"/>
      <c r="Y1141" s="8"/>
      <c r="Z1141" s="8"/>
    </row>
    <row r="1142" spans="1:26" ht="12.75">
      <c r="A1142" s="11">
        <v>43747.289664351847</v>
      </c>
      <c r="B1142" s="12" t="str">
        <f>HYPERLINK("https://twitter.com/anilto10","@anilto10")</f>
        <v>@anilto10</v>
      </c>
      <c r="C1142" s="7" t="s">
        <v>8676</v>
      </c>
      <c r="D1142" s="7" t="s">
        <v>8677</v>
      </c>
      <c r="E1142" s="12" t="str">
        <f>HYPERLINK("https://twitter.com/anilto10/status/1181931601162309632","1181931601162309632")</f>
        <v>1181931601162309632</v>
      </c>
      <c r="F1142" s="8"/>
      <c r="G1142" s="15"/>
      <c r="H1142" s="8"/>
      <c r="I1142" s="15">
        <v>0</v>
      </c>
      <c r="J1142" s="15">
        <v>1</v>
      </c>
      <c r="K1142" s="12" t="str">
        <f>HYPERLINK("http://twitter.com/download/iphone","Twitter for iPhone")</f>
        <v>Twitter for iPhone</v>
      </c>
      <c r="L1142" s="16">
        <v>1115</v>
      </c>
      <c r="M1142" s="16">
        <v>1031</v>
      </c>
      <c r="N1142" s="16">
        <v>1</v>
      </c>
      <c r="O1142" s="17"/>
      <c r="P1142" s="18">
        <v>41060.206678240742</v>
      </c>
      <c r="Q1142" s="7" t="s">
        <v>80</v>
      </c>
      <c r="R1142" s="7" t="s">
        <v>8679</v>
      </c>
      <c r="S1142" s="7"/>
      <c r="T1142" s="8"/>
      <c r="U1142" s="19" t="str">
        <f>HYPERLINK("https://pbs.twimg.com/profile_images/1079692094359457793/Bj0sxrp2.jpg","View")</f>
        <v>View</v>
      </c>
      <c r="V1142" s="8"/>
      <c r="W1142" s="8"/>
      <c r="X1142" s="8"/>
      <c r="Y1142" s="8"/>
      <c r="Z1142" s="8"/>
    </row>
    <row r="1143" spans="1:26" ht="12.75">
      <c r="A1143" s="11">
        <v>43747.289641203708</v>
      </c>
      <c r="B1143" s="12" t="str">
        <f>HYPERLINK("https://twitter.com/fuat__gunes","@fuat__gunes")</f>
        <v>@fuat__gunes</v>
      </c>
      <c r="C1143" s="7" t="s">
        <v>8680</v>
      </c>
      <c r="D1143" s="7" t="s">
        <v>8681</v>
      </c>
      <c r="E1143" s="12" t="str">
        <f>HYPERLINK("https://twitter.com/fuat__gunes/status/1181931593780334593","1181931593780334593")</f>
        <v>1181931593780334593</v>
      </c>
      <c r="F1143" s="8"/>
      <c r="G1143" s="14" t="s">
        <v>8682</v>
      </c>
      <c r="H1143" s="8"/>
      <c r="I1143" s="15">
        <v>0</v>
      </c>
      <c r="J1143" s="15">
        <v>1</v>
      </c>
      <c r="K1143" s="12" t="str">
        <f>HYPERLINK("http://twitter.com/download/iphone","Twitter for iPhone")</f>
        <v>Twitter for iPhone</v>
      </c>
      <c r="L1143" s="16">
        <v>315</v>
      </c>
      <c r="M1143" s="16">
        <v>381</v>
      </c>
      <c r="N1143" s="16">
        <v>0</v>
      </c>
      <c r="O1143" s="17"/>
      <c r="P1143" s="18">
        <v>42336.115682870368</v>
      </c>
      <c r="Q1143" s="7" t="s">
        <v>313</v>
      </c>
      <c r="R1143" s="7" t="s">
        <v>8683</v>
      </c>
      <c r="S1143" s="7"/>
      <c r="T1143" s="8"/>
      <c r="U1143" s="19" t="str">
        <f>HYPERLINK("https://pbs.twimg.com/profile_images/1170316969901473794/StVDTXOj.jpg","View")</f>
        <v>View</v>
      </c>
      <c r="V1143" s="8"/>
      <c r="W1143" s="8"/>
      <c r="X1143" s="8"/>
      <c r="Y1143" s="8"/>
      <c r="Z1143" s="8"/>
    </row>
    <row r="1144" spans="1:26" ht="12.75">
      <c r="A1144" s="11">
        <v>43747.289618055554</v>
      </c>
      <c r="B1144" s="12" t="str">
        <f>HYPERLINK("https://twitter.com/Dursuny00","@Dursuny00")</f>
        <v>@Dursuny00</v>
      </c>
      <c r="C1144" s="7" t="s">
        <v>8686</v>
      </c>
      <c r="D1144" s="7" t="s">
        <v>1313</v>
      </c>
      <c r="E1144" s="12" t="str">
        <f>HYPERLINK("https://twitter.com/Dursuny00/status/1181931582002737152","1181931582002737152")</f>
        <v>1181931582002737152</v>
      </c>
      <c r="F1144" s="8"/>
      <c r="G1144" s="14" t="s">
        <v>8687</v>
      </c>
      <c r="H1144" s="8"/>
      <c r="I1144" s="15">
        <v>0</v>
      </c>
      <c r="J1144" s="15">
        <v>1</v>
      </c>
      <c r="K1144" s="12" t="str">
        <f>HYPERLINK("http://twitter.com/download/iphone","Twitter for iPhone")</f>
        <v>Twitter for iPhone</v>
      </c>
      <c r="L1144" s="16">
        <v>39</v>
      </c>
      <c r="M1144" s="16">
        <v>43</v>
      </c>
      <c r="N1144" s="16">
        <v>0</v>
      </c>
      <c r="O1144" s="17"/>
      <c r="P1144" s="18">
        <v>43597.607928240745</v>
      </c>
      <c r="Q1144" s="7"/>
      <c r="R1144" s="7" t="s">
        <v>8690</v>
      </c>
      <c r="S1144" s="14" t="s">
        <v>8691</v>
      </c>
      <c r="T1144" s="8"/>
      <c r="U1144" s="19" t="str">
        <f>HYPERLINK("https://pbs.twimg.com/profile_images/1162129531584561157/7vbLHnVE.jpg","View")</f>
        <v>View</v>
      </c>
      <c r="V1144" s="8"/>
      <c r="W1144" s="8"/>
      <c r="X1144" s="8"/>
      <c r="Y1144" s="8"/>
      <c r="Z1144" s="8"/>
    </row>
    <row r="1145" spans="1:26" ht="12.75">
      <c r="A1145" s="11">
        <v>43747.289583333331</v>
      </c>
      <c r="B1145" s="12" t="str">
        <f>HYPERLINK("https://twitter.com/nurcanadanir","@nurcanadanir")</f>
        <v>@nurcanadanir</v>
      </c>
      <c r="C1145" s="7" t="s">
        <v>8692</v>
      </c>
      <c r="D1145" s="7" t="s">
        <v>8693</v>
      </c>
      <c r="E1145" s="12" t="str">
        <f>HYPERLINK("https://twitter.com/nurcanadanir/status/1181931572817211397","1181931572817211397")</f>
        <v>1181931572817211397</v>
      </c>
      <c r="F1145" s="8"/>
      <c r="G1145" s="14" t="s">
        <v>8694</v>
      </c>
      <c r="H1145" s="8"/>
      <c r="I1145" s="15">
        <v>6</v>
      </c>
      <c r="J1145" s="15">
        <v>48</v>
      </c>
      <c r="K1145" s="12" t="str">
        <f>HYPERLINK("http://twitter.com/download/android","Twitter for Android")</f>
        <v>Twitter for Android</v>
      </c>
      <c r="L1145" s="16">
        <v>2580</v>
      </c>
      <c r="M1145" s="16">
        <v>912</v>
      </c>
      <c r="N1145" s="16">
        <v>13</v>
      </c>
      <c r="O1145" s="17"/>
      <c r="P1145" s="18">
        <v>41441.368101851855</v>
      </c>
      <c r="Q1145" s="7" t="s">
        <v>8696</v>
      </c>
      <c r="R1145" s="7" t="s">
        <v>8697</v>
      </c>
      <c r="S1145" s="7"/>
      <c r="T1145" s="8"/>
      <c r="U1145" s="19" t="str">
        <f>HYPERLINK("https://pbs.twimg.com/profile_images/1136039119438721024/oA8rG7nZ.jpg","View")</f>
        <v>View</v>
      </c>
      <c r="V1145" s="8"/>
      <c r="W1145" s="8"/>
      <c r="X1145" s="8"/>
      <c r="Y1145" s="8"/>
      <c r="Z1145" s="8"/>
    </row>
    <row r="1146" spans="1:26" ht="12.75">
      <c r="A1146" s="11">
        <v>43747.289583333331</v>
      </c>
      <c r="B1146" s="12" t="str">
        <f>HYPERLINK("https://twitter.com/gamze1420180215","@gamze1420180215")</f>
        <v>@gamze1420180215</v>
      </c>
      <c r="C1146" s="7" t="s">
        <v>8699</v>
      </c>
      <c r="D1146" s="7" t="s">
        <v>8700</v>
      </c>
      <c r="E1146" s="12" t="str">
        <f>HYPERLINK("https://twitter.com/gamze1420180215/status/1181931571269525505","1181931571269525505")</f>
        <v>1181931571269525505</v>
      </c>
      <c r="F1146" s="8"/>
      <c r="G1146" s="15"/>
      <c r="H1146" s="8"/>
      <c r="I1146" s="15">
        <v>0</v>
      </c>
      <c r="J1146" s="15">
        <v>0</v>
      </c>
      <c r="K1146" s="12" t="str">
        <f>HYPERLINK("http://twitter.com/download/iphone","Twitter for iPhone")</f>
        <v>Twitter for iPhone</v>
      </c>
      <c r="L1146" s="16">
        <v>38</v>
      </c>
      <c r="M1146" s="16">
        <v>62</v>
      </c>
      <c r="N1146" s="16">
        <v>0</v>
      </c>
      <c r="O1146" s="17"/>
      <c r="P1146" s="18">
        <v>43421.149768518517</v>
      </c>
      <c r="Q1146" s="7" t="s">
        <v>1567</v>
      </c>
      <c r="R1146" s="7" t="s">
        <v>8701</v>
      </c>
      <c r="S1146" s="7"/>
      <c r="T1146" s="8"/>
      <c r="U1146" s="19" t="str">
        <f>HYPERLINK("https://pbs.twimg.com/profile_images/1177532854378618881/0cqV-vm-.jpg","View")</f>
        <v>View</v>
      </c>
      <c r="V1146" s="8"/>
      <c r="W1146" s="8"/>
      <c r="X1146" s="8"/>
      <c r="Y1146" s="8"/>
      <c r="Z1146" s="8"/>
    </row>
    <row r="1147" spans="1:26" ht="12.75">
      <c r="A1147" s="11">
        <v>43747.289571759262</v>
      </c>
      <c r="B1147" s="12" t="str">
        <f>HYPERLINK("https://twitter.com/Ilker4134","@Ilker4134")</f>
        <v>@Ilker4134</v>
      </c>
      <c r="C1147" s="7" t="s">
        <v>8708</v>
      </c>
      <c r="D1147" s="7" t="s">
        <v>8709</v>
      </c>
      <c r="E1147" s="12" t="str">
        <f>HYPERLINK("https://twitter.com/Ilker4134/status/1181931566806773760","1181931566806773760")</f>
        <v>1181931566806773760</v>
      </c>
      <c r="F1147" s="8"/>
      <c r="G1147" s="14" t="s">
        <v>8710</v>
      </c>
      <c r="H1147" s="8"/>
      <c r="I1147" s="15">
        <v>0</v>
      </c>
      <c r="J1147" s="15">
        <v>3</v>
      </c>
      <c r="K1147" s="12" t="str">
        <f>HYPERLINK("http://twitter.com/download/android","Twitter for Android")</f>
        <v>Twitter for Android</v>
      </c>
      <c r="L1147" s="16">
        <v>1</v>
      </c>
      <c r="M1147" s="16">
        <v>14</v>
      </c>
      <c r="N1147" s="16">
        <v>0</v>
      </c>
      <c r="O1147" s="17"/>
      <c r="P1147" s="18">
        <v>43728.29409722222</v>
      </c>
      <c r="Q1147" s="7"/>
      <c r="R1147" s="7"/>
      <c r="S1147" s="7"/>
      <c r="T1147" s="8"/>
      <c r="U1147" s="19" t="str">
        <f>HYPERLINK("https://pbs.twimg.com/profile_images/1175047990299496448/Z6nAFFcp.jpg","View")</f>
        <v>View</v>
      </c>
      <c r="V1147" s="8"/>
      <c r="W1147" s="8"/>
      <c r="X1147" s="8"/>
      <c r="Y1147" s="8"/>
      <c r="Z1147" s="8"/>
    </row>
    <row r="1148" spans="1:26" ht="12.75">
      <c r="A1148" s="11">
        <v>43747.289560185185</v>
      </c>
      <c r="B1148" s="12" t="str">
        <f>HYPERLINK("https://twitter.com/halitmir","@halitmir")</f>
        <v>@halitmir</v>
      </c>
      <c r="C1148" s="7" t="s">
        <v>8714</v>
      </c>
      <c r="D1148" s="7" t="s">
        <v>8715</v>
      </c>
      <c r="E1148" s="12" t="str">
        <f>HYPERLINK("https://twitter.com/halitmir/status/1181931561870073858","1181931561870073858")</f>
        <v>1181931561870073858</v>
      </c>
      <c r="F1148" s="8"/>
      <c r="G1148" s="15"/>
      <c r="H1148" s="8"/>
      <c r="I1148" s="15">
        <v>0</v>
      </c>
      <c r="J1148" s="15">
        <v>5</v>
      </c>
      <c r="K1148" s="12" t="str">
        <f>HYPERLINK("http://twitter.com/download/iphone","Twitter for iPhone")</f>
        <v>Twitter for iPhone</v>
      </c>
      <c r="L1148" s="16">
        <v>2217</v>
      </c>
      <c r="M1148" s="16">
        <v>632</v>
      </c>
      <c r="N1148" s="16">
        <v>9</v>
      </c>
      <c r="O1148" s="17"/>
      <c r="P1148" s="18">
        <v>39915.659814814819</v>
      </c>
      <c r="Q1148" s="7" t="s">
        <v>8716</v>
      </c>
      <c r="R1148" s="7" t="s">
        <v>8717</v>
      </c>
      <c r="S1148" s="14" t="s">
        <v>8718</v>
      </c>
      <c r="T1148" s="8"/>
      <c r="U1148" s="19" t="str">
        <f>HYPERLINK("https://pbs.twimg.com/profile_images/1124702971990822912/3hYH9lqa.jpg","View")</f>
        <v>View</v>
      </c>
      <c r="V1148" s="8"/>
      <c r="W1148" s="8"/>
      <c r="X1148" s="8"/>
      <c r="Y1148" s="8"/>
      <c r="Z1148" s="8"/>
    </row>
    <row r="1149" spans="1:26" ht="12.75">
      <c r="A1149" s="11">
        <v>43747.289548611108</v>
      </c>
      <c r="B1149" s="12" t="str">
        <f>HYPERLINK("https://twitter.com/atkglc","@atkglc")</f>
        <v>@atkglc</v>
      </c>
      <c r="C1149" s="15" t="s">
        <v>8719</v>
      </c>
      <c r="D1149" s="7" t="s">
        <v>8720</v>
      </c>
      <c r="E1149" s="12" t="str">
        <f>HYPERLINK("https://twitter.com/atkglc/status/1181931558208512000","1181931558208512000")</f>
        <v>1181931558208512000</v>
      </c>
      <c r="F1149" s="8"/>
      <c r="G1149" s="7"/>
      <c r="H1149" s="8"/>
      <c r="I1149" s="15">
        <v>0</v>
      </c>
      <c r="J1149" s="15">
        <v>0</v>
      </c>
      <c r="K1149" s="12" t="str">
        <f>HYPERLINK("http://twitter.com/download/android","Twitter for Android")</f>
        <v>Twitter for Android</v>
      </c>
      <c r="L1149" s="16">
        <v>688</v>
      </c>
      <c r="M1149" s="16">
        <v>662</v>
      </c>
      <c r="N1149" s="16">
        <v>3</v>
      </c>
      <c r="O1149" s="17"/>
      <c r="P1149" s="18">
        <v>41266.322013888886</v>
      </c>
      <c r="Q1149" s="7"/>
      <c r="R1149" s="7" t="s">
        <v>8723</v>
      </c>
      <c r="S1149" s="15"/>
      <c r="T1149" s="8"/>
      <c r="U1149" s="19" t="str">
        <f>HYPERLINK("https://pbs.twimg.com/profile_images/1174186937990701057/60Dr1oYg.jpg","View")</f>
        <v>View</v>
      </c>
      <c r="V1149" s="8"/>
      <c r="W1149" s="8"/>
      <c r="X1149" s="8"/>
      <c r="Y1149" s="8"/>
      <c r="Z1149" s="8"/>
    </row>
    <row r="1150" spans="1:26" ht="12.75">
      <c r="A1150" s="11">
        <v>43747.289548611108</v>
      </c>
      <c r="B1150" s="12" t="str">
        <f>HYPERLINK("https://twitter.com/abdullahyldz37","@abdullahyldz37")</f>
        <v>@abdullahyldz37</v>
      </c>
      <c r="C1150" s="7" t="s">
        <v>8725</v>
      </c>
      <c r="D1150" s="7" t="s">
        <v>8726</v>
      </c>
      <c r="E1150" s="12" t="str">
        <f>HYPERLINK("https://twitter.com/abdullahyldz37/status/1181931556883111938","1181931556883111938")</f>
        <v>1181931556883111938</v>
      </c>
      <c r="F1150" s="8"/>
      <c r="G1150" s="7"/>
      <c r="H1150" s="8"/>
      <c r="I1150" s="15">
        <v>0</v>
      </c>
      <c r="J1150" s="15">
        <v>0</v>
      </c>
      <c r="K1150" s="12" t="str">
        <f>HYPERLINK("http://twitter.com/download/android","Twitter for Android")</f>
        <v>Twitter for Android</v>
      </c>
      <c r="L1150" s="16">
        <v>193</v>
      </c>
      <c r="M1150" s="16">
        <v>202</v>
      </c>
      <c r="N1150" s="16">
        <v>2</v>
      </c>
      <c r="O1150" s="17"/>
      <c r="P1150" s="18">
        <v>40774.746574074074</v>
      </c>
      <c r="Q1150" s="7"/>
      <c r="R1150" s="7" t="s">
        <v>8728</v>
      </c>
      <c r="S1150" s="7"/>
      <c r="T1150" s="8"/>
      <c r="U1150" s="19" t="str">
        <f>HYPERLINK("https://pbs.twimg.com/profile_images/1132763446091624459/mljPzjM1.jpg","View")</f>
        <v>View</v>
      </c>
      <c r="V1150" s="8"/>
      <c r="W1150" s="8"/>
      <c r="X1150" s="8"/>
      <c r="Y1150" s="8"/>
      <c r="Z1150" s="8"/>
    </row>
    <row r="1151" spans="1:26" ht="12.75">
      <c r="A1151" s="11">
        <v>43747.289513888885</v>
      </c>
      <c r="B1151" s="12" t="str">
        <f>HYPERLINK("https://twitter.com/omer_krcn17","@omer_krcn17")</f>
        <v>@omer_krcn17</v>
      </c>
      <c r="C1151" s="7" t="s">
        <v>8730</v>
      </c>
      <c r="D1151" s="7" t="s">
        <v>8731</v>
      </c>
      <c r="E1151" s="12" t="str">
        <f>HYPERLINK("https://twitter.com/omer_krcn17/status/1181931546611212289","1181931546611212289")</f>
        <v>1181931546611212289</v>
      </c>
      <c r="F1151" s="8"/>
      <c r="G1151" s="14" t="s">
        <v>8732</v>
      </c>
      <c r="H1151" s="8"/>
      <c r="I1151" s="15">
        <v>0</v>
      </c>
      <c r="J1151" s="15">
        <v>2</v>
      </c>
      <c r="K1151" s="12" t="str">
        <f>HYPERLINK("http://twitter.com/download/android","Twitter for Android")</f>
        <v>Twitter for Android</v>
      </c>
      <c r="L1151" s="16">
        <v>28</v>
      </c>
      <c r="M1151" s="16">
        <v>12</v>
      </c>
      <c r="N1151" s="16">
        <v>0</v>
      </c>
      <c r="O1151" s="17"/>
      <c r="P1151" s="18">
        <v>43746.571226851855</v>
      </c>
      <c r="Q1151" s="7"/>
      <c r="R1151" s="7" t="s">
        <v>8734</v>
      </c>
      <c r="S1151" s="15"/>
      <c r="T1151" s="8"/>
      <c r="U1151" s="19" t="str">
        <f>HYPERLINK("https://pbs.twimg.com/profile_images/1181671795969204226/V0ho9dyo.jpg","View")</f>
        <v>View</v>
      </c>
      <c r="V1151" s="8"/>
      <c r="W1151" s="8"/>
      <c r="X1151" s="8"/>
      <c r="Y1151" s="8"/>
      <c r="Z1151" s="8"/>
    </row>
    <row r="1152" spans="1:26" ht="12.75">
      <c r="A1152" s="11">
        <v>43747.289502314816</v>
      </c>
      <c r="B1152" s="12" t="str">
        <f>HYPERLINK("https://twitter.com/ucukyazar","@ucukyazar")</f>
        <v>@ucukyazar</v>
      </c>
      <c r="C1152" s="7" t="s">
        <v>8736</v>
      </c>
      <c r="D1152" s="7" t="s">
        <v>4621</v>
      </c>
      <c r="E1152" s="12" t="str">
        <f>HYPERLINK("https://twitter.com/ucukyazar/status/1181931540986630144","1181931540986630144")</f>
        <v>1181931540986630144</v>
      </c>
      <c r="F1152" s="8"/>
      <c r="G1152" s="7"/>
      <c r="H1152" s="8"/>
      <c r="I1152" s="15">
        <v>0</v>
      </c>
      <c r="J1152" s="15">
        <v>4</v>
      </c>
      <c r="K1152" s="12" t="str">
        <f>HYPERLINK("http://twitter.com/download/iphone","Twitter for iPhone")</f>
        <v>Twitter for iPhone</v>
      </c>
      <c r="L1152" s="16">
        <v>725</v>
      </c>
      <c r="M1152" s="16">
        <v>833</v>
      </c>
      <c r="N1152" s="16">
        <v>5</v>
      </c>
      <c r="O1152" s="17"/>
      <c r="P1152" s="18">
        <v>41925.380277777775</v>
      </c>
      <c r="Q1152" s="7" t="s">
        <v>918</v>
      </c>
      <c r="R1152" s="7" t="s">
        <v>8737</v>
      </c>
      <c r="S1152" s="7"/>
      <c r="T1152" s="8"/>
      <c r="U1152" s="19" t="str">
        <f>HYPERLINK("https://pbs.twimg.com/profile_images/1151846975211528192/XaOCt1La.jpg","View")</f>
        <v>View</v>
      </c>
      <c r="V1152" s="8"/>
      <c r="W1152" s="8"/>
      <c r="X1152" s="8"/>
      <c r="Y1152" s="8"/>
      <c r="Z1152" s="8"/>
    </row>
    <row r="1153" spans="1:26" ht="12.75">
      <c r="A1153" s="11">
        <v>43747.289490740739</v>
      </c>
      <c r="B1153" s="12" t="str">
        <f>HYPERLINK("https://twitter.com/fenci73854050","@fenci73854050")</f>
        <v>@fenci73854050</v>
      </c>
      <c r="C1153" s="7" t="s">
        <v>8738</v>
      </c>
      <c r="D1153" s="7" t="s">
        <v>8739</v>
      </c>
      <c r="E1153" s="12" t="str">
        <f>HYPERLINK("https://twitter.com/fenci73854050/status/1181931539002728448","1181931539002728448")</f>
        <v>1181931539002728448</v>
      </c>
      <c r="F1153" s="14" t="s">
        <v>8740</v>
      </c>
      <c r="G1153" s="14" t="s">
        <v>8741</v>
      </c>
      <c r="H1153" s="8"/>
      <c r="I1153" s="15">
        <v>1</v>
      </c>
      <c r="J1153" s="15">
        <v>0</v>
      </c>
      <c r="K1153" s="12" t="str">
        <f>HYPERLINK("http://twitter.com/download/android","Twitter for Android")</f>
        <v>Twitter for Android</v>
      </c>
      <c r="L1153" s="16">
        <v>43</v>
      </c>
      <c r="M1153" s="16">
        <v>156</v>
      </c>
      <c r="N1153" s="16">
        <v>0</v>
      </c>
      <c r="O1153" s="17"/>
      <c r="P1153" s="18">
        <v>43656.515243055561</v>
      </c>
      <c r="Q1153" s="7"/>
      <c r="R1153" s="7" t="s">
        <v>8742</v>
      </c>
      <c r="S1153" s="7"/>
      <c r="T1153" s="8"/>
      <c r="U1153" s="19" t="str">
        <f>HYPERLINK("https://pbs.twimg.com/profile_images/1180159408707444736/E8__XO43.jpg","View")</f>
        <v>View</v>
      </c>
      <c r="V1153" s="8"/>
      <c r="W1153" s="8"/>
      <c r="X1153" s="8"/>
      <c r="Y1153" s="8"/>
      <c r="Z1153" s="8"/>
    </row>
    <row r="1154" spans="1:26" ht="12.75">
      <c r="A1154" s="11">
        <v>43747.289490740739</v>
      </c>
      <c r="B1154" s="12" t="str">
        <f>HYPERLINK("https://twitter.com/nbuyukokuroglu","@nbuyukokuroglu")</f>
        <v>@nbuyukokuroglu</v>
      </c>
      <c r="C1154" s="7" t="s">
        <v>8743</v>
      </c>
      <c r="D1154" s="7" t="s">
        <v>8744</v>
      </c>
      <c r="E1154" s="12" t="str">
        <f>HYPERLINK("https://twitter.com/nbuyukokuroglu/status/1181931538696593408","1181931538696593408")</f>
        <v>1181931538696593408</v>
      </c>
      <c r="F1154" s="8"/>
      <c r="G1154" s="15"/>
      <c r="H1154" s="8"/>
      <c r="I1154" s="15">
        <v>0</v>
      </c>
      <c r="J1154" s="15">
        <v>2</v>
      </c>
      <c r="K1154" s="12" t="str">
        <f>HYPERLINK("http://twitter.com/download/android","Twitter for Android")</f>
        <v>Twitter for Android</v>
      </c>
      <c r="L1154" s="16">
        <v>259</v>
      </c>
      <c r="M1154" s="16">
        <v>249</v>
      </c>
      <c r="N1154" s="16">
        <v>0</v>
      </c>
      <c r="O1154" s="17"/>
      <c r="P1154" s="18">
        <v>42775.447210648148</v>
      </c>
      <c r="Q1154" s="7" t="s">
        <v>2881</v>
      </c>
      <c r="R1154" s="7"/>
      <c r="S1154" s="7"/>
      <c r="T1154" s="8"/>
      <c r="U1154" s="19" t="str">
        <f>HYPERLINK("https://pbs.twimg.com/profile_images/1180820908853927938/ugvwtiYH.jpg","View")</f>
        <v>View</v>
      </c>
      <c r="V1154" s="8"/>
      <c r="W1154" s="8"/>
      <c r="X1154" s="8"/>
      <c r="Y1154" s="8"/>
      <c r="Z1154" s="8"/>
    </row>
    <row r="1155" spans="1:26" ht="12.75">
      <c r="A1155" s="11">
        <v>43747.289479166662</v>
      </c>
      <c r="B1155" s="12" t="str">
        <f>HYPERLINK("https://twitter.com/demirhanemin42","@demirhanemin42")</f>
        <v>@demirhanemin42</v>
      </c>
      <c r="C1155" s="7" t="s">
        <v>8745</v>
      </c>
      <c r="D1155" s="7" t="s">
        <v>8746</v>
      </c>
      <c r="E1155" s="12" t="str">
        <f>HYPERLINK("https://twitter.com/demirhanemin42/status/1181931533579538432","1181931533579538432")</f>
        <v>1181931533579538432</v>
      </c>
      <c r="F1155" s="8"/>
      <c r="G1155" s="14" t="s">
        <v>8747</v>
      </c>
      <c r="H1155" s="8"/>
      <c r="I1155" s="15">
        <v>0</v>
      </c>
      <c r="J1155" s="15">
        <v>0</v>
      </c>
      <c r="K1155" s="12" t="str">
        <f>HYPERLINK("http://twitter.com/download/android","Twitter for Android")</f>
        <v>Twitter for Android</v>
      </c>
      <c r="L1155" s="16">
        <v>86</v>
      </c>
      <c r="M1155" s="16">
        <v>192</v>
      </c>
      <c r="N1155" s="16">
        <v>0</v>
      </c>
      <c r="O1155" s="17"/>
      <c r="P1155" s="18">
        <v>42443.469837962963</v>
      </c>
      <c r="Q1155" s="7" t="s">
        <v>8748</v>
      </c>
      <c r="R1155" s="7" t="s">
        <v>8749</v>
      </c>
      <c r="S1155" s="7"/>
      <c r="T1155" s="8"/>
      <c r="U1155" s="19" t="str">
        <f>HYPERLINK("https://pbs.twimg.com/profile_images/1138547382726082561/YLohvnUw.jpg","View")</f>
        <v>View</v>
      </c>
      <c r="V1155" s="8"/>
      <c r="W1155" s="8"/>
      <c r="X1155" s="8"/>
      <c r="Y1155" s="8"/>
      <c r="Z1155" s="8"/>
    </row>
    <row r="1156" spans="1:26" ht="12.75">
      <c r="A1156" s="11">
        <v>43747.289479166662</v>
      </c>
      <c r="B1156" s="12" t="str">
        <f>HYPERLINK("https://twitter.com/MEzkn","@MEzkn")</f>
        <v>@MEzkn</v>
      </c>
      <c r="C1156" s="7" t="s">
        <v>8750</v>
      </c>
      <c r="D1156" s="7" t="s">
        <v>160</v>
      </c>
      <c r="E1156" s="12" t="str">
        <f>HYPERLINK("https://twitter.com/MEzkn/status/1181931532459630592","1181931532459630592")</f>
        <v>1181931532459630592</v>
      </c>
      <c r="F1156" s="8"/>
      <c r="G1156" s="14" t="s">
        <v>8751</v>
      </c>
      <c r="H1156" s="8"/>
      <c r="I1156" s="15">
        <v>0</v>
      </c>
      <c r="J1156" s="15">
        <v>0</v>
      </c>
      <c r="K1156" s="12" t="str">
        <f>HYPERLINK("http://twitter.com/download/iphone","Twitter for iPhone")</f>
        <v>Twitter for iPhone</v>
      </c>
      <c r="L1156" s="16">
        <v>11</v>
      </c>
      <c r="M1156" s="16">
        <v>117</v>
      </c>
      <c r="N1156" s="16">
        <v>0</v>
      </c>
      <c r="O1156" s="17"/>
      <c r="P1156" s="18">
        <v>42549.953634259262</v>
      </c>
      <c r="Q1156" s="7"/>
      <c r="R1156" s="7"/>
      <c r="S1156" s="14" t="s">
        <v>8752</v>
      </c>
      <c r="T1156" s="8"/>
      <c r="U1156" s="19" t="str">
        <f>HYPERLINK("https://pbs.twimg.com/profile_images/1177196714563985408/XaT9ncnR.jpg","View")</f>
        <v>View</v>
      </c>
      <c r="V1156" s="8"/>
      <c r="W1156" s="8"/>
      <c r="X1156" s="8"/>
      <c r="Y1156" s="8"/>
      <c r="Z1156" s="8"/>
    </row>
    <row r="1157" spans="1:26" ht="12.75">
      <c r="A1157" s="11">
        <v>43747.289467592593</v>
      </c>
      <c r="B1157" s="12" t="str">
        <f>HYPERLINK("https://twitter.com/d3uAosn63ec9GmQ","@d3uAosn63ec9GmQ")</f>
        <v>@d3uAosn63ec9GmQ</v>
      </c>
      <c r="C1157" s="7" t="s">
        <v>8753</v>
      </c>
      <c r="D1157" s="7" t="s">
        <v>8754</v>
      </c>
      <c r="E1157" s="12" t="str">
        <f>HYPERLINK("https://twitter.com/d3uAosn63ec9GmQ/status/1181931530966487040","1181931530966487040")</f>
        <v>1181931530966487040</v>
      </c>
      <c r="F1157" s="8"/>
      <c r="G1157" s="14" t="s">
        <v>8755</v>
      </c>
      <c r="H1157" s="8"/>
      <c r="I1157" s="15">
        <v>0</v>
      </c>
      <c r="J1157" s="15">
        <v>0</v>
      </c>
      <c r="K1157" s="12" t="str">
        <f>HYPERLINK("http://twitter.com/download/android","Twitter for Android")</f>
        <v>Twitter for Android</v>
      </c>
      <c r="L1157" s="16">
        <v>522</v>
      </c>
      <c r="M1157" s="16">
        <v>782</v>
      </c>
      <c r="N1157" s="16">
        <v>0</v>
      </c>
      <c r="O1157" s="17"/>
      <c r="P1157" s="18">
        <v>43709.481006944443</v>
      </c>
      <c r="Q1157" s="7"/>
      <c r="R1157" s="7" t="s">
        <v>8756</v>
      </c>
      <c r="S1157" s="15"/>
      <c r="T1157" s="8"/>
      <c r="U1157" s="19" t="str">
        <f>HYPERLINK("https://pbs.twimg.com/profile_images/1175840565776265218/PSzZkcvq.jpg","View")</f>
        <v>View</v>
      </c>
      <c r="V1157" s="8"/>
      <c r="W1157" s="8"/>
      <c r="X1157" s="8"/>
      <c r="Y1157" s="8"/>
      <c r="Z1157" s="8"/>
    </row>
    <row r="1158" spans="1:26" ht="12.75">
      <c r="A1158" s="11">
        <v>43747.289467592593</v>
      </c>
      <c r="B1158" s="12" t="str">
        <f>HYPERLINK("https://twitter.com/mustafabirol","@mustafabirol")</f>
        <v>@mustafabirol</v>
      </c>
      <c r="C1158" s="7" t="s">
        <v>8757</v>
      </c>
      <c r="D1158" s="7" t="s">
        <v>8758</v>
      </c>
      <c r="E1158" s="12" t="str">
        <f>HYPERLINK("https://twitter.com/mustafabirol/status/1181931530614169601","1181931530614169601")</f>
        <v>1181931530614169601</v>
      </c>
      <c r="F1158" s="8"/>
      <c r="G1158" s="14" t="s">
        <v>8759</v>
      </c>
      <c r="H1158" s="8"/>
      <c r="I1158" s="15">
        <v>0</v>
      </c>
      <c r="J1158" s="15">
        <v>0</v>
      </c>
      <c r="K1158" s="12" t="str">
        <f>HYPERLINK("http://twitter.com/download/android","Twitter for Android")</f>
        <v>Twitter for Android</v>
      </c>
      <c r="L1158" s="16">
        <v>56</v>
      </c>
      <c r="M1158" s="16">
        <v>218</v>
      </c>
      <c r="N1158" s="16">
        <v>0</v>
      </c>
      <c r="O1158" s="17"/>
      <c r="P1158" s="18">
        <v>40183.596875000003</v>
      </c>
      <c r="Q1158" s="7" t="s">
        <v>8760</v>
      </c>
      <c r="R1158" s="7"/>
      <c r="S1158" s="7"/>
      <c r="T1158" s="8"/>
      <c r="U1158" s="19" t="str">
        <f>HYPERLINK("https://pbs.twimg.com/profile_images/1149996719800836096/BB-ZOopZ.jpg","View")</f>
        <v>View</v>
      </c>
      <c r="V1158" s="8"/>
      <c r="W1158" s="8"/>
      <c r="X1158" s="8"/>
      <c r="Y1158" s="8"/>
      <c r="Z1158" s="8"/>
    </row>
    <row r="1159" spans="1:26" ht="12.75">
      <c r="A1159" s="11">
        <v>43747.28943287037</v>
      </c>
      <c r="B1159" s="12" t="str">
        <f>HYPERLINK("https://twitter.com/erenkaradass","@erenkaradass")</f>
        <v>@erenkaradass</v>
      </c>
      <c r="C1159" s="7" t="s">
        <v>8761</v>
      </c>
      <c r="D1159" s="7" t="s">
        <v>8762</v>
      </c>
      <c r="E1159" s="12" t="str">
        <f>HYPERLINK("https://twitter.com/erenkaradass/status/1181931515837636608","1181931515837636608")</f>
        <v>1181931515837636608</v>
      </c>
      <c r="F1159" s="8"/>
      <c r="G1159" s="14" t="s">
        <v>8763</v>
      </c>
      <c r="H1159" s="8"/>
      <c r="I1159" s="15">
        <v>0</v>
      </c>
      <c r="J1159" s="15">
        <v>0</v>
      </c>
      <c r="K1159" s="12" t="str">
        <f>HYPERLINK("https://mobile.twitter.com","Twitter Web App")</f>
        <v>Twitter Web App</v>
      </c>
      <c r="L1159" s="16">
        <v>1975</v>
      </c>
      <c r="M1159" s="16">
        <v>456</v>
      </c>
      <c r="N1159" s="16">
        <v>1</v>
      </c>
      <c r="O1159" s="17"/>
      <c r="P1159" s="18">
        <v>41071.339097222226</v>
      </c>
      <c r="Q1159" s="7" t="s">
        <v>351</v>
      </c>
      <c r="R1159" s="7" t="s">
        <v>8764</v>
      </c>
      <c r="S1159" s="14" t="s">
        <v>8765</v>
      </c>
      <c r="T1159" s="8"/>
      <c r="U1159" s="19" t="str">
        <f>HYPERLINK("https://pbs.twimg.com/profile_images/1082270944603881472/7MdTYoO3.jpg","View")</f>
        <v>View</v>
      </c>
      <c r="V1159" s="8"/>
      <c r="W1159" s="8"/>
      <c r="X1159" s="8"/>
      <c r="Y1159" s="8"/>
      <c r="Z1159" s="8"/>
    </row>
    <row r="1160" spans="1:26" ht="12.75">
      <c r="A1160" s="11">
        <v>43747.2894212963</v>
      </c>
      <c r="B1160" s="12" t="str">
        <f>HYPERLINK("https://twitter.com/IfshaMubarak","@IfshaMubarak")</f>
        <v>@IfshaMubarak</v>
      </c>
      <c r="C1160" s="7" t="s">
        <v>8766</v>
      </c>
      <c r="D1160" s="7" t="s">
        <v>8767</v>
      </c>
      <c r="E1160" s="12" t="str">
        <f>HYPERLINK("https://twitter.com/IfshaMubarak/status/1181931513480282112","1181931513480282112")</f>
        <v>1181931513480282112</v>
      </c>
      <c r="F1160" s="15"/>
      <c r="G1160" s="15"/>
      <c r="H1160" s="8"/>
      <c r="I1160" s="15">
        <v>0</v>
      </c>
      <c r="J1160" s="15">
        <v>0</v>
      </c>
      <c r="K1160" s="12" t="str">
        <f>HYPERLINK("http://twitter.com/download/android","Twitter for Android")</f>
        <v>Twitter for Android</v>
      </c>
      <c r="L1160" s="16">
        <v>66</v>
      </c>
      <c r="M1160" s="16">
        <v>174</v>
      </c>
      <c r="N1160" s="16">
        <v>2</v>
      </c>
      <c r="O1160" s="17"/>
      <c r="P1160" s="18">
        <v>41733.99827546296</v>
      </c>
      <c r="Q1160" s="7" t="s">
        <v>8768</v>
      </c>
      <c r="R1160" s="7" t="s">
        <v>8769</v>
      </c>
      <c r="S1160" s="14" t="s">
        <v>8770</v>
      </c>
      <c r="T1160" s="8"/>
      <c r="U1160" s="19" t="str">
        <f>HYPERLINK("https://pbs.twimg.com/profile_images/1181500313615781889/d_g5mOmN.jpg","View")</f>
        <v>View</v>
      </c>
      <c r="V1160" s="8"/>
      <c r="W1160" s="8"/>
      <c r="X1160" s="8"/>
      <c r="Y1160" s="8"/>
      <c r="Z1160" s="8"/>
    </row>
    <row r="1161" spans="1:26" ht="12.75">
      <c r="A1161" s="11">
        <v>43747.289351851854</v>
      </c>
      <c r="B1161" s="12" t="str">
        <f>HYPERLINK("https://twitter.com/gokhangunata","@gokhangunata")</f>
        <v>@gokhangunata</v>
      </c>
      <c r="C1161" s="7" t="s">
        <v>8771</v>
      </c>
      <c r="D1161" s="7" t="s">
        <v>8772</v>
      </c>
      <c r="E1161" s="12" t="str">
        <f>HYPERLINK("https://twitter.com/gokhangunata/status/1181931489451270144","1181931489451270144")</f>
        <v>1181931489451270144</v>
      </c>
      <c r="F1161" s="15"/>
      <c r="G1161" s="14" t="s">
        <v>8773</v>
      </c>
      <c r="H1161" s="8"/>
      <c r="I1161" s="15">
        <v>0</v>
      </c>
      <c r="J1161" s="15">
        <v>1</v>
      </c>
      <c r="K1161" s="12" t="str">
        <f>HYPERLINK("http://twitter.com/download/iphone","Twitter for iPhone")</f>
        <v>Twitter for iPhone</v>
      </c>
      <c r="L1161" s="16">
        <v>945</v>
      </c>
      <c r="M1161" s="16">
        <v>2288</v>
      </c>
      <c r="N1161" s="16">
        <v>4</v>
      </c>
      <c r="O1161" s="17"/>
      <c r="P1161" s="18">
        <v>40885.218958333331</v>
      </c>
      <c r="Q1161" s="7" t="s">
        <v>970</v>
      </c>
      <c r="R1161" s="7" t="s">
        <v>8774</v>
      </c>
      <c r="S1161" s="15"/>
      <c r="T1161" s="8"/>
      <c r="U1161" s="19" t="str">
        <f>HYPERLINK("https://pbs.twimg.com/profile_images/1171805435428515840/2b3iTY8P.jpg","View")</f>
        <v>View</v>
      </c>
      <c r="V1161" s="8"/>
      <c r="W1161" s="8"/>
      <c r="X1161" s="8"/>
      <c r="Y1161" s="8"/>
      <c r="Z1161" s="8"/>
    </row>
    <row r="1162" spans="1:26" ht="12.75">
      <c r="A1162" s="11">
        <v>43747.289340277777</v>
      </c>
      <c r="B1162" s="12" t="str">
        <f>HYPERLINK("https://twitter.com/mbisites","@mbisites")</f>
        <v>@mbisites</v>
      </c>
      <c r="C1162" s="7" t="s">
        <v>8775</v>
      </c>
      <c r="D1162" s="7" t="s">
        <v>8776</v>
      </c>
      <c r="E1162" s="12" t="str">
        <f>HYPERLINK("https://twitter.com/mbisites/status/1181931482664841216","1181931482664841216")</f>
        <v>1181931482664841216</v>
      </c>
      <c r="F1162" s="8"/>
      <c r="G1162" s="14" t="s">
        <v>8777</v>
      </c>
      <c r="H1162" s="8"/>
      <c r="I1162" s="15">
        <v>0</v>
      </c>
      <c r="J1162" s="15">
        <v>0</v>
      </c>
      <c r="K1162" s="12" t="str">
        <f>HYPERLINK("http://twitter.com/download/android","Twitter for Android")</f>
        <v>Twitter for Android</v>
      </c>
      <c r="L1162" s="16">
        <v>418</v>
      </c>
      <c r="M1162" s="16">
        <v>1081</v>
      </c>
      <c r="N1162" s="16">
        <v>0</v>
      </c>
      <c r="O1162" s="17"/>
      <c r="P1162" s="18">
        <v>41893.975162037037</v>
      </c>
      <c r="Q1162" s="7"/>
      <c r="R1162" s="7" t="s">
        <v>8778</v>
      </c>
      <c r="S1162" s="15"/>
      <c r="T1162" s="8"/>
      <c r="U1162" s="19" t="str">
        <f>HYPERLINK("https://pbs.twimg.com/profile_images/1179032672808554501/pVVheo6b.jpg","View")</f>
        <v>View</v>
      </c>
      <c r="V1162" s="8"/>
      <c r="W1162" s="8"/>
      <c r="X1162" s="8"/>
      <c r="Y1162" s="8"/>
      <c r="Z1162" s="8"/>
    </row>
    <row r="1163" spans="1:26" ht="12.75">
      <c r="A1163" s="11">
        <v>43747.2893287037</v>
      </c>
      <c r="B1163" s="12" t="str">
        <f>HYPERLINK("https://twitter.com/turankemal23","@turankemal23")</f>
        <v>@turankemal23</v>
      </c>
      <c r="C1163" s="7" t="s">
        <v>8779</v>
      </c>
      <c r="D1163" s="7" t="s">
        <v>8780</v>
      </c>
      <c r="E1163" s="12" t="str">
        <f>HYPERLINK("https://twitter.com/turankemal23/status/1181931477086420993","1181931477086420993")</f>
        <v>1181931477086420993</v>
      </c>
      <c r="F1163" s="8"/>
      <c r="G1163" s="14" t="s">
        <v>8781</v>
      </c>
      <c r="H1163" s="8"/>
      <c r="I1163" s="15">
        <v>0</v>
      </c>
      <c r="J1163" s="15">
        <v>0</v>
      </c>
      <c r="K1163" s="12" t="str">
        <f>HYPERLINK("http://twitter.com/download/iphone","Twitter for iPhone")</f>
        <v>Twitter for iPhone</v>
      </c>
      <c r="L1163" s="16">
        <v>4</v>
      </c>
      <c r="M1163" s="16">
        <v>50</v>
      </c>
      <c r="N1163" s="16">
        <v>0</v>
      </c>
      <c r="O1163" s="17"/>
      <c r="P1163" s="18">
        <v>43745.48438657407</v>
      </c>
      <c r="Q1163" s="7"/>
      <c r="R1163" s="7" t="s">
        <v>8782</v>
      </c>
      <c r="S1163" s="7"/>
      <c r="T1163" s="8"/>
      <c r="U1163" s="19" t="str">
        <f>HYPERLINK("https://pbs.twimg.com/profile_images/1181278764480765952/oqMjVj7t.jpg","View")</f>
        <v>View</v>
      </c>
      <c r="V1163" s="8"/>
      <c r="W1163" s="8"/>
      <c r="X1163" s="8"/>
      <c r="Y1163" s="8"/>
      <c r="Z1163" s="8"/>
    </row>
    <row r="1164" spans="1:26" ht="12.75">
      <c r="A1164" s="11">
        <v>43747.289293981477</v>
      </c>
      <c r="B1164" s="12" t="str">
        <f>HYPERLINK("https://twitter.com/labsocialeal","@labsocialeal")</f>
        <v>@labsocialeal</v>
      </c>
      <c r="C1164" s="7" t="s">
        <v>8783</v>
      </c>
      <c r="D1164" s="7" t="s">
        <v>8784</v>
      </c>
      <c r="E1164" s="12" t="str">
        <f>HYPERLINK("https://twitter.com/labsocialeal/status/1181931466000916480","1181931466000916480")</f>
        <v>1181931466000916480</v>
      </c>
      <c r="F1164" s="8"/>
      <c r="G1164" s="15"/>
      <c r="H1164" s="8"/>
      <c r="I1164" s="15">
        <v>0</v>
      </c>
      <c r="J1164" s="15">
        <v>0</v>
      </c>
      <c r="K1164" s="12" t="str">
        <f>HYPERLINK("http://twitter.com/download/android","Twitter for Android")</f>
        <v>Twitter for Android</v>
      </c>
      <c r="L1164" s="16">
        <v>1159</v>
      </c>
      <c r="M1164" s="16">
        <v>509</v>
      </c>
      <c r="N1164" s="16">
        <v>18</v>
      </c>
      <c r="O1164" s="17"/>
      <c r="P1164" s="18">
        <v>40123.104502314818</v>
      </c>
      <c r="Q1164" s="7" t="s">
        <v>8785</v>
      </c>
      <c r="R1164" s="7" t="s">
        <v>8786</v>
      </c>
      <c r="S1164" s="14" t="s">
        <v>8787</v>
      </c>
      <c r="T1164" s="8"/>
      <c r="U1164" s="19" t="str">
        <f>HYPERLINK("https://pbs.twimg.com/profile_images/950126137912496128/C93NEubP.jpg","View")</f>
        <v>View</v>
      </c>
      <c r="V1164" s="8"/>
      <c r="W1164" s="8"/>
      <c r="X1164" s="8"/>
      <c r="Y1164" s="8"/>
      <c r="Z1164" s="8"/>
    </row>
    <row r="1165" spans="1:26" ht="12.75">
      <c r="A1165" s="11">
        <v>43747.289293981477</v>
      </c>
      <c r="B1165" s="12" t="str">
        <f>HYPERLINK("https://twitter.com/zi_dareyn","@zi_dareyn")</f>
        <v>@zi_dareyn</v>
      </c>
      <c r="C1165" s="7" t="s">
        <v>8788</v>
      </c>
      <c r="D1165" s="7" t="s">
        <v>8789</v>
      </c>
      <c r="E1165" s="12" t="str">
        <f>HYPERLINK("https://twitter.com/zi_dareyn/status/1181931464750968833","1181931464750968833")</f>
        <v>1181931464750968833</v>
      </c>
      <c r="F1165" s="8"/>
      <c r="G1165" s="7"/>
      <c r="H1165" s="8"/>
      <c r="I1165" s="15">
        <v>0</v>
      </c>
      <c r="J1165" s="15">
        <v>0</v>
      </c>
      <c r="K1165" s="12" t="str">
        <f>HYPERLINK("http://twitter.com/download/android","Twitter for Android")</f>
        <v>Twitter for Android</v>
      </c>
      <c r="L1165" s="16">
        <v>2</v>
      </c>
      <c r="M1165" s="16">
        <v>49</v>
      </c>
      <c r="N1165" s="16">
        <v>0</v>
      </c>
      <c r="O1165" s="17"/>
      <c r="P1165" s="18">
        <v>43745.572604166664</v>
      </c>
      <c r="Q1165" s="7"/>
      <c r="R1165" s="7" t="s">
        <v>8790</v>
      </c>
      <c r="S1165" s="15"/>
      <c r="T1165" s="8"/>
      <c r="U1165" s="19" t="str">
        <f>HYPERLINK("https://pbs.twimg.com/profile_images/1181320876433629185/kvlfYRlb.jpg","View")</f>
        <v>View</v>
      </c>
      <c r="V1165" s="8"/>
      <c r="W1165" s="8"/>
      <c r="X1165" s="8"/>
      <c r="Y1165" s="8"/>
      <c r="Z1165" s="8"/>
    </row>
    <row r="1166" spans="1:26" ht="12.75">
      <c r="A1166" s="11">
        <v>43747.289270833338</v>
      </c>
      <c r="B1166" s="12" t="str">
        <f>HYPERLINK("https://twitter.com/frequentbuyer1","@frequentbuyer1")</f>
        <v>@frequentbuyer1</v>
      </c>
      <c r="C1166" s="7" t="s">
        <v>8791</v>
      </c>
      <c r="D1166" s="7" t="s">
        <v>8792</v>
      </c>
      <c r="E1166" s="12" t="str">
        <f>HYPERLINK("https://twitter.com/frequentbuyer1/status/1181931458119815173","1181931458119815173")</f>
        <v>1181931458119815173</v>
      </c>
      <c r="F1166" s="8"/>
      <c r="G1166" s="15"/>
      <c r="H1166" s="8"/>
      <c r="I1166" s="15">
        <v>6</v>
      </c>
      <c r="J1166" s="15">
        <v>19</v>
      </c>
      <c r="K1166" s="12" t="str">
        <f>HYPERLINK("http://twitter.com/download/iphone","Twitter for iPhone")</f>
        <v>Twitter for iPhone</v>
      </c>
      <c r="L1166" s="16">
        <v>2009</v>
      </c>
      <c r="M1166" s="16">
        <v>1533</v>
      </c>
      <c r="N1166" s="16">
        <v>7</v>
      </c>
      <c r="O1166" s="17"/>
      <c r="P1166" s="18">
        <v>40422.747511574074</v>
      </c>
      <c r="Q1166" s="7" t="s">
        <v>8793</v>
      </c>
      <c r="R1166" s="7" t="s">
        <v>8794</v>
      </c>
      <c r="S1166" s="7"/>
      <c r="T1166" s="8"/>
      <c r="U1166" s="19" t="str">
        <f>HYPERLINK("https://pbs.twimg.com/profile_images/1154223196213788673/0cl-ae0-.jpg","View")</f>
        <v>View</v>
      </c>
      <c r="V1166" s="8"/>
      <c r="W1166" s="8"/>
      <c r="X1166" s="8"/>
      <c r="Y1166" s="8"/>
      <c r="Z1166" s="8"/>
    </row>
    <row r="1167" spans="1:26" ht="12.75">
      <c r="A1167" s="11">
        <v>43747.289247685185</v>
      </c>
      <c r="B1167" s="12" t="str">
        <f>HYPERLINK("https://twitter.com/LydiaNEliza","@LydiaNEliza")</f>
        <v>@LydiaNEliza</v>
      </c>
      <c r="C1167" s="7" t="s">
        <v>8795</v>
      </c>
      <c r="D1167" s="7" t="s">
        <v>8796</v>
      </c>
      <c r="E1167" s="12" t="str">
        <f>HYPERLINK("https://twitter.com/LydiaNEliza/status/1181931449982885888","1181931449982885888")</f>
        <v>1181931449982885888</v>
      </c>
      <c r="F1167" s="8"/>
      <c r="G1167" s="7"/>
      <c r="H1167" s="8"/>
      <c r="I1167" s="15">
        <v>1</v>
      </c>
      <c r="J1167" s="15">
        <v>1</v>
      </c>
      <c r="K1167" s="12" t="str">
        <f>HYPERLINK("http://twitter.com/download/iphone","Twitter for iPhone")</f>
        <v>Twitter for iPhone</v>
      </c>
      <c r="L1167" s="16">
        <v>86</v>
      </c>
      <c r="M1167" s="16">
        <v>51</v>
      </c>
      <c r="N1167" s="16">
        <v>0</v>
      </c>
      <c r="O1167" s="17"/>
      <c r="P1167" s="18">
        <v>43087.627870370372</v>
      </c>
      <c r="Q1167" s="7" t="s">
        <v>8797</v>
      </c>
      <c r="R1167" s="7" t="s">
        <v>8798</v>
      </c>
      <c r="S1167" s="7"/>
      <c r="T1167" s="8"/>
      <c r="U1167" s="19" t="str">
        <f>HYPERLINK("https://pbs.twimg.com/profile_images/978709255569145857/OcjKCz2f.jpg","View")</f>
        <v>View</v>
      </c>
      <c r="V1167" s="8"/>
      <c r="W1167" s="8"/>
      <c r="X1167" s="8"/>
      <c r="Y1167" s="8"/>
      <c r="Z1167" s="8"/>
    </row>
    <row r="1168" spans="1:26" ht="12.75">
      <c r="A1168" s="11">
        <v>43747.289236111115</v>
      </c>
      <c r="B1168" s="12" t="str">
        <f>HYPERLINK("https://twitter.com/yldryyksl1","@yldryyksl1")</f>
        <v>@yldryyksl1</v>
      </c>
      <c r="C1168" s="7" t="s">
        <v>8799</v>
      </c>
      <c r="D1168" s="7" t="s">
        <v>8800</v>
      </c>
      <c r="E1168" s="12" t="str">
        <f>HYPERLINK("https://twitter.com/yldryyksl1/status/1181931446488965122","1181931446488965122")</f>
        <v>1181931446488965122</v>
      </c>
      <c r="F1168" s="8"/>
      <c r="G1168" s="15"/>
      <c r="H1168" s="8"/>
      <c r="I1168" s="15">
        <v>1</v>
      </c>
      <c r="J1168" s="15">
        <v>4</v>
      </c>
      <c r="K1168" s="12" t="str">
        <f>HYPERLINK("http://twitter.com/download/android","Twitter for Android")</f>
        <v>Twitter for Android</v>
      </c>
      <c r="L1168" s="16">
        <v>555</v>
      </c>
      <c r="M1168" s="16">
        <v>125</v>
      </c>
      <c r="N1168" s="16">
        <v>0</v>
      </c>
      <c r="O1168" s="17"/>
      <c r="P1168" s="18">
        <v>41778.460879629631</v>
      </c>
      <c r="Q1168" s="7" t="s">
        <v>8801</v>
      </c>
      <c r="R1168" s="7" t="s">
        <v>8802</v>
      </c>
      <c r="S1168" s="7"/>
      <c r="T1168" s="8"/>
      <c r="U1168" s="19" t="str">
        <f>HYPERLINK("https://pbs.twimg.com/profile_images/1158008775355359233/tptmJ8j9.jpg","View")</f>
        <v>View</v>
      </c>
      <c r="V1168" s="8"/>
      <c r="W1168" s="8"/>
      <c r="X1168" s="8"/>
      <c r="Y1168" s="8"/>
      <c r="Z1168" s="8"/>
    </row>
    <row r="1169" spans="1:26" ht="12.75">
      <c r="A1169" s="11">
        <v>43747.289236111115</v>
      </c>
      <c r="B1169" s="12" t="str">
        <f>HYPERLINK("https://twitter.com/vatansever0013","@vatansever0013")</f>
        <v>@vatansever0013</v>
      </c>
      <c r="C1169" s="7" t="s">
        <v>8803</v>
      </c>
      <c r="D1169" s="7" t="s">
        <v>8804</v>
      </c>
      <c r="E1169" s="12" t="str">
        <f>HYPERLINK("https://twitter.com/vatansever0013/status/1181931445482328064","1181931445482328064")</f>
        <v>1181931445482328064</v>
      </c>
      <c r="F1169" s="8"/>
      <c r="G1169" s="15"/>
      <c r="H1169" s="8"/>
      <c r="I1169" s="15">
        <v>0</v>
      </c>
      <c r="J1169" s="15">
        <v>0</v>
      </c>
      <c r="K1169" s="12" t="str">
        <f>HYPERLINK("https://mobile.twitter.com","Twitter Web App")</f>
        <v>Twitter Web App</v>
      </c>
      <c r="L1169" s="16">
        <v>1</v>
      </c>
      <c r="M1169" s="16">
        <v>5</v>
      </c>
      <c r="N1169" s="16">
        <v>0</v>
      </c>
      <c r="O1169" s="17"/>
      <c r="P1169" s="18">
        <v>43718.084479166668</v>
      </c>
      <c r="Q1169" s="7"/>
      <c r="R1169" s="7"/>
      <c r="S1169" s="7"/>
      <c r="T1169" s="8"/>
      <c r="U1169" s="20" t="s">
        <v>354</v>
      </c>
      <c r="V1169" s="8"/>
      <c r="W1169" s="8"/>
      <c r="X1169" s="8"/>
      <c r="Y1169" s="8"/>
      <c r="Z1169" s="8"/>
    </row>
    <row r="1170" spans="1:26" ht="12.75">
      <c r="A1170" s="11">
        <v>43747.289212962962</v>
      </c>
      <c r="B1170" s="12" t="str">
        <f>HYPERLINK("https://twitter.com/kuantrade","@kuantrade")</f>
        <v>@kuantrade</v>
      </c>
      <c r="C1170" s="7" t="s">
        <v>8805</v>
      </c>
      <c r="D1170" s="7" t="s">
        <v>8806</v>
      </c>
      <c r="E1170" s="12" t="str">
        <f>HYPERLINK("https://twitter.com/kuantrade/status/1181931435621584896","1181931435621584896")</f>
        <v>1181931435621584896</v>
      </c>
      <c r="F1170" s="8"/>
      <c r="G1170" s="15"/>
      <c r="H1170" s="8"/>
      <c r="I1170" s="15">
        <v>0</v>
      </c>
      <c r="J1170" s="15">
        <v>14</v>
      </c>
      <c r="K1170" s="12" t="str">
        <f>HYPERLINK("http://twitter.com/download/android","Twitter for Android")</f>
        <v>Twitter for Android</v>
      </c>
      <c r="L1170" s="16">
        <v>1718</v>
      </c>
      <c r="M1170" s="16">
        <v>11</v>
      </c>
      <c r="N1170" s="16">
        <v>21</v>
      </c>
      <c r="O1170" s="17"/>
      <c r="P1170" s="18">
        <v>43148.71025462963</v>
      </c>
      <c r="Q1170" s="7" t="s">
        <v>8807</v>
      </c>
      <c r="R1170" s="7" t="s">
        <v>8808</v>
      </c>
      <c r="S1170" s="14" t="s">
        <v>8809</v>
      </c>
      <c r="T1170" s="8"/>
      <c r="U1170" s="19" t="str">
        <f>HYPERLINK("https://pbs.twimg.com/profile_images/1162446719914782722/Fq7M3DOB.jpg","View")</f>
        <v>View</v>
      </c>
      <c r="V1170" s="8"/>
      <c r="W1170" s="8"/>
      <c r="X1170" s="8"/>
      <c r="Y1170" s="8"/>
      <c r="Z1170" s="8"/>
    </row>
    <row r="1171" spans="1:26" ht="12.75">
      <c r="A1171" s="11">
        <v>43747.289178240739</v>
      </c>
      <c r="B1171" s="12" t="str">
        <f>HYPERLINK("https://twitter.com/Turhanozgr","@Turhanozgr")</f>
        <v>@Turhanozgr</v>
      </c>
      <c r="C1171" s="7" t="s">
        <v>8810</v>
      </c>
      <c r="D1171" s="7" t="s">
        <v>8811</v>
      </c>
      <c r="E1171" s="12" t="str">
        <f>HYPERLINK("https://twitter.com/Turhanozgr/status/1181931425978863616","1181931425978863616")</f>
        <v>1181931425978863616</v>
      </c>
      <c r="F1171" s="8"/>
      <c r="G1171" s="15"/>
      <c r="H1171" s="8"/>
      <c r="I1171" s="15">
        <v>0</v>
      </c>
      <c r="J1171" s="15">
        <v>2</v>
      </c>
      <c r="K1171" s="12" t="str">
        <f>HYPERLINK("http://twitter.com/download/iphone","Twitter for iPhone")</f>
        <v>Twitter for iPhone</v>
      </c>
      <c r="L1171" s="16">
        <v>160</v>
      </c>
      <c r="M1171" s="16">
        <v>293</v>
      </c>
      <c r="N1171" s="16">
        <v>0</v>
      </c>
      <c r="O1171" s="17"/>
      <c r="P1171" s="18">
        <v>43254.556215277778</v>
      </c>
      <c r="Q1171" s="7"/>
      <c r="R1171" s="7" t="s">
        <v>8814</v>
      </c>
      <c r="S1171" s="7"/>
      <c r="T1171" s="8"/>
      <c r="U1171" s="19" t="str">
        <f>HYPERLINK("https://pbs.twimg.com/profile_images/1168096753360560129/RQ5GjI0r.jpg","View")</f>
        <v>View</v>
      </c>
      <c r="V1171" s="8"/>
      <c r="W1171" s="8"/>
      <c r="X1171" s="8"/>
      <c r="Y1171" s="8"/>
      <c r="Z1171" s="8"/>
    </row>
    <row r="1172" spans="1:26" ht="12.75">
      <c r="A1172" s="11">
        <v>43747.289143518516</v>
      </c>
      <c r="B1172" s="12" t="str">
        <f>HYPERLINK("https://twitter.com/omrak100","@omrak100")</f>
        <v>@omrak100</v>
      </c>
      <c r="C1172" s="7" t="s">
        <v>8820</v>
      </c>
      <c r="D1172" s="7" t="s">
        <v>8821</v>
      </c>
      <c r="E1172" s="12" t="str">
        <f>HYPERLINK("https://twitter.com/omrak100/status/1181931413358206976","1181931413358206976")</f>
        <v>1181931413358206976</v>
      </c>
      <c r="F1172" s="8"/>
      <c r="G1172" s="15"/>
      <c r="H1172" s="8"/>
      <c r="I1172" s="15">
        <v>0</v>
      </c>
      <c r="J1172" s="15">
        <v>2</v>
      </c>
      <c r="K1172" s="12" t="str">
        <f>HYPERLINK("http://twitter.com/download/iphone","Twitter for iPhone")</f>
        <v>Twitter for iPhone</v>
      </c>
      <c r="L1172" s="16">
        <v>307</v>
      </c>
      <c r="M1172" s="16">
        <v>436</v>
      </c>
      <c r="N1172" s="16">
        <v>0</v>
      </c>
      <c r="O1172" s="17"/>
      <c r="P1172" s="18">
        <v>41130.28402777778</v>
      </c>
      <c r="Q1172" s="7" t="s">
        <v>8822</v>
      </c>
      <c r="R1172" s="7"/>
      <c r="S1172" s="15"/>
      <c r="T1172" s="8"/>
      <c r="U1172" s="19" t="str">
        <f>HYPERLINK("https://pbs.twimg.com/profile_images/1169726874601349121/fvdixhHG.jpg","View")</f>
        <v>View</v>
      </c>
      <c r="V1172" s="8"/>
      <c r="W1172" s="8"/>
      <c r="X1172" s="8"/>
      <c r="Y1172" s="8"/>
      <c r="Z1172" s="8"/>
    </row>
    <row r="1173" spans="1:26" ht="12.75">
      <c r="A1173" s="11">
        <v>43747.289143518516</v>
      </c>
      <c r="B1173" s="12" t="str">
        <f>HYPERLINK("https://twitter.com/YucelYildizhan","@YucelYildizhan")</f>
        <v>@YucelYildizhan</v>
      </c>
      <c r="C1173" s="7" t="s">
        <v>8825</v>
      </c>
      <c r="D1173" s="7" t="s">
        <v>8826</v>
      </c>
      <c r="E1173" s="12" t="str">
        <f>HYPERLINK("https://twitter.com/YucelYildizhan/status/1181931410392850433","1181931410392850433")</f>
        <v>1181931410392850433</v>
      </c>
      <c r="F1173" s="8"/>
      <c r="G1173" s="14" t="s">
        <v>8827</v>
      </c>
      <c r="H1173" s="8"/>
      <c r="I1173" s="15">
        <v>0</v>
      </c>
      <c r="J1173" s="15">
        <v>3</v>
      </c>
      <c r="K1173" s="12" t="str">
        <f>HYPERLINK("http://twitter.com/download/iphone","Twitter for iPhone")</f>
        <v>Twitter for iPhone</v>
      </c>
      <c r="L1173" s="16">
        <v>1235</v>
      </c>
      <c r="M1173" s="16">
        <v>1294</v>
      </c>
      <c r="N1173" s="16">
        <v>2</v>
      </c>
      <c r="O1173" s="17"/>
      <c r="P1173" s="18">
        <v>40670.144467592589</v>
      </c>
      <c r="Q1173" s="7"/>
      <c r="R1173" s="7" t="s">
        <v>8830</v>
      </c>
      <c r="S1173" s="15"/>
      <c r="T1173" s="8"/>
      <c r="U1173" s="19" t="str">
        <f>HYPERLINK("https://pbs.twimg.com/profile_images/1151245505588027393/PW09z1ua.jpg","View")</f>
        <v>View</v>
      </c>
      <c r="V1173" s="8"/>
      <c r="W1173" s="8"/>
      <c r="X1173" s="8"/>
      <c r="Y1173" s="8"/>
      <c r="Z1173" s="8"/>
    </row>
    <row r="1174" spans="1:26" ht="12.75">
      <c r="A1174" s="11">
        <v>43747.289131944446</v>
      </c>
      <c r="B1174" s="12" t="str">
        <f>HYPERLINK("https://twitter.com/gsiskar3","@gsiskar3")</f>
        <v>@gsiskar3</v>
      </c>
      <c r="C1174" s="7" t="s">
        <v>8832</v>
      </c>
      <c r="D1174" s="7" t="s">
        <v>8833</v>
      </c>
      <c r="E1174" s="12" t="str">
        <f>HYPERLINK("https://twitter.com/gsiskar3/status/1181931408790605824","1181931408790605824")</f>
        <v>1181931408790605824</v>
      </c>
      <c r="F1174" s="14" t="s">
        <v>8834</v>
      </c>
      <c r="G1174" s="7"/>
      <c r="H1174" s="8"/>
      <c r="I1174" s="15">
        <v>0</v>
      </c>
      <c r="J1174" s="15">
        <v>2</v>
      </c>
      <c r="K1174" s="12" t="str">
        <f>HYPERLINK("http://twitter.com/download/android","Twitter for Android")</f>
        <v>Twitter for Android</v>
      </c>
      <c r="L1174" s="16">
        <v>1737</v>
      </c>
      <c r="M1174" s="16">
        <v>1053</v>
      </c>
      <c r="N1174" s="16">
        <v>1</v>
      </c>
      <c r="O1174" s="17"/>
      <c r="P1174" s="18">
        <v>43142.270277777774</v>
      </c>
      <c r="Q1174" s="7"/>
      <c r="R1174" s="13" t="s">
        <v>8835</v>
      </c>
      <c r="S1174" s="15"/>
      <c r="T1174" s="8"/>
      <c r="U1174" s="19" t="str">
        <f>HYPERLINK("https://pbs.twimg.com/profile_images/1175078461221867520/_3mGiR2G.jpg","View")</f>
        <v>View</v>
      </c>
      <c r="V1174" s="8"/>
      <c r="W1174" s="8"/>
      <c r="X1174" s="8"/>
      <c r="Y1174" s="8"/>
      <c r="Z1174" s="8"/>
    </row>
    <row r="1175" spans="1:26" ht="12.75">
      <c r="A1175" s="11">
        <v>43747.289120370369</v>
      </c>
      <c r="B1175" s="12" t="str">
        <f>HYPERLINK("https://twitter.com/omerrakc","@omerrakc")</f>
        <v>@omerrakc</v>
      </c>
      <c r="C1175" s="7" t="s">
        <v>8845</v>
      </c>
      <c r="D1175" s="7" t="s">
        <v>4621</v>
      </c>
      <c r="E1175" s="12" t="str">
        <f>HYPERLINK("https://twitter.com/omerrakc/status/1181931403841286145","1181931403841286145")</f>
        <v>1181931403841286145</v>
      </c>
      <c r="F1175" s="8"/>
      <c r="G1175" s="15"/>
      <c r="H1175" s="8"/>
      <c r="I1175" s="15">
        <v>0</v>
      </c>
      <c r="J1175" s="15">
        <v>4</v>
      </c>
      <c r="K1175" s="12" t="str">
        <f>HYPERLINK("http://twitter.com/download/iphone","Twitter for iPhone")</f>
        <v>Twitter for iPhone</v>
      </c>
      <c r="L1175" s="16">
        <v>939</v>
      </c>
      <c r="M1175" s="16">
        <v>315</v>
      </c>
      <c r="N1175" s="16">
        <v>1</v>
      </c>
      <c r="O1175" s="17"/>
      <c r="P1175" s="18">
        <v>40855.494305555556</v>
      </c>
      <c r="Q1175" s="7" t="s">
        <v>918</v>
      </c>
      <c r="R1175" s="7" t="s">
        <v>8847</v>
      </c>
      <c r="S1175" s="14" t="s">
        <v>8848</v>
      </c>
      <c r="T1175" s="8"/>
      <c r="U1175" s="19" t="str">
        <f>HYPERLINK("https://pbs.twimg.com/profile_images/1181508946433073154/3E--0ahj.jpg","View")</f>
        <v>View</v>
      </c>
      <c r="V1175" s="8"/>
      <c r="W1175" s="8"/>
      <c r="X1175" s="8"/>
      <c r="Y1175" s="8"/>
      <c r="Z1175" s="8"/>
    </row>
    <row r="1176" spans="1:26" ht="12.75">
      <c r="A1176" s="11">
        <v>43747.289108796293</v>
      </c>
      <c r="B1176" s="12" t="str">
        <f>HYPERLINK("https://twitter.com/_FatihUgur","@_FatihUgur")</f>
        <v>@_FatihUgur</v>
      </c>
      <c r="C1176" s="7" t="s">
        <v>8851</v>
      </c>
      <c r="D1176" s="7" t="s">
        <v>8852</v>
      </c>
      <c r="E1176" s="12" t="str">
        <f>HYPERLINK("https://twitter.com/_FatihUgur/status/1181931397801484288","1181931397801484288")</f>
        <v>1181931397801484288</v>
      </c>
      <c r="F1176" s="8"/>
      <c r="G1176" s="7"/>
      <c r="H1176" s="8"/>
      <c r="I1176" s="15">
        <v>0</v>
      </c>
      <c r="J1176" s="15">
        <v>0</v>
      </c>
      <c r="K1176" s="12" t="str">
        <f>HYPERLINK("http://twitter.com/download/iphone","Twitter for iPhone")</f>
        <v>Twitter for iPhone</v>
      </c>
      <c r="L1176" s="16">
        <v>58</v>
      </c>
      <c r="M1176" s="16">
        <v>60</v>
      </c>
      <c r="N1176" s="16">
        <v>0</v>
      </c>
      <c r="O1176" s="17"/>
      <c r="P1176" s="18">
        <v>41434.360636574071</v>
      </c>
      <c r="Q1176" s="7"/>
      <c r="R1176" s="7"/>
      <c r="S1176" s="15"/>
      <c r="T1176" s="8"/>
      <c r="U1176" s="19" t="str">
        <f>HYPERLINK("https://pbs.twimg.com/profile_images/3776877457/33fb80162c5e3e6aa2502d4d4d8326a0.jpeg","View")</f>
        <v>View</v>
      </c>
      <c r="V1176" s="8"/>
      <c r="W1176" s="8"/>
      <c r="X1176" s="8"/>
      <c r="Y1176" s="8"/>
      <c r="Z1176" s="8"/>
    </row>
    <row r="1177" spans="1:26" ht="12.75">
      <c r="A1177" s="11">
        <v>43747.28907407407</v>
      </c>
      <c r="B1177" s="12" t="str">
        <f>HYPERLINK("https://twitter.com/ercaparzoo","@ercaparzoo")</f>
        <v>@ercaparzoo</v>
      </c>
      <c r="C1177" s="7" t="s">
        <v>8857</v>
      </c>
      <c r="D1177" s="7" t="s">
        <v>8858</v>
      </c>
      <c r="E1177" s="12" t="str">
        <f>HYPERLINK("https://twitter.com/ercaparzoo/status/1181931388154580992","1181931388154580992")</f>
        <v>1181931388154580992</v>
      </c>
      <c r="F1177" s="8"/>
      <c r="G1177" s="14" t="s">
        <v>8859</v>
      </c>
      <c r="H1177" s="8"/>
      <c r="I1177" s="15">
        <v>0</v>
      </c>
      <c r="J1177" s="15">
        <v>22</v>
      </c>
      <c r="K1177" s="12" t="str">
        <f>HYPERLINK("http://twitter.com/download/iphone","Twitter for iPhone")</f>
        <v>Twitter for iPhone</v>
      </c>
      <c r="L1177" s="16">
        <v>1709</v>
      </c>
      <c r="M1177" s="16">
        <v>328</v>
      </c>
      <c r="N1177" s="16">
        <v>0</v>
      </c>
      <c r="O1177" s="17"/>
      <c r="P1177" s="18">
        <v>40945.435127314813</v>
      </c>
      <c r="Q1177" s="7" t="s">
        <v>313</v>
      </c>
      <c r="R1177" s="7" t="s">
        <v>8862</v>
      </c>
      <c r="S1177" s="14" t="s">
        <v>8863</v>
      </c>
      <c r="T1177" s="8"/>
      <c r="U1177" s="19" t="str">
        <f>HYPERLINK("https://pbs.twimg.com/profile_images/1181356048881520641/EqqGUEEq.jpg","View")</f>
        <v>View</v>
      </c>
      <c r="V1177" s="8"/>
      <c r="W1177" s="8"/>
      <c r="X1177" s="8"/>
      <c r="Y1177" s="8"/>
      <c r="Z1177" s="8"/>
    </row>
    <row r="1178" spans="1:26" ht="12.75">
      <c r="A1178" s="11">
        <v>43747.28907407407</v>
      </c>
      <c r="B1178" s="12" t="str">
        <f>HYPERLINK("https://twitter.com/SafaTprk","@SafaTprk")</f>
        <v>@SafaTprk</v>
      </c>
      <c r="C1178" s="7" t="s">
        <v>8866</v>
      </c>
      <c r="D1178" s="7" t="s">
        <v>893</v>
      </c>
      <c r="E1178" s="12" t="str">
        <f>HYPERLINK("https://twitter.com/SafaTprk/status/1181931385013055488","1181931385013055488")</f>
        <v>1181931385013055488</v>
      </c>
      <c r="F1178" s="8"/>
      <c r="G1178" s="15"/>
      <c r="H1178" s="8"/>
      <c r="I1178" s="15">
        <v>0</v>
      </c>
      <c r="J1178" s="15">
        <v>1</v>
      </c>
      <c r="K1178" s="12" t="str">
        <f>HYPERLINK("http://twitter.com/download/android","Twitter for Android")</f>
        <v>Twitter for Android</v>
      </c>
      <c r="L1178" s="16">
        <v>191</v>
      </c>
      <c r="M1178" s="16">
        <v>89</v>
      </c>
      <c r="N1178" s="16">
        <v>1</v>
      </c>
      <c r="O1178" s="17"/>
      <c r="P1178" s="18">
        <v>41939.14435185185</v>
      </c>
      <c r="Q1178" s="7"/>
      <c r="R1178" s="7"/>
      <c r="S1178" s="7"/>
      <c r="T1178" s="8"/>
      <c r="U1178" s="19" t="str">
        <f>HYPERLINK("https://pbs.twimg.com/profile_images/1176978222518550528/goIovcIV.jpg","View")</f>
        <v>View</v>
      </c>
      <c r="V1178" s="8"/>
      <c r="W1178" s="8"/>
      <c r="X1178" s="8"/>
      <c r="Y1178" s="8"/>
      <c r="Z1178" s="8"/>
    </row>
    <row r="1179" spans="1:26" ht="12.75">
      <c r="A1179" s="11">
        <v>43747.28905092593</v>
      </c>
      <c r="B1179" s="12" t="str">
        <f>HYPERLINK("https://twitter.com/mttbkayseri","@mttbkayseri")</f>
        <v>@mttbkayseri</v>
      </c>
      <c r="C1179" s="7" t="s">
        <v>8872</v>
      </c>
      <c r="D1179" s="7" t="s">
        <v>3843</v>
      </c>
      <c r="E1179" s="12" t="str">
        <f>HYPERLINK("https://twitter.com/mttbkayseri/status/1181931376360280064","1181931376360280064")</f>
        <v>1181931376360280064</v>
      </c>
      <c r="F1179" s="8"/>
      <c r="G1179" s="15"/>
      <c r="H1179" s="8"/>
      <c r="I1179" s="15">
        <v>3</v>
      </c>
      <c r="J1179" s="15">
        <v>6</v>
      </c>
      <c r="K1179" s="12" t="str">
        <f>HYPERLINK("http://twitter.com/download/android","Twitter for Android")</f>
        <v>Twitter for Android</v>
      </c>
      <c r="L1179" s="16">
        <v>1595</v>
      </c>
      <c r="M1179" s="16">
        <v>46</v>
      </c>
      <c r="N1179" s="16">
        <v>4</v>
      </c>
      <c r="O1179" s="17"/>
      <c r="P1179" s="18">
        <v>41553.541631944448</v>
      </c>
      <c r="Q1179" s="7" t="s">
        <v>1639</v>
      </c>
      <c r="R1179" s="7" t="s">
        <v>8875</v>
      </c>
      <c r="S1179" s="14" t="s">
        <v>8876</v>
      </c>
      <c r="T1179" s="8"/>
      <c r="U1179" s="19" t="str">
        <f>HYPERLINK("https://pbs.twimg.com/profile_images/1106479196665200641/Co9lDoSn.png","View")</f>
        <v>View</v>
      </c>
      <c r="V1179" s="8"/>
      <c r="W1179" s="8"/>
      <c r="X1179" s="8"/>
      <c r="Y1179" s="8"/>
      <c r="Z1179" s="8"/>
    </row>
    <row r="1180" spans="1:26" ht="12.75">
      <c r="A1180" s="11">
        <v>43747.289027777777</v>
      </c>
      <c r="B1180" s="12" t="str">
        <f>HYPERLINK("https://twitter.com/hasanhuseyinbnd","@hasanhuseyinbnd")</f>
        <v>@hasanhuseyinbnd</v>
      </c>
      <c r="C1180" s="7" t="s">
        <v>8878</v>
      </c>
      <c r="D1180" s="7" t="s">
        <v>160</v>
      </c>
      <c r="E1180" s="12" t="str">
        <f>HYPERLINK("https://twitter.com/hasanhuseyinbnd/status/1181931370609860609","1181931370609860609")</f>
        <v>1181931370609860609</v>
      </c>
      <c r="F1180" s="8"/>
      <c r="G1180" s="15"/>
      <c r="H1180" s="8"/>
      <c r="I1180" s="15">
        <v>0</v>
      </c>
      <c r="J1180" s="15">
        <v>0</v>
      </c>
      <c r="K1180" s="12" t="str">
        <f>HYPERLINK("https://mobile.twitter.com","Twitter Web App")</f>
        <v>Twitter Web App</v>
      </c>
      <c r="L1180" s="16">
        <v>2544</v>
      </c>
      <c r="M1180" s="16">
        <v>1398</v>
      </c>
      <c r="N1180" s="16">
        <v>8</v>
      </c>
      <c r="O1180" s="17"/>
      <c r="P1180" s="18">
        <v>41488.05846064815</v>
      </c>
      <c r="Q1180" s="7" t="s">
        <v>860</v>
      </c>
      <c r="R1180" s="7" t="s">
        <v>8881</v>
      </c>
      <c r="S1180" s="7"/>
      <c r="T1180" s="8"/>
      <c r="U1180" s="19" t="str">
        <f>HYPERLINK("https://pbs.twimg.com/profile_images/378800000339477232/1ad74f766d1d5091bbe49164af86e085.jpeg","View")</f>
        <v>View</v>
      </c>
      <c r="V1180" s="8"/>
      <c r="W1180" s="8"/>
      <c r="X1180" s="8"/>
      <c r="Y1180" s="8"/>
      <c r="Z1180" s="8"/>
    </row>
    <row r="1181" spans="1:26" ht="12.75">
      <c r="A1181" s="11">
        <v>43747.288993055554</v>
      </c>
      <c r="B1181" s="12" t="str">
        <f>HYPERLINK("https://twitter.com/HanifeOndee","@HanifeOndee")</f>
        <v>@HanifeOndee</v>
      </c>
      <c r="C1181" s="7" t="s">
        <v>8884</v>
      </c>
      <c r="D1181" s="7" t="s">
        <v>8885</v>
      </c>
      <c r="E1181" s="12" t="str">
        <f>HYPERLINK("https://twitter.com/HanifeOndee/status/1181931358429597696","1181931358429597696")</f>
        <v>1181931358429597696</v>
      </c>
      <c r="F1181" s="8"/>
      <c r="G1181" s="14" t="s">
        <v>8886</v>
      </c>
      <c r="H1181" s="8"/>
      <c r="I1181" s="15">
        <v>0</v>
      </c>
      <c r="J1181" s="15">
        <v>0</v>
      </c>
      <c r="K1181" s="12" t="str">
        <f>HYPERLINK("http://twitter.com/download/iphone","Twitter for iPhone")</f>
        <v>Twitter for iPhone</v>
      </c>
      <c r="L1181" s="16">
        <v>6</v>
      </c>
      <c r="M1181" s="16">
        <v>92</v>
      </c>
      <c r="N1181" s="16">
        <v>0</v>
      </c>
      <c r="O1181" s="17"/>
      <c r="P1181" s="18">
        <v>43677.485266203701</v>
      </c>
      <c r="Q1181" s="7"/>
      <c r="R1181" s="7"/>
      <c r="S1181" s="7"/>
      <c r="T1181" s="8"/>
      <c r="U1181" s="19" t="str">
        <f>HYPERLINK("https://pbs.twimg.com/profile_images/1156918495688429568/nEcprZwQ.jpg","View")</f>
        <v>View</v>
      </c>
      <c r="V1181" s="8"/>
      <c r="W1181" s="8"/>
      <c r="X1181" s="8"/>
      <c r="Y1181" s="8"/>
      <c r="Z1181" s="8"/>
    </row>
    <row r="1182" spans="1:26" ht="12.75">
      <c r="A1182" s="11">
        <v>43747.288958333331</v>
      </c>
      <c r="B1182" s="12" t="str">
        <f>HYPERLINK("https://twitter.com/ilkersavass","@ilkersavass")</f>
        <v>@ilkersavass</v>
      </c>
      <c r="C1182" s="7" t="s">
        <v>8891</v>
      </c>
      <c r="D1182" s="7" t="s">
        <v>8892</v>
      </c>
      <c r="E1182" s="12" t="str">
        <f>HYPERLINK("https://twitter.com/ilkersavass/status/1181931346630971392","1181931346630971392")</f>
        <v>1181931346630971392</v>
      </c>
      <c r="F1182" s="8"/>
      <c r="G1182" s="14" t="s">
        <v>8893</v>
      </c>
      <c r="H1182" s="8"/>
      <c r="I1182" s="15">
        <v>0</v>
      </c>
      <c r="J1182" s="15">
        <v>2</v>
      </c>
      <c r="K1182" s="12" t="str">
        <f>HYPERLINK("http://twitter.com/download/iphone","Twitter for iPhone")</f>
        <v>Twitter for iPhone</v>
      </c>
      <c r="L1182" s="16">
        <v>32</v>
      </c>
      <c r="M1182" s="16">
        <v>101</v>
      </c>
      <c r="N1182" s="16">
        <v>0</v>
      </c>
      <c r="O1182" s="17"/>
      <c r="P1182" s="18">
        <v>42275.668009259258</v>
      </c>
      <c r="Q1182" s="7" t="s">
        <v>8894</v>
      </c>
      <c r="R1182" s="7"/>
      <c r="S1182" s="7"/>
      <c r="T1182" s="8"/>
      <c r="U1182" s="19" t="str">
        <f>HYPERLINK("https://pbs.twimg.com/profile_images/799744893056909313/m7gS646B.jpg","View")</f>
        <v>View</v>
      </c>
      <c r="V1182" s="8"/>
      <c r="W1182" s="8"/>
      <c r="X1182" s="8"/>
      <c r="Y1182" s="8"/>
      <c r="Z1182" s="8"/>
    </row>
    <row r="1183" spans="1:26" ht="12.75">
      <c r="A1183" s="11">
        <v>43747.288958333331</v>
      </c>
      <c r="B1183" s="12" t="str">
        <f>HYPERLINK("https://twitter.com/omertakim16","@omertakim16")</f>
        <v>@omertakim16</v>
      </c>
      <c r="C1183" s="7" t="s">
        <v>8897</v>
      </c>
      <c r="D1183" s="7" t="s">
        <v>8898</v>
      </c>
      <c r="E1183" s="12" t="str">
        <f>HYPERLINK("https://twitter.com/omertakim16/status/1181931342851903489","1181931342851903489")</f>
        <v>1181931342851903489</v>
      </c>
      <c r="F1183" s="8"/>
      <c r="G1183" s="14" t="s">
        <v>8899</v>
      </c>
      <c r="H1183" s="8"/>
      <c r="I1183" s="15">
        <v>0</v>
      </c>
      <c r="J1183" s="15">
        <v>0</v>
      </c>
      <c r="K1183" s="12" t="str">
        <f>HYPERLINK("http://twitter.com/download/android","Twitter for Android")</f>
        <v>Twitter for Android</v>
      </c>
      <c r="L1183" s="16">
        <v>40</v>
      </c>
      <c r="M1183" s="16">
        <v>85</v>
      </c>
      <c r="N1183" s="16">
        <v>0</v>
      </c>
      <c r="O1183" s="17"/>
      <c r="P1183" s="18">
        <v>42226.366585648153</v>
      </c>
      <c r="Q1183" s="7" t="s">
        <v>8902</v>
      </c>
      <c r="R1183" s="7"/>
      <c r="S1183" s="7"/>
      <c r="T1183" s="8"/>
      <c r="U1183" s="19" t="str">
        <f>HYPERLINK("https://pbs.twimg.com/profile_images/1157633410321539072/SgI6eif9.jpg","View")</f>
        <v>View</v>
      </c>
      <c r="V1183" s="8"/>
      <c r="W1183" s="8"/>
      <c r="X1183" s="8"/>
      <c r="Y1183" s="8"/>
      <c r="Z1183" s="8"/>
    </row>
    <row r="1184" spans="1:26" ht="12.75">
      <c r="A1184" s="11">
        <v>43747.288935185185</v>
      </c>
      <c r="B1184" s="12" t="str">
        <f>HYPERLINK("https://twitter.com/krsatshin","@krsatshin")</f>
        <v>@krsatshin</v>
      </c>
      <c r="C1184" s="7" t="s">
        <v>8903</v>
      </c>
      <c r="D1184" s="7" t="s">
        <v>8904</v>
      </c>
      <c r="E1184" s="12" t="str">
        <f>HYPERLINK("https://twitter.com/krsatshin/status/1181931334480076801","1181931334480076801")</f>
        <v>1181931334480076801</v>
      </c>
      <c r="F1184" s="8"/>
      <c r="G1184" s="14" t="s">
        <v>8905</v>
      </c>
      <c r="H1184" s="8"/>
      <c r="I1184" s="15">
        <v>0</v>
      </c>
      <c r="J1184" s="15">
        <v>1</v>
      </c>
      <c r="K1184" s="12" t="str">
        <f>HYPERLINK("http://twitter.com/download/iphone","Twitter for iPhone")</f>
        <v>Twitter for iPhone</v>
      </c>
      <c r="L1184" s="16">
        <v>214</v>
      </c>
      <c r="M1184" s="16">
        <v>329</v>
      </c>
      <c r="N1184" s="16">
        <v>0</v>
      </c>
      <c r="O1184" s="17"/>
      <c r="P1184" s="18">
        <v>42322.462766203702</v>
      </c>
      <c r="Q1184" s="7" t="s">
        <v>8906</v>
      </c>
      <c r="R1184" s="7"/>
      <c r="S1184" s="7"/>
      <c r="T1184" s="8"/>
      <c r="U1184" s="19" t="str">
        <f>HYPERLINK("https://pbs.twimg.com/profile_images/1150285513699577857/ALF3r9T5.jpg","View")</f>
        <v>View</v>
      </c>
      <c r="V1184" s="8"/>
      <c r="W1184" s="8"/>
      <c r="X1184" s="8"/>
      <c r="Y1184" s="8"/>
      <c r="Z1184" s="8"/>
    </row>
    <row r="1185" spans="1:26" ht="12.75">
      <c r="A1185" s="11">
        <v>43747.288900462961</v>
      </c>
      <c r="B1185" s="12" t="str">
        <f>HYPERLINK("https://twitter.com/e_k_a_r_a","@e_k_a_r_a")</f>
        <v>@e_k_a_r_a</v>
      </c>
      <c r="C1185" s="7" t="s">
        <v>8907</v>
      </c>
      <c r="D1185" s="7" t="s">
        <v>8908</v>
      </c>
      <c r="E1185" s="12" t="str">
        <f>HYPERLINK("https://twitter.com/e_k_a_r_a/status/1181931325223247872","1181931325223247872")</f>
        <v>1181931325223247872</v>
      </c>
      <c r="F1185" s="8"/>
      <c r="G1185" s="14" t="s">
        <v>8909</v>
      </c>
      <c r="H1185" s="8"/>
      <c r="I1185" s="15">
        <v>0</v>
      </c>
      <c r="J1185" s="15">
        <v>0</v>
      </c>
      <c r="K1185" s="12" t="str">
        <f>HYPERLINK("http://twitter.com/download/android","Twitter for Android")</f>
        <v>Twitter for Android</v>
      </c>
      <c r="L1185" s="16">
        <v>101</v>
      </c>
      <c r="M1185" s="16">
        <v>783</v>
      </c>
      <c r="N1185" s="16">
        <v>1</v>
      </c>
      <c r="O1185" s="17"/>
      <c r="P1185" s="18">
        <v>41460.243159722224</v>
      </c>
      <c r="Q1185" s="7"/>
      <c r="R1185" s="7" t="s">
        <v>1005</v>
      </c>
      <c r="S1185" s="7"/>
      <c r="T1185" s="8"/>
      <c r="U1185" s="19" t="str">
        <f>HYPERLINK("https://pbs.twimg.com/profile_images/1086079608418643973/Wns9ZxoP.jpg","View")</f>
        <v>View</v>
      </c>
      <c r="V1185" s="8"/>
      <c r="W1185" s="8"/>
      <c r="X1185" s="8"/>
      <c r="Y1185" s="8"/>
      <c r="Z1185" s="8"/>
    </row>
    <row r="1186" spans="1:26" ht="12.75">
      <c r="A1186" s="11">
        <v>43747.288877314815</v>
      </c>
      <c r="B1186" s="12" t="str">
        <f>HYPERLINK("https://twitter.com/Behlulaltnsk","@Behlulaltnsk")</f>
        <v>@Behlulaltnsk</v>
      </c>
      <c r="C1186" s="7" t="s">
        <v>8910</v>
      </c>
      <c r="D1186" s="7" t="s">
        <v>8911</v>
      </c>
      <c r="E1186" s="12" t="str">
        <f>HYPERLINK("https://twitter.com/Behlulaltnsk/status/1181931313768652801","1181931313768652801")</f>
        <v>1181931313768652801</v>
      </c>
      <c r="F1186" s="8"/>
      <c r="G1186" s="14" t="s">
        <v>8912</v>
      </c>
      <c r="H1186" s="8"/>
      <c r="I1186" s="15">
        <v>0</v>
      </c>
      <c r="J1186" s="15">
        <v>5</v>
      </c>
      <c r="K1186" s="12" t="str">
        <f>HYPERLINK("http://twitter.com/download/android","Twitter for Android")</f>
        <v>Twitter for Android</v>
      </c>
      <c r="L1186" s="16">
        <v>301</v>
      </c>
      <c r="M1186" s="16">
        <v>101</v>
      </c>
      <c r="N1186" s="16">
        <v>0</v>
      </c>
      <c r="O1186" s="17"/>
      <c r="P1186" s="18">
        <v>42678.294988425929</v>
      </c>
      <c r="Q1186" s="7" t="s">
        <v>8913</v>
      </c>
      <c r="R1186" s="7" t="s">
        <v>8914</v>
      </c>
      <c r="S1186" s="15"/>
      <c r="T1186" s="8"/>
      <c r="U1186" s="19" t="str">
        <f>HYPERLINK("https://pbs.twimg.com/profile_images/1155524123197620224/brz04v-f.jpg","View")</f>
        <v>View</v>
      </c>
      <c r="V1186" s="8"/>
      <c r="W1186" s="8"/>
      <c r="X1186" s="8"/>
      <c r="Y1186" s="8"/>
      <c r="Z1186" s="8"/>
    </row>
    <row r="1187" spans="1:26" ht="12.75">
      <c r="A1187" s="11">
        <v>43747.288865740746</v>
      </c>
      <c r="B1187" s="12" t="str">
        <f>HYPERLINK("https://twitter.com/Erzurumspor_Net","@Erzurumspor_Net")</f>
        <v>@Erzurumspor_Net</v>
      </c>
      <c r="C1187" s="14" t="s">
        <v>8915</v>
      </c>
      <c r="D1187" s="7" t="s">
        <v>6105</v>
      </c>
      <c r="E1187" s="12" t="str">
        <f>HYPERLINK("https://twitter.com/Erzurumspor_Net/status/1181931312057389056","1181931312057389056")</f>
        <v>1181931312057389056</v>
      </c>
      <c r="F1187" s="15"/>
      <c r="G1187" s="14" t="s">
        <v>8916</v>
      </c>
      <c r="H1187" s="8"/>
      <c r="I1187" s="15">
        <v>0</v>
      </c>
      <c r="J1187" s="15">
        <v>10</v>
      </c>
      <c r="K1187" s="12" t="str">
        <f>HYPERLINK("https://mobile.twitter.com","Twitter Web App")</f>
        <v>Twitter Web App</v>
      </c>
      <c r="L1187" s="16">
        <v>1170</v>
      </c>
      <c r="M1187" s="16">
        <v>180</v>
      </c>
      <c r="N1187" s="16">
        <v>1</v>
      </c>
      <c r="O1187" s="17"/>
      <c r="P1187" s="18">
        <v>40844.588194444441</v>
      </c>
      <c r="Q1187" s="7" t="s">
        <v>8917</v>
      </c>
      <c r="R1187" s="7" t="s">
        <v>8918</v>
      </c>
      <c r="S1187" s="14" t="s">
        <v>8920</v>
      </c>
      <c r="T1187" s="8"/>
      <c r="U1187" s="19" t="str">
        <f>HYPERLINK("https://pbs.twimg.com/profile_images/1092352051458248704/36bkVzI6.jpg","View")</f>
        <v>View</v>
      </c>
      <c r="V1187" s="8"/>
      <c r="W1187" s="8"/>
      <c r="X1187" s="8"/>
      <c r="Y1187" s="8"/>
      <c r="Z1187" s="8"/>
    </row>
    <row r="1188" spans="1:26" ht="12.75">
      <c r="A1188" s="11">
        <v>43747.288865740746</v>
      </c>
      <c r="B1188" s="12" t="str">
        <f>HYPERLINK("https://twitter.com/yasemin1923","@yasemin1923")</f>
        <v>@yasemin1923</v>
      </c>
      <c r="C1188" s="7" t="s">
        <v>8922</v>
      </c>
      <c r="D1188" s="7" t="s">
        <v>8923</v>
      </c>
      <c r="E1188" s="12" t="str">
        <f>HYPERLINK("https://twitter.com/yasemin1923/status/1181931310740320257","1181931310740320257")</f>
        <v>1181931310740320257</v>
      </c>
      <c r="F1188" s="15"/>
      <c r="G1188" s="15"/>
      <c r="H1188" s="8"/>
      <c r="I1188" s="15">
        <v>4</v>
      </c>
      <c r="J1188" s="15">
        <v>8</v>
      </c>
      <c r="K1188" s="12" t="str">
        <f>HYPERLINK("http://twitter.com/download/iphone","Twitter for iPhone")</f>
        <v>Twitter for iPhone</v>
      </c>
      <c r="L1188" s="16">
        <v>9998</v>
      </c>
      <c r="M1188" s="16">
        <v>6828</v>
      </c>
      <c r="N1188" s="16">
        <v>8</v>
      </c>
      <c r="O1188" s="17"/>
      <c r="P1188" s="18">
        <v>40960.004328703704</v>
      </c>
      <c r="Q1188" s="7" t="s">
        <v>8902</v>
      </c>
      <c r="R1188" s="7" t="s">
        <v>8924</v>
      </c>
      <c r="S1188" s="7"/>
      <c r="T1188" s="8"/>
      <c r="U1188" s="19" t="str">
        <f>HYPERLINK("https://pbs.twimg.com/profile_images/1143073900433170432/3CDaHwEn.jpg","View")</f>
        <v>View</v>
      </c>
      <c r="V1188" s="8"/>
      <c r="W1188" s="8"/>
      <c r="X1188" s="8"/>
      <c r="Y1188" s="8"/>
      <c r="Z1188" s="8"/>
    </row>
    <row r="1189" spans="1:26" ht="12.75">
      <c r="A1189" s="11">
        <v>43747.288831018523</v>
      </c>
      <c r="B1189" s="12" t="str">
        <f>HYPERLINK("https://twitter.com/haber365","@haber365")</f>
        <v>@haber365</v>
      </c>
      <c r="C1189" s="7" t="s">
        <v>8927</v>
      </c>
      <c r="D1189" s="7" t="s">
        <v>8928</v>
      </c>
      <c r="E1189" s="12" t="str">
        <f>HYPERLINK("https://twitter.com/haber365/status/1181931298883018753","1181931298883018753")</f>
        <v>1181931298883018753</v>
      </c>
      <c r="F1189" s="8"/>
      <c r="G1189" s="14" t="s">
        <v>8929</v>
      </c>
      <c r="H1189" s="8"/>
      <c r="I1189" s="15">
        <v>2</v>
      </c>
      <c r="J1189" s="15">
        <v>7</v>
      </c>
      <c r="K1189" s="12" t="str">
        <f>HYPERLINK("https://mobile.twitter.com","Twitter Web App")</f>
        <v>Twitter Web App</v>
      </c>
      <c r="L1189" s="16">
        <v>131134</v>
      </c>
      <c r="M1189" s="16">
        <v>21373</v>
      </c>
      <c r="N1189" s="16">
        <v>190</v>
      </c>
      <c r="O1189" s="17" t="s">
        <v>984</v>
      </c>
      <c r="P1189" s="18">
        <v>40560.626388888893</v>
      </c>
      <c r="Q1189" s="7"/>
      <c r="R1189" s="7" t="s">
        <v>8930</v>
      </c>
      <c r="S1189" s="14" t="s">
        <v>8931</v>
      </c>
      <c r="T1189" s="8"/>
      <c r="U1189" s="19" t="str">
        <f>HYPERLINK("https://pbs.twimg.com/profile_images/1135052670736228352/M-c7n70P.png","View")</f>
        <v>View</v>
      </c>
      <c r="V1189" s="8"/>
      <c r="W1189" s="8"/>
      <c r="X1189" s="8"/>
      <c r="Y1189" s="8"/>
      <c r="Z1189" s="8"/>
    </row>
    <row r="1190" spans="1:26" ht="12.75">
      <c r="A1190" s="11">
        <v>43747.288819444446</v>
      </c>
      <c r="B1190" s="12" t="str">
        <f>HYPERLINK("https://twitter.com/__esma","@__esma")</f>
        <v>@__esma</v>
      </c>
      <c r="C1190" s="7" t="s">
        <v>8932</v>
      </c>
      <c r="D1190" s="7" t="s">
        <v>8933</v>
      </c>
      <c r="E1190" s="12" t="str">
        <f>HYPERLINK("https://twitter.com/__esma/status/1181931294990782464","1181931294990782464")</f>
        <v>1181931294990782464</v>
      </c>
      <c r="F1190" s="8"/>
      <c r="G1190" s="7"/>
      <c r="H1190" s="8"/>
      <c r="I1190" s="15">
        <v>0</v>
      </c>
      <c r="J1190" s="15">
        <v>2</v>
      </c>
      <c r="K1190" s="12" t="str">
        <f>HYPERLINK("http://twitter.com/download/android","Twitter for Android")</f>
        <v>Twitter for Android</v>
      </c>
      <c r="L1190" s="16">
        <v>65</v>
      </c>
      <c r="M1190" s="16">
        <v>112</v>
      </c>
      <c r="N1190" s="16">
        <v>0</v>
      </c>
      <c r="O1190" s="17"/>
      <c r="P1190" s="18">
        <v>43506.331331018519</v>
      </c>
      <c r="Q1190" s="7" t="s">
        <v>1150</v>
      </c>
      <c r="R1190" s="7" t="s">
        <v>8934</v>
      </c>
      <c r="S1190" s="7"/>
      <c r="T1190" s="8"/>
      <c r="U1190" s="19" t="str">
        <f>HYPERLINK("https://pbs.twimg.com/profile_images/1180947537269788677/2SeLop-2.jpg","View")</f>
        <v>View</v>
      </c>
      <c r="V1190" s="8"/>
      <c r="W1190" s="8"/>
      <c r="X1190" s="8"/>
      <c r="Y1190" s="8"/>
      <c r="Z1190" s="8"/>
    </row>
    <row r="1191" spans="1:26" ht="12.75">
      <c r="A1191" s="11">
        <v>43747.288807870369</v>
      </c>
      <c r="B1191" s="12" t="str">
        <f>HYPERLINK("https://twitter.com/Gkhan77216168","@Gkhan77216168")</f>
        <v>@Gkhan77216168</v>
      </c>
      <c r="C1191" s="7" t="s">
        <v>8936</v>
      </c>
      <c r="D1191" s="7" t="s">
        <v>8937</v>
      </c>
      <c r="E1191" s="12" t="str">
        <f>HYPERLINK("https://twitter.com/Gkhan77216168/status/1181931290477633537","1181931290477633537")</f>
        <v>1181931290477633537</v>
      </c>
      <c r="F1191" s="8"/>
      <c r="G1191" s="14" t="s">
        <v>8939</v>
      </c>
      <c r="H1191" s="8"/>
      <c r="I1191" s="15">
        <v>0</v>
      </c>
      <c r="J1191" s="15">
        <v>0</v>
      </c>
      <c r="K1191" s="12" t="str">
        <f>HYPERLINK("http://twitter.com/download/android","Twitter for Android")</f>
        <v>Twitter for Android</v>
      </c>
      <c r="L1191" s="16">
        <v>1</v>
      </c>
      <c r="M1191" s="16">
        <v>13</v>
      </c>
      <c r="N1191" s="16">
        <v>0</v>
      </c>
      <c r="O1191" s="17"/>
      <c r="P1191" s="18">
        <v>43558.441944444443</v>
      </c>
      <c r="Q1191" s="7"/>
      <c r="R1191" s="7"/>
      <c r="S1191" s="7"/>
      <c r="T1191" s="8"/>
      <c r="U1191" s="20" t="s">
        <v>354</v>
      </c>
      <c r="V1191" s="8"/>
      <c r="W1191" s="8"/>
      <c r="X1191" s="8"/>
      <c r="Y1191" s="8"/>
      <c r="Z1191" s="8"/>
    </row>
    <row r="1192" spans="1:26" ht="12.75">
      <c r="A1192" s="11">
        <v>43747.288807870369</v>
      </c>
      <c r="B1192" s="12" t="str">
        <f>HYPERLINK("https://twitter.com/ferhat_culha","@ferhat_culha")</f>
        <v>@ferhat_culha</v>
      </c>
      <c r="C1192" s="7" t="s">
        <v>8941</v>
      </c>
      <c r="D1192" s="7" t="s">
        <v>8943</v>
      </c>
      <c r="E1192" s="12" t="str">
        <f>HYPERLINK("https://twitter.com/ferhat_culha/status/1181931290418929664","1181931290418929664")</f>
        <v>1181931290418929664</v>
      </c>
      <c r="F1192" s="8"/>
      <c r="G1192" s="14" t="s">
        <v>8944</v>
      </c>
      <c r="H1192" s="8"/>
      <c r="I1192" s="15">
        <v>0</v>
      </c>
      <c r="J1192" s="15">
        <v>0</v>
      </c>
      <c r="K1192" s="12" t="str">
        <f>HYPERLINK("http://twitter.com/download/android","Twitter for Android")</f>
        <v>Twitter for Android</v>
      </c>
      <c r="L1192" s="16">
        <v>24</v>
      </c>
      <c r="M1192" s="16">
        <v>45</v>
      </c>
      <c r="N1192" s="16">
        <v>0</v>
      </c>
      <c r="O1192" s="17"/>
      <c r="P1192" s="18">
        <v>42930.064479166671</v>
      </c>
      <c r="Q1192" s="7"/>
      <c r="R1192" s="7"/>
      <c r="S1192" s="7"/>
      <c r="T1192" s="8"/>
      <c r="U1192" s="19" t="str">
        <f>HYPERLINK("https://pbs.twimg.com/profile_images/1000539243389825024/FJv8UU1z.jpg","View")</f>
        <v>View</v>
      </c>
      <c r="V1192" s="8"/>
      <c r="W1192" s="8"/>
      <c r="X1192" s="8"/>
      <c r="Y1192" s="8"/>
      <c r="Z1192" s="8"/>
    </row>
    <row r="1193" spans="1:26" ht="12.75">
      <c r="A1193" s="11">
        <v>43747.288761574076</v>
      </c>
      <c r="B1193" s="12" t="str">
        <f>HYPERLINK("https://twitter.com/NazliCelebi3","@NazliCelebi3")</f>
        <v>@NazliCelebi3</v>
      </c>
      <c r="C1193" s="7" t="s">
        <v>8947</v>
      </c>
      <c r="D1193" s="7" t="s">
        <v>8948</v>
      </c>
      <c r="E1193" s="12" t="str">
        <f>HYPERLINK("https://twitter.com/NazliCelebi3/status/1181931273381715970","1181931273381715970")</f>
        <v>1181931273381715970</v>
      </c>
      <c r="F1193" s="8"/>
      <c r="G1193" s="14" t="s">
        <v>8949</v>
      </c>
      <c r="H1193" s="8"/>
      <c r="I1193" s="15">
        <v>0</v>
      </c>
      <c r="J1193" s="15">
        <v>0</v>
      </c>
      <c r="K1193" s="12" t="str">
        <f>HYPERLINK("http://twitter.com/download/iphone","Twitter for iPhone")</f>
        <v>Twitter for iPhone</v>
      </c>
      <c r="L1193" s="16">
        <v>5</v>
      </c>
      <c r="M1193" s="16">
        <v>29</v>
      </c>
      <c r="N1193" s="16">
        <v>0</v>
      </c>
      <c r="O1193" s="17"/>
      <c r="P1193" s="18">
        <v>43722.179722222223</v>
      </c>
      <c r="Q1193" s="7"/>
      <c r="R1193" s="7"/>
      <c r="S1193" s="7"/>
      <c r="T1193" s="8"/>
      <c r="U1193" s="19" t="str">
        <f>HYPERLINK("https://pbs.twimg.com/profile_images/1172832150573502464/9K9hEfHy.jpg","View")</f>
        <v>View</v>
      </c>
      <c r="V1193" s="8"/>
      <c r="W1193" s="8"/>
      <c r="X1193" s="8"/>
      <c r="Y1193" s="8"/>
      <c r="Z1193" s="8"/>
    </row>
    <row r="1194" spans="1:26" ht="12.75">
      <c r="A1194" s="11">
        <v>43747.288738425923</v>
      </c>
      <c r="B1194" s="12" t="str">
        <f>HYPERLINK("https://twitter.com/RivrivvvA","@RivrivvvA")</f>
        <v>@RivrivvvA</v>
      </c>
      <c r="C1194" s="7" t="s">
        <v>8950</v>
      </c>
      <c r="D1194" s="7" t="s">
        <v>8951</v>
      </c>
      <c r="E1194" s="12" t="str">
        <f>HYPERLINK("https://twitter.com/RivrivvvA/status/1181931267195052033","1181931267195052033")</f>
        <v>1181931267195052033</v>
      </c>
      <c r="F1194" s="8"/>
      <c r="G1194" s="15"/>
      <c r="H1194" s="8"/>
      <c r="I1194" s="15">
        <v>0</v>
      </c>
      <c r="J1194" s="15">
        <v>0</v>
      </c>
      <c r="K1194" s="12" t="str">
        <f>HYPERLINK("http://twitter.com/download/android","Twitter for Android")</f>
        <v>Twitter for Android</v>
      </c>
      <c r="L1194" s="16">
        <v>102</v>
      </c>
      <c r="M1194" s="16">
        <v>473</v>
      </c>
      <c r="N1194" s="16">
        <v>0</v>
      </c>
      <c r="O1194" s="17"/>
      <c r="P1194" s="18">
        <v>42891.14844907407</v>
      </c>
      <c r="Q1194" s="7"/>
      <c r="R1194" s="7"/>
      <c r="S1194" s="7"/>
      <c r="T1194" s="8"/>
      <c r="U1194" s="19" t="str">
        <f>HYPERLINK("https://pbs.twimg.com/profile_images/1178418849932365826/VEATrOQY.jpg","View")</f>
        <v>View</v>
      </c>
      <c r="V1194" s="8"/>
      <c r="W1194" s="8"/>
      <c r="X1194" s="8"/>
      <c r="Y1194" s="8"/>
      <c r="Z1194" s="8"/>
    </row>
    <row r="1195" spans="1:26" ht="12.75">
      <c r="A1195" s="11">
        <v>43747.2887037037</v>
      </c>
      <c r="B1195" s="12" t="str">
        <f>HYPERLINK("https://twitter.com/madiymn","@madiymn")</f>
        <v>@madiymn</v>
      </c>
      <c r="C1195" s="7" t="s">
        <v>8952</v>
      </c>
      <c r="D1195" s="7" t="s">
        <v>8953</v>
      </c>
      <c r="E1195" s="12" t="str">
        <f>HYPERLINK("https://twitter.com/madiymn/status/1181931252238241792","1181931252238241792")</f>
        <v>1181931252238241792</v>
      </c>
      <c r="F1195" s="8"/>
      <c r="G1195" s="14" t="s">
        <v>8954</v>
      </c>
      <c r="H1195" s="8"/>
      <c r="I1195" s="15">
        <v>0</v>
      </c>
      <c r="J1195" s="15">
        <v>0</v>
      </c>
      <c r="K1195" s="12" t="str">
        <f>HYPERLINK("http://twitter.com/download/iphone","Twitter for iPhone")</f>
        <v>Twitter for iPhone</v>
      </c>
      <c r="L1195" s="16">
        <v>121</v>
      </c>
      <c r="M1195" s="16">
        <v>366</v>
      </c>
      <c r="N1195" s="16">
        <v>1</v>
      </c>
      <c r="O1195" s="17"/>
      <c r="P1195" s="18">
        <v>41945.131782407407</v>
      </c>
      <c r="Q1195" s="7"/>
      <c r="R1195" s="7" t="s">
        <v>8955</v>
      </c>
      <c r="S1195" s="7"/>
      <c r="T1195" s="8"/>
      <c r="U1195" s="19" t="str">
        <f>HYPERLINK("https://pbs.twimg.com/profile_images/732846123765895169/cu8npqE6.jpg","View")</f>
        <v>View</v>
      </c>
      <c r="V1195" s="8"/>
      <c r="W1195" s="8"/>
      <c r="X1195" s="8"/>
      <c r="Y1195" s="8"/>
      <c r="Z1195" s="8"/>
    </row>
    <row r="1196" spans="1:26" ht="12.75">
      <c r="A1196" s="11">
        <v>43747.28869212963</v>
      </c>
      <c r="B1196" s="12" t="str">
        <f>HYPERLINK("https://twitter.com/irfan_akkurt","@irfan_akkurt")</f>
        <v>@irfan_akkurt</v>
      </c>
      <c r="C1196" s="7" t="s">
        <v>8956</v>
      </c>
      <c r="D1196" s="7" t="s">
        <v>8957</v>
      </c>
      <c r="E1196" s="12" t="str">
        <f>HYPERLINK("https://twitter.com/irfan_akkurt/status/1181931248673013761","1181931248673013761")</f>
        <v>1181931248673013761</v>
      </c>
      <c r="F1196" s="8"/>
      <c r="G1196" s="14" t="s">
        <v>8958</v>
      </c>
      <c r="H1196" s="8"/>
      <c r="I1196" s="15">
        <v>0</v>
      </c>
      <c r="J1196" s="15">
        <v>0</v>
      </c>
      <c r="K1196" s="12" t="str">
        <f>HYPERLINK("http://twitter.com/download/android","Twitter for Android")</f>
        <v>Twitter for Android</v>
      </c>
      <c r="L1196" s="16">
        <v>28</v>
      </c>
      <c r="M1196" s="16">
        <v>111</v>
      </c>
      <c r="N1196" s="16">
        <v>0</v>
      </c>
      <c r="O1196" s="20"/>
      <c r="P1196" s="18">
        <v>42588.954074074078</v>
      </c>
      <c r="Q1196" s="7"/>
      <c r="R1196" s="7" t="s">
        <v>8959</v>
      </c>
      <c r="S1196" s="15"/>
      <c r="T1196" s="8"/>
      <c r="U1196" s="19" t="str">
        <f>HYPERLINK("https://pbs.twimg.com/profile_images/1114969524107980800/W-8u89LY.jpg","View")</f>
        <v>View</v>
      </c>
      <c r="V1196" s="8"/>
      <c r="W1196" s="8"/>
      <c r="X1196" s="8"/>
      <c r="Y1196" s="8"/>
      <c r="Z1196" s="8"/>
    </row>
    <row r="1197" spans="1:26" ht="12.75">
      <c r="A1197" s="11">
        <v>43747.288645833338</v>
      </c>
      <c r="B1197" s="12" t="str">
        <f>HYPERLINK("https://twitter.com/jabberwocky__06","@jabberwocky__06")</f>
        <v>@jabberwocky__06</v>
      </c>
      <c r="C1197" s="7" t="s">
        <v>8962</v>
      </c>
      <c r="D1197" s="7" t="s">
        <v>8963</v>
      </c>
      <c r="E1197" s="12" t="str">
        <f>HYPERLINK("https://twitter.com/jabberwocky__06/status/1181931229714747393","1181931229714747393")</f>
        <v>1181931229714747393</v>
      </c>
      <c r="F1197" s="8"/>
      <c r="G1197" s="15"/>
      <c r="H1197" s="8"/>
      <c r="I1197" s="15">
        <v>0</v>
      </c>
      <c r="J1197" s="15">
        <v>0</v>
      </c>
      <c r="K1197" s="12" t="str">
        <f>HYPERLINK("http://twitter.com/download/android","Twitter for Android")</f>
        <v>Twitter for Android</v>
      </c>
      <c r="L1197" s="16">
        <v>127</v>
      </c>
      <c r="M1197" s="16">
        <v>89</v>
      </c>
      <c r="N1197" s="16">
        <v>0</v>
      </c>
      <c r="O1197" s="17"/>
      <c r="P1197" s="18">
        <v>43522.483206018514</v>
      </c>
      <c r="Q1197" s="7"/>
      <c r="R1197" s="7" t="s">
        <v>8965</v>
      </c>
      <c r="S1197" s="7"/>
      <c r="T1197" s="8"/>
      <c r="U1197" s="19" t="str">
        <f>HYPERLINK("https://pbs.twimg.com/profile_images/1179482126254792706/4ffi_9hQ.jpg","View")</f>
        <v>View</v>
      </c>
      <c r="V1197" s="8"/>
      <c r="W1197" s="8"/>
      <c r="X1197" s="8"/>
      <c r="Y1197" s="8"/>
      <c r="Z1197" s="8"/>
    </row>
    <row r="1198" spans="1:26" ht="12.75">
      <c r="A1198" s="11">
        <v>43747.288599537038</v>
      </c>
      <c r="B1198" s="12" t="str">
        <f>HYPERLINK("https://twitter.com/7aa0da68a5f44a7","@7aa0da68a5f44a7")</f>
        <v>@7aa0da68a5f44a7</v>
      </c>
      <c r="C1198" s="7" t="s">
        <v>2327</v>
      </c>
      <c r="D1198" s="7" t="s">
        <v>8969</v>
      </c>
      <c r="E1198" s="12" t="str">
        <f>HYPERLINK("https://twitter.com/7aa0da68a5f44a7/status/1181931213109551107","1181931213109551107")</f>
        <v>1181931213109551107</v>
      </c>
      <c r="F1198" s="8"/>
      <c r="G1198" s="7"/>
      <c r="H1198" s="8"/>
      <c r="I1198" s="15">
        <v>0</v>
      </c>
      <c r="J1198" s="15">
        <v>1</v>
      </c>
      <c r="K1198" s="12" t="str">
        <f>HYPERLINK("https://mobile.twitter.com","Twitter Web App")</f>
        <v>Twitter Web App</v>
      </c>
      <c r="L1198" s="16">
        <v>59</v>
      </c>
      <c r="M1198" s="16">
        <v>204</v>
      </c>
      <c r="N1198" s="16">
        <v>0</v>
      </c>
      <c r="O1198" s="17"/>
      <c r="P1198" s="18">
        <v>42045.510046296295</v>
      </c>
      <c r="Q1198" s="7"/>
      <c r="R1198" s="7"/>
      <c r="S1198" s="7"/>
      <c r="T1198" s="8"/>
      <c r="U1198" s="19" t="str">
        <f>HYPERLINK("https://pbs.twimg.com/profile_images/1161987492779835397/VC0cSCyb.jpg","View")</f>
        <v>View</v>
      </c>
      <c r="V1198" s="8"/>
      <c r="W1198" s="8"/>
      <c r="X1198" s="8"/>
      <c r="Y1198" s="8"/>
      <c r="Z1198" s="8"/>
    </row>
    <row r="1199" spans="1:26" ht="12.75">
      <c r="A1199" s="11">
        <v>43747.288587962961</v>
      </c>
      <c r="B1199" s="12" t="str">
        <f>HYPERLINK("https://twitter.com/omer_can_keskin","@omer_can_keskin")</f>
        <v>@omer_can_keskin</v>
      </c>
      <c r="C1199" s="7" t="s">
        <v>8970</v>
      </c>
      <c r="D1199" s="7" t="s">
        <v>8971</v>
      </c>
      <c r="E1199" s="12" t="str">
        <f>HYPERLINK("https://twitter.com/omer_can_keskin/status/1181931209405992961","1181931209405992961")</f>
        <v>1181931209405992961</v>
      </c>
      <c r="F1199" s="8"/>
      <c r="G1199" s="15"/>
      <c r="H1199" s="8"/>
      <c r="I1199" s="15">
        <v>0</v>
      </c>
      <c r="J1199" s="15">
        <v>1</v>
      </c>
      <c r="K1199" s="12" t="str">
        <f>HYPERLINK("http://twitter.com/download/android","Twitter for Android")</f>
        <v>Twitter for Android</v>
      </c>
      <c r="L1199" s="16">
        <v>3146</v>
      </c>
      <c r="M1199" s="16">
        <v>2700</v>
      </c>
      <c r="N1199" s="16">
        <v>6</v>
      </c>
      <c r="O1199" s="17"/>
      <c r="P1199" s="18">
        <v>43080.441631944443</v>
      </c>
      <c r="Q1199" s="7" t="s">
        <v>8972</v>
      </c>
      <c r="R1199" s="7" t="s">
        <v>8973</v>
      </c>
      <c r="S1199" s="14" t="s">
        <v>8974</v>
      </c>
      <c r="T1199" s="8"/>
      <c r="U1199" s="19" t="str">
        <f>HYPERLINK("https://pbs.twimg.com/profile_images/1181269207700385794/kEn68e67.jpg","View")</f>
        <v>View</v>
      </c>
      <c r="V1199" s="8"/>
      <c r="W1199" s="8"/>
      <c r="X1199" s="8"/>
      <c r="Y1199" s="8"/>
      <c r="Z1199" s="8"/>
    </row>
    <row r="1200" spans="1:26" ht="12.75">
      <c r="A1200" s="11">
        <v>43747.288564814815</v>
      </c>
      <c r="B1200" s="12" t="str">
        <f>HYPERLINK("https://twitter.com/gencmorukkk","@gencmorukkk")</f>
        <v>@gencmorukkk</v>
      </c>
      <c r="C1200" s="7" t="s">
        <v>8975</v>
      </c>
      <c r="D1200" s="7" t="s">
        <v>8976</v>
      </c>
      <c r="E1200" s="12" t="str">
        <f>HYPERLINK("https://twitter.com/gencmorukkk/status/1181931203131269120","1181931203131269120")</f>
        <v>1181931203131269120</v>
      </c>
      <c r="F1200" s="15"/>
      <c r="G1200" s="15"/>
      <c r="H1200" s="8"/>
      <c r="I1200" s="15">
        <v>0</v>
      </c>
      <c r="J1200" s="15">
        <v>0</v>
      </c>
      <c r="K1200" s="12" t="str">
        <f>HYPERLINK("http://twitter.com/download/android","Twitter for Android")</f>
        <v>Twitter for Android</v>
      </c>
      <c r="L1200" s="16">
        <v>43</v>
      </c>
      <c r="M1200" s="16">
        <v>41</v>
      </c>
      <c r="N1200" s="16">
        <v>0</v>
      </c>
      <c r="O1200" s="17"/>
      <c r="P1200" s="18">
        <v>43194.244062500002</v>
      </c>
      <c r="Q1200" s="7" t="s">
        <v>1850</v>
      </c>
      <c r="R1200" s="7"/>
      <c r="S1200" s="7"/>
      <c r="T1200" s="8"/>
      <c r="U1200" s="19" t="str">
        <f>HYPERLINK("https://pbs.twimg.com/profile_images/981516312991141889/Zlue5rNt.jpg","View")</f>
        <v>View</v>
      </c>
      <c r="V1200" s="8"/>
      <c r="W1200" s="8"/>
      <c r="X1200" s="8"/>
      <c r="Y1200" s="8"/>
      <c r="Z1200" s="8"/>
    </row>
    <row r="1201" spans="1:26" ht="12.75">
      <c r="A1201" s="11">
        <v>43747.288541666669</v>
      </c>
      <c r="B1201" s="12" t="str">
        <f>HYPERLINK("https://twitter.com/black6851","@black6851")</f>
        <v>@black6851</v>
      </c>
      <c r="C1201" s="7" t="s">
        <v>8979</v>
      </c>
      <c r="D1201" s="7" t="s">
        <v>8980</v>
      </c>
      <c r="E1201" s="12" t="str">
        <f>HYPERLINK("https://twitter.com/black6851/status/1181931192871993344","1181931192871993344")</f>
        <v>1181931192871993344</v>
      </c>
      <c r="F1201" s="15"/>
      <c r="G1201" s="7"/>
      <c r="H1201" s="8"/>
      <c r="I1201" s="15">
        <v>0</v>
      </c>
      <c r="J1201" s="15">
        <v>1</v>
      </c>
      <c r="K1201" s="12" t="str">
        <f>HYPERLINK("http://twitter.com/download/android","Twitter for Android")</f>
        <v>Twitter for Android</v>
      </c>
      <c r="L1201" s="16">
        <v>291</v>
      </c>
      <c r="M1201" s="16">
        <v>309</v>
      </c>
      <c r="N1201" s="16">
        <v>0</v>
      </c>
      <c r="O1201" s="17"/>
      <c r="P1201" s="18">
        <v>40192.189988425926</v>
      </c>
      <c r="Q1201" s="7" t="s">
        <v>200</v>
      </c>
      <c r="R1201" s="7" t="s">
        <v>8982</v>
      </c>
      <c r="S1201" s="7"/>
      <c r="T1201" s="8"/>
      <c r="U1201" s="19" t="str">
        <f>HYPERLINK("https://pbs.twimg.com/profile_images/1129978720125693953/sYiLlE1w.jpg","View")</f>
        <v>View</v>
      </c>
      <c r="V1201" s="8"/>
      <c r="W1201" s="8"/>
      <c r="X1201" s="8"/>
      <c r="Y1201" s="8"/>
      <c r="Z1201" s="8"/>
    </row>
    <row r="1202" spans="1:26" ht="12.75">
      <c r="A1202" s="11">
        <v>43747.288506944446</v>
      </c>
      <c r="B1202" s="12" t="str">
        <f>HYPERLINK("https://twitter.com/BuFi_1912","@BuFi_1912")</f>
        <v>@BuFi_1912</v>
      </c>
      <c r="C1202" s="7" t="s">
        <v>8984</v>
      </c>
      <c r="D1202" s="7" t="s">
        <v>8985</v>
      </c>
      <c r="E1202" s="12" t="str">
        <f>HYPERLINK("https://twitter.com/BuFi_1912/status/1181931181962600448","1181931181962600448")</f>
        <v>1181931181962600448</v>
      </c>
      <c r="F1202" s="8"/>
      <c r="G1202" s="14" t="s">
        <v>8986</v>
      </c>
      <c r="H1202" s="8"/>
      <c r="I1202" s="15">
        <v>0</v>
      </c>
      <c r="J1202" s="15">
        <v>2</v>
      </c>
      <c r="K1202" s="12" t="str">
        <f>HYPERLINK("http://twitter.com/download/android","Twitter for Android")</f>
        <v>Twitter for Android</v>
      </c>
      <c r="L1202" s="16">
        <v>45</v>
      </c>
      <c r="M1202" s="16">
        <v>142</v>
      </c>
      <c r="N1202" s="16">
        <v>0</v>
      </c>
      <c r="O1202" s="17"/>
      <c r="P1202" s="18">
        <v>42188.633796296301</v>
      </c>
      <c r="Q1202" s="7"/>
      <c r="R1202" s="7" t="s">
        <v>8989</v>
      </c>
      <c r="S1202" s="7"/>
      <c r="T1202" s="8"/>
      <c r="U1202" s="19" t="str">
        <f>HYPERLINK("https://pbs.twimg.com/profile_images/1181327895836291072/9EHREyvS.jpg","View")</f>
        <v>View</v>
      </c>
      <c r="V1202" s="8"/>
      <c r="W1202" s="8"/>
      <c r="X1202" s="8"/>
      <c r="Y1202" s="8"/>
      <c r="Z1202" s="8"/>
    </row>
    <row r="1203" spans="1:26" ht="12.75">
      <c r="A1203" s="11">
        <v>43747.288472222222</v>
      </c>
      <c r="B1203" s="12" t="str">
        <f>HYPERLINK("https://twitter.com/TheLaikYobaz","@TheLaikYobaz")</f>
        <v>@TheLaikYobaz</v>
      </c>
      <c r="C1203" s="7" t="s">
        <v>8990</v>
      </c>
      <c r="D1203" s="7" t="s">
        <v>8073</v>
      </c>
      <c r="E1203" s="12" t="str">
        <f>HYPERLINK("https://twitter.com/TheLaikYobaz/status/1181931170315083777","1181931170315083777")</f>
        <v>1181931170315083777</v>
      </c>
      <c r="F1203" s="8"/>
      <c r="G1203" s="14" t="s">
        <v>8991</v>
      </c>
      <c r="H1203" s="8"/>
      <c r="I1203" s="15">
        <v>34</v>
      </c>
      <c r="J1203" s="15">
        <v>242</v>
      </c>
      <c r="K1203" s="12" t="str">
        <f>HYPERLINK("http://twitter.com/download/android","Twitter for Android")</f>
        <v>Twitter for Android</v>
      </c>
      <c r="L1203" s="16">
        <v>101538</v>
      </c>
      <c r="M1203" s="16">
        <v>5855</v>
      </c>
      <c r="N1203" s="16">
        <v>181</v>
      </c>
      <c r="O1203" s="17"/>
      <c r="P1203" s="18">
        <v>42174.231689814813</v>
      </c>
      <c r="Q1203" s="7" t="s">
        <v>8992</v>
      </c>
      <c r="R1203" s="7" t="s">
        <v>8993</v>
      </c>
      <c r="S1203" s="14" t="s">
        <v>8994</v>
      </c>
      <c r="T1203" s="8"/>
      <c r="U1203" s="19" t="str">
        <f>HYPERLINK("https://pbs.twimg.com/profile_images/996451668366647296/OnYgXcCG.jpg","View")</f>
        <v>View</v>
      </c>
      <c r="V1203" s="8"/>
      <c r="W1203" s="8"/>
      <c r="X1203" s="8"/>
      <c r="Y1203" s="8"/>
      <c r="Z1203" s="8"/>
    </row>
    <row r="1204" spans="1:26" ht="12.75">
      <c r="A1204" s="11">
        <v>43747.288472222222</v>
      </c>
      <c r="B1204" s="12" t="str">
        <f>HYPERLINK("https://twitter.com/BBeyzaxx","@BBeyzaxx")</f>
        <v>@BBeyzaxx</v>
      </c>
      <c r="C1204" s="7" t="s">
        <v>8995</v>
      </c>
      <c r="D1204" s="7" t="s">
        <v>8996</v>
      </c>
      <c r="E1204" s="12" t="str">
        <f>HYPERLINK("https://twitter.com/BBeyzaxx/status/1181931169593597952","1181931169593597952")</f>
        <v>1181931169593597952</v>
      </c>
      <c r="F1204" s="8"/>
      <c r="G1204" s="14" t="s">
        <v>8997</v>
      </c>
      <c r="H1204" s="8"/>
      <c r="I1204" s="15">
        <v>0</v>
      </c>
      <c r="J1204" s="15">
        <v>0</v>
      </c>
      <c r="K1204" s="12" t="str">
        <f>HYPERLINK("http://twitter.com/download/iphone","Twitter for iPhone")</f>
        <v>Twitter for iPhone</v>
      </c>
      <c r="L1204" s="16">
        <v>33</v>
      </c>
      <c r="M1204" s="16">
        <v>51</v>
      </c>
      <c r="N1204" s="16">
        <v>0</v>
      </c>
      <c r="O1204" s="17"/>
      <c r="P1204" s="18">
        <v>43487.447789351849</v>
      </c>
      <c r="Q1204" s="7" t="s">
        <v>9000</v>
      </c>
      <c r="R1204" s="7" t="s">
        <v>9001</v>
      </c>
      <c r="S1204" s="7"/>
      <c r="T1204" s="8"/>
      <c r="U1204" s="19" t="str">
        <f>HYPERLINK("https://pbs.twimg.com/profile_images/1171750271032188929/sBT51w3T.jpg","View")</f>
        <v>View</v>
      </c>
      <c r="V1204" s="8"/>
      <c r="W1204" s="8"/>
      <c r="X1204" s="8"/>
      <c r="Y1204" s="8"/>
      <c r="Z1204" s="8"/>
    </row>
    <row r="1205" spans="1:26" ht="12.75">
      <c r="A1205" s="11">
        <v>43747.288472222222</v>
      </c>
      <c r="B1205" s="12" t="str">
        <f>HYPERLINK("https://twitter.com/erenyiilmazz","@erenyiilmazz")</f>
        <v>@erenyiilmazz</v>
      </c>
      <c r="C1205" s="7" t="s">
        <v>9002</v>
      </c>
      <c r="D1205" s="7" t="s">
        <v>9003</v>
      </c>
      <c r="E1205" s="12" t="str">
        <f>HYPERLINK("https://twitter.com/erenyiilmazz/status/1181931169354539009","1181931169354539009")</f>
        <v>1181931169354539009</v>
      </c>
      <c r="F1205" s="14" t="s">
        <v>9006</v>
      </c>
      <c r="G1205" s="14" t="s">
        <v>9007</v>
      </c>
      <c r="H1205" s="8"/>
      <c r="I1205" s="15">
        <v>0</v>
      </c>
      <c r="J1205" s="15">
        <v>1</v>
      </c>
      <c r="K1205" s="12" t="str">
        <f>HYPERLINK("https://mobile.twitter.com","Twitter Web App")</f>
        <v>Twitter Web App</v>
      </c>
      <c r="L1205" s="16">
        <v>319</v>
      </c>
      <c r="M1205" s="16">
        <v>384</v>
      </c>
      <c r="N1205" s="16">
        <v>0</v>
      </c>
      <c r="O1205" s="17"/>
      <c r="P1205" s="18">
        <v>40961.217731481483</v>
      </c>
      <c r="Q1205" s="7" t="s">
        <v>8902</v>
      </c>
      <c r="R1205" s="7" t="s">
        <v>9010</v>
      </c>
      <c r="S1205" s="14" t="s">
        <v>9011</v>
      </c>
      <c r="T1205" s="8"/>
      <c r="U1205" s="19" t="str">
        <f>HYPERLINK("https://pbs.twimg.com/profile_images/1166437312307388422/Lh-Lc8xe.jpg","View")</f>
        <v>View</v>
      </c>
      <c r="V1205" s="8"/>
      <c r="W1205" s="8"/>
      <c r="X1205" s="8"/>
      <c r="Y1205" s="8"/>
      <c r="Z1205" s="8"/>
    </row>
    <row r="1206" spans="1:26" ht="12.75">
      <c r="A1206" s="11">
        <v>43747.288449074069</v>
      </c>
      <c r="B1206" s="12" t="str">
        <f>HYPERLINK("https://twitter.com/mrv_bkts","@mrv_bkts")</f>
        <v>@mrv_bkts</v>
      </c>
      <c r="C1206" s="7" t="s">
        <v>9012</v>
      </c>
      <c r="D1206" s="7" t="s">
        <v>9013</v>
      </c>
      <c r="E1206" s="12" t="str">
        <f>HYPERLINK("https://twitter.com/mrv_bkts/status/1181931162001973248","1181931162001973248")</f>
        <v>1181931162001973248</v>
      </c>
      <c r="F1206" s="14" t="s">
        <v>3207</v>
      </c>
      <c r="G1206" s="15"/>
      <c r="H1206" s="8"/>
      <c r="I1206" s="15">
        <v>0</v>
      </c>
      <c r="J1206" s="15">
        <v>8</v>
      </c>
      <c r="K1206" s="12" t="str">
        <f>HYPERLINK("http://twitter.com/download/android","Twitter for Android")</f>
        <v>Twitter for Android</v>
      </c>
      <c r="L1206" s="16">
        <v>399</v>
      </c>
      <c r="M1206" s="16">
        <v>466</v>
      </c>
      <c r="N1206" s="16">
        <v>0</v>
      </c>
      <c r="O1206" s="17"/>
      <c r="P1206" s="18">
        <v>40456.514027777775</v>
      </c>
      <c r="Q1206" s="7"/>
      <c r="R1206" s="7" t="s">
        <v>9014</v>
      </c>
      <c r="S1206" s="7"/>
      <c r="T1206" s="8"/>
      <c r="U1206" s="19" t="str">
        <f>HYPERLINK("https://pbs.twimg.com/profile_images/1176809849625239553/ulZOHdCU.jpg","View")</f>
        <v>View</v>
      </c>
      <c r="V1206" s="8"/>
      <c r="W1206" s="8"/>
      <c r="X1206" s="8"/>
      <c r="Y1206" s="8"/>
      <c r="Z1206" s="8"/>
    </row>
    <row r="1207" spans="1:26" ht="12.75">
      <c r="A1207" s="11">
        <v>43747.288437499999</v>
      </c>
      <c r="B1207" s="12" t="str">
        <f>HYPERLINK("https://twitter.com/ElbaySait","@ElbaySait")</f>
        <v>@ElbaySait</v>
      </c>
      <c r="C1207" s="7" t="s">
        <v>9015</v>
      </c>
      <c r="D1207" s="7" t="s">
        <v>9016</v>
      </c>
      <c r="E1207" s="12" t="str">
        <f>HYPERLINK("https://twitter.com/ElbaySait/status/1181931156951965696","1181931156951965696")</f>
        <v>1181931156951965696</v>
      </c>
      <c r="F1207" s="8"/>
      <c r="G1207" s="7"/>
      <c r="H1207" s="8"/>
      <c r="I1207" s="15">
        <v>0</v>
      </c>
      <c r="J1207" s="15">
        <v>3</v>
      </c>
      <c r="K1207" s="12" t="str">
        <f>HYPERLINK("http://twitter.com/download/android","Twitter for Android")</f>
        <v>Twitter for Android</v>
      </c>
      <c r="L1207" s="16">
        <v>122</v>
      </c>
      <c r="M1207" s="16">
        <v>78</v>
      </c>
      <c r="N1207" s="16">
        <v>0</v>
      </c>
      <c r="O1207" s="17"/>
      <c r="P1207" s="18">
        <v>41178.00576388889</v>
      </c>
      <c r="Q1207" s="7" t="s">
        <v>918</v>
      </c>
      <c r="R1207" s="7"/>
      <c r="S1207" s="14" t="s">
        <v>9017</v>
      </c>
      <c r="T1207" s="8"/>
      <c r="U1207" s="19" t="str">
        <f>HYPERLINK("https://pbs.twimg.com/profile_images/1148346736395661313/UD_RCCKj.jpg","View")</f>
        <v>View</v>
      </c>
      <c r="V1207" s="8"/>
      <c r="W1207" s="8"/>
      <c r="X1207" s="8"/>
      <c r="Y1207" s="8"/>
      <c r="Z1207" s="8"/>
    </row>
    <row r="1208" spans="1:26" ht="12.75">
      <c r="A1208" s="11">
        <v>43747.28837962963</v>
      </c>
      <c r="B1208" s="12" t="str">
        <f>HYPERLINK("https://twitter.com/avberraktuncel","@avberraktuncel")</f>
        <v>@avberraktuncel</v>
      </c>
      <c r="C1208" s="7" t="s">
        <v>9018</v>
      </c>
      <c r="D1208" s="7" t="s">
        <v>9019</v>
      </c>
      <c r="E1208" s="12" t="str">
        <f>HYPERLINK("https://twitter.com/avberraktuncel/status/1181931135825317888","1181931135825317888")</f>
        <v>1181931135825317888</v>
      </c>
      <c r="F1208" s="8"/>
      <c r="G1208" s="7"/>
      <c r="H1208" s="8"/>
      <c r="I1208" s="15">
        <v>0</v>
      </c>
      <c r="J1208" s="15">
        <v>1</v>
      </c>
      <c r="K1208" s="12" t="str">
        <f>HYPERLINK("http://twitter.com/download/iphone","Twitter for iPhone")</f>
        <v>Twitter for iPhone</v>
      </c>
      <c r="L1208" s="16">
        <v>73</v>
      </c>
      <c r="M1208" s="16">
        <v>99</v>
      </c>
      <c r="N1208" s="16">
        <v>0</v>
      </c>
      <c r="O1208" s="17"/>
      <c r="P1208" s="18">
        <v>43717.623622685191</v>
      </c>
      <c r="Q1208" s="7" t="s">
        <v>80</v>
      </c>
      <c r="R1208" s="7" t="s">
        <v>9021</v>
      </c>
      <c r="S1208" s="7"/>
      <c r="T1208" s="8"/>
      <c r="U1208" s="19" t="str">
        <f>HYPERLINK("https://pbs.twimg.com/profile_images/1171181777676902401/xwmqdW9Y.jpg","View")</f>
        <v>View</v>
      </c>
      <c r="V1208" s="8"/>
      <c r="W1208" s="8"/>
      <c r="X1208" s="8"/>
      <c r="Y1208" s="8"/>
      <c r="Z1208" s="8"/>
    </row>
    <row r="1209" spans="1:26" ht="12.75">
      <c r="A1209" s="11">
        <v>43747.28833333333</v>
      </c>
      <c r="B1209" s="12" t="str">
        <f>HYPERLINK("https://twitter.com/KADRCEBEC1","@KADRCEBEC1")</f>
        <v>@KADRCEBEC1</v>
      </c>
      <c r="C1209" s="7" t="s">
        <v>9022</v>
      </c>
      <c r="D1209" s="7" t="s">
        <v>9023</v>
      </c>
      <c r="E1209" s="12" t="str">
        <f>HYPERLINK("https://twitter.com/KADRCEBEC1/status/1181931120314720256","1181931120314720256")</f>
        <v>1181931120314720256</v>
      </c>
      <c r="F1209" s="8"/>
      <c r="G1209" s="14" t="s">
        <v>9024</v>
      </c>
      <c r="H1209" s="8"/>
      <c r="I1209" s="15">
        <v>0</v>
      </c>
      <c r="J1209" s="15">
        <v>2</v>
      </c>
      <c r="K1209" s="12" t="str">
        <f>HYPERLINK("http://twitter.com/download/android","Twitter for Android")</f>
        <v>Twitter for Android</v>
      </c>
      <c r="L1209" s="16">
        <v>15</v>
      </c>
      <c r="M1209" s="16">
        <v>14</v>
      </c>
      <c r="N1209" s="16">
        <v>0</v>
      </c>
      <c r="O1209" s="17"/>
      <c r="P1209" s="18">
        <v>43674.332314814819</v>
      </c>
      <c r="Q1209" s="7"/>
      <c r="R1209" s="7" t="s">
        <v>9025</v>
      </c>
      <c r="S1209" s="7"/>
      <c r="T1209" s="8"/>
      <c r="U1209" s="19" t="str">
        <f>HYPERLINK("https://pbs.twimg.com/profile_images/1155493032780845056/l_BlS4S-.jpg","View")</f>
        <v>View</v>
      </c>
      <c r="V1209" s="8"/>
      <c r="W1209" s="8"/>
      <c r="X1209" s="8"/>
      <c r="Y1209" s="8"/>
      <c r="Z1209" s="8"/>
    </row>
    <row r="1210" spans="1:26" ht="12.75">
      <c r="A1210" s="11">
        <v>43747.28833333333</v>
      </c>
      <c r="B1210" s="12" t="str">
        <f>HYPERLINK("https://twitter.com/taha_toraman23","@taha_toraman23")</f>
        <v>@taha_toraman23</v>
      </c>
      <c r="C1210" s="7" t="s">
        <v>9030</v>
      </c>
      <c r="D1210" s="7" t="s">
        <v>9031</v>
      </c>
      <c r="E1210" s="12" t="str">
        <f>HYPERLINK("https://twitter.com/taha_toraman23/status/1181931119891099651","1181931119891099651")</f>
        <v>1181931119891099651</v>
      </c>
      <c r="F1210" s="8"/>
      <c r="G1210" s="14" t="s">
        <v>9032</v>
      </c>
      <c r="H1210" s="8"/>
      <c r="I1210" s="15">
        <v>0</v>
      </c>
      <c r="J1210" s="15">
        <v>1</v>
      </c>
      <c r="K1210" s="12" t="str">
        <f>HYPERLINK("http://twitter.com/download/android","Twitter for Android")</f>
        <v>Twitter for Android</v>
      </c>
      <c r="L1210" s="16">
        <v>53</v>
      </c>
      <c r="M1210" s="16">
        <v>186</v>
      </c>
      <c r="N1210" s="16">
        <v>0</v>
      </c>
      <c r="O1210" s="17"/>
      <c r="P1210" s="18">
        <v>42956.620694444442</v>
      </c>
      <c r="Q1210" s="7" t="s">
        <v>69</v>
      </c>
      <c r="R1210" s="7" t="s">
        <v>9033</v>
      </c>
      <c r="S1210" s="7"/>
      <c r="T1210" s="8"/>
      <c r="U1210" s="19" t="str">
        <f>HYPERLINK("https://pbs.twimg.com/profile_images/1093481366346452992/-D8Wrq17.jpg","View")</f>
        <v>View</v>
      </c>
      <c r="V1210" s="8"/>
      <c r="W1210" s="8"/>
      <c r="X1210" s="8"/>
      <c r="Y1210" s="8"/>
      <c r="Z1210" s="8"/>
    </row>
    <row r="1211" spans="1:26" ht="12.75">
      <c r="A1211" s="11">
        <v>43747.28833333333</v>
      </c>
      <c r="B1211" s="12" t="str">
        <f>HYPERLINK("https://twitter.com/0smanlisporFK","@0smanlisporFK")</f>
        <v>@0smanlisporFK</v>
      </c>
      <c r="C1211" s="7" t="s">
        <v>9034</v>
      </c>
      <c r="D1211" s="7" t="s">
        <v>893</v>
      </c>
      <c r="E1211" s="12" t="str">
        <f>HYPERLINK("https://twitter.com/0smanlisporFK/status/1181931118393790465","1181931118393790465")</f>
        <v>1181931118393790465</v>
      </c>
      <c r="F1211" s="8"/>
      <c r="G1211" s="14" t="s">
        <v>9035</v>
      </c>
      <c r="H1211" s="8"/>
      <c r="I1211" s="15">
        <v>330</v>
      </c>
      <c r="J1211" s="15">
        <v>1881</v>
      </c>
      <c r="K1211" s="12" t="str">
        <f>HYPERLINK("http://twitter.com/download/iphone","Twitter for iPhone")</f>
        <v>Twitter for iPhone</v>
      </c>
      <c r="L1211" s="16">
        <v>514568</v>
      </c>
      <c r="M1211" s="16">
        <v>1</v>
      </c>
      <c r="N1211" s="16">
        <v>262</v>
      </c>
      <c r="O1211" s="17"/>
      <c r="P1211" s="18">
        <v>42079.563634259262</v>
      </c>
      <c r="Q1211" s="7" t="s">
        <v>9036</v>
      </c>
      <c r="R1211" s="7" t="s">
        <v>9037</v>
      </c>
      <c r="S1211" s="14" t="s">
        <v>9038</v>
      </c>
      <c r="T1211" s="8"/>
      <c r="U1211" s="19" t="str">
        <f>HYPERLINK("https://pbs.twimg.com/profile_images/1148589345248546816/0-T9WY0m.png","View")</f>
        <v>View</v>
      </c>
      <c r="V1211" s="8"/>
      <c r="W1211" s="8"/>
      <c r="X1211" s="8"/>
      <c r="Y1211" s="8"/>
      <c r="Z1211" s="8"/>
    </row>
    <row r="1212" spans="1:26" ht="12.75">
      <c r="A1212" s="11">
        <v>43747.28833333333</v>
      </c>
      <c r="B1212" s="12" t="str">
        <f>HYPERLINK("https://twitter.com/ilhanturmakokul","@ilhanturmakokul")</f>
        <v>@ilhanturmakokul</v>
      </c>
      <c r="C1212" s="7" t="s">
        <v>9039</v>
      </c>
      <c r="D1212" s="7" t="s">
        <v>9040</v>
      </c>
      <c r="E1212" s="12" t="str">
        <f>HYPERLINK("https://twitter.com/ilhanturmakokul/status/1181931118322442240","1181931118322442240")</f>
        <v>1181931118322442240</v>
      </c>
      <c r="F1212" s="8"/>
      <c r="G1212" s="14" t="s">
        <v>9041</v>
      </c>
      <c r="H1212" s="8"/>
      <c r="I1212" s="15">
        <v>0</v>
      </c>
      <c r="J1212" s="15">
        <v>0</v>
      </c>
      <c r="K1212" s="12" t="str">
        <f>HYPERLINK("http://twitter.com/download/android","Twitter for Android")</f>
        <v>Twitter for Android</v>
      </c>
      <c r="L1212" s="16">
        <v>62</v>
      </c>
      <c r="M1212" s="16">
        <v>192</v>
      </c>
      <c r="N1212" s="16">
        <v>0</v>
      </c>
      <c r="O1212" s="17"/>
      <c r="P1212" s="18">
        <v>42101.396655092598</v>
      </c>
      <c r="Q1212" s="7"/>
      <c r="R1212" s="7" t="s">
        <v>9043</v>
      </c>
      <c r="S1212" s="14" t="s">
        <v>9044</v>
      </c>
      <c r="T1212" s="8"/>
      <c r="U1212" s="19" t="str">
        <f>HYPERLINK("https://pbs.twimg.com/profile_images/1011341882524405761/EYbQVXse.jpg","View")</f>
        <v>View</v>
      </c>
      <c r="V1212" s="8"/>
      <c r="W1212" s="8"/>
      <c r="X1212" s="8"/>
      <c r="Y1212" s="8"/>
      <c r="Z1212" s="8"/>
    </row>
    <row r="1213" spans="1:26" ht="12.75">
      <c r="A1213" s="11">
        <v>43747.28833333333</v>
      </c>
      <c r="B1213" s="12" t="str">
        <f>HYPERLINK("https://twitter.com/BerkanCay","@BerkanCay")</f>
        <v>@BerkanCay</v>
      </c>
      <c r="C1213" s="7" t="s">
        <v>9045</v>
      </c>
      <c r="D1213" s="7" t="s">
        <v>9046</v>
      </c>
      <c r="E1213" s="12" t="str">
        <f>HYPERLINK("https://twitter.com/BerkanCay/status/1181931118062444549","1181931118062444549")</f>
        <v>1181931118062444549</v>
      </c>
      <c r="F1213" s="8"/>
      <c r="G1213" s="14" t="s">
        <v>9047</v>
      </c>
      <c r="H1213" s="8"/>
      <c r="I1213" s="15">
        <v>0</v>
      </c>
      <c r="J1213" s="15">
        <v>0</v>
      </c>
      <c r="K1213" s="12" t="str">
        <f>HYPERLINK("https://mobile.twitter.com","Twitter Web App")</f>
        <v>Twitter Web App</v>
      </c>
      <c r="L1213" s="16">
        <v>159</v>
      </c>
      <c r="M1213" s="16">
        <v>126</v>
      </c>
      <c r="N1213" s="16">
        <v>0</v>
      </c>
      <c r="O1213" s="17"/>
      <c r="P1213" s="18">
        <v>40149.200925925928</v>
      </c>
      <c r="Q1213" s="7" t="s">
        <v>80</v>
      </c>
      <c r="R1213" s="7" t="s">
        <v>9048</v>
      </c>
      <c r="S1213" s="7"/>
      <c r="T1213" s="8"/>
      <c r="U1213" s="19" t="str">
        <f>HYPERLINK("https://pbs.twimg.com/profile_images/1002987975796514816/xMdkYHS9.jpg","View")</f>
        <v>View</v>
      </c>
      <c r="V1213" s="8"/>
      <c r="W1213" s="8"/>
      <c r="X1213" s="8"/>
      <c r="Y1213" s="8"/>
      <c r="Z1213" s="8"/>
    </row>
    <row r="1214" spans="1:26" ht="12.75">
      <c r="A1214" s="11">
        <v>43747.288310185184</v>
      </c>
      <c r="B1214" s="12" t="str">
        <f>HYPERLINK("https://twitter.com/LFC_BenB","@LFC_BenB")</f>
        <v>@LFC_BenB</v>
      </c>
      <c r="C1214" s="7" t="s">
        <v>9049</v>
      </c>
      <c r="D1214" s="7" t="s">
        <v>9050</v>
      </c>
      <c r="E1214" s="12" t="str">
        <f>HYPERLINK("https://twitter.com/LFC_BenB/status/1181931111703891971","1181931111703891971")</f>
        <v>1181931111703891971</v>
      </c>
      <c r="F1214" s="8"/>
      <c r="G1214" s="14" t="s">
        <v>9051</v>
      </c>
      <c r="H1214" s="8"/>
      <c r="I1214" s="15">
        <v>0</v>
      </c>
      <c r="J1214" s="15">
        <v>0</v>
      </c>
      <c r="K1214" s="12" t="str">
        <f>HYPERLINK("http://twitter.com/download/android","Twitter for Android")</f>
        <v>Twitter for Android</v>
      </c>
      <c r="L1214" s="16">
        <v>0</v>
      </c>
      <c r="M1214" s="16">
        <v>1</v>
      </c>
      <c r="N1214" s="16">
        <v>0</v>
      </c>
      <c r="O1214" s="17"/>
      <c r="P1214" s="18">
        <v>43744.294131944444</v>
      </c>
      <c r="Q1214" s="7" t="s">
        <v>2858</v>
      </c>
      <c r="R1214" s="7"/>
      <c r="S1214" s="7"/>
      <c r="T1214" s="8"/>
      <c r="U1214" s="19" t="str">
        <f>HYPERLINK("https://pbs.twimg.com/profile_images/1181930307441831936/gbJmaIEU.jpg","View")</f>
        <v>View</v>
      </c>
      <c r="V1214" s="8"/>
      <c r="W1214" s="8"/>
      <c r="X1214" s="8"/>
      <c r="Y1214" s="8"/>
      <c r="Z1214" s="8"/>
    </row>
    <row r="1215" spans="1:26" ht="12.75">
      <c r="A1215" s="11">
        <v>43747.288298611107</v>
      </c>
      <c r="B1215" s="12" t="str">
        <f>HYPERLINK("https://twitter.com/ulku_songul","@ulku_songul")</f>
        <v>@ulku_songul</v>
      </c>
      <c r="C1215" s="7" t="s">
        <v>9054</v>
      </c>
      <c r="D1215" s="7" t="s">
        <v>9055</v>
      </c>
      <c r="E1215" s="12" t="str">
        <f>HYPERLINK("https://twitter.com/ulku_songul/status/1181931105265557504","1181931105265557504")</f>
        <v>1181931105265557504</v>
      </c>
      <c r="F1215" s="8"/>
      <c r="G1215" s="7"/>
      <c r="H1215" s="8"/>
      <c r="I1215" s="15">
        <v>1</v>
      </c>
      <c r="J1215" s="15">
        <v>3</v>
      </c>
      <c r="K1215" s="12" t="str">
        <f>HYPERLINK("https://mobile.twitter.com","Twitter Web App")</f>
        <v>Twitter Web App</v>
      </c>
      <c r="L1215" s="16">
        <v>1157</v>
      </c>
      <c r="M1215" s="16">
        <v>474</v>
      </c>
      <c r="N1215" s="16">
        <v>2</v>
      </c>
      <c r="O1215" s="17"/>
      <c r="P1215" s="18">
        <v>42643.673472222217</v>
      </c>
      <c r="Q1215" s="7"/>
      <c r="R1215" s="7" t="s">
        <v>9056</v>
      </c>
      <c r="S1215" s="7"/>
      <c r="T1215" s="8"/>
      <c r="U1215" s="19" t="str">
        <f>HYPERLINK("https://pbs.twimg.com/profile_images/1132031799788494849/I2hzU5tA.jpg","View")</f>
        <v>View</v>
      </c>
      <c r="V1215" s="8"/>
      <c r="W1215" s="8"/>
      <c r="X1215" s="8"/>
      <c r="Y1215" s="8"/>
      <c r="Z1215" s="8"/>
    </row>
    <row r="1216" spans="1:26" ht="12.75">
      <c r="A1216" s="11">
        <v>43747.288275462968</v>
      </c>
      <c r="B1216" s="12" t="str">
        <f>HYPERLINK("https://twitter.com/Troubleborn0","@Troubleborn0")</f>
        <v>@Troubleborn0</v>
      </c>
      <c r="C1216" s="7" t="s">
        <v>9057</v>
      </c>
      <c r="D1216" s="7" t="s">
        <v>9058</v>
      </c>
      <c r="E1216" s="12" t="str">
        <f>HYPERLINK("https://twitter.com/Troubleborn0/status/1181931099041214464","1181931099041214464")</f>
        <v>1181931099041214464</v>
      </c>
      <c r="F1216" s="8"/>
      <c r="G1216" s="14" t="s">
        <v>9059</v>
      </c>
      <c r="H1216" s="8"/>
      <c r="I1216" s="15">
        <v>0</v>
      </c>
      <c r="J1216" s="15">
        <v>1</v>
      </c>
      <c r="K1216" s="12" t="str">
        <f>HYPERLINK("http://twitter.com/download/android","Twitter for Android")</f>
        <v>Twitter for Android</v>
      </c>
      <c r="L1216" s="16">
        <v>128</v>
      </c>
      <c r="M1216" s="16">
        <v>124</v>
      </c>
      <c r="N1216" s="16">
        <v>0</v>
      </c>
      <c r="O1216" s="17"/>
      <c r="P1216" s="18">
        <v>42995.054583333331</v>
      </c>
      <c r="Q1216" s="7" t="s">
        <v>9060</v>
      </c>
      <c r="R1216" s="7" t="s">
        <v>9061</v>
      </c>
      <c r="S1216" s="7"/>
      <c r="T1216" s="8"/>
      <c r="U1216" s="19" t="str">
        <f>HYPERLINK("https://pbs.twimg.com/profile_images/1176415263291518978/c4C5A-CD.jpg","View")</f>
        <v>View</v>
      </c>
      <c r="V1216" s="8"/>
      <c r="W1216" s="8"/>
      <c r="X1216" s="8"/>
      <c r="Y1216" s="8"/>
      <c r="Z1216" s="8"/>
    </row>
    <row r="1217" spans="1:26" ht="12.75">
      <c r="A1217" s="11">
        <v>43747.288194444445</v>
      </c>
      <c r="B1217" s="12" t="str">
        <f>HYPERLINK("https://twitter.com/iscadogan","@iscadogan")</f>
        <v>@iscadogan</v>
      </c>
      <c r="C1217" s="7" t="s">
        <v>9062</v>
      </c>
      <c r="D1217" s="7" t="s">
        <v>9063</v>
      </c>
      <c r="E1217" s="12" t="str">
        <f>HYPERLINK("https://twitter.com/iscadogan/status/1181931070125723649","1181931070125723649")</f>
        <v>1181931070125723649</v>
      </c>
      <c r="F1217" s="15"/>
      <c r="G1217" s="15"/>
      <c r="H1217" s="8"/>
      <c r="I1217" s="15">
        <v>0</v>
      </c>
      <c r="J1217" s="15">
        <v>0</v>
      </c>
      <c r="K1217" s="12" t="str">
        <f>HYPERLINK("http://twitter.com/download/iphone","Twitter for iPhone")</f>
        <v>Twitter for iPhone</v>
      </c>
      <c r="L1217" s="16">
        <v>792</v>
      </c>
      <c r="M1217" s="16">
        <v>79</v>
      </c>
      <c r="N1217" s="16">
        <v>1</v>
      </c>
      <c r="O1217" s="17"/>
      <c r="P1217" s="18">
        <v>41103.523055555554</v>
      </c>
      <c r="Q1217" s="7"/>
      <c r="R1217" s="7" t="s">
        <v>9064</v>
      </c>
      <c r="S1217" s="15"/>
      <c r="T1217" s="8"/>
      <c r="U1217" s="19" t="str">
        <f>HYPERLINK("https://pbs.twimg.com/profile_images/1148663822024105984/XhaLEn6J.jpg","View")</f>
        <v>View</v>
      </c>
      <c r="V1217" s="8"/>
      <c r="W1217" s="8"/>
      <c r="X1217" s="8"/>
      <c r="Y1217" s="8"/>
      <c r="Z1217" s="8"/>
    </row>
    <row r="1218" spans="1:26" ht="12.75">
      <c r="A1218" s="11">
        <v>43747.288194444445</v>
      </c>
      <c r="B1218" s="12" t="str">
        <f>HYPERLINK("https://twitter.com/aydnlal","@aydnlal")</f>
        <v>@aydnlal</v>
      </c>
      <c r="C1218" s="7" t="s">
        <v>9065</v>
      </c>
      <c r="D1218" s="7" t="s">
        <v>9066</v>
      </c>
      <c r="E1218" s="12" t="str">
        <f>HYPERLINK("https://twitter.com/aydnlal/status/1181931068141838336","1181931068141838336")</f>
        <v>1181931068141838336</v>
      </c>
      <c r="F1218" s="8"/>
      <c r="G1218" s="14" t="s">
        <v>9067</v>
      </c>
      <c r="H1218" s="8"/>
      <c r="I1218" s="15">
        <v>0</v>
      </c>
      <c r="J1218" s="15">
        <v>0</v>
      </c>
      <c r="K1218" s="12" t="str">
        <f>HYPERLINK("http://twitter.com/download/iphone","Twitter for iPhone")</f>
        <v>Twitter for iPhone</v>
      </c>
      <c r="L1218" s="16">
        <v>168</v>
      </c>
      <c r="M1218" s="16">
        <v>43</v>
      </c>
      <c r="N1218" s="16">
        <v>1</v>
      </c>
      <c r="O1218" s="17"/>
      <c r="P1218" s="18">
        <v>43021.579618055555</v>
      </c>
      <c r="Q1218" s="7" t="s">
        <v>576</v>
      </c>
      <c r="R1218" s="7" t="s">
        <v>9068</v>
      </c>
      <c r="S1218" s="7"/>
      <c r="T1218" s="8"/>
      <c r="U1218" s="19" t="str">
        <f>HYPERLINK("https://pbs.twimg.com/profile_images/1174059385737437184/Aly8w5gt.jpg","View")</f>
        <v>View</v>
      </c>
      <c r="V1218" s="8"/>
      <c r="W1218" s="8"/>
      <c r="X1218" s="8"/>
      <c r="Y1218" s="8"/>
      <c r="Z1218" s="8"/>
    </row>
    <row r="1219" spans="1:26" ht="12.75">
      <c r="A1219" s="11">
        <v>43747.288171296299</v>
      </c>
      <c r="B1219" s="12" t="str">
        <f>HYPERLINK("https://twitter.com/HayatVaros","@HayatVaros")</f>
        <v>@HayatVaros</v>
      </c>
      <c r="C1219" s="7" t="s">
        <v>9069</v>
      </c>
      <c r="D1219" s="7" t="s">
        <v>9070</v>
      </c>
      <c r="E1219" s="12" t="str">
        <f>HYPERLINK("https://twitter.com/HayatVaros/status/1181931057983164421","1181931057983164421")</f>
        <v>1181931057983164421</v>
      </c>
      <c r="F1219" s="8"/>
      <c r="G1219" s="15"/>
      <c r="H1219" s="8"/>
      <c r="I1219" s="15">
        <v>0</v>
      </c>
      <c r="J1219" s="15">
        <v>0</v>
      </c>
      <c r="K1219" s="12" t="str">
        <f>HYPERLINK("http://twitter.com/download/iphone","Twitter for iPhone")</f>
        <v>Twitter for iPhone</v>
      </c>
      <c r="L1219" s="16">
        <v>1</v>
      </c>
      <c r="M1219" s="16">
        <v>11</v>
      </c>
      <c r="N1219" s="16">
        <v>0</v>
      </c>
      <c r="O1219" s="17"/>
      <c r="P1219" s="18">
        <v>43744.092407407406</v>
      </c>
      <c r="Q1219" s="7"/>
      <c r="R1219" s="7"/>
      <c r="S1219" s="7"/>
      <c r="T1219" s="8"/>
      <c r="U1219" s="19" t="str">
        <f>HYPERLINK("https://pbs.twimg.com/profile_images/1181550278690136065/00LVHiaI.jpg","View")</f>
        <v>View</v>
      </c>
      <c r="V1219" s="8"/>
      <c r="W1219" s="8"/>
      <c r="X1219" s="8"/>
      <c r="Y1219" s="8"/>
      <c r="Z1219" s="8"/>
    </row>
    <row r="1220" spans="1:26" ht="12.75">
      <c r="A1220" s="11">
        <v>43747.288159722222</v>
      </c>
      <c r="B1220" s="12" t="str">
        <f>HYPERLINK("https://twitter.com/AnkaraHavadis","@AnkaraHavadis")</f>
        <v>@AnkaraHavadis</v>
      </c>
      <c r="C1220" s="7" t="s">
        <v>9073</v>
      </c>
      <c r="D1220" s="7" t="s">
        <v>9074</v>
      </c>
      <c r="E1220" s="12" t="str">
        <f>HYPERLINK("https://twitter.com/AnkaraHavadis/status/1181931056800378880","1181931056800378880")</f>
        <v>1181931056800378880</v>
      </c>
      <c r="F1220" s="8"/>
      <c r="G1220" s="14" t="s">
        <v>9075</v>
      </c>
      <c r="H1220" s="8"/>
      <c r="I1220" s="15">
        <v>2</v>
      </c>
      <c r="J1220" s="15">
        <v>4</v>
      </c>
      <c r="K1220" s="12" t="str">
        <f>HYPERLINK("https://about.twitter.com/products/tweetdeck","TweetDeck")</f>
        <v>TweetDeck</v>
      </c>
      <c r="L1220" s="16">
        <v>1024</v>
      </c>
      <c r="M1220" s="16">
        <v>352</v>
      </c>
      <c r="N1220" s="16">
        <v>0</v>
      </c>
      <c r="O1220" s="17"/>
      <c r="P1220" s="18">
        <v>43238.502476851849</v>
      </c>
      <c r="Q1220" s="7" t="s">
        <v>287</v>
      </c>
      <c r="R1220" s="7" t="s">
        <v>9076</v>
      </c>
      <c r="S1220" s="14" t="s">
        <v>9077</v>
      </c>
      <c r="T1220" s="8"/>
      <c r="U1220" s="19" t="str">
        <f>HYPERLINK("https://pbs.twimg.com/profile_images/1100062659762884608/jtvVqXnu.png","View")</f>
        <v>View</v>
      </c>
      <c r="V1220" s="8"/>
      <c r="W1220" s="8"/>
      <c r="X1220" s="8"/>
      <c r="Y1220" s="8"/>
      <c r="Z1220" s="8"/>
    </row>
    <row r="1221" spans="1:26" ht="12.75">
      <c r="A1221" s="11">
        <v>43747.288136574076</v>
      </c>
      <c r="B1221" s="12" t="str">
        <f>HYPERLINK("https://twitter.com/aydinKse","@aydinKse")</f>
        <v>@aydinKse</v>
      </c>
      <c r="C1221" s="7" t="s">
        <v>9080</v>
      </c>
      <c r="D1221" s="7" t="s">
        <v>9081</v>
      </c>
      <c r="E1221" s="12" t="str">
        <f>HYPERLINK("https://twitter.com/aydinKse/status/1181931046792769543","1181931046792769543")</f>
        <v>1181931046792769543</v>
      </c>
      <c r="F1221" s="8"/>
      <c r="G1221" s="14" t="s">
        <v>9083</v>
      </c>
      <c r="H1221" s="8"/>
      <c r="I1221" s="15">
        <v>1</v>
      </c>
      <c r="J1221" s="15">
        <v>2</v>
      </c>
      <c r="K1221" s="12" t="str">
        <f>HYPERLINK("http://twitter.com/download/iphone","Twitter for iPhone")</f>
        <v>Twitter for iPhone</v>
      </c>
      <c r="L1221" s="16">
        <v>334</v>
      </c>
      <c r="M1221" s="16">
        <v>612</v>
      </c>
      <c r="N1221" s="16">
        <v>2</v>
      </c>
      <c r="O1221" s="17"/>
      <c r="P1221" s="18">
        <v>40669.49622685185</v>
      </c>
      <c r="Q1221" s="7"/>
      <c r="R1221" s="7" t="s">
        <v>9085</v>
      </c>
      <c r="S1221" s="15"/>
      <c r="T1221" s="8"/>
      <c r="U1221" s="19" t="str">
        <f>HYPERLINK("https://pbs.twimg.com/profile_images/1097096221125169152/IYekPxVh.jpg","View")</f>
        <v>View</v>
      </c>
      <c r="V1221" s="8"/>
      <c r="W1221" s="8"/>
      <c r="X1221" s="8"/>
      <c r="Y1221" s="8"/>
      <c r="Z1221" s="8"/>
    </row>
    <row r="1222" spans="1:26" ht="12.75">
      <c r="A1222" s="11">
        <v>43747.288136574076</v>
      </c>
      <c r="B1222" s="12" t="str">
        <f>HYPERLINK("https://twitter.com/TCOrhanYildiz","@TCOrhanYildiz")</f>
        <v>@TCOrhanYildiz</v>
      </c>
      <c r="C1222" s="7" t="s">
        <v>9086</v>
      </c>
      <c r="D1222" s="7" t="s">
        <v>9087</v>
      </c>
      <c r="E1222" s="12" t="str">
        <f>HYPERLINK("https://twitter.com/TCOrhanYildiz/status/1181931046142726144","1181931046142726144")</f>
        <v>1181931046142726144</v>
      </c>
      <c r="F1222" s="8"/>
      <c r="G1222" s="14" t="s">
        <v>9088</v>
      </c>
      <c r="H1222" s="8"/>
      <c r="I1222" s="15">
        <v>0</v>
      </c>
      <c r="J1222" s="15">
        <v>0</v>
      </c>
      <c r="K1222" s="12" t="str">
        <f>HYPERLINK("http://twitter.com/download/android","Twitter for Android")</f>
        <v>Twitter for Android</v>
      </c>
      <c r="L1222" s="16">
        <v>1567</v>
      </c>
      <c r="M1222" s="16">
        <v>1672</v>
      </c>
      <c r="N1222" s="16">
        <v>1</v>
      </c>
      <c r="O1222" s="17"/>
      <c r="P1222" s="18">
        <v>42804.228275462963</v>
      </c>
      <c r="Q1222" s="7" t="s">
        <v>2201</v>
      </c>
      <c r="R1222" s="7" t="s">
        <v>9089</v>
      </c>
      <c r="S1222" s="15"/>
      <c r="T1222" s="8"/>
      <c r="U1222" s="19" t="str">
        <f>HYPERLINK("https://pbs.twimg.com/profile_images/1155430106023813121/snR8Xg6-.jpg","View")</f>
        <v>View</v>
      </c>
      <c r="V1222" s="8"/>
      <c r="W1222" s="8"/>
      <c r="X1222" s="8"/>
      <c r="Y1222" s="8"/>
      <c r="Z1222" s="8"/>
    </row>
    <row r="1223" spans="1:26" ht="12.75">
      <c r="A1223" s="11">
        <v>43747.288078703699</v>
      </c>
      <c r="B1223" s="12" t="str">
        <f>HYPERLINK("https://twitter.com/sunay_turan_","@sunay_turan_")</f>
        <v>@sunay_turan_</v>
      </c>
      <c r="C1223" s="7" t="s">
        <v>9093</v>
      </c>
      <c r="D1223" s="7" t="s">
        <v>9094</v>
      </c>
      <c r="E1223" s="12" t="str">
        <f>HYPERLINK("https://twitter.com/sunay_turan_/status/1181931026169380866","1181931026169380866")</f>
        <v>1181931026169380866</v>
      </c>
      <c r="F1223" s="8"/>
      <c r="G1223" s="14" t="s">
        <v>9095</v>
      </c>
      <c r="H1223" s="8"/>
      <c r="I1223" s="15">
        <v>2</v>
      </c>
      <c r="J1223" s="15">
        <v>3</v>
      </c>
      <c r="K1223" s="12" t="str">
        <f>HYPERLINK("http://twitter.com/download/android","Twitter for Android")</f>
        <v>Twitter for Android</v>
      </c>
      <c r="L1223" s="16">
        <v>143</v>
      </c>
      <c r="M1223" s="16">
        <v>173</v>
      </c>
      <c r="N1223" s="16">
        <v>0</v>
      </c>
      <c r="O1223" s="17"/>
      <c r="P1223" s="18">
        <v>43715.92255787037</v>
      </c>
      <c r="Q1223" s="7"/>
      <c r="R1223" s="15" t="s">
        <v>9096</v>
      </c>
      <c r="S1223" s="15"/>
      <c r="T1223" s="8"/>
      <c r="U1223" s="19" t="str">
        <f>HYPERLINK("https://pbs.twimg.com/profile_images/1176758929604468738/PPIy9q-L.jpg","View")</f>
        <v>View</v>
      </c>
      <c r="V1223" s="8"/>
      <c r="W1223" s="8"/>
      <c r="X1223" s="8"/>
      <c r="Y1223" s="8"/>
      <c r="Z1223" s="8"/>
    </row>
    <row r="1224" spans="1:26" ht="12.75">
      <c r="A1224" s="11">
        <v>43747.28806712963</v>
      </c>
      <c r="B1224" s="12" t="str">
        <f>HYPERLINK("https://twitter.com/mturker85","@mturker85")</f>
        <v>@mturker85</v>
      </c>
      <c r="C1224" s="7" t="s">
        <v>9097</v>
      </c>
      <c r="D1224" s="7" t="s">
        <v>9098</v>
      </c>
      <c r="E1224" s="12" t="str">
        <f>HYPERLINK("https://twitter.com/mturker85/status/1181931023648595968","1181931023648595968")</f>
        <v>1181931023648595968</v>
      </c>
      <c r="F1224" s="8"/>
      <c r="G1224" s="7"/>
      <c r="H1224" s="8"/>
      <c r="I1224" s="15">
        <v>0</v>
      </c>
      <c r="J1224" s="15">
        <v>0</v>
      </c>
      <c r="K1224" s="12" t="str">
        <f>HYPERLINK("http://twitter.com/download/iphone","Twitter for iPhone")</f>
        <v>Twitter for iPhone</v>
      </c>
      <c r="L1224" s="16">
        <v>1118</v>
      </c>
      <c r="M1224" s="16">
        <v>843</v>
      </c>
      <c r="N1224" s="16">
        <v>0</v>
      </c>
      <c r="O1224" s="17"/>
      <c r="P1224" s="18">
        <v>40232.300532407404</v>
      </c>
      <c r="Q1224" s="7"/>
      <c r="R1224" s="7" t="s">
        <v>9099</v>
      </c>
      <c r="S1224" s="7"/>
      <c r="T1224" s="8"/>
      <c r="U1224" s="19" t="str">
        <f>HYPERLINK("https://pbs.twimg.com/profile_images/1042076615541485569/qb5g3h2x.jpg","View")</f>
        <v>View</v>
      </c>
      <c r="V1224" s="8"/>
      <c r="W1224" s="8"/>
      <c r="X1224" s="8"/>
      <c r="Y1224" s="8"/>
      <c r="Z1224" s="8"/>
    </row>
    <row r="1225" spans="1:26" ht="12.75">
      <c r="A1225" s="11">
        <v>43747.28806712963</v>
      </c>
      <c r="B1225" s="12" t="str">
        <f>HYPERLINK("https://twitter.com/privait","@privait")</f>
        <v>@privait</v>
      </c>
      <c r="C1225" s="7" t="s">
        <v>9100</v>
      </c>
      <c r="D1225" s="7" t="s">
        <v>9101</v>
      </c>
      <c r="E1225" s="12" t="str">
        <f>HYPERLINK("https://twitter.com/privait/status/1181931023308853248","1181931023308853248")</f>
        <v>1181931023308853248</v>
      </c>
      <c r="F1225" s="14" t="s">
        <v>9102</v>
      </c>
      <c r="G1225" s="15"/>
      <c r="H1225" s="8"/>
      <c r="I1225" s="15">
        <v>3</v>
      </c>
      <c r="J1225" s="15">
        <v>0</v>
      </c>
      <c r="K1225" s="12" t="str">
        <f>HYPERLINK("http://twitter.com/download/android","Twitter for Android")</f>
        <v>Twitter for Android</v>
      </c>
      <c r="L1225" s="16">
        <v>152</v>
      </c>
      <c r="M1225" s="16">
        <v>426</v>
      </c>
      <c r="N1225" s="16">
        <v>7</v>
      </c>
      <c r="O1225" s="17"/>
      <c r="P1225" s="18">
        <v>39853.630196759259</v>
      </c>
      <c r="Q1225" s="7" t="s">
        <v>9105</v>
      </c>
      <c r="R1225" s="7" t="s">
        <v>9106</v>
      </c>
      <c r="S1225" s="7"/>
      <c r="T1225" s="8"/>
      <c r="U1225" s="19" t="str">
        <f>HYPERLINK("https://pbs.twimg.com/profile_images/1112373749888806912/RIz-z8k6.jpg","View")</f>
        <v>View</v>
      </c>
      <c r="V1225" s="8"/>
      <c r="W1225" s="8"/>
      <c r="X1225" s="8"/>
      <c r="Y1225" s="8"/>
      <c r="Z1225" s="8"/>
    </row>
    <row r="1226" spans="1:26" ht="12.75">
      <c r="A1226" s="11">
        <v>43747.288032407407</v>
      </c>
      <c r="B1226" s="12" t="str">
        <f>HYPERLINK("https://twitter.com/novalicajsa","@novalicajsa")</f>
        <v>@novalicajsa</v>
      </c>
      <c r="C1226" s="7" t="s">
        <v>9108</v>
      </c>
      <c r="D1226" s="7" t="s">
        <v>9109</v>
      </c>
      <c r="E1226" s="12" t="str">
        <f>HYPERLINK("https://twitter.com/novalicajsa/status/1181931007299198976","1181931007299198976")</f>
        <v>1181931007299198976</v>
      </c>
      <c r="F1226" s="14" t="s">
        <v>9110</v>
      </c>
      <c r="G1226" s="14" t="s">
        <v>9111</v>
      </c>
      <c r="H1226" s="8"/>
      <c r="I1226" s="15">
        <v>0</v>
      </c>
      <c r="J1226" s="15">
        <v>6</v>
      </c>
      <c r="K1226" s="12" t="str">
        <f>HYPERLINK("http://twitter.com/download/android","Twitter for Android")</f>
        <v>Twitter for Android</v>
      </c>
      <c r="L1226" s="16">
        <v>2980</v>
      </c>
      <c r="M1226" s="16">
        <v>1544</v>
      </c>
      <c r="N1226" s="16">
        <v>14</v>
      </c>
      <c r="O1226" s="17"/>
      <c r="P1226" s="18">
        <v>40197.290960648148</v>
      </c>
      <c r="Q1226" s="7" t="s">
        <v>9112</v>
      </c>
      <c r="R1226" s="7" t="s">
        <v>9113</v>
      </c>
      <c r="S1226" s="15"/>
      <c r="T1226" s="8"/>
      <c r="U1226" s="19" t="str">
        <f>HYPERLINK("https://pbs.twimg.com/profile_images/1177964680305881089/a4EoOOdN.jpg","View")</f>
        <v>View</v>
      </c>
      <c r="V1226" s="8"/>
      <c r="W1226" s="8"/>
      <c r="X1226" s="8"/>
      <c r="Y1226" s="8"/>
      <c r="Z1226" s="8"/>
    </row>
    <row r="1227" spans="1:26" ht="12.75">
      <c r="A1227" s="11">
        <v>43747.28800925926</v>
      </c>
      <c r="B1227" s="12" t="str">
        <f>HYPERLINK("https://twitter.com/mochinis","@mochinis")</f>
        <v>@mochinis</v>
      </c>
      <c r="C1227" s="7" t="s">
        <v>9114</v>
      </c>
      <c r="D1227" s="7" t="s">
        <v>9115</v>
      </c>
      <c r="E1227" s="12" t="str">
        <f>HYPERLINK("https://twitter.com/mochinis/status/1181931001137655808","1181931001137655808")</f>
        <v>1181931001137655808</v>
      </c>
      <c r="F1227" s="8"/>
      <c r="G1227" s="15"/>
      <c r="H1227" s="8"/>
      <c r="I1227" s="15">
        <v>0</v>
      </c>
      <c r="J1227" s="15">
        <v>0</v>
      </c>
      <c r="K1227" s="12" t="str">
        <f>HYPERLINK("http://twitter.com/download/android","Twitter for Android")</f>
        <v>Twitter for Android</v>
      </c>
      <c r="L1227" s="16">
        <v>434</v>
      </c>
      <c r="M1227" s="16">
        <v>271</v>
      </c>
      <c r="N1227" s="16">
        <v>7</v>
      </c>
      <c r="O1227" s="17"/>
      <c r="P1227" s="18">
        <v>41367.287060185183</v>
      </c>
      <c r="Q1227" s="7" t="s">
        <v>9116</v>
      </c>
      <c r="R1227" s="7" t="s">
        <v>9117</v>
      </c>
      <c r="S1227" s="15"/>
      <c r="T1227" s="8"/>
      <c r="U1227" s="19" t="str">
        <f>HYPERLINK("https://pbs.twimg.com/profile_images/1177482464698126336/bjdmp9pr.jpg","View")</f>
        <v>View</v>
      </c>
      <c r="V1227" s="8"/>
      <c r="W1227" s="8"/>
      <c r="X1227" s="8"/>
      <c r="Y1227" s="8"/>
      <c r="Z1227" s="8"/>
    </row>
    <row r="1228" spans="1:26" ht="12.75">
      <c r="A1228" s="11">
        <v>43747.287881944445</v>
      </c>
      <c r="B1228" s="12" t="str">
        <f>HYPERLINK("https://twitter.com/SefaCemSipahi1","@SefaCemSipahi1")</f>
        <v>@SefaCemSipahi1</v>
      </c>
      <c r="C1228" s="7" t="s">
        <v>9129</v>
      </c>
      <c r="D1228" s="7" t="s">
        <v>9130</v>
      </c>
      <c r="E1228" s="12" t="str">
        <f>HYPERLINK("https://twitter.com/SefaCemSipahi1/status/1181930956774621184","1181930956774621184")</f>
        <v>1181930956774621184</v>
      </c>
      <c r="F1228" s="8"/>
      <c r="G1228" s="14" t="s">
        <v>9131</v>
      </c>
      <c r="H1228" s="8"/>
      <c r="I1228" s="15">
        <v>0</v>
      </c>
      <c r="J1228" s="15">
        <v>0</v>
      </c>
      <c r="K1228" s="12" t="str">
        <f>HYPERLINK("http://twitter.com/download/android","Twitter for Android")</f>
        <v>Twitter for Android</v>
      </c>
      <c r="L1228" s="16">
        <v>155</v>
      </c>
      <c r="M1228" s="16">
        <v>401</v>
      </c>
      <c r="N1228" s="16">
        <v>0</v>
      </c>
      <c r="O1228" s="17"/>
      <c r="P1228" s="18">
        <v>43722.110173611116</v>
      </c>
      <c r="Q1228" s="7"/>
      <c r="R1228" s="7" t="s">
        <v>9133</v>
      </c>
      <c r="S1228" s="7"/>
      <c r="T1228" s="8"/>
      <c r="U1228" s="19" t="str">
        <f>HYPERLINK("https://pbs.twimg.com/profile_images/1179749352253906944/fLJgyTDo.jpg","View")</f>
        <v>View</v>
      </c>
      <c r="V1228" s="8"/>
      <c r="W1228" s="8"/>
      <c r="X1228" s="8"/>
      <c r="Y1228" s="8"/>
      <c r="Z1228" s="8"/>
    </row>
    <row r="1229" spans="1:26" ht="12.75">
      <c r="A1229" s="11">
        <v>43747.287835648152</v>
      </c>
      <c r="B1229" s="12" t="str">
        <f>HYPERLINK("https://twitter.com/hakanerdogmus","@hakanerdogmus")</f>
        <v>@hakanerdogmus</v>
      </c>
      <c r="C1229" s="7" t="s">
        <v>9141</v>
      </c>
      <c r="D1229" s="7" t="s">
        <v>9142</v>
      </c>
      <c r="E1229" s="12" t="str">
        <f>HYPERLINK("https://twitter.com/hakanerdogmus/status/1181930940014235649","1181930940014235649")</f>
        <v>1181930940014235649</v>
      </c>
      <c r="F1229" s="14" t="s">
        <v>9143</v>
      </c>
      <c r="G1229" s="15"/>
      <c r="H1229" s="8"/>
      <c r="I1229" s="15">
        <v>0</v>
      </c>
      <c r="J1229" s="15">
        <v>0</v>
      </c>
      <c r="K1229" s="12" t="str">
        <f>HYPERLINK("http://twitter.com/download/iphone","Twitter for iPhone")</f>
        <v>Twitter for iPhone</v>
      </c>
      <c r="L1229" s="16">
        <v>201</v>
      </c>
      <c r="M1229" s="16">
        <v>549</v>
      </c>
      <c r="N1229" s="16">
        <v>0</v>
      </c>
      <c r="O1229" s="17"/>
      <c r="P1229" s="18">
        <v>40477.034097222218</v>
      </c>
      <c r="Q1229" s="7"/>
      <c r="R1229" s="7"/>
      <c r="S1229" s="15"/>
      <c r="T1229" s="8"/>
      <c r="U1229" s="19" t="str">
        <f>HYPERLINK("https://pbs.twimg.com/profile_images/992122518885556224/Gin6oTMg.jpg","View")</f>
        <v>View</v>
      </c>
      <c r="V1229" s="8"/>
      <c r="W1229" s="8"/>
      <c r="X1229" s="8"/>
      <c r="Y1229" s="8"/>
      <c r="Z1229" s="8"/>
    </row>
    <row r="1230" spans="1:26" ht="12.75">
      <c r="A1230" s="11">
        <v>43747.287835648152</v>
      </c>
      <c r="B1230" s="12" t="str">
        <f>HYPERLINK("https://twitter.com/halilkisecok","@halilkisecok")</f>
        <v>@halilkisecok</v>
      </c>
      <c r="C1230" s="7" t="s">
        <v>9144</v>
      </c>
      <c r="D1230" s="7" t="s">
        <v>9145</v>
      </c>
      <c r="E1230" s="12" t="str">
        <f>HYPERLINK("https://twitter.com/halilkisecok/status/1181930938537783296","1181930938537783296")</f>
        <v>1181930938537783296</v>
      </c>
      <c r="F1230" s="8"/>
      <c r="G1230" s="14" t="s">
        <v>9146</v>
      </c>
      <c r="H1230" s="8"/>
      <c r="I1230" s="15">
        <v>0</v>
      </c>
      <c r="J1230" s="15">
        <v>0</v>
      </c>
      <c r="K1230" s="12" t="str">
        <f>HYPERLINK("http://twitter.com/download/android","Twitter for Android")</f>
        <v>Twitter for Android</v>
      </c>
      <c r="L1230" s="16">
        <v>111</v>
      </c>
      <c r="M1230" s="16">
        <v>65</v>
      </c>
      <c r="N1230" s="16">
        <v>0</v>
      </c>
      <c r="O1230" s="17"/>
      <c r="P1230" s="18">
        <v>42922.561620370368</v>
      </c>
      <c r="Q1230" s="7" t="s">
        <v>313</v>
      </c>
      <c r="R1230" s="7" t="s">
        <v>9147</v>
      </c>
      <c r="S1230" s="14" t="s">
        <v>9148</v>
      </c>
      <c r="T1230" s="8"/>
      <c r="U1230" s="19" t="str">
        <f>HYPERLINK("https://pbs.twimg.com/profile_images/1089952216960643073/gPYuAeJE.jpg","View")</f>
        <v>View</v>
      </c>
      <c r="V1230" s="8"/>
      <c r="W1230" s="8"/>
      <c r="X1230" s="8"/>
      <c r="Y1230" s="8"/>
      <c r="Z1230" s="8"/>
    </row>
    <row r="1231" spans="1:26" ht="12.75">
      <c r="A1231" s="11">
        <v>43747.287800925929</v>
      </c>
      <c r="B1231" s="12" t="str">
        <f>HYPERLINK("https://twitter.com/eldenahmed","@eldenahmed")</f>
        <v>@eldenahmed</v>
      </c>
      <c r="C1231" s="7" t="s">
        <v>9149</v>
      </c>
      <c r="D1231" s="7" t="s">
        <v>9150</v>
      </c>
      <c r="E1231" s="12" t="str">
        <f>HYPERLINK("https://twitter.com/eldenahmed/status/1181930926894407680","1181930926894407680")</f>
        <v>1181930926894407680</v>
      </c>
      <c r="F1231" s="8"/>
      <c r="G1231" s="14" t="s">
        <v>9151</v>
      </c>
      <c r="H1231" s="8"/>
      <c r="I1231" s="15">
        <v>0</v>
      </c>
      <c r="J1231" s="15">
        <v>7</v>
      </c>
      <c r="K1231" s="12" t="str">
        <f>HYPERLINK("http://twitter.com/download/iphone","Twitter for iPhone")</f>
        <v>Twitter for iPhone</v>
      </c>
      <c r="L1231" s="16">
        <v>1815</v>
      </c>
      <c r="M1231" s="16">
        <v>304</v>
      </c>
      <c r="N1231" s="16">
        <v>2</v>
      </c>
      <c r="O1231" s="17"/>
      <c r="P1231" s="18">
        <v>40793.456944444442</v>
      </c>
      <c r="Q1231" s="7" t="s">
        <v>9152</v>
      </c>
      <c r="R1231" s="7" t="s">
        <v>9153</v>
      </c>
      <c r="S1231" s="7"/>
      <c r="T1231" s="8"/>
      <c r="U1231" s="19" t="str">
        <f>HYPERLINK("https://pbs.twimg.com/profile_images/1097616233594347522/Nfj6wOf4.jpg","View")</f>
        <v>View</v>
      </c>
      <c r="V1231" s="8"/>
      <c r="W1231" s="8"/>
      <c r="X1231" s="8"/>
      <c r="Y1231" s="8"/>
      <c r="Z1231" s="8"/>
    </row>
    <row r="1232" spans="1:26" ht="12.75">
      <c r="A1232" s="11">
        <v>43747.287777777776</v>
      </c>
      <c r="B1232" s="12" t="str">
        <f>HYPERLINK("https://twitter.com/Murat1Bulut","@Murat1Bulut")</f>
        <v>@Murat1Bulut</v>
      </c>
      <c r="C1232" s="7" t="s">
        <v>9154</v>
      </c>
      <c r="D1232" s="7" t="s">
        <v>9155</v>
      </c>
      <c r="E1232" s="12" t="str">
        <f>HYPERLINK("https://twitter.com/Murat1Bulut/status/1181930918073815045","1181930918073815045")</f>
        <v>1181930918073815045</v>
      </c>
      <c r="F1232" s="8"/>
      <c r="G1232" s="14" t="s">
        <v>9156</v>
      </c>
      <c r="H1232" s="8"/>
      <c r="I1232" s="15">
        <v>0</v>
      </c>
      <c r="J1232" s="15">
        <v>0</v>
      </c>
      <c r="K1232" s="12" t="str">
        <f>HYPERLINK("http://twitter.com/download/android","Twitter for Android")</f>
        <v>Twitter for Android</v>
      </c>
      <c r="L1232" s="16">
        <v>1752</v>
      </c>
      <c r="M1232" s="16">
        <v>501</v>
      </c>
      <c r="N1232" s="16">
        <v>6</v>
      </c>
      <c r="O1232" s="17"/>
      <c r="P1232" s="18">
        <v>41000.218854166669</v>
      </c>
      <c r="Q1232" s="7" t="s">
        <v>9157</v>
      </c>
      <c r="R1232" s="13" t="s">
        <v>9158</v>
      </c>
      <c r="S1232" s="7"/>
      <c r="T1232" s="8"/>
      <c r="U1232" s="19" t="str">
        <f>HYPERLINK("https://pbs.twimg.com/profile_images/901456630046445569/n93pkcJ5.jpg","View")</f>
        <v>View</v>
      </c>
      <c r="V1232" s="8"/>
      <c r="W1232" s="8"/>
      <c r="X1232" s="8"/>
      <c r="Y1232" s="8"/>
      <c r="Z1232" s="8"/>
    </row>
    <row r="1233" spans="1:26" ht="12.75">
      <c r="A1233" s="11">
        <v>43747.287766203706</v>
      </c>
      <c r="B1233" s="12" t="str">
        <f>HYPERLINK("https://twitter.com/EnesAkenes","@EnesAkenes")</f>
        <v>@EnesAkenes</v>
      </c>
      <c r="C1233" s="7" t="s">
        <v>9159</v>
      </c>
      <c r="D1233" s="7" t="s">
        <v>9160</v>
      </c>
      <c r="E1233" s="12" t="str">
        <f>HYPERLINK("https://twitter.com/EnesAkenes/status/1181930912847728640","1181930912847728640")</f>
        <v>1181930912847728640</v>
      </c>
      <c r="F1233" s="8"/>
      <c r="G1233" s="14" t="s">
        <v>9161</v>
      </c>
      <c r="H1233" s="8"/>
      <c r="I1233" s="15">
        <v>14</v>
      </c>
      <c r="J1233" s="15">
        <v>27</v>
      </c>
      <c r="K1233" s="12" t="str">
        <f>HYPERLINK("http://twitter.com/download/android","Twitter for Android")</f>
        <v>Twitter for Android</v>
      </c>
      <c r="L1233" s="16">
        <v>34682</v>
      </c>
      <c r="M1233" s="16">
        <v>22763</v>
      </c>
      <c r="N1233" s="16">
        <v>38</v>
      </c>
      <c r="O1233" s="17"/>
      <c r="P1233" s="18">
        <v>41990.195763888885</v>
      </c>
      <c r="Q1233" s="7" t="s">
        <v>9162</v>
      </c>
      <c r="R1233" s="7" t="s">
        <v>9163</v>
      </c>
      <c r="S1233" s="14" t="s">
        <v>9164</v>
      </c>
      <c r="T1233" s="8"/>
      <c r="U1233" s="19" t="str">
        <f>HYPERLINK("https://pbs.twimg.com/profile_images/1151085861083197442/DuL6Yyix.jpg","View")</f>
        <v>View</v>
      </c>
      <c r="V1233" s="8"/>
      <c r="W1233" s="8"/>
      <c r="X1233" s="8"/>
      <c r="Y1233" s="8"/>
      <c r="Z1233" s="8"/>
    </row>
    <row r="1234" spans="1:26" ht="12.75">
      <c r="A1234" s="11">
        <v>43747.287754629629</v>
      </c>
      <c r="B1234" s="12" t="str">
        <f>HYPERLINK("https://twitter.com/guvenbey06","@guvenbey06")</f>
        <v>@guvenbey06</v>
      </c>
      <c r="C1234" s="7" t="s">
        <v>9165</v>
      </c>
      <c r="D1234" s="7" t="s">
        <v>9166</v>
      </c>
      <c r="E1234" s="12" t="str">
        <f>HYPERLINK("https://twitter.com/guvenbey06/status/1181930909395755011","1181930909395755011")</f>
        <v>1181930909395755011</v>
      </c>
      <c r="F1234" s="8"/>
      <c r="G1234" s="7"/>
      <c r="H1234" s="8"/>
      <c r="I1234" s="15">
        <v>0</v>
      </c>
      <c r="J1234" s="15">
        <v>2</v>
      </c>
      <c r="K1234" s="12" t="str">
        <f>HYPERLINK("http://twitter.com/download/android","Twitter for Android")</f>
        <v>Twitter for Android</v>
      </c>
      <c r="L1234" s="16">
        <v>737</v>
      </c>
      <c r="M1234" s="16">
        <v>1483</v>
      </c>
      <c r="N1234" s="16">
        <v>0</v>
      </c>
      <c r="O1234" s="17"/>
      <c r="P1234" s="18">
        <v>40507.16065972222</v>
      </c>
      <c r="Q1234" s="7" t="s">
        <v>9167</v>
      </c>
      <c r="R1234" s="7" t="s">
        <v>9168</v>
      </c>
      <c r="S1234" s="7"/>
      <c r="T1234" s="8"/>
      <c r="U1234" s="19" t="str">
        <f>HYPERLINK("https://pbs.twimg.com/profile_images/1181900218213765120/gO3GnDfS.jpg","View")</f>
        <v>View</v>
      </c>
      <c r="V1234" s="8"/>
      <c r="W1234" s="8"/>
      <c r="X1234" s="8"/>
      <c r="Y1234" s="8"/>
      <c r="Z1234" s="8"/>
    </row>
    <row r="1235" spans="1:26" ht="12.75">
      <c r="A1235" s="11">
        <v>43747.28769675926</v>
      </c>
      <c r="B1235" s="12" t="str">
        <f>HYPERLINK("https://twitter.com/Tonyuku61875937","@Tonyuku61875937")</f>
        <v>@Tonyuku61875937</v>
      </c>
      <c r="C1235" s="7" t="s">
        <v>9178</v>
      </c>
      <c r="D1235" s="7" t="s">
        <v>9179</v>
      </c>
      <c r="E1235" s="12" t="str">
        <f>HYPERLINK("https://twitter.com/Tonyuku61875937/status/1181930888076156928","1181930888076156928")</f>
        <v>1181930888076156928</v>
      </c>
      <c r="F1235" s="8"/>
      <c r="G1235" s="14" t="s">
        <v>9180</v>
      </c>
      <c r="H1235" s="8"/>
      <c r="I1235" s="15">
        <v>0</v>
      </c>
      <c r="J1235" s="15">
        <v>0</v>
      </c>
      <c r="K1235" s="12" t="str">
        <f>HYPERLINK("http://twitter.com/download/android","Twitter for Android")</f>
        <v>Twitter for Android</v>
      </c>
      <c r="L1235" s="16">
        <v>6</v>
      </c>
      <c r="M1235" s="16">
        <v>9</v>
      </c>
      <c r="N1235" s="16">
        <v>0</v>
      </c>
      <c r="O1235" s="17"/>
      <c r="P1235" s="18">
        <v>43684.226944444439</v>
      </c>
      <c r="Q1235" s="7"/>
      <c r="R1235" s="7" t="s">
        <v>9183</v>
      </c>
      <c r="S1235" s="7"/>
      <c r="T1235" s="8"/>
      <c r="U1235" s="19" t="str">
        <f>HYPERLINK("https://pbs.twimg.com/profile_images/1159078965727911939/XOPeNvgS.jpg","View")</f>
        <v>View</v>
      </c>
      <c r="V1235" s="8"/>
      <c r="W1235" s="8"/>
      <c r="X1235" s="8"/>
      <c r="Y1235" s="8"/>
      <c r="Z1235" s="8"/>
    </row>
    <row r="1236" spans="1:26" ht="12.75">
      <c r="A1236" s="11">
        <v>43747.287650462968</v>
      </c>
      <c r="B1236" s="12" t="str">
        <f>HYPERLINK("https://twitter.com/ni_voice","@ni_voice")</f>
        <v>@ni_voice</v>
      </c>
      <c r="C1236" s="7" t="s">
        <v>9184</v>
      </c>
      <c r="D1236" s="7" t="s">
        <v>9185</v>
      </c>
      <c r="E1236" s="12" t="str">
        <f>HYPERLINK("https://twitter.com/ni_voice/status/1181930871877750785","1181930871877750785")</f>
        <v>1181930871877750785</v>
      </c>
      <c r="F1236" s="8"/>
      <c r="G1236" s="15"/>
      <c r="H1236" s="8"/>
      <c r="I1236" s="15">
        <v>2</v>
      </c>
      <c r="J1236" s="15">
        <v>4</v>
      </c>
      <c r="K1236" s="12" t="str">
        <f>HYPERLINK("http://twitter.com/#!/download/ipad","Twitter for iPad")</f>
        <v>Twitter for iPad</v>
      </c>
      <c r="L1236" s="16">
        <v>800</v>
      </c>
      <c r="M1236" s="16">
        <v>812</v>
      </c>
      <c r="N1236" s="16">
        <v>2</v>
      </c>
      <c r="O1236" s="17"/>
      <c r="P1236" s="18">
        <v>42244.077141203699</v>
      </c>
      <c r="Q1236" s="7" t="s">
        <v>9186</v>
      </c>
      <c r="R1236" s="7" t="s">
        <v>9187</v>
      </c>
      <c r="S1236" s="7"/>
      <c r="T1236" s="8"/>
      <c r="U1236" s="19" t="str">
        <f>HYPERLINK("https://pbs.twimg.com/profile_images/1121278417326964736/uuTKEO0B.jpg","View")</f>
        <v>View</v>
      </c>
      <c r="V1236" s="8"/>
      <c r="W1236" s="8"/>
      <c r="X1236" s="8"/>
      <c r="Y1236" s="8"/>
      <c r="Z1236" s="8"/>
    </row>
    <row r="1237" spans="1:26" ht="12.75">
      <c r="A1237" s="11">
        <v>43747.287638888884</v>
      </c>
      <c r="B1237" s="12" t="str">
        <f>HYPERLINK("https://twitter.com/TrBurakaydin","@TrBurakaydin")</f>
        <v>@TrBurakaydin</v>
      </c>
      <c r="C1237" s="7" t="s">
        <v>9188</v>
      </c>
      <c r="D1237" s="7" t="s">
        <v>9189</v>
      </c>
      <c r="E1237" s="12" t="str">
        <f>HYPERLINK("https://twitter.com/TrBurakaydin/status/1181930868664885249","1181930868664885249")</f>
        <v>1181930868664885249</v>
      </c>
      <c r="F1237" s="15"/>
      <c r="G1237" s="7"/>
      <c r="H1237" s="8"/>
      <c r="I1237" s="15">
        <v>0</v>
      </c>
      <c r="J1237" s="15">
        <v>0</v>
      </c>
      <c r="K1237" s="12" t="str">
        <f>HYPERLINK("http://twitter.com/download/android","Twitter for Android")</f>
        <v>Twitter for Android</v>
      </c>
      <c r="L1237" s="16">
        <v>4</v>
      </c>
      <c r="M1237" s="16">
        <v>60</v>
      </c>
      <c r="N1237" s="16">
        <v>0</v>
      </c>
      <c r="O1237" s="17"/>
      <c r="P1237" s="18">
        <v>43646.673854166671</v>
      </c>
      <c r="Q1237" s="7"/>
      <c r="R1237" s="7"/>
      <c r="S1237" s="7"/>
      <c r="T1237" s="8"/>
      <c r="U1237" s="19" t="str">
        <f>HYPERLINK("https://pbs.twimg.com/profile_images/1145469942894120965/bw_9iG3C.jpg","View")</f>
        <v>View</v>
      </c>
      <c r="V1237" s="8"/>
      <c r="W1237" s="8"/>
      <c r="X1237" s="8"/>
      <c r="Y1237" s="8"/>
      <c r="Z1237" s="8"/>
    </row>
    <row r="1238" spans="1:26" ht="12.75">
      <c r="A1238" s="11">
        <v>43747.287604166668</v>
      </c>
      <c r="B1238" s="12" t="str">
        <f>HYPERLINK("https://twitter.com/kemaluge","@kemaluge")</f>
        <v>@kemaluge</v>
      </c>
      <c r="C1238" s="7" t="s">
        <v>9192</v>
      </c>
      <c r="D1238" s="7" t="s">
        <v>9193</v>
      </c>
      <c r="E1238" s="12" t="str">
        <f>HYPERLINK("https://twitter.com/kemaluge/status/1181930855264133121","1181930855264133121")</f>
        <v>1181930855264133121</v>
      </c>
      <c r="F1238" s="8"/>
      <c r="G1238" s="14" t="s">
        <v>9195</v>
      </c>
      <c r="H1238" s="8"/>
      <c r="I1238" s="15">
        <v>0</v>
      </c>
      <c r="J1238" s="15">
        <v>0</v>
      </c>
      <c r="K1238" s="12" t="str">
        <f>HYPERLINK("http://twitter.com/download/android","Twitter for Android")</f>
        <v>Twitter for Android</v>
      </c>
      <c r="L1238" s="16">
        <v>3359</v>
      </c>
      <c r="M1238" s="16">
        <v>399</v>
      </c>
      <c r="N1238" s="16">
        <v>4</v>
      </c>
      <c r="O1238" s="17"/>
      <c r="P1238" s="18">
        <v>40820.414074074077</v>
      </c>
      <c r="Q1238" s="7" t="s">
        <v>9197</v>
      </c>
      <c r="R1238" s="7"/>
      <c r="S1238" s="15"/>
      <c r="T1238" s="8"/>
      <c r="U1238" s="19" t="str">
        <f>HYPERLINK("https://pbs.twimg.com/profile_images/1181871661651566592/EbiiFMin.jpg","View")</f>
        <v>View</v>
      </c>
      <c r="V1238" s="8"/>
      <c r="W1238" s="8"/>
      <c r="X1238" s="8"/>
      <c r="Y1238" s="8"/>
      <c r="Z1238" s="8"/>
    </row>
    <row r="1239" spans="1:26" ht="12.75">
      <c r="A1239" s="11">
        <v>43747.287592592591</v>
      </c>
      <c r="B1239" s="12" t="str">
        <f>HYPERLINK("https://twitter.com/mucahitoguk","@mucahitoguk")</f>
        <v>@mucahitoguk</v>
      </c>
      <c r="C1239" s="7" t="s">
        <v>9200</v>
      </c>
      <c r="D1239" s="7" t="s">
        <v>9201</v>
      </c>
      <c r="E1239" s="12" t="str">
        <f>HYPERLINK("https://twitter.com/mucahitoguk/status/1181930851493453825","1181930851493453825")</f>
        <v>1181930851493453825</v>
      </c>
      <c r="F1239" s="8"/>
      <c r="G1239" s="14" t="s">
        <v>9202</v>
      </c>
      <c r="H1239" s="8"/>
      <c r="I1239" s="15">
        <v>2</v>
      </c>
      <c r="J1239" s="15">
        <v>3</v>
      </c>
      <c r="K1239" s="12" t="str">
        <f>HYPERLINK("http://twitter.com/download/android","Twitter for Android")</f>
        <v>Twitter for Android</v>
      </c>
      <c r="L1239" s="16">
        <v>124</v>
      </c>
      <c r="M1239" s="16">
        <v>284</v>
      </c>
      <c r="N1239" s="16">
        <v>0</v>
      </c>
      <c r="O1239" s="17"/>
      <c r="P1239" s="18">
        <v>40993.524467592593</v>
      </c>
      <c r="Q1239" s="7"/>
      <c r="R1239" s="7" t="s">
        <v>9203</v>
      </c>
      <c r="S1239" s="14" t="s">
        <v>9205</v>
      </c>
      <c r="T1239" s="8"/>
      <c r="U1239" s="19" t="str">
        <f>HYPERLINK("https://pbs.twimg.com/profile_images/1084468099208921088/iEQ7CrRC.jpg","View")</f>
        <v>View</v>
      </c>
      <c r="V1239" s="8"/>
      <c r="W1239" s="8"/>
      <c r="X1239" s="8"/>
      <c r="Y1239" s="8"/>
      <c r="Z1239" s="8"/>
    </row>
    <row r="1240" spans="1:26" ht="12.75">
      <c r="A1240" s="11">
        <v>43747.287523148145</v>
      </c>
      <c r="B1240" s="12" t="str">
        <f>HYPERLINK("https://twitter.com/MetehanSerttt","@MetehanSerttt")</f>
        <v>@MetehanSerttt</v>
      </c>
      <c r="C1240" s="7" t="s">
        <v>9210</v>
      </c>
      <c r="D1240" s="7" t="s">
        <v>9211</v>
      </c>
      <c r="E1240" s="12" t="str">
        <f>HYPERLINK("https://twitter.com/MetehanSerttt/status/1181930823177646081","1181930823177646081")</f>
        <v>1181930823177646081</v>
      </c>
      <c r="F1240" s="8"/>
      <c r="G1240" s="14" t="s">
        <v>9212</v>
      </c>
      <c r="H1240" s="8"/>
      <c r="I1240" s="15">
        <v>0</v>
      </c>
      <c r="J1240" s="15">
        <v>4</v>
      </c>
      <c r="K1240" s="12" t="str">
        <f>HYPERLINK("http://twitter.com/download/iphone","Twitter for iPhone")</f>
        <v>Twitter for iPhone</v>
      </c>
      <c r="L1240" s="16">
        <v>26</v>
      </c>
      <c r="M1240" s="16">
        <v>33</v>
      </c>
      <c r="N1240" s="16">
        <v>0</v>
      </c>
      <c r="O1240" s="17"/>
      <c r="P1240" s="18">
        <v>43673.451921296291</v>
      </c>
      <c r="Q1240" s="7" t="s">
        <v>2050</v>
      </c>
      <c r="R1240" s="7" t="s">
        <v>9213</v>
      </c>
      <c r="S1240" s="7"/>
      <c r="T1240" s="8"/>
      <c r="U1240" s="19" t="str">
        <f>HYPERLINK("https://pbs.twimg.com/profile_images/1155173963938586626/9BhPLbTt.jpg","View")</f>
        <v>View</v>
      </c>
      <c r="V1240" s="8"/>
      <c r="W1240" s="8"/>
      <c r="X1240" s="8"/>
      <c r="Y1240" s="8"/>
      <c r="Z1240" s="8"/>
    </row>
    <row r="1241" spans="1:26" ht="12.75">
      <c r="A1241" s="11">
        <v>43747.287488425922</v>
      </c>
      <c r="B1241" s="12" t="str">
        <f>HYPERLINK("https://twitter.com/fbvirtue","@fbvirtue")</f>
        <v>@fbvirtue</v>
      </c>
      <c r="C1241" s="7" t="s">
        <v>9216</v>
      </c>
      <c r="D1241" s="7" t="s">
        <v>9217</v>
      </c>
      <c r="E1241" s="12" t="str">
        <f>HYPERLINK("https://twitter.com/fbvirtue/status/1181930811160956929","1181930811160956929")</f>
        <v>1181930811160956929</v>
      </c>
      <c r="F1241" s="8"/>
      <c r="G1241" s="15"/>
      <c r="H1241" s="8"/>
      <c r="I1241" s="15">
        <v>1</v>
      </c>
      <c r="J1241" s="15">
        <v>4</v>
      </c>
      <c r="K1241" s="12" t="str">
        <f>HYPERLINK("http://twitter.com/download/android","Twitter for Android")</f>
        <v>Twitter for Android</v>
      </c>
      <c r="L1241" s="16">
        <v>360</v>
      </c>
      <c r="M1241" s="16">
        <v>544</v>
      </c>
      <c r="N1241" s="16">
        <v>0</v>
      </c>
      <c r="O1241" s="17"/>
      <c r="P1241" s="18">
        <v>42576.958437499998</v>
      </c>
      <c r="Q1241" s="7"/>
      <c r="R1241" s="7" t="s">
        <v>9219</v>
      </c>
      <c r="S1241" s="7"/>
      <c r="T1241" s="8"/>
      <c r="U1241" s="19" t="str">
        <f>HYPERLINK("https://pbs.twimg.com/profile_images/1096302070209105920/oPfs1W8D.jpg","View")</f>
        <v>View</v>
      </c>
      <c r="V1241" s="8"/>
      <c r="W1241" s="8"/>
      <c r="X1241" s="8"/>
      <c r="Y1241" s="8"/>
      <c r="Z1241" s="8"/>
    </row>
    <row r="1242" spans="1:26" ht="12.75">
      <c r="A1242" s="11">
        <v>43747.287465277783</v>
      </c>
      <c r="B1242" s="12" t="str">
        <f>HYPERLINK("https://twitter.com/SquidAppAU","@SquidAppAU")</f>
        <v>@SquidAppAU</v>
      </c>
      <c r="C1242" s="7" t="s">
        <v>9222</v>
      </c>
      <c r="D1242" s="7" t="s">
        <v>9223</v>
      </c>
      <c r="E1242" s="12" t="str">
        <f>HYPERLINK("https://twitter.com/SquidAppAU/status/1181930803133128714","1181930803133128714")</f>
        <v>1181930803133128714</v>
      </c>
      <c r="F1242" s="14" t="s">
        <v>9224</v>
      </c>
      <c r="G1242" s="7"/>
      <c r="H1242" s="8"/>
      <c r="I1242" s="15">
        <v>0</v>
      </c>
      <c r="J1242" s="15">
        <v>0</v>
      </c>
      <c r="K1242" s="12" t="str">
        <f>HYPERLINK("http://twitter.com/download/android","Twitter for Android")</f>
        <v>Twitter for Android</v>
      </c>
      <c r="L1242" s="16">
        <v>35</v>
      </c>
      <c r="M1242" s="16">
        <v>794</v>
      </c>
      <c r="N1242" s="16">
        <v>1</v>
      </c>
      <c r="O1242" s="17"/>
      <c r="P1242" s="18">
        <v>43077.118715277778</v>
      </c>
      <c r="Q1242" s="7" t="s">
        <v>9226</v>
      </c>
      <c r="R1242" s="7" t="s">
        <v>9227</v>
      </c>
      <c r="S1242" s="14" t="s">
        <v>9228</v>
      </c>
      <c r="T1242" s="8"/>
      <c r="U1242" s="19" t="str">
        <f>HYPERLINK("https://pbs.twimg.com/profile_images/939128509233971200/pOm33u-B.jpg","View")</f>
        <v>View</v>
      </c>
      <c r="V1242" s="8"/>
      <c r="W1242" s="8"/>
      <c r="X1242" s="8"/>
      <c r="Y1242" s="8"/>
      <c r="Z1242" s="8"/>
    </row>
    <row r="1243" spans="1:26" ht="12.75">
      <c r="A1243" s="11">
        <v>43747.287453703699</v>
      </c>
      <c r="B1243" s="12" t="str">
        <f>HYPERLINK("https://twitter.com/cinnet_mustatil","@cinnet_mustatil")</f>
        <v>@cinnet_mustatil</v>
      </c>
      <c r="C1243" s="7" t="s">
        <v>9230</v>
      </c>
      <c r="D1243" s="7" t="s">
        <v>9232</v>
      </c>
      <c r="E1243" s="12" t="str">
        <f>HYPERLINK("https://twitter.com/cinnet_mustatil/status/1181930797705699333","1181930797705699333")</f>
        <v>1181930797705699333</v>
      </c>
      <c r="F1243" s="8"/>
      <c r="G1243" s="14" t="s">
        <v>9234</v>
      </c>
      <c r="H1243" s="8"/>
      <c r="I1243" s="15">
        <v>0</v>
      </c>
      <c r="J1243" s="15">
        <v>0</v>
      </c>
      <c r="K1243" s="12" t="str">
        <f>HYPERLINK("http://twitter.com/download/iphone","Twitter for iPhone")</f>
        <v>Twitter for iPhone</v>
      </c>
      <c r="L1243" s="16">
        <v>366</v>
      </c>
      <c r="M1243" s="16">
        <v>677</v>
      </c>
      <c r="N1243" s="16">
        <v>4</v>
      </c>
      <c r="O1243" s="17"/>
      <c r="P1243" s="18">
        <v>40839.464247685188</v>
      </c>
      <c r="Q1243" s="7" t="s">
        <v>9235</v>
      </c>
      <c r="R1243" s="7" t="s">
        <v>9236</v>
      </c>
      <c r="S1243" s="15"/>
      <c r="T1243" s="8"/>
      <c r="U1243" s="19" t="str">
        <f>HYPERLINK("https://pbs.twimg.com/profile_images/1006005914514739200/SLUg4DLy.jpg","View")</f>
        <v>View</v>
      </c>
      <c r="V1243" s="8"/>
      <c r="W1243" s="8"/>
      <c r="X1243" s="8"/>
      <c r="Y1243" s="8"/>
      <c r="Z1243" s="8"/>
    </row>
    <row r="1244" spans="1:26" ht="12.75">
      <c r="A1244" s="11">
        <v>43747.28743055556</v>
      </c>
      <c r="B1244" s="12" t="str">
        <f>HYPERLINK("https://twitter.com/tugrulhangoktas","@tugrulhangoktas")</f>
        <v>@tugrulhangoktas</v>
      </c>
      <c r="C1244" s="7" t="s">
        <v>9237</v>
      </c>
      <c r="D1244" s="7" t="s">
        <v>9238</v>
      </c>
      <c r="E1244" s="12" t="str">
        <f>HYPERLINK("https://twitter.com/tugrulhangoktas/status/1181930793192640512","1181930793192640512")</f>
        <v>1181930793192640512</v>
      </c>
      <c r="F1244" s="8"/>
      <c r="G1244" s="14" t="s">
        <v>9239</v>
      </c>
      <c r="H1244" s="8"/>
      <c r="I1244" s="15">
        <v>0</v>
      </c>
      <c r="J1244" s="15">
        <v>0</v>
      </c>
      <c r="K1244" s="12" t="str">
        <f>HYPERLINK("http://twitter.com/download/iphone","Twitter for iPhone")</f>
        <v>Twitter for iPhone</v>
      </c>
      <c r="L1244" s="16">
        <v>60</v>
      </c>
      <c r="M1244" s="16">
        <v>167</v>
      </c>
      <c r="N1244" s="16">
        <v>0</v>
      </c>
      <c r="O1244" s="17"/>
      <c r="P1244" s="18">
        <v>41424.544374999998</v>
      </c>
      <c r="Q1244" s="7"/>
      <c r="R1244" s="7" t="s">
        <v>9240</v>
      </c>
      <c r="S1244" s="7"/>
      <c r="T1244" s="8"/>
      <c r="U1244" s="19" t="str">
        <f>HYPERLINK("https://pbs.twimg.com/profile_images/1171544436775563264/VBrt2IMu.jpg","View")</f>
        <v>View</v>
      </c>
      <c r="V1244" s="8"/>
      <c r="W1244" s="8"/>
      <c r="X1244" s="8"/>
      <c r="Y1244" s="8"/>
      <c r="Z1244" s="8"/>
    </row>
    <row r="1245" spans="1:26" ht="12.75">
      <c r="A1245" s="11">
        <v>43747.287418981483</v>
      </c>
      <c r="B1245" s="12" t="str">
        <f>HYPERLINK("https://twitter.com/Kislali_42","@Kislali_42")</f>
        <v>@Kislali_42</v>
      </c>
      <c r="C1245" s="7" t="s">
        <v>9245</v>
      </c>
      <c r="D1245" s="7" t="s">
        <v>9246</v>
      </c>
      <c r="E1245" s="12" t="str">
        <f>HYPERLINK("https://twitter.com/Kislali_42/status/1181930787928772610","1181930787928772610")</f>
        <v>1181930787928772610</v>
      </c>
      <c r="F1245" s="8"/>
      <c r="G1245" s="14" t="s">
        <v>9247</v>
      </c>
      <c r="H1245" s="8"/>
      <c r="I1245" s="15">
        <v>7</v>
      </c>
      <c r="J1245" s="15">
        <v>34</v>
      </c>
      <c r="K1245" s="12" t="str">
        <f>HYPERLINK("https://mobile.twitter.com","Twitter Web App")</f>
        <v>Twitter Web App</v>
      </c>
      <c r="L1245" s="16">
        <v>2121</v>
      </c>
      <c r="M1245" s="16">
        <v>2010</v>
      </c>
      <c r="N1245" s="16">
        <v>5</v>
      </c>
      <c r="O1245" s="17"/>
      <c r="P1245" s="18">
        <v>43325.259745370371</v>
      </c>
      <c r="Q1245" s="7" t="s">
        <v>9250</v>
      </c>
      <c r="R1245" s="7" t="s">
        <v>9251</v>
      </c>
      <c r="S1245" s="15"/>
      <c r="T1245" s="8"/>
      <c r="U1245" s="19" t="str">
        <f>HYPERLINK("https://pbs.twimg.com/profile_images/1130325130754838530/C2k6ZYXc.png","View")</f>
        <v>View</v>
      </c>
      <c r="V1245" s="8"/>
      <c r="W1245" s="8"/>
      <c r="X1245" s="8"/>
      <c r="Y1245" s="8"/>
      <c r="Z1245" s="8"/>
    </row>
    <row r="1246" spans="1:26" ht="12.75">
      <c r="A1246" s="11">
        <v>43747.287372685183</v>
      </c>
      <c r="B1246" s="12" t="str">
        <f>HYPERLINK("https://twitter.com/dincerromerr","@dincerromerr")</f>
        <v>@dincerromerr</v>
      </c>
      <c r="C1246" s="7" t="s">
        <v>1069</v>
      </c>
      <c r="D1246" s="7" t="s">
        <v>9252</v>
      </c>
      <c r="E1246" s="12" t="str">
        <f>HYPERLINK("https://twitter.com/dincerromerr/status/1181930770065186816","1181930770065186816")</f>
        <v>1181930770065186816</v>
      </c>
      <c r="F1246" s="15"/>
      <c r="G1246" s="14" t="s">
        <v>9253</v>
      </c>
      <c r="H1246" s="8"/>
      <c r="I1246" s="15">
        <v>0</v>
      </c>
      <c r="J1246" s="15">
        <v>0</v>
      </c>
      <c r="K1246" s="12" t="str">
        <f>HYPERLINK("http://twitter.com/download/iphone","Twitter for iPhone")</f>
        <v>Twitter for iPhone</v>
      </c>
      <c r="L1246" s="16">
        <v>85</v>
      </c>
      <c r="M1246" s="16">
        <v>112</v>
      </c>
      <c r="N1246" s="16">
        <v>0</v>
      </c>
      <c r="O1246" s="17"/>
      <c r="P1246" s="18">
        <v>43590.618483796294</v>
      </c>
      <c r="Q1246" s="7"/>
      <c r="R1246" s="7" t="s">
        <v>9254</v>
      </c>
      <c r="S1246" s="7"/>
      <c r="T1246" s="8"/>
      <c r="U1246" s="19" t="str">
        <f>HYPERLINK("https://pbs.twimg.com/profile_images/1135331709430456325/fW5PQlmd.jpg","View")</f>
        <v>View</v>
      </c>
      <c r="V1246" s="8"/>
      <c r="W1246" s="8"/>
      <c r="X1246" s="8"/>
      <c r="Y1246" s="8"/>
      <c r="Z1246" s="8"/>
    </row>
    <row r="1247" spans="1:26" ht="12.75">
      <c r="A1247" s="11">
        <v>43747.287361111114</v>
      </c>
      <c r="B1247" s="12" t="str">
        <f>HYPERLINK("https://twitter.com/han_ozden44","@han_ozden44")</f>
        <v>@han_ozden44</v>
      </c>
      <c r="C1247" s="7" t="s">
        <v>9255</v>
      </c>
      <c r="D1247" s="7" t="s">
        <v>9256</v>
      </c>
      <c r="E1247" s="12" t="str">
        <f>HYPERLINK("https://twitter.com/han_ozden44/status/1181930767213043712","1181930767213043712")</f>
        <v>1181930767213043712</v>
      </c>
      <c r="F1247" s="8"/>
      <c r="G1247" s="14" t="s">
        <v>9257</v>
      </c>
      <c r="H1247" s="8"/>
      <c r="I1247" s="15">
        <v>0</v>
      </c>
      <c r="J1247" s="15">
        <v>1</v>
      </c>
      <c r="K1247" s="12" t="str">
        <f>HYPERLINK("http://twitter.com/download/android","Twitter for Android")</f>
        <v>Twitter for Android</v>
      </c>
      <c r="L1247" s="16">
        <v>218</v>
      </c>
      <c r="M1247" s="16">
        <v>377</v>
      </c>
      <c r="N1247" s="16">
        <v>0</v>
      </c>
      <c r="O1247" s="17"/>
      <c r="P1247" s="18">
        <v>42745.005625000005</v>
      </c>
      <c r="Q1247" s="7" t="s">
        <v>1343</v>
      </c>
      <c r="R1247" s="7" t="s">
        <v>9258</v>
      </c>
      <c r="S1247" s="7"/>
      <c r="T1247" s="8"/>
      <c r="U1247" s="19" t="str">
        <f>HYPERLINK("https://pbs.twimg.com/profile_images/996335459683983361/gku0A3R2.jpg","View")</f>
        <v>View</v>
      </c>
      <c r="V1247" s="8"/>
      <c r="W1247" s="8"/>
      <c r="X1247" s="8"/>
      <c r="Y1247" s="8"/>
      <c r="Z1247" s="8"/>
    </row>
    <row r="1248" spans="1:26" ht="12.75">
      <c r="A1248" s="11">
        <v>43747.287349537037</v>
      </c>
      <c r="B1248" s="12" t="str">
        <f>HYPERLINK("https://twitter.com/BogaMba52","@BogaMba52")</f>
        <v>@BogaMba52</v>
      </c>
      <c r="C1248" s="7" t="s">
        <v>9259</v>
      </c>
      <c r="D1248" s="7" t="s">
        <v>9260</v>
      </c>
      <c r="E1248" s="12" t="str">
        <f>HYPERLINK("https://twitter.com/BogaMba52/status/1181930760497971203","1181930760497971203")</f>
        <v>1181930760497971203</v>
      </c>
      <c r="F1248" s="8"/>
      <c r="G1248" s="14" t="s">
        <v>9261</v>
      </c>
      <c r="H1248" s="8"/>
      <c r="I1248" s="15">
        <v>0</v>
      </c>
      <c r="J1248" s="15">
        <v>0</v>
      </c>
      <c r="K1248" s="12" t="str">
        <f>HYPERLINK("http://twitter.com/download/android","Twitter for Android")</f>
        <v>Twitter for Android</v>
      </c>
      <c r="L1248" s="16">
        <v>86</v>
      </c>
      <c r="M1248" s="16">
        <v>55</v>
      </c>
      <c r="N1248" s="16">
        <v>0</v>
      </c>
      <c r="O1248" s="17"/>
      <c r="P1248" s="18">
        <v>41895.308749999997</v>
      </c>
      <c r="Q1248" s="7"/>
      <c r="R1248" s="7">
        <v>15.11</v>
      </c>
      <c r="S1248" s="7"/>
      <c r="T1248" s="8"/>
      <c r="U1248" s="19" t="str">
        <f>HYPERLINK("https://pbs.twimg.com/profile_images/1151057623875248128/5oGsB1ba.jpg","View")</f>
        <v>View</v>
      </c>
      <c r="V1248" s="8"/>
      <c r="W1248" s="8"/>
      <c r="X1248" s="8"/>
      <c r="Y1248" s="8"/>
      <c r="Z1248" s="8"/>
    </row>
    <row r="1249" spans="1:26" ht="12.75">
      <c r="A1249" s="11">
        <v>43747.287291666667</v>
      </c>
      <c r="B1249" s="12" t="str">
        <f>HYPERLINK("https://twitter.com/Jafra_","@Jafra_")</f>
        <v>@Jafra_</v>
      </c>
      <c r="C1249" s="7" t="s">
        <v>9262</v>
      </c>
      <c r="D1249" s="7" t="s">
        <v>9263</v>
      </c>
      <c r="E1249" s="12" t="str">
        <f>HYPERLINK("https://twitter.com/Jafra_/status/1181930738943451136","1181930738943451136")</f>
        <v>1181930738943451136</v>
      </c>
      <c r="F1249" s="8"/>
      <c r="G1249" s="7"/>
      <c r="H1249" s="8"/>
      <c r="I1249" s="15">
        <v>0</v>
      </c>
      <c r="J1249" s="15">
        <v>0</v>
      </c>
      <c r="K1249" s="12" t="str">
        <f>HYPERLINK("https://mobile.twitter.com","Twitter Web App")</f>
        <v>Twitter Web App</v>
      </c>
      <c r="L1249" s="16">
        <v>1383</v>
      </c>
      <c r="M1249" s="16">
        <v>1511</v>
      </c>
      <c r="N1249" s="16">
        <v>78</v>
      </c>
      <c r="O1249" s="17"/>
      <c r="P1249" s="18">
        <v>40814.62773148148</v>
      </c>
      <c r="Q1249" s="7" t="s">
        <v>9264</v>
      </c>
      <c r="R1249" s="7" t="s">
        <v>9265</v>
      </c>
      <c r="S1249" s="7"/>
      <c r="T1249" s="8"/>
      <c r="U1249" s="19" t="str">
        <f>HYPERLINK("https://pbs.twimg.com/profile_images/1141338719355641857/bZvouruk.png","View")</f>
        <v>View</v>
      </c>
      <c r="V1249" s="8"/>
      <c r="W1249" s="8"/>
      <c r="X1249" s="8"/>
      <c r="Y1249" s="8"/>
      <c r="Z1249" s="8"/>
    </row>
    <row r="1250" spans="1:26" ht="12.75">
      <c r="A1250" s="11">
        <v>43747.287280092598</v>
      </c>
      <c r="B1250" s="12" t="str">
        <f>HYPERLINK("https://twitter.com/PacaSelahattin","@PacaSelahattin")</f>
        <v>@PacaSelahattin</v>
      </c>
      <c r="C1250" s="7" t="s">
        <v>9266</v>
      </c>
      <c r="D1250" s="7" t="s">
        <v>9267</v>
      </c>
      <c r="E1250" s="12" t="str">
        <f>HYPERLINK("https://twitter.com/PacaSelahattin/status/1181930736414318592","1181930736414318592")</f>
        <v>1181930736414318592</v>
      </c>
      <c r="F1250" s="8"/>
      <c r="G1250" s="15"/>
      <c r="H1250" s="8"/>
      <c r="I1250" s="15">
        <v>1</v>
      </c>
      <c r="J1250" s="15">
        <v>3</v>
      </c>
      <c r="K1250" s="12" t="str">
        <f>HYPERLINK("http://twitter.com/download/android","Twitter for Android")</f>
        <v>Twitter for Android</v>
      </c>
      <c r="L1250" s="16">
        <v>411</v>
      </c>
      <c r="M1250" s="16">
        <v>467</v>
      </c>
      <c r="N1250" s="16">
        <v>1</v>
      </c>
      <c r="O1250" s="17"/>
      <c r="P1250" s="18">
        <v>42884.228703703702</v>
      </c>
      <c r="Q1250" s="7" t="s">
        <v>287</v>
      </c>
      <c r="R1250" s="7" t="s">
        <v>9268</v>
      </c>
      <c r="S1250" s="7"/>
      <c r="T1250" s="8"/>
      <c r="U1250" s="19" t="str">
        <f>HYPERLINK("https://pbs.twimg.com/profile_images/1151395348398690304/Zojrdfdf.jpg","View")</f>
        <v>View</v>
      </c>
      <c r="V1250" s="8"/>
      <c r="W1250" s="8"/>
      <c r="X1250" s="8"/>
      <c r="Y1250" s="8"/>
      <c r="Z1250" s="8"/>
    </row>
    <row r="1251" spans="1:26" ht="12.75">
      <c r="A1251" s="11">
        <v>43747.287268518514</v>
      </c>
      <c r="B1251" s="12" t="str">
        <f>HYPERLINK("https://twitter.com/krbkturkocagi","@krbkturkocagi")</f>
        <v>@krbkturkocagi</v>
      </c>
      <c r="C1251" s="7" t="s">
        <v>9269</v>
      </c>
      <c r="D1251" s="7" t="s">
        <v>9270</v>
      </c>
      <c r="E1251" s="12" t="str">
        <f>HYPERLINK("https://twitter.com/krbkturkocagi/status/1181930730835890177","1181930730835890177")</f>
        <v>1181930730835890177</v>
      </c>
      <c r="F1251" s="8"/>
      <c r="G1251" s="14" t="s">
        <v>9271</v>
      </c>
      <c r="H1251" s="8"/>
      <c r="I1251" s="15">
        <v>3</v>
      </c>
      <c r="J1251" s="15">
        <v>6</v>
      </c>
      <c r="K1251" s="12" t="str">
        <f>HYPERLINK("http://twitter.com/download/iphone","Twitter for iPhone")</f>
        <v>Twitter for iPhone</v>
      </c>
      <c r="L1251" s="16">
        <v>472</v>
      </c>
      <c r="M1251" s="16">
        <v>50</v>
      </c>
      <c r="N1251" s="16">
        <v>0</v>
      </c>
      <c r="O1251" s="17"/>
      <c r="P1251" s="18">
        <v>42096.258206018523</v>
      </c>
      <c r="Q1251" s="7" t="s">
        <v>9272</v>
      </c>
      <c r="R1251" s="7" t="s">
        <v>9273</v>
      </c>
      <c r="S1251" s="14" t="s">
        <v>9274</v>
      </c>
      <c r="T1251" s="8"/>
      <c r="U1251" s="19" t="str">
        <f>HYPERLINK("https://pbs.twimg.com/profile_images/915272153825718274/bdafqv7T.jpg","View")</f>
        <v>View</v>
      </c>
      <c r="V1251" s="8"/>
      <c r="W1251" s="8"/>
      <c r="X1251" s="8"/>
      <c r="Y1251" s="8"/>
      <c r="Z1251" s="8"/>
    </row>
    <row r="1252" spans="1:26" ht="12.75">
      <c r="A1252" s="11">
        <v>43747.287256944444</v>
      </c>
      <c r="B1252" s="12" t="str">
        <f>HYPERLINK("https://twitter.com/budak621","@budak621")</f>
        <v>@budak621</v>
      </c>
      <c r="C1252" s="7" t="s">
        <v>9275</v>
      </c>
      <c r="D1252" s="7" t="s">
        <v>9276</v>
      </c>
      <c r="E1252" s="12" t="str">
        <f>HYPERLINK("https://twitter.com/budak621/status/1181930726289281025","1181930726289281025")</f>
        <v>1181930726289281025</v>
      </c>
      <c r="F1252" s="8"/>
      <c r="G1252" s="14" t="s">
        <v>9277</v>
      </c>
      <c r="H1252" s="8"/>
      <c r="I1252" s="15">
        <v>0</v>
      </c>
      <c r="J1252" s="15">
        <v>2</v>
      </c>
      <c r="K1252" s="12" t="str">
        <f>HYPERLINK("http://twitter.com/download/android","Twitter for Android")</f>
        <v>Twitter for Android</v>
      </c>
      <c r="L1252" s="16">
        <v>265</v>
      </c>
      <c r="M1252" s="16">
        <v>476</v>
      </c>
      <c r="N1252" s="16">
        <v>0</v>
      </c>
      <c r="O1252" s="17"/>
      <c r="P1252" s="18">
        <v>41271.106527777782</v>
      </c>
      <c r="Q1252" s="7" t="s">
        <v>1567</v>
      </c>
      <c r="R1252" s="7" t="s">
        <v>9278</v>
      </c>
      <c r="S1252" s="7"/>
      <c r="T1252" s="8"/>
      <c r="U1252" s="19" t="str">
        <f>HYPERLINK("https://pbs.twimg.com/profile_images/1091381615757090818/9d7W_8U4.jpg","View")</f>
        <v>View</v>
      </c>
      <c r="V1252" s="8"/>
      <c r="W1252" s="8"/>
      <c r="X1252" s="8"/>
      <c r="Y1252" s="8"/>
      <c r="Z1252" s="8"/>
    </row>
    <row r="1253" spans="1:26" ht="12.75">
      <c r="A1253" s="11">
        <v>43747.287199074075</v>
      </c>
      <c r="B1253" s="12" t="str">
        <f>HYPERLINK("https://twitter.com/Kuzgunumtrak","@Kuzgunumtrak")</f>
        <v>@Kuzgunumtrak</v>
      </c>
      <c r="C1253" s="7" t="s">
        <v>9279</v>
      </c>
      <c r="D1253" s="7" t="s">
        <v>9280</v>
      </c>
      <c r="E1253" s="12" t="str">
        <f>HYPERLINK("https://twitter.com/Kuzgunumtrak/status/1181930707586867200","1181930707586867200")</f>
        <v>1181930707586867200</v>
      </c>
      <c r="F1253" s="8"/>
      <c r="G1253" s="15"/>
      <c r="H1253" s="8"/>
      <c r="I1253" s="15">
        <v>0</v>
      </c>
      <c r="J1253" s="15">
        <v>0</v>
      </c>
      <c r="K1253" s="12" t="str">
        <f>HYPERLINK("http://twitter.com/download/iphone","Twitter for iPhone")</f>
        <v>Twitter for iPhone</v>
      </c>
      <c r="L1253" s="16">
        <v>369</v>
      </c>
      <c r="M1253" s="16">
        <v>77</v>
      </c>
      <c r="N1253" s="16">
        <v>1</v>
      </c>
      <c r="O1253" s="17"/>
      <c r="P1253" s="18">
        <v>40268.672152777777</v>
      </c>
      <c r="Q1253" s="7" t="s">
        <v>9281</v>
      </c>
      <c r="R1253" s="7"/>
      <c r="S1253" s="14" t="s">
        <v>9282</v>
      </c>
      <c r="T1253" s="8"/>
      <c r="U1253" s="19" t="str">
        <f>HYPERLINK("https://pbs.twimg.com/profile_images/1165670859736002561/7eVfP2uM.jpg","View")</f>
        <v>View</v>
      </c>
      <c r="V1253" s="8"/>
      <c r="W1253" s="8"/>
      <c r="X1253" s="8"/>
      <c r="Y1253" s="8"/>
      <c r="Z1253" s="8"/>
    </row>
    <row r="1254" spans="1:26" ht="12.75">
      <c r="A1254" s="11">
        <v>43747.287141203706</v>
      </c>
      <c r="B1254" s="12" t="str">
        <f>HYPERLINK("https://twitter.com/garryowen1888","@garryowen1888")</f>
        <v>@garryowen1888</v>
      </c>
      <c r="C1254" s="7" t="s">
        <v>9283</v>
      </c>
      <c r="D1254" s="7" t="s">
        <v>9284</v>
      </c>
      <c r="E1254" s="12" t="str">
        <f>HYPERLINK("https://twitter.com/garryowen1888/status/1181930686191738881","1181930686191738881")</f>
        <v>1181930686191738881</v>
      </c>
      <c r="F1254" s="8"/>
      <c r="G1254" s="15"/>
      <c r="H1254" s="8"/>
      <c r="I1254" s="15">
        <v>1</v>
      </c>
      <c r="J1254" s="15">
        <v>1</v>
      </c>
      <c r="K1254" s="12" t="str">
        <f>HYPERLINK("http://twitter.com/download/android","Twitter for Android")</f>
        <v>Twitter for Android</v>
      </c>
      <c r="L1254" s="16">
        <v>2022</v>
      </c>
      <c r="M1254" s="16">
        <v>2031</v>
      </c>
      <c r="N1254" s="16">
        <v>58</v>
      </c>
      <c r="O1254" s="17"/>
      <c r="P1254" s="18">
        <v>41004.289375</v>
      </c>
      <c r="Q1254" s="7" t="s">
        <v>9285</v>
      </c>
      <c r="R1254" s="7" t="s">
        <v>9286</v>
      </c>
      <c r="S1254" s="7"/>
      <c r="T1254" s="8"/>
      <c r="U1254" s="19" t="str">
        <f>HYPERLINK("https://pbs.twimg.com/profile_images/1152635086011084800/wop1Wucu.jpg","View")</f>
        <v>View</v>
      </c>
      <c r="V1254" s="8"/>
      <c r="W1254" s="8"/>
      <c r="X1254" s="8"/>
      <c r="Y1254" s="8"/>
      <c r="Z1254" s="8"/>
    </row>
    <row r="1255" spans="1:26" ht="12.75">
      <c r="A1255" s="11">
        <v>43747.28701388889</v>
      </c>
      <c r="B1255" s="12" t="str">
        <f>HYPERLINK("https://twitter.com/proftomshelby","@proftomshelby")</f>
        <v>@proftomshelby</v>
      </c>
      <c r="C1255" s="7" t="s">
        <v>9288</v>
      </c>
      <c r="D1255" s="7" t="s">
        <v>9289</v>
      </c>
      <c r="E1255" s="12" t="str">
        <f>HYPERLINK("https://twitter.com/proftomshelby/status/1181930639605547013","1181930639605547013")</f>
        <v>1181930639605547013</v>
      </c>
      <c r="F1255" s="8"/>
      <c r="G1255" s="15"/>
      <c r="H1255" s="8"/>
      <c r="I1255" s="15">
        <v>0</v>
      </c>
      <c r="J1255" s="15">
        <v>0</v>
      </c>
      <c r="K1255" s="12" t="str">
        <f>HYPERLINK("http://twitter.com/download/iphone","Twitter for iPhone")</f>
        <v>Twitter for iPhone</v>
      </c>
      <c r="L1255" s="16">
        <v>1</v>
      </c>
      <c r="M1255" s="16">
        <v>24</v>
      </c>
      <c r="N1255" s="16">
        <v>0</v>
      </c>
      <c r="O1255" s="17"/>
      <c r="P1255" s="18">
        <v>43746.216226851851</v>
      </c>
      <c r="Q1255" s="7"/>
      <c r="R1255" s="7" t="s">
        <v>9290</v>
      </c>
      <c r="S1255" s="7"/>
      <c r="T1255" s="8"/>
      <c r="U1255" s="19" t="str">
        <f>HYPERLINK("https://pbs.twimg.com/profile_images/1181544205967122432/D4kZT8xS.jpg","View")</f>
        <v>View</v>
      </c>
      <c r="V1255" s="8"/>
      <c r="W1255" s="8"/>
      <c r="X1255" s="8"/>
      <c r="Y1255" s="8"/>
      <c r="Z1255" s="8"/>
    </row>
    <row r="1256" spans="1:26" ht="12.75">
      <c r="A1256" s="11">
        <v>43747.286956018521</v>
      </c>
      <c r="B1256" s="12" t="str">
        <f>HYPERLINK("https://twitter.com/SuedaGokkus","@SuedaGokkus")</f>
        <v>@SuedaGokkus</v>
      </c>
      <c r="C1256" s="7" t="s">
        <v>9291</v>
      </c>
      <c r="D1256" s="7" t="s">
        <v>160</v>
      </c>
      <c r="E1256" s="12" t="str">
        <f>HYPERLINK("https://twitter.com/SuedaGokkus/status/1181930617530920960","1181930617530920960")</f>
        <v>1181930617530920960</v>
      </c>
      <c r="F1256" s="8"/>
      <c r="G1256" s="14" t="s">
        <v>9292</v>
      </c>
      <c r="H1256" s="8"/>
      <c r="I1256" s="15">
        <v>0</v>
      </c>
      <c r="J1256" s="15">
        <v>0</v>
      </c>
      <c r="K1256" s="12" t="str">
        <f>HYPERLINK("http://twitter.com/download/iphone","Twitter for iPhone")</f>
        <v>Twitter for iPhone</v>
      </c>
      <c r="L1256" s="16">
        <v>78</v>
      </c>
      <c r="M1256" s="16">
        <v>186</v>
      </c>
      <c r="N1256" s="16">
        <v>0</v>
      </c>
      <c r="O1256" s="17"/>
      <c r="P1256" s="18">
        <v>43561.363807870366</v>
      </c>
      <c r="Q1256" s="7" t="s">
        <v>252</v>
      </c>
      <c r="R1256" s="7"/>
      <c r="S1256" s="7"/>
      <c r="T1256" s="8"/>
      <c r="U1256" s="19" t="str">
        <f>HYPERLINK("https://pbs.twimg.com/profile_images/1157329673006850054/aZxpqhcA.jpg","View")</f>
        <v>View</v>
      </c>
      <c r="V1256" s="8"/>
      <c r="W1256" s="8"/>
      <c r="X1256" s="8"/>
      <c r="Y1256" s="8"/>
      <c r="Z1256" s="8"/>
    </row>
    <row r="1257" spans="1:26" ht="12.75">
      <c r="A1257" s="11">
        <v>43747.286944444444</v>
      </c>
      <c r="B1257" s="12" t="str">
        <f>HYPERLINK("https://twitter.com/mrgregshields","@mrgregshields")</f>
        <v>@mrgregshields</v>
      </c>
      <c r="C1257" s="7" t="s">
        <v>9295</v>
      </c>
      <c r="D1257" s="7" t="s">
        <v>9296</v>
      </c>
      <c r="E1257" s="12" t="str">
        <f>HYPERLINK("https://twitter.com/mrgregshields/status/1181930614834028544","1181930614834028544")</f>
        <v>1181930614834028544</v>
      </c>
      <c r="F1257" s="8" t="s">
        <v>9297</v>
      </c>
      <c r="G1257" s="7"/>
      <c r="H1257" s="8"/>
      <c r="I1257" s="15">
        <v>1</v>
      </c>
      <c r="J1257" s="15">
        <v>2</v>
      </c>
      <c r="K1257" s="12" t="str">
        <f>HYPERLINK("http://twitter.com/download/iphone","Twitter for iPhone")</f>
        <v>Twitter for iPhone</v>
      </c>
      <c r="L1257" s="16">
        <v>1467</v>
      </c>
      <c r="M1257" s="16">
        <v>1913</v>
      </c>
      <c r="N1257" s="16">
        <v>9</v>
      </c>
      <c r="O1257" s="17"/>
      <c r="P1257" s="18">
        <v>41503.772303240738</v>
      </c>
      <c r="Q1257" s="7" t="s">
        <v>9300</v>
      </c>
      <c r="R1257" s="7" t="s">
        <v>9301</v>
      </c>
      <c r="S1257" s="7"/>
      <c r="T1257" s="8"/>
      <c r="U1257" s="19" t="str">
        <f>HYPERLINK("https://pbs.twimg.com/profile_images/849143680438906880/38z9qVf8.jpg","View")</f>
        <v>View</v>
      </c>
      <c r="V1257" s="8"/>
      <c r="W1257" s="8"/>
      <c r="X1257" s="8"/>
      <c r="Y1257" s="8"/>
      <c r="Z1257" s="8"/>
    </row>
    <row r="1258" spans="1:26" ht="12.75">
      <c r="A1258" s="11">
        <v>43747.286932870367</v>
      </c>
      <c r="B1258" s="12" t="str">
        <f>HYPERLINK("https://twitter.com/can1hiphop","@can1hiphop")</f>
        <v>@can1hiphop</v>
      </c>
      <c r="C1258" s="7" t="s">
        <v>9302</v>
      </c>
      <c r="D1258" s="7" t="s">
        <v>9303</v>
      </c>
      <c r="E1258" s="12" t="str">
        <f>HYPERLINK("https://twitter.com/can1hiphop/status/1181930609146507266","1181930609146507266")</f>
        <v>1181930609146507266</v>
      </c>
      <c r="F1258" s="8"/>
      <c r="G1258" s="14" t="s">
        <v>9304</v>
      </c>
      <c r="H1258" s="8"/>
      <c r="I1258" s="15">
        <v>0</v>
      </c>
      <c r="J1258" s="15">
        <v>0</v>
      </c>
      <c r="K1258" s="12" t="str">
        <f>HYPERLINK("http://twitter.com/download/iphone","Twitter for iPhone")</f>
        <v>Twitter for iPhone</v>
      </c>
      <c r="L1258" s="16">
        <v>0</v>
      </c>
      <c r="M1258" s="16">
        <v>2</v>
      </c>
      <c r="N1258" s="16">
        <v>0</v>
      </c>
      <c r="O1258" s="17"/>
      <c r="P1258" s="18">
        <v>43743.600694444445</v>
      </c>
      <c r="Q1258" s="7"/>
      <c r="R1258" s="7" t="s">
        <v>9307</v>
      </c>
      <c r="S1258" s="7"/>
      <c r="T1258" s="8"/>
      <c r="U1258" s="19" t="str">
        <f>HYPERLINK("https://pbs.twimg.com/profile_images/1180595301414948864/yeTgPsKb.jpg","View")</f>
        <v>View</v>
      </c>
      <c r="V1258" s="8"/>
      <c r="W1258" s="8"/>
      <c r="X1258" s="8"/>
      <c r="Y1258" s="8"/>
      <c r="Z1258" s="8"/>
    </row>
    <row r="1259" spans="1:26" ht="12.75">
      <c r="A1259" s="11">
        <v>43747.286921296298</v>
      </c>
      <c r="B1259" s="12" t="str">
        <f>HYPERLINK("https://twitter.com/muhammetleon","@muhammetleon")</f>
        <v>@muhammetleon</v>
      </c>
      <c r="C1259" s="7" t="s">
        <v>9310</v>
      </c>
      <c r="D1259" s="7" t="s">
        <v>9311</v>
      </c>
      <c r="E1259" s="12" t="str">
        <f>HYPERLINK("https://twitter.com/muhammetleon/status/1181930605090611200","1181930605090611200")</f>
        <v>1181930605090611200</v>
      </c>
      <c r="F1259" s="15"/>
      <c r="G1259" s="14" t="s">
        <v>9312</v>
      </c>
      <c r="H1259" s="8"/>
      <c r="I1259" s="15">
        <v>0</v>
      </c>
      <c r="J1259" s="15">
        <v>0</v>
      </c>
      <c r="K1259" s="12" t="str">
        <f>HYPERLINK("http://twitter.com/download/android","Twitter for Android")</f>
        <v>Twitter for Android</v>
      </c>
      <c r="L1259" s="16">
        <v>200</v>
      </c>
      <c r="M1259" s="16">
        <v>225</v>
      </c>
      <c r="N1259" s="16">
        <v>0</v>
      </c>
      <c r="O1259" s="17"/>
      <c r="P1259" s="18">
        <v>43228.290300925924</v>
      </c>
      <c r="Q1259" s="7"/>
      <c r="R1259" s="7"/>
      <c r="S1259" s="15"/>
      <c r="T1259" s="8"/>
      <c r="U1259" s="19" t="str">
        <f>HYPERLINK("https://pbs.twimg.com/profile_images/1173443089672921088/Q1WzLSb-.jpg","View")</f>
        <v>View</v>
      </c>
      <c r="V1259" s="8"/>
      <c r="W1259" s="8"/>
      <c r="X1259" s="8"/>
      <c r="Y1259" s="8"/>
      <c r="Z1259" s="8"/>
    </row>
    <row r="1260" spans="1:26" ht="12.75">
      <c r="A1260" s="11">
        <v>43747.286909722221</v>
      </c>
      <c r="B1260" s="12" t="str">
        <f>HYPERLINK("https://twitter.com/umutguloglu","@umutguloglu")</f>
        <v>@umutguloglu</v>
      </c>
      <c r="C1260" s="7" t="s">
        <v>9313</v>
      </c>
      <c r="D1260" s="7" t="s">
        <v>9314</v>
      </c>
      <c r="E1260" s="12" t="str">
        <f>HYPERLINK("https://twitter.com/umutguloglu/status/1181930600929923074","1181930600929923074")</f>
        <v>1181930600929923074</v>
      </c>
      <c r="F1260" s="14" t="s">
        <v>9315</v>
      </c>
      <c r="G1260" s="15"/>
      <c r="H1260" s="8"/>
      <c r="I1260" s="15">
        <v>0</v>
      </c>
      <c r="J1260" s="15">
        <v>0</v>
      </c>
      <c r="K1260" s="12" t="str">
        <f>HYPERLINK("http://instagram.com","Instagram")</f>
        <v>Instagram</v>
      </c>
      <c r="L1260" s="16">
        <v>82</v>
      </c>
      <c r="M1260" s="16">
        <v>358</v>
      </c>
      <c r="N1260" s="16">
        <v>0</v>
      </c>
      <c r="O1260" s="17"/>
      <c r="P1260" s="18">
        <v>41364.566412037035</v>
      </c>
      <c r="Q1260" s="7" t="s">
        <v>9318</v>
      </c>
      <c r="R1260" s="7" t="s">
        <v>9319</v>
      </c>
      <c r="S1260" s="7"/>
      <c r="T1260" s="8"/>
      <c r="U1260" s="19" t="str">
        <f>HYPERLINK("https://pbs.twimg.com/profile_images/860402050538115072/ZLuikZmT.jpg","View")</f>
        <v>View</v>
      </c>
      <c r="V1260" s="8"/>
      <c r="W1260" s="8"/>
      <c r="X1260" s="8"/>
      <c r="Y1260" s="8"/>
      <c r="Z1260" s="8"/>
    </row>
    <row r="1261" spans="1:26" ht="12.75">
      <c r="A1261" s="11">
        <v>43747.286886574075</v>
      </c>
      <c r="B1261" s="12" t="str">
        <f>HYPERLINK("https://twitter.com/webdottv","@webdottv")</f>
        <v>@webdottv</v>
      </c>
      <c r="C1261" s="14" t="s">
        <v>9321</v>
      </c>
      <c r="D1261" s="7" t="s">
        <v>9322</v>
      </c>
      <c r="E1261" s="12" t="str">
        <f>HYPERLINK("https://twitter.com/webdottv/status/1181930593896013825","1181930593896013825")</f>
        <v>1181930593896013825</v>
      </c>
      <c r="F1261" s="8"/>
      <c r="G1261" s="14" t="s">
        <v>9323</v>
      </c>
      <c r="H1261" s="8"/>
      <c r="I1261" s="15">
        <v>0</v>
      </c>
      <c r="J1261" s="15">
        <v>0</v>
      </c>
      <c r="K1261" s="12" t="str">
        <f>HYPERLINK("https://mobile.twitter.com","Twitter Web App")</f>
        <v>Twitter Web App</v>
      </c>
      <c r="L1261" s="16">
        <v>8049</v>
      </c>
      <c r="M1261" s="16">
        <v>4</v>
      </c>
      <c r="N1261" s="16">
        <v>18</v>
      </c>
      <c r="O1261" s="17"/>
      <c r="P1261" s="18">
        <v>40312.318194444444</v>
      </c>
      <c r="Q1261" s="7"/>
      <c r="R1261" s="7"/>
      <c r="S1261" s="14" t="s">
        <v>9324</v>
      </c>
      <c r="T1261" s="8"/>
      <c r="U1261" s="19" t="str">
        <f>HYPERLINK("https://pbs.twimg.com/profile_images/466207497162727425/IJo_l7VF.jpeg","View")</f>
        <v>View</v>
      </c>
      <c r="V1261" s="8"/>
      <c r="W1261" s="8"/>
      <c r="X1261" s="8"/>
      <c r="Y1261" s="8"/>
      <c r="Z1261" s="8"/>
    </row>
    <row r="1262" spans="1:26" ht="12.75">
      <c r="A1262" s="11">
        <v>43747.286851851852</v>
      </c>
      <c r="B1262" s="12" t="str">
        <f>HYPERLINK("https://twitter.com/Kubilay_ykrk","@Kubilay_ykrk")</f>
        <v>@Kubilay_ykrk</v>
      </c>
      <c r="C1262" s="7" t="s">
        <v>9327</v>
      </c>
      <c r="D1262" s="7" t="s">
        <v>9328</v>
      </c>
      <c r="E1262" s="12" t="str">
        <f>HYPERLINK("https://twitter.com/Kubilay_ykrk/status/1181930580155523073","1181930580155523073")</f>
        <v>1181930580155523073</v>
      </c>
      <c r="F1262" s="14" t="s">
        <v>9329</v>
      </c>
      <c r="G1262" s="7"/>
      <c r="H1262" s="8"/>
      <c r="I1262" s="15">
        <v>0</v>
      </c>
      <c r="J1262" s="15">
        <v>0</v>
      </c>
      <c r="K1262" s="12" t="str">
        <f>HYPERLINK("http://twitter.com/download/android","Twitter for Android")</f>
        <v>Twitter for Android</v>
      </c>
      <c r="L1262" s="16">
        <v>61</v>
      </c>
      <c r="M1262" s="16">
        <v>147</v>
      </c>
      <c r="N1262" s="16">
        <v>1</v>
      </c>
      <c r="O1262" s="17"/>
      <c r="P1262" s="18">
        <v>42870.56659722222</v>
      </c>
      <c r="Q1262" s="7"/>
      <c r="R1262" s="7" t="s">
        <v>9332</v>
      </c>
      <c r="S1262" s="14" t="s">
        <v>9333</v>
      </c>
      <c r="T1262" s="8"/>
      <c r="U1262" s="19" t="str">
        <f>HYPERLINK("https://pbs.twimg.com/profile_images/1147290210105024518/PaO5rehU.jpg","View")</f>
        <v>View</v>
      </c>
      <c r="V1262" s="8"/>
      <c r="W1262" s="8"/>
      <c r="X1262" s="8"/>
      <c r="Y1262" s="8"/>
      <c r="Z1262" s="8"/>
    </row>
    <row r="1263" spans="1:26" ht="12.75">
      <c r="A1263" s="11">
        <v>43747.286840277782</v>
      </c>
      <c r="B1263" s="12" t="str">
        <f>HYPERLINK("https://twitter.com/niyaziyilmaz34","@niyaziyilmaz34")</f>
        <v>@niyaziyilmaz34</v>
      </c>
      <c r="C1263" s="7" t="s">
        <v>9334</v>
      </c>
      <c r="D1263" s="7" t="s">
        <v>9335</v>
      </c>
      <c r="E1263" s="12" t="str">
        <f>HYPERLINK("https://twitter.com/niyaziyilmaz34/status/1181930575235571712","1181930575235571712")</f>
        <v>1181930575235571712</v>
      </c>
      <c r="F1263" s="14" t="s">
        <v>2501</v>
      </c>
      <c r="G1263" s="14" t="s">
        <v>2502</v>
      </c>
      <c r="H1263" s="8"/>
      <c r="I1263" s="15">
        <v>0</v>
      </c>
      <c r="J1263" s="15">
        <v>0</v>
      </c>
      <c r="K1263" s="12" t="str">
        <f>HYPERLINK("http://twitter.com/download/iphone","Twitter for iPhone")</f>
        <v>Twitter for iPhone</v>
      </c>
      <c r="L1263" s="16">
        <v>177</v>
      </c>
      <c r="M1263" s="16">
        <v>681</v>
      </c>
      <c r="N1263" s="16">
        <v>1</v>
      </c>
      <c r="O1263" s="17"/>
      <c r="P1263" s="18">
        <v>40983.096817129626</v>
      </c>
      <c r="Q1263" s="7"/>
      <c r="R1263" s="7"/>
      <c r="S1263" s="7"/>
      <c r="T1263" s="8"/>
      <c r="U1263" s="19" t="str">
        <f>HYPERLINK("https://pbs.twimg.com/profile_images/1178206491754582017/Pj4Q-RSm.jpg","View")</f>
        <v>View</v>
      </c>
      <c r="V1263" s="8"/>
      <c r="W1263" s="8"/>
      <c r="X1263" s="8"/>
      <c r="Y1263" s="8"/>
      <c r="Z1263" s="8"/>
    </row>
    <row r="1264" spans="1:26" ht="12.75">
      <c r="A1264" s="11">
        <v>43747.286817129629</v>
      </c>
      <c r="B1264" s="12" t="str">
        <f>HYPERLINK("https://twitter.com/atavratcocuk","@atavratcocuk")</f>
        <v>@atavratcocuk</v>
      </c>
      <c r="C1264" s="7" t="s">
        <v>9338</v>
      </c>
      <c r="D1264" s="7" t="s">
        <v>9339</v>
      </c>
      <c r="E1264" s="12" t="str">
        <f>HYPERLINK("https://twitter.com/atavratcocuk/status/1181930568172343299","1181930568172343299")</f>
        <v>1181930568172343299</v>
      </c>
      <c r="F1264" s="8"/>
      <c r="G1264" s="7"/>
      <c r="H1264" s="8"/>
      <c r="I1264" s="15">
        <v>0</v>
      </c>
      <c r="J1264" s="15">
        <v>0</v>
      </c>
      <c r="K1264" s="12" t="str">
        <f>HYPERLINK("http://twitter.com/download/iphone","Twitter for iPhone")</f>
        <v>Twitter for iPhone</v>
      </c>
      <c r="L1264" s="16">
        <v>61</v>
      </c>
      <c r="M1264" s="16">
        <v>32</v>
      </c>
      <c r="N1264" s="16">
        <v>0</v>
      </c>
      <c r="O1264" s="17"/>
      <c r="P1264" s="18">
        <v>43083.695902777778</v>
      </c>
      <c r="Q1264" s="7" t="s">
        <v>313</v>
      </c>
      <c r="R1264" s="7" t="s">
        <v>9342</v>
      </c>
      <c r="S1264" s="7"/>
      <c r="T1264" s="8"/>
      <c r="U1264" s="19" t="str">
        <f>HYPERLINK("https://pbs.twimg.com/profile_images/1168513620747149314/IbCIx9bz.jpg","View")</f>
        <v>View</v>
      </c>
      <c r="V1264" s="8"/>
      <c r="W1264" s="8"/>
      <c r="X1264" s="8"/>
      <c r="Y1264" s="8"/>
      <c r="Z1264" s="8"/>
    </row>
    <row r="1265" spans="1:26" ht="12.75">
      <c r="A1265" s="11">
        <v>43747.286805555559</v>
      </c>
      <c r="B1265" s="12" t="str">
        <f>HYPERLINK("https://twitter.com/Hukuktalebesi1","@Hukuktalebesi1")</f>
        <v>@Hukuktalebesi1</v>
      </c>
      <c r="C1265" s="7" t="s">
        <v>9343</v>
      </c>
      <c r="D1265" s="7" t="s">
        <v>9344</v>
      </c>
      <c r="E1265" s="12" t="str">
        <f>HYPERLINK("https://twitter.com/Hukuktalebesi1/status/1181930565622259712","1181930565622259712")</f>
        <v>1181930565622259712</v>
      </c>
      <c r="F1265" s="8"/>
      <c r="G1265" s="14" t="s">
        <v>9345</v>
      </c>
      <c r="H1265" s="8"/>
      <c r="I1265" s="15">
        <v>1</v>
      </c>
      <c r="J1265" s="15">
        <v>2</v>
      </c>
      <c r="K1265" s="12" t="str">
        <f>HYPERLINK("http://twitter.com/download/android","Twitter for Android")</f>
        <v>Twitter for Android</v>
      </c>
      <c r="L1265" s="16">
        <v>27</v>
      </c>
      <c r="M1265" s="16">
        <v>558</v>
      </c>
      <c r="N1265" s="16">
        <v>0</v>
      </c>
      <c r="O1265" s="17"/>
      <c r="P1265" s="18">
        <v>43741.095925925925</v>
      </c>
      <c r="Q1265" s="7"/>
      <c r="R1265" s="7" t="s">
        <v>9346</v>
      </c>
      <c r="S1265" s="7"/>
      <c r="T1265" s="8"/>
      <c r="U1265" s="19" t="str">
        <f>HYPERLINK("https://pbs.twimg.com/profile_images/1180187378176204800/DeVPr9Pe.jpg","View")</f>
        <v>View</v>
      </c>
      <c r="V1265" s="8"/>
      <c r="W1265" s="8"/>
      <c r="X1265" s="8"/>
      <c r="Y1265" s="8"/>
      <c r="Z1265" s="8"/>
    </row>
    <row r="1266" spans="1:26" ht="12.75">
      <c r="A1266" s="11">
        <v>43747.286805555559</v>
      </c>
      <c r="B1266" s="12" t="str">
        <f>HYPERLINK("https://twitter.com/tulgan1903","@tulgan1903")</f>
        <v>@tulgan1903</v>
      </c>
      <c r="C1266" s="7" t="s">
        <v>9347</v>
      </c>
      <c r="D1266" s="7" t="s">
        <v>9348</v>
      </c>
      <c r="E1266" s="12" t="str">
        <f>HYPERLINK("https://twitter.com/tulgan1903/status/1181930564141686784","1181930564141686784")</f>
        <v>1181930564141686784</v>
      </c>
      <c r="F1266" s="8"/>
      <c r="G1266" s="14" t="s">
        <v>9351</v>
      </c>
      <c r="H1266" s="8"/>
      <c r="I1266" s="15">
        <v>2</v>
      </c>
      <c r="J1266" s="15">
        <v>2</v>
      </c>
      <c r="K1266" s="12" t="str">
        <f>HYPERLINK("http://twitter.com/download/android","Twitter for Android")</f>
        <v>Twitter for Android</v>
      </c>
      <c r="L1266" s="16">
        <v>4789</v>
      </c>
      <c r="M1266" s="16">
        <v>5156</v>
      </c>
      <c r="N1266" s="16">
        <v>9</v>
      </c>
      <c r="O1266" s="17"/>
      <c r="P1266" s="18">
        <v>40185.328969907408</v>
      </c>
      <c r="Q1266" s="7"/>
      <c r="R1266" s="7" t="s">
        <v>9353</v>
      </c>
      <c r="S1266" s="15"/>
      <c r="T1266" s="8"/>
      <c r="U1266" s="19" t="str">
        <f>HYPERLINK("https://pbs.twimg.com/profile_images/1433960529/15062010259.jpg","View")</f>
        <v>View</v>
      </c>
      <c r="V1266" s="8"/>
      <c r="W1266" s="8"/>
      <c r="X1266" s="8"/>
      <c r="Y1266" s="8"/>
      <c r="Z1266" s="8"/>
    </row>
    <row r="1267" spans="1:26" ht="12.75">
      <c r="A1267" s="11">
        <v>43747.286782407406</v>
      </c>
      <c r="B1267" s="12" t="str">
        <f>HYPERLINK("https://twitter.com/Hkansevinc1453","@Hkansevinc1453")</f>
        <v>@Hkansevinc1453</v>
      </c>
      <c r="C1267" s="7" t="s">
        <v>9356</v>
      </c>
      <c r="D1267" s="7" t="s">
        <v>9357</v>
      </c>
      <c r="E1267" s="12" t="str">
        <f>HYPERLINK("https://twitter.com/Hkansevinc1453/status/1181930556302544897","1181930556302544897")</f>
        <v>1181930556302544897</v>
      </c>
      <c r="F1267" s="8"/>
      <c r="G1267" s="15"/>
      <c r="H1267" s="8"/>
      <c r="I1267" s="15">
        <v>0</v>
      </c>
      <c r="J1267" s="15">
        <v>0</v>
      </c>
      <c r="K1267" s="12" t="str">
        <f>HYPERLINK("http://twitter.com/download/android","Twitter for Android")</f>
        <v>Twitter for Android</v>
      </c>
      <c r="L1267" s="16">
        <v>1003</v>
      </c>
      <c r="M1267" s="16">
        <v>1481</v>
      </c>
      <c r="N1267" s="16">
        <v>1</v>
      </c>
      <c r="O1267" s="17"/>
      <c r="P1267" s="18">
        <v>43440.544641203705</v>
      </c>
      <c r="Q1267" s="7" t="s">
        <v>313</v>
      </c>
      <c r="R1267" s="7" t="s">
        <v>9358</v>
      </c>
      <c r="S1267" s="7"/>
      <c r="T1267" s="8"/>
      <c r="U1267" s="19" t="str">
        <f>HYPERLINK("https://pbs.twimg.com/profile_images/1180541227210596352/9erlDj1F.jpg","View")</f>
        <v>View</v>
      </c>
      <c r="V1267" s="8"/>
      <c r="W1267" s="8"/>
      <c r="X1267" s="8"/>
      <c r="Y1267" s="8"/>
      <c r="Z1267" s="8"/>
    </row>
    <row r="1268" spans="1:26" ht="12.75">
      <c r="A1268" s="11">
        <v>43747.286782407406</v>
      </c>
      <c r="B1268" s="12" t="str">
        <f>HYPERLINK("https://twitter.com/causeiames","@causeiames")</f>
        <v>@causeiames</v>
      </c>
      <c r="C1268" s="7" t="s">
        <v>9359</v>
      </c>
      <c r="D1268" s="7" t="s">
        <v>9360</v>
      </c>
      <c r="E1268" s="12" t="str">
        <f>HYPERLINK("https://twitter.com/causeiames/status/1181930554939379715","1181930554939379715")</f>
        <v>1181930554939379715</v>
      </c>
      <c r="F1268" s="15"/>
      <c r="G1268" s="7"/>
      <c r="H1268" s="8"/>
      <c r="I1268" s="15">
        <v>0</v>
      </c>
      <c r="J1268" s="15">
        <v>0</v>
      </c>
      <c r="K1268" s="12" t="str">
        <f>HYPERLINK("http://twitter.com/download/iphone","Twitter for iPhone")</f>
        <v>Twitter for iPhone</v>
      </c>
      <c r="L1268" s="16">
        <v>185</v>
      </c>
      <c r="M1268" s="16">
        <v>603</v>
      </c>
      <c r="N1268" s="16">
        <v>0</v>
      </c>
      <c r="O1268" s="17"/>
      <c r="P1268" s="18">
        <v>43597.334178240737</v>
      </c>
      <c r="Q1268" s="7"/>
      <c r="R1268" s="7" t="s">
        <v>9361</v>
      </c>
      <c r="S1268" s="14" t="s">
        <v>9362</v>
      </c>
      <c r="T1268" s="8"/>
      <c r="U1268" s="19" t="str">
        <f>HYPERLINK("https://pbs.twimg.com/profile_images/1159918485503389697/h_h-c5dy.jpg","View")</f>
        <v>View</v>
      </c>
      <c r="V1268" s="8"/>
      <c r="W1268" s="8"/>
      <c r="X1268" s="8"/>
      <c r="Y1268" s="8"/>
      <c r="Z1268" s="8"/>
    </row>
    <row r="1269" spans="1:26" ht="12.75">
      <c r="A1269" s="11">
        <v>43747.286782407406</v>
      </c>
      <c r="B1269" s="12" t="str">
        <f>HYPERLINK("https://twitter.com/kutlubasbug","@kutlubasbug")</f>
        <v>@kutlubasbug</v>
      </c>
      <c r="C1269" s="7" t="s">
        <v>9365</v>
      </c>
      <c r="D1269" s="7" t="s">
        <v>9366</v>
      </c>
      <c r="E1269" s="12" t="str">
        <f>HYPERLINK("https://twitter.com/kutlubasbug/status/1181930554737987584","1181930554737987584")</f>
        <v>1181930554737987584</v>
      </c>
      <c r="F1269" s="8"/>
      <c r="G1269" s="7"/>
      <c r="H1269" s="8"/>
      <c r="I1269" s="15">
        <v>0</v>
      </c>
      <c r="J1269" s="15">
        <v>0</v>
      </c>
      <c r="K1269" s="12" t="str">
        <f>HYPERLINK("https://mobile.twitter.com","Twitter Web App")</f>
        <v>Twitter Web App</v>
      </c>
      <c r="L1269" s="16">
        <v>43</v>
      </c>
      <c r="M1269" s="16">
        <v>129</v>
      </c>
      <c r="N1269" s="16">
        <v>0</v>
      </c>
      <c r="O1269" s="17"/>
      <c r="P1269" s="18">
        <v>40694.309791666667</v>
      </c>
      <c r="Q1269" s="7" t="s">
        <v>576</v>
      </c>
      <c r="R1269" s="7" t="s">
        <v>9367</v>
      </c>
      <c r="S1269" s="7"/>
      <c r="T1269" s="8"/>
      <c r="U1269" s="19" t="str">
        <f>HYPERLINK("https://pbs.twimg.com/profile_images/890936438098980865/cCNIzqD8.jpg","View")</f>
        <v>View</v>
      </c>
      <c r="V1269" s="8"/>
      <c r="W1269" s="8"/>
      <c r="X1269" s="8"/>
      <c r="Y1269" s="8"/>
      <c r="Z1269" s="8"/>
    </row>
    <row r="1270" spans="1:26" ht="12.75">
      <c r="A1270" s="11">
        <v>43747.286770833336</v>
      </c>
      <c r="B1270" s="12" t="str">
        <f>HYPERLINK("https://twitter.com/Oyavuuz","@Oyavuuz")</f>
        <v>@Oyavuuz</v>
      </c>
      <c r="C1270" s="7" t="s">
        <v>9369</v>
      </c>
      <c r="D1270" s="7" t="s">
        <v>9371</v>
      </c>
      <c r="E1270" s="12" t="str">
        <f>HYPERLINK("https://twitter.com/Oyavuuz/status/1181930551365775366","1181930551365775366")</f>
        <v>1181930551365775366</v>
      </c>
      <c r="F1270" s="8"/>
      <c r="G1270" s="15"/>
      <c r="H1270" s="8"/>
      <c r="I1270" s="15">
        <v>0</v>
      </c>
      <c r="J1270" s="15">
        <v>0</v>
      </c>
      <c r="K1270" s="12" t="str">
        <f>HYPERLINK("http://twitter.com/download/android","Twitter for Android")</f>
        <v>Twitter for Android</v>
      </c>
      <c r="L1270" s="16">
        <v>2477</v>
      </c>
      <c r="M1270" s="16">
        <v>2070</v>
      </c>
      <c r="N1270" s="16">
        <v>7</v>
      </c>
      <c r="O1270" s="17"/>
      <c r="P1270" s="18">
        <v>40427.033993055556</v>
      </c>
      <c r="Q1270" s="7" t="s">
        <v>9372</v>
      </c>
      <c r="R1270" s="7" t="s">
        <v>9373</v>
      </c>
      <c r="S1270" s="14" t="s">
        <v>9374</v>
      </c>
      <c r="T1270" s="8"/>
      <c r="U1270" s="19" t="str">
        <f>HYPERLINK("https://pbs.twimg.com/profile_images/1162421998032695297/52JByNtL.jpg","View")</f>
        <v>View</v>
      </c>
      <c r="V1270" s="8"/>
      <c r="W1270" s="8"/>
      <c r="X1270" s="8"/>
      <c r="Y1270" s="8"/>
      <c r="Z1270" s="8"/>
    </row>
    <row r="1271" spans="1:26" ht="12.75">
      <c r="A1271" s="11">
        <v>43747.286747685182</v>
      </c>
      <c r="B1271" s="12" t="str">
        <f>HYPERLINK("https://twitter.com/ceydaerenler","@ceydaerenler")</f>
        <v>@ceydaerenler</v>
      </c>
      <c r="C1271" s="7" t="s">
        <v>9377</v>
      </c>
      <c r="D1271" s="7" t="s">
        <v>9378</v>
      </c>
      <c r="E1271" s="12" t="str">
        <f>HYPERLINK("https://twitter.com/ceydaerenler/status/1181930542972964864","1181930542972964864")</f>
        <v>1181930542972964864</v>
      </c>
      <c r="F1271" s="8"/>
      <c r="G1271" s="14" t="s">
        <v>9195</v>
      </c>
      <c r="H1271" s="8"/>
      <c r="I1271" s="15">
        <v>4</v>
      </c>
      <c r="J1271" s="15">
        <v>26</v>
      </c>
      <c r="K1271" s="12" t="str">
        <f>HYPERLINK("http://twitter.com/download/iphone","Twitter for iPhone")</f>
        <v>Twitter for iPhone</v>
      </c>
      <c r="L1271" s="16">
        <v>12544</v>
      </c>
      <c r="M1271" s="16">
        <v>487</v>
      </c>
      <c r="N1271" s="16">
        <v>21</v>
      </c>
      <c r="O1271" s="17" t="s">
        <v>984</v>
      </c>
      <c r="P1271" s="18">
        <v>41830.048715277779</v>
      </c>
      <c r="Q1271" s="7"/>
      <c r="R1271" s="7" t="s">
        <v>9381</v>
      </c>
      <c r="S1271" s="7"/>
      <c r="T1271" s="8"/>
      <c r="U1271" s="19" t="str">
        <f>HYPERLINK("https://pbs.twimg.com/profile_images/1150333181998051330/PM96o2Oj.jpg","View")</f>
        <v>View</v>
      </c>
      <c r="V1271" s="8"/>
      <c r="W1271" s="8"/>
      <c r="X1271" s="8"/>
      <c r="Y1271" s="8"/>
      <c r="Z1271" s="8"/>
    </row>
    <row r="1272" spans="1:26" ht="12.75">
      <c r="A1272" s="11">
        <v>43747.286689814813</v>
      </c>
      <c r="B1272" s="12" t="str">
        <f>HYPERLINK("https://twitter.com/osman_karsak","@osman_karsak")</f>
        <v>@osman_karsak</v>
      </c>
      <c r="C1272" s="7" t="s">
        <v>9384</v>
      </c>
      <c r="D1272" s="7" t="s">
        <v>9385</v>
      </c>
      <c r="E1272" s="12" t="str">
        <f>HYPERLINK("https://twitter.com/osman_karsak/status/1181930522399969281","1181930522399969281")</f>
        <v>1181930522399969281</v>
      </c>
      <c r="F1272" s="8"/>
      <c r="G1272" s="15"/>
      <c r="H1272" s="8"/>
      <c r="I1272" s="15">
        <v>0</v>
      </c>
      <c r="J1272" s="15">
        <v>1</v>
      </c>
      <c r="K1272" s="12" t="str">
        <f>HYPERLINK("http://twitter.com/download/iphone","Twitter for iPhone")</f>
        <v>Twitter for iPhone</v>
      </c>
      <c r="L1272" s="16">
        <v>145</v>
      </c>
      <c r="M1272" s="16">
        <v>449</v>
      </c>
      <c r="N1272" s="16">
        <v>0</v>
      </c>
      <c r="O1272" s="17"/>
      <c r="P1272" s="18">
        <v>42478.318067129629</v>
      </c>
      <c r="Q1272" s="7"/>
      <c r="R1272" s="7" t="s">
        <v>9386</v>
      </c>
      <c r="S1272" s="7"/>
      <c r="T1272" s="8"/>
      <c r="U1272" s="19" t="str">
        <f>HYPERLINK("https://pbs.twimg.com/profile_images/1169851198414868481/_igNsw-W.jpg","View")</f>
        <v>View</v>
      </c>
      <c r="V1272" s="8"/>
      <c r="W1272" s="8"/>
      <c r="X1272" s="8"/>
      <c r="Y1272" s="8"/>
      <c r="Z1272" s="8"/>
    </row>
    <row r="1273" spans="1:26" ht="12.75">
      <c r="A1273" s="11">
        <v>43747.286689814813</v>
      </c>
      <c r="B1273" s="12" t="str">
        <f>HYPERLINK("https://twitter.com/adolfolaborde71","@adolfolaborde71")</f>
        <v>@adolfolaborde71</v>
      </c>
      <c r="C1273" s="7" t="s">
        <v>9387</v>
      </c>
      <c r="D1273" s="7" t="s">
        <v>9388</v>
      </c>
      <c r="E1273" s="12" t="str">
        <f>HYPERLINK("https://twitter.com/adolfolaborde71/status/1181930522148327425","1181930522148327425")</f>
        <v>1181930522148327425</v>
      </c>
      <c r="F1273" s="8" t="s">
        <v>9389</v>
      </c>
      <c r="G1273" s="15"/>
      <c r="H1273" s="8"/>
      <c r="I1273" s="15">
        <v>0</v>
      </c>
      <c r="J1273" s="15">
        <v>1</v>
      </c>
      <c r="K1273" s="12" t="str">
        <f>HYPERLINK("http://twitter.com/download/iphone","Twitter for iPhone")</f>
        <v>Twitter for iPhone</v>
      </c>
      <c r="L1273" s="16">
        <v>1363</v>
      </c>
      <c r="M1273" s="16">
        <v>368</v>
      </c>
      <c r="N1273" s="16">
        <v>10</v>
      </c>
      <c r="O1273" s="17"/>
      <c r="P1273" s="18">
        <v>41606.616597222222</v>
      </c>
      <c r="Q1273" s="7" t="s">
        <v>9390</v>
      </c>
      <c r="R1273" s="7" t="s">
        <v>9391</v>
      </c>
      <c r="S1273" s="14" t="s">
        <v>9392</v>
      </c>
      <c r="T1273" s="8"/>
      <c r="U1273" s="19" t="str">
        <f>HYPERLINK("https://pbs.twimg.com/profile_images/1159932337649573888/S9JnM-1H.jpg","View")</f>
        <v>View</v>
      </c>
      <c r="V1273" s="8"/>
      <c r="W1273" s="8"/>
      <c r="X1273" s="8"/>
      <c r="Y1273" s="8"/>
      <c r="Z1273" s="8"/>
    </row>
    <row r="1274" spans="1:26" ht="12.75">
      <c r="A1274" s="11">
        <v>43747.286678240736</v>
      </c>
      <c r="B1274" s="12" t="str">
        <f>HYPERLINK("https://twitter.com/kimbusaltan","@kimbusaltan")</f>
        <v>@kimbusaltan</v>
      </c>
      <c r="C1274" s="7" t="s">
        <v>9395</v>
      </c>
      <c r="D1274" s="7" t="s">
        <v>9396</v>
      </c>
      <c r="E1274" s="12" t="str">
        <f>HYPERLINK("https://twitter.com/kimbusaltan/status/1181930517576523777","1181930517576523777")</f>
        <v>1181930517576523777</v>
      </c>
      <c r="F1274" s="8"/>
      <c r="G1274" s="14" t="s">
        <v>9397</v>
      </c>
      <c r="H1274" s="8"/>
      <c r="I1274" s="15">
        <v>0</v>
      </c>
      <c r="J1274" s="15">
        <v>0</v>
      </c>
      <c r="K1274" s="12" t="str">
        <f>HYPERLINK("http://twitter.com/download/android","Twitter for Android")</f>
        <v>Twitter for Android</v>
      </c>
      <c r="L1274" s="16">
        <v>90</v>
      </c>
      <c r="M1274" s="16">
        <v>128</v>
      </c>
      <c r="N1274" s="16">
        <v>0</v>
      </c>
      <c r="O1274" s="17"/>
      <c r="P1274" s="18">
        <v>41603.505833333329</v>
      </c>
      <c r="Q1274" s="7"/>
      <c r="R1274" s="7"/>
      <c r="S1274" s="7"/>
      <c r="T1274" s="8"/>
      <c r="U1274" s="19" t="str">
        <f>HYPERLINK("https://pbs.twimg.com/profile_images/1066076137066045441/F-nBsff_.jpg","View")</f>
        <v>View</v>
      </c>
      <c r="V1274" s="8"/>
      <c r="W1274" s="8"/>
      <c r="X1274" s="8"/>
      <c r="Y1274" s="8"/>
      <c r="Z1274" s="8"/>
    </row>
    <row r="1275" spans="1:26" ht="12.75">
      <c r="A1275" s="11">
        <v>43747.286666666667</v>
      </c>
      <c r="B1275" s="12" t="str">
        <f>HYPERLINK("https://twitter.com/HasretDelice","@HasretDelice")</f>
        <v>@HasretDelice</v>
      </c>
      <c r="C1275" s="7" t="s">
        <v>9401</v>
      </c>
      <c r="D1275" s="7" t="s">
        <v>9402</v>
      </c>
      <c r="E1275" s="12" t="str">
        <f>HYPERLINK("https://twitter.com/HasretDelice/status/1181930516293009410","1181930516293009410")</f>
        <v>1181930516293009410</v>
      </c>
      <c r="F1275" s="15"/>
      <c r="G1275" s="7"/>
      <c r="H1275" s="8"/>
      <c r="I1275" s="15">
        <v>0</v>
      </c>
      <c r="J1275" s="15">
        <v>0</v>
      </c>
      <c r="K1275" s="12" t="str">
        <f>HYPERLINK("https://mobile.twitter.com","Twitter Web App")</f>
        <v>Twitter Web App</v>
      </c>
      <c r="L1275" s="16">
        <v>3010</v>
      </c>
      <c r="M1275" s="16">
        <v>468</v>
      </c>
      <c r="N1275" s="16">
        <v>3</v>
      </c>
      <c r="O1275" s="17"/>
      <c r="P1275" s="18">
        <v>40208.589456018519</v>
      </c>
      <c r="Q1275" s="7" t="s">
        <v>9403</v>
      </c>
      <c r="R1275" s="7" t="s">
        <v>9404</v>
      </c>
      <c r="S1275" s="14" t="s">
        <v>9405</v>
      </c>
      <c r="T1275" s="8"/>
      <c r="U1275" s="19" t="str">
        <f>HYPERLINK("https://pbs.twimg.com/profile_images/1175905744094470145/K97heRMU.jpg","View")</f>
        <v>View</v>
      </c>
      <c r="V1275" s="8"/>
      <c r="W1275" s="8"/>
      <c r="X1275" s="8"/>
      <c r="Y1275" s="8"/>
      <c r="Z1275" s="8"/>
    </row>
    <row r="1276" spans="1:26" ht="12.75">
      <c r="A1276" s="11">
        <v>43747.286643518513</v>
      </c>
      <c r="B1276" s="12" t="str">
        <f>HYPERLINK("https://twitter.com/mustafakutuk38","@mustafakutuk38")</f>
        <v>@mustafakutuk38</v>
      </c>
      <c r="C1276" s="7" t="s">
        <v>9406</v>
      </c>
      <c r="D1276" s="7" t="s">
        <v>9407</v>
      </c>
      <c r="E1276" s="12" t="str">
        <f>HYPERLINK("https://twitter.com/mustafakutuk38/status/1181930504737697798","1181930504737697798")</f>
        <v>1181930504737697798</v>
      </c>
      <c r="F1276" s="8"/>
      <c r="G1276" s="15"/>
      <c r="H1276" s="8"/>
      <c r="I1276" s="15">
        <v>0</v>
      </c>
      <c r="J1276" s="15">
        <v>1</v>
      </c>
      <c r="K1276" s="12" t="str">
        <f>HYPERLINK("http://twitter.com/download/android","Twitter for Android")</f>
        <v>Twitter for Android</v>
      </c>
      <c r="L1276" s="16">
        <v>115</v>
      </c>
      <c r="M1276" s="16">
        <v>543</v>
      </c>
      <c r="N1276" s="16">
        <v>3</v>
      </c>
      <c r="O1276" s="17"/>
      <c r="P1276" s="18">
        <v>42952.488275462965</v>
      </c>
      <c r="Q1276" s="7" t="s">
        <v>1639</v>
      </c>
      <c r="R1276" s="7" t="s">
        <v>9408</v>
      </c>
      <c r="S1276" s="15"/>
      <c r="T1276" s="8"/>
      <c r="U1276" s="19" t="str">
        <f>HYPERLINK("https://pbs.twimg.com/profile_images/1068461542910382080/3ZNu-Lu3.jpg","View")</f>
        <v>View</v>
      </c>
      <c r="V1276" s="8"/>
      <c r="W1276" s="8"/>
      <c r="X1276" s="8"/>
      <c r="Y1276" s="8"/>
      <c r="Z1276" s="8"/>
    </row>
    <row r="1277" spans="1:26" ht="12.75">
      <c r="A1277" s="11">
        <v>43747.286631944444</v>
      </c>
      <c r="B1277" s="12" t="str">
        <f>HYPERLINK("https://twitter.com/MehmtTcir","@MehmtTcir")</f>
        <v>@MehmtTcir</v>
      </c>
      <c r="C1277" s="7" t="s">
        <v>9409</v>
      </c>
      <c r="D1277" s="7" t="s">
        <v>9410</v>
      </c>
      <c r="E1277" s="12" t="str">
        <f>HYPERLINK("https://twitter.com/MehmtTcir/status/1181930503231942658","1181930503231942658")</f>
        <v>1181930503231942658</v>
      </c>
      <c r="F1277" s="8"/>
      <c r="G1277" s="15"/>
      <c r="H1277" s="8"/>
      <c r="I1277" s="15">
        <v>0</v>
      </c>
      <c r="J1277" s="15">
        <v>1</v>
      </c>
      <c r="K1277" s="12" t="str">
        <f>HYPERLINK("http://twitter.com/download/android","Twitter for Android")</f>
        <v>Twitter for Android</v>
      </c>
      <c r="L1277" s="16">
        <v>21</v>
      </c>
      <c r="M1277" s="16">
        <v>55</v>
      </c>
      <c r="N1277" s="16">
        <v>0</v>
      </c>
      <c r="O1277" s="17"/>
      <c r="P1277" s="18">
        <v>43289.331099537041</v>
      </c>
      <c r="Q1277" s="7"/>
      <c r="R1277" s="7" t="s">
        <v>8835</v>
      </c>
      <c r="S1277" s="15"/>
      <c r="T1277" s="8"/>
      <c r="U1277" s="19" t="str">
        <f>HYPERLINK("https://pbs.twimg.com/profile_images/1181356747862269952/27S8BP2e.jpg","View")</f>
        <v>View</v>
      </c>
      <c r="V1277" s="8"/>
      <c r="W1277" s="8"/>
      <c r="X1277" s="8"/>
      <c r="Y1277" s="8"/>
      <c r="Z1277" s="8"/>
    </row>
    <row r="1278" spans="1:26" ht="12.75">
      <c r="A1278" s="11">
        <v>43747.286620370374</v>
      </c>
      <c r="B1278" s="12" t="str">
        <f>HYPERLINK("https://twitter.com/Elif_Nisa_Trc","@Elif_Nisa_Trc")</f>
        <v>@Elif_Nisa_Trc</v>
      </c>
      <c r="C1278" s="7" t="s">
        <v>9411</v>
      </c>
      <c r="D1278" s="7" t="s">
        <v>9412</v>
      </c>
      <c r="E1278" s="12" t="str">
        <f>HYPERLINK("https://twitter.com/Elif_Nisa_Trc/status/1181930497619976193","1181930497619976193")</f>
        <v>1181930497619976193</v>
      </c>
      <c r="F1278" s="8"/>
      <c r="G1278" s="14" t="s">
        <v>9413</v>
      </c>
      <c r="H1278" s="8"/>
      <c r="I1278" s="15">
        <v>0</v>
      </c>
      <c r="J1278" s="15">
        <v>1</v>
      </c>
      <c r="K1278" s="12" t="str">
        <f>HYPERLINK("http://twitter.com/download/iphone","Twitter for iPhone")</f>
        <v>Twitter for iPhone</v>
      </c>
      <c r="L1278" s="16">
        <v>975</v>
      </c>
      <c r="M1278" s="16">
        <v>1748</v>
      </c>
      <c r="N1278" s="16">
        <v>0</v>
      </c>
      <c r="O1278" s="17"/>
      <c r="P1278" s="18">
        <v>40906.408842592595</v>
      </c>
      <c r="Q1278" s="7" t="s">
        <v>313</v>
      </c>
      <c r="R1278" s="7" t="s">
        <v>9415</v>
      </c>
      <c r="S1278" s="14" t="s">
        <v>9416</v>
      </c>
      <c r="T1278" s="8"/>
      <c r="U1278" s="19" t="str">
        <f>HYPERLINK("https://pbs.twimg.com/profile_images/1166314094175096832/RfPpjBr3.jpg","View")</f>
        <v>View</v>
      </c>
      <c r="V1278" s="8"/>
      <c r="W1278" s="8"/>
      <c r="X1278" s="8"/>
      <c r="Y1278" s="8"/>
      <c r="Z1278" s="8"/>
    </row>
    <row r="1279" spans="1:26" ht="12.75">
      <c r="A1279" s="11">
        <v>43747.286597222221</v>
      </c>
      <c r="B1279" s="12" t="str">
        <f>HYPERLINK("https://twitter.com/Tomyris_1","@Tomyris_1")</f>
        <v>@Tomyris_1</v>
      </c>
      <c r="C1279" s="7" t="s">
        <v>9418</v>
      </c>
      <c r="D1279" s="7" t="s">
        <v>9419</v>
      </c>
      <c r="E1279" s="12" t="str">
        <f>HYPERLINK("https://twitter.com/Tomyris_1/status/1181930488652603392","1181930488652603392")</f>
        <v>1181930488652603392</v>
      </c>
      <c r="F1279" s="8"/>
      <c r="G1279" s="14" t="s">
        <v>9420</v>
      </c>
      <c r="H1279" s="8"/>
      <c r="I1279" s="15">
        <v>0</v>
      </c>
      <c r="J1279" s="15">
        <v>2</v>
      </c>
      <c r="K1279" s="12" t="str">
        <f>HYPERLINK("https://mobile.twitter.com","Twitter Web App")</f>
        <v>Twitter Web App</v>
      </c>
      <c r="L1279" s="16">
        <v>6743</v>
      </c>
      <c r="M1279" s="16">
        <v>5939</v>
      </c>
      <c r="N1279" s="16">
        <v>5</v>
      </c>
      <c r="O1279" s="17"/>
      <c r="P1279" s="18">
        <v>42458.146157407406</v>
      </c>
      <c r="Q1279" s="7" t="s">
        <v>9422</v>
      </c>
      <c r="R1279" s="7" t="s">
        <v>9423</v>
      </c>
      <c r="S1279" s="15"/>
      <c r="T1279" s="8"/>
      <c r="U1279" s="19" t="str">
        <f>HYPERLINK("https://pbs.twimg.com/profile_images/1084839295393898497/5KdiAGZH.jpg","View")</f>
        <v>View</v>
      </c>
      <c r="V1279" s="8"/>
      <c r="W1279" s="8"/>
      <c r="X1279" s="8"/>
      <c r="Y1279" s="8"/>
      <c r="Z1279" s="8"/>
    </row>
    <row r="1280" spans="1:26" ht="12.75">
      <c r="A1280" s="11">
        <v>43747.286585648151</v>
      </c>
      <c r="B1280" s="12" t="str">
        <f>HYPERLINK("https://twitter.com/TurkAlcin","@TurkAlcin")</f>
        <v>@TurkAlcin</v>
      </c>
      <c r="C1280" s="7" t="s">
        <v>9425</v>
      </c>
      <c r="D1280" s="7" t="s">
        <v>9426</v>
      </c>
      <c r="E1280" s="12" t="str">
        <f>HYPERLINK("https://twitter.com/TurkAlcin/status/1181930484177223680","1181930484177223680")</f>
        <v>1181930484177223680</v>
      </c>
      <c r="F1280" s="8"/>
      <c r="G1280" s="7"/>
      <c r="H1280" s="8"/>
      <c r="I1280" s="15">
        <v>1</v>
      </c>
      <c r="J1280" s="15">
        <v>5</v>
      </c>
      <c r="K1280" s="12" t="str">
        <f>HYPERLINK("http://twitter.com/download/iphone","Twitter for iPhone")</f>
        <v>Twitter for iPhone</v>
      </c>
      <c r="L1280" s="16">
        <v>271</v>
      </c>
      <c r="M1280" s="16">
        <v>265</v>
      </c>
      <c r="N1280" s="16">
        <v>0</v>
      </c>
      <c r="O1280" s="17"/>
      <c r="P1280" s="18">
        <v>43708.724178240736</v>
      </c>
      <c r="Q1280" s="7"/>
      <c r="R1280" s="7" t="s">
        <v>9427</v>
      </c>
      <c r="S1280" s="7"/>
      <c r="T1280" s="8"/>
      <c r="U1280" s="19" t="str">
        <f>HYPERLINK("https://pbs.twimg.com/profile_images/1168251246328856577/vYlWzaIr.jpg","View")</f>
        <v>View</v>
      </c>
      <c r="V1280" s="8"/>
      <c r="W1280" s="8"/>
      <c r="X1280" s="8"/>
      <c r="Y1280" s="8"/>
      <c r="Z1280" s="8"/>
    </row>
    <row r="1281" spans="1:26" ht="12.75">
      <c r="A1281" s="11">
        <v>43747.286539351851</v>
      </c>
      <c r="B1281" s="12" t="str">
        <f>HYPERLINK("https://twitter.com/MrcGktkn23","@MrcGktkn23")</f>
        <v>@MrcGktkn23</v>
      </c>
      <c r="C1281" s="7" t="s">
        <v>9428</v>
      </c>
      <c r="D1281" s="7" t="s">
        <v>9429</v>
      </c>
      <c r="E1281" s="12" t="str">
        <f>HYPERLINK("https://twitter.com/MrcGktkn23/status/1181930469459419136","1181930469459419136")</f>
        <v>1181930469459419136</v>
      </c>
      <c r="F1281" s="8"/>
      <c r="G1281" s="7"/>
      <c r="H1281" s="8"/>
      <c r="I1281" s="15">
        <v>0</v>
      </c>
      <c r="J1281" s="15">
        <v>4</v>
      </c>
      <c r="K1281" s="12" t="str">
        <f>HYPERLINK("http://twitter.com/download/iphone","Twitter for iPhone")</f>
        <v>Twitter for iPhone</v>
      </c>
      <c r="L1281" s="16">
        <v>45</v>
      </c>
      <c r="M1281" s="16">
        <v>118</v>
      </c>
      <c r="N1281" s="16">
        <v>0</v>
      </c>
      <c r="O1281" s="17"/>
      <c r="P1281" s="18">
        <v>42450.364386574074</v>
      </c>
      <c r="Q1281" s="7" t="s">
        <v>313</v>
      </c>
      <c r="R1281" s="7" t="s">
        <v>9430</v>
      </c>
      <c r="S1281" s="7"/>
      <c r="T1281" s="8"/>
      <c r="U1281" s="19" t="str">
        <f>HYPERLINK("https://pbs.twimg.com/profile_images/1152325271602831361/R1mVBTET.jpg","View")</f>
        <v>View</v>
      </c>
      <c r="V1281" s="8"/>
      <c r="W1281" s="8"/>
      <c r="X1281" s="8"/>
      <c r="Y1281" s="8"/>
      <c r="Z1281" s="8"/>
    </row>
    <row r="1282" spans="1:26" ht="12.75">
      <c r="A1282" s="11">
        <v>43747.286539351851</v>
      </c>
      <c r="B1282" s="12" t="str">
        <f>HYPERLINK("https://twitter.com/bogibozsogi","@bogibozsogi")</f>
        <v>@bogibozsogi</v>
      </c>
      <c r="C1282" s="7" t="s">
        <v>9431</v>
      </c>
      <c r="D1282" s="7" t="s">
        <v>9432</v>
      </c>
      <c r="E1282" s="12" t="str">
        <f>HYPERLINK("https://twitter.com/bogibozsogi/status/1181930468712861696","1181930468712861696")</f>
        <v>1181930468712861696</v>
      </c>
      <c r="F1282" s="14" t="s">
        <v>9433</v>
      </c>
      <c r="G1282" s="15"/>
      <c r="H1282" s="8"/>
      <c r="I1282" s="15">
        <v>0</v>
      </c>
      <c r="J1282" s="15">
        <v>0</v>
      </c>
      <c r="K1282" s="12" t="str">
        <f>HYPERLINK("http://twitter.com/download/iphone","Twitter for iPhone")</f>
        <v>Twitter for iPhone</v>
      </c>
      <c r="L1282" s="16">
        <v>98</v>
      </c>
      <c r="M1282" s="16">
        <v>553</v>
      </c>
      <c r="N1282" s="16">
        <v>2</v>
      </c>
      <c r="O1282" s="17"/>
      <c r="P1282" s="18">
        <v>41883.173738425925</v>
      </c>
      <c r="Q1282" s="7" t="s">
        <v>8642</v>
      </c>
      <c r="R1282" s="7" t="s">
        <v>9435</v>
      </c>
      <c r="S1282" s="7"/>
      <c r="T1282" s="8"/>
      <c r="U1282" s="19" t="str">
        <f>HYPERLINK("https://pbs.twimg.com/profile_images/1174410959546437632/p-HkodKC.jpg","View")</f>
        <v>View</v>
      </c>
      <c r="V1282" s="8"/>
      <c r="W1282" s="8"/>
      <c r="X1282" s="8"/>
      <c r="Y1282" s="8"/>
      <c r="Z1282" s="8"/>
    </row>
    <row r="1283" spans="1:26" ht="12.75">
      <c r="A1283" s="11">
        <v>43747.286527777775</v>
      </c>
      <c r="B1283" s="12" t="str">
        <f>HYPERLINK("https://twitter.com/bilgiistasyonu_","@bilgiistasyonu_")</f>
        <v>@bilgiistasyonu_</v>
      </c>
      <c r="C1283" s="7" t="s">
        <v>9438</v>
      </c>
      <c r="D1283" s="7" t="s">
        <v>9439</v>
      </c>
      <c r="E1283" s="12" t="str">
        <f>HYPERLINK("https://twitter.com/bilgiistasyonu_/status/1181930464753455106","1181930464753455106")</f>
        <v>1181930464753455106</v>
      </c>
      <c r="F1283" s="8"/>
      <c r="G1283" s="14" t="s">
        <v>9441</v>
      </c>
      <c r="H1283" s="8"/>
      <c r="I1283" s="15">
        <v>0</v>
      </c>
      <c r="J1283" s="15">
        <v>2</v>
      </c>
      <c r="K1283" s="12" t="str">
        <f>HYPERLINK("https://mobile.twitter.com","Twitter Web App")</f>
        <v>Twitter Web App</v>
      </c>
      <c r="L1283" s="16">
        <v>4370</v>
      </c>
      <c r="M1283" s="16">
        <v>2919</v>
      </c>
      <c r="N1283" s="16">
        <v>0</v>
      </c>
      <c r="O1283" s="17"/>
      <c r="P1283" s="18">
        <v>43310.369594907403</v>
      </c>
      <c r="Q1283" s="7" t="s">
        <v>200</v>
      </c>
      <c r="R1283" s="7" t="s">
        <v>9443</v>
      </c>
      <c r="S1283" s="14" t="s">
        <v>9444</v>
      </c>
      <c r="T1283" s="8"/>
      <c r="U1283" s="19" t="str">
        <f>HYPERLINK("https://pbs.twimg.com/profile_images/1025056475796983808/xlqfuYmF.jpg","View")</f>
        <v>View</v>
      </c>
      <c r="V1283" s="8"/>
      <c r="W1283" s="8"/>
      <c r="X1283" s="8"/>
      <c r="Y1283" s="8"/>
      <c r="Z1283" s="8"/>
    </row>
    <row r="1284" spans="1:26" ht="12.75">
      <c r="A1284" s="11">
        <v>43747.286516203705</v>
      </c>
      <c r="B1284" s="12" t="str">
        <f>HYPERLINK("https://twitter.com/burhanyagci","@burhanyagci")</f>
        <v>@burhanyagci</v>
      </c>
      <c r="C1284" s="7" t="s">
        <v>9447</v>
      </c>
      <c r="D1284" s="7" t="s">
        <v>9448</v>
      </c>
      <c r="E1284" s="12" t="str">
        <f>HYPERLINK("https://twitter.com/burhanyagci/status/1181930458541625344","1181930458541625344")</f>
        <v>1181930458541625344</v>
      </c>
      <c r="F1284" s="8"/>
      <c r="G1284" s="15"/>
      <c r="H1284" s="8"/>
      <c r="I1284" s="15">
        <v>0</v>
      </c>
      <c r="J1284" s="15">
        <v>0</v>
      </c>
      <c r="K1284" s="12" t="str">
        <f>HYPERLINK("http://twitter.com/download/android","Twitter for Android")</f>
        <v>Twitter for Android</v>
      </c>
      <c r="L1284" s="16">
        <v>27</v>
      </c>
      <c r="M1284" s="16">
        <v>114</v>
      </c>
      <c r="N1284" s="16">
        <v>0</v>
      </c>
      <c r="O1284" s="17"/>
      <c r="P1284" s="18">
        <v>40564.391793981486</v>
      </c>
      <c r="Q1284" s="7"/>
      <c r="R1284" s="7"/>
      <c r="S1284" s="7"/>
      <c r="T1284" s="8"/>
      <c r="U1284" s="19" t="str">
        <f>HYPERLINK("https://pbs.twimg.com/profile_images/936683785130782721/BCBHPbDm.jpg","View")</f>
        <v>View</v>
      </c>
      <c r="V1284" s="8"/>
      <c r="W1284" s="8"/>
      <c r="X1284" s="8"/>
      <c r="Y1284" s="8"/>
      <c r="Z1284" s="8"/>
    </row>
    <row r="1285" spans="1:26" ht="12.75">
      <c r="A1285" s="11">
        <v>43747.28634259259</v>
      </c>
      <c r="B1285" s="12" t="str">
        <f>HYPERLINK("https://twitter.com/rmzhkn63","@rmzhkn63")</f>
        <v>@rmzhkn63</v>
      </c>
      <c r="C1285" s="7" t="s">
        <v>9449</v>
      </c>
      <c r="D1285" s="7" t="s">
        <v>160</v>
      </c>
      <c r="E1285" s="12" t="str">
        <f>HYPERLINK("https://twitter.com/rmzhkn63/status/1181930397661356033","1181930397661356033")</f>
        <v>1181930397661356033</v>
      </c>
      <c r="F1285" s="8"/>
      <c r="G1285" s="7"/>
      <c r="H1285" s="8"/>
      <c r="I1285" s="15">
        <v>0</v>
      </c>
      <c r="J1285" s="15">
        <v>1</v>
      </c>
      <c r="K1285" s="12" t="str">
        <f>HYPERLINK("http://twitter.com/download/android","Twitter for Android")</f>
        <v>Twitter for Android</v>
      </c>
      <c r="L1285" s="16">
        <v>0</v>
      </c>
      <c r="M1285" s="16">
        <v>8</v>
      </c>
      <c r="N1285" s="16">
        <v>0</v>
      </c>
      <c r="O1285" s="17"/>
      <c r="P1285" s="18">
        <v>43010.15243055555</v>
      </c>
      <c r="Q1285" s="7"/>
      <c r="R1285" s="7"/>
      <c r="S1285" s="7"/>
      <c r="T1285" s="8"/>
      <c r="U1285" s="20" t="s">
        <v>354</v>
      </c>
      <c r="V1285" s="8"/>
      <c r="W1285" s="8"/>
      <c r="X1285" s="8"/>
      <c r="Y1285" s="8"/>
      <c r="Z1285" s="8"/>
    </row>
    <row r="1286" spans="1:26" ht="12.75">
      <c r="A1286" s="11">
        <v>43747.286273148144</v>
      </c>
      <c r="B1286" s="12" t="str">
        <f>HYPERLINK("https://twitter.com/yavuztoc","@yavuztoc")</f>
        <v>@yavuztoc</v>
      </c>
      <c r="C1286" s="7" t="s">
        <v>9451</v>
      </c>
      <c r="D1286" s="7" t="s">
        <v>9452</v>
      </c>
      <c r="E1286" s="12" t="str">
        <f>HYPERLINK("https://twitter.com/yavuztoc/status/1181930370591330311","1181930370591330311")</f>
        <v>1181930370591330311</v>
      </c>
      <c r="F1286" s="8"/>
      <c r="G1286" s="7"/>
      <c r="H1286" s="8"/>
      <c r="I1286" s="15">
        <v>0</v>
      </c>
      <c r="J1286" s="15">
        <v>1</v>
      </c>
      <c r="K1286" s="12" t="str">
        <f>HYPERLINK("http://twitter.com/download/iphone","Twitter for iPhone")</f>
        <v>Twitter for iPhone</v>
      </c>
      <c r="L1286" s="16">
        <v>246</v>
      </c>
      <c r="M1286" s="16">
        <v>387</v>
      </c>
      <c r="N1286" s="16">
        <v>0</v>
      </c>
      <c r="O1286" s="17"/>
      <c r="P1286" s="18">
        <v>40364.320196759261</v>
      </c>
      <c r="Q1286" s="7" t="s">
        <v>9455</v>
      </c>
      <c r="R1286" s="7"/>
      <c r="S1286" s="7"/>
      <c r="T1286" s="8"/>
      <c r="U1286" s="19" t="str">
        <f>HYPERLINK("https://pbs.twimg.com/profile_images/993931856390316032/Q5sP5Q5w.jpg","View")</f>
        <v>View</v>
      </c>
      <c r="V1286" s="8"/>
      <c r="W1286" s="8"/>
      <c r="X1286" s="8"/>
      <c r="Y1286" s="8"/>
      <c r="Z1286" s="8"/>
    </row>
    <row r="1287" spans="1:26" ht="12.75">
      <c r="A1287" s="11">
        <v>43747.286261574074</v>
      </c>
      <c r="B1287" s="12" t="str">
        <f>HYPERLINK("https://twitter.com/filtrekahveniz","@filtrekahveniz")</f>
        <v>@filtrekahveniz</v>
      </c>
      <c r="C1287" s="7" t="s">
        <v>9456</v>
      </c>
      <c r="D1287" s="7" t="s">
        <v>9457</v>
      </c>
      <c r="E1287" s="12" t="str">
        <f>HYPERLINK("https://twitter.com/filtrekahveniz/status/1181930368091471872","1181930368091471872")</f>
        <v>1181930368091471872</v>
      </c>
      <c r="F1287" s="8"/>
      <c r="G1287" s="14" t="s">
        <v>9458</v>
      </c>
      <c r="H1287" s="8"/>
      <c r="I1287" s="15">
        <v>0</v>
      </c>
      <c r="J1287" s="15">
        <v>0</v>
      </c>
      <c r="K1287" s="12" t="str">
        <f>HYPERLINK("http://twitter.com/download/android","Twitter for Android")</f>
        <v>Twitter for Android</v>
      </c>
      <c r="L1287" s="16">
        <v>97</v>
      </c>
      <c r="M1287" s="16">
        <v>92</v>
      </c>
      <c r="N1287" s="16">
        <v>0</v>
      </c>
      <c r="O1287" s="17"/>
      <c r="P1287" s="18">
        <v>43098.491018518514</v>
      </c>
      <c r="Q1287" s="7"/>
      <c r="R1287" s="7" t="s">
        <v>9461</v>
      </c>
      <c r="S1287" s="15"/>
      <c r="T1287" s="8"/>
      <c r="U1287" s="19" t="str">
        <f>HYPERLINK("https://pbs.twimg.com/profile_images/1172989234678063104/TI5-XQr-.jpg","View")</f>
        <v>View</v>
      </c>
      <c r="V1287" s="8"/>
      <c r="W1287" s="8"/>
      <c r="X1287" s="8"/>
      <c r="Y1287" s="8"/>
      <c r="Z1287" s="8"/>
    </row>
    <row r="1288" spans="1:26" ht="12.75">
      <c r="A1288" s="11">
        <v>43747.286250000005</v>
      </c>
      <c r="B1288" s="12" t="str">
        <f>HYPERLINK("https://twitter.com/pargaliersin","@pargaliersin")</f>
        <v>@pargaliersin</v>
      </c>
      <c r="C1288" s="7" t="s">
        <v>9462</v>
      </c>
      <c r="D1288" s="7" t="s">
        <v>9463</v>
      </c>
      <c r="E1288" s="12" t="str">
        <f>HYPERLINK("https://twitter.com/pargaliersin/status/1181930364421496833","1181930364421496833")</f>
        <v>1181930364421496833</v>
      </c>
      <c r="F1288" s="8"/>
      <c r="G1288" s="7"/>
      <c r="H1288" s="8"/>
      <c r="I1288" s="15">
        <v>0</v>
      </c>
      <c r="J1288" s="15">
        <v>9</v>
      </c>
      <c r="K1288" s="12" t="str">
        <f>HYPERLINK("http://twitter.com/download/iphone","Twitter for iPhone")</f>
        <v>Twitter for iPhone</v>
      </c>
      <c r="L1288" s="16">
        <v>5348</v>
      </c>
      <c r="M1288" s="16">
        <v>667</v>
      </c>
      <c r="N1288" s="16">
        <v>15</v>
      </c>
      <c r="O1288" s="17"/>
      <c r="P1288" s="18">
        <v>41232.500787037039</v>
      </c>
      <c r="Q1288" s="7"/>
      <c r="R1288" s="7"/>
      <c r="S1288" s="14" t="s">
        <v>9464</v>
      </c>
      <c r="T1288" s="8"/>
      <c r="U1288" s="19" t="str">
        <f>HYPERLINK("https://pbs.twimg.com/profile_images/1174812438472122374/2huqf7Lx.jpg","View")</f>
        <v>View</v>
      </c>
      <c r="V1288" s="8"/>
      <c r="W1288" s="8"/>
      <c r="X1288" s="8"/>
      <c r="Y1288" s="8"/>
      <c r="Z1288" s="8"/>
    </row>
    <row r="1289" spans="1:26" ht="12.75">
      <c r="A1289" s="11">
        <v>43747.286203703705</v>
      </c>
      <c r="B1289" s="12" t="str">
        <f>HYPERLINK("https://twitter.com/KemalKutlu_","@KemalKutlu_")</f>
        <v>@KemalKutlu_</v>
      </c>
      <c r="C1289" s="7" t="s">
        <v>9466</v>
      </c>
      <c r="D1289" s="7" t="s">
        <v>9467</v>
      </c>
      <c r="E1289" s="12" t="str">
        <f>HYPERLINK("https://twitter.com/KemalKutlu_/status/1181930348453781504","1181930348453781504")</f>
        <v>1181930348453781504</v>
      </c>
      <c r="F1289" s="15"/>
      <c r="G1289" s="15"/>
      <c r="H1289" s="8"/>
      <c r="I1289" s="15">
        <v>1</v>
      </c>
      <c r="J1289" s="15">
        <v>1</v>
      </c>
      <c r="K1289" s="12" t="str">
        <f>HYPERLINK("http://twitter.com/download/android","Twitter for Android")</f>
        <v>Twitter for Android</v>
      </c>
      <c r="L1289" s="16">
        <v>823</v>
      </c>
      <c r="M1289" s="16">
        <v>743</v>
      </c>
      <c r="N1289" s="16">
        <v>0</v>
      </c>
      <c r="O1289" s="17"/>
      <c r="P1289" s="18">
        <v>43128.79305555555</v>
      </c>
      <c r="Q1289" s="7" t="s">
        <v>313</v>
      </c>
      <c r="R1289" s="7" t="s">
        <v>9471</v>
      </c>
      <c r="S1289" s="7"/>
      <c r="T1289" s="8"/>
      <c r="U1289" s="19" t="str">
        <f>HYPERLINK("https://pbs.twimg.com/profile_images/1162889581060067328/tABz3XHG.jpg","View")</f>
        <v>View</v>
      </c>
      <c r="V1289" s="8"/>
      <c r="W1289" s="8"/>
      <c r="X1289" s="8"/>
      <c r="Y1289" s="8"/>
      <c r="Z1289" s="8"/>
    </row>
    <row r="1290" spans="1:26" ht="12.75">
      <c r="A1290" s="11">
        <v>43747.286203703705</v>
      </c>
      <c r="B1290" s="12" t="str">
        <f>HYPERLINK("https://twitter.com/ekremcelebi4","@ekremcelebi4")</f>
        <v>@ekremcelebi4</v>
      </c>
      <c r="C1290" s="7" t="s">
        <v>9472</v>
      </c>
      <c r="D1290" s="7" t="s">
        <v>9473</v>
      </c>
      <c r="E1290" s="12" t="str">
        <f>HYPERLINK("https://twitter.com/ekremcelebi4/status/1181930345714847745","1181930345714847745")</f>
        <v>1181930345714847745</v>
      </c>
      <c r="F1290" s="8"/>
      <c r="G1290" s="14" t="s">
        <v>9474</v>
      </c>
      <c r="H1290" s="8"/>
      <c r="I1290" s="15">
        <v>0</v>
      </c>
      <c r="J1290" s="15">
        <v>12</v>
      </c>
      <c r="K1290" s="12" t="str">
        <f>HYPERLINK("http://twitter.com/download/android","Twitter for Android")</f>
        <v>Twitter for Android</v>
      </c>
      <c r="L1290" s="16">
        <v>56885</v>
      </c>
      <c r="M1290" s="16">
        <v>1742</v>
      </c>
      <c r="N1290" s="16">
        <v>79</v>
      </c>
      <c r="O1290" s="17"/>
      <c r="P1290" s="18">
        <v>41025.059062500004</v>
      </c>
      <c r="Q1290" s="7" t="s">
        <v>9475</v>
      </c>
      <c r="R1290" s="7" t="s">
        <v>9476</v>
      </c>
      <c r="S1290" s="7"/>
      <c r="T1290" s="8"/>
      <c r="U1290" s="19" t="str">
        <f>HYPERLINK("https://pbs.twimg.com/profile_images/1150776312648388609/2KLs0F-5.jpg","View")</f>
        <v>View</v>
      </c>
      <c r="V1290" s="8"/>
      <c r="W1290" s="8"/>
      <c r="X1290" s="8"/>
      <c r="Y1290" s="8"/>
      <c r="Z1290" s="8"/>
    </row>
    <row r="1291" spans="1:26" ht="12.75">
      <c r="A1291" s="11">
        <v>43747.286192129628</v>
      </c>
      <c r="B1291" s="12" t="str">
        <f>HYPERLINK("https://twitter.com/TheBigApple13","@TheBigApple13")</f>
        <v>@TheBigApple13</v>
      </c>
      <c r="C1291" s="7" t="s">
        <v>9479</v>
      </c>
      <c r="D1291" s="7" t="s">
        <v>9480</v>
      </c>
      <c r="E1291" s="12" t="str">
        <f>HYPERLINK("https://twitter.com/TheBigApple13/status/1181930342032297984","1181930342032297984")</f>
        <v>1181930342032297984</v>
      </c>
      <c r="F1291" s="14" t="s">
        <v>9481</v>
      </c>
      <c r="G1291" s="7"/>
      <c r="H1291" s="8"/>
      <c r="I1291" s="15">
        <v>0</v>
      </c>
      <c r="J1291" s="15">
        <v>1</v>
      </c>
      <c r="K1291" s="12" t="str">
        <f>HYPERLINK("https://mobile.twitter.com","Twitter Web App")</f>
        <v>Twitter Web App</v>
      </c>
      <c r="L1291" s="16">
        <v>395</v>
      </c>
      <c r="M1291" s="16">
        <v>450</v>
      </c>
      <c r="N1291" s="16">
        <v>6</v>
      </c>
      <c r="O1291" s="17"/>
      <c r="P1291" s="18">
        <v>40181.126539351855</v>
      </c>
      <c r="Q1291" s="7" t="s">
        <v>9482</v>
      </c>
      <c r="R1291" s="7" t="s">
        <v>9483</v>
      </c>
      <c r="S1291" s="7"/>
      <c r="T1291" s="8"/>
      <c r="U1291" s="19" t="str">
        <f>HYPERLINK("https://pbs.twimg.com/profile_images/1181547202029731842/rLweZ-N0.jpg","View")</f>
        <v>View</v>
      </c>
      <c r="V1291" s="8"/>
      <c r="W1291" s="8"/>
      <c r="X1291" s="8"/>
      <c r="Y1291" s="8"/>
      <c r="Z1291" s="8"/>
    </row>
    <row r="1292" spans="1:26" ht="12.75">
      <c r="A1292" s="11">
        <v>43747.286145833335</v>
      </c>
      <c r="B1292" s="12" t="str">
        <f>HYPERLINK("https://twitter.com/cihat_mert","@cihat_mert")</f>
        <v>@cihat_mert</v>
      </c>
      <c r="C1292" s="7" t="s">
        <v>9484</v>
      </c>
      <c r="D1292" s="7" t="s">
        <v>9485</v>
      </c>
      <c r="E1292" s="12" t="str">
        <f>HYPERLINK("https://twitter.com/cihat_mert/status/1181930324680417280","1181930324680417280")</f>
        <v>1181930324680417280</v>
      </c>
      <c r="F1292" s="14" t="s">
        <v>9486</v>
      </c>
      <c r="G1292" s="14" t="s">
        <v>9488</v>
      </c>
      <c r="H1292" s="8"/>
      <c r="I1292" s="15">
        <v>0</v>
      </c>
      <c r="J1292" s="15">
        <v>0</v>
      </c>
      <c r="K1292" s="12" t="str">
        <f>HYPERLINK("http://twitter.com/download/iphone","Twitter for iPhone")</f>
        <v>Twitter for iPhone</v>
      </c>
      <c r="L1292" s="16">
        <v>239</v>
      </c>
      <c r="M1292" s="16">
        <v>81</v>
      </c>
      <c r="N1292" s="16">
        <v>0</v>
      </c>
      <c r="O1292" s="17"/>
      <c r="P1292" s="18">
        <v>40804.048402777778</v>
      </c>
      <c r="Q1292" s="7" t="s">
        <v>2050</v>
      </c>
      <c r="R1292" s="7" t="s">
        <v>9490</v>
      </c>
      <c r="S1292" s="7"/>
      <c r="T1292" s="8"/>
      <c r="U1292" s="19" t="str">
        <f>HYPERLINK("https://pbs.twimg.com/profile_images/1111907688328376320/LcZ5IVR6.jpg","View")</f>
        <v>View</v>
      </c>
      <c r="V1292" s="8"/>
      <c r="W1292" s="8"/>
      <c r="X1292" s="8"/>
      <c r="Y1292" s="8"/>
      <c r="Z1292" s="8"/>
    </row>
    <row r="1293" spans="1:26" ht="12.75">
      <c r="A1293" s="11">
        <v>43747.286087962959</v>
      </c>
      <c r="B1293" s="12" t="str">
        <f>HYPERLINK("https://twitter.com/sinan_ttk78","@sinan_ttk78")</f>
        <v>@sinan_ttk78</v>
      </c>
      <c r="C1293" s="7" t="s">
        <v>9493</v>
      </c>
      <c r="D1293" s="7" t="s">
        <v>9494</v>
      </c>
      <c r="E1293" s="12" t="str">
        <f>HYPERLINK("https://twitter.com/sinan_ttk78/status/1181930303868276736","1181930303868276736")</f>
        <v>1181930303868276736</v>
      </c>
      <c r="F1293" s="8"/>
      <c r="G1293" s="14" t="s">
        <v>9495</v>
      </c>
      <c r="H1293" s="8"/>
      <c r="I1293" s="15">
        <v>0</v>
      </c>
      <c r="J1293" s="15">
        <v>0</v>
      </c>
      <c r="K1293" s="12" t="str">
        <f>HYPERLINK("http://twitter.com/download/android","Twitter for Android")</f>
        <v>Twitter for Android</v>
      </c>
      <c r="L1293" s="16">
        <v>83</v>
      </c>
      <c r="M1293" s="16">
        <v>72</v>
      </c>
      <c r="N1293" s="16">
        <v>0</v>
      </c>
      <c r="O1293" s="17"/>
      <c r="P1293" s="18">
        <v>40912.037256944444</v>
      </c>
      <c r="Q1293" s="7"/>
      <c r="R1293" s="7" t="s">
        <v>9497</v>
      </c>
      <c r="S1293" s="7"/>
      <c r="T1293" s="8"/>
      <c r="U1293" s="19" t="str">
        <f>HYPERLINK("https://pbs.twimg.com/profile_images/1162123919471579136/l5uC7xm_.jpg","View")</f>
        <v>View</v>
      </c>
      <c r="V1293" s="8"/>
      <c r="W1293" s="8"/>
      <c r="X1293" s="8"/>
      <c r="Y1293" s="8"/>
      <c r="Z1293" s="8"/>
    </row>
    <row r="1294" spans="1:26" ht="12.75">
      <c r="A1294" s="11">
        <v>43747.28606481482</v>
      </c>
      <c r="B1294" s="12" t="str">
        <f>HYPERLINK("https://twitter.com/husmenaga001","@husmenaga001")</f>
        <v>@husmenaga001</v>
      </c>
      <c r="C1294" s="7" t="s">
        <v>9498</v>
      </c>
      <c r="D1294" s="7" t="s">
        <v>9499</v>
      </c>
      <c r="E1294" s="12" t="str">
        <f>HYPERLINK("https://twitter.com/husmenaga001/status/1181930296570191874","1181930296570191874")</f>
        <v>1181930296570191874</v>
      </c>
      <c r="F1294" s="8"/>
      <c r="G1294" s="14" t="s">
        <v>9500</v>
      </c>
      <c r="H1294" s="8"/>
      <c r="I1294" s="15">
        <v>1</v>
      </c>
      <c r="J1294" s="15">
        <v>4</v>
      </c>
      <c r="K1294" s="12" t="str">
        <f>HYPERLINK("http://twitter.com/download/android","Twitter for Android")</f>
        <v>Twitter for Android</v>
      </c>
      <c r="L1294" s="16">
        <v>141</v>
      </c>
      <c r="M1294" s="16">
        <v>191</v>
      </c>
      <c r="N1294" s="16">
        <v>0</v>
      </c>
      <c r="O1294" s="17"/>
      <c r="P1294" s="18">
        <v>43035.24386574074</v>
      </c>
      <c r="Q1294" s="7"/>
      <c r="R1294" s="7" t="s">
        <v>9501</v>
      </c>
      <c r="S1294" s="15"/>
      <c r="T1294" s="8"/>
      <c r="U1294" s="19" t="str">
        <f>HYPERLINK("https://pbs.twimg.com/profile_images/1055419478253678594/gZdxJ6VD.jpg","View")</f>
        <v>View</v>
      </c>
      <c r="V1294" s="8"/>
      <c r="W1294" s="8"/>
      <c r="X1294" s="8"/>
      <c r="Y1294" s="8"/>
      <c r="Z1294" s="8"/>
    </row>
    <row r="1295" spans="1:26" ht="12.75">
      <c r="A1295" s="11">
        <v>43747.286006944443</v>
      </c>
      <c r="B1295" s="12" t="str">
        <f>HYPERLINK("https://twitter.com/Kehhkesan_","@Kehhkesan_")</f>
        <v>@Kehhkesan_</v>
      </c>
      <c r="C1295" s="7" t="s">
        <v>9506</v>
      </c>
      <c r="D1295" s="7" t="s">
        <v>9507</v>
      </c>
      <c r="E1295" s="12" t="str">
        <f>HYPERLINK("https://twitter.com/Kehhkesan_/status/1181930274604683267","1181930274604683267")</f>
        <v>1181930274604683267</v>
      </c>
      <c r="F1295" s="8"/>
      <c r="G1295" s="7"/>
      <c r="H1295" s="8"/>
      <c r="I1295" s="15">
        <v>0</v>
      </c>
      <c r="J1295" s="15">
        <v>1</v>
      </c>
      <c r="K1295" s="12" t="str">
        <f>HYPERLINK("http://twitter.com/download/android","Twitter for Android")</f>
        <v>Twitter for Android</v>
      </c>
      <c r="L1295" s="16">
        <v>39</v>
      </c>
      <c r="M1295" s="16">
        <v>46</v>
      </c>
      <c r="N1295" s="16">
        <v>0</v>
      </c>
      <c r="O1295" s="17"/>
      <c r="P1295" s="18">
        <v>43272.282141203701</v>
      </c>
      <c r="Q1295" s="7"/>
      <c r="R1295" s="7" t="s">
        <v>9508</v>
      </c>
      <c r="S1295" s="15"/>
      <c r="T1295" s="8"/>
      <c r="U1295" s="19" t="str">
        <f>HYPERLINK("https://pbs.twimg.com/profile_images/1087843874138189824/JuW-RJ7U.jpg","View")</f>
        <v>View</v>
      </c>
      <c r="V1295" s="8"/>
      <c r="W1295" s="8"/>
      <c r="X1295" s="8"/>
      <c r="Y1295" s="8"/>
      <c r="Z1295" s="8"/>
    </row>
    <row r="1296" spans="1:26" ht="12.75">
      <c r="A1296" s="11">
        <v>43747.285995370374</v>
      </c>
      <c r="B1296" s="12" t="str">
        <f>HYPERLINK("https://twitter.com/turkforceturkey","@turkforceturkey")</f>
        <v>@turkforceturkey</v>
      </c>
      <c r="C1296" s="7" t="s">
        <v>9509</v>
      </c>
      <c r="D1296" s="7" t="s">
        <v>9510</v>
      </c>
      <c r="E1296" s="12" t="str">
        <f>HYPERLINK("https://twitter.com/turkforceturkey/status/1181930271488258050","1181930271488258050")</f>
        <v>1181930271488258050</v>
      </c>
      <c r="F1296" s="8"/>
      <c r="G1296" s="14" t="s">
        <v>9511</v>
      </c>
      <c r="H1296" s="8"/>
      <c r="I1296" s="15">
        <v>0</v>
      </c>
      <c r="J1296" s="15">
        <v>0</v>
      </c>
      <c r="K1296" s="12" t="str">
        <f>HYPERLINK("http://twitter.com/download/iphone","Twitter for iPhone")</f>
        <v>Twitter for iPhone</v>
      </c>
      <c r="L1296" s="16">
        <v>15</v>
      </c>
      <c r="M1296" s="16">
        <v>24</v>
      </c>
      <c r="N1296" s="16">
        <v>0</v>
      </c>
      <c r="O1296" s="17"/>
      <c r="P1296" s="18">
        <v>43530.387395833328</v>
      </c>
      <c r="Q1296" s="7" t="s">
        <v>313</v>
      </c>
      <c r="R1296" s="7" t="s">
        <v>9512</v>
      </c>
      <c r="S1296" s="7"/>
      <c r="T1296" s="8"/>
      <c r="U1296" s="19" t="str">
        <f>HYPERLINK("https://pbs.twimg.com/profile_images/1132366026866405378/fs-J0G0i.jpg","View")</f>
        <v>View</v>
      </c>
      <c r="V1296" s="8"/>
      <c r="W1296" s="8"/>
      <c r="X1296" s="8"/>
      <c r="Y1296" s="8"/>
      <c r="Z1296" s="8"/>
    </row>
    <row r="1297" spans="1:26" ht="12.75">
      <c r="A1297" s="11">
        <v>43747.285960648151</v>
      </c>
      <c r="B1297" s="12" t="str">
        <f>HYPERLINK("https://twitter.com/PatrikAskPM","@PatrikAskPM")</f>
        <v>@PatrikAskPM</v>
      </c>
      <c r="C1297" s="7" t="s">
        <v>9513</v>
      </c>
      <c r="D1297" s="7" t="s">
        <v>9514</v>
      </c>
      <c r="E1297" s="12" t="str">
        <f>HYPERLINK("https://twitter.com/PatrikAskPM/status/1181930258582441984","1181930258582441984")</f>
        <v>1181930258582441984</v>
      </c>
      <c r="F1297" s="8"/>
      <c r="G1297" s="7"/>
      <c r="H1297" s="8"/>
      <c r="I1297" s="15">
        <v>0</v>
      </c>
      <c r="J1297" s="15">
        <v>0</v>
      </c>
      <c r="K1297" s="12" t="str">
        <f>HYPERLINK("http://twitter.com/download/iphone","Twitter for iPhone")</f>
        <v>Twitter for iPhone</v>
      </c>
      <c r="L1297" s="16">
        <v>2664</v>
      </c>
      <c r="M1297" s="16">
        <v>3326</v>
      </c>
      <c r="N1297" s="16">
        <v>57</v>
      </c>
      <c r="O1297" s="17"/>
      <c r="P1297" s="18">
        <v>41375.052731481483</v>
      </c>
      <c r="Q1297" s="7"/>
      <c r="R1297" s="7" t="s">
        <v>9515</v>
      </c>
      <c r="S1297" s="14" t="s">
        <v>9516</v>
      </c>
      <c r="T1297" s="8"/>
      <c r="U1297" s="19" t="str">
        <f>HYPERLINK("https://pbs.twimg.com/profile_images/994281926054875141/R6oW_zmW.jpg","View")</f>
        <v>View</v>
      </c>
      <c r="V1297" s="8"/>
      <c r="W1297" s="8"/>
      <c r="X1297" s="8"/>
      <c r="Y1297" s="8"/>
      <c r="Z1297" s="8"/>
    </row>
    <row r="1298" spans="1:26" ht="12.75">
      <c r="A1298" s="11">
        <v>43747.285960648151</v>
      </c>
      <c r="B1298" s="12" t="str">
        <f>HYPERLINK("https://twitter.com/pip_fx","@pip_fx")</f>
        <v>@pip_fx</v>
      </c>
      <c r="C1298" s="7" t="s">
        <v>9517</v>
      </c>
      <c r="D1298" s="7" t="s">
        <v>9518</v>
      </c>
      <c r="E1298" s="12" t="str">
        <f>HYPERLINK("https://twitter.com/pip_fx/status/1181930258544676864","1181930258544676864")</f>
        <v>1181930258544676864</v>
      </c>
      <c r="F1298" s="8"/>
      <c r="G1298" s="14" t="s">
        <v>9519</v>
      </c>
      <c r="H1298" s="8"/>
      <c r="I1298" s="15">
        <v>0</v>
      </c>
      <c r="J1298" s="15">
        <v>0</v>
      </c>
      <c r="K1298" s="12" t="str">
        <f>HYPERLINK("https://www.hootsuite.com","Hootsuite Inc.")</f>
        <v>Hootsuite Inc.</v>
      </c>
      <c r="L1298" s="16">
        <v>34</v>
      </c>
      <c r="M1298" s="16">
        <v>3</v>
      </c>
      <c r="N1298" s="16">
        <v>0</v>
      </c>
      <c r="O1298" s="17"/>
      <c r="P1298" s="18">
        <v>43554.514212962968</v>
      </c>
      <c r="Q1298" s="7"/>
      <c r="R1298" s="7" t="s">
        <v>9520</v>
      </c>
      <c r="S1298" s="7"/>
      <c r="T1298" s="8"/>
      <c r="U1298" s="19" t="str">
        <f>HYPERLINK("https://pbs.twimg.com/profile_images/1112093496863805441/llRVdFnz.jpg","View")</f>
        <v>View</v>
      </c>
      <c r="V1298" s="8"/>
      <c r="W1298" s="8"/>
      <c r="X1298" s="8"/>
      <c r="Y1298" s="8"/>
      <c r="Z1298" s="8"/>
    </row>
    <row r="1299" spans="1:26" ht="12.75">
      <c r="A1299" s="11">
        <v>43747.285914351851</v>
      </c>
      <c r="B1299" s="12" t="str">
        <f>HYPERLINK("https://twitter.com/MehmetKaratas95","@MehmetKaratas95")</f>
        <v>@MehmetKaratas95</v>
      </c>
      <c r="C1299" s="7" t="s">
        <v>9527</v>
      </c>
      <c r="D1299" s="7" t="s">
        <v>9528</v>
      </c>
      <c r="E1299" s="12" t="str">
        <f>HYPERLINK("https://twitter.com/MehmetKaratas95/status/1181930240672768001","1181930240672768001")</f>
        <v>1181930240672768001</v>
      </c>
      <c r="F1299" s="8"/>
      <c r="G1299" s="7"/>
      <c r="H1299" s="8"/>
      <c r="I1299" s="15">
        <v>0</v>
      </c>
      <c r="J1299" s="15">
        <v>3</v>
      </c>
      <c r="K1299" s="12" t="str">
        <f>HYPERLINK("http://twitter.com/download/android","Twitter for Android")</f>
        <v>Twitter for Android</v>
      </c>
      <c r="L1299" s="16">
        <v>108</v>
      </c>
      <c r="M1299" s="16">
        <v>180</v>
      </c>
      <c r="N1299" s="16">
        <v>0</v>
      </c>
      <c r="O1299" s="17"/>
      <c r="P1299" s="18">
        <v>43429.421979166669</v>
      </c>
      <c r="Q1299" s="7" t="s">
        <v>9532</v>
      </c>
      <c r="R1299" s="7" t="s">
        <v>9533</v>
      </c>
      <c r="S1299" s="14" t="s">
        <v>9534</v>
      </c>
      <c r="T1299" s="8"/>
      <c r="U1299" s="19" t="str">
        <f>HYPERLINK("https://pbs.twimg.com/profile_images/1172087555644428288/RC7anG0M.jpg","View")</f>
        <v>View</v>
      </c>
      <c r="V1299" s="8"/>
      <c r="W1299" s="8"/>
      <c r="X1299" s="8"/>
      <c r="Y1299" s="8"/>
      <c r="Z1299" s="8"/>
    </row>
    <row r="1300" spans="1:26" ht="12.75">
      <c r="A1300" s="11">
        <v>43747.285868055551</v>
      </c>
      <c r="B1300" s="12" t="str">
        <f>HYPERLINK("https://twitter.com/Grkan65187291","@Grkan65187291")</f>
        <v>@Grkan65187291</v>
      </c>
      <c r="C1300" s="7" t="s">
        <v>9535</v>
      </c>
      <c r="D1300" s="7" t="s">
        <v>9536</v>
      </c>
      <c r="E1300" s="12" t="str">
        <f>HYPERLINK("https://twitter.com/Grkan65187291/status/1181930225367736321","1181930225367736321")</f>
        <v>1181930225367736321</v>
      </c>
      <c r="F1300" s="8"/>
      <c r="G1300" s="14" t="s">
        <v>9537</v>
      </c>
      <c r="H1300" s="8"/>
      <c r="I1300" s="15">
        <v>0</v>
      </c>
      <c r="J1300" s="15">
        <v>1</v>
      </c>
      <c r="K1300" s="12" t="str">
        <f>HYPERLINK("http://twitter.com/download/iphone","Twitter for iPhone")</f>
        <v>Twitter for iPhone</v>
      </c>
      <c r="L1300" s="16">
        <v>0</v>
      </c>
      <c r="M1300" s="16">
        <v>0</v>
      </c>
      <c r="N1300" s="16">
        <v>0</v>
      </c>
      <c r="O1300" s="17"/>
      <c r="P1300" s="18">
        <v>43745.983946759261</v>
      </c>
      <c r="Q1300" s="7"/>
      <c r="R1300" s="7"/>
      <c r="S1300" s="7"/>
      <c r="T1300" s="8"/>
      <c r="U1300" s="20" t="s">
        <v>354</v>
      </c>
      <c r="V1300" s="8"/>
      <c r="W1300" s="8"/>
      <c r="X1300" s="8"/>
      <c r="Y1300" s="8"/>
      <c r="Z1300" s="8"/>
    </row>
    <row r="1301" spans="1:26" ht="12.75">
      <c r="A1301" s="11">
        <v>43747.285856481481</v>
      </c>
      <c r="B1301" s="12" t="str">
        <f>HYPERLINK("https://twitter.com/tatarkursad","@tatarkursad")</f>
        <v>@tatarkursad</v>
      </c>
      <c r="C1301" s="7" t="s">
        <v>9541</v>
      </c>
      <c r="D1301" s="13" t="s">
        <v>9542</v>
      </c>
      <c r="E1301" s="12" t="str">
        <f>HYPERLINK("https://twitter.com/tatarkursad/status/1181930222364581893","1181930222364581893")</f>
        <v>1181930222364581893</v>
      </c>
      <c r="F1301" s="8"/>
      <c r="G1301" s="14" t="s">
        <v>9543</v>
      </c>
      <c r="H1301" s="8"/>
      <c r="I1301" s="15">
        <v>0</v>
      </c>
      <c r="J1301" s="15">
        <v>1</v>
      </c>
      <c r="K1301" s="12" t="str">
        <f>HYPERLINK("https://mobile.twitter.com","Twitter Web App")</f>
        <v>Twitter Web App</v>
      </c>
      <c r="L1301" s="16">
        <v>56</v>
      </c>
      <c r="M1301" s="16">
        <v>265</v>
      </c>
      <c r="N1301" s="16">
        <v>0</v>
      </c>
      <c r="O1301" s="17"/>
      <c r="P1301" s="18">
        <v>40990.594375000001</v>
      </c>
      <c r="Q1301" s="7"/>
      <c r="R1301" s="13" t="s">
        <v>9544</v>
      </c>
      <c r="S1301" s="15"/>
      <c r="T1301" s="8"/>
      <c r="U1301" s="19" t="str">
        <f>HYPERLINK("https://pbs.twimg.com/profile_images/958072149868253185/2qPZnDIH.jpg","View")</f>
        <v>View</v>
      </c>
      <c r="V1301" s="8"/>
      <c r="W1301" s="8"/>
      <c r="X1301" s="8"/>
      <c r="Y1301" s="8"/>
      <c r="Z1301" s="8"/>
    </row>
    <row r="1302" spans="1:26" ht="12.75">
      <c r="A1302" s="11">
        <v>43747.285856481481</v>
      </c>
      <c r="B1302" s="12" t="str">
        <f>HYPERLINK("https://twitter.com/MuradiAtam","@MuradiAtam")</f>
        <v>@MuradiAtam</v>
      </c>
      <c r="C1302" s="7" t="s">
        <v>9546</v>
      </c>
      <c r="D1302" s="7" t="s">
        <v>9548</v>
      </c>
      <c r="E1302" s="12" t="str">
        <f>HYPERLINK("https://twitter.com/MuradiAtam/status/1181930220661743616","1181930220661743616")</f>
        <v>1181930220661743616</v>
      </c>
      <c r="F1302" s="8"/>
      <c r="G1302" s="14" t="s">
        <v>9549</v>
      </c>
      <c r="H1302" s="8"/>
      <c r="I1302" s="15">
        <v>0</v>
      </c>
      <c r="J1302" s="15">
        <v>0</v>
      </c>
      <c r="K1302" s="12" t="str">
        <f>HYPERLINK("http://twitter.com/download/iphone","Twitter for iPhone")</f>
        <v>Twitter for iPhone</v>
      </c>
      <c r="L1302" s="16">
        <v>82</v>
      </c>
      <c r="M1302" s="16">
        <v>162</v>
      </c>
      <c r="N1302" s="16">
        <v>0</v>
      </c>
      <c r="O1302" s="17"/>
      <c r="P1302" s="18">
        <v>41015.155104166668</v>
      </c>
      <c r="Q1302" s="7"/>
      <c r="R1302" s="7" t="s">
        <v>9550</v>
      </c>
      <c r="S1302" s="15"/>
      <c r="T1302" s="8"/>
      <c r="U1302" s="19" t="str">
        <f>HYPERLINK("https://pbs.twimg.com/profile_images/1043231358489948160/HNCjIHCH.jpg","View")</f>
        <v>View</v>
      </c>
      <c r="V1302" s="8"/>
      <c r="W1302" s="8"/>
      <c r="X1302" s="8"/>
      <c r="Y1302" s="8"/>
      <c r="Z1302" s="8"/>
    </row>
    <row r="1303" spans="1:26" ht="12.75">
      <c r="A1303" s="11">
        <v>43747.285787037035</v>
      </c>
      <c r="B1303" s="12" t="str">
        <f>HYPERLINK("https://twitter.com/TGBDenizli","@TGBDenizli")</f>
        <v>@TGBDenizli</v>
      </c>
      <c r="C1303" s="7" t="s">
        <v>9556</v>
      </c>
      <c r="D1303" s="7" t="s">
        <v>5361</v>
      </c>
      <c r="E1303" s="12" t="str">
        <f>HYPERLINK("https://twitter.com/TGBDenizli/status/1181930195693031424","1181930195693031424")</f>
        <v>1181930195693031424</v>
      </c>
      <c r="F1303" s="8"/>
      <c r="G1303" s="14" t="s">
        <v>9557</v>
      </c>
      <c r="H1303" s="8"/>
      <c r="I1303" s="15">
        <v>2</v>
      </c>
      <c r="J1303" s="15">
        <v>2</v>
      </c>
      <c r="K1303" s="12" t="str">
        <f>HYPERLINK("http://twitter.com/download/android","Twitter for Android")</f>
        <v>Twitter for Android</v>
      </c>
      <c r="L1303" s="16">
        <v>1052</v>
      </c>
      <c r="M1303" s="16">
        <v>30</v>
      </c>
      <c r="N1303" s="16">
        <v>2</v>
      </c>
      <c r="O1303" s="17"/>
      <c r="P1303" s="18">
        <v>41198.411030092597</v>
      </c>
      <c r="Q1303" s="7"/>
      <c r="R1303" s="7" t="s">
        <v>9558</v>
      </c>
      <c r="S1303" s="14" t="s">
        <v>9559</v>
      </c>
      <c r="T1303" s="8"/>
      <c r="U1303" s="19" t="str">
        <f>HYPERLINK("https://pbs.twimg.com/profile_images/841641198657912832/sbkG2taX.jpg","View")</f>
        <v>View</v>
      </c>
      <c r="V1303" s="8"/>
      <c r="W1303" s="8"/>
      <c r="X1303" s="8"/>
      <c r="Y1303" s="8"/>
      <c r="Z1303" s="8"/>
    </row>
    <row r="1304" spans="1:26" ht="12.75">
      <c r="A1304" s="11">
        <v>43747.285752314812</v>
      </c>
      <c r="B1304" s="12" t="str">
        <f>HYPERLINK("https://twitter.com/MKY35","@MKY35")</f>
        <v>@MKY35</v>
      </c>
      <c r="C1304" s="7" t="s">
        <v>9560</v>
      </c>
      <c r="D1304" s="7" t="s">
        <v>9561</v>
      </c>
      <c r="E1304" s="12" t="str">
        <f>HYPERLINK("https://twitter.com/MKY35/status/1181930182116040705","1181930182116040705")</f>
        <v>1181930182116040705</v>
      </c>
      <c r="F1304" s="8" t="s">
        <v>9562</v>
      </c>
      <c r="G1304" s="15"/>
      <c r="H1304" s="8"/>
      <c r="I1304" s="15">
        <v>0</v>
      </c>
      <c r="J1304" s="15">
        <v>1</v>
      </c>
      <c r="K1304" s="12" t="str">
        <f>HYPERLINK("http://twitter.com/download/iphone","Twitter for iPhone")</f>
        <v>Twitter for iPhone</v>
      </c>
      <c r="L1304" s="16">
        <v>79</v>
      </c>
      <c r="M1304" s="16">
        <v>140</v>
      </c>
      <c r="N1304" s="16">
        <v>0</v>
      </c>
      <c r="O1304" s="17"/>
      <c r="P1304" s="18">
        <v>40436.626782407409</v>
      </c>
      <c r="Q1304" s="7" t="s">
        <v>5251</v>
      </c>
      <c r="R1304" s="7" t="s">
        <v>9563</v>
      </c>
      <c r="S1304" s="7"/>
      <c r="T1304" s="8"/>
      <c r="U1304" s="19" t="str">
        <f>HYPERLINK("https://pbs.twimg.com/profile_images/977502067886645248/Q_CTJvud.jpg","View")</f>
        <v>View</v>
      </c>
      <c r="V1304" s="8"/>
      <c r="W1304" s="8"/>
      <c r="X1304" s="8"/>
      <c r="Y1304" s="8"/>
      <c r="Z1304" s="8"/>
    </row>
    <row r="1305" spans="1:26" ht="12.75">
      <c r="A1305" s="11">
        <v>43747.285740740743</v>
      </c>
      <c r="B1305" s="12" t="str">
        <f>HYPERLINK("https://twitter.com/Kartal_Ucar_","@Kartal_Ucar_")</f>
        <v>@Kartal_Ucar_</v>
      </c>
      <c r="C1305" s="7" t="s">
        <v>9564</v>
      </c>
      <c r="D1305" s="7" t="s">
        <v>9565</v>
      </c>
      <c r="E1305" s="12" t="str">
        <f>HYPERLINK("https://twitter.com/Kartal_Ucar_/status/1181930180748742656","1181930180748742656")</f>
        <v>1181930180748742656</v>
      </c>
      <c r="F1305" s="8"/>
      <c r="G1305" s="7"/>
      <c r="H1305" s="8"/>
      <c r="I1305" s="15">
        <v>0</v>
      </c>
      <c r="J1305" s="15">
        <v>0</v>
      </c>
      <c r="K1305" s="12" t="str">
        <f>HYPERLINK("https://mobile.twitter.com","Twitter Web App")</f>
        <v>Twitter Web App</v>
      </c>
      <c r="L1305" s="16">
        <v>218</v>
      </c>
      <c r="M1305" s="16">
        <v>30</v>
      </c>
      <c r="N1305" s="16">
        <v>0</v>
      </c>
      <c r="O1305" s="17"/>
      <c r="P1305" s="18">
        <v>40783.608634259261</v>
      </c>
      <c r="Q1305" s="7" t="s">
        <v>9566</v>
      </c>
      <c r="R1305" s="7" t="s">
        <v>9567</v>
      </c>
      <c r="S1305" s="14" t="s">
        <v>9568</v>
      </c>
      <c r="T1305" s="8"/>
      <c r="U1305" s="19" t="str">
        <f>HYPERLINK("https://pbs.twimg.com/profile_images/1083095877076553729/yam312X4.jpg","View")</f>
        <v>View</v>
      </c>
      <c r="V1305" s="8"/>
      <c r="W1305" s="8"/>
      <c r="X1305" s="8"/>
      <c r="Y1305" s="8"/>
      <c r="Z1305" s="8"/>
    </row>
    <row r="1306" spans="1:26" ht="12.75">
      <c r="A1306" s="11">
        <v>43747.285740740743</v>
      </c>
      <c r="B1306" s="12" t="str">
        <f>HYPERLINK("https://twitter.com/ahmedturan02","@ahmedturan02")</f>
        <v>@ahmedturan02</v>
      </c>
      <c r="C1306" s="7" t="s">
        <v>9569</v>
      </c>
      <c r="D1306" s="7" t="s">
        <v>9570</v>
      </c>
      <c r="E1306" s="12" t="str">
        <f>HYPERLINK("https://twitter.com/ahmedturan02/status/1181930177984679936","1181930177984679936")</f>
        <v>1181930177984679936</v>
      </c>
      <c r="F1306" s="8"/>
      <c r="G1306" s="14" t="s">
        <v>9571</v>
      </c>
      <c r="H1306" s="8"/>
      <c r="I1306" s="15">
        <v>7</v>
      </c>
      <c r="J1306" s="15">
        <v>25</v>
      </c>
      <c r="K1306" s="12" t="str">
        <f>HYPERLINK("http://twitter.com/download/android","Twitter for Android")</f>
        <v>Twitter for Android</v>
      </c>
      <c r="L1306" s="16">
        <v>1667</v>
      </c>
      <c r="M1306" s="16">
        <v>1595</v>
      </c>
      <c r="N1306" s="16">
        <v>1</v>
      </c>
      <c r="O1306" s="17"/>
      <c r="P1306" s="18">
        <v>42083.669039351851</v>
      </c>
      <c r="Q1306" s="7" t="s">
        <v>313</v>
      </c>
      <c r="R1306" s="7" t="s">
        <v>9572</v>
      </c>
      <c r="S1306" s="15"/>
      <c r="T1306" s="8"/>
      <c r="U1306" s="19" t="str">
        <f>HYPERLINK("https://pbs.twimg.com/profile_images/1141452968052645889/jj25fwU5.jpg","View")</f>
        <v>View</v>
      </c>
      <c r="V1306" s="8"/>
      <c r="W1306" s="8"/>
      <c r="X1306" s="8"/>
      <c r="Y1306" s="8"/>
      <c r="Z1306" s="8"/>
    </row>
    <row r="1307" spans="1:26" ht="12.75">
      <c r="A1307" s="11">
        <v>43747.285740740743</v>
      </c>
      <c r="B1307" s="12" t="str">
        <f>HYPERLINK("https://twitter.com/atayilmaz001","@atayilmaz001")</f>
        <v>@atayilmaz001</v>
      </c>
      <c r="C1307" s="7" t="s">
        <v>9573</v>
      </c>
      <c r="D1307" s="7" t="s">
        <v>9574</v>
      </c>
      <c r="E1307" s="12" t="str">
        <f>HYPERLINK("https://twitter.com/atayilmaz001/status/1181930177544310787","1181930177544310787")</f>
        <v>1181930177544310787</v>
      </c>
      <c r="F1307" s="8"/>
      <c r="G1307" s="15"/>
      <c r="H1307" s="8"/>
      <c r="I1307" s="15">
        <v>0</v>
      </c>
      <c r="J1307" s="15">
        <v>0</v>
      </c>
      <c r="K1307" s="12" t="str">
        <f>HYPERLINK("http://twitter.com/download/android","Twitter for Android")</f>
        <v>Twitter for Android</v>
      </c>
      <c r="L1307" s="16">
        <v>89</v>
      </c>
      <c r="M1307" s="16">
        <v>94</v>
      </c>
      <c r="N1307" s="16">
        <v>1</v>
      </c>
      <c r="O1307" s="17"/>
      <c r="P1307" s="18">
        <v>42789.620416666672</v>
      </c>
      <c r="Q1307" s="7" t="s">
        <v>9575</v>
      </c>
      <c r="R1307" s="7" t="s">
        <v>9576</v>
      </c>
      <c r="S1307" s="7"/>
      <c r="T1307" s="8"/>
      <c r="U1307" s="19" t="str">
        <f>HYPERLINK("https://pbs.twimg.com/profile_images/1051480357529415681/RMl2kQfK.jpg","View")</f>
        <v>View</v>
      </c>
      <c r="V1307" s="8"/>
      <c r="W1307" s="8"/>
      <c r="X1307" s="8"/>
      <c r="Y1307" s="8"/>
      <c r="Z1307" s="8"/>
    </row>
    <row r="1308" spans="1:26" ht="12.75">
      <c r="A1308" s="11">
        <v>43747.285729166666</v>
      </c>
      <c r="B1308" s="12" t="str">
        <f>HYPERLINK("https://twitter.com/ademkcn99","@ademkcn99")</f>
        <v>@ademkcn99</v>
      </c>
      <c r="C1308" s="13" t="s">
        <v>9577</v>
      </c>
      <c r="D1308" s="7" t="s">
        <v>9578</v>
      </c>
      <c r="E1308" s="12" t="str">
        <f>HYPERLINK("https://twitter.com/ademkcn99/status/1181930174960590849","1181930174960590849")</f>
        <v>1181930174960590849</v>
      </c>
      <c r="F1308" s="8"/>
      <c r="G1308" s="7"/>
      <c r="H1308" s="8"/>
      <c r="I1308" s="15">
        <v>2</v>
      </c>
      <c r="J1308" s="15">
        <v>9</v>
      </c>
      <c r="K1308" s="12" t="str">
        <f>HYPERLINK("http://twitter.com/download/android","Twitter for Android")</f>
        <v>Twitter for Android</v>
      </c>
      <c r="L1308" s="16">
        <v>2108</v>
      </c>
      <c r="M1308" s="16">
        <v>962</v>
      </c>
      <c r="N1308" s="16">
        <v>2</v>
      </c>
      <c r="O1308" s="17"/>
      <c r="P1308" s="18">
        <v>42765.130648148144</v>
      </c>
      <c r="Q1308" s="7" t="s">
        <v>313</v>
      </c>
      <c r="R1308" s="7" t="s">
        <v>9579</v>
      </c>
      <c r="S1308" s="14" t="s">
        <v>9580</v>
      </c>
      <c r="T1308" s="8"/>
      <c r="U1308" s="19" t="str">
        <f>HYPERLINK("https://pbs.twimg.com/profile_images/1179494848031809537/Tr0yGgMI.jpg","View")</f>
        <v>View</v>
      </c>
      <c r="V1308" s="8"/>
      <c r="W1308" s="8"/>
      <c r="X1308" s="8"/>
      <c r="Y1308" s="8"/>
      <c r="Z1308" s="8"/>
    </row>
    <row r="1309" spans="1:26" ht="12.75">
      <c r="A1309" s="11">
        <v>43747.285648148143</v>
      </c>
      <c r="B1309" s="12" t="str">
        <f>HYPERLINK("https://twitter.com/bedirhantorunu","@bedirhantorunu")</f>
        <v>@bedirhantorunu</v>
      </c>
      <c r="C1309" s="7" t="s">
        <v>9582</v>
      </c>
      <c r="D1309" s="7" t="s">
        <v>9583</v>
      </c>
      <c r="E1309" s="12" t="str">
        <f>HYPERLINK("https://twitter.com/bedirhantorunu/status/1181930146145677314","1181930146145677314")</f>
        <v>1181930146145677314</v>
      </c>
      <c r="F1309" s="8"/>
      <c r="G1309" s="14" t="s">
        <v>9584</v>
      </c>
      <c r="H1309" s="8"/>
      <c r="I1309" s="15">
        <v>1</v>
      </c>
      <c r="J1309" s="15">
        <v>17</v>
      </c>
      <c r="K1309" s="12" t="str">
        <f>HYPERLINK("http://twitter.com/download/android","Twitter for Android")</f>
        <v>Twitter for Android</v>
      </c>
      <c r="L1309" s="16">
        <v>6079</v>
      </c>
      <c r="M1309" s="16">
        <v>4879</v>
      </c>
      <c r="N1309" s="16">
        <v>11</v>
      </c>
      <c r="O1309" s="17"/>
      <c r="P1309" s="18">
        <v>40849.511388888888</v>
      </c>
      <c r="Q1309" s="7"/>
      <c r="R1309" s="7" t="s">
        <v>9585</v>
      </c>
      <c r="S1309" s="14" t="s">
        <v>9586</v>
      </c>
      <c r="T1309" s="8"/>
      <c r="U1309" s="19" t="str">
        <f>HYPERLINK("https://pbs.twimg.com/profile_images/1129531111451824129/c46wHL6v.jpg","View")</f>
        <v>View</v>
      </c>
      <c r="V1309" s="8"/>
      <c r="W1309" s="8"/>
      <c r="X1309" s="8"/>
      <c r="Y1309" s="8"/>
      <c r="Z1309" s="8"/>
    </row>
    <row r="1310" spans="1:26" ht="12.75">
      <c r="A1310" s="11">
        <v>43747.285578703704</v>
      </c>
      <c r="B1310" s="12" t="str">
        <f>HYPERLINK("https://twitter.com/YasinNusret1071","@YasinNusret1071")</f>
        <v>@YasinNusret1071</v>
      </c>
      <c r="C1310" s="7" t="s">
        <v>9590</v>
      </c>
      <c r="D1310" s="7" t="s">
        <v>9591</v>
      </c>
      <c r="E1310" s="12" t="str">
        <f>HYPERLINK("https://twitter.com/YasinNusret1071/status/1181930118761066496","1181930118761066496")</f>
        <v>1181930118761066496</v>
      </c>
      <c r="F1310" s="14" t="s">
        <v>9592</v>
      </c>
      <c r="G1310" s="14" t="s">
        <v>2116</v>
      </c>
      <c r="H1310" s="8"/>
      <c r="I1310" s="15">
        <v>1</v>
      </c>
      <c r="J1310" s="15">
        <v>2</v>
      </c>
      <c r="K1310" s="12" t="str">
        <f>HYPERLINK("http://twitter.com/download/android","Twitter for Android")</f>
        <v>Twitter for Android</v>
      </c>
      <c r="L1310" s="16">
        <v>1583</v>
      </c>
      <c r="M1310" s="16">
        <v>402</v>
      </c>
      <c r="N1310" s="16">
        <v>1</v>
      </c>
      <c r="O1310" s="17"/>
      <c r="P1310" s="18">
        <v>41044.503159722226</v>
      </c>
      <c r="Q1310" s="7" t="s">
        <v>9595</v>
      </c>
      <c r="R1310" s="7" t="s">
        <v>9596</v>
      </c>
      <c r="S1310" s="14" t="s">
        <v>9597</v>
      </c>
      <c r="T1310" s="8"/>
      <c r="U1310" s="19" t="str">
        <f>HYPERLINK("https://pbs.twimg.com/profile_images/1173319461769830400/03J-3Yd9.jpg","View")</f>
        <v>View</v>
      </c>
      <c r="V1310" s="8"/>
      <c r="W1310" s="8"/>
      <c r="X1310" s="8"/>
      <c r="Y1310" s="8"/>
      <c r="Z1310" s="8"/>
    </row>
    <row r="1311" spans="1:26" ht="12.75">
      <c r="A1311" s="11">
        <v>43747.285555555558</v>
      </c>
      <c r="B1311" s="12" t="str">
        <f>HYPERLINK("https://twitter.com/JesusValiant","@JesusValiant")</f>
        <v>@JesusValiant</v>
      </c>
      <c r="C1311" s="7" t="s">
        <v>9600</v>
      </c>
      <c r="D1311" s="7" t="s">
        <v>9602</v>
      </c>
      <c r="E1311" s="12" t="str">
        <f>HYPERLINK("https://twitter.com/JesusValiant/status/1181930110259269633","1181930110259269633")</f>
        <v>1181930110259269633</v>
      </c>
      <c r="F1311" s="8"/>
      <c r="G1311" s="14" t="s">
        <v>9603</v>
      </c>
      <c r="H1311" s="8"/>
      <c r="I1311" s="15">
        <v>1</v>
      </c>
      <c r="J1311" s="15">
        <v>4</v>
      </c>
      <c r="K1311" s="12" t="str">
        <f>HYPERLINK("http://twitter.com/download/android","Twitter for Android")</f>
        <v>Twitter for Android</v>
      </c>
      <c r="L1311" s="16">
        <v>339</v>
      </c>
      <c r="M1311" s="16">
        <v>366</v>
      </c>
      <c r="N1311" s="16">
        <v>0</v>
      </c>
      <c r="O1311" s="17"/>
      <c r="P1311" s="18">
        <v>43712.513738425929</v>
      </c>
      <c r="Q1311" s="7" t="s">
        <v>200</v>
      </c>
      <c r="R1311" s="7" t="s">
        <v>9604</v>
      </c>
      <c r="S1311" s="7"/>
      <c r="T1311" s="8"/>
      <c r="U1311" s="19" t="str">
        <f>HYPERLINK("https://pbs.twimg.com/profile_images/1180645469246169090/4CGHu36W.jpg","View")</f>
        <v>View</v>
      </c>
      <c r="V1311" s="8"/>
      <c r="W1311" s="8"/>
      <c r="X1311" s="8"/>
      <c r="Y1311" s="8"/>
      <c r="Z1311" s="8"/>
    </row>
    <row r="1312" spans="1:26" ht="12.75">
      <c r="A1312" s="11">
        <v>43747.285543981481</v>
      </c>
      <c r="B1312" s="12" t="str">
        <f>HYPERLINK("https://twitter.com/SepliEmre","@SepliEmre")</f>
        <v>@SepliEmre</v>
      </c>
      <c r="C1312" s="7" t="s">
        <v>9605</v>
      </c>
      <c r="D1312" s="7" t="s">
        <v>9606</v>
      </c>
      <c r="E1312" s="12" t="str">
        <f>HYPERLINK("https://twitter.com/SepliEmre/status/1181930105800679425","1181930105800679425")</f>
        <v>1181930105800679425</v>
      </c>
      <c r="F1312" s="8"/>
      <c r="G1312" s="15"/>
      <c r="H1312" s="8"/>
      <c r="I1312" s="15">
        <v>0</v>
      </c>
      <c r="J1312" s="15">
        <v>1</v>
      </c>
      <c r="K1312" s="12" t="str">
        <f>HYPERLINK("http://twitter.com/download/android","Twitter for Android")</f>
        <v>Twitter for Android</v>
      </c>
      <c r="L1312" s="16">
        <v>0</v>
      </c>
      <c r="M1312" s="16">
        <v>11</v>
      </c>
      <c r="N1312" s="16">
        <v>0</v>
      </c>
      <c r="O1312" s="17"/>
      <c r="P1312" s="18">
        <v>43741.337905092594</v>
      </c>
      <c r="Q1312" s="7"/>
      <c r="R1312" s="7" t="s">
        <v>9607</v>
      </c>
      <c r="S1312" s="15"/>
      <c r="T1312" s="8"/>
      <c r="U1312" s="20" t="s">
        <v>354</v>
      </c>
      <c r="V1312" s="8"/>
      <c r="W1312" s="8"/>
      <c r="X1312" s="8"/>
      <c r="Y1312" s="8"/>
      <c r="Z1312" s="8"/>
    </row>
    <row r="1313" spans="1:26" ht="12.75">
      <c r="A1313" s="11">
        <v>43747.285509259258</v>
      </c>
      <c r="B1313" s="12" t="str">
        <f>HYPERLINK("https://twitter.com/AliHaydarYlma19","@AliHaydarYlma19")</f>
        <v>@AliHaydarYlma19</v>
      </c>
      <c r="C1313" s="7" t="s">
        <v>9608</v>
      </c>
      <c r="D1313" s="7" t="s">
        <v>9609</v>
      </c>
      <c r="E1313" s="12" t="str">
        <f>HYPERLINK("https://twitter.com/AliHaydarYlma19/status/1181930095814021124","1181930095814021124")</f>
        <v>1181930095814021124</v>
      </c>
      <c r="F1313" s="8"/>
      <c r="G1313" s="14" t="s">
        <v>9610</v>
      </c>
      <c r="H1313" s="8"/>
      <c r="I1313" s="15">
        <v>0</v>
      </c>
      <c r="J1313" s="15">
        <v>0</v>
      </c>
      <c r="K1313" s="12" t="str">
        <f>HYPERLINK("http://twitter.com/download/iphone","Twitter for iPhone")</f>
        <v>Twitter for iPhone</v>
      </c>
      <c r="L1313" s="16">
        <v>3</v>
      </c>
      <c r="M1313" s="16">
        <v>35</v>
      </c>
      <c r="N1313" s="16">
        <v>0</v>
      </c>
      <c r="O1313" s="17"/>
      <c r="P1313" s="18">
        <v>43746.033703703702</v>
      </c>
      <c r="Q1313" s="7"/>
      <c r="R1313" s="7" t="s">
        <v>9611</v>
      </c>
      <c r="S1313" s="15"/>
      <c r="T1313" s="8"/>
      <c r="U1313" s="19" t="str">
        <f>HYPERLINK("https://pbs.twimg.com/profile_images/1181478511728582657/1mXsXwCf.jpg","View")</f>
        <v>View</v>
      </c>
      <c r="V1313" s="8"/>
      <c r="W1313" s="8"/>
      <c r="X1313" s="8"/>
      <c r="Y1313" s="8"/>
      <c r="Z1313" s="8"/>
    </row>
    <row r="1314" spans="1:26" ht="12.75">
      <c r="A1314" s="11">
        <v>43747.285451388889</v>
      </c>
      <c r="B1314" s="12" t="str">
        <f>HYPERLINK("https://twitter.com/SeyitBaloglu","@SeyitBaloglu")</f>
        <v>@SeyitBaloglu</v>
      </c>
      <c r="C1314" s="7" t="s">
        <v>9613</v>
      </c>
      <c r="D1314" s="7" t="s">
        <v>9615</v>
      </c>
      <c r="E1314" s="12" t="str">
        <f>HYPERLINK("https://twitter.com/SeyitBaloglu/status/1181930073160585216","1181930073160585216")</f>
        <v>1181930073160585216</v>
      </c>
      <c r="F1314" s="8"/>
      <c r="G1314" s="15"/>
      <c r="H1314" s="8"/>
      <c r="I1314" s="15">
        <v>0</v>
      </c>
      <c r="J1314" s="15">
        <v>0</v>
      </c>
      <c r="K1314" s="12" t="str">
        <f>HYPERLINK("http://twitter.com/download/iphone","Twitter for iPhone")</f>
        <v>Twitter for iPhone</v>
      </c>
      <c r="L1314" s="16">
        <v>26</v>
      </c>
      <c r="M1314" s="16">
        <v>103</v>
      </c>
      <c r="N1314" s="16">
        <v>0</v>
      </c>
      <c r="O1314" s="17"/>
      <c r="P1314" s="18">
        <v>43198.511296296296</v>
      </c>
      <c r="Q1314" s="7" t="s">
        <v>9617</v>
      </c>
      <c r="R1314" s="7" t="s">
        <v>9618</v>
      </c>
      <c r="S1314" s="7"/>
      <c r="T1314" s="8"/>
      <c r="U1314" s="19" t="str">
        <f>HYPERLINK("https://pbs.twimg.com/profile_images/983061935766810624/mCuy7y0k.jpg","View")</f>
        <v>View</v>
      </c>
      <c r="V1314" s="8"/>
      <c r="W1314" s="8"/>
      <c r="X1314" s="8"/>
      <c r="Y1314" s="8"/>
      <c r="Z1314" s="8"/>
    </row>
    <row r="1315" spans="1:26" ht="12.75">
      <c r="A1315" s="11">
        <v>43747.285428240742</v>
      </c>
      <c r="B1315" s="12" t="str">
        <f>HYPERLINK("https://twitter.com/_Arif_Arif_","@_Arif_Arif_")</f>
        <v>@_Arif_Arif_</v>
      </c>
      <c r="C1315" s="7" t="s">
        <v>9619</v>
      </c>
      <c r="D1315" s="7" t="s">
        <v>9620</v>
      </c>
      <c r="E1315" s="12" t="str">
        <f>HYPERLINK("https://twitter.com/_Arif_Arif_/status/1181930066630119426","1181930066630119426")</f>
        <v>1181930066630119426</v>
      </c>
      <c r="F1315" s="15"/>
      <c r="G1315" s="15"/>
      <c r="H1315" s="8"/>
      <c r="I1315" s="15">
        <v>1</v>
      </c>
      <c r="J1315" s="15">
        <v>1</v>
      </c>
      <c r="K1315" s="12" t="str">
        <f>HYPERLINK("https://mobile.twitter.com","Twitter Web App")</f>
        <v>Twitter Web App</v>
      </c>
      <c r="L1315" s="16">
        <v>117</v>
      </c>
      <c r="M1315" s="16">
        <v>101</v>
      </c>
      <c r="N1315" s="16">
        <v>1</v>
      </c>
      <c r="O1315" s="17"/>
      <c r="P1315" s="18">
        <v>42587.978460648148</v>
      </c>
      <c r="Q1315" s="7" t="s">
        <v>200</v>
      </c>
      <c r="R1315" s="7" t="s">
        <v>9621</v>
      </c>
      <c r="S1315" s="7"/>
      <c r="T1315" s="8"/>
      <c r="U1315" s="19" t="str">
        <f>HYPERLINK("https://pbs.twimg.com/profile_images/1173291464266268673/xR_3Pqiy.jpg","View")</f>
        <v>View</v>
      </c>
      <c r="V1315" s="8"/>
      <c r="W1315" s="8"/>
      <c r="X1315" s="8"/>
      <c r="Y1315" s="8"/>
      <c r="Z1315" s="8"/>
    </row>
    <row r="1316" spans="1:26" ht="12.75">
      <c r="A1316" s="11">
        <v>43747.285416666666</v>
      </c>
      <c r="B1316" s="12" t="str">
        <f>HYPERLINK("https://twitter.com/FazlSefa","@FazlSefa")</f>
        <v>@FazlSefa</v>
      </c>
      <c r="C1316" s="7" t="s">
        <v>9622</v>
      </c>
      <c r="D1316" s="7" t="s">
        <v>9623</v>
      </c>
      <c r="E1316" s="12" t="str">
        <f>HYPERLINK("https://twitter.com/FazlSefa/status/1181930062960107520","1181930062960107520")</f>
        <v>1181930062960107520</v>
      </c>
      <c r="F1316" s="8"/>
      <c r="G1316" s="7"/>
      <c r="H1316" s="8"/>
      <c r="I1316" s="15">
        <v>0</v>
      </c>
      <c r="J1316" s="15">
        <v>1</v>
      </c>
      <c r="K1316" s="12" t="str">
        <f>HYPERLINK("http://twitter.com/download/android","Twitter for Android")</f>
        <v>Twitter for Android</v>
      </c>
      <c r="L1316" s="16">
        <v>345</v>
      </c>
      <c r="M1316" s="16">
        <v>627</v>
      </c>
      <c r="N1316" s="16">
        <v>0</v>
      </c>
      <c r="O1316" s="17"/>
      <c r="P1316" s="18">
        <v>41715.383958333332</v>
      </c>
      <c r="Q1316" s="7"/>
      <c r="R1316" s="7" t="s">
        <v>9624</v>
      </c>
      <c r="S1316" s="7"/>
      <c r="T1316" s="8"/>
      <c r="U1316" s="19" t="str">
        <f>HYPERLINK("https://pbs.twimg.com/profile_images/956925236171235328/FB2v_7_0.jpg","View")</f>
        <v>View</v>
      </c>
      <c r="V1316" s="8"/>
      <c r="W1316" s="8"/>
      <c r="X1316" s="8"/>
      <c r="Y1316" s="8"/>
      <c r="Z1316" s="8"/>
    </row>
    <row r="1317" spans="1:26" ht="12.75">
      <c r="A1317" s="11">
        <v>43747.285405092596</v>
      </c>
      <c r="B1317" s="12" t="str">
        <f>HYPERLINK("https://twitter.com/cecevaspor","@cecevaspor")</f>
        <v>@cecevaspor</v>
      </c>
      <c r="C1317" s="7" t="s">
        <v>9625</v>
      </c>
      <c r="D1317" s="7" t="s">
        <v>9626</v>
      </c>
      <c r="E1317" s="12" t="str">
        <f>HYPERLINK("https://twitter.com/cecevaspor/status/1181930058333786113","1181930058333786113")</f>
        <v>1181930058333786113</v>
      </c>
      <c r="F1317" s="8"/>
      <c r="G1317" s="14" t="s">
        <v>9627</v>
      </c>
      <c r="H1317" s="8"/>
      <c r="I1317" s="15">
        <v>0</v>
      </c>
      <c r="J1317" s="15">
        <v>1</v>
      </c>
      <c r="K1317" s="12" t="str">
        <f>HYPERLINK("http://twitter.com/download/android","Twitter for Android")</f>
        <v>Twitter for Android</v>
      </c>
      <c r="L1317" s="16">
        <v>40</v>
      </c>
      <c r="M1317" s="16">
        <v>286</v>
      </c>
      <c r="N1317" s="16">
        <v>0</v>
      </c>
      <c r="O1317" s="17"/>
      <c r="P1317" s="18">
        <v>43596.060162037036</v>
      </c>
      <c r="Q1317" s="7" t="s">
        <v>9595</v>
      </c>
      <c r="R1317" s="7" t="s">
        <v>9630</v>
      </c>
      <c r="S1317" s="14" t="s">
        <v>9631</v>
      </c>
      <c r="T1317" s="8"/>
      <c r="U1317" s="19" t="str">
        <f>HYPERLINK("https://pbs.twimg.com/profile_images/1131483137450622976/lvaiFphU.png","View")</f>
        <v>View</v>
      </c>
      <c r="V1317" s="8"/>
      <c r="W1317" s="8"/>
      <c r="X1317" s="8"/>
      <c r="Y1317" s="8"/>
      <c r="Z1317" s="8"/>
    </row>
    <row r="1318" spans="1:26" ht="12.75">
      <c r="A1318" s="11">
        <v>43747.285405092596</v>
      </c>
      <c r="B1318" s="12" t="str">
        <f>HYPERLINK("https://twitter.com/cakmaknesat","@cakmaknesat")</f>
        <v>@cakmaknesat</v>
      </c>
      <c r="C1318" s="7" t="s">
        <v>9634</v>
      </c>
      <c r="D1318" s="7" t="s">
        <v>9635</v>
      </c>
      <c r="E1318" s="12" t="str">
        <f>HYPERLINK("https://twitter.com/cakmaknesat/status/1181930056593088515","1181930056593088515")</f>
        <v>1181930056593088515</v>
      </c>
      <c r="F1318" s="14" t="s">
        <v>2113</v>
      </c>
      <c r="G1318" s="14" t="s">
        <v>2116</v>
      </c>
      <c r="H1318" s="8"/>
      <c r="I1318" s="15">
        <v>0</v>
      </c>
      <c r="J1318" s="15">
        <v>0</v>
      </c>
      <c r="K1318" s="12" t="str">
        <f>HYPERLINK("http://twitter.com/download/iphone","Twitter for iPhone")</f>
        <v>Twitter for iPhone</v>
      </c>
      <c r="L1318" s="16">
        <v>263</v>
      </c>
      <c r="M1318" s="16">
        <v>403</v>
      </c>
      <c r="N1318" s="16">
        <v>1</v>
      </c>
      <c r="O1318" s="17"/>
      <c r="P1318" s="18">
        <v>41489.125532407408</v>
      </c>
      <c r="Q1318" s="7" t="s">
        <v>9638</v>
      </c>
      <c r="R1318" s="7" t="s">
        <v>9639</v>
      </c>
      <c r="S1318" s="15"/>
      <c r="T1318" s="8"/>
      <c r="U1318" s="19" t="str">
        <f>HYPERLINK("https://pbs.twimg.com/profile_images/1177692213536526336/__KEZ1Nk.jpg","View")</f>
        <v>View</v>
      </c>
      <c r="V1318" s="8"/>
      <c r="W1318" s="8"/>
      <c r="X1318" s="8"/>
      <c r="Y1318" s="8"/>
      <c r="Z1318" s="8"/>
    </row>
    <row r="1319" spans="1:26" ht="12.75">
      <c r="A1319" s="11">
        <v>43747.285370370373</v>
      </c>
      <c r="B1319" s="12" t="str">
        <f>HYPERLINK("https://twitter.com/bihavadiscom","@bihavadiscom")</f>
        <v>@bihavadiscom</v>
      </c>
      <c r="C1319" s="14" t="s">
        <v>9640</v>
      </c>
      <c r="D1319" s="7" t="s">
        <v>9641</v>
      </c>
      <c r="E1319" s="12" t="str">
        <f>HYPERLINK("https://twitter.com/bihavadiscom/status/1181930044970680320","1181930044970680320")</f>
        <v>1181930044970680320</v>
      </c>
      <c r="F1319" s="8"/>
      <c r="G1319" s="15"/>
      <c r="H1319" s="8"/>
      <c r="I1319" s="15">
        <v>0</v>
      </c>
      <c r="J1319" s="15">
        <v>0</v>
      </c>
      <c r="K1319" s="12" t="str">
        <f>HYPERLINK("http://twitter.com/download/android","Twitter for Android")</f>
        <v>Twitter for Android</v>
      </c>
      <c r="L1319" s="16">
        <v>507</v>
      </c>
      <c r="M1319" s="16">
        <v>279</v>
      </c>
      <c r="N1319" s="16">
        <v>1</v>
      </c>
      <c r="O1319" s="17"/>
      <c r="P1319" s="18">
        <v>42871.499351851853</v>
      </c>
      <c r="Q1319" s="7"/>
      <c r="R1319" s="7" t="s">
        <v>9642</v>
      </c>
      <c r="S1319" s="14" t="s">
        <v>9643</v>
      </c>
      <c r="T1319" s="8"/>
      <c r="U1319" s="19" t="str">
        <f>HYPERLINK("https://pbs.twimg.com/profile_images/1146643441650229249/c7ioahbd.jpg","View")</f>
        <v>View</v>
      </c>
      <c r="V1319" s="8"/>
      <c r="W1319" s="8"/>
      <c r="X1319" s="8"/>
      <c r="Y1319" s="8"/>
      <c r="Z1319" s="8"/>
    </row>
    <row r="1320" spans="1:26" ht="12.75">
      <c r="A1320" s="11">
        <v>43747.285370370373</v>
      </c>
      <c r="B1320" s="12" t="str">
        <f>HYPERLINK("https://twitter.com/mehmet_yamak","@mehmet_yamak")</f>
        <v>@mehmet_yamak</v>
      </c>
      <c r="C1320" s="7" t="s">
        <v>9646</v>
      </c>
      <c r="D1320" s="7" t="s">
        <v>9647</v>
      </c>
      <c r="E1320" s="12" t="str">
        <f>HYPERLINK("https://twitter.com/mehmet_yamak/status/1181930043066523648","1181930043066523648")</f>
        <v>1181930043066523648</v>
      </c>
      <c r="F1320" s="8"/>
      <c r="G1320" s="14" t="s">
        <v>9648</v>
      </c>
      <c r="H1320" s="8"/>
      <c r="I1320" s="15">
        <v>1</v>
      </c>
      <c r="J1320" s="15">
        <v>2</v>
      </c>
      <c r="K1320" s="12" t="str">
        <f>HYPERLINK("http://twitter.com/download/iphone","Twitter for iPhone")</f>
        <v>Twitter for iPhone</v>
      </c>
      <c r="L1320" s="16">
        <v>212</v>
      </c>
      <c r="M1320" s="16">
        <v>202</v>
      </c>
      <c r="N1320" s="16">
        <v>5</v>
      </c>
      <c r="O1320" s="17"/>
      <c r="P1320" s="18">
        <v>41013.428020833337</v>
      </c>
      <c r="Q1320" s="7" t="s">
        <v>9649</v>
      </c>
      <c r="R1320" s="7" t="s">
        <v>9650</v>
      </c>
      <c r="S1320" s="15"/>
      <c r="T1320" s="8"/>
      <c r="U1320" s="19" t="str">
        <f>HYPERLINK("https://pbs.twimg.com/profile_images/886821366003007493/WLQNB_qW.jpg","View")</f>
        <v>View</v>
      </c>
      <c r="V1320" s="8"/>
      <c r="W1320" s="8"/>
      <c r="X1320" s="8"/>
      <c r="Y1320" s="8"/>
      <c r="Z1320" s="8"/>
    </row>
    <row r="1321" spans="1:26" ht="12.75">
      <c r="A1321" s="11">
        <v>43747.28534722222</v>
      </c>
      <c r="B1321" s="12" t="str">
        <f>HYPERLINK("https://twitter.com/asekban___","@asekban___")</f>
        <v>@asekban___</v>
      </c>
      <c r="C1321" s="7" t="s">
        <v>9651</v>
      </c>
      <c r="D1321" s="7" t="s">
        <v>2343</v>
      </c>
      <c r="E1321" s="12" t="str">
        <f>HYPERLINK("https://twitter.com/asekban___/status/1181930037496426496","1181930037496426496")</f>
        <v>1181930037496426496</v>
      </c>
      <c r="F1321" s="8"/>
      <c r="G1321" s="14" t="s">
        <v>9652</v>
      </c>
      <c r="H1321" s="8"/>
      <c r="I1321" s="15">
        <v>0</v>
      </c>
      <c r="J1321" s="15">
        <v>2</v>
      </c>
      <c r="K1321" s="12" t="str">
        <f>HYPERLINK("https://mobile.twitter.com","Twitter Web App")</f>
        <v>Twitter Web App</v>
      </c>
      <c r="L1321" s="16">
        <v>3397</v>
      </c>
      <c r="M1321" s="16">
        <v>3584</v>
      </c>
      <c r="N1321" s="16">
        <v>0</v>
      </c>
      <c r="O1321" s="17"/>
      <c r="P1321" s="18">
        <v>43424.260381944448</v>
      </c>
      <c r="Q1321" s="7" t="s">
        <v>9653</v>
      </c>
      <c r="R1321" s="7" t="s">
        <v>9654</v>
      </c>
      <c r="S1321" s="7"/>
      <c r="T1321" s="8"/>
      <c r="U1321" s="19" t="str">
        <f>HYPERLINK("https://pbs.twimg.com/profile_images/1174614686958071809/qeqnkTNE.jpg","View")</f>
        <v>View</v>
      </c>
      <c r="V1321" s="8"/>
      <c r="W1321" s="8"/>
      <c r="X1321" s="8"/>
      <c r="Y1321" s="8"/>
      <c r="Z1321" s="8"/>
    </row>
    <row r="1322" spans="1:26" ht="12.75">
      <c r="A1322" s="11">
        <v>43747.285312499997</v>
      </c>
      <c r="B1322" s="12" t="str">
        <f>HYPERLINK("https://twitter.com/_royaItae_","@_royaItae_")</f>
        <v>@_royaItae_</v>
      </c>
      <c r="C1322" s="7" t="s">
        <v>9655</v>
      </c>
      <c r="D1322" s="7" t="s">
        <v>9656</v>
      </c>
      <c r="E1322" s="12" t="str">
        <f>HYPERLINK("https://twitter.com/_royaItae_/status/1181930024770899968","1181930024770899968")</f>
        <v>1181930024770899968</v>
      </c>
      <c r="F1322" s="8"/>
      <c r="G1322" s="7"/>
      <c r="H1322" s="8"/>
      <c r="I1322" s="15">
        <v>0</v>
      </c>
      <c r="J1322" s="15">
        <v>1</v>
      </c>
      <c r="K1322" s="12" t="str">
        <f>HYPERLINK("http://twitter.com/download/android","Twitter for Android")</f>
        <v>Twitter for Android</v>
      </c>
      <c r="L1322" s="16">
        <v>445</v>
      </c>
      <c r="M1322" s="16">
        <v>425</v>
      </c>
      <c r="N1322" s="16">
        <v>2</v>
      </c>
      <c r="O1322" s="17"/>
      <c r="P1322" s="18">
        <v>41577.279953703706</v>
      </c>
      <c r="Q1322" s="7" t="s">
        <v>9657</v>
      </c>
      <c r="R1322" s="7" t="s">
        <v>9658</v>
      </c>
      <c r="S1322" s="14" t="s">
        <v>9659</v>
      </c>
      <c r="T1322" s="8"/>
      <c r="U1322" s="19" t="str">
        <f>HYPERLINK("https://pbs.twimg.com/profile_images/1180080860516814850/BtG1qI2K.jpg","View")</f>
        <v>View</v>
      </c>
      <c r="V1322" s="8"/>
      <c r="W1322" s="8"/>
      <c r="X1322" s="8"/>
      <c r="Y1322" s="8"/>
      <c r="Z1322" s="8"/>
    </row>
    <row r="1323" spans="1:26" ht="12.75">
      <c r="A1323" s="11">
        <v>43747.285277777773</v>
      </c>
      <c r="B1323" s="12" t="str">
        <f>HYPERLINK("https://twitter.com/ruhwer","@ruhwer")</f>
        <v>@ruhwer</v>
      </c>
      <c r="C1323" s="7" t="s">
        <v>9660</v>
      </c>
      <c r="D1323" s="7" t="s">
        <v>9661</v>
      </c>
      <c r="E1323" s="12" t="str">
        <f>HYPERLINK("https://twitter.com/ruhwer/status/1181930009218424833","1181930009218424833")</f>
        <v>1181930009218424833</v>
      </c>
      <c r="F1323" s="15"/>
      <c r="G1323" s="14" t="s">
        <v>9662</v>
      </c>
      <c r="H1323" s="8"/>
      <c r="I1323" s="15">
        <v>0</v>
      </c>
      <c r="J1323" s="15">
        <v>0</v>
      </c>
      <c r="K1323" s="12" t="str">
        <f>HYPERLINK("https://mobile.twitter.com","Twitter Web App")</f>
        <v>Twitter Web App</v>
      </c>
      <c r="L1323" s="16">
        <v>228</v>
      </c>
      <c r="M1323" s="16">
        <v>314</v>
      </c>
      <c r="N1323" s="16">
        <v>1</v>
      </c>
      <c r="O1323" s="17"/>
      <c r="P1323" s="18">
        <v>40425.319502314815</v>
      </c>
      <c r="Q1323" s="7" t="s">
        <v>80</v>
      </c>
      <c r="R1323" s="7" t="s">
        <v>9663</v>
      </c>
      <c r="S1323" s="14" t="s">
        <v>9664</v>
      </c>
      <c r="T1323" s="8"/>
      <c r="U1323" s="19" t="str">
        <f>HYPERLINK("https://pbs.twimg.com/profile_images/1152671051870068737/x915oYE8.jpg","View")</f>
        <v>View</v>
      </c>
      <c r="V1323" s="8"/>
      <c r="W1323" s="8"/>
      <c r="X1323" s="8"/>
      <c r="Y1323" s="8"/>
      <c r="Z1323" s="8"/>
    </row>
    <row r="1324" spans="1:26" ht="12.75">
      <c r="A1324" s="11">
        <v>43747.285266203704</v>
      </c>
      <c r="B1324" s="12" t="str">
        <f>HYPERLINK("https://twitter.com/burak_yaganlar","@burak_yaganlar")</f>
        <v>@burak_yaganlar</v>
      </c>
      <c r="C1324" s="7" t="s">
        <v>9665</v>
      </c>
      <c r="D1324" s="7" t="s">
        <v>9666</v>
      </c>
      <c r="E1324" s="12" t="str">
        <f>HYPERLINK("https://twitter.com/burak_yaganlar/status/1181930005934288897","1181930005934288897")</f>
        <v>1181930005934288897</v>
      </c>
      <c r="F1324" s="8"/>
      <c r="G1324" s="14" t="s">
        <v>9667</v>
      </c>
      <c r="H1324" s="8"/>
      <c r="I1324" s="15">
        <v>0</v>
      </c>
      <c r="J1324" s="15">
        <v>0</v>
      </c>
      <c r="K1324" s="12" t="str">
        <f>HYPERLINK("http://twitter.com/download/android","Twitter for Android")</f>
        <v>Twitter for Android</v>
      </c>
      <c r="L1324" s="16">
        <v>220</v>
      </c>
      <c r="M1324" s="16">
        <v>242</v>
      </c>
      <c r="N1324" s="16">
        <v>0</v>
      </c>
      <c r="O1324" s="17"/>
      <c r="P1324" s="18">
        <v>42605.524930555555</v>
      </c>
      <c r="Q1324" s="7" t="s">
        <v>80</v>
      </c>
      <c r="R1324" s="7" t="s">
        <v>9668</v>
      </c>
      <c r="S1324" s="14" t="s">
        <v>9669</v>
      </c>
      <c r="T1324" s="8"/>
      <c r="U1324" s="19" t="str">
        <f>HYPERLINK("https://pbs.twimg.com/profile_images/1166781974876475399/SqWu7EGT.jpg","View")</f>
        <v>View</v>
      </c>
      <c r="V1324" s="8"/>
      <c r="W1324" s="8"/>
      <c r="X1324" s="8"/>
      <c r="Y1324" s="8"/>
      <c r="Z1324" s="8"/>
    </row>
    <row r="1325" spans="1:26" ht="12.75">
      <c r="A1325" s="11">
        <v>43747.285254629634</v>
      </c>
      <c r="B1325" s="12" t="str">
        <f>HYPERLINK("https://twitter.com/CerkesFeyyaz","@CerkesFeyyaz")</f>
        <v>@CerkesFeyyaz</v>
      </c>
      <c r="C1325" s="7" t="s">
        <v>9670</v>
      </c>
      <c r="D1325" s="7" t="s">
        <v>9671</v>
      </c>
      <c r="E1325" s="12" t="str">
        <f>HYPERLINK("https://twitter.com/CerkesFeyyaz/status/1181930003619028993","1181930003619028993")</f>
        <v>1181930003619028993</v>
      </c>
      <c r="F1325" s="8"/>
      <c r="G1325" s="14" t="s">
        <v>9672</v>
      </c>
      <c r="H1325" s="8"/>
      <c r="I1325" s="15">
        <v>0</v>
      </c>
      <c r="J1325" s="15">
        <v>1</v>
      </c>
      <c r="K1325" s="12" t="str">
        <f>HYPERLINK("https://mobile.twitter.com","Twitter Web App")</f>
        <v>Twitter Web App</v>
      </c>
      <c r="L1325" s="16">
        <v>1058</v>
      </c>
      <c r="M1325" s="16">
        <v>508</v>
      </c>
      <c r="N1325" s="16">
        <v>0</v>
      </c>
      <c r="O1325" s="17"/>
      <c r="P1325" s="18">
        <v>43693.652627314819</v>
      </c>
      <c r="Q1325" s="7" t="s">
        <v>9673</v>
      </c>
      <c r="R1325" s="7" t="s">
        <v>9674</v>
      </c>
      <c r="S1325" s="15"/>
      <c r="T1325" s="8"/>
      <c r="U1325" s="19" t="str">
        <f>HYPERLINK("https://pbs.twimg.com/profile_images/1181930572236705792/o5ejm-Py.jpg","View")</f>
        <v>View</v>
      </c>
      <c r="V1325" s="8"/>
      <c r="W1325" s="8"/>
      <c r="X1325" s="8"/>
      <c r="Y1325" s="8"/>
      <c r="Z1325" s="8"/>
    </row>
    <row r="1326" spans="1:26" ht="12.75">
      <c r="A1326" s="11">
        <v>43747.28524305555</v>
      </c>
      <c r="B1326" s="12" t="str">
        <f>HYPERLINK("https://twitter.com/JPremieree","@JPremieree")</f>
        <v>@JPremieree</v>
      </c>
      <c r="C1326" s="7" t="s">
        <v>9677</v>
      </c>
      <c r="D1326" s="7" t="s">
        <v>9678</v>
      </c>
      <c r="E1326" s="12" t="str">
        <f>HYPERLINK("https://twitter.com/JPremieree/status/1181929997419909122","1181929997419909122")</f>
        <v>1181929997419909122</v>
      </c>
      <c r="F1326" s="8"/>
      <c r="G1326" s="7"/>
      <c r="H1326" s="8"/>
      <c r="I1326" s="15">
        <v>0</v>
      </c>
      <c r="J1326" s="15">
        <v>0</v>
      </c>
      <c r="K1326" s="12" t="str">
        <f>HYPERLINK("http://twitter.com/download/android","Twitter for Android")</f>
        <v>Twitter for Android</v>
      </c>
      <c r="L1326" s="16">
        <v>586</v>
      </c>
      <c r="M1326" s="16">
        <v>969</v>
      </c>
      <c r="N1326" s="16">
        <v>2</v>
      </c>
      <c r="O1326" s="17"/>
      <c r="P1326" s="18">
        <v>43377.515127314815</v>
      </c>
      <c r="Q1326" s="7" t="s">
        <v>9679</v>
      </c>
      <c r="R1326" s="7" t="s">
        <v>9680</v>
      </c>
      <c r="S1326" s="7"/>
      <c r="T1326" s="8"/>
      <c r="U1326" s="19" t="str">
        <f>HYPERLINK("https://pbs.twimg.com/profile_images/1048649045907058689/SYw3fCeu.jpg","View")</f>
        <v>View</v>
      </c>
      <c r="V1326" s="8"/>
      <c r="W1326" s="8"/>
      <c r="X1326" s="8"/>
      <c r="Y1326" s="8"/>
      <c r="Z1326" s="8"/>
    </row>
    <row r="1327" spans="1:26" ht="12.75">
      <c r="A1327" s="11">
        <v>43747.285208333335</v>
      </c>
      <c r="B1327" s="12" t="str">
        <f>HYPERLINK("https://twitter.com/CngzOguzhan","@CngzOguzhan")</f>
        <v>@CngzOguzhan</v>
      </c>
      <c r="C1327" s="7" t="s">
        <v>9681</v>
      </c>
      <c r="D1327" s="7" t="s">
        <v>8435</v>
      </c>
      <c r="E1327" s="12" t="str">
        <f>HYPERLINK("https://twitter.com/CngzOguzhan/status/1181929986967531520","1181929986967531520")</f>
        <v>1181929986967531520</v>
      </c>
      <c r="F1327" s="8"/>
      <c r="G1327" s="14" t="s">
        <v>9682</v>
      </c>
      <c r="H1327" s="8"/>
      <c r="I1327" s="15">
        <v>33</v>
      </c>
      <c r="J1327" s="15">
        <v>198</v>
      </c>
      <c r="K1327" s="12" t="str">
        <f>HYPERLINK("http://twitter.com/download/iphone","Twitter for iPhone")</f>
        <v>Twitter for iPhone</v>
      </c>
      <c r="L1327" s="16">
        <v>833</v>
      </c>
      <c r="M1327" s="16">
        <v>280</v>
      </c>
      <c r="N1327" s="16">
        <v>1</v>
      </c>
      <c r="O1327" s="17"/>
      <c r="P1327" s="18">
        <v>42277.387060185181</v>
      </c>
      <c r="Q1327" s="7" t="s">
        <v>1748</v>
      </c>
      <c r="R1327" s="7" t="s">
        <v>9683</v>
      </c>
      <c r="S1327" s="7"/>
      <c r="T1327" s="8"/>
      <c r="U1327" s="19" t="str">
        <f>HYPERLINK("https://pbs.twimg.com/profile_images/1180574944675221507/vvsHftWz.jpg","View")</f>
        <v>View</v>
      </c>
      <c r="V1327" s="8"/>
      <c r="W1327" s="8"/>
      <c r="X1327" s="8"/>
      <c r="Y1327" s="8"/>
      <c r="Z1327" s="8"/>
    </row>
    <row r="1328" spans="1:26" ht="12.75">
      <c r="A1328" s="11">
        <v>43747.285162037035</v>
      </c>
      <c r="B1328" s="12" t="str">
        <f>HYPERLINK("https://twitter.com/tgbkpln8","@tgbkpln8")</f>
        <v>@tgbkpln8</v>
      </c>
      <c r="C1328" s="13" t="s">
        <v>9684</v>
      </c>
      <c r="D1328" s="7" t="s">
        <v>9685</v>
      </c>
      <c r="E1328" s="12" t="str">
        <f>HYPERLINK("https://twitter.com/tgbkpln8/status/1181929970140160001","1181929970140160001")</f>
        <v>1181929970140160001</v>
      </c>
      <c r="F1328" s="8"/>
      <c r="G1328" s="14" t="s">
        <v>9686</v>
      </c>
      <c r="H1328" s="8"/>
      <c r="I1328" s="15">
        <v>0</v>
      </c>
      <c r="J1328" s="15">
        <v>2</v>
      </c>
      <c r="K1328" s="12" t="str">
        <f>HYPERLINK("http://twitter.com/download/iphone","Twitter for iPhone")</f>
        <v>Twitter for iPhone</v>
      </c>
      <c r="L1328" s="16">
        <v>370</v>
      </c>
      <c r="M1328" s="16">
        <v>95</v>
      </c>
      <c r="N1328" s="16">
        <v>2</v>
      </c>
      <c r="O1328" s="17"/>
      <c r="P1328" s="18">
        <v>41268.198622685188</v>
      </c>
      <c r="Q1328" s="7" t="s">
        <v>9687</v>
      </c>
      <c r="R1328" s="7" t="s">
        <v>9688</v>
      </c>
      <c r="S1328" s="7"/>
      <c r="T1328" s="8"/>
      <c r="U1328" s="19" t="str">
        <f>HYPERLINK("https://pbs.twimg.com/profile_images/1096753529887342592/m7G-WE-_.jpg","View")</f>
        <v>View</v>
      </c>
      <c r="V1328" s="8"/>
      <c r="W1328" s="8"/>
      <c r="X1328" s="8"/>
      <c r="Y1328" s="8"/>
      <c r="Z1328" s="8"/>
    </row>
    <row r="1329" spans="1:26" ht="12.75">
      <c r="A1329" s="11">
        <v>43747.285115740742</v>
      </c>
      <c r="B1329" s="12" t="str">
        <f>HYPERLINK("https://twitter.com/eyvazoglu1453","@eyvazoglu1453")</f>
        <v>@eyvazoglu1453</v>
      </c>
      <c r="C1329" s="7" t="s">
        <v>9693</v>
      </c>
      <c r="D1329" s="7" t="s">
        <v>9694</v>
      </c>
      <c r="E1329" s="12" t="str">
        <f>HYPERLINK("https://twitter.com/eyvazoglu1453/status/1181929954428297217","1181929954428297217")</f>
        <v>1181929954428297217</v>
      </c>
      <c r="F1329" s="8"/>
      <c r="G1329" s="15"/>
      <c r="H1329" s="8"/>
      <c r="I1329" s="15">
        <v>0</v>
      </c>
      <c r="J1329" s="15">
        <v>2</v>
      </c>
      <c r="K1329" s="12" t="str">
        <f>HYPERLINK("http://twitter.com/download/android","Twitter for Android")</f>
        <v>Twitter for Android</v>
      </c>
      <c r="L1329" s="16">
        <v>36</v>
      </c>
      <c r="M1329" s="16">
        <v>169</v>
      </c>
      <c r="N1329" s="16">
        <v>0</v>
      </c>
      <c r="O1329" s="17"/>
      <c r="P1329" s="18">
        <v>43121.117905092593</v>
      </c>
      <c r="Q1329" s="7"/>
      <c r="R1329" s="7"/>
      <c r="S1329" s="7"/>
      <c r="T1329" s="8"/>
      <c r="U1329" s="19" t="str">
        <f>HYPERLINK("https://pbs.twimg.com/profile_images/1166006322506162176/gmal-EjC.jpg","View")</f>
        <v>View</v>
      </c>
      <c r="V1329" s="8"/>
      <c r="W1329" s="8"/>
      <c r="X1329" s="8"/>
      <c r="Y1329" s="8"/>
      <c r="Z1329" s="8"/>
    </row>
    <row r="1330" spans="1:26" ht="12.75">
      <c r="A1330" s="11">
        <v>43747.285115740742</v>
      </c>
      <c r="B1330" s="12" t="str">
        <f>HYPERLINK("https://twitter.com/Oh_Olsun1","@Oh_Olsun1")</f>
        <v>@Oh_Olsun1</v>
      </c>
      <c r="C1330" s="7" t="s">
        <v>9695</v>
      </c>
      <c r="D1330" s="7" t="s">
        <v>9696</v>
      </c>
      <c r="E1330" s="12" t="str">
        <f>HYPERLINK("https://twitter.com/Oh_Olsun1/status/1181929952008134656","1181929952008134656")</f>
        <v>1181929952008134656</v>
      </c>
      <c r="F1330" s="8"/>
      <c r="G1330" s="15"/>
      <c r="H1330" s="8"/>
      <c r="I1330" s="15">
        <v>2</v>
      </c>
      <c r="J1330" s="15">
        <v>13</v>
      </c>
      <c r="K1330" s="12" t="str">
        <f>HYPERLINK("https://mobile.twitter.com","Twitter Web App")</f>
        <v>Twitter Web App</v>
      </c>
      <c r="L1330" s="16">
        <v>270</v>
      </c>
      <c r="M1330" s="16">
        <v>122</v>
      </c>
      <c r="N1330" s="16">
        <v>0</v>
      </c>
      <c r="O1330" s="17"/>
      <c r="P1330" s="18">
        <v>43581.253587962958</v>
      </c>
      <c r="Q1330" s="7"/>
      <c r="R1330" s="7" t="s">
        <v>9697</v>
      </c>
      <c r="S1330" s="7"/>
      <c r="T1330" s="8"/>
      <c r="U1330" s="19" t="str">
        <f>HYPERLINK("https://pbs.twimg.com/profile_images/1151942938047524864/6f6FcOJl.jpg","View")</f>
        <v>View</v>
      </c>
      <c r="V1330" s="8"/>
      <c r="W1330" s="8"/>
      <c r="X1330" s="8"/>
      <c r="Y1330" s="8"/>
      <c r="Z1330" s="8"/>
    </row>
    <row r="1331" spans="1:26" ht="12.75">
      <c r="A1331" s="11">
        <v>43747.285034722227</v>
      </c>
      <c r="B1331" s="12" t="str">
        <f>HYPERLINK("https://twitter.com/Clau_Portgirl","@Clau_Portgirl")</f>
        <v>@Clau_Portgirl</v>
      </c>
      <c r="C1331" s="7" t="s">
        <v>9698</v>
      </c>
      <c r="D1331" s="7" t="s">
        <v>9699</v>
      </c>
      <c r="E1331" s="12" t="str">
        <f>HYPERLINK("https://twitter.com/Clau_Portgirl/status/1181929920949297155","1181929920949297155")</f>
        <v>1181929920949297155</v>
      </c>
      <c r="F1331" s="8"/>
      <c r="G1331" s="7"/>
      <c r="H1331" s="8"/>
      <c r="I1331" s="15">
        <v>0</v>
      </c>
      <c r="J1331" s="15">
        <v>2</v>
      </c>
      <c r="K1331" s="12" t="str">
        <f>HYPERLINK("http://twitter.com/#!/download/ipad","Twitter for iPad")</f>
        <v>Twitter for iPad</v>
      </c>
      <c r="L1331" s="16">
        <v>387</v>
      </c>
      <c r="M1331" s="16">
        <v>1050</v>
      </c>
      <c r="N1331" s="16">
        <v>11</v>
      </c>
      <c r="O1331" s="17"/>
      <c r="P1331" s="18">
        <v>40382.896817129629</v>
      </c>
      <c r="Q1331" s="7" t="s">
        <v>9700</v>
      </c>
      <c r="R1331" s="7" t="s">
        <v>9701</v>
      </c>
      <c r="S1331" s="15"/>
      <c r="T1331" s="8"/>
      <c r="U1331" s="19" t="str">
        <f>HYPERLINK("https://pbs.twimg.com/profile_images/1147648290395176966/od3CNGhN.jpg","View")</f>
        <v>View</v>
      </c>
      <c r="V1331" s="8"/>
      <c r="W1331" s="8"/>
      <c r="X1331" s="8"/>
      <c r="Y1331" s="8"/>
      <c r="Z1331" s="8"/>
    </row>
    <row r="1332" spans="1:26" ht="12.75">
      <c r="A1332" s="11">
        <v>43747.285011574073</v>
      </c>
      <c r="B1332" s="12" t="str">
        <f>HYPERLINK("https://twitter.com/edaa_1907edaa","@edaa_1907edaa")</f>
        <v>@edaa_1907edaa</v>
      </c>
      <c r="C1332" s="7" t="s">
        <v>9702</v>
      </c>
      <c r="D1332" s="7" t="s">
        <v>9703</v>
      </c>
      <c r="E1332" s="12" t="str">
        <f>HYPERLINK("https://twitter.com/edaa_1907edaa/status/1181929913768710144","1181929913768710144")</f>
        <v>1181929913768710144</v>
      </c>
      <c r="F1332" s="14" t="s">
        <v>9704</v>
      </c>
      <c r="G1332" s="14" t="s">
        <v>9705</v>
      </c>
      <c r="H1332" s="8"/>
      <c r="I1332" s="15">
        <v>0</v>
      </c>
      <c r="J1332" s="15">
        <v>7</v>
      </c>
      <c r="K1332" s="12" t="str">
        <f>HYPERLINK("http://twitter.com/download/android","Twitter for Android")</f>
        <v>Twitter for Android</v>
      </c>
      <c r="L1332" s="16">
        <v>419</v>
      </c>
      <c r="M1332" s="16">
        <v>361</v>
      </c>
      <c r="N1332" s="16">
        <v>0</v>
      </c>
      <c r="O1332" s="17"/>
      <c r="P1332" s="18">
        <v>43538.310937499999</v>
      </c>
      <c r="Q1332" s="7"/>
      <c r="R1332" s="7" t="s">
        <v>9706</v>
      </c>
      <c r="S1332" s="14" t="s">
        <v>9707</v>
      </c>
      <c r="T1332" s="8"/>
      <c r="U1332" s="19" t="str">
        <f>HYPERLINK("https://pbs.twimg.com/profile_images/1181669605623898113/_M_ke5xl.jpg","View")</f>
        <v>View</v>
      </c>
      <c r="V1332" s="8"/>
      <c r="W1332" s="8"/>
      <c r="X1332" s="8"/>
      <c r="Y1332" s="8"/>
      <c r="Z1332" s="8"/>
    </row>
    <row r="1333" spans="1:26" ht="12.75">
      <c r="A1333" s="11">
        <v>43747.284988425927</v>
      </c>
      <c r="B1333" s="12" t="str">
        <f>HYPERLINK("https://twitter.com/ibrahimbudak07","@ibrahimbudak07")</f>
        <v>@ibrahimbudak07</v>
      </c>
      <c r="C1333" s="7" t="s">
        <v>9710</v>
      </c>
      <c r="D1333" s="7" t="s">
        <v>9711</v>
      </c>
      <c r="E1333" s="12" t="str">
        <f>HYPERLINK("https://twitter.com/ibrahimbudak07/status/1181929905988214786","1181929905988214786")</f>
        <v>1181929905988214786</v>
      </c>
      <c r="F1333" s="15"/>
      <c r="G1333" s="14" t="s">
        <v>9712</v>
      </c>
      <c r="H1333" s="8"/>
      <c r="I1333" s="15">
        <v>0</v>
      </c>
      <c r="J1333" s="15">
        <v>0</v>
      </c>
      <c r="K1333" s="12" t="str">
        <f>HYPERLINK("http://twitter.com/download/android","Twitter for Android")</f>
        <v>Twitter for Android</v>
      </c>
      <c r="L1333" s="16">
        <v>202</v>
      </c>
      <c r="M1333" s="16">
        <v>387</v>
      </c>
      <c r="N1333" s="16">
        <v>0</v>
      </c>
      <c r="O1333" s="17"/>
      <c r="P1333" s="18">
        <v>43304.653217592597</v>
      </c>
      <c r="Q1333" s="7"/>
      <c r="R1333" s="7" t="s">
        <v>9713</v>
      </c>
      <c r="S1333" s="7"/>
      <c r="T1333" s="8"/>
      <c r="U1333" s="19" t="str">
        <f>HYPERLINK("https://pbs.twimg.com/profile_images/1147931176566448129/8YHo5Vts.jpg","View")</f>
        <v>View</v>
      </c>
      <c r="V1333" s="8"/>
      <c r="W1333" s="8"/>
      <c r="X1333" s="8"/>
      <c r="Y1333" s="8"/>
      <c r="Z1333" s="8"/>
    </row>
    <row r="1334" spans="1:26" ht="12.75">
      <c r="A1334" s="11">
        <v>43747.28496527778</v>
      </c>
      <c r="B1334" s="12" t="str">
        <f>HYPERLINK("https://twitter.com/MuratOntug","@MuratOntug")</f>
        <v>@MuratOntug</v>
      </c>
      <c r="C1334" s="7" t="s">
        <v>9714</v>
      </c>
      <c r="D1334" s="7" t="s">
        <v>9715</v>
      </c>
      <c r="E1334" s="12" t="str">
        <f>HYPERLINK("https://twitter.com/MuratOntug/status/1181929898627219456","1181929898627219456")</f>
        <v>1181929898627219456</v>
      </c>
      <c r="F1334" s="8"/>
      <c r="G1334" s="7"/>
      <c r="H1334" s="8"/>
      <c r="I1334" s="15">
        <v>0</v>
      </c>
      <c r="J1334" s="15">
        <v>0</v>
      </c>
      <c r="K1334" s="12" t="str">
        <f>HYPERLINK("https://mobile.twitter.com","Twitter Web App")</f>
        <v>Twitter Web App</v>
      </c>
      <c r="L1334" s="16">
        <v>1280</v>
      </c>
      <c r="M1334" s="16">
        <v>548</v>
      </c>
      <c r="N1334" s="16">
        <v>1</v>
      </c>
      <c r="O1334" s="17"/>
      <c r="P1334" s="18">
        <v>41684.157164351855</v>
      </c>
      <c r="Q1334" s="7" t="s">
        <v>9716</v>
      </c>
      <c r="R1334" s="7" t="s">
        <v>9717</v>
      </c>
      <c r="S1334" s="7"/>
      <c r="T1334" s="8"/>
      <c r="U1334" s="19" t="str">
        <f>HYPERLINK("https://pbs.twimg.com/profile_images/434296774174322688/fIdrk3vb.jpeg","View")</f>
        <v>View</v>
      </c>
      <c r="V1334" s="8"/>
      <c r="W1334" s="8"/>
      <c r="X1334" s="8"/>
      <c r="Y1334" s="8"/>
      <c r="Z1334" s="8"/>
    </row>
    <row r="1335" spans="1:26" ht="12.75">
      <c r="A1335" s="11">
        <v>43747.28496527778</v>
      </c>
      <c r="B1335" s="12" t="str">
        <f>HYPERLINK("https://twitter.com/_NuRr___","@_NuRr___")</f>
        <v>@_NuRr___</v>
      </c>
      <c r="C1335" s="7" t="s">
        <v>9719</v>
      </c>
      <c r="D1335" s="7" t="s">
        <v>9720</v>
      </c>
      <c r="E1335" s="12" t="str">
        <f>HYPERLINK("https://twitter.com/_NuRr___/status/1181929897939341313","1181929897939341313")</f>
        <v>1181929897939341313</v>
      </c>
      <c r="F1335" s="8"/>
      <c r="G1335" s="15"/>
      <c r="H1335" s="8"/>
      <c r="I1335" s="15">
        <v>0</v>
      </c>
      <c r="J1335" s="15">
        <v>1</v>
      </c>
      <c r="K1335" s="12" t="str">
        <f>HYPERLINK("http://twitter.com/download/android","Twitter for Android")</f>
        <v>Twitter for Android</v>
      </c>
      <c r="L1335" s="16">
        <v>192</v>
      </c>
      <c r="M1335" s="16">
        <v>139</v>
      </c>
      <c r="N1335" s="16">
        <v>0</v>
      </c>
      <c r="O1335" s="17"/>
      <c r="P1335" s="18">
        <v>40958.219606481478</v>
      </c>
      <c r="Q1335" s="7" t="s">
        <v>9722</v>
      </c>
      <c r="R1335" s="7" t="s">
        <v>9723</v>
      </c>
      <c r="S1335" s="7"/>
      <c r="T1335" s="8"/>
      <c r="U1335" s="19" t="str">
        <f>HYPERLINK("https://pbs.twimg.com/profile_images/1180567434027261955/r5IvGB_s.jpg","View")</f>
        <v>View</v>
      </c>
      <c r="V1335" s="8"/>
      <c r="W1335" s="8"/>
      <c r="X1335" s="8"/>
      <c r="Y1335" s="8"/>
      <c r="Z1335" s="8"/>
    </row>
    <row r="1336" spans="1:26" ht="12.75">
      <c r="A1336" s="11">
        <v>43747.28496527778</v>
      </c>
      <c r="B1336" s="12" t="str">
        <f>HYPERLINK("https://twitter.com/ertanaltun_","@ertanaltun_")</f>
        <v>@ertanaltun_</v>
      </c>
      <c r="C1336" s="7" t="s">
        <v>9724</v>
      </c>
      <c r="D1336" s="7" t="s">
        <v>9725</v>
      </c>
      <c r="E1336" s="12" t="str">
        <f>HYPERLINK("https://twitter.com/ertanaltun_/status/1181929896072925184","1181929896072925184")</f>
        <v>1181929896072925184</v>
      </c>
      <c r="F1336" s="8"/>
      <c r="G1336" s="15"/>
      <c r="H1336" s="8"/>
      <c r="I1336" s="15">
        <v>0</v>
      </c>
      <c r="J1336" s="15">
        <v>3</v>
      </c>
      <c r="K1336" s="12" t="str">
        <f>HYPERLINK("https://mobile.twitter.com","Twitter Web App")</f>
        <v>Twitter Web App</v>
      </c>
      <c r="L1336" s="16">
        <v>444</v>
      </c>
      <c r="M1336" s="16">
        <v>413</v>
      </c>
      <c r="N1336" s="16">
        <v>2</v>
      </c>
      <c r="O1336" s="17"/>
      <c r="P1336" s="18">
        <v>40201.14508101852</v>
      </c>
      <c r="Q1336" s="7" t="s">
        <v>9726</v>
      </c>
      <c r="R1336" s="7" t="s">
        <v>9727</v>
      </c>
      <c r="S1336" s="14" t="s">
        <v>9728</v>
      </c>
      <c r="T1336" s="8"/>
      <c r="U1336" s="19" t="str">
        <f>HYPERLINK("https://pbs.twimg.com/profile_images/1175017724164091907/bfy4Dm3l.jpg","View")</f>
        <v>View</v>
      </c>
      <c r="V1336" s="8"/>
      <c r="W1336" s="8"/>
      <c r="X1336" s="8"/>
      <c r="Y1336" s="8"/>
      <c r="Z1336" s="8"/>
    </row>
    <row r="1337" spans="1:26" ht="12.75">
      <c r="A1337" s="11">
        <v>43747.284930555557</v>
      </c>
      <c r="B1337" s="12" t="str">
        <f>HYPERLINK("https://twitter.com/EmreOglakci","@EmreOglakci")</f>
        <v>@EmreOglakci</v>
      </c>
      <c r="C1337" s="7" t="s">
        <v>9731</v>
      </c>
      <c r="D1337" s="7" t="s">
        <v>9732</v>
      </c>
      <c r="E1337" s="12" t="str">
        <f>HYPERLINK("https://twitter.com/EmreOglakci/status/1181929884416925697","1181929884416925697")</f>
        <v>1181929884416925697</v>
      </c>
      <c r="F1337" s="14" t="s">
        <v>3207</v>
      </c>
      <c r="G1337" s="15"/>
      <c r="H1337" s="8"/>
      <c r="I1337" s="15">
        <v>0</v>
      </c>
      <c r="J1337" s="15">
        <v>0</v>
      </c>
      <c r="K1337" s="12" t="str">
        <f>HYPERLINK("http://twitter.com/download/android","Twitter for Android")</f>
        <v>Twitter for Android</v>
      </c>
      <c r="L1337" s="16">
        <v>149</v>
      </c>
      <c r="M1337" s="16">
        <v>370</v>
      </c>
      <c r="N1337" s="16">
        <v>0</v>
      </c>
      <c r="O1337" s="17"/>
      <c r="P1337" s="18">
        <v>40244.315717592595</v>
      </c>
      <c r="Q1337" s="7" t="s">
        <v>313</v>
      </c>
      <c r="R1337" s="7" t="s">
        <v>9576</v>
      </c>
      <c r="S1337" s="7"/>
      <c r="T1337" s="8"/>
      <c r="U1337" s="19" t="str">
        <f>HYPERLINK("https://pbs.twimg.com/profile_images/1046783357940637697/oT1yF622.jpg","View")</f>
        <v>View</v>
      </c>
      <c r="V1337" s="8"/>
      <c r="W1337" s="8"/>
      <c r="X1337" s="8"/>
      <c r="Y1337" s="8"/>
      <c r="Z1337" s="8"/>
    </row>
    <row r="1338" spans="1:26" ht="12.75">
      <c r="A1338" s="11">
        <v>43747.284918981481</v>
      </c>
      <c r="B1338" s="12" t="str">
        <f>HYPERLINK("https://twitter.com/ceyhan_ulus","@ceyhan_ulus")</f>
        <v>@ceyhan_ulus</v>
      </c>
      <c r="C1338" s="7" t="s">
        <v>9734</v>
      </c>
      <c r="D1338" s="7" t="s">
        <v>9735</v>
      </c>
      <c r="E1338" s="12" t="str">
        <f>HYPERLINK("https://twitter.com/ceyhan_ulus/status/1181929880872783872","1181929880872783872")</f>
        <v>1181929880872783872</v>
      </c>
      <c r="F1338" s="8"/>
      <c r="G1338" s="14" t="s">
        <v>9736</v>
      </c>
      <c r="H1338" s="8"/>
      <c r="I1338" s="15">
        <v>6</v>
      </c>
      <c r="J1338" s="15">
        <v>16</v>
      </c>
      <c r="K1338" s="12" t="str">
        <f>HYPERLINK("https://mobile.twitter.com","Twitter Web App")</f>
        <v>Twitter Web App</v>
      </c>
      <c r="L1338" s="16">
        <v>54102</v>
      </c>
      <c r="M1338" s="16">
        <v>47977</v>
      </c>
      <c r="N1338" s="16">
        <v>48</v>
      </c>
      <c r="O1338" s="17"/>
      <c r="P1338" s="18">
        <v>41308.999861111108</v>
      </c>
      <c r="Q1338" s="7"/>
      <c r="R1338" s="7" t="s">
        <v>9737</v>
      </c>
      <c r="S1338" s="7"/>
      <c r="T1338" s="8"/>
      <c r="U1338" s="19" t="str">
        <f>HYPERLINK("https://pbs.twimg.com/profile_images/378800000313802638/f8346df12417b87e2c1892fc97e52d51.jpeg","View")</f>
        <v>View</v>
      </c>
      <c r="V1338" s="8"/>
      <c r="W1338" s="8"/>
      <c r="X1338" s="8"/>
      <c r="Y1338" s="8"/>
      <c r="Z1338" s="8"/>
    </row>
    <row r="1339" spans="1:26" ht="12.75">
      <c r="A1339" s="11">
        <v>43747.284907407404</v>
      </c>
      <c r="B1339" s="12" t="str">
        <f>HYPERLINK("https://twitter.com/Canimvatanim19","@Canimvatanim19")</f>
        <v>@Canimvatanim19</v>
      </c>
      <c r="C1339" s="7" t="s">
        <v>9738</v>
      </c>
      <c r="D1339" s="7" t="s">
        <v>9739</v>
      </c>
      <c r="E1339" s="12" t="str">
        <f>HYPERLINK("https://twitter.com/Canimvatanim19/status/1181929878805008384","1181929878805008384")</f>
        <v>1181929878805008384</v>
      </c>
      <c r="F1339" s="8"/>
      <c r="G1339" s="7"/>
      <c r="H1339" s="8"/>
      <c r="I1339" s="15">
        <v>0</v>
      </c>
      <c r="J1339" s="15">
        <v>0</v>
      </c>
      <c r="K1339" s="12" t="str">
        <f>HYPERLINK("http://twitter.com/download/android","Twitter for Android")</f>
        <v>Twitter for Android</v>
      </c>
      <c r="L1339" s="16">
        <v>144</v>
      </c>
      <c r="M1339" s="16">
        <v>481</v>
      </c>
      <c r="N1339" s="16">
        <v>0</v>
      </c>
      <c r="O1339" s="17"/>
      <c r="P1339" s="18">
        <v>40617.783958333333</v>
      </c>
      <c r="Q1339" s="7" t="s">
        <v>287</v>
      </c>
      <c r="R1339" s="7"/>
      <c r="S1339" s="7"/>
      <c r="T1339" s="8"/>
      <c r="U1339" s="19" t="str">
        <f>HYPERLINK("https://pbs.twimg.com/profile_images/1017527752189251584/Pa3B0iDB.jpg","View")</f>
        <v>View</v>
      </c>
      <c r="V1339" s="8"/>
      <c r="W1339" s="8"/>
      <c r="X1339" s="8"/>
      <c r="Y1339" s="8"/>
      <c r="Z1339" s="8"/>
    </row>
    <row r="1340" spans="1:26" ht="12.75">
      <c r="A1340" s="11">
        <v>43747.284907407404</v>
      </c>
      <c r="B1340" s="12" t="str">
        <f>HYPERLINK("https://twitter.com/enesyildize","@enesyildize")</f>
        <v>@enesyildize</v>
      </c>
      <c r="C1340" s="7" t="s">
        <v>9740</v>
      </c>
      <c r="D1340" s="7" t="s">
        <v>9741</v>
      </c>
      <c r="E1340" s="12" t="str">
        <f>HYPERLINK("https://twitter.com/enesyildize/status/1181929876946915329","1181929876946915329")</f>
        <v>1181929876946915329</v>
      </c>
      <c r="F1340" s="8"/>
      <c r="G1340" s="14" t="s">
        <v>9743</v>
      </c>
      <c r="H1340" s="8"/>
      <c r="I1340" s="15">
        <v>0</v>
      </c>
      <c r="J1340" s="15">
        <v>1</v>
      </c>
      <c r="K1340" s="12" t="str">
        <f>HYPERLINK("http://twitter.com/download/iphone","Twitter for iPhone")</f>
        <v>Twitter for iPhone</v>
      </c>
      <c r="L1340" s="16">
        <v>427</v>
      </c>
      <c r="M1340" s="16">
        <v>434</v>
      </c>
      <c r="N1340" s="16">
        <v>0</v>
      </c>
      <c r="O1340" s="17"/>
      <c r="P1340" s="18">
        <v>40094.390497685185</v>
      </c>
      <c r="Q1340" s="7" t="s">
        <v>9745</v>
      </c>
      <c r="R1340" s="7"/>
      <c r="S1340" s="7"/>
      <c r="T1340" s="8"/>
      <c r="U1340" s="19" t="str">
        <f>HYPERLINK("https://pbs.twimg.com/profile_images/830538846504906757/VTofCaDF.jpg","View")</f>
        <v>View</v>
      </c>
      <c r="V1340" s="8"/>
      <c r="W1340" s="8"/>
      <c r="X1340" s="8"/>
      <c r="Y1340" s="8"/>
      <c r="Z1340" s="8"/>
    </row>
    <row r="1341" spans="1:26" ht="12.75">
      <c r="A1341" s="11">
        <v>43747.284895833334</v>
      </c>
      <c r="B1341" s="12" t="str">
        <f>HYPERLINK("https://twitter.com/MBKIVRAK","@MBKIVRAK")</f>
        <v>@MBKIVRAK</v>
      </c>
      <c r="C1341" s="7" t="s">
        <v>9746</v>
      </c>
      <c r="D1341" s="7" t="s">
        <v>9747</v>
      </c>
      <c r="E1341" s="12" t="str">
        <f>HYPERLINK("https://twitter.com/MBKIVRAK/status/1181929871611777024","1181929871611777024")</f>
        <v>1181929871611777024</v>
      </c>
      <c r="F1341" s="8"/>
      <c r="G1341" s="15"/>
      <c r="H1341" s="8"/>
      <c r="I1341" s="15">
        <v>0</v>
      </c>
      <c r="J1341" s="15">
        <v>0</v>
      </c>
      <c r="K1341" s="12" t="str">
        <f>HYPERLINK("http://twitter.com/download/android","Twitter for Android")</f>
        <v>Twitter for Android</v>
      </c>
      <c r="L1341" s="16">
        <v>6</v>
      </c>
      <c r="M1341" s="16">
        <v>70</v>
      </c>
      <c r="N1341" s="16">
        <v>0</v>
      </c>
      <c r="O1341" s="17"/>
      <c r="P1341" s="18">
        <v>43589.623854166668</v>
      </c>
      <c r="Q1341" s="7" t="s">
        <v>9748</v>
      </c>
      <c r="R1341" s="7" t="s">
        <v>9749</v>
      </c>
      <c r="S1341" s="14" t="s">
        <v>9750</v>
      </c>
      <c r="T1341" s="8"/>
      <c r="U1341" s="19" t="str">
        <f>HYPERLINK("https://pbs.twimg.com/profile_images/1176865654647001088/xbiEt7AO.jpg","View")</f>
        <v>View</v>
      </c>
      <c r="V1341" s="8"/>
      <c r="W1341" s="8"/>
      <c r="X1341" s="8"/>
      <c r="Y1341" s="8"/>
      <c r="Z1341" s="8"/>
    </row>
    <row r="1342" spans="1:26" ht="12.75">
      <c r="A1342" s="11">
        <v>43747.284884259258</v>
      </c>
      <c r="B1342" s="12" t="str">
        <f>HYPERLINK("https://twitter.com/necipdenizdr","@necipdenizdr")</f>
        <v>@necipdenizdr</v>
      </c>
      <c r="C1342" s="7" t="s">
        <v>9752</v>
      </c>
      <c r="D1342" s="7" t="s">
        <v>9753</v>
      </c>
      <c r="E1342" s="12" t="str">
        <f>HYPERLINK("https://twitter.com/necipdenizdr/status/1181929869225201665","1181929869225201665")</f>
        <v>1181929869225201665</v>
      </c>
      <c r="F1342" s="14" t="s">
        <v>9754</v>
      </c>
      <c r="G1342" s="7"/>
      <c r="H1342" s="8"/>
      <c r="I1342" s="15">
        <v>0</v>
      </c>
      <c r="J1342" s="15">
        <v>3</v>
      </c>
      <c r="K1342" s="12" t="str">
        <f>HYPERLINK("http://twitter.com/download/iphone","Twitter for iPhone")</f>
        <v>Twitter for iPhone</v>
      </c>
      <c r="L1342" s="16">
        <v>1890</v>
      </c>
      <c r="M1342" s="16">
        <v>751</v>
      </c>
      <c r="N1342" s="16">
        <v>2</v>
      </c>
      <c r="O1342" s="17"/>
      <c r="P1342" s="18">
        <v>39989.097291666665</v>
      </c>
      <c r="Q1342" s="7" t="s">
        <v>313</v>
      </c>
      <c r="R1342" s="7" t="s">
        <v>9755</v>
      </c>
      <c r="S1342" s="14" t="s">
        <v>9756</v>
      </c>
      <c r="T1342" s="8"/>
      <c r="U1342" s="19" t="str">
        <f>HYPERLINK("https://pbs.twimg.com/profile_images/1014597598643150848/0EWnauAV.jpg","View")</f>
        <v>View</v>
      </c>
      <c r="V1342" s="8"/>
      <c r="W1342" s="8"/>
      <c r="X1342" s="8"/>
      <c r="Y1342" s="8"/>
      <c r="Z1342" s="8"/>
    </row>
    <row r="1343" spans="1:26" ht="12.75">
      <c r="A1343" s="11">
        <v>43747.284884259258</v>
      </c>
      <c r="B1343" s="12" t="str">
        <f>HYPERLINK("https://twitter.com/Sinemafra","@Sinemafra")</f>
        <v>@Sinemafra</v>
      </c>
      <c r="C1343" s="7" t="s">
        <v>9759</v>
      </c>
      <c r="D1343" s="7" t="s">
        <v>9760</v>
      </c>
      <c r="E1343" s="12" t="str">
        <f>HYPERLINK("https://twitter.com/Sinemafra/status/1181929866876379137","1181929866876379137")</f>
        <v>1181929866876379137</v>
      </c>
      <c r="F1343" s="8"/>
      <c r="G1343" s="14" t="s">
        <v>9761</v>
      </c>
      <c r="H1343" s="8"/>
      <c r="I1343" s="15">
        <v>0</v>
      </c>
      <c r="J1343" s="15">
        <v>1</v>
      </c>
      <c r="K1343" s="12" t="str">
        <f>HYPERLINK("http://twitter.com/download/android","Twitter for Android")</f>
        <v>Twitter for Android</v>
      </c>
      <c r="L1343" s="16">
        <v>415</v>
      </c>
      <c r="M1343" s="16">
        <v>55</v>
      </c>
      <c r="N1343" s="16">
        <v>1</v>
      </c>
      <c r="O1343" s="17"/>
      <c r="P1343" s="18">
        <v>40722.216516203705</v>
      </c>
      <c r="Q1343" s="7" t="s">
        <v>9762</v>
      </c>
      <c r="R1343" s="7" t="s">
        <v>9763</v>
      </c>
      <c r="S1343" s="7"/>
      <c r="T1343" s="8"/>
      <c r="U1343" s="19" t="str">
        <f>HYPERLINK("https://pbs.twimg.com/profile_images/1177937025758105601/Ag9nwlGY.jpg","View")</f>
        <v>View</v>
      </c>
      <c r="V1343" s="8"/>
      <c r="W1343" s="8"/>
      <c r="X1343" s="8"/>
      <c r="Y1343" s="8"/>
      <c r="Z1343" s="8"/>
    </row>
    <row r="1344" spans="1:26" ht="12.75">
      <c r="A1344" s="11">
        <v>43747.284861111111</v>
      </c>
      <c r="B1344" s="12" t="str">
        <f>HYPERLINK("https://twitter.com/saf_mur","@saf_mur")</f>
        <v>@saf_mur</v>
      </c>
      <c r="C1344" s="7" t="s">
        <v>9764</v>
      </c>
      <c r="D1344" s="7" t="s">
        <v>9765</v>
      </c>
      <c r="E1344" s="12" t="str">
        <f>HYPERLINK("https://twitter.com/saf_mur/status/1181929858156421120","1181929858156421120")</f>
        <v>1181929858156421120</v>
      </c>
      <c r="F1344" s="8" t="s">
        <v>9766</v>
      </c>
      <c r="G1344" s="14" t="s">
        <v>9465</v>
      </c>
      <c r="H1344" s="8"/>
      <c r="I1344" s="15">
        <v>0</v>
      </c>
      <c r="J1344" s="15">
        <v>0</v>
      </c>
      <c r="K1344" s="12" t="str">
        <f>HYPERLINK("http://twitter.com/download/android","Twitter for Android")</f>
        <v>Twitter for Android</v>
      </c>
      <c r="L1344" s="16">
        <v>674</v>
      </c>
      <c r="M1344" s="16">
        <v>910</v>
      </c>
      <c r="N1344" s="16">
        <v>0</v>
      </c>
      <c r="O1344" s="17"/>
      <c r="P1344" s="18">
        <v>42310.541203703702</v>
      </c>
      <c r="Q1344" s="7"/>
      <c r="R1344" s="7" t="s">
        <v>9767</v>
      </c>
      <c r="S1344" s="7"/>
      <c r="T1344" s="8"/>
      <c r="U1344" s="19" t="str">
        <f>HYPERLINK("https://pbs.twimg.com/profile_images/1180874079747883008/huakqP8D.jpg","View")</f>
        <v>View</v>
      </c>
      <c r="V1344" s="8"/>
      <c r="W1344" s="8"/>
      <c r="X1344" s="8"/>
      <c r="Y1344" s="8"/>
      <c r="Z1344" s="8"/>
    </row>
    <row r="1345" spans="1:26" ht="12.75">
      <c r="A1345" s="11">
        <v>43747.284791666665</v>
      </c>
      <c r="B1345" s="12" t="str">
        <f>HYPERLINK("https://twitter.com/TaygarFatih","@TaygarFatih")</f>
        <v>@TaygarFatih</v>
      </c>
      <c r="C1345" s="7" t="s">
        <v>9768</v>
      </c>
      <c r="D1345" s="7" t="s">
        <v>9769</v>
      </c>
      <c r="E1345" s="12" t="str">
        <f>HYPERLINK("https://twitter.com/TaygarFatih/status/1181929835964387328","1181929835964387328")</f>
        <v>1181929835964387328</v>
      </c>
      <c r="F1345" s="8"/>
      <c r="G1345" s="14" t="s">
        <v>9770</v>
      </c>
      <c r="H1345" s="8"/>
      <c r="I1345" s="15">
        <v>0</v>
      </c>
      <c r="J1345" s="15">
        <v>0</v>
      </c>
      <c r="K1345" s="12" t="str">
        <f>HYPERLINK("http://twitter.com/download/android","Twitter for Android")</f>
        <v>Twitter for Android</v>
      </c>
      <c r="L1345" s="16">
        <v>44</v>
      </c>
      <c r="M1345" s="16">
        <v>350</v>
      </c>
      <c r="N1345" s="16">
        <v>0</v>
      </c>
      <c r="O1345" s="17"/>
      <c r="P1345" s="18">
        <v>41587.575011574074</v>
      </c>
      <c r="Q1345" s="7" t="s">
        <v>9771</v>
      </c>
      <c r="R1345" s="7" t="s">
        <v>9772</v>
      </c>
      <c r="S1345" s="14" t="s">
        <v>9773</v>
      </c>
      <c r="T1345" s="8"/>
      <c r="U1345" s="19" t="str">
        <f>HYPERLINK("https://pbs.twimg.com/profile_images/968458388450566144/Cp9zX9Td.jpg","View")</f>
        <v>View</v>
      </c>
      <c r="V1345" s="8"/>
      <c r="W1345" s="8"/>
      <c r="X1345" s="8"/>
      <c r="Y1345" s="8"/>
      <c r="Z1345" s="8"/>
    </row>
    <row r="1346" spans="1:26" ht="12.75">
      <c r="A1346" s="11">
        <v>43747.284664351857</v>
      </c>
      <c r="B1346" s="12" t="str">
        <f>HYPERLINK("https://twitter.com/utkucp","@utkucp")</f>
        <v>@utkucp</v>
      </c>
      <c r="C1346" s="7" t="s">
        <v>9776</v>
      </c>
      <c r="D1346" s="7" t="s">
        <v>9777</v>
      </c>
      <c r="E1346" s="12" t="str">
        <f>HYPERLINK("https://twitter.com/utkucp/status/1181929786937135107","1181929786937135107")</f>
        <v>1181929786937135107</v>
      </c>
      <c r="F1346" s="8"/>
      <c r="G1346" s="7"/>
      <c r="H1346" s="8"/>
      <c r="I1346" s="15">
        <v>0</v>
      </c>
      <c r="J1346" s="15">
        <v>0</v>
      </c>
      <c r="K1346" s="12" t="str">
        <f>HYPERLINK("http://twitter.com/download/iphone","Twitter for iPhone")</f>
        <v>Twitter for iPhone</v>
      </c>
      <c r="L1346" s="16">
        <v>111</v>
      </c>
      <c r="M1346" s="16">
        <v>227</v>
      </c>
      <c r="N1346" s="16">
        <v>0</v>
      </c>
      <c r="O1346" s="17"/>
      <c r="P1346" s="18">
        <v>42082.199976851851</v>
      </c>
      <c r="Q1346" s="7"/>
      <c r="R1346" s="7"/>
      <c r="S1346" s="7"/>
      <c r="T1346" s="8"/>
      <c r="U1346" s="19" t="str">
        <f>HYPERLINK("https://pbs.twimg.com/profile_images/1165553546823196672/nfSItk8J.jpg","View")</f>
        <v>View</v>
      </c>
      <c r="V1346" s="8"/>
      <c r="W1346" s="8"/>
      <c r="X1346" s="8"/>
      <c r="Y1346" s="8"/>
      <c r="Z1346" s="8"/>
    </row>
    <row r="1347" spans="1:26" ht="12.75">
      <c r="A1347" s="11">
        <v>43747.284629629634</v>
      </c>
      <c r="B1347" s="12" t="str">
        <f>HYPERLINK("https://twitter.com/Mesutac15460831","@Mesutac15460831")</f>
        <v>@Mesutac15460831</v>
      </c>
      <c r="C1347" s="7" t="s">
        <v>9779</v>
      </c>
      <c r="D1347" s="7" t="s">
        <v>9780</v>
      </c>
      <c r="E1347" s="12" t="str">
        <f>HYPERLINK("https://twitter.com/Mesutac15460831/status/1181929774928797699","1181929774928797699")</f>
        <v>1181929774928797699</v>
      </c>
      <c r="F1347" s="8"/>
      <c r="G1347" s="14" t="s">
        <v>9781</v>
      </c>
      <c r="H1347" s="8"/>
      <c r="I1347" s="15">
        <v>0</v>
      </c>
      <c r="J1347" s="15">
        <v>1</v>
      </c>
      <c r="K1347" s="12" t="str">
        <f>HYPERLINK("http://twitter.com/download/android","Twitter for Android")</f>
        <v>Twitter for Android</v>
      </c>
      <c r="L1347" s="16">
        <v>10</v>
      </c>
      <c r="M1347" s="16">
        <v>20</v>
      </c>
      <c r="N1347" s="16">
        <v>0</v>
      </c>
      <c r="O1347" s="17"/>
      <c r="P1347" s="18">
        <v>43502.48238425926</v>
      </c>
      <c r="Q1347" s="7"/>
      <c r="R1347" s="7"/>
      <c r="S1347" s="7"/>
      <c r="T1347" s="8"/>
      <c r="U1347" s="19" t="str">
        <f>HYPERLINK("https://pbs.twimg.com/profile_images/1180151121714790403/h1vJs-ds.jpg","View")</f>
        <v>View</v>
      </c>
      <c r="V1347" s="8"/>
      <c r="W1347" s="8"/>
      <c r="X1347" s="8"/>
      <c r="Y1347" s="8"/>
      <c r="Z1347" s="8"/>
    </row>
    <row r="1348" spans="1:26" ht="12.75">
      <c r="A1348" s="11">
        <v>43747.284618055557</v>
      </c>
      <c r="B1348" s="12" t="str">
        <f>HYPERLINK("https://twitter.com/halilusaki","@halilusaki")</f>
        <v>@halilusaki</v>
      </c>
      <c r="C1348" s="7" t="s">
        <v>9782</v>
      </c>
      <c r="D1348" s="7" t="s">
        <v>9783</v>
      </c>
      <c r="E1348" s="12" t="str">
        <f>HYPERLINK("https://twitter.com/halilusaki/status/1181929771204300803","1181929771204300803")</f>
        <v>1181929771204300803</v>
      </c>
      <c r="F1348" s="8"/>
      <c r="G1348" s="14" t="s">
        <v>9784</v>
      </c>
      <c r="H1348" s="8"/>
      <c r="I1348" s="15">
        <v>1</v>
      </c>
      <c r="J1348" s="15">
        <v>1</v>
      </c>
      <c r="K1348" s="12" t="str">
        <f>HYPERLINK("http://twitter.com/download/android","Twitter for Android")</f>
        <v>Twitter for Android</v>
      </c>
      <c r="L1348" s="16">
        <v>2169</v>
      </c>
      <c r="M1348" s="16">
        <v>196</v>
      </c>
      <c r="N1348" s="16">
        <v>6</v>
      </c>
      <c r="O1348" s="17"/>
      <c r="P1348" s="18">
        <v>40621.34097222222</v>
      </c>
      <c r="Q1348" s="7" t="s">
        <v>9785</v>
      </c>
      <c r="R1348" s="7" t="s">
        <v>9786</v>
      </c>
      <c r="S1348" s="14" t="s">
        <v>9787</v>
      </c>
      <c r="T1348" s="8"/>
      <c r="U1348" s="19" t="str">
        <f>HYPERLINK("https://pbs.twimg.com/profile_images/1177632032886857729/Ugw6Mndr.jpg","View")</f>
        <v>View</v>
      </c>
      <c r="V1348" s="8"/>
      <c r="W1348" s="8"/>
      <c r="X1348" s="8"/>
      <c r="Y1348" s="8"/>
      <c r="Z1348" s="8"/>
    </row>
    <row r="1349" spans="1:26" ht="12.75">
      <c r="A1349" s="11">
        <v>43747.284594907411</v>
      </c>
      <c r="B1349" s="12" t="str">
        <f>HYPERLINK("https://twitter.com/Gokcekatun","@Gokcekatun")</f>
        <v>@Gokcekatun</v>
      </c>
      <c r="C1349" s="7" t="s">
        <v>9788</v>
      </c>
      <c r="D1349" s="7" t="s">
        <v>9789</v>
      </c>
      <c r="E1349" s="12" t="str">
        <f>HYPERLINK("https://twitter.com/Gokcekatun/status/1181929765181243393","1181929765181243393")</f>
        <v>1181929765181243393</v>
      </c>
      <c r="F1349" s="8"/>
      <c r="G1349" s="14" t="s">
        <v>9790</v>
      </c>
      <c r="H1349" s="8"/>
      <c r="I1349" s="15">
        <v>5</v>
      </c>
      <c r="J1349" s="15">
        <v>73</v>
      </c>
      <c r="K1349" s="12" t="str">
        <f>HYPERLINK("http://twitter.com/download/iphone","Twitter for iPhone")</f>
        <v>Twitter for iPhone</v>
      </c>
      <c r="L1349" s="16">
        <v>69688</v>
      </c>
      <c r="M1349" s="16">
        <v>73563</v>
      </c>
      <c r="N1349" s="16">
        <v>48</v>
      </c>
      <c r="O1349" s="17"/>
      <c r="P1349" s="18">
        <v>42130.208726851852</v>
      </c>
      <c r="Q1349" s="7" t="s">
        <v>200</v>
      </c>
      <c r="R1349" s="7" t="s">
        <v>9794</v>
      </c>
      <c r="S1349" s="15"/>
      <c r="T1349" s="8"/>
      <c r="U1349" s="19" t="str">
        <f>HYPERLINK("https://pbs.twimg.com/profile_images/597160948353359872/QBC3zsoE.jpg","View")</f>
        <v>View</v>
      </c>
      <c r="V1349" s="8"/>
      <c r="W1349" s="8"/>
      <c r="X1349" s="8"/>
      <c r="Y1349" s="8"/>
      <c r="Z1349" s="8"/>
    </row>
    <row r="1350" spans="1:26" ht="12.75">
      <c r="A1350" s="11">
        <v>43747.284594907411</v>
      </c>
      <c r="B1350" s="12" t="str">
        <f>HYPERLINK("https://twitter.com/BarisPlnari","@BarisPlnari")</f>
        <v>@BarisPlnari</v>
      </c>
      <c r="C1350" s="7" t="s">
        <v>9798</v>
      </c>
      <c r="D1350" s="7" t="s">
        <v>9799</v>
      </c>
      <c r="E1350" s="12" t="str">
        <f>HYPERLINK("https://twitter.com/BarisPlnari/status/1181929763654508546","1181929763654508546")</f>
        <v>1181929763654508546</v>
      </c>
      <c r="F1350" s="8"/>
      <c r="G1350" s="14" t="s">
        <v>9800</v>
      </c>
      <c r="H1350" s="8"/>
      <c r="I1350" s="15">
        <v>1</v>
      </c>
      <c r="J1350" s="15">
        <v>3</v>
      </c>
      <c r="K1350" s="12" t="str">
        <f>HYPERLINK("https://mobile.twitter.com","Twitter Web App")</f>
        <v>Twitter Web App</v>
      </c>
      <c r="L1350" s="16">
        <v>81</v>
      </c>
      <c r="M1350" s="16">
        <v>6</v>
      </c>
      <c r="N1350" s="16">
        <v>0</v>
      </c>
      <c r="O1350" s="17"/>
      <c r="P1350" s="18">
        <v>43744.031967592593</v>
      </c>
      <c r="Q1350" s="7"/>
      <c r="R1350" s="7" t="s">
        <v>9801</v>
      </c>
      <c r="S1350" s="14" t="s">
        <v>9802</v>
      </c>
      <c r="T1350" s="8"/>
      <c r="U1350" s="19" t="str">
        <f>HYPERLINK("https://pbs.twimg.com/profile_images/1180751786442985472/Y_eIisd5.jpg","View")</f>
        <v>View</v>
      </c>
      <c r="V1350" s="8"/>
      <c r="W1350" s="8"/>
      <c r="X1350" s="8"/>
      <c r="Y1350" s="8"/>
      <c r="Z1350" s="8"/>
    </row>
    <row r="1351" spans="1:26" ht="12.75">
      <c r="A1351" s="11">
        <v>43747.284594907411</v>
      </c>
      <c r="B1351" s="12" t="str">
        <f>HYPERLINK("https://twitter.com/_toprakberkay","@_toprakberkay")</f>
        <v>@_toprakberkay</v>
      </c>
      <c r="C1351" s="7" t="s">
        <v>9803</v>
      </c>
      <c r="D1351" s="7" t="s">
        <v>9804</v>
      </c>
      <c r="E1351" s="12" t="str">
        <f>HYPERLINK("https://twitter.com/_toprakberkay/status/1181929762186563584","1181929762186563584")</f>
        <v>1181929762186563584</v>
      </c>
      <c r="F1351" s="8"/>
      <c r="G1351" s="15"/>
      <c r="H1351" s="8"/>
      <c r="I1351" s="15">
        <v>0</v>
      </c>
      <c r="J1351" s="15">
        <v>0</v>
      </c>
      <c r="K1351" s="12" t="str">
        <f>HYPERLINK("http://twitter.com/download/iphone","Twitter for iPhone")</f>
        <v>Twitter for iPhone</v>
      </c>
      <c r="L1351" s="16">
        <v>101</v>
      </c>
      <c r="M1351" s="16">
        <v>452</v>
      </c>
      <c r="N1351" s="16">
        <v>0</v>
      </c>
      <c r="O1351" s="17"/>
      <c r="P1351" s="18">
        <v>43092.170891203699</v>
      </c>
      <c r="Q1351" s="7"/>
      <c r="R1351" s="7" t="s">
        <v>9807</v>
      </c>
      <c r="S1351" s="14" t="s">
        <v>9808</v>
      </c>
      <c r="T1351" s="8"/>
      <c r="U1351" s="19" t="str">
        <f>HYPERLINK("https://pbs.twimg.com/profile_images/1180658317796007936/VYIW8Tni.jpg","View")</f>
        <v>View</v>
      </c>
      <c r="V1351" s="8"/>
      <c r="W1351" s="8"/>
      <c r="X1351" s="8"/>
      <c r="Y1351" s="8"/>
      <c r="Z1351" s="8"/>
    </row>
    <row r="1352" spans="1:26" ht="12.75">
      <c r="A1352" s="11">
        <v>43747.284583333334</v>
      </c>
      <c r="B1352" s="12" t="str">
        <f>HYPERLINK("https://twitter.com/58ekremaydin","@58ekremaydin")</f>
        <v>@58ekremaydin</v>
      </c>
      <c r="C1352" s="7" t="s">
        <v>9809</v>
      </c>
      <c r="D1352" s="7" t="s">
        <v>9810</v>
      </c>
      <c r="E1352" s="12" t="str">
        <f>HYPERLINK("https://twitter.com/58ekremaydin/status/1181929759648948225","1181929759648948225")</f>
        <v>1181929759648948225</v>
      </c>
      <c r="F1352" s="8"/>
      <c r="G1352" s="14" t="s">
        <v>9811</v>
      </c>
      <c r="H1352" s="8"/>
      <c r="I1352" s="15">
        <v>0</v>
      </c>
      <c r="J1352" s="15">
        <v>0</v>
      </c>
      <c r="K1352" s="12" t="str">
        <f>HYPERLINK("http://twitter.com/download/iphone","Twitter for iPhone")</f>
        <v>Twitter for iPhone</v>
      </c>
      <c r="L1352" s="16">
        <v>181</v>
      </c>
      <c r="M1352" s="16">
        <v>151</v>
      </c>
      <c r="N1352" s="16">
        <v>0</v>
      </c>
      <c r="O1352" s="17"/>
      <c r="P1352" s="18">
        <v>40926.285995370374</v>
      </c>
      <c r="Q1352" s="7"/>
      <c r="R1352" s="7" t="s">
        <v>9812</v>
      </c>
      <c r="S1352" s="7"/>
      <c r="T1352" s="8"/>
      <c r="U1352" s="19" t="str">
        <f>HYPERLINK("https://pbs.twimg.com/profile_images/602890730756022273/IPAob3fs.jpg","View")</f>
        <v>View</v>
      </c>
      <c r="V1352" s="8"/>
      <c r="W1352" s="8"/>
      <c r="X1352" s="8"/>
      <c r="Y1352" s="8"/>
      <c r="Z1352" s="8"/>
    </row>
    <row r="1353" spans="1:26" ht="12.75">
      <c r="A1353" s="11">
        <v>43747.284571759257</v>
      </c>
      <c r="B1353" s="12" t="str">
        <f>HYPERLINK("https://twitter.com/berkay0003","@berkay0003")</f>
        <v>@berkay0003</v>
      </c>
      <c r="C1353" s="7" t="s">
        <v>9813</v>
      </c>
      <c r="D1353" s="7" t="s">
        <v>9814</v>
      </c>
      <c r="E1353" s="12" t="str">
        <f>HYPERLINK("https://twitter.com/berkay0003/status/1181929755509178369","1181929755509178369")</f>
        <v>1181929755509178369</v>
      </c>
      <c r="F1353" s="15"/>
      <c r="G1353" s="7"/>
      <c r="H1353" s="8"/>
      <c r="I1353" s="15">
        <v>0</v>
      </c>
      <c r="J1353" s="15">
        <v>2</v>
      </c>
      <c r="K1353" s="12" t="str">
        <f>HYPERLINK("https://mobile.twitter.com","Twitter Web App")</f>
        <v>Twitter Web App</v>
      </c>
      <c r="L1353" s="16">
        <v>434</v>
      </c>
      <c r="M1353" s="16">
        <v>35</v>
      </c>
      <c r="N1353" s="16">
        <v>2</v>
      </c>
      <c r="O1353" s="20"/>
      <c r="P1353" s="18">
        <v>41334.400567129633</v>
      </c>
      <c r="Q1353" s="7" t="s">
        <v>9815</v>
      </c>
      <c r="R1353" s="7" t="s">
        <v>9816</v>
      </c>
      <c r="S1353" s="14" t="s">
        <v>9817</v>
      </c>
      <c r="T1353" s="8"/>
      <c r="U1353" s="19" t="str">
        <f>HYPERLINK("https://pbs.twimg.com/profile_images/947237081348300801/6R89xNUK.jpg","View")</f>
        <v>View</v>
      </c>
      <c r="V1353" s="8"/>
      <c r="W1353" s="8"/>
      <c r="X1353" s="8"/>
      <c r="Y1353" s="8"/>
      <c r="Z1353" s="8"/>
    </row>
    <row r="1354" spans="1:26" ht="12.75">
      <c r="A1354" s="11">
        <v>43747.284560185188</v>
      </c>
      <c r="B1354" s="12" t="str">
        <f>HYPERLINK("https://twitter.com/PadisahMrt","@PadisahMrt")</f>
        <v>@PadisahMrt</v>
      </c>
      <c r="C1354" s="7" t="s">
        <v>9818</v>
      </c>
      <c r="D1354" s="7" t="s">
        <v>9819</v>
      </c>
      <c r="E1354" s="12" t="str">
        <f>HYPERLINK("https://twitter.com/PadisahMrt/status/1181929750916456449","1181929750916456449")</f>
        <v>1181929750916456449</v>
      </c>
      <c r="F1354" s="8"/>
      <c r="G1354" s="15"/>
      <c r="H1354" s="8"/>
      <c r="I1354" s="15">
        <v>0</v>
      </c>
      <c r="J1354" s="15">
        <v>0</v>
      </c>
      <c r="K1354" s="12" t="str">
        <f>HYPERLINK("http://twitter.com/download/android","Twitter for Android")</f>
        <v>Twitter for Android</v>
      </c>
      <c r="L1354" s="16">
        <v>147</v>
      </c>
      <c r="M1354" s="16">
        <v>456</v>
      </c>
      <c r="N1354" s="16">
        <v>0</v>
      </c>
      <c r="O1354" s="17"/>
      <c r="P1354" s="18">
        <v>42696.501932870371</v>
      </c>
      <c r="Q1354" s="7"/>
      <c r="R1354" s="7" t="s">
        <v>9820</v>
      </c>
      <c r="S1354" s="7"/>
      <c r="T1354" s="8"/>
      <c r="U1354" s="19" t="str">
        <f>HYPERLINK("https://pbs.twimg.com/profile_images/1049875755776319488/t2KukkJn.jpg","View")</f>
        <v>View</v>
      </c>
      <c r="V1354" s="8"/>
      <c r="W1354" s="8"/>
      <c r="X1354" s="8"/>
      <c r="Y1354" s="8"/>
      <c r="Z1354" s="8"/>
    </row>
    <row r="1355" spans="1:26" ht="12.75">
      <c r="A1355" s="11">
        <v>43747.284502314811</v>
      </c>
      <c r="B1355" s="12" t="str">
        <f>HYPERLINK("https://twitter.com/irfanakks","@irfanakks")</f>
        <v>@irfanakks</v>
      </c>
      <c r="C1355" s="7" t="s">
        <v>9821</v>
      </c>
      <c r="D1355" s="7" t="s">
        <v>9822</v>
      </c>
      <c r="E1355" s="12" t="str">
        <f>HYPERLINK("https://twitter.com/irfanakks/status/1181929729408012288","1181929729408012288")</f>
        <v>1181929729408012288</v>
      </c>
      <c r="F1355" s="8"/>
      <c r="G1355" s="15"/>
      <c r="H1355" s="8"/>
      <c r="I1355" s="15">
        <v>0</v>
      </c>
      <c r="J1355" s="15">
        <v>1</v>
      </c>
      <c r="K1355" s="12" t="str">
        <f>HYPERLINK("http://twitter.com/download/android","Twitter for Android")</f>
        <v>Twitter for Android</v>
      </c>
      <c r="L1355" s="16">
        <v>182</v>
      </c>
      <c r="M1355" s="16">
        <v>325</v>
      </c>
      <c r="N1355" s="16">
        <v>0</v>
      </c>
      <c r="O1355" s="17"/>
      <c r="P1355" s="18">
        <v>42957.599699074075</v>
      </c>
      <c r="Q1355" s="7" t="s">
        <v>1567</v>
      </c>
      <c r="R1355" s="7" t="s">
        <v>9823</v>
      </c>
      <c r="S1355" s="15"/>
      <c r="T1355" s="8"/>
      <c r="U1355" s="19" t="str">
        <f>HYPERLINK("https://pbs.twimg.com/profile_images/1177501523426729984/mh7wEmlE.jpg","View")</f>
        <v>View</v>
      </c>
      <c r="V1355" s="8"/>
      <c r="W1355" s="8"/>
      <c r="X1355" s="8"/>
      <c r="Y1355" s="8"/>
      <c r="Z1355" s="8"/>
    </row>
    <row r="1356" spans="1:26" ht="12.75">
      <c r="A1356" s="11">
        <v>43747.284490740742</v>
      </c>
      <c r="B1356" s="12" t="str">
        <f>HYPERLINK("https://twitter.com/ufuk_imizoglu","@ufuk_imizoglu")</f>
        <v>@ufuk_imizoglu</v>
      </c>
      <c r="C1356" s="7" t="s">
        <v>9826</v>
      </c>
      <c r="D1356" s="15" t="s">
        <v>9827</v>
      </c>
      <c r="E1356" s="12" t="str">
        <f>HYPERLINK("https://twitter.com/ufuk_imizoglu/status/1181929725683470337","1181929725683470337")</f>
        <v>1181929725683470337</v>
      </c>
      <c r="F1356" s="8"/>
      <c r="G1356" s="14" t="s">
        <v>9828</v>
      </c>
      <c r="H1356" s="8"/>
      <c r="I1356" s="15">
        <v>0</v>
      </c>
      <c r="J1356" s="15">
        <v>0</v>
      </c>
      <c r="K1356" s="12" t="str">
        <f>HYPERLINK("http://twitter.com/download/android","Twitter for Android")</f>
        <v>Twitter for Android</v>
      </c>
      <c r="L1356" s="16">
        <v>234</v>
      </c>
      <c r="M1356" s="16">
        <v>286</v>
      </c>
      <c r="N1356" s="16">
        <v>1</v>
      </c>
      <c r="O1356" s="17"/>
      <c r="P1356" s="18">
        <v>42369.063298611116</v>
      </c>
      <c r="Q1356" s="7" t="s">
        <v>313</v>
      </c>
      <c r="R1356" s="7" t="s">
        <v>9829</v>
      </c>
      <c r="S1356" s="15"/>
      <c r="T1356" s="8"/>
      <c r="U1356" s="19" t="str">
        <f>HYPERLINK("https://pbs.twimg.com/profile_images/1138001586175840266/bIHTzWFM.jpg","View")</f>
        <v>View</v>
      </c>
      <c r="V1356" s="8"/>
      <c r="W1356" s="8"/>
      <c r="X1356" s="8"/>
      <c r="Y1356" s="8"/>
      <c r="Z1356" s="8"/>
    </row>
    <row r="1357" spans="1:26" ht="12.75">
      <c r="A1357" s="11">
        <v>43747.284409722226</v>
      </c>
      <c r="B1357" s="12" t="str">
        <f>HYPERLINK("https://twitter.com/askermehmet07","@askermehmet07")</f>
        <v>@askermehmet07</v>
      </c>
      <c r="C1357" s="7" t="s">
        <v>9837</v>
      </c>
      <c r="D1357" s="7" t="s">
        <v>9838</v>
      </c>
      <c r="E1357" s="12" t="str">
        <f>HYPERLINK("https://twitter.com/askermehmet07/status/1181929695698411520","1181929695698411520")</f>
        <v>1181929695698411520</v>
      </c>
      <c r="F1357" s="8"/>
      <c r="G1357" s="15"/>
      <c r="H1357" s="8"/>
      <c r="I1357" s="15">
        <v>0</v>
      </c>
      <c r="J1357" s="15">
        <v>0</v>
      </c>
      <c r="K1357" s="12" t="str">
        <f>HYPERLINK("http://twitter.com/download/android","Twitter for Android")</f>
        <v>Twitter for Android</v>
      </c>
      <c r="L1357" s="16">
        <v>491</v>
      </c>
      <c r="M1357" s="16">
        <v>453</v>
      </c>
      <c r="N1357" s="16">
        <v>1</v>
      </c>
      <c r="O1357" s="17"/>
      <c r="P1357" s="18">
        <v>40244.554351851853</v>
      </c>
      <c r="Q1357" s="7" t="s">
        <v>200</v>
      </c>
      <c r="R1357" s="7" t="s">
        <v>9841</v>
      </c>
      <c r="S1357" s="15"/>
      <c r="T1357" s="8"/>
      <c r="U1357" s="19" t="str">
        <f>HYPERLINK("https://pbs.twimg.com/profile_images/1063344558497558529/9Dn53-91.jpg","View")</f>
        <v>View</v>
      </c>
      <c r="V1357" s="8"/>
      <c r="W1357" s="8"/>
      <c r="X1357" s="8"/>
      <c r="Y1357" s="8"/>
      <c r="Z1357" s="8"/>
    </row>
    <row r="1358" spans="1:26" ht="12.75">
      <c r="A1358" s="11">
        <v>43747.284317129626</v>
      </c>
      <c r="B1358" s="12" t="str">
        <f>HYPERLINK("https://twitter.com/LenKoTR","@LenKoTR")</f>
        <v>@LenKoTR</v>
      </c>
      <c r="C1358" s="7" t="s">
        <v>9847</v>
      </c>
      <c r="D1358" s="7" t="s">
        <v>9848</v>
      </c>
      <c r="E1358" s="12" t="str">
        <f>HYPERLINK("https://twitter.com/LenKoTR/status/1181929664161468417","1181929664161468417")</f>
        <v>1181929664161468417</v>
      </c>
      <c r="F1358" s="15"/>
      <c r="G1358" s="7"/>
      <c r="H1358" s="8"/>
      <c r="I1358" s="15">
        <v>0</v>
      </c>
      <c r="J1358" s="15">
        <v>2</v>
      </c>
      <c r="K1358" s="12" t="str">
        <f>HYPERLINK("http://twitter.com/download/android","Twitter for Android")</f>
        <v>Twitter for Android</v>
      </c>
      <c r="L1358" s="16">
        <v>1112</v>
      </c>
      <c r="M1358" s="16">
        <v>4854</v>
      </c>
      <c r="N1358" s="16">
        <v>1</v>
      </c>
      <c r="O1358" s="17"/>
      <c r="P1358" s="18">
        <v>42226.473032407404</v>
      </c>
      <c r="Q1358" s="7" t="s">
        <v>9850</v>
      </c>
      <c r="R1358" s="7" t="s">
        <v>9851</v>
      </c>
      <c r="S1358" s="15"/>
      <c r="T1358" s="8"/>
      <c r="U1358" s="19" t="str">
        <f>HYPERLINK("https://pbs.twimg.com/profile_images/1050422460791881728/y4SZ1b6K.jpg","View")</f>
        <v>View</v>
      </c>
      <c r="V1358" s="8"/>
      <c r="W1358" s="8"/>
      <c r="X1358" s="8"/>
      <c r="Y1358" s="8"/>
      <c r="Z1358" s="8"/>
    </row>
    <row r="1359" spans="1:26" ht="12.75">
      <c r="A1359" s="11">
        <v>43747.284317129626</v>
      </c>
      <c r="B1359" s="12" t="str">
        <f>HYPERLINK("https://twitter.com/rfadiloglu","@rfadiloglu")</f>
        <v>@rfadiloglu</v>
      </c>
      <c r="C1359" s="7" t="s">
        <v>9852</v>
      </c>
      <c r="D1359" s="7" t="s">
        <v>9853</v>
      </c>
      <c r="E1359" s="12" t="str">
        <f>HYPERLINK("https://twitter.com/rfadiloglu/status/1181929661170880512","1181929661170880512")</f>
        <v>1181929661170880512</v>
      </c>
      <c r="F1359" s="8"/>
      <c r="G1359" s="14" t="s">
        <v>9854</v>
      </c>
      <c r="H1359" s="8"/>
      <c r="I1359" s="15">
        <v>12</v>
      </c>
      <c r="J1359" s="15">
        <v>30</v>
      </c>
      <c r="K1359" s="12" t="str">
        <f>HYPERLINK("http://twitter.com/download/android","Twitter for Android")</f>
        <v>Twitter for Android</v>
      </c>
      <c r="L1359" s="16">
        <v>88729</v>
      </c>
      <c r="M1359" s="16">
        <v>556</v>
      </c>
      <c r="N1359" s="16">
        <v>33</v>
      </c>
      <c r="O1359" s="17" t="s">
        <v>984</v>
      </c>
      <c r="P1359" s="18">
        <v>40467.469895833332</v>
      </c>
      <c r="Q1359" s="7" t="s">
        <v>7359</v>
      </c>
      <c r="R1359" s="7" t="s">
        <v>9855</v>
      </c>
      <c r="S1359" s="14" t="s">
        <v>9856</v>
      </c>
      <c r="T1359" s="8"/>
      <c r="U1359" s="19" t="str">
        <f>HYPERLINK("https://pbs.twimg.com/profile_images/1151521215565238272/p2SZMdM-.jpg","View")</f>
        <v>View</v>
      </c>
      <c r="V1359" s="8"/>
      <c r="W1359" s="8"/>
      <c r="X1359" s="8"/>
      <c r="Y1359" s="8"/>
      <c r="Z1359" s="8"/>
    </row>
    <row r="1360" spans="1:26" ht="12.75">
      <c r="A1360" s="11">
        <v>43747.284305555557</v>
      </c>
      <c r="B1360" s="12" t="str">
        <f>HYPERLINK("https://twitter.com/ErdemmYaman","@ErdemmYaman")</f>
        <v>@ErdemmYaman</v>
      </c>
      <c r="C1360" s="7" t="s">
        <v>9859</v>
      </c>
      <c r="D1360" s="7" t="s">
        <v>9860</v>
      </c>
      <c r="E1360" s="12" t="str">
        <f>HYPERLINK("https://twitter.com/ErdemmYaman/status/1181929660252409856","1181929660252409856")</f>
        <v>1181929660252409856</v>
      </c>
      <c r="F1360" s="8"/>
      <c r="G1360" s="7"/>
      <c r="H1360" s="8"/>
      <c r="I1360" s="15">
        <v>0</v>
      </c>
      <c r="J1360" s="15">
        <v>1</v>
      </c>
      <c r="K1360" s="12" t="str">
        <f>HYPERLINK("http://twitter.com/download/iphone","Twitter for iPhone")</f>
        <v>Twitter for iPhone</v>
      </c>
      <c r="L1360" s="16">
        <v>518</v>
      </c>
      <c r="M1360" s="16">
        <v>183</v>
      </c>
      <c r="N1360" s="16">
        <v>0</v>
      </c>
      <c r="O1360" s="17"/>
      <c r="P1360" s="18">
        <v>40822.379201388889</v>
      </c>
      <c r="Q1360" s="7" t="s">
        <v>313</v>
      </c>
      <c r="R1360" s="7" t="s">
        <v>9863</v>
      </c>
      <c r="S1360" s="14" t="s">
        <v>9864</v>
      </c>
      <c r="T1360" s="8"/>
      <c r="U1360" s="19" t="str">
        <f>HYPERLINK("https://pbs.twimg.com/profile_images/1165662859390541825/ewpFNdh1.jpg","View")</f>
        <v>View</v>
      </c>
      <c r="V1360" s="8"/>
      <c r="W1360" s="8"/>
      <c r="X1360" s="8"/>
      <c r="Y1360" s="8"/>
      <c r="Z1360" s="8"/>
    </row>
    <row r="1361" spans="1:26" ht="12.75">
      <c r="A1361" s="11">
        <v>43747.284305555557</v>
      </c>
      <c r="B1361" s="12" t="str">
        <f>HYPERLINK("https://twitter.com/atakankeskin61","@atakankeskin61")</f>
        <v>@atakankeskin61</v>
      </c>
      <c r="C1361" s="7" t="s">
        <v>9868</v>
      </c>
      <c r="D1361" s="7" t="s">
        <v>9869</v>
      </c>
      <c r="E1361" s="12" t="str">
        <f>HYPERLINK("https://twitter.com/atakankeskin61/status/1181929660252397568","1181929660252397568")</f>
        <v>1181929660252397568</v>
      </c>
      <c r="F1361" s="8"/>
      <c r="G1361" s="14" t="s">
        <v>9870</v>
      </c>
      <c r="H1361" s="8"/>
      <c r="I1361" s="15">
        <v>0</v>
      </c>
      <c r="J1361" s="15">
        <v>1</v>
      </c>
      <c r="K1361" s="12" t="str">
        <f>HYPERLINK("http://twitter.com/download/iphone","Twitter for iPhone")</f>
        <v>Twitter for iPhone</v>
      </c>
      <c r="L1361" s="16">
        <v>5</v>
      </c>
      <c r="M1361" s="16">
        <v>18</v>
      </c>
      <c r="N1361" s="16">
        <v>0</v>
      </c>
      <c r="O1361" s="17"/>
      <c r="P1361" s="18">
        <v>43496.148009259261</v>
      </c>
      <c r="Q1361" s="7" t="s">
        <v>9873</v>
      </c>
      <c r="R1361" s="7"/>
      <c r="S1361" s="7"/>
      <c r="T1361" s="8"/>
      <c r="U1361" s="19" t="str">
        <f>HYPERLINK("https://pbs.twimg.com/profile_images/1090936977858416640/KbcdWQLk.jpg","View")</f>
        <v>View</v>
      </c>
      <c r="V1361" s="8"/>
      <c r="W1361" s="8"/>
      <c r="X1361" s="8"/>
      <c r="Y1361" s="8"/>
      <c r="Z1361" s="8"/>
    </row>
    <row r="1362" spans="1:26" ht="12.75">
      <c r="A1362" s="11">
        <v>43747.284305555557</v>
      </c>
      <c r="B1362" s="12" t="str">
        <f>HYPERLINK("https://twitter.com/GeleriFatih","@GeleriFatih")</f>
        <v>@GeleriFatih</v>
      </c>
      <c r="C1362" s="7" t="s">
        <v>9874</v>
      </c>
      <c r="D1362" s="7" t="s">
        <v>9875</v>
      </c>
      <c r="E1362" s="12" t="str">
        <f>HYPERLINK("https://twitter.com/GeleriFatih/status/1181929657710587904","1181929657710587904")</f>
        <v>1181929657710587904</v>
      </c>
      <c r="F1362" s="8"/>
      <c r="G1362" s="14" t="s">
        <v>9876</v>
      </c>
      <c r="H1362" s="8"/>
      <c r="I1362" s="15">
        <v>0</v>
      </c>
      <c r="J1362" s="15">
        <v>0</v>
      </c>
      <c r="K1362" s="12" t="str">
        <f>HYPERLINK("http://twitter.com/download/android","Twitter for Android")</f>
        <v>Twitter for Android</v>
      </c>
      <c r="L1362" s="16">
        <v>29</v>
      </c>
      <c r="M1362" s="16">
        <v>73</v>
      </c>
      <c r="N1362" s="16">
        <v>0</v>
      </c>
      <c r="O1362" s="17"/>
      <c r="P1362" s="18">
        <v>43082.074386574073</v>
      </c>
      <c r="Q1362" s="7" t="s">
        <v>80</v>
      </c>
      <c r="R1362" s="7" t="s">
        <v>9878</v>
      </c>
      <c r="S1362" s="14" t="s">
        <v>9879</v>
      </c>
      <c r="T1362" s="8"/>
      <c r="U1362" s="19" t="str">
        <f>HYPERLINK("https://pbs.twimg.com/profile_images/1122154056904998913/_40cqaNp.jpg","View")</f>
        <v>View</v>
      </c>
      <c r="V1362" s="8"/>
      <c r="W1362" s="8"/>
      <c r="X1362" s="8"/>
      <c r="Y1362" s="8"/>
      <c r="Z1362" s="8"/>
    </row>
    <row r="1363" spans="1:26" ht="12.75">
      <c r="A1363" s="11">
        <v>43747.284270833334</v>
      </c>
      <c r="B1363" s="12" t="str">
        <f>HYPERLINK("https://twitter.com/BSahin_","@BSahin_")</f>
        <v>@BSahin_</v>
      </c>
      <c r="C1363" s="7" t="s">
        <v>9881</v>
      </c>
      <c r="D1363" s="7" t="s">
        <v>9882</v>
      </c>
      <c r="E1363" s="12" t="str">
        <f>HYPERLINK("https://twitter.com/BSahin_/status/1181929648256684032","1181929648256684032")</f>
        <v>1181929648256684032</v>
      </c>
      <c r="F1363" s="8"/>
      <c r="G1363" s="14" t="s">
        <v>9883</v>
      </c>
      <c r="H1363" s="8"/>
      <c r="I1363" s="15">
        <v>0</v>
      </c>
      <c r="J1363" s="15">
        <v>0</v>
      </c>
      <c r="K1363" s="12" t="str">
        <f>HYPERLINK("http://twitter.com/download/iphone","Twitter for iPhone")</f>
        <v>Twitter for iPhone</v>
      </c>
      <c r="L1363" s="16">
        <v>341</v>
      </c>
      <c r="M1363" s="16">
        <v>1073</v>
      </c>
      <c r="N1363" s="16">
        <v>0</v>
      </c>
      <c r="O1363" s="17"/>
      <c r="P1363" s="18">
        <v>40853.062847222223</v>
      </c>
      <c r="Q1363" s="7" t="s">
        <v>9886</v>
      </c>
      <c r="R1363" s="7" t="s">
        <v>9887</v>
      </c>
      <c r="S1363" s="14" t="s">
        <v>9888</v>
      </c>
      <c r="T1363" s="8"/>
      <c r="U1363" s="19" t="str">
        <f>HYPERLINK("https://pbs.twimg.com/profile_images/1135542296622055424/DJ8TRAhP.png","View")</f>
        <v>View</v>
      </c>
      <c r="V1363" s="8"/>
      <c r="W1363" s="8"/>
      <c r="X1363" s="8"/>
      <c r="Y1363" s="8"/>
      <c r="Z1363" s="8"/>
    </row>
    <row r="1364" spans="1:26" ht="12.75">
      <c r="A1364" s="11">
        <v>43747.284259259264</v>
      </c>
      <c r="B1364" s="12" t="str">
        <f>HYPERLINK("https://twitter.com/Deiikleiyorsun1","@Deiikleiyorsun1")</f>
        <v>@Deiikleiyorsun1</v>
      </c>
      <c r="C1364" s="7" t="s">
        <v>9889</v>
      </c>
      <c r="D1364" s="7" t="s">
        <v>9891</v>
      </c>
      <c r="E1364" s="12" t="str">
        <f>HYPERLINK("https://twitter.com/Deiikleiyorsun1/status/1181929641738723329","1181929641738723329")</f>
        <v>1181929641738723329</v>
      </c>
      <c r="F1364" s="8"/>
      <c r="G1364" s="15"/>
      <c r="H1364" s="8"/>
      <c r="I1364" s="15">
        <v>0</v>
      </c>
      <c r="J1364" s="15">
        <v>0</v>
      </c>
      <c r="K1364" s="12" t="str">
        <f>HYPERLINK("http://twitter.com/download/android","Twitter for Android")</f>
        <v>Twitter for Android</v>
      </c>
      <c r="L1364" s="16">
        <v>37</v>
      </c>
      <c r="M1364" s="16">
        <v>140</v>
      </c>
      <c r="N1364" s="16">
        <v>0</v>
      </c>
      <c r="O1364" s="17"/>
      <c r="P1364" s="18">
        <v>43455.617395833338</v>
      </c>
      <c r="Q1364" s="7"/>
      <c r="R1364" s="7" t="s">
        <v>9893</v>
      </c>
      <c r="S1364" s="7"/>
      <c r="T1364" s="8"/>
      <c r="U1364" s="19" t="str">
        <f>HYPERLINK("https://pbs.twimg.com/profile_images/1076250357716656134/tQljZdEm.jpg","View")</f>
        <v>View</v>
      </c>
      <c r="V1364" s="8"/>
      <c r="W1364" s="8"/>
      <c r="X1364" s="8"/>
      <c r="Y1364" s="8"/>
      <c r="Z1364" s="8"/>
    </row>
    <row r="1365" spans="1:26" ht="12.75">
      <c r="A1365" s="11">
        <v>43747.284236111111</v>
      </c>
      <c r="B1365" s="12" t="str">
        <f>HYPERLINK("https://twitter.com/AhmetFu10656033","@AhmetFu10656033")</f>
        <v>@AhmetFu10656033</v>
      </c>
      <c r="C1365" s="7" t="s">
        <v>9894</v>
      </c>
      <c r="D1365" s="7" t="s">
        <v>9895</v>
      </c>
      <c r="E1365" s="12" t="str">
        <f>HYPERLINK("https://twitter.com/AhmetFu10656033/status/1181929632897077249","1181929632897077249")</f>
        <v>1181929632897077249</v>
      </c>
      <c r="F1365" s="8"/>
      <c r="G1365" s="15"/>
      <c r="H1365" s="8"/>
      <c r="I1365" s="15">
        <v>0</v>
      </c>
      <c r="J1365" s="15">
        <v>0</v>
      </c>
      <c r="K1365" s="12" t="str">
        <f>HYPERLINK("http://twitter.com/download/android","Twitter for Android")</f>
        <v>Twitter for Android</v>
      </c>
      <c r="L1365" s="16">
        <v>5</v>
      </c>
      <c r="M1365" s="16">
        <v>26</v>
      </c>
      <c r="N1365" s="16">
        <v>0</v>
      </c>
      <c r="O1365" s="17"/>
      <c r="P1365" s="18">
        <v>43257.686550925922</v>
      </c>
      <c r="Q1365" s="7"/>
      <c r="R1365" s="7"/>
      <c r="S1365" s="7"/>
      <c r="T1365" s="8"/>
      <c r="U1365" s="19" t="str">
        <f>HYPERLINK("https://pbs.twimg.com/profile_images/1004506247364825088/p-BpWPHJ.jpg","View")</f>
        <v>View</v>
      </c>
      <c r="V1365" s="8"/>
      <c r="W1365" s="8"/>
      <c r="X1365" s="8"/>
      <c r="Y1365" s="8"/>
      <c r="Z1365" s="8"/>
    </row>
    <row r="1366" spans="1:26" ht="12.75">
      <c r="A1366" s="11">
        <v>43747.284224537041</v>
      </c>
      <c r="B1366" s="12" t="str">
        <f>HYPERLINK("https://twitter.com/srknbozkurt_","@srknbozkurt_")</f>
        <v>@srknbozkurt_</v>
      </c>
      <c r="C1366" s="7" t="s">
        <v>9896</v>
      </c>
      <c r="D1366" s="7" t="s">
        <v>9897</v>
      </c>
      <c r="E1366" s="12" t="str">
        <f>HYPERLINK("https://twitter.com/srknbozkurt_/status/1181929627977170946","1181929627977170946")</f>
        <v>1181929627977170946</v>
      </c>
      <c r="F1366" s="15"/>
      <c r="G1366" s="7"/>
      <c r="H1366" s="8"/>
      <c r="I1366" s="15">
        <v>0</v>
      </c>
      <c r="J1366" s="15">
        <v>1</v>
      </c>
      <c r="K1366" s="12" t="str">
        <f>HYPERLINK("https://mobile.twitter.com","Twitter Web App")</f>
        <v>Twitter Web App</v>
      </c>
      <c r="L1366" s="16">
        <v>28</v>
      </c>
      <c r="M1366" s="16">
        <v>49</v>
      </c>
      <c r="N1366" s="16">
        <v>0</v>
      </c>
      <c r="O1366" s="17"/>
      <c r="P1366" s="18">
        <v>40984.982638888891</v>
      </c>
      <c r="Q1366" s="7"/>
      <c r="R1366" s="7"/>
      <c r="S1366" s="7"/>
      <c r="T1366" s="8"/>
      <c r="U1366" s="19" t="str">
        <f>HYPERLINK("https://pbs.twimg.com/profile_images/1106506326203600896/SB72_Xbz.jpg","View")</f>
        <v>View</v>
      </c>
      <c r="V1366" s="8"/>
      <c r="W1366" s="8"/>
      <c r="X1366" s="8"/>
      <c r="Y1366" s="8"/>
      <c r="Z1366" s="8"/>
    </row>
    <row r="1367" spans="1:26" ht="12.75">
      <c r="A1367" s="11">
        <v>43747.284201388888</v>
      </c>
      <c r="B1367" s="12" t="str">
        <f>HYPERLINK("https://twitter.com/HanaComani","@HanaComani")</f>
        <v>@HanaComani</v>
      </c>
      <c r="C1367" s="7" t="s">
        <v>9898</v>
      </c>
      <c r="D1367" s="7" t="s">
        <v>9899</v>
      </c>
      <c r="E1367" s="12" t="str">
        <f>HYPERLINK("https://twitter.com/HanaComani/status/1181929621341769729","1181929621341769729")</f>
        <v>1181929621341769729</v>
      </c>
      <c r="F1367" s="8"/>
      <c r="G1367" s="14" t="s">
        <v>9900</v>
      </c>
      <c r="H1367" s="8"/>
      <c r="I1367" s="15">
        <v>5</v>
      </c>
      <c r="J1367" s="15">
        <v>4</v>
      </c>
      <c r="K1367" s="12" t="str">
        <f>HYPERLINK("http://twitter.com/download/iphone","Twitter for iPhone")</f>
        <v>Twitter for iPhone</v>
      </c>
      <c r="L1367" s="16">
        <v>2830</v>
      </c>
      <c r="M1367" s="16">
        <v>3507</v>
      </c>
      <c r="N1367" s="16">
        <v>14</v>
      </c>
      <c r="O1367" s="17"/>
      <c r="P1367" s="18">
        <v>40903.627442129626</v>
      </c>
      <c r="Q1367" s="7" t="s">
        <v>9901</v>
      </c>
      <c r="R1367" s="7"/>
      <c r="S1367" s="7"/>
      <c r="T1367" s="8"/>
      <c r="U1367" s="19" t="str">
        <f>HYPERLINK("https://pbs.twimg.com/profile_images/1181290869338431488/zUW0gVUk.jpg","View")</f>
        <v>View</v>
      </c>
      <c r="V1367" s="8"/>
      <c r="W1367" s="8"/>
      <c r="X1367" s="8"/>
      <c r="Y1367" s="8"/>
      <c r="Z1367" s="8"/>
    </row>
    <row r="1368" spans="1:26" ht="12.75">
      <c r="A1368" s="11">
        <v>43747.284201388888</v>
      </c>
      <c r="B1368" s="12" t="str">
        <f>HYPERLINK("https://twitter.com/suletuygar","@suletuygar")</f>
        <v>@suletuygar</v>
      </c>
      <c r="C1368" s="7" t="s">
        <v>9902</v>
      </c>
      <c r="D1368" s="7" t="s">
        <v>9903</v>
      </c>
      <c r="E1368" s="12" t="str">
        <f>HYPERLINK("https://twitter.com/suletuygar/status/1181929619919970304","1181929619919970304")</f>
        <v>1181929619919970304</v>
      </c>
      <c r="F1368" s="8"/>
      <c r="G1368" s="7"/>
      <c r="H1368" s="8"/>
      <c r="I1368" s="15">
        <v>0</v>
      </c>
      <c r="J1368" s="15">
        <v>0</v>
      </c>
      <c r="K1368" s="12" t="str">
        <f>HYPERLINK("http://twitter.com/download/iphone","Twitter for iPhone")</f>
        <v>Twitter for iPhone</v>
      </c>
      <c r="L1368" s="16">
        <v>31</v>
      </c>
      <c r="M1368" s="16">
        <v>58</v>
      </c>
      <c r="N1368" s="16">
        <v>0</v>
      </c>
      <c r="O1368" s="17"/>
      <c r="P1368" s="18">
        <v>42152.37195601852</v>
      </c>
      <c r="Q1368" s="7"/>
      <c r="R1368" s="7"/>
      <c r="S1368" s="7"/>
      <c r="T1368" s="8"/>
      <c r="U1368" s="19" t="str">
        <f>HYPERLINK("https://pbs.twimg.com/profile_images/641344674616049664/H1Ar1DCz.jpg","View")</f>
        <v>View</v>
      </c>
      <c r="V1368" s="8"/>
      <c r="W1368" s="8"/>
      <c r="X1368" s="8"/>
      <c r="Y1368" s="8"/>
      <c r="Z1368" s="8"/>
    </row>
    <row r="1369" spans="1:26" ht="12.75">
      <c r="A1369" s="11">
        <v>43747.284178240741</v>
      </c>
      <c r="B1369" s="12" t="str">
        <f>HYPERLINK("https://twitter.com/YusufGl38","@YusufGl38")</f>
        <v>@YusufGl38</v>
      </c>
      <c r="C1369" s="7" t="s">
        <v>9907</v>
      </c>
      <c r="D1369" s="7" t="s">
        <v>9909</v>
      </c>
      <c r="E1369" s="12" t="str">
        <f>HYPERLINK("https://twitter.com/YusufGl38/status/1181929612290469889","1181929612290469889")</f>
        <v>1181929612290469889</v>
      </c>
      <c r="F1369" s="8"/>
      <c r="G1369" s="7"/>
      <c r="H1369" s="8"/>
      <c r="I1369" s="15">
        <v>0</v>
      </c>
      <c r="J1369" s="15">
        <v>0</v>
      </c>
      <c r="K1369" s="12" t="str">
        <f>HYPERLINK("http://twitter.com/download/android","Twitter for Android")</f>
        <v>Twitter for Android</v>
      </c>
      <c r="L1369" s="16">
        <v>79</v>
      </c>
      <c r="M1369" s="16">
        <v>157</v>
      </c>
      <c r="N1369" s="16">
        <v>0</v>
      </c>
      <c r="O1369" s="17"/>
      <c r="P1369" s="18">
        <v>40844.294409722221</v>
      </c>
      <c r="Q1369" s="7" t="s">
        <v>918</v>
      </c>
      <c r="R1369" s="7"/>
      <c r="S1369" s="7"/>
      <c r="T1369" s="8"/>
      <c r="U1369" s="19" t="str">
        <f>HYPERLINK("https://pbs.twimg.com/profile_images/1113251642806239232/hdDH6K3b.jpg","View")</f>
        <v>View</v>
      </c>
      <c r="V1369" s="8"/>
      <c r="W1369" s="8"/>
      <c r="X1369" s="8"/>
      <c r="Y1369" s="8"/>
      <c r="Z1369" s="8"/>
    </row>
    <row r="1370" spans="1:26" ht="12.75">
      <c r="A1370" s="11">
        <v>43747.284108796295</v>
      </c>
      <c r="B1370" s="12" t="str">
        <f>HYPERLINK("https://twitter.com/aytekinok_","@aytekinok_")</f>
        <v>@aytekinok_</v>
      </c>
      <c r="C1370" s="7" t="s">
        <v>9911</v>
      </c>
      <c r="D1370" s="7" t="s">
        <v>9912</v>
      </c>
      <c r="E1370" s="12" t="str">
        <f>HYPERLINK("https://twitter.com/aytekinok_/status/1181929589158957057","1181929589158957057")</f>
        <v>1181929589158957057</v>
      </c>
      <c r="F1370" s="8"/>
      <c r="G1370" s="7"/>
      <c r="H1370" s="8"/>
      <c r="I1370" s="15">
        <v>0</v>
      </c>
      <c r="J1370" s="15">
        <v>0</v>
      </c>
      <c r="K1370" s="12" t="str">
        <f>HYPERLINK("https://mobile.twitter.com","Twitter Web App")</f>
        <v>Twitter Web App</v>
      </c>
      <c r="L1370" s="16">
        <v>11</v>
      </c>
      <c r="M1370" s="16">
        <v>40</v>
      </c>
      <c r="N1370" s="16">
        <v>0</v>
      </c>
      <c r="O1370" s="17"/>
      <c r="P1370" s="18">
        <v>42573.066412037035</v>
      </c>
      <c r="Q1370" s="7"/>
      <c r="R1370" s="7" t="s">
        <v>807</v>
      </c>
      <c r="S1370" s="7"/>
      <c r="T1370" s="8"/>
      <c r="U1370" s="19" t="str">
        <f>HYPERLINK("https://pbs.twimg.com/profile_images/1179016531025518592/proKCOwj.jpg","View")</f>
        <v>View</v>
      </c>
      <c r="V1370" s="8"/>
      <c r="W1370" s="8"/>
      <c r="X1370" s="8"/>
      <c r="Y1370" s="8"/>
      <c r="Z1370" s="8"/>
    </row>
    <row r="1371" spans="1:26" ht="12.75">
      <c r="A1371" s="11">
        <v>43747.284085648149</v>
      </c>
      <c r="B1371" s="12" t="str">
        <f>HYPERLINK("https://twitter.com/ademoztrk3","@ademoztrk3")</f>
        <v>@ademoztrk3</v>
      </c>
      <c r="C1371" s="7" t="s">
        <v>9919</v>
      </c>
      <c r="D1371" s="7" t="s">
        <v>9920</v>
      </c>
      <c r="E1371" s="12" t="str">
        <f>HYPERLINK("https://twitter.com/ademoztrk3/status/1181929577049985024","1181929577049985024")</f>
        <v>1181929577049985024</v>
      </c>
      <c r="F1371" s="8"/>
      <c r="G1371" s="14" t="s">
        <v>9921</v>
      </c>
      <c r="H1371" s="8"/>
      <c r="I1371" s="15">
        <v>5</v>
      </c>
      <c r="J1371" s="15">
        <v>6</v>
      </c>
      <c r="K1371" s="12" t="str">
        <f>HYPERLINK("http://twitter.com/download/android","Twitter for Android")</f>
        <v>Twitter for Android</v>
      </c>
      <c r="L1371" s="16">
        <v>1110</v>
      </c>
      <c r="M1371" s="16">
        <v>213</v>
      </c>
      <c r="N1371" s="16">
        <v>0</v>
      </c>
      <c r="O1371" s="17"/>
      <c r="P1371" s="18">
        <v>43360.58</v>
      </c>
      <c r="Q1371" s="7" t="s">
        <v>200</v>
      </c>
      <c r="R1371" s="7" t="s">
        <v>9923</v>
      </c>
      <c r="S1371" s="7"/>
      <c r="T1371" s="8"/>
      <c r="U1371" s="19" t="str">
        <f>HYPERLINK("https://pbs.twimg.com/profile_images/1176849988929896448/ZudHhUbZ.jpg","View")</f>
        <v>View</v>
      </c>
      <c r="V1371" s="8"/>
      <c r="W1371" s="8"/>
      <c r="X1371" s="8"/>
      <c r="Y1371" s="8"/>
      <c r="Z1371" s="8"/>
    </row>
    <row r="1372" spans="1:26" ht="12.75">
      <c r="A1372" s="11">
        <v>43747.28396990741</v>
      </c>
      <c r="B1372" s="12" t="str">
        <f>HYPERLINK("https://twitter.com/trfszhaberci","@trfszhaberci")</f>
        <v>@trfszhaberci</v>
      </c>
      <c r="C1372" s="7" t="s">
        <v>9930</v>
      </c>
      <c r="D1372" s="7" t="s">
        <v>3821</v>
      </c>
      <c r="E1372" s="12" t="str">
        <f>HYPERLINK("https://twitter.com/trfszhaberci/status/1181929539091537920","1181929539091537920")</f>
        <v>1181929539091537920</v>
      </c>
      <c r="F1372" s="15"/>
      <c r="G1372" s="14" t="s">
        <v>9931</v>
      </c>
      <c r="H1372" s="8"/>
      <c r="I1372" s="15">
        <v>0</v>
      </c>
      <c r="J1372" s="15">
        <v>0</v>
      </c>
      <c r="K1372" s="12" t="str">
        <f>HYPERLINK("http://twitter.com/download/android","Twitter for Android")</f>
        <v>Twitter for Android</v>
      </c>
      <c r="L1372" s="16">
        <v>240</v>
      </c>
      <c r="M1372" s="16">
        <v>341</v>
      </c>
      <c r="N1372" s="16">
        <v>0</v>
      </c>
      <c r="O1372" s="17"/>
      <c r="P1372" s="18">
        <v>43539.052986111114</v>
      </c>
      <c r="Q1372" s="7" t="s">
        <v>9932</v>
      </c>
      <c r="R1372" s="7" t="s">
        <v>9933</v>
      </c>
      <c r="S1372" s="14" t="s">
        <v>9934</v>
      </c>
      <c r="T1372" s="8"/>
      <c r="U1372" s="19" t="str">
        <f>HYPERLINK("https://pbs.twimg.com/profile_images/1169721031281565696/ABcRgHD1.jpg","View")</f>
        <v>View</v>
      </c>
      <c r="V1372" s="8"/>
      <c r="W1372" s="8"/>
      <c r="X1372" s="8"/>
      <c r="Y1372" s="8"/>
      <c r="Z1372" s="8"/>
    </row>
    <row r="1373" spans="1:26" ht="12.75">
      <c r="A1373" s="11">
        <v>43747.28396990741</v>
      </c>
      <c r="B1373" s="12" t="str">
        <f>HYPERLINK("https://twitter.com/alpruluer","@alpruluer")</f>
        <v>@alpruluer</v>
      </c>
      <c r="C1373" s="7" t="s">
        <v>9938</v>
      </c>
      <c r="D1373" s="7" t="s">
        <v>9939</v>
      </c>
      <c r="E1373" s="12" t="str">
        <f>HYPERLINK("https://twitter.com/alpruluer/status/1181929538437226497","1181929538437226497")</f>
        <v>1181929538437226497</v>
      </c>
      <c r="F1373" s="15"/>
      <c r="G1373" s="14" t="s">
        <v>9940</v>
      </c>
      <c r="H1373" s="8"/>
      <c r="I1373" s="15">
        <v>0</v>
      </c>
      <c r="J1373" s="15">
        <v>2</v>
      </c>
      <c r="K1373" s="12" t="str">
        <f>HYPERLINK("http://twitter.com/download/android","Twitter for Android")</f>
        <v>Twitter for Android</v>
      </c>
      <c r="L1373" s="16">
        <v>249</v>
      </c>
      <c r="M1373" s="16">
        <v>239</v>
      </c>
      <c r="N1373" s="16">
        <v>0</v>
      </c>
      <c r="O1373" s="17"/>
      <c r="P1373" s="18">
        <v>40835.496053240742</v>
      </c>
      <c r="Q1373" s="7" t="s">
        <v>9941</v>
      </c>
      <c r="R1373" s="7" t="s">
        <v>9942</v>
      </c>
      <c r="S1373" s="15"/>
      <c r="T1373" s="8"/>
      <c r="U1373" s="19" t="str">
        <f>HYPERLINK("https://pbs.twimg.com/profile_images/1001528140643135488/OT_j-UCT.jpg","View")</f>
        <v>View</v>
      </c>
      <c r="V1373" s="8"/>
      <c r="W1373" s="8"/>
      <c r="X1373" s="8"/>
      <c r="Y1373" s="8"/>
      <c r="Z1373" s="8"/>
    </row>
    <row r="1374" spans="1:26" ht="12.75">
      <c r="A1374" s="11">
        <v>43747.283958333333</v>
      </c>
      <c r="B1374" s="12" t="str">
        <f>HYPERLINK("https://twitter.com/kcl_kyl","@kcl_kyl")</f>
        <v>@kcl_kyl</v>
      </c>
      <c r="C1374" s="7" t="s">
        <v>9943</v>
      </c>
      <c r="D1374" s="7" t="s">
        <v>9944</v>
      </c>
      <c r="E1374" s="12" t="str">
        <f>HYPERLINK("https://twitter.com/kcl_kyl/status/1181929531600490497","1181929531600490497")</f>
        <v>1181929531600490497</v>
      </c>
      <c r="F1374" s="8"/>
      <c r="G1374" s="14" t="s">
        <v>9945</v>
      </c>
      <c r="H1374" s="8"/>
      <c r="I1374" s="15">
        <v>0</v>
      </c>
      <c r="J1374" s="15">
        <v>0</v>
      </c>
      <c r="K1374" s="12" t="str">
        <f>HYPERLINK("https://mobile.twitter.com","Twitter Web App")</f>
        <v>Twitter Web App</v>
      </c>
      <c r="L1374" s="16">
        <v>1094</v>
      </c>
      <c r="M1374" s="16">
        <v>1125</v>
      </c>
      <c r="N1374" s="16">
        <v>3</v>
      </c>
      <c r="O1374" s="17"/>
      <c r="P1374" s="18">
        <v>41544.860486111109</v>
      </c>
      <c r="Q1374" s="7" t="s">
        <v>313</v>
      </c>
      <c r="R1374" s="7" t="s">
        <v>9948</v>
      </c>
      <c r="S1374" s="15"/>
      <c r="T1374" s="8"/>
      <c r="U1374" s="19" t="str">
        <f>HYPERLINK("https://pbs.twimg.com/profile_images/853732588007165954/nFZjkpLu.jpg","View")</f>
        <v>View</v>
      </c>
      <c r="V1374" s="8"/>
      <c r="W1374" s="8"/>
      <c r="X1374" s="8"/>
      <c r="Y1374" s="8"/>
      <c r="Z1374" s="8"/>
    </row>
    <row r="1375" spans="1:26" ht="12.75">
      <c r="A1375" s="11">
        <v>43747.283946759257</v>
      </c>
      <c r="B1375" s="12" t="str">
        <f>HYPERLINK("https://twitter.com/tabikiizmir","@tabikiizmir")</f>
        <v>@tabikiizmir</v>
      </c>
      <c r="C1375" s="7" t="s">
        <v>1622</v>
      </c>
      <c r="D1375" s="7" t="s">
        <v>9951</v>
      </c>
      <c r="E1375" s="12" t="str">
        <f>HYPERLINK("https://twitter.com/tabikiizmir/status/1181929529318752256","1181929529318752256")</f>
        <v>1181929529318752256</v>
      </c>
      <c r="F1375" s="8"/>
      <c r="G1375" s="14" t="s">
        <v>9952</v>
      </c>
      <c r="H1375" s="8"/>
      <c r="I1375" s="15">
        <v>0</v>
      </c>
      <c r="J1375" s="15">
        <v>1</v>
      </c>
      <c r="K1375" s="12" t="str">
        <f>HYPERLINK("https://about.twitter.com/products/tweetdeck","TweetDeck")</f>
        <v>TweetDeck</v>
      </c>
      <c r="L1375" s="16">
        <v>19567</v>
      </c>
      <c r="M1375" s="16">
        <v>19139</v>
      </c>
      <c r="N1375" s="16">
        <v>7</v>
      </c>
      <c r="O1375" s="17"/>
      <c r="P1375" s="18">
        <v>42785.179560185185</v>
      </c>
      <c r="Q1375" s="7"/>
      <c r="R1375" s="7" t="s">
        <v>9953</v>
      </c>
      <c r="S1375" s="15"/>
      <c r="T1375" s="8"/>
      <c r="U1375" s="19" t="str">
        <f>HYPERLINK("https://pbs.twimg.com/profile_images/1038539094127792128/YbZ6nyEv.jpg","View")</f>
        <v>View</v>
      </c>
      <c r="V1375" s="8"/>
      <c r="W1375" s="8"/>
      <c r="X1375" s="8"/>
      <c r="Y1375" s="8"/>
      <c r="Z1375" s="8"/>
    </row>
    <row r="1376" spans="1:26" ht="12.75">
      <c r="A1376" s="11">
        <v>43747.283946759257</v>
      </c>
      <c r="B1376" s="12" t="str">
        <f>HYPERLINK("https://twitter.com/Siradanin1i","@Siradanin1i")</f>
        <v>@Siradanin1i</v>
      </c>
      <c r="C1376" s="7" t="s">
        <v>9956</v>
      </c>
      <c r="D1376" s="7" t="s">
        <v>9957</v>
      </c>
      <c r="E1376" s="12" t="str">
        <f>HYPERLINK("https://twitter.com/Siradanin1i/status/1181929528182087680","1181929528182087680")</f>
        <v>1181929528182087680</v>
      </c>
      <c r="F1376" s="8"/>
      <c r="G1376" s="14" t="s">
        <v>9959</v>
      </c>
      <c r="H1376" s="8"/>
      <c r="I1376" s="15">
        <v>12</v>
      </c>
      <c r="J1376" s="15">
        <v>27</v>
      </c>
      <c r="K1376" s="12" t="str">
        <f>HYPERLINK("https://mobile.twitter.com","Twitter Web App")</f>
        <v>Twitter Web App</v>
      </c>
      <c r="L1376" s="16">
        <v>5154</v>
      </c>
      <c r="M1376" s="16">
        <v>4762</v>
      </c>
      <c r="N1376" s="16">
        <v>1</v>
      </c>
      <c r="O1376" s="17"/>
      <c r="P1376" s="18">
        <v>42046.195358796293</v>
      </c>
      <c r="Q1376" s="7" t="s">
        <v>200</v>
      </c>
      <c r="R1376" s="7" t="s">
        <v>9961</v>
      </c>
      <c r="S1376" s="7"/>
      <c r="T1376" s="8"/>
      <c r="U1376" s="19" t="str">
        <f>HYPERLINK("https://pbs.twimg.com/profile_images/1181666350403608576/8EsVksiY.jpg","View")</f>
        <v>View</v>
      </c>
      <c r="V1376" s="8"/>
      <c r="W1376" s="8"/>
      <c r="X1376" s="8"/>
      <c r="Y1376" s="8"/>
      <c r="Z1376" s="8"/>
    </row>
    <row r="1377" spans="1:26" ht="12.75">
      <c r="A1377" s="11">
        <v>43747.283900462964</v>
      </c>
      <c r="B1377" s="12" t="str">
        <f>HYPERLINK("https://twitter.com/saygidegerhamza","@saygidegerhamza")</f>
        <v>@saygidegerhamza</v>
      </c>
      <c r="C1377" s="7" t="s">
        <v>9962</v>
      </c>
      <c r="D1377" s="7" t="s">
        <v>9963</v>
      </c>
      <c r="E1377" s="12" t="str">
        <f>HYPERLINK("https://twitter.com/saygidegerhamza/status/1181929513258749952","1181929513258749952")</f>
        <v>1181929513258749952</v>
      </c>
      <c r="F1377" s="8"/>
      <c r="G1377" s="7"/>
      <c r="H1377" s="8"/>
      <c r="I1377" s="15">
        <v>0</v>
      </c>
      <c r="J1377" s="15">
        <v>0</v>
      </c>
      <c r="K1377" s="12" t="str">
        <f>HYPERLINK("http://twitter.com/download/iphone","Twitter for iPhone")</f>
        <v>Twitter for iPhone</v>
      </c>
      <c r="L1377" s="16">
        <v>137</v>
      </c>
      <c r="M1377" s="16">
        <v>122</v>
      </c>
      <c r="N1377" s="16">
        <v>1</v>
      </c>
      <c r="O1377" s="17"/>
      <c r="P1377" s="18">
        <v>41537.356076388889</v>
      </c>
      <c r="Q1377" s="7"/>
      <c r="R1377" s="7" t="s">
        <v>9966</v>
      </c>
      <c r="S1377" s="14" t="s">
        <v>9967</v>
      </c>
      <c r="T1377" s="8"/>
      <c r="U1377" s="19" t="str">
        <f>HYPERLINK("https://pbs.twimg.com/profile_images/1038158836710957056/ntpbcAv2.jpg","View")</f>
        <v>View</v>
      </c>
      <c r="V1377" s="8"/>
      <c r="W1377" s="8"/>
      <c r="X1377" s="8"/>
      <c r="Y1377" s="8"/>
      <c r="Z1377" s="8"/>
    </row>
    <row r="1378" spans="1:26" ht="12.75">
      <c r="A1378" s="11">
        <v>43747.283900462964</v>
      </c>
      <c r="B1378" s="12" t="str">
        <f>HYPERLINK("https://twitter.com/alicanaliakay","@alicanaliakay")</f>
        <v>@alicanaliakay</v>
      </c>
      <c r="C1378" s="7" t="s">
        <v>9971</v>
      </c>
      <c r="D1378" s="7" t="s">
        <v>9972</v>
      </c>
      <c r="E1378" s="12" t="str">
        <f>HYPERLINK("https://twitter.com/alicanaliakay/status/1181929512768020481","1181929512768020481")</f>
        <v>1181929512768020481</v>
      </c>
      <c r="F1378" s="8"/>
      <c r="G1378" s="14" t="s">
        <v>9973</v>
      </c>
      <c r="H1378" s="8"/>
      <c r="I1378" s="15">
        <v>0</v>
      </c>
      <c r="J1378" s="15">
        <v>0</v>
      </c>
      <c r="K1378" s="12" t="str">
        <f>HYPERLINK("http://twitter.com/download/iphone","Twitter for iPhone")</f>
        <v>Twitter for iPhone</v>
      </c>
      <c r="L1378" s="16">
        <v>187</v>
      </c>
      <c r="M1378" s="16">
        <v>394</v>
      </c>
      <c r="N1378" s="16">
        <v>1</v>
      </c>
      <c r="O1378" s="17"/>
      <c r="P1378" s="18">
        <v>42406.272974537038</v>
      </c>
      <c r="Q1378" s="7" t="s">
        <v>313</v>
      </c>
      <c r="R1378" s="15" t="s">
        <v>9974</v>
      </c>
      <c r="S1378" s="15"/>
      <c r="T1378" s="8"/>
      <c r="U1378" s="19" t="str">
        <f>HYPERLINK("https://pbs.twimg.com/profile_images/817839563385274369/RgAEpagT.jpg","View")</f>
        <v>View</v>
      </c>
      <c r="V1378" s="8"/>
      <c r="W1378" s="8"/>
      <c r="X1378" s="8"/>
      <c r="Y1378" s="8"/>
      <c r="Z1378" s="8"/>
    </row>
    <row r="1379" spans="1:26" ht="12.75">
      <c r="A1379" s="11">
        <v>43747.283877314811</v>
      </c>
      <c r="B1379" s="12" t="str">
        <f>HYPERLINK("https://twitter.com/ELazg_","@ELazg_")</f>
        <v>@ELazg_</v>
      </c>
      <c r="C1379" s="7" t="s">
        <v>9977</v>
      </c>
      <c r="D1379" s="7" t="s">
        <v>9978</v>
      </c>
      <c r="E1379" s="12" t="str">
        <f>HYPERLINK("https://twitter.com/ELazg_/status/1181929503238606848","1181929503238606848")</f>
        <v>1181929503238606848</v>
      </c>
      <c r="F1379" s="8"/>
      <c r="G1379" s="14" t="s">
        <v>9979</v>
      </c>
      <c r="H1379" s="8"/>
      <c r="I1379" s="15">
        <v>4</v>
      </c>
      <c r="J1379" s="15">
        <v>22</v>
      </c>
      <c r="K1379" s="12" t="str">
        <f>HYPERLINK("http://twitter.com/download/iphone","Twitter for iPhone")</f>
        <v>Twitter for iPhone</v>
      </c>
      <c r="L1379" s="16">
        <v>4101</v>
      </c>
      <c r="M1379" s="16">
        <v>1181</v>
      </c>
      <c r="N1379" s="16">
        <v>5</v>
      </c>
      <c r="O1379" s="17"/>
      <c r="P1379" s="18">
        <v>42359.533819444448</v>
      </c>
      <c r="Q1379" s="7" t="s">
        <v>9980</v>
      </c>
      <c r="R1379" s="7" t="s">
        <v>9981</v>
      </c>
      <c r="S1379" s="7"/>
      <c r="T1379" s="8"/>
      <c r="U1379" s="19" t="str">
        <f>HYPERLINK("https://pbs.twimg.com/profile_images/823124132791468032/4mzj8WXG.jpg","View")</f>
        <v>View</v>
      </c>
      <c r="V1379" s="8"/>
      <c r="W1379" s="8"/>
      <c r="X1379" s="8"/>
      <c r="Y1379" s="8"/>
      <c r="Z1379" s="8"/>
    </row>
    <row r="1380" spans="1:26" ht="12.75">
      <c r="A1380" s="11">
        <v>43747.283761574072</v>
      </c>
      <c r="B1380" s="12" t="str">
        <f>HYPERLINK("https://twitter.com/9uncuvesonuncu","@9uncuvesonuncu")</f>
        <v>@9uncuvesonuncu</v>
      </c>
      <c r="C1380" s="7" t="s">
        <v>9982</v>
      </c>
      <c r="D1380" s="7" t="s">
        <v>9983</v>
      </c>
      <c r="E1380" s="12" t="str">
        <f>HYPERLINK("https://twitter.com/9uncuvesonuncu/status/1181929460947390464","1181929460947390464")</f>
        <v>1181929460947390464</v>
      </c>
      <c r="F1380" s="8"/>
      <c r="G1380" s="15"/>
      <c r="H1380" s="8"/>
      <c r="I1380" s="15">
        <v>0</v>
      </c>
      <c r="J1380" s="15">
        <v>0</v>
      </c>
      <c r="K1380" s="12" t="str">
        <f>HYPERLINK("http://twitter.com/download/android","Twitter for Android")</f>
        <v>Twitter for Android</v>
      </c>
      <c r="L1380" s="16">
        <v>197</v>
      </c>
      <c r="M1380" s="16">
        <v>245</v>
      </c>
      <c r="N1380" s="16">
        <v>0</v>
      </c>
      <c r="O1380" s="17"/>
      <c r="P1380" s="18">
        <v>42604.872418981482</v>
      </c>
      <c r="Q1380" s="7" t="s">
        <v>9984</v>
      </c>
      <c r="R1380" s="7" t="s">
        <v>9985</v>
      </c>
      <c r="S1380" s="7"/>
      <c r="T1380" s="8"/>
      <c r="U1380" s="19" t="str">
        <f>HYPERLINK("https://pbs.twimg.com/profile_images/1177879508680138752/oOPCX8UY.jpg","View")</f>
        <v>View</v>
      </c>
      <c r="V1380" s="8"/>
      <c r="W1380" s="8"/>
      <c r="X1380" s="8"/>
      <c r="Y1380" s="8"/>
      <c r="Z1380" s="8"/>
    </row>
    <row r="1381" spans="1:26" ht="12.75">
      <c r="A1381" s="11">
        <v>43747.283750000002</v>
      </c>
      <c r="B1381" s="12" t="str">
        <f>HYPERLINK("https://twitter.com/Clueless_Robot","@Clueless_Robot")</f>
        <v>@Clueless_Robot</v>
      </c>
      <c r="C1381" s="7" t="s">
        <v>9988</v>
      </c>
      <c r="D1381" s="7" t="s">
        <v>9989</v>
      </c>
      <c r="E1381" s="12" t="str">
        <f>HYPERLINK("https://twitter.com/Clueless_Robot/status/1181929458451861505","1181929458451861505")</f>
        <v>1181929458451861505</v>
      </c>
      <c r="F1381" s="8"/>
      <c r="G1381" s="15"/>
      <c r="H1381" s="8"/>
      <c r="I1381" s="15">
        <v>0</v>
      </c>
      <c r="J1381" s="15">
        <v>0</v>
      </c>
      <c r="K1381" s="12" t="str">
        <f>HYPERLINK("http://twitter.com/download/iphone","Twitter for iPhone")</f>
        <v>Twitter for iPhone</v>
      </c>
      <c r="L1381" s="16">
        <v>30</v>
      </c>
      <c r="M1381" s="16">
        <v>942</v>
      </c>
      <c r="N1381" s="16">
        <v>0</v>
      </c>
      <c r="O1381" s="17"/>
      <c r="P1381" s="18">
        <v>43547.972326388888</v>
      </c>
      <c r="Q1381" s="7"/>
      <c r="R1381" s="7" t="s">
        <v>9990</v>
      </c>
      <c r="S1381" s="7"/>
      <c r="T1381" s="8"/>
      <c r="U1381" s="19" t="str">
        <f>HYPERLINK("https://pbs.twimg.com/profile_images/1109702134986141696/SslztaoN.jpg","View")</f>
        <v>View</v>
      </c>
      <c r="V1381" s="8"/>
      <c r="W1381" s="8"/>
      <c r="X1381" s="8"/>
      <c r="Y1381" s="8"/>
      <c r="Z1381" s="8"/>
    </row>
    <row r="1382" spans="1:26" ht="12.75">
      <c r="A1382" s="11">
        <v>43747.283738425926</v>
      </c>
      <c r="B1382" s="12" t="str">
        <f>HYPERLINK("https://twitter.com/taluy_ka","@taluy_ka")</f>
        <v>@taluy_ka</v>
      </c>
      <c r="C1382" s="7" t="s">
        <v>9992</v>
      </c>
      <c r="D1382" s="7" t="s">
        <v>9993</v>
      </c>
      <c r="E1382" s="12" t="str">
        <f>HYPERLINK("https://twitter.com/taluy_ka/status/1181929452386881536","1181929452386881536")</f>
        <v>1181929452386881536</v>
      </c>
      <c r="F1382" s="8"/>
      <c r="G1382" s="14" t="s">
        <v>9995</v>
      </c>
      <c r="H1382" s="8"/>
      <c r="I1382" s="15">
        <v>0</v>
      </c>
      <c r="J1382" s="15">
        <v>1</v>
      </c>
      <c r="K1382" s="12" t="str">
        <f>HYPERLINK("http://twitter.com/download/android","Twitter for Android")</f>
        <v>Twitter for Android</v>
      </c>
      <c r="L1382" s="16">
        <v>6</v>
      </c>
      <c r="M1382" s="16">
        <v>46</v>
      </c>
      <c r="N1382" s="16">
        <v>0</v>
      </c>
      <c r="O1382" s="17"/>
      <c r="P1382" s="18">
        <v>43578.571006944447</v>
      </c>
      <c r="Q1382" s="7" t="s">
        <v>2201</v>
      </c>
      <c r="R1382" s="7" t="s">
        <v>9996</v>
      </c>
      <c r="S1382" s="15"/>
      <c r="T1382" s="8"/>
      <c r="U1382" s="19" t="str">
        <f>HYPERLINK("https://pbs.twimg.com/profile_images/1170788602005135361/HL5iA1ec.jpg","View")</f>
        <v>View</v>
      </c>
      <c r="V1382" s="8"/>
      <c r="W1382" s="8"/>
      <c r="X1382" s="8"/>
      <c r="Y1382" s="8"/>
      <c r="Z1382" s="8"/>
    </row>
    <row r="1383" spans="1:26" ht="12.75">
      <c r="A1383" s="11">
        <v>43747.283738425926</v>
      </c>
      <c r="B1383" s="12" t="str">
        <f>HYPERLINK("https://twitter.com/Boyan_M","@Boyan_M")</f>
        <v>@Boyan_M</v>
      </c>
      <c r="C1383" s="7" t="s">
        <v>9997</v>
      </c>
      <c r="D1383" s="7" t="s">
        <v>9998</v>
      </c>
      <c r="E1383" s="12" t="str">
        <f>HYPERLINK("https://twitter.com/Boyan_M/status/1181929451451506688","1181929451451506688")</f>
        <v>1181929451451506688</v>
      </c>
      <c r="F1383" s="8"/>
      <c r="G1383" s="15"/>
      <c r="H1383" s="8"/>
      <c r="I1383" s="15">
        <v>0</v>
      </c>
      <c r="J1383" s="15">
        <v>0</v>
      </c>
      <c r="K1383" s="12" t="str">
        <f>HYPERLINK("https://mobile.twitter.com","Twitter Web App")</f>
        <v>Twitter Web App</v>
      </c>
      <c r="L1383" s="16">
        <v>384</v>
      </c>
      <c r="M1383" s="16">
        <v>381</v>
      </c>
      <c r="N1383" s="16">
        <v>12</v>
      </c>
      <c r="O1383" s="17"/>
      <c r="P1383" s="18">
        <v>40808.088113425925</v>
      </c>
      <c r="Q1383" s="7" t="s">
        <v>9999</v>
      </c>
      <c r="R1383" s="7" t="s">
        <v>10000</v>
      </c>
      <c r="S1383" s="14" t="s">
        <v>10001</v>
      </c>
      <c r="T1383" s="8"/>
      <c r="U1383" s="19" t="str">
        <f>HYPERLINK("https://pbs.twimg.com/profile_images/1148214056844742658/u9CcOWny.png","View")</f>
        <v>View</v>
      </c>
      <c r="V1383" s="8"/>
      <c r="W1383" s="8"/>
      <c r="X1383" s="8"/>
      <c r="Y1383" s="8"/>
      <c r="Z1383" s="8"/>
    </row>
    <row r="1384" spans="1:26" ht="12.75">
      <c r="A1384" s="11">
        <v>43747.283715277779</v>
      </c>
      <c r="B1384" s="12" t="str">
        <f>HYPERLINK("https://twitter.com/yusufal41994082","@yusufal41994082")</f>
        <v>@yusufal41994082</v>
      </c>
      <c r="C1384" s="7" t="s">
        <v>10002</v>
      </c>
      <c r="D1384" s="7" t="s">
        <v>10003</v>
      </c>
      <c r="E1384" s="12" t="str">
        <f>HYPERLINK("https://twitter.com/yusufal41994082/status/1181929443566198786","1181929443566198786")</f>
        <v>1181929443566198786</v>
      </c>
      <c r="F1384" s="8"/>
      <c r="G1384" s="15"/>
      <c r="H1384" s="8"/>
      <c r="I1384" s="15">
        <v>0</v>
      </c>
      <c r="J1384" s="15">
        <v>1</v>
      </c>
      <c r="K1384" s="12" t="str">
        <f>HYPERLINK("https://mobile.twitter.com","Twitter Web App")</f>
        <v>Twitter Web App</v>
      </c>
      <c r="L1384" s="16">
        <v>6</v>
      </c>
      <c r="M1384" s="16">
        <v>12</v>
      </c>
      <c r="N1384" s="16">
        <v>0</v>
      </c>
      <c r="O1384" s="17"/>
      <c r="P1384" s="18">
        <v>43737.476041666669</v>
      </c>
      <c r="Q1384" s="7" t="s">
        <v>10004</v>
      </c>
      <c r="R1384" s="7" t="s">
        <v>10005</v>
      </c>
      <c r="S1384" s="7"/>
      <c r="T1384" s="8"/>
      <c r="U1384" s="19" t="str">
        <f>HYPERLINK("https://pbs.twimg.com/profile_images/1178381199968014336/PXCEV83Y.jpg","View")</f>
        <v>View</v>
      </c>
      <c r="V1384" s="8"/>
      <c r="W1384" s="8"/>
      <c r="X1384" s="8"/>
      <c r="Y1384" s="8"/>
      <c r="Z1384" s="8"/>
    </row>
    <row r="1385" spans="1:26" ht="12.75">
      <c r="A1385" s="11">
        <v>43747.283657407403</v>
      </c>
      <c r="B1385" s="12" t="str">
        <f>HYPERLINK("https://twitter.com/sefikersoz","@sefikersoz")</f>
        <v>@sefikersoz</v>
      </c>
      <c r="C1385" s="7" t="s">
        <v>10006</v>
      </c>
      <c r="D1385" s="7" t="s">
        <v>10007</v>
      </c>
      <c r="E1385" s="12" t="str">
        <f>HYPERLINK("https://twitter.com/sefikersoz/status/1181929425757233154","1181929425757233154")</f>
        <v>1181929425757233154</v>
      </c>
      <c r="F1385" s="8"/>
      <c r="G1385" s="14" t="s">
        <v>10008</v>
      </c>
      <c r="H1385" s="8"/>
      <c r="I1385" s="15">
        <v>0</v>
      </c>
      <c r="J1385" s="15">
        <v>4</v>
      </c>
      <c r="K1385" s="12" t="str">
        <f>HYPERLINK("https://mobile.twitter.com","Twitter Web App")</f>
        <v>Twitter Web App</v>
      </c>
      <c r="L1385" s="16">
        <v>10297</v>
      </c>
      <c r="M1385" s="16">
        <v>1482</v>
      </c>
      <c r="N1385" s="16">
        <v>2</v>
      </c>
      <c r="O1385" s="17"/>
      <c r="P1385" s="18">
        <v>40582.114930555559</v>
      </c>
      <c r="Q1385" s="7" t="s">
        <v>10009</v>
      </c>
      <c r="R1385" s="7" t="s">
        <v>10010</v>
      </c>
      <c r="S1385" s="7"/>
      <c r="T1385" s="8"/>
      <c r="U1385" s="19" t="str">
        <f>HYPERLINK("https://pbs.twimg.com/profile_images/1172211150483800064/BFrLDz3s.jpg","View")</f>
        <v>View</v>
      </c>
      <c r="V1385" s="8"/>
      <c r="W1385" s="8"/>
      <c r="X1385" s="8"/>
      <c r="Y1385" s="8"/>
      <c r="Z1385" s="8"/>
    </row>
    <row r="1386" spans="1:26" ht="12.75">
      <c r="A1386" s="11">
        <v>43747.283657407403</v>
      </c>
      <c r="B1386" s="12" t="str">
        <f>HYPERLINK("https://twitter.com/Harun_Gunduz_66","@Harun_Gunduz_66")</f>
        <v>@Harun_Gunduz_66</v>
      </c>
      <c r="C1386" s="13" t="s">
        <v>10011</v>
      </c>
      <c r="D1386" s="7" t="s">
        <v>10012</v>
      </c>
      <c r="E1386" s="12" t="str">
        <f>HYPERLINK("https://twitter.com/Harun_Gunduz_66/status/1181929425392357377","1181929425392357377")</f>
        <v>1181929425392357377</v>
      </c>
      <c r="F1386" s="8"/>
      <c r="G1386" s="15"/>
      <c r="H1386" s="8"/>
      <c r="I1386" s="15">
        <v>0</v>
      </c>
      <c r="J1386" s="15">
        <v>1</v>
      </c>
      <c r="K1386" s="12" t="str">
        <f>HYPERLINK("http://twitter.com/download/iphone","Twitter for iPhone")</f>
        <v>Twitter for iPhone</v>
      </c>
      <c r="L1386" s="16">
        <v>5086</v>
      </c>
      <c r="M1386" s="16">
        <v>5584</v>
      </c>
      <c r="N1386" s="16">
        <v>2</v>
      </c>
      <c r="O1386" s="17"/>
      <c r="P1386" s="18">
        <v>41638.265763888892</v>
      </c>
      <c r="Q1386" s="7" t="s">
        <v>1827</v>
      </c>
      <c r="R1386" s="7" t="s">
        <v>10013</v>
      </c>
      <c r="S1386" s="14" t="s">
        <v>10014</v>
      </c>
      <c r="T1386" s="8"/>
      <c r="U1386" s="19" t="str">
        <f>HYPERLINK("https://pbs.twimg.com/profile_images/1115647627629088768/tfO4wTY2.png","View")</f>
        <v>View</v>
      </c>
      <c r="V1386" s="8"/>
      <c r="W1386" s="8"/>
      <c r="X1386" s="8"/>
      <c r="Y1386" s="8"/>
      <c r="Z1386" s="8"/>
    </row>
    <row r="1387" spans="1:26" ht="12.75">
      <c r="A1387" s="11">
        <v>43747.283657407403</v>
      </c>
      <c r="B1387" s="12" t="str">
        <f>HYPERLINK("https://twitter.com/ThorPratapSingh","@ThorPratapSingh")</f>
        <v>@ThorPratapSingh</v>
      </c>
      <c r="C1387" s="7" t="s">
        <v>10015</v>
      </c>
      <c r="D1387" s="7" t="s">
        <v>10016</v>
      </c>
      <c r="E1387" s="12" t="str">
        <f>HYPERLINK("https://twitter.com/ThorPratapSingh/status/1181929425161469952","1181929425161469952")</f>
        <v>1181929425161469952</v>
      </c>
      <c r="F1387" s="8"/>
      <c r="G1387" s="15"/>
      <c r="H1387" s="8"/>
      <c r="I1387" s="15">
        <v>0</v>
      </c>
      <c r="J1387" s="15">
        <v>0</v>
      </c>
      <c r="K1387" s="12" t="str">
        <f>HYPERLINK("https://mobile.twitter.com","Twitter Web App")</f>
        <v>Twitter Web App</v>
      </c>
      <c r="L1387" s="16">
        <v>83</v>
      </c>
      <c r="M1387" s="16">
        <v>29</v>
      </c>
      <c r="N1387" s="16">
        <v>1</v>
      </c>
      <c r="O1387" s="17"/>
      <c r="P1387" s="18">
        <v>43086.283993055556</v>
      </c>
      <c r="Q1387" s="7" t="s">
        <v>10019</v>
      </c>
      <c r="R1387" s="7"/>
      <c r="S1387" s="15"/>
      <c r="T1387" s="8"/>
      <c r="U1387" s="19" t="str">
        <f>HYPERLINK("https://pbs.twimg.com/profile_images/1127063883485569024/BugeCc0g.jpg","View")</f>
        <v>View</v>
      </c>
      <c r="V1387" s="8"/>
      <c r="W1387" s="8"/>
      <c r="X1387" s="8"/>
      <c r="Y1387" s="8"/>
      <c r="Z1387" s="8"/>
    </row>
    <row r="1388" spans="1:26" ht="12.75">
      <c r="A1388" s="11">
        <v>43747.283657407403</v>
      </c>
      <c r="B1388" s="12" t="str">
        <f>HYPERLINK("https://twitter.com/mstbalci27","@mstbalci27")</f>
        <v>@mstbalci27</v>
      </c>
      <c r="C1388" s="7" t="s">
        <v>10020</v>
      </c>
      <c r="D1388" s="7" t="s">
        <v>10021</v>
      </c>
      <c r="E1388" s="12" t="str">
        <f>HYPERLINK("https://twitter.com/mstbalci27/status/1181929422133309440","1181929422133309440")</f>
        <v>1181929422133309440</v>
      </c>
      <c r="F1388" s="8"/>
      <c r="G1388" s="14" t="s">
        <v>10022</v>
      </c>
      <c r="H1388" s="8"/>
      <c r="I1388" s="15">
        <v>0</v>
      </c>
      <c r="J1388" s="15">
        <v>1</v>
      </c>
      <c r="K1388" s="12" t="str">
        <f>HYPERLINK("http://twitter.com/download/android","Twitter for Android")</f>
        <v>Twitter for Android</v>
      </c>
      <c r="L1388" s="16">
        <v>1496</v>
      </c>
      <c r="M1388" s="16">
        <v>859</v>
      </c>
      <c r="N1388" s="16">
        <v>1</v>
      </c>
      <c r="O1388" s="17"/>
      <c r="P1388" s="18">
        <v>41888.541331018518</v>
      </c>
      <c r="Q1388" s="7" t="s">
        <v>576</v>
      </c>
      <c r="R1388" s="7" t="s">
        <v>10023</v>
      </c>
      <c r="S1388" s="7"/>
      <c r="T1388" s="8"/>
      <c r="U1388" s="19" t="str">
        <f>HYPERLINK("https://pbs.twimg.com/profile_images/1139460780158529536/iAUYaa8s.jpg","View")</f>
        <v>View</v>
      </c>
      <c r="V1388" s="8"/>
      <c r="W1388" s="8"/>
      <c r="X1388" s="8"/>
      <c r="Y1388" s="8"/>
      <c r="Z1388" s="8"/>
    </row>
    <row r="1389" spans="1:26" ht="12.75">
      <c r="A1389" s="11">
        <v>43747.283622685187</v>
      </c>
      <c r="B1389" s="12" t="str">
        <f>HYPERLINK("https://twitter.com/MuharremHilmi","@MuharremHilmi")</f>
        <v>@MuharremHilmi</v>
      </c>
      <c r="C1389" s="7" t="s">
        <v>10024</v>
      </c>
      <c r="D1389" s="7" t="s">
        <v>10025</v>
      </c>
      <c r="E1389" s="12" t="str">
        <f>HYPERLINK("https://twitter.com/MuharremHilmi/status/1181929409785323521","1181929409785323521")</f>
        <v>1181929409785323521</v>
      </c>
      <c r="F1389" s="8"/>
      <c r="G1389" s="14" t="s">
        <v>10026</v>
      </c>
      <c r="H1389" s="8"/>
      <c r="I1389" s="15">
        <v>0</v>
      </c>
      <c r="J1389" s="15">
        <v>3</v>
      </c>
      <c r="K1389" s="12" t="str">
        <f>HYPERLINK("http://twitter.com/download/android","Twitter for Android")</f>
        <v>Twitter for Android</v>
      </c>
      <c r="L1389" s="16">
        <v>230</v>
      </c>
      <c r="M1389" s="16">
        <v>299</v>
      </c>
      <c r="N1389" s="16">
        <v>1</v>
      </c>
      <c r="O1389" s="17"/>
      <c r="P1389" s="18">
        <v>40387.485798611109</v>
      </c>
      <c r="Q1389" s="7" t="s">
        <v>668</v>
      </c>
      <c r="R1389" s="7" t="s">
        <v>10030</v>
      </c>
      <c r="S1389" s="7"/>
      <c r="T1389" s="8"/>
      <c r="U1389" s="19" t="str">
        <f>HYPERLINK("https://pbs.twimg.com/profile_images/1091720429079801858/-OfINdtu.jpg","View")</f>
        <v>View</v>
      </c>
      <c r="V1389" s="8"/>
      <c r="W1389" s="8"/>
      <c r="X1389" s="8"/>
      <c r="Y1389" s="8"/>
      <c r="Z1389" s="8"/>
    </row>
    <row r="1390" spans="1:26" ht="12.75">
      <c r="A1390" s="11">
        <v>43747.28361111111</v>
      </c>
      <c r="B1390" s="12" t="str">
        <f>HYPERLINK("https://twitter.com/selimtanis8152","@selimtanis8152")</f>
        <v>@selimtanis8152</v>
      </c>
      <c r="C1390" s="7" t="s">
        <v>10031</v>
      </c>
      <c r="D1390" s="7" t="s">
        <v>10032</v>
      </c>
      <c r="E1390" s="12" t="str">
        <f>HYPERLINK("https://twitter.com/selimtanis8152/status/1181929406975094784","1181929406975094784")</f>
        <v>1181929406975094784</v>
      </c>
      <c r="F1390" s="14" t="s">
        <v>10036</v>
      </c>
      <c r="G1390" s="15"/>
      <c r="H1390" s="8"/>
      <c r="I1390" s="15">
        <v>0</v>
      </c>
      <c r="J1390" s="15">
        <v>0</v>
      </c>
      <c r="K1390" s="12" t="str">
        <f>HYPERLINK("http://twitter.com/download/android","Twitter for Android")</f>
        <v>Twitter for Android</v>
      </c>
      <c r="L1390" s="16">
        <v>290</v>
      </c>
      <c r="M1390" s="16">
        <v>1454</v>
      </c>
      <c r="N1390" s="16">
        <v>1</v>
      </c>
      <c r="O1390" s="17"/>
      <c r="P1390" s="18">
        <v>42849.525509259256</v>
      </c>
      <c r="Q1390" s="7" t="s">
        <v>6218</v>
      </c>
      <c r="R1390" s="15" t="s">
        <v>10038</v>
      </c>
      <c r="S1390" s="14" t="s">
        <v>10039</v>
      </c>
      <c r="T1390" s="8"/>
      <c r="U1390" s="19" t="str">
        <f>HYPERLINK("https://pbs.twimg.com/profile_images/1093549712316289026/qS3Z8tNL.jpg","View")</f>
        <v>View</v>
      </c>
      <c r="V1390" s="8"/>
      <c r="W1390" s="8"/>
      <c r="X1390" s="8"/>
      <c r="Y1390" s="8"/>
      <c r="Z1390" s="8"/>
    </row>
    <row r="1391" spans="1:26" ht="12.75">
      <c r="A1391" s="11">
        <v>43747.283587962964</v>
      </c>
      <c r="B1391" s="12" t="str">
        <f>HYPERLINK("https://twitter.com/mcagrisirin","@mcagrisirin")</f>
        <v>@mcagrisirin</v>
      </c>
      <c r="C1391" s="7" t="s">
        <v>10041</v>
      </c>
      <c r="D1391" s="7" t="s">
        <v>10042</v>
      </c>
      <c r="E1391" s="12" t="str">
        <f>HYPERLINK("https://twitter.com/mcagrisirin/status/1181929400029331458","1181929400029331458")</f>
        <v>1181929400029331458</v>
      </c>
      <c r="F1391" s="8"/>
      <c r="G1391" s="14" t="s">
        <v>10043</v>
      </c>
      <c r="H1391" s="8"/>
      <c r="I1391" s="15">
        <v>0</v>
      </c>
      <c r="J1391" s="15">
        <v>2</v>
      </c>
      <c r="K1391" s="12" t="str">
        <f>HYPERLINK("http://twitter.com/download/iphone","Twitter for iPhone")</f>
        <v>Twitter for iPhone</v>
      </c>
      <c r="L1391" s="16">
        <v>131</v>
      </c>
      <c r="M1391" s="16">
        <v>164</v>
      </c>
      <c r="N1391" s="16">
        <v>0</v>
      </c>
      <c r="O1391" s="17"/>
      <c r="P1391" s="18">
        <v>43349.661261574074</v>
      </c>
      <c r="Q1391" s="7" t="s">
        <v>10046</v>
      </c>
      <c r="R1391" s="7" t="s">
        <v>8412</v>
      </c>
      <c r="S1391" s="7"/>
      <c r="T1391" s="8"/>
      <c r="U1391" s="19" t="str">
        <f>HYPERLINK("https://pbs.twimg.com/profile_images/1106202046032683013/k8EhC-84.jpg","View")</f>
        <v>View</v>
      </c>
      <c r="V1391" s="8"/>
      <c r="W1391" s="8"/>
      <c r="X1391" s="8"/>
      <c r="Y1391" s="8"/>
      <c r="Z1391" s="8"/>
    </row>
    <row r="1392" spans="1:26" ht="12.75">
      <c r="A1392" s="11">
        <v>43747.283576388887</v>
      </c>
      <c r="B1392" s="12" t="str">
        <f>HYPERLINK("https://twitter.com/TheLider6","@TheLider6")</f>
        <v>@TheLider6</v>
      </c>
      <c r="C1392" s="7" t="s">
        <v>10047</v>
      </c>
      <c r="D1392" s="7" t="s">
        <v>10048</v>
      </c>
      <c r="E1392" s="12" t="str">
        <f>HYPERLINK("https://twitter.com/TheLider6/status/1181929395931549696","1181929395931549696")</f>
        <v>1181929395931549696</v>
      </c>
      <c r="F1392" s="8"/>
      <c r="G1392" s="14" t="s">
        <v>10049</v>
      </c>
      <c r="H1392" s="8"/>
      <c r="I1392" s="15">
        <v>0</v>
      </c>
      <c r="J1392" s="15">
        <v>0</v>
      </c>
      <c r="K1392" s="12" t="str">
        <f>HYPERLINK("http://twitter.com/#!/download/ipad","Twitter for iPad")</f>
        <v>Twitter for iPad</v>
      </c>
      <c r="L1392" s="16">
        <v>73</v>
      </c>
      <c r="M1392" s="16">
        <v>248</v>
      </c>
      <c r="N1392" s="16">
        <v>0</v>
      </c>
      <c r="O1392" s="17"/>
      <c r="P1392" s="18">
        <v>43261.291076388894</v>
      </c>
      <c r="Q1392" s="7" t="s">
        <v>200</v>
      </c>
      <c r="R1392" s="7" t="s">
        <v>10050</v>
      </c>
      <c r="S1392" s="7"/>
      <c r="T1392" s="8"/>
      <c r="U1392" s="19" t="str">
        <f>HYPERLINK("https://pbs.twimg.com/profile_images/1138048945551224837/NTRBrhQn.jpg","View")</f>
        <v>View</v>
      </c>
      <c r="V1392" s="8"/>
      <c r="W1392" s="8"/>
      <c r="X1392" s="8"/>
      <c r="Y1392" s="8"/>
      <c r="Z1392" s="8"/>
    </row>
    <row r="1393" spans="1:26" ht="12.75">
      <c r="A1393" s="11">
        <v>43747.283553240741</v>
      </c>
      <c r="B1393" s="12" t="str">
        <f>HYPERLINK("https://twitter.com/Gunsel2","@Gunsel2")</f>
        <v>@Gunsel2</v>
      </c>
      <c r="C1393" s="7" t="s">
        <v>10054</v>
      </c>
      <c r="D1393" s="7" t="s">
        <v>10055</v>
      </c>
      <c r="E1393" s="12" t="str">
        <f>HYPERLINK("https://twitter.com/Gunsel2/status/1181929387647754241","1181929387647754241")</f>
        <v>1181929387647754241</v>
      </c>
      <c r="F1393" s="8"/>
      <c r="G1393" s="14" t="s">
        <v>10056</v>
      </c>
      <c r="H1393" s="8"/>
      <c r="I1393" s="15">
        <v>1</v>
      </c>
      <c r="J1393" s="15">
        <v>1</v>
      </c>
      <c r="K1393" s="12" t="str">
        <f>HYPERLINK("http://twitter.com/download/android","Twitter for Android")</f>
        <v>Twitter for Android</v>
      </c>
      <c r="L1393" s="16">
        <v>147</v>
      </c>
      <c r="M1393" s="16">
        <v>388</v>
      </c>
      <c r="N1393" s="16">
        <v>1</v>
      </c>
      <c r="O1393" s="17"/>
      <c r="P1393" s="18">
        <v>41167.176979166667</v>
      </c>
      <c r="Q1393" s="7"/>
      <c r="R1393" s="7" t="s">
        <v>10057</v>
      </c>
      <c r="S1393" s="7"/>
      <c r="T1393" s="8"/>
      <c r="U1393" s="19" t="str">
        <f>HYPERLINK("https://pbs.twimg.com/profile_images/731880244014161921/GFC0i2OO.jpg","View")</f>
        <v>View</v>
      </c>
      <c r="V1393" s="8"/>
      <c r="W1393" s="8"/>
      <c r="X1393" s="8"/>
      <c r="Y1393" s="8"/>
      <c r="Z1393" s="8"/>
    </row>
    <row r="1394" spans="1:26" ht="12.75">
      <c r="A1394" s="11">
        <v>43747.283495370371</v>
      </c>
      <c r="B1394" s="12" t="str">
        <f>HYPERLINK("https://twitter.com/Asim_Amicable","@Asim_Amicable")</f>
        <v>@Asim_Amicable</v>
      </c>
      <c r="C1394" s="13" t="s">
        <v>10064</v>
      </c>
      <c r="D1394" s="7" t="s">
        <v>10065</v>
      </c>
      <c r="E1394" s="12" t="str">
        <f>HYPERLINK("https://twitter.com/Asim_Amicable/status/1181929365678018565","1181929365678018565")</f>
        <v>1181929365678018565</v>
      </c>
      <c r="F1394" s="8"/>
      <c r="G1394" s="15"/>
      <c r="H1394" s="8"/>
      <c r="I1394" s="15">
        <v>0</v>
      </c>
      <c r="J1394" s="15">
        <v>0</v>
      </c>
      <c r="K1394" s="12" t="str">
        <f>HYPERLINK("http://twitter.com/download/android","Twitter for Android")</f>
        <v>Twitter for Android</v>
      </c>
      <c r="L1394" s="16">
        <v>1923</v>
      </c>
      <c r="M1394" s="16">
        <v>1599</v>
      </c>
      <c r="N1394" s="16">
        <v>3</v>
      </c>
      <c r="O1394" s="17"/>
      <c r="P1394" s="18">
        <v>40166.00199074074</v>
      </c>
      <c r="Q1394" s="7" t="s">
        <v>1796</v>
      </c>
      <c r="R1394" s="13" t="s">
        <v>10068</v>
      </c>
      <c r="S1394" s="7"/>
      <c r="T1394" s="8"/>
      <c r="U1394" s="19" t="str">
        <f>HYPERLINK("https://pbs.twimg.com/profile_images/1172765512998313985/unrspnPm.jpg","View")</f>
        <v>View</v>
      </c>
      <c r="V1394" s="8"/>
      <c r="W1394" s="8"/>
      <c r="X1394" s="8"/>
      <c r="Y1394" s="8"/>
      <c r="Z1394" s="8"/>
    </row>
    <row r="1395" spans="1:26" ht="12.75">
      <c r="A1395" s="11">
        <v>43747.283495370371</v>
      </c>
      <c r="B1395" s="12" t="str">
        <f>HYPERLINK("https://twitter.com/Altinoran1618","@Altinoran1618")</f>
        <v>@Altinoran1618</v>
      </c>
      <c r="C1395" s="7" t="s">
        <v>10069</v>
      </c>
      <c r="D1395" s="7" t="s">
        <v>160</v>
      </c>
      <c r="E1395" s="12" t="str">
        <f>HYPERLINK("https://twitter.com/Altinoran1618/status/1181929363949936645","1181929363949936645")</f>
        <v>1181929363949936645</v>
      </c>
      <c r="F1395" s="8"/>
      <c r="G1395" s="15"/>
      <c r="H1395" s="8"/>
      <c r="I1395" s="15">
        <v>0</v>
      </c>
      <c r="J1395" s="15">
        <v>0</v>
      </c>
      <c r="K1395" s="12" t="str">
        <f>HYPERLINK("http://twitter.com/download/iphone","Twitter for iPhone")</f>
        <v>Twitter for iPhone</v>
      </c>
      <c r="L1395" s="16">
        <v>435</v>
      </c>
      <c r="M1395" s="16">
        <v>1049</v>
      </c>
      <c r="N1395" s="16">
        <v>0</v>
      </c>
      <c r="O1395" s="17"/>
      <c r="P1395" s="18">
        <v>41843.221273148149</v>
      </c>
      <c r="Q1395" s="7" t="s">
        <v>10071</v>
      </c>
      <c r="R1395" s="7" t="s">
        <v>10072</v>
      </c>
      <c r="S1395" s="7"/>
      <c r="T1395" s="8"/>
      <c r="U1395" s="19" t="str">
        <f>HYPERLINK("https://pbs.twimg.com/profile_images/615175792885137408/NYSRWf7Z.jpg","View")</f>
        <v>View</v>
      </c>
      <c r="V1395" s="8"/>
      <c r="W1395" s="8"/>
      <c r="X1395" s="8"/>
      <c r="Y1395" s="8"/>
      <c r="Z1395" s="8"/>
    </row>
    <row r="1396" spans="1:26" ht="12.75">
      <c r="A1396" s="11">
        <v>43747.283402777779</v>
      </c>
      <c r="B1396" s="12" t="str">
        <f>HYPERLINK("https://twitter.com/ozeloguz48","@ozeloguz48")</f>
        <v>@ozeloguz48</v>
      </c>
      <c r="C1396" s="7" t="s">
        <v>10074</v>
      </c>
      <c r="D1396" s="7" t="s">
        <v>10075</v>
      </c>
      <c r="E1396" s="12" t="str">
        <f>HYPERLINK("https://twitter.com/ozeloguz48/status/1181929330202546176","1181929330202546176")</f>
        <v>1181929330202546176</v>
      </c>
      <c r="F1396" s="14" t="s">
        <v>10077</v>
      </c>
      <c r="G1396" s="14" t="s">
        <v>10079</v>
      </c>
      <c r="H1396" s="8"/>
      <c r="I1396" s="15">
        <v>0</v>
      </c>
      <c r="J1396" s="15">
        <v>1</v>
      </c>
      <c r="K1396" s="12" t="str">
        <f>HYPERLINK("https://mobile.twitter.com","Twitter Web App")</f>
        <v>Twitter Web App</v>
      </c>
      <c r="L1396" s="16">
        <v>215</v>
      </c>
      <c r="M1396" s="16">
        <v>435</v>
      </c>
      <c r="N1396" s="16">
        <v>1</v>
      </c>
      <c r="O1396" s="17"/>
      <c r="P1396" s="18">
        <v>43217.049386574072</v>
      </c>
      <c r="Q1396" s="7" t="s">
        <v>200</v>
      </c>
      <c r="R1396" s="7" t="s">
        <v>10081</v>
      </c>
      <c r="S1396" s="7"/>
      <c r="T1396" s="8"/>
      <c r="U1396" s="19" t="str">
        <f>HYPERLINK("https://pbs.twimg.com/profile_images/1087090946477576195/UVUoiXfN.jpg","View")</f>
        <v>View</v>
      </c>
      <c r="V1396" s="8"/>
      <c r="W1396" s="8"/>
      <c r="X1396" s="8"/>
      <c r="Y1396" s="8"/>
      <c r="Z1396" s="8"/>
    </row>
    <row r="1397" spans="1:26" ht="12.75">
      <c r="A1397" s="11">
        <v>43747.283368055556</v>
      </c>
      <c r="B1397" s="12" t="str">
        <f>HYPERLINK("https://twitter.com/bcholmess","@bcholmess")</f>
        <v>@bcholmess</v>
      </c>
      <c r="C1397" s="7" t="s">
        <v>10082</v>
      </c>
      <c r="D1397" s="7" t="s">
        <v>10083</v>
      </c>
      <c r="E1397" s="12" t="str">
        <f>HYPERLINK("https://twitter.com/bcholmess/status/1181929320249462784","1181929320249462784")</f>
        <v>1181929320249462784</v>
      </c>
      <c r="F1397" s="8"/>
      <c r="G1397" s="14" t="s">
        <v>10084</v>
      </c>
      <c r="H1397" s="8"/>
      <c r="I1397" s="15">
        <v>0</v>
      </c>
      <c r="J1397" s="15">
        <v>5</v>
      </c>
      <c r="K1397" s="12" t="str">
        <f>HYPERLINK("http://twitter.com/download/iphone","Twitter for iPhone")</f>
        <v>Twitter for iPhone</v>
      </c>
      <c r="L1397" s="16">
        <v>888</v>
      </c>
      <c r="M1397" s="16">
        <v>270</v>
      </c>
      <c r="N1397" s="16">
        <v>0</v>
      </c>
      <c r="O1397" s="17"/>
      <c r="P1397" s="18">
        <v>43666.352152777778</v>
      </c>
      <c r="Q1397" s="7" t="s">
        <v>287</v>
      </c>
      <c r="R1397" s="7" t="s">
        <v>10085</v>
      </c>
      <c r="S1397" s="7"/>
      <c r="T1397" s="8"/>
      <c r="U1397" s="19" t="str">
        <f>HYPERLINK("https://pbs.twimg.com/profile_images/1181928229390692353/YJQ9COxp.jpg","View")</f>
        <v>View</v>
      </c>
      <c r="V1397" s="8"/>
      <c r="W1397" s="8"/>
      <c r="X1397" s="8"/>
      <c r="Y1397" s="8"/>
      <c r="Z1397" s="8"/>
    </row>
    <row r="1398" spans="1:26" ht="12.75">
      <c r="A1398" s="11">
        <v>43747.283356481479</v>
      </c>
      <c r="B1398" s="12" t="str">
        <f>HYPERLINK("https://twitter.com/Aleynanadiroglu","@Aleynanadiroglu")</f>
        <v>@Aleynanadiroglu</v>
      </c>
      <c r="C1398" s="7" t="s">
        <v>10088</v>
      </c>
      <c r="D1398" s="7" t="s">
        <v>10089</v>
      </c>
      <c r="E1398" s="12" t="str">
        <f>HYPERLINK("https://twitter.com/Aleynanadiroglu/status/1181929312896913409","1181929312896913409")</f>
        <v>1181929312896913409</v>
      </c>
      <c r="F1398" s="14" t="s">
        <v>3207</v>
      </c>
      <c r="G1398" s="7"/>
      <c r="H1398" s="8"/>
      <c r="I1398" s="15">
        <v>0</v>
      </c>
      <c r="J1398" s="15">
        <v>1</v>
      </c>
      <c r="K1398" s="12" t="str">
        <f>HYPERLINK("http://twitter.com/download/android","Twitter for Android")</f>
        <v>Twitter for Android</v>
      </c>
      <c r="L1398" s="16">
        <v>129</v>
      </c>
      <c r="M1398" s="16">
        <v>69</v>
      </c>
      <c r="N1398" s="16">
        <v>0</v>
      </c>
      <c r="O1398" s="17"/>
      <c r="P1398" s="18">
        <v>43284.097326388888</v>
      </c>
      <c r="Q1398" s="7"/>
      <c r="R1398" s="7" t="s">
        <v>807</v>
      </c>
      <c r="S1398" s="7"/>
      <c r="T1398" s="8"/>
      <c r="U1398" s="19" t="str">
        <f>HYPERLINK("https://pbs.twimg.com/profile_images/1163530030712000512/dSnhYF06.jpg","View")</f>
        <v>View</v>
      </c>
      <c r="V1398" s="8"/>
      <c r="W1398" s="8"/>
      <c r="X1398" s="8"/>
      <c r="Y1398" s="8"/>
      <c r="Z1398" s="8"/>
    </row>
    <row r="1399" spans="1:26" ht="12.75">
      <c r="A1399" s="11">
        <v>43747.28334490741</v>
      </c>
      <c r="B1399" s="12" t="str">
        <f>HYPERLINK("https://twitter.com/burakkoc40","@burakkoc40")</f>
        <v>@burakkoc40</v>
      </c>
      <c r="C1399" s="7" t="s">
        <v>10090</v>
      </c>
      <c r="D1399" s="7" t="s">
        <v>10091</v>
      </c>
      <c r="E1399" s="12" t="str">
        <f>HYPERLINK("https://twitter.com/burakkoc40/status/1181929309461712896","1181929309461712896")</f>
        <v>1181929309461712896</v>
      </c>
      <c r="F1399" s="8"/>
      <c r="G1399" s="14" t="s">
        <v>10092</v>
      </c>
      <c r="H1399" s="8"/>
      <c r="I1399" s="15">
        <v>0</v>
      </c>
      <c r="J1399" s="15">
        <v>2</v>
      </c>
      <c r="K1399" s="12" t="str">
        <f>HYPERLINK("http://twitter.com/download/android","Twitter for Android")</f>
        <v>Twitter for Android</v>
      </c>
      <c r="L1399" s="16">
        <v>303</v>
      </c>
      <c r="M1399" s="16">
        <v>174</v>
      </c>
      <c r="N1399" s="16">
        <v>0</v>
      </c>
      <c r="O1399" s="17"/>
      <c r="P1399" s="18">
        <v>40700.212777777779</v>
      </c>
      <c r="Q1399" s="7" t="s">
        <v>10095</v>
      </c>
      <c r="R1399" s="7" t="s">
        <v>10096</v>
      </c>
      <c r="S1399" s="7"/>
      <c r="T1399" s="8"/>
      <c r="U1399" s="19" t="str">
        <f>HYPERLINK("https://pbs.twimg.com/profile_images/784116042004107264/_roJAcIL.jpg","View")</f>
        <v>View</v>
      </c>
      <c r="V1399" s="8"/>
      <c r="W1399" s="8"/>
      <c r="X1399" s="8"/>
      <c r="Y1399" s="8"/>
      <c r="Z1399" s="8"/>
    </row>
    <row r="1400" spans="1:26" ht="12.75">
      <c r="A1400" s="11">
        <v>43747.28329861111</v>
      </c>
      <c r="B1400" s="12" t="str">
        <f>HYPERLINK("https://twitter.com/tuyur_","@tuyur_")</f>
        <v>@tuyur_</v>
      </c>
      <c r="C1400" s="7" t="s">
        <v>10097</v>
      </c>
      <c r="D1400" s="7" t="s">
        <v>10098</v>
      </c>
      <c r="E1400" s="12" t="str">
        <f>HYPERLINK("https://twitter.com/tuyur_/status/1181929293817040897","1181929293817040897")</f>
        <v>1181929293817040897</v>
      </c>
      <c r="F1400" s="15"/>
      <c r="G1400" s="14" t="s">
        <v>10101</v>
      </c>
      <c r="H1400" s="8"/>
      <c r="I1400" s="15">
        <v>0</v>
      </c>
      <c r="J1400" s="15">
        <v>2</v>
      </c>
      <c r="K1400" s="12" t="str">
        <f>HYPERLINK("http://twitter.com/download/iphone","Twitter for iPhone")</f>
        <v>Twitter for iPhone</v>
      </c>
      <c r="L1400" s="16">
        <v>257</v>
      </c>
      <c r="M1400" s="16">
        <v>72</v>
      </c>
      <c r="N1400" s="16">
        <v>0</v>
      </c>
      <c r="O1400" s="17"/>
      <c r="P1400" s="18">
        <v>42671.636504629627</v>
      </c>
      <c r="Q1400" s="7" t="s">
        <v>10102</v>
      </c>
      <c r="R1400" s="7" t="s">
        <v>10103</v>
      </c>
      <c r="S1400" s="15"/>
      <c r="T1400" s="8"/>
      <c r="U1400" s="19" t="str">
        <f>HYPERLINK("https://pbs.twimg.com/profile_images/1179841567210819584/h4HXnkG1.jpg","View")</f>
        <v>View</v>
      </c>
      <c r="V1400" s="8"/>
      <c r="W1400" s="8"/>
      <c r="X1400" s="8"/>
      <c r="Y1400" s="8"/>
      <c r="Z1400" s="8"/>
    </row>
    <row r="1401" spans="1:26" ht="12.75">
      <c r="A1401" s="11">
        <v>43747.28329861111</v>
      </c>
      <c r="B1401" s="12" t="str">
        <f>HYPERLINK("https://twitter.com/yunustaskesen","@yunustaskesen")</f>
        <v>@yunustaskesen</v>
      </c>
      <c r="C1401" s="7" t="s">
        <v>10106</v>
      </c>
      <c r="D1401" s="7" t="s">
        <v>10107</v>
      </c>
      <c r="E1401" s="12" t="str">
        <f>HYPERLINK("https://twitter.com/yunustaskesen/status/1181929293234032641","1181929293234032641")</f>
        <v>1181929293234032641</v>
      </c>
      <c r="F1401" s="8"/>
      <c r="G1401" s="15"/>
      <c r="H1401" s="8"/>
      <c r="I1401" s="15">
        <v>0</v>
      </c>
      <c r="J1401" s="15">
        <v>2</v>
      </c>
      <c r="K1401" s="12" t="str">
        <f>HYPERLINK("http://twitter.com/download/iphone","Twitter for iPhone")</f>
        <v>Twitter for iPhone</v>
      </c>
      <c r="L1401" s="16">
        <v>366</v>
      </c>
      <c r="M1401" s="16">
        <v>794</v>
      </c>
      <c r="N1401" s="16">
        <v>2</v>
      </c>
      <c r="O1401" s="17"/>
      <c r="P1401" s="18">
        <v>43100.035949074074</v>
      </c>
      <c r="Q1401" s="7" t="s">
        <v>10108</v>
      </c>
      <c r="R1401" s="7" t="s">
        <v>10109</v>
      </c>
      <c r="S1401" s="7"/>
      <c r="T1401" s="8"/>
      <c r="U1401" s="19" t="str">
        <f>HYPERLINK("https://pbs.twimg.com/profile_images/1174020759758475264/MoBZPVWi.jpg","View")</f>
        <v>View</v>
      </c>
      <c r="V1401" s="8"/>
      <c r="W1401" s="8"/>
      <c r="X1401" s="8"/>
      <c r="Y1401" s="8"/>
      <c r="Z1401" s="8"/>
    </row>
    <row r="1402" spans="1:26" ht="12.75">
      <c r="A1402" s="11">
        <v>43747.283275462964</v>
      </c>
      <c r="B1402" s="12" t="str">
        <f>HYPERLINK("https://twitter.com/Padre_Parya","@Padre_Parya")</f>
        <v>@Padre_Parya</v>
      </c>
      <c r="C1402" s="7" t="s">
        <v>10112</v>
      </c>
      <c r="D1402" s="7" t="s">
        <v>10113</v>
      </c>
      <c r="E1402" s="12" t="str">
        <f>HYPERLINK("https://twitter.com/Padre_Parya/status/1181929284375580672","1181929284375580672")</f>
        <v>1181929284375580672</v>
      </c>
      <c r="F1402" s="8"/>
      <c r="G1402" s="14" t="s">
        <v>10114</v>
      </c>
      <c r="H1402" s="8"/>
      <c r="I1402" s="15">
        <v>1</v>
      </c>
      <c r="J1402" s="15">
        <v>1</v>
      </c>
      <c r="K1402" s="12" t="str">
        <f>HYPERLINK("http://twitter.com/download/android","Twitter for Android")</f>
        <v>Twitter for Android</v>
      </c>
      <c r="L1402" s="16">
        <v>155</v>
      </c>
      <c r="M1402" s="16">
        <v>196</v>
      </c>
      <c r="N1402" s="16">
        <v>0</v>
      </c>
      <c r="O1402" s="17"/>
      <c r="P1402" s="18">
        <v>42926.145752314813</v>
      </c>
      <c r="Q1402" s="7"/>
      <c r="R1402" s="7"/>
      <c r="S1402" s="15"/>
      <c r="T1402" s="8"/>
      <c r="U1402" s="19" t="str">
        <f>HYPERLINK("https://pbs.twimg.com/profile_images/1064244442738159616/2bNnGnFu.jpg","View")</f>
        <v>View</v>
      </c>
      <c r="V1402" s="8"/>
      <c r="W1402" s="8"/>
      <c r="X1402" s="8"/>
      <c r="Y1402" s="8"/>
      <c r="Z1402" s="8"/>
    </row>
    <row r="1403" spans="1:26" ht="12.75">
      <c r="A1403" s="11">
        <v>43747.28325231481</v>
      </c>
      <c r="B1403" s="12" t="str">
        <f>HYPERLINK("https://twitter.com/Mesut__KILIC","@Mesut__KILIC")</f>
        <v>@Mesut__KILIC</v>
      </c>
      <c r="C1403" s="7" t="s">
        <v>10115</v>
      </c>
      <c r="D1403" s="7" t="s">
        <v>160</v>
      </c>
      <c r="E1403" s="12" t="str">
        <f>HYPERLINK("https://twitter.com/Mesut__KILIC/status/1181929278432264194","1181929278432264194")</f>
        <v>1181929278432264194</v>
      </c>
      <c r="F1403" s="8"/>
      <c r="G1403" s="14" t="s">
        <v>10116</v>
      </c>
      <c r="H1403" s="8"/>
      <c r="I1403" s="15">
        <v>0</v>
      </c>
      <c r="J1403" s="15">
        <v>1</v>
      </c>
      <c r="K1403" s="12" t="str">
        <f>HYPERLINK("http://twitter.com/download/android","Twitter for Android")</f>
        <v>Twitter for Android</v>
      </c>
      <c r="L1403" s="16">
        <v>82</v>
      </c>
      <c r="M1403" s="16">
        <v>124</v>
      </c>
      <c r="N1403" s="16">
        <v>4</v>
      </c>
      <c r="O1403" s="17"/>
      <c r="P1403" s="18">
        <v>41467.001145833332</v>
      </c>
      <c r="Q1403" s="7"/>
      <c r="R1403" s="7" t="s">
        <v>10118</v>
      </c>
      <c r="S1403" s="7"/>
      <c r="T1403" s="8"/>
      <c r="U1403" s="19" t="str">
        <f>HYPERLINK("https://pbs.twimg.com/profile_images/1148187393553567745/HreCprlh.jpg","View")</f>
        <v>View</v>
      </c>
      <c r="V1403" s="8"/>
      <c r="W1403" s="8"/>
      <c r="X1403" s="8"/>
      <c r="Y1403" s="8"/>
      <c r="Z1403" s="8"/>
    </row>
    <row r="1404" spans="1:26" ht="12.75">
      <c r="A1404" s="11">
        <v>43747.28324074074</v>
      </c>
      <c r="B1404" s="12" t="str">
        <f>HYPERLINK("https://twitter.com/baayaryusuf","@baayaryusuf")</f>
        <v>@baayaryusuf</v>
      </c>
      <c r="C1404" s="7" t="s">
        <v>10120</v>
      </c>
      <c r="D1404" s="7" t="s">
        <v>10121</v>
      </c>
      <c r="E1404" s="12" t="str">
        <f>HYPERLINK("https://twitter.com/baayaryusuf/status/1181929273856266241","1181929273856266241")</f>
        <v>1181929273856266241</v>
      </c>
      <c r="F1404" s="8"/>
      <c r="G1404" s="14" t="s">
        <v>10122</v>
      </c>
      <c r="H1404" s="8"/>
      <c r="I1404" s="15">
        <v>0</v>
      </c>
      <c r="J1404" s="15">
        <v>1</v>
      </c>
      <c r="K1404" s="12" t="str">
        <f>HYPERLINK("http://twitter.com/download/iphone","Twitter for iPhone")</f>
        <v>Twitter for iPhone</v>
      </c>
      <c r="L1404" s="16">
        <v>176</v>
      </c>
      <c r="M1404" s="16">
        <v>116</v>
      </c>
      <c r="N1404" s="16">
        <v>0</v>
      </c>
      <c r="O1404" s="17"/>
      <c r="P1404" s="18">
        <v>40871.394652777773</v>
      </c>
      <c r="Q1404" s="7" t="s">
        <v>2026</v>
      </c>
      <c r="R1404" s="7" t="s">
        <v>10126</v>
      </c>
      <c r="S1404" s="7"/>
      <c r="T1404" s="8"/>
      <c r="U1404" s="19" t="str">
        <f>HYPERLINK("https://pbs.twimg.com/profile_images/1114648851850387456/b9NEZZOl.jpg","View")</f>
        <v>View</v>
      </c>
      <c r="V1404" s="8"/>
      <c r="W1404" s="8"/>
      <c r="X1404" s="8"/>
      <c r="Y1404" s="8"/>
      <c r="Z1404" s="8"/>
    </row>
    <row r="1405" spans="1:26" ht="12.75">
      <c r="A1405" s="11">
        <v>43747.283217592594</v>
      </c>
      <c r="B1405" s="12" t="str">
        <f>HYPERLINK("https://twitter.com/OnerComert","@OnerComert")</f>
        <v>@OnerComert</v>
      </c>
      <c r="C1405" s="7" t="s">
        <v>10127</v>
      </c>
      <c r="D1405" s="7" t="s">
        <v>9978</v>
      </c>
      <c r="E1405" s="12" t="str">
        <f>HYPERLINK("https://twitter.com/OnerComert/status/1181929263001473024","1181929263001473024")</f>
        <v>1181929263001473024</v>
      </c>
      <c r="F1405" s="8"/>
      <c r="G1405" s="14" t="s">
        <v>10128</v>
      </c>
      <c r="H1405" s="8"/>
      <c r="I1405" s="15">
        <v>1</v>
      </c>
      <c r="J1405" s="15">
        <v>4</v>
      </c>
      <c r="K1405" s="12" t="str">
        <f>HYPERLINK("http://twitter.com/download/iphone","Twitter for iPhone")</f>
        <v>Twitter for iPhone</v>
      </c>
      <c r="L1405" s="16">
        <v>775</v>
      </c>
      <c r="M1405" s="16">
        <v>393</v>
      </c>
      <c r="N1405" s="16">
        <v>0</v>
      </c>
      <c r="O1405" s="17"/>
      <c r="P1405" s="18">
        <v>40735.524837962963</v>
      </c>
      <c r="Q1405" s="7" t="s">
        <v>10129</v>
      </c>
      <c r="R1405" s="7" t="s">
        <v>10130</v>
      </c>
      <c r="S1405" s="7"/>
      <c r="T1405" s="8"/>
      <c r="U1405" s="19" t="str">
        <f>HYPERLINK("https://pbs.twimg.com/profile_images/1013407235307864064/J1YYhCIg.jpg","View")</f>
        <v>View</v>
      </c>
      <c r="V1405" s="8"/>
      <c r="W1405" s="8"/>
      <c r="X1405" s="8"/>
      <c r="Y1405" s="8"/>
      <c r="Z1405" s="8"/>
    </row>
    <row r="1406" spans="1:26" ht="12.75">
      <c r="A1406" s="11">
        <v>43747.283113425925</v>
      </c>
      <c r="B1406" s="12" t="str">
        <f>HYPERLINK("https://twitter.com/NurAkcaba","@NurAkcaba")</f>
        <v>@NurAkcaba</v>
      </c>
      <c r="C1406" s="7" t="s">
        <v>10131</v>
      </c>
      <c r="D1406" s="7" t="s">
        <v>10132</v>
      </c>
      <c r="E1406" s="12" t="str">
        <f>HYPERLINK("https://twitter.com/NurAkcaba/status/1181929226280280064","1181929226280280064")</f>
        <v>1181929226280280064</v>
      </c>
      <c r="F1406" s="8"/>
      <c r="G1406" s="7"/>
      <c r="H1406" s="8"/>
      <c r="I1406" s="15">
        <v>0</v>
      </c>
      <c r="J1406" s="15">
        <v>0</v>
      </c>
      <c r="K1406" s="12" t="str">
        <f>HYPERLINK("http://twitter.com/download/android","Twitter for Android")</f>
        <v>Twitter for Android</v>
      </c>
      <c r="L1406" s="16">
        <v>67</v>
      </c>
      <c r="M1406" s="16">
        <v>274</v>
      </c>
      <c r="N1406" s="16">
        <v>0</v>
      </c>
      <c r="O1406" s="17"/>
      <c r="P1406" s="18">
        <v>43487.548761574071</v>
      </c>
      <c r="Q1406" s="7" t="s">
        <v>80</v>
      </c>
      <c r="R1406" s="7" t="s">
        <v>10135</v>
      </c>
      <c r="S1406" s="7"/>
      <c r="T1406" s="8"/>
      <c r="U1406" s="19" t="str">
        <f>HYPERLINK("https://pbs.twimg.com/profile_images/1102568124510101504/yDkont-o.jpg","View")</f>
        <v>View</v>
      </c>
      <c r="V1406" s="8"/>
      <c r="W1406" s="8"/>
      <c r="X1406" s="8"/>
      <c r="Y1406" s="8"/>
      <c r="Z1406" s="8"/>
    </row>
    <row r="1407" spans="1:26" ht="12.75">
      <c r="A1407" s="11">
        <v>43747.283101851848</v>
      </c>
      <c r="B1407" s="12" t="str">
        <f>HYPERLINK("https://twitter.com/TMhaann","@TMhaann")</f>
        <v>@TMhaann</v>
      </c>
      <c r="C1407" s="7" t="s">
        <v>10136</v>
      </c>
      <c r="D1407" s="7" t="s">
        <v>10137</v>
      </c>
      <c r="E1407" s="12" t="str">
        <f>HYPERLINK("https://twitter.com/TMhaann/status/1181929224111890432","1181929224111890432")</f>
        <v>1181929224111890432</v>
      </c>
      <c r="F1407" s="8"/>
      <c r="G1407" s="14" t="s">
        <v>10139</v>
      </c>
      <c r="H1407" s="8"/>
      <c r="I1407" s="15">
        <v>0</v>
      </c>
      <c r="J1407" s="15">
        <v>0</v>
      </c>
      <c r="K1407" s="12" t="str">
        <f>HYPERLINK("http://twitter.com/download/iphone","Twitter for iPhone")</f>
        <v>Twitter for iPhone</v>
      </c>
      <c r="L1407" s="16">
        <v>33</v>
      </c>
      <c r="M1407" s="16">
        <v>451</v>
      </c>
      <c r="N1407" s="16">
        <v>1</v>
      </c>
      <c r="O1407" s="17"/>
      <c r="P1407" s="18">
        <v>42626.139386574076</v>
      </c>
      <c r="Q1407" s="7" t="s">
        <v>313</v>
      </c>
      <c r="R1407" s="7"/>
      <c r="S1407" s="15"/>
      <c r="T1407" s="8"/>
      <c r="U1407" s="19" t="str">
        <f>HYPERLINK("https://pbs.twimg.com/profile_images/1110789810413862912/0tedeYdi.jpg","View")</f>
        <v>View</v>
      </c>
      <c r="V1407" s="8"/>
      <c r="W1407" s="8"/>
      <c r="X1407" s="8"/>
      <c r="Y1407" s="8"/>
      <c r="Z1407" s="8"/>
    </row>
    <row r="1408" spans="1:26" ht="12.75">
      <c r="A1408" s="11">
        <v>43747.283101851848</v>
      </c>
      <c r="B1408" s="12" t="str">
        <f>HYPERLINK("https://twitter.com/umrnclk_","@umrnclk_")</f>
        <v>@umrnclk_</v>
      </c>
      <c r="C1408" s="7" t="s">
        <v>10141</v>
      </c>
      <c r="D1408" s="7" t="s">
        <v>10142</v>
      </c>
      <c r="E1408" s="12" t="str">
        <f>HYPERLINK("https://twitter.com/umrnclk_/status/1181929222497013760","1181929222497013760")</f>
        <v>1181929222497013760</v>
      </c>
      <c r="F1408" s="8"/>
      <c r="G1408" s="15"/>
      <c r="H1408" s="8"/>
      <c r="I1408" s="15">
        <v>0</v>
      </c>
      <c r="J1408" s="15">
        <v>1</v>
      </c>
      <c r="K1408" s="12" t="str">
        <f>HYPERLINK("http://twitter.com/download/android","Twitter for Android")</f>
        <v>Twitter for Android</v>
      </c>
      <c r="L1408" s="16">
        <v>48</v>
      </c>
      <c r="M1408" s="16">
        <v>104</v>
      </c>
      <c r="N1408" s="16">
        <v>0</v>
      </c>
      <c r="O1408" s="17"/>
      <c r="P1408" s="18">
        <v>43275.183634259258</v>
      </c>
      <c r="Q1408" s="7"/>
      <c r="R1408" s="7" t="s">
        <v>10145</v>
      </c>
      <c r="S1408" s="7"/>
      <c r="T1408" s="8"/>
      <c r="U1408" s="19" t="str">
        <f>HYPERLINK("https://pbs.twimg.com/profile_images/1010853493362626560/KB1H3TYv.jpg","View")</f>
        <v>View</v>
      </c>
      <c r="V1408" s="8"/>
      <c r="W1408" s="8"/>
      <c r="X1408" s="8"/>
      <c r="Y1408" s="8"/>
      <c r="Z1408" s="8"/>
    </row>
    <row r="1409" spans="1:26" ht="12.75">
      <c r="A1409" s="11">
        <v>43747.283090277779</v>
      </c>
      <c r="B1409" s="12" t="str">
        <f>HYPERLINK("https://twitter.com/Bugrag16","@Bugrag16")</f>
        <v>@Bugrag16</v>
      </c>
      <c r="C1409" s="7" t="s">
        <v>10147</v>
      </c>
      <c r="D1409" s="7" t="s">
        <v>10148</v>
      </c>
      <c r="E1409" s="12" t="str">
        <f>HYPERLINK("https://twitter.com/Bugrag16/status/1181929219988885504","1181929219988885504")</f>
        <v>1181929219988885504</v>
      </c>
      <c r="F1409" s="15"/>
      <c r="G1409" s="14" t="s">
        <v>10150</v>
      </c>
      <c r="H1409" s="8"/>
      <c r="I1409" s="15">
        <v>0</v>
      </c>
      <c r="J1409" s="15">
        <v>1</v>
      </c>
      <c r="K1409" s="12" t="str">
        <f>HYPERLINK("http://twitter.com/download/iphone","Twitter for iPhone")</f>
        <v>Twitter for iPhone</v>
      </c>
      <c r="L1409" s="16">
        <v>2531</v>
      </c>
      <c r="M1409" s="16">
        <v>2028</v>
      </c>
      <c r="N1409" s="16">
        <v>10</v>
      </c>
      <c r="O1409" s="17"/>
      <c r="P1409" s="18">
        <v>41008.492708333331</v>
      </c>
      <c r="Q1409" s="7" t="s">
        <v>10151</v>
      </c>
      <c r="R1409" s="7" t="s">
        <v>10152</v>
      </c>
      <c r="S1409" s="14" t="s">
        <v>10153</v>
      </c>
      <c r="T1409" s="8"/>
      <c r="U1409" s="19" t="str">
        <f>HYPERLINK("https://pbs.twimg.com/profile_images/1175865775040663554/KaiC_MUE.jpg","View")</f>
        <v>View</v>
      </c>
      <c r="V1409" s="8"/>
      <c r="W1409" s="8"/>
      <c r="X1409" s="8"/>
      <c r="Y1409" s="8"/>
      <c r="Z1409" s="8"/>
    </row>
    <row r="1410" spans="1:26" ht="12.75">
      <c r="A1410" s="11">
        <v>43747.283078703702</v>
      </c>
      <c r="B1410" s="12" t="str">
        <f>HYPERLINK("https://twitter.com/letboyscry_","@letboyscry_")</f>
        <v>@letboyscry_</v>
      </c>
      <c r="C1410" s="7" t="s">
        <v>10156</v>
      </c>
      <c r="D1410" s="7" t="s">
        <v>10157</v>
      </c>
      <c r="E1410" s="12" t="str">
        <f>HYPERLINK("https://twitter.com/letboyscry_/status/1181929213609295872","1181929213609295872")</f>
        <v>1181929213609295872</v>
      </c>
      <c r="F1410" s="8"/>
      <c r="G1410" s="14" t="s">
        <v>10158</v>
      </c>
      <c r="H1410" s="8"/>
      <c r="I1410" s="15">
        <v>2</v>
      </c>
      <c r="J1410" s="15">
        <v>11</v>
      </c>
      <c r="K1410" s="12" t="str">
        <f>HYPERLINK("http://twitter.com/download/android","Twitter for Android")</f>
        <v>Twitter for Android</v>
      </c>
      <c r="L1410" s="16">
        <v>3918</v>
      </c>
      <c r="M1410" s="16">
        <v>4485</v>
      </c>
      <c r="N1410" s="16">
        <v>0</v>
      </c>
      <c r="O1410" s="17"/>
      <c r="P1410" s="18">
        <v>42330.468564814815</v>
      </c>
      <c r="Q1410" s="7"/>
      <c r="R1410" s="7" t="s">
        <v>10161</v>
      </c>
      <c r="S1410" s="15"/>
      <c r="T1410" s="8"/>
      <c r="U1410" s="19" t="str">
        <f>HYPERLINK("https://pbs.twimg.com/profile_images/1179640852823588865/5DMpkHJ4.jpg","View")</f>
        <v>View</v>
      </c>
      <c r="V1410" s="8"/>
      <c r="W1410" s="8"/>
      <c r="X1410" s="8"/>
      <c r="Y1410" s="8"/>
      <c r="Z1410" s="8"/>
    </row>
    <row r="1411" spans="1:26" ht="12.75">
      <c r="A1411" s="11">
        <v>43747.283067129625</v>
      </c>
      <c r="B1411" s="12" t="str">
        <f>HYPERLINK("https://twitter.com/AsurKralicesi","@AsurKralicesi")</f>
        <v>@AsurKralicesi</v>
      </c>
      <c r="C1411" s="7" t="s">
        <v>10162</v>
      </c>
      <c r="D1411" s="7" t="s">
        <v>10164</v>
      </c>
      <c r="E1411" s="12" t="str">
        <f>HYPERLINK("https://twitter.com/AsurKralicesi/status/1181929209956065280","1181929209956065280")</f>
        <v>1181929209956065280</v>
      </c>
      <c r="F1411" s="8"/>
      <c r="G1411" s="15"/>
      <c r="H1411" s="8"/>
      <c r="I1411" s="15">
        <v>0</v>
      </c>
      <c r="J1411" s="15">
        <v>6</v>
      </c>
      <c r="K1411" s="12" t="str">
        <f>HYPERLINK("http://twitter.com/download/android","Twitter for Android")</f>
        <v>Twitter for Android</v>
      </c>
      <c r="L1411" s="16">
        <v>151</v>
      </c>
      <c r="M1411" s="16">
        <v>80</v>
      </c>
      <c r="N1411" s="16">
        <v>1</v>
      </c>
      <c r="O1411" s="17"/>
      <c r="P1411" s="18">
        <v>43074.15225694445</v>
      </c>
      <c r="Q1411" s="7" t="s">
        <v>10167</v>
      </c>
      <c r="R1411" s="7" t="s">
        <v>10168</v>
      </c>
      <c r="S1411" s="7"/>
      <c r="T1411" s="8"/>
      <c r="U1411" s="19" t="str">
        <f>HYPERLINK("https://pbs.twimg.com/profile_images/1126661720909520896/pWrts4yS.jpg","View")</f>
        <v>View</v>
      </c>
      <c r="V1411" s="8"/>
      <c r="W1411" s="8"/>
      <c r="X1411" s="8"/>
      <c r="Y1411" s="8"/>
      <c r="Z1411" s="8"/>
    </row>
    <row r="1412" spans="1:26" ht="12.75">
      <c r="A1412" s="11">
        <v>43747.283043981486</v>
      </c>
      <c r="B1412" s="12" t="str">
        <f>HYPERLINK("https://twitter.com/arezzak34","@arezzak34")</f>
        <v>@arezzak34</v>
      </c>
      <c r="C1412" s="7" t="s">
        <v>10169</v>
      </c>
      <c r="D1412" s="7" t="s">
        <v>10170</v>
      </c>
      <c r="E1412" s="12" t="str">
        <f>HYPERLINK("https://twitter.com/arezzak34/status/1181929202351792128","1181929202351792128")</f>
        <v>1181929202351792128</v>
      </c>
      <c r="F1412" s="8"/>
      <c r="G1412" s="15"/>
      <c r="H1412" s="8"/>
      <c r="I1412" s="15">
        <v>1</v>
      </c>
      <c r="J1412" s="15">
        <v>2</v>
      </c>
      <c r="K1412" s="12" t="str">
        <f>HYPERLINK("http://twitter.com/download/iphone","Twitter for iPhone")</f>
        <v>Twitter for iPhone</v>
      </c>
      <c r="L1412" s="16">
        <v>555</v>
      </c>
      <c r="M1412" s="16">
        <v>1611</v>
      </c>
      <c r="N1412" s="16">
        <v>3</v>
      </c>
      <c r="O1412" s="17"/>
      <c r="P1412" s="18">
        <v>40421.769293981481</v>
      </c>
      <c r="Q1412" s="7"/>
      <c r="R1412" s="7" t="s">
        <v>10173</v>
      </c>
      <c r="S1412" s="7"/>
      <c r="T1412" s="8"/>
      <c r="U1412" s="19" t="str">
        <f>HYPERLINK("https://pbs.twimg.com/profile_images/1148276944632524807/85xLWrQD.jpg","View")</f>
        <v>View</v>
      </c>
      <c r="V1412" s="8"/>
      <c r="W1412" s="8"/>
      <c r="X1412" s="8"/>
      <c r="Y1412" s="8"/>
      <c r="Z1412" s="8"/>
    </row>
    <row r="1413" spans="1:26" ht="12.75">
      <c r="A1413" s="11">
        <v>43747.283032407402</v>
      </c>
      <c r="B1413" s="12" t="str">
        <f>HYPERLINK("https://twitter.com/AKKqman","@AKKqman")</f>
        <v>@AKKqman</v>
      </c>
      <c r="C1413" s="7" t="s">
        <v>10174</v>
      </c>
      <c r="D1413" s="7" t="s">
        <v>10175</v>
      </c>
      <c r="E1413" s="12" t="str">
        <f>HYPERLINK("https://twitter.com/AKKqman/status/1181929196790177792","1181929196790177792")</f>
        <v>1181929196790177792</v>
      </c>
      <c r="F1413" s="8"/>
      <c r="G1413" s="14" t="s">
        <v>10176</v>
      </c>
      <c r="H1413" s="8"/>
      <c r="I1413" s="15">
        <v>0</v>
      </c>
      <c r="J1413" s="15">
        <v>1</v>
      </c>
      <c r="K1413" s="12" t="str">
        <f>HYPERLINK("http://twitter.com/download/android","Twitter for Android")</f>
        <v>Twitter for Android</v>
      </c>
      <c r="L1413" s="16">
        <v>9847</v>
      </c>
      <c r="M1413" s="16">
        <v>10819</v>
      </c>
      <c r="N1413" s="16">
        <v>22</v>
      </c>
      <c r="O1413" s="17"/>
      <c r="P1413" s="18">
        <v>41490.263958333337</v>
      </c>
      <c r="Q1413" s="7" t="s">
        <v>10179</v>
      </c>
      <c r="R1413" s="7" t="s">
        <v>10180</v>
      </c>
      <c r="S1413" s="14" t="s">
        <v>10181</v>
      </c>
      <c r="T1413" s="8"/>
      <c r="U1413" s="19" t="str">
        <f>HYPERLINK("https://pbs.twimg.com/profile_images/378800000239933669/4dfbe2e4d5be9f99ac19c3389f513f96.jpeg","View")</f>
        <v>View</v>
      </c>
      <c r="V1413" s="8"/>
      <c r="W1413" s="8"/>
      <c r="X1413" s="8"/>
      <c r="Y1413" s="8"/>
      <c r="Z1413" s="8"/>
    </row>
    <row r="1414" spans="1:26" ht="12.75">
      <c r="A1414" s="11">
        <v>43747.283020833333</v>
      </c>
      <c r="B1414" s="12" t="str">
        <f>HYPERLINK("https://twitter.com/yurtculu06","@yurtculu06")</f>
        <v>@yurtculu06</v>
      </c>
      <c r="C1414" s="7" t="s">
        <v>10182</v>
      </c>
      <c r="D1414" s="7" t="s">
        <v>10183</v>
      </c>
      <c r="E1414" s="12" t="str">
        <f>HYPERLINK("https://twitter.com/yurtculu06/status/1181929191639584768","1181929191639584768")</f>
        <v>1181929191639584768</v>
      </c>
      <c r="F1414" s="8"/>
      <c r="G1414" s="14" t="s">
        <v>10184</v>
      </c>
      <c r="H1414" s="8"/>
      <c r="I1414" s="15">
        <v>1</v>
      </c>
      <c r="J1414" s="15">
        <v>2</v>
      </c>
      <c r="K1414" s="12" t="str">
        <f>HYPERLINK("http://twitter.com/download/android","Twitter for Android")</f>
        <v>Twitter for Android</v>
      </c>
      <c r="L1414" s="16">
        <v>556</v>
      </c>
      <c r="M1414" s="16">
        <v>750</v>
      </c>
      <c r="N1414" s="16">
        <v>1</v>
      </c>
      <c r="O1414" s="17"/>
      <c r="P1414" s="18">
        <v>42393.05631944444</v>
      </c>
      <c r="Q1414" s="7" t="s">
        <v>287</v>
      </c>
      <c r="R1414" s="7" t="s">
        <v>10185</v>
      </c>
      <c r="S1414" s="7"/>
      <c r="T1414" s="8"/>
      <c r="U1414" s="19" t="str">
        <f>HYPERLINK("https://pbs.twimg.com/profile_images/1156883339820830720/yFr0EzKE.jpg","View")</f>
        <v>View</v>
      </c>
      <c r="V1414" s="8"/>
      <c r="W1414" s="8"/>
      <c r="X1414" s="8"/>
      <c r="Y1414" s="8"/>
      <c r="Z1414" s="8"/>
    </row>
    <row r="1415" spans="1:26" ht="12.75">
      <c r="A1415" s="11">
        <v>43747.282997685186</v>
      </c>
      <c r="B1415" s="12" t="str">
        <f>HYPERLINK("https://twitter.com/UzunYavuzSelim","@UzunYavuzSelim")</f>
        <v>@UzunYavuzSelim</v>
      </c>
      <c r="C1415" s="7" t="s">
        <v>10187</v>
      </c>
      <c r="D1415" s="7" t="s">
        <v>10189</v>
      </c>
      <c r="E1415" s="12" t="str">
        <f>HYPERLINK("https://twitter.com/UzunYavuzSelim/status/1181929182831534081","1181929182831534081")</f>
        <v>1181929182831534081</v>
      </c>
      <c r="F1415" s="8"/>
      <c r="G1415" s="14" t="s">
        <v>10190</v>
      </c>
      <c r="H1415" s="8"/>
      <c r="I1415" s="15">
        <v>0</v>
      </c>
      <c r="J1415" s="15">
        <v>9</v>
      </c>
      <c r="K1415" s="12" t="str">
        <f>HYPERLINK("http://twitter.com/download/iphone","Twitter for iPhone")</f>
        <v>Twitter for iPhone</v>
      </c>
      <c r="L1415" s="16">
        <v>2123</v>
      </c>
      <c r="M1415" s="16">
        <v>2525</v>
      </c>
      <c r="N1415" s="16">
        <v>0</v>
      </c>
      <c r="O1415" s="17"/>
      <c r="P1415" s="18">
        <v>43641.019050925926</v>
      </c>
      <c r="Q1415" s="7" t="s">
        <v>313</v>
      </c>
      <c r="R1415" s="7" t="s">
        <v>10192</v>
      </c>
      <c r="S1415" s="7"/>
      <c r="T1415" s="8"/>
      <c r="U1415" s="19" t="str">
        <f>HYPERLINK("https://pbs.twimg.com/profile_images/1177549782644068353/Xb3UE_3h.jpg","View")</f>
        <v>View</v>
      </c>
      <c r="V1415" s="8"/>
      <c r="W1415" s="8"/>
      <c r="X1415" s="8"/>
      <c r="Y1415" s="8"/>
      <c r="Z1415" s="8"/>
    </row>
    <row r="1416" spans="1:26" ht="12.75">
      <c r="A1416" s="11">
        <v>43747.282986111109</v>
      </c>
      <c r="B1416" s="12" t="str">
        <f>HYPERLINK("https://twitter.com/yerlkaya0404","@yerlkaya0404")</f>
        <v>@yerlkaya0404</v>
      </c>
      <c r="C1416" s="7" t="s">
        <v>10193</v>
      </c>
      <c r="D1416" s="7" t="s">
        <v>10194</v>
      </c>
      <c r="E1416" s="12" t="str">
        <f>HYPERLINK("https://twitter.com/yerlkaya0404/status/1181929180604313600","1181929180604313600")</f>
        <v>1181929180604313600</v>
      </c>
      <c r="F1416" s="8"/>
      <c r="G1416" s="7" t="s">
        <v>10195</v>
      </c>
      <c r="H1416" s="8"/>
      <c r="I1416" s="15">
        <v>0</v>
      </c>
      <c r="J1416" s="15">
        <v>3</v>
      </c>
      <c r="K1416" s="12" t="str">
        <f>HYPERLINK("http://twitter.com/download/android","Twitter for Android")</f>
        <v>Twitter for Android</v>
      </c>
      <c r="L1416" s="16">
        <v>954</v>
      </c>
      <c r="M1416" s="16">
        <v>920</v>
      </c>
      <c r="N1416" s="16">
        <v>2</v>
      </c>
      <c r="O1416" s="17"/>
      <c r="P1416" s="18">
        <v>42234.448819444442</v>
      </c>
      <c r="Q1416" s="7"/>
      <c r="R1416" s="7" t="s">
        <v>10198</v>
      </c>
      <c r="S1416" s="7"/>
      <c r="T1416" s="8"/>
      <c r="U1416" s="19" t="str">
        <f>HYPERLINK("https://pbs.twimg.com/profile_images/1156904809477394432/avBrflei.jpg","View")</f>
        <v>View</v>
      </c>
      <c r="V1416" s="8"/>
      <c r="W1416" s="8"/>
      <c r="X1416" s="8"/>
      <c r="Y1416" s="8"/>
      <c r="Z1416" s="8"/>
    </row>
    <row r="1417" spans="1:26" ht="12.75">
      <c r="A1417" s="11">
        <v>43747.28292824074</v>
      </c>
      <c r="B1417" s="12" t="str">
        <f>HYPERLINK("https://twitter.com/allancogan","@allancogan")</f>
        <v>@allancogan</v>
      </c>
      <c r="C1417" s="7" t="s">
        <v>10200</v>
      </c>
      <c r="D1417" s="7" t="s">
        <v>10201</v>
      </c>
      <c r="E1417" s="12" t="str">
        <f>HYPERLINK("https://twitter.com/allancogan/status/1181929160379383808","1181929160379383808")</f>
        <v>1181929160379383808</v>
      </c>
      <c r="F1417" s="8"/>
      <c r="G1417" s="15"/>
      <c r="H1417" s="8"/>
      <c r="I1417" s="15">
        <v>0</v>
      </c>
      <c r="J1417" s="15">
        <v>0</v>
      </c>
      <c r="K1417" s="12" t="str">
        <f>HYPERLINK("https://mobile.twitter.com","Twitter Web App")</f>
        <v>Twitter Web App</v>
      </c>
      <c r="L1417" s="16">
        <v>67</v>
      </c>
      <c r="M1417" s="16">
        <v>646</v>
      </c>
      <c r="N1417" s="16">
        <v>1</v>
      </c>
      <c r="O1417" s="17"/>
      <c r="P1417" s="18">
        <v>42791.981307870374</v>
      </c>
      <c r="Q1417" s="7" t="s">
        <v>10205</v>
      </c>
      <c r="R1417" s="7" t="s">
        <v>10206</v>
      </c>
      <c r="S1417" s="14" t="s">
        <v>10207</v>
      </c>
      <c r="T1417" s="8"/>
      <c r="U1417" s="19" t="str">
        <f>HYPERLINK("https://pbs.twimg.com/profile_images/1167206539851120653/pkU4FwAW.jpg","View")</f>
        <v>View</v>
      </c>
      <c r="V1417" s="8"/>
      <c r="W1417" s="8"/>
      <c r="X1417" s="8"/>
      <c r="Y1417" s="8"/>
      <c r="Z1417" s="8"/>
    </row>
    <row r="1418" spans="1:26" ht="12.75">
      <c r="A1418" s="11">
        <v>43747.28288194444</v>
      </c>
      <c r="B1418" s="12" t="str">
        <f>HYPERLINK("https://twitter.com/CccIyi","@CccIyi")</f>
        <v>@CccIyi</v>
      </c>
      <c r="C1418" s="7" t="s">
        <v>10213</v>
      </c>
      <c r="D1418" s="7" t="s">
        <v>10214</v>
      </c>
      <c r="E1418" s="12" t="str">
        <f>HYPERLINK("https://twitter.com/CccIyi/status/1181929143333617664","1181929143333617664")</f>
        <v>1181929143333617664</v>
      </c>
      <c r="F1418" s="8"/>
      <c r="G1418" s="14" t="s">
        <v>10215</v>
      </c>
      <c r="H1418" s="8"/>
      <c r="I1418" s="15">
        <v>0</v>
      </c>
      <c r="J1418" s="15">
        <v>1</v>
      </c>
      <c r="K1418" s="12" t="str">
        <f>HYPERLINK("https://mobile.twitter.com","Twitter Web App")</f>
        <v>Twitter Web App</v>
      </c>
      <c r="L1418" s="16">
        <v>1</v>
      </c>
      <c r="M1418" s="16">
        <v>29</v>
      </c>
      <c r="N1418" s="16">
        <v>0</v>
      </c>
      <c r="O1418" s="17"/>
      <c r="P1418" s="18">
        <v>43691.485902777778</v>
      </c>
      <c r="Q1418" s="7"/>
      <c r="R1418" s="7" t="s">
        <v>10216</v>
      </c>
      <c r="S1418" s="7"/>
      <c r="T1418" s="8"/>
      <c r="U1418" s="19" t="str">
        <f>HYPERLINK("https://pbs.twimg.com/profile_images/1161728130022817797/CQeDIvNo.jpg","View")</f>
        <v>View</v>
      </c>
      <c r="V1418" s="8"/>
      <c r="W1418" s="8"/>
      <c r="X1418" s="8"/>
      <c r="Y1418" s="8"/>
      <c r="Z1418" s="8"/>
    </row>
    <row r="1419" spans="1:26" ht="12.75">
      <c r="A1419" s="11">
        <v>43747.282858796301</v>
      </c>
      <c r="B1419" s="12" t="str">
        <f>HYPERLINK("https://twitter.com/anatolianist","@anatolianist")</f>
        <v>@anatolianist</v>
      </c>
      <c r="C1419" s="7" t="s">
        <v>10218</v>
      </c>
      <c r="D1419" s="7" t="s">
        <v>10219</v>
      </c>
      <c r="E1419" s="12" t="str">
        <f>HYPERLINK("https://twitter.com/anatolianist/status/1181929132483059712","1181929132483059712")</f>
        <v>1181929132483059712</v>
      </c>
      <c r="F1419" s="8"/>
      <c r="G1419" s="7"/>
      <c r="H1419" s="8"/>
      <c r="I1419" s="15">
        <v>0</v>
      </c>
      <c r="J1419" s="15">
        <v>3</v>
      </c>
      <c r="K1419" s="12" t="str">
        <f>HYPERLINK("http://twitter.com/download/iphone","Twitter for iPhone")</f>
        <v>Twitter for iPhone</v>
      </c>
      <c r="L1419" s="16">
        <v>68</v>
      </c>
      <c r="M1419" s="16">
        <v>226</v>
      </c>
      <c r="N1419" s="16">
        <v>0</v>
      </c>
      <c r="O1419" s="17"/>
      <c r="P1419" s="18">
        <v>43302.533738425926</v>
      </c>
      <c r="Q1419" s="7"/>
      <c r="R1419" s="7"/>
      <c r="S1419" s="7"/>
      <c r="T1419" s="8"/>
      <c r="U1419" s="19" t="str">
        <f>HYPERLINK("https://pbs.twimg.com/profile_images/1180182743025631232/yZZKsBra.jpg","View")</f>
        <v>View</v>
      </c>
      <c r="V1419" s="8"/>
      <c r="W1419" s="8"/>
      <c r="X1419" s="8"/>
      <c r="Y1419" s="8"/>
      <c r="Z1419" s="8"/>
    </row>
    <row r="1420" spans="1:26" ht="12.75">
      <c r="A1420" s="11">
        <v>43747.282812500001</v>
      </c>
      <c r="B1420" s="12" t="str">
        <f>HYPERLINK("https://twitter.com/yasinphlvn_","@yasinphlvn_")</f>
        <v>@yasinphlvn_</v>
      </c>
      <c r="C1420" s="7" t="s">
        <v>10223</v>
      </c>
      <c r="D1420" s="7" t="s">
        <v>10224</v>
      </c>
      <c r="E1420" s="12" t="str">
        <f>HYPERLINK("https://twitter.com/yasinphlvn_/status/1181929116293111811","1181929116293111811")</f>
        <v>1181929116293111811</v>
      </c>
      <c r="F1420" s="8"/>
      <c r="G1420" s="7"/>
      <c r="H1420" s="8"/>
      <c r="I1420" s="15">
        <v>0</v>
      </c>
      <c r="J1420" s="15">
        <v>0</v>
      </c>
      <c r="K1420" s="12" t="str">
        <f>HYPERLINK("http://twitter.com/download/android","Twitter for Android")</f>
        <v>Twitter for Android</v>
      </c>
      <c r="L1420" s="16">
        <v>26</v>
      </c>
      <c r="M1420" s="16">
        <v>37</v>
      </c>
      <c r="N1420" s="16">
        <v>0</v>
      </c>
      <c r="O1420" s="17"/>
      <c r="P1420" s="18">
        <v>42775.447268518517</v>
      </c>
      <c r="Q1420" s="7" t="s">
        <v>313</v>
      </c>
      <c r="R1420" s="15"/>
      <c r="S1420" s="15"/>
      <c r="T1420" s="8"/>
      <c r="U1420" s="19" t="str">
        <f>HYPERLINK("https://pbs.twimg.com/profile_images/972329025749348352/_8ZJ3cbB.jpg","View")</f>
        <v>View</v>
      </c>
      <c r="V1420" s="8"/>
      <c r="W1420" s="8"/>
      <c r="X1420" s="8"/>
      <c r="Y1420" s="8"/>
      <c r="Z1420" s="8"/>
    </row>
    <row r="1421" spans="1:26" ht="12.75">
      <c r="A1421" s="11">
        <v>43747.282754629632</v>
      </c>
      <c r="B1421" s="12" t="str">
        <f>HYPERLINK("https://twitter.com/davidkozin","@davidkozin")</f>
        <v>@davidkozin</v>
      </c>
      <c r="C1421" s="7" t="s">
        <v>10225</v>
      </c>
      <c r="D1421" s="7" t="s">
        <v>10226</v>
      </c>
      <c r="E1421" s="12" t="str">
        <f>HYPERLINK("https://twitter.com/davidkozin/status/1181929098047873024","1181929098047873024")</f>
        <v>1181929098047873024</v>
      </c>
      <c r="F1421" s="14" t="s">
        <v>8595</v>
      </c>
      <c r="G1421" s="14" t="s">
        <v>8598</v>
      </c>
      <c r="H1421" s="8"/>
      <c r="I1421" s="15">
        <v>0</v>
      </c>
      <c r="J1421" s="15">
        <v>1</v>
      </c>
      <c r="K1421" s="12" t="str">
        <f>HYPERLINK("http://twitter.com/download/iphone","Twitter for iPhone")</f>
        <v>Twitter for iPhone</v>
      </c>
      <c r="L1421" s="16">
        <v>1460</v>
      </c>
      <c r="M1421" s="16">
        <v>725</v>
      </c>
      <c r="N1421" s="16">
        <v>42</v>
      </c>
      <c r="O1421" s="17"/>
      <c r="P1421" s="18">
        <v>39893.788194444445</v>
      </c>
      <c r="Q1421" s="7"/>
      <c r="R1421" s="7" t="s">
        <v>10229</v>
      </c>
      <c r="S1421" s="14" t="s">
        <v>10230</v>
      </c>
      <c r="T1421" s="8"/>
      <c r="U1421" s="19" t="str">
        <f>HYPERLINK("https://pbs.twimg.com/profile_images/1181751933654183936/lxMiRGmC.jpg","View")</f>
        <v>View</v>
      </c>
      <c r="V1421" s="8"/>
      <c r="W1421" s="8"/>
      <c r="X1421" s="8"/>
      <c r="Y1421" s="8"/>
      <c r="Z1421" s="8"/>
    </row>
    <row r="1422" spans="1:26" ht="12.75">
      <c r="A1422" s="11">
        <v>43747.282731481479</v>
      </c>
      <c r="B1422" s="12" t="str">
        <f>HYPERLINK("https://twitter.com/sercanbey1907","@sercanbey1907")</f>
        <v>@sercanbey1907</v>
      </c>
      <c r="C1422" s="7" t="s">
        <v>10233</v>
      </c>
      <c r="D1422" s="7" t="s">
        <v>10234</v>
      </c>
      <c r="E1422" s="12" t="str">
        <f>HYPERLINK("https://twitter.com/sercanbey1907/status/1181929086593183746","1181929086593183746")</f>
        <v>1181929086593183746</v>
      </c>
      <c r="F1422" s="8"/>
      <c r="G1422" s="14" t="s">
        <v>10235</v>
      </c>
      <c r="H1422" s="8"/>
      <c r="I1422" s="15">
        <v>0</v>
      </c>
      <c r="J1422" s="15">
        <v>1</v>
      </c>
      <c r="K1422" s="12" t="str">
        <f>HYPERLINK("https://mobile.twitter.com","Twitter Web App")</f>
        <v>Twitter Web App</v>
      </c>
      <c r="L1422" s="16">
        <v>18</v>
      </c>
      <c r="M1422" s="16">
        <v>242</v>
      </c>
      <c r="N1422" s="16">
        <v>0</v>
      </c>
      <c r="O1422" s="17"/>
      <c r="P1422" s="18">
        <v>43335.04314814815</v>
      </c>
      <c r="Q1422" s="7" t="s">
        <v>200</v>
      </c>
      <c r="R1422" s="7" t="s">
        <v>10238</v>
      </c>
      <c r="S1422" s="14" t="s">
        <v>10239</v>
      </c>
      <c r="T1422" s="8"/>
      <c r="U1422" s="19" t="str">
        <f>HYPERLINK("https://pbs.twimg.com/profile_images/1113869470911614977/rI_2wVMR.png","View")</f>
        <v>View</v>
      </c>
      <c r="V1422" s="8"/>
      <c r="W1422" s="8"/>
      <c r="X1422" s="8"/>
      <c r="Y1422" s="8"/>
      <c r="Z1422" s="8"/>
    </row>
    <row r="1423" spans="1:26" ht="12.75">
      <c r="A1423" s="11">
        <v>43747.282731481479</v>
      </c>
      <c r="B1423" s="12" t="str">
        <f>HYPERLINK("https://twitter.com/hakan_yetiskin","@hakan_yetiskin")</f>
        <v>@hakan_yetiskin</v>
      </c>
      <c r="C1423" s="7" t="s">
        <v>10240</v>
      </c>
      <c r="D1423" s="7" t="s">
        <v>10241</v>
      </c>
      <c r="E1423" s="12" t="str">
        <f>HYPERLINK("https://twitter.com/hakan_yetiskin/status/1181929086328942592","1181929086328942592")</f>
        <v>1181929086328942592</v>
      </c>
      <c r="F1423" s="8"/>
      <c r="G1423" s="14" t="s">
        <v>10242</v>
      </c>
      <c r="H1423" s="8"/>
      <c r="I1423" s="15">
        <v>0</v>
      </c>
      <c r="J1423" s="15">
        <v>1</v>
      </c>
      <c r="K1423" s="12" t="str">
        <f>HYPERLINK("http://twitter.com/download/android","Twitter for Android")</f>
        <v>Twitter for Android</v>
      </c>
      <c r="L1423" s="16">
        <v>566</v>
      </c>
      <c r="M1423" s="16">
        <v>449</v>
      </c>
      <c r="N1423" s="16">
        <v>0</v>
      </c>
      <c r="O1423" s="17"/>
      <c r="P1423" s="18">
        <v>41519.359143518523</v>
      </c>
      <c r="Q1423" s="7"/>
      <c r="R1423" s="7" t="s">
        <v>10243</v>
      </c>
      <c r="S1423" s="7"/>
      <c r="T1423" s="8"/>
      <c r="U1423" s="19" t="str">
        <f>HYPERLINK("https://pbs.twimg.com/profile_images/1181912972521811968/gw2cxbpI.jpg","View")</f>
        <v>View</v>
      </c>
      <c r="V1423" s="8"/>
      <c r="W1423" s="8"/>
      <c r="X1423" s="8"/>
      <c r="Y1423" s="8"/>
      <c r="Z1423" s="8"/>
    </row>
    <row r="1424" spans="1:26" ht="12.75">
      <c r="A1424" s="11">
        <v>43747.282719907409</v>
      </c>
      <c r="B1424" s="12" t="str">
        <f>HYPERLINK("https://twitter.com/AladagliIlker","@AladagliIlker")</f>
        <v>@AladagliIlker</v>
      </c>
      <c r="C1424" s="13" t="s">
        <v>10246</v>
      </c>
      <c r="D1424" s="7" t="s">
        <v>10247</v>
      </c>
      <c r="E1424" s="12" t="str">
        <f>HYPERLINK("https://twitter.com/AladagliIlker/status/1181929082524700678","1181929082524700678")</f>
        <v>1181929082524700678</v>
      </c>
      <c r="F1424" s="8"/>
      <c r="G1424" s="7"/>
      <c r="H1424" s="8"/>
      <c r="I1424" s="15">
        <v>0</v>
      </c>
      <c r="J1424" s="15">
        <v>0</v>
      </c>
      <c r="K1424" s="12" t="str">
        <f>HYPERLINK("http://twitter.com","Twitter Web Client")</f>
        <v>Twitter Web Client</v>
      </c>
      <c r="L1424" s="16">
        <v>3</v>
      </c>
      <c r="M1424" s="16">
        <v>0</v>
      </c>
      <c r="N1424" s="16">
        <v>0</v>
      </c>
      <c r="O1424" s="17"/>
      <c r="P1424" s="18">
        <v>43668.961886574078</v>
      </c>
      <c r="Q1424" s="7" t="s">
        <v>6778</v>
      </c>
      <c r="R1424" s="7" t="s">
        <v>10248</v>
      </c>
      <c r="S1424" s="7"/>
      <c r="T1424" s="8"/>
      <c r="U1424" s="19" t="str">
        <f>HYPERLINK("https://pbs.twimg.com/profile_images/1153754479898112001/l2pjiQZ_.jpg","View")</f>
        <v>View</v>
      </c>
      <c r="V1424" s="8"/>
      <c r="W1424" s="8"/>
      <c r="X1424" s="8"/>
      <c r="Y1424" s="8"/>
      <c r="Z1424" s="8"/>
    </row>
    <row r="1425" spans="1:26" ht="12.75">
      <c r="A1425" s="11">
        <v>43747.282708333332</v>
      </c>
      <c r="B1425" s="12" t="str">
        <f>HYPERLINK("https://twitter.com/Atezcan5","@Atezcan5")</f>
        <v>@Atezcan5</v>
      </c>
      <c r="C1425" s="7" t="s">
        <v>10250</v>
      </c>
      <c r="D1425" s="7" t="s">
        <v>10251</v>
      </c>
      <c r="E1425" s="12" t="str">
        <f>HYPERLINK("https://twitter.com/Atezcan5/status/1181929079450357760","1181929079450357760")</f>
        <v>1181929079450357760</v>
      </c>
      <c r="F1425" s="8"/>
      <c r="G1425" s="14" t="s">
        <v>10253</v>
      </c>
      <c r="H1425" s="8"/>
      <c r="I1425" s="15">
        <v>0</v>
      </c>
      <c r="J1425" s="15">
        <v>0</v>
      </c>
      <c r="K1425" s="12" t="str">
        <f>HYPERLINK("http://twitter.com/download/android","Twitter for Android")</f>
        <v>Twitter for Android</v>
      </c>
      <c r="L1425" s="16">
        <v>37</v>
      </c>
      <c r="M1425" s="16">
        <v>80</v>
      </c>
      <c r="N1425" s="16">
        <v>0</v>
      </c>
      <c r="O1425" s="17"/>
      <c r="P1425" s="18">
        <v>43690.368946759263</v>
      </c>
      <c r="Q1425" s="7" t="s">
        <v>200</v>
      </c>
      <c r="R1425" s="7" t="s">
        <v>10254</v>
      </c>
      <c r="S1425" s="7"/>
      <c r="T1425" s="8"/>
      <c r="U1425" s="19" t="str">
        <f>HYPERLINK("https://pbs.twimg.com/profile_images/1177810438387634177/rtwe1uWJ.jpg","View")</f>
        <v>View</v>
      </c>
      <c r="V1425" s="8"/>
      <c r="W1425" s="8"/>
      <c r="X1425" s="8"/>
      <c r="Y1425" s="8"/>
      <c r="Z1425" s="8"/>
    </row>
    <row r="1426" spans="1:26" ht="12.75">
      <c r="A1426" s="11">
        <v>43747.282638888893</v>
      </c>
      <c r="B1426" s="12" t="str">
        <f>HYPERLINK("https://twitter.com/EmreDereli01","@EmreDereli01")</f>
        <v>@EmreDereli01</v>
      </c>
      <c r="C1426" s="7" t="s">
        <v>10259</v>
      </c>
      <c r="D1426" s="7" t="s">
        <v>10260</v>
      </c>
      <c r="E1426" s="12" t="str">
        <f>HYPERLINK("https://twitter.com/EmreDereli01/status/1181929052803870723","1181929052803870723")</f>
        <v>1181929052803870723</v>
      </c>
      <c r="F1426" s="8"/>
      <c r="G1426" s="14" t="s">
        <v>10262</v>
      </c>
      <c r="H1426" s="8"/>
      <c r="I1426" s="15">
        <v>0</v>
      </c>
      <c r="J1426" s="15">
        <v>1</v>
      </c>
      <c r="K1426" s="12" t="str">
        <f>HYPERLINK("http://twitter.com/download/android","Twitter for Android")</f>
        <v>Twitter for Android</v>
      </c>
      <c r="L1426" s="16">
        <v>103</v>
      </c>
      <c r="M1426" s="16">
        <v>1</v>
      </c>
      <c r="N1426" s="16">
        <v>3</v>
      </c>
      <c r="O1426" s="17"/>
      <c r="P1426" s="18">
        <v>41413.382511574076</v>
      </c>
      <c r="Q1426" s="7" t="s">
        <v>10264</v>
      </c>
      <c r="R1426" s="7" t="s">
        <v>10265</v>
      </c>
      <c r="S1426" s="14" t="s">
        <v>10266</v>
      </c>
      <c r="T1426" s="8"/>
      <c r="U1426" s="19" t="str">
        <f>HYPERLINK("https://pbs.twimg.com/profile_images/772651818077872128/njPAsEGB.jpg","View")</f>
        <v>View</v>
      </c>
      <c r="V1426" s="8"/>
      <c r="W1426" s="8"/>
      <c r="X1426" s="8"/>
      <c r="Y1426" s="8"/>
      <c r="Z1426" s="8"/>
    </row>
    <row r="1427" spans="1:26" ht="12.75">
      <c r="A1427" s="11">
        <v>43747.282581018517</v>
      </c>
      <c r="B1427" s="12" t="str">
        <f>HYPERLINK("https://twitter.com/SavunmaSanayiST","@SavunmaSanayiST")</f>
        <v>@SavunmaSanayiST</v>
      </c>
      <c r="C1427" s="7" t="s">
        <v>10267</v>
      </c>
      <c r="D1427" s="7" t="s">
        <v>976</v>
      </c>
      <c r="E1427" s="12" t="str">
        <f>HYPERLINK("https://twitter.com/SavunmaSanayiST/status/1181929033656885248","1181929033656885248")</f>
        <v>1181929033656885248</v>
      </c>
      <c r="F1427" s="15"/>
      <c r="G1427" s="14" t="s">
        <v>10268</v>
      </c>
      <c r="H1427" s="8"/>
      <c r="I1427" s="15">
        <v>34</v>
      </c>
      <c r="J1427" s="15">
        <v>177</v>
      </c>
      <c r="K1427" s="12" t="str">
        <f>HYPERLINK("https://mobile.twitter.com","Twitter Web App")</f>
        <v>Twitter Web App</v>
      </c>
      <c r="L1427" s="16">
        <v>73355</v>
      </c>
      <c r="M1427" s="16">
        <v>118</v>
      </c>
      <c r="N1427" s="16">
        <v>183</v>
      </c>
      <c r="O1427" s="17"/>
      <c r="P1427" s="18">
        <v>42743.311678240745</v>
      </c>
      <c r="Q1427" s="7" t="s">
        <v>200</v>
      </c>
      <c r="R1427" s="7" t="s">
        <v>10271</v>
      </c>
      <c r="S1427" s="14" t="s">
        <v>10272</v>
      </c>
      <c r="T1427" s="8"/>
      <c r="U1427" s="19" t="str">
        <f>HYPERLINK("https://pbs.twimg.com/profile_images/1151203001845080065/8vxnAdcB.jpg","View")</f>
        <v>View</v>
      </c>
      <c r="V1427" s="8"/>
      <c r="W1427" s="8"/>
      <c r="X1427" s="8"/>
      <c r="Y1427" s="8"/>
      <c r="Z1427" s="8"/>
    </row>
    <row r="1428" spans="1:26" ht="12.75">
      <c r="A1428" s="11">
        <v>43747.282569444447</v>
      </c>
      <c r="B1428" s="12" t="str">
        <f>HYPERLINK("https://twitter.com/Cagribektasoglu","@Cagribektasoglu")</f>
        <v>@Cagribektasoglu</v>
      </c>
      <c r="C1428" s="7" t="s">
        <v>10274</v>
      </c>
      <c r="D1428" s="7" t="s">
        <v>10275</v>
      </c>
      <c r="E1428" s="12" t="str">
        <f>HYPERLINK("https://twitter.com/Cagribektasoglu/status/1181929031131893760","1181929031131893760")</f>
        <v>1181929031131893760</v>
      </c>
      <c r="F1428" s="8"/>
      <c r="G1428" s="7"/>
      <c r="H1428" s="8"/>
      <c r="I1428" s="15">
        <v>0</v>
      </c>
      <c r="J1428" s="15">
        <v>0</v>
      </c>
      <c r="K1428" s="12" t="str">
        <f>HYPERLINK("http://twitter.com/download/android","Twitter for Android")</f>
        <v>Twitter for Android</v>
      </c>
      <c r="L1428" s="16">
        <v>90</v>
      </c>
      <c r="M1428" s="16">
        <v>268</v>
      </c>
      <c r="N1428" s="16">
        <v>0</v>
      </c>
      <c r="O1428" s="17"/>
      <c r="P1428" s="18">
        <v>42494.258750000001</v>
      </c>
      <c r="Q1428" s="7" t="s">
        <v>2201</v>
      </c>
      <c r="R1428" s="7" t="s">
        <v>10277</v>
      </c>
      <c r="S1428" s="14" t="s">
        <v>10278</v>
      </c>
      <c r="T1428" s="8"/>
      <c r="U1428" s="19" t="str">
        <f>HYPERLINK("https://pbs.twimg.com/profile_images/1157373239208927232/jjiJrYYN.jpg","View")</f>
        <v>View</v>
      </c>
      <c r="V1428" s="8"/>
      <c r="W1428" s="8"/>
      <c r="X1428" s="8"/>
      <c r="Y1428" s="8"/>
      <c r="Z1428" s="8"/>
    </row>
    <row r="1429" spans="1:26" ht="12.75">
      <c r="A1429" s="11">
        <v>43747.282569444447</v>
      </c>
      <c r="B1429" s="12" t="str">
        <f>HYPERLINK("https://twitter.com/mhmtfthtkc25","@mhmtfthtkc25")</f>
        <v>@mhmtfthtkc25</v>
      </c>
      <c r="C1429" s="7" t="s">
        <v>10282</v>
      </c>
      <c r="D1429" s="7" t="s">
        <v>10283</v>
      </c>
      <c r="E1429" s="12" t="str">
        <f>HYPERLINK("https://twitter.com/mhmtfthtkc25/status/1181929027931639810","1181929027931639810")</f>
        <v>1181929027931639810</v>
      </c>
      <c r="F1429" s="8"/>
      <c r="G1429" s="14" t="s">
        <v>10284</v>
      </c>
      <c r="H1429" s="8"/>
      <c r="I1429" s="15">
        <v>0</v>
      </c>
      <c r="J1429" s="15">
        <v>0</v>
      </c>
      <c r="K1429" s="12" t="str">
        <f>HYPERLINK("http://twitter.com/download/android","Twitter for Android")</f>
        <v>Twitter for Android</v>
      </c>
      <c r="L1429" s="16">
        <v>130</v>
      </c>
      <c r="M1429" s="16">
        <v>409</v>
      </c>
      <c r="N1429" s="16">
        <v>0</v>
      </c>
      <c r="O1429" s="17"/>
      <c r="P1429" s="18">
        <v>43474.419965277775</v>
      </c>
      <c r="Q1429" s="7" t="s">
        <v>1567</v>
      </c>
      <c r="R1429" s="7" t="s">
        <v>10285</v>
      </c>
      <c r="S1429" s="7"/>
      <c r="T1429" s="8"/>
      <c r="U1429" s="19" t="str">
        <f>HYPERLINK("https://pbs.twimg.com/profile_images/1160293281445621765/HydDjVjh.jpg","View")</f>
        <v>View</v>
      </c>
      <c r="V1429" s="8"/>
      <c r="W1429" s="8"/>
      <c r="X1429" s="8"/>
      <c r="Y1429" s="8"/>
      <c r="Z1429" s="8"/>
    </row>
    <row r="1430" spans="1:26" ht="12.75">
      <c r="A1430" s="11">
        <v>43747.282500000001</v>
      </c>
      <c r="B1430" s="12" t="str">
        <f>HYPERLINK("https://twitter.com/MuratDumanTR","@MuratDumanTR")</f>
        <v>@MuratDumanTR</v>
      </c>
      <c r="C1430" s="7" t="s">
        <v>10288</v>
      </c>
      <c r="D1430" s="7" t="s">
        <v>10289</v>
      </c>
      <c r="E1430" s="12" t="str">
        <f>HYPERLINK("https://twitter.com/MuratDumanTR/status/1181929004858773505","1181929004858773505")</f>
        <v>1181929004858773505</v>
      </c>
      <c r="F1430" s="8"/>
      <c r="G1430" s="15"/>
      <c r="H1430" s="8"/>
      <c r="I1430" s="15">
        <v>1</v>
      </c>
      <c r="J1430" s="15">
        <v>6</v>
      </c>
      <c r="K1430" s="12" t="str">
        <f>HYPERLINK("http://twitter.com/download/android","Twitter for Android")</f>
        <v>Twitter for Android</v>
      </c>
      <c r="L1430" s="16">
        <v>987</v>
      </c>
      <c r="M1430" s="16">
        <v>887</v>
      </c>
      <c r="N1430" s="16">
        <v>0</v>
      </c>
      <c r="O1430" s="17"/>
      <c r="P1430" s="18">
        <v>41946.221041666664</v>
      </c>
      <c r="Q1430" s="7" t="s">
        <v>576</v>
      </c>
      <c r="R1430" s="7" t="s">
        <v>10290</v>
      </c>
      <c r="S1430" s="14" t="s">
        <v>10291</v>
      </c>
      <c r="T1430" s="8"/>
      <c r="U1430" s="19" t="str">
        <f>HYPERLINK("https://pbs.twimg.com/profile_images/1167751575454015488/cTnNqDIy.jpg","View")</f>
        <v>View</v>
      </c>
      <c r="V1430" s="8"/>
      <c r="W1430" s="8"/>
      <c r="X1430" s="8"/>
      <c r="Y1430" s="8"/>
      <c r="Z1430" s="8"/>
    </row>
    <row r="1431" spans="1:26" ht="12.75">
      <c r="A1431" s="11">
        <v>43747.282465277778</v>
      </c>
      <c r="B1431" s="12" t="str">
        <f>HYPERLINK("https://twitter.com/Being_Faani","@Being_Faani")</f>
        <v>@Being_Faani</v>
      </c>
      <c r="C1431" s="13" t="s">
        <v>10292</v>
      </c>
      <c r="D1431" s="7" t="s">
        <v>10293</v>
      </c>
      <c r="E1431" s="12" t="str">
        <f>HYPERLINK("https://twitter.com/Being_Faani/status/1181928991537713153","1181928991537713153")</f>
        <v>1181928991537713153</v>
      </c>
      <c r="F1431" s="14" t="s">
        <v>10294</v>
      </c>
      <c r="G1431" s="15"/>
      <c r="H1431" s="8"/>
      <c r="I1431" s="15">
        <v>0</v>
      </c>
      <c r="J1431" s="15">
        <v>0</v>
      </c>
      <c r="K1431" s="12" t="str">
        <f>HYPERLINK("http://twitter.com/download/android","Twitter for Android")</f>
        <v>Twitter for Android</v>
      </c>
      <c r="L1431" s="16">
        <v>1210</v>
      </c>
      <c r="M1431" s="16">
        <v>1171</v>
      </c>
      <c r="N1431" s="16">
        <v>2</v>
      </c>
      <c r="O1431" s="17"/>
      <c r="P1431" s="18">
        <v>43355.839641203704</v>
      </c>
      <c r="Q1431" s="7" t="s">
        <v>10295</v>
      </c>
      <c r="R1431" s="7" t="s">
        <v>10296</v>
      </c>
      <c r="S1431" s="7"/>
      <c r="T1431" s="8"/>
      <c r="U1431" s="19" t="str">
        <f>HYPERLINK("https://pbs.twimg.com/profile_images/1162256308755558401/89dVNTa1.jpg","View")</f>
        <v>View</v>
      </c>
      <c r="V1431" s="8"/>
      <c r="W1431" s="8"/>
      <c r="X1431" s="8"/>
      <c r="Y1431" s="8"/>
      <c r="Z1431" s="8"/>
    </row>
    <row r="1432" spans="1:26" ht="12.75">
      <c r="A1432" s="11">
        <v>43747.282430555555</v>
      </c>
      <c r="B1432" s="12" t="str">
        <f>HYPERLINK("https://twitter.com/perippellaa","@perippellaa")</f>
        <v>@perippellaa</v>
      </c>
      <c r="C1432" s="7" t="s">
        <v>10301</v>
      </c>
      <c r="D1432" s="7" t="s">
        <v>10302</v>
      </c>
      <c r="E1432" s="12" t="str">
        <f>HYPERLINK("https://twitter.com/perippellaa/status/1181928978959011840","1181928978959011840")</f>
        <v>1181928978959011840</v>
      </c>
      <c r="F1432" s="8"/>
      <c r="G1432" s="14" t="s">
        <v>10303</v>
      </c>
      <c r="H1432" s="8"/>
      <c r="I1432" s="15">
        <v>0</v>
      </c>
      <c r="J1432" s="15">
        <v>1</v>
      </c>
      <c r="K1432" s="12" t="str">
        <f>HYPERLINK("http://twitter.com/download/iphone","Twitter for iPhone")</f>
        <v>Twitter for iPhone</v>
      </c>
      <c r="L1432" s="16">
        <v>107</v>
      </c>
      <c r="M1432" s="16">
        <v>127</v>
      </c>
      <c r="N1432" s="16">
        <v>0</v>
      </c>
      <c r="O1432" s="17"/>
      <c r="P1432" s="18">
        <v>43722.23709490741</v>
      </c>
      <c r="Q1432" s="7"/>
      <c r="R1432" s="7" t="s">
        <v>10306</v>
      </c>
      <c r="S1432" s="7"/>
      <c r="T1432" s="8"/>
      <c r="U1432" s="19" t="str">
        <f>HYPERLINK("https://pbs.twimg.com/profile_images/1181601566169731073/3mJDUZAR.jpg","View")</f>
        <v>View</v>
      </c>
      <c r="V1432" s="8"/>
      <c r="W1432" s="8"/>
      <c r="X1432" s="8"/>
      <c r="Y1432" s="8"/>
      <c r="Z1432" s="8"/>
    </row>
    <row r="1433" spans="1:26" ht="12.75">
      <c r="A1433" s="11">
        <v>43747.282418981486</v>
      </c>
      <c r="B1433" s="12" t="str">
        <f>HYPERLINK("https://twitter.com/GokhanYavaser","@GokhanYavaser")</f>
        <v>@GokhanYavaser</v>
      </c>
      <c r="C1433" s="7" t="s">
        <v>10307</v>
      </c>
      <c r="D1433" s="7" t="s">
        <v>10308</v>
      </c>
      <c r="E1433" s="12" t="str">
        <f>HYPERLINK("https://twitter.com/GokhanYavaser/status/1181928974978560001","1181928974978560001")</f>
        <v>1181928974978560001</v>
      </c>
      <c r="F1433" s="8"/>
      <c r="G1433" s="14" t="s">
        <v>10309</v>
      </c>
      <c r="H1433" s="8"/>
      <c r="I1433" s="15">
        <v>1</v>
      </c>
      <c r="J1433" s="15">
        <v>0</v>
      </c>
      <c r="K1433" s="12" t="str">
        <f>HYPERLINK("http://twitter.com/download/android","Twitter for Android")</f>
        <v>Twitter for Android</v>
      </c>
      <c r="L1433" s="16">
        <v>1274</v>
      </c>
      <c r="M1433" s="16">
        <v>1214</v>
      </c>
      <c r="N1433" s="16">
        <v>7</v>
      </c>
      <c r="O1433" s="17"/>
      <c r="P1433" s="18">
        <v>40833.450937499998</v>
      </c>
      <c r="Q1433" s="7" t="s">
        <v>10312</v>
      </c>
      <c r="R1433" s="7" t="s">
        <v>10313</v>
      </c>
      <c r="S1433" s="15"/>
      <c r="T1433" s="8"/>
      <c r="U1433" s="19" t="str">
        <f>HYPERLINK("https://pbs.twimg.com/profile_images/756915877602361349/MFRfqyIN.jpg","View")</f>
        <v>View</v>
      </c>
      <c r="V1433" s="8"/>
      <c r="W1433" s="8"/>
      <c r="X1433" s="8"/>
      <c r="Y1433" s="8"/>
      <c r="Z1433" s="8"/>
    </row>
    <row r="1434" spans="1:26" ht="12.75">
      <c r="A1434" s="11">
        <v>43747.282418981486</v>
      </c>
      <c r="B1434" s="12" t="str">
        <f>HYPERLINK("https://twitter.com/i_oguncivelek","@i_oguncivelek")</f>
        <v>@i_oguncivelek</v>
      </c>
      <c r="C1434" s="7" t="s">
        <v>10314</v>
      </c>
      <c r="D1434" s="7" t="s">
        <v>10316</v>
      </c>
      <c r="E1434" s="12" t="str">
        <f>HYPERLINK("https://twitter.com/i_oguncivelek/status/1181928974596923393","1181928974596923393")</f>
        <v>1181928974596923393</v>
      </c>
      <c r="F1434" s="8"/>
      <c r="G1434" s="15"/>
      <c r="H1434" s="8"/>
      <c r="I1434" s="15">
        <v>0</v>
      </c>
      <c r="J1434" s="15">
        <v>0</v>
      </c>
      <c r="K1434" s="12" t="str">
        <f>HYPERLINK("http://twitter.com/download/iphone","Twitter for iPhone")</f>
        <v>Twitter for iPhone</v>
      </c>
      <c r="L1434" s="16">
        <v>63</v>
      </c>
      <c r="M1434" s="16">
        <v>85</v>
      </c>
      <c r="N1434" s="16">
        <v>0</v>
      </c>
      <c r="O1434" s="17"/>
      <c r="P1434" s="18">
        <v>43388.137256944443</v>
      </c>
      <c r="Q1434" s="7" t="s">
        <v>5418</v>
      </c>
      <c r="R1434" s="7" t="s">
        <v>10319</v>
      </c>
      <c r="S1434" s="15"/>
      <c r="T1434" s="8"/>
      <c r="U1434" s="19" t="str">
        <f>HYPERLINK("https://pbs.twimg.com/profile_images/1051786205925441538/77sbY53c.jpg","View")</f>
        <v>View</v>
      </c>
      <c r="V1434" s="8"/>
      <c r="W1434" s="8"/>
      <c r="X1434" s="8"/>
      <c r="Y1434" s="8"/>
      <c r="Z1434" s="8"/>
    </row>
    <row r="1435" spans="1:26" ht="12.75">
      <c r="A1435" s="11">
        <v>43747.282418981486</v>
      </c>
      <c r="B1435" s="12" t="str">
        <f>HYPERLINK("https://twitter.com/bir_yabanci05","@bir_yabanci05")</f>
        <v>@bir_yabanci05</v>
      </c>
      <c r="C1435" s="7" t="s">
        <v>10320</v>
      </c>
      <c r="D1435" s="7" t="s">
        <v>10321</v>
      </c>
      <c r="E1435" s="12" t="str">
        <f>HYPERLINK("https://twitter.com/bir_yabanci05/status/1181928973573468160","1181928973573468160")</f>
        <v>1181928973573468160</v>
      </c>
      <c r="F1435" s="8"/>
      <c r="G1435" s="14" t="s">
        <v>10323</v>
      </c>
      <c r="H1435" s="8"/>
      <c r="I1435" s="15">
        <v>0</v>
      </c>
      <c r="J1435" s="15">
        <v>0</v>
      </c>
      <c r="K1435" s="12" t="str">
        <f>HYPERLINK("http://twitter.com/download/iphone","Twitter for iPhone")</f>
        <v>Twitter for iPhone</v>
      </c>
      <c r="L1435" s="16">
        <v>1117</v>
      </c>
      <c r="M1435" s="16">
        <v>1590</v>
      </c>
      <c r="N1435" s="16">
        <v>1</v>
      </c>
      <c r="O1435" s="17"/>
      <c r="P1435" s="18">
        <v>42631.609895833331</v>
      </c>
      <c r="Q1435" s="7" t="s">
        <v>10325</v>
      </c>
      <c r="R1435" s="7" t="s">
        <v>10326</v>
      </c>
      <c r="S1435" s="14" t="s">
        <v>10327</v>
      </c>
      <c r="T1435" s="8"/>
      <c r="U1435" s="19" t="str">
        <f>HYPERLINK("https://pbs.twimg.com/profile_images/1169509511637458944/AlOSBY_F.jpg","View")</f>
        <v>View</v>
      </c>
      <c r="V1435" s="8"/>
      <c r="W1435" s="8"/>
      <c r="X1435" s="8"/>
      <c r="Y1435" s="8"/>
      <c r="Z1435" s="8"/>
    </row>
    <row r="1436" spans="1:26" ht="12.75">
      <c r="A1436" s="11">
        <v>43747.282384259262</v>
      </c>
      <c r="B1436" s="12" t="str">
        <f>HYPERLINK("https://twitter.com/Bekir61618856","@Bekir61618856")</f>
        <v>@Bekir61618856</v>
      </c>
      <c r="C1436" s="7" t="s">
        <v>10332</v>
      </c>
      <c r="D1436" s="7" t="s">
        <v>10333</v>
      </c>
      <c r="E1436" s="12" t="str">
        <f>HYPERLINK("https://twitter.com/Bekir61618856/status/1181928963737825280","1181928963737825280")</f>
        <v>1181928963737825280</v>
      </c>
      <c r="F1436" s="8"/>
      <c r="G1436" s="15"/>
      <c r="H1436" s="8"/>
      <c r="I1436" s="15">
        <v>0</v>
      </c>
      <c r="J1436" s="15">
        <v>0</v>
      </c>
      <c r="K1436" s="12" t="str">
        <f>HYPERLINK("http://twitter.com/download/android","Twitter for Android")</f>
        <v>Twitter for Android</v>
      </c>
      <c r="L1436" s="16">
        <v>1</v>
      </c>
      <c r="M1436" s="16">
        <v>148</v>
      </c>
      <c r="N1436" s="16">
        <v>0</v>
      </c>
      <c r="O1436" s="17"/>
      <c r="P1436" s="18">
        <v>43725.425729166665</v>
      </c>
      <c r="Q1436" s="7"/>
      <c r="R1436" s="7" t="s">
        <v>10336</v>
      </c>
      <c r="S1436" s="7"/>
      <c r="T1436" s="8"/>
      <c r="U1436" s="20" t="s">
        <v>354</v>
      </c>
      <c r="V1436" s="8"/>
      <c r="W1436" s="8"/>
      <c r="X1436" s="8"/>
      <c r="Y1436" s="8"/>
      <c r="Z1436" s="8"/>
    </row>
    <row r="1437" spans="1:26" ht="12.75">
      <c r="A1437" s="11">
        <v>43747.282384259262</v>
      </c>
      <c r="B1437" s="12" t="str">
        <f>HYPERLINK("https://twitter.com/emreeartuk","@emreeartuk")</f>
        <v>@emreeartuk</v>
      </c>
      <c r="C1437" s="7" t="s">
        <v>10337</v>
      </c>
      <c r="D1437" s="7" t="s">
        <v>10338</v>
      </c>
      <c r="E1437" s="12" t="str">
        <f>HYPERLINK("https://twitter.com/emreeartuk/status/1181928963083575296","1181928963083575296")</f>
        <v>1181928963083575296</v>
      </c>
      <c r="F1437" s="8"/>
      <c r="G1437" s="14" t="s">
        <v>10339</v>
      </c>
      <c r="H1437" s="8"/>
      <c r="I1437" s="15">
        <v>0</v>
      </c>
      <c r="J1437" s="15">
        <v>0</v>
      </c>
      <c r="K1437" s="12" t="str">
        <f>HYPERLINK("https://mobile.twitter.com","Twitter Web App")</f>
        <v>Twitter Web App</v>
      </c>
      <c r="L1437" s="16">
        <v>12</v>
      </c>
      <c r="M1437" s="16">
        <v>34</v>
      </c>
      <c r="N1437" s="16">
        <v>0</v>
      </c>
      <c r="O1437" s="17"/>
      <c r="P1437" s="18">
        <v>43674.948009259257</v>
      </c>
      <c r="Q1437" s="7"/>
      <c r="R1437" s="7" t="s">
        <v>10342</v>
      </c>
      <c r="S1437" s="7"/>
      <c r="T1437" s="8"/>
      <c r="U1437" s="19" t="str">
        <f>HYPERLINK("https://pbs.twimg.com/profile_images/1179399345499725831/3-fi_lXD.jpg","View")</f>
        <v>View</v>
      </c>
      <c r="V1437" s="8"/>
      <c r="W1437" s="8"/>
      <c r="X1437" s="8"/>
      <c r="Y1437" s="8"/>
      <c r="Z1437" s="8"/>
    </row>
    <row r="1438" spans="1:26" ht="12.75">
      <c r="A1438" s="11">
        <v>43747.282372685186</v>
      </c>
      <c r="B1438" s="12" t="str">
        <f>HYPERLINK("https://twitter.com/119mirza","@119mirza")</f>
        <v>@119mirza</v>
      </c>
      <c r="C1438" s="7" t="s">
        <v>10343</v>
      </c>
      <c r="D1438" s="7" t="s">
        <v>10344</v>
      </c>
      <c r="E1438" s="12" t="str">
        <f>HYPERLINK("https://twitter.com/119mirza/status/1181928957022748673","1181928957022748673")</f>
        <v>1181928957022748673</v>
      </c>
      <c r="F1438" s="8"/>
      <c r="G1438" s="15"/>
      <c r="H1438" s="8"/>
      <c r="I1438" s="15">
        <v>0</v>
      </c>
      <c r="J1438" s="15">
        <v>0</v>
      </c>
      <c r="K1438" s="12" t="str">
        <f>HYPERLINK("http://twitter.com/download/android","Twitter for Android")</f>
        <v>Twitter for Android</v>
      </c>
      <c r="L1438" s="16">
        <v>198</v>
      </c>
      <c r="M1438" s="16">
        <v>156</v>
      </c>
      <c r="N1438" s="16">
        <v>0</v>
      </c>
      <c r="O1438" s="17"/>
      <c r="P1438" s="18">
        <v>41645.269328703704</v>
      </c>
      <c r="Q1438" s="7" t="s">
        <v>898</v>
      </c>
      <c r="R1438" s="7" t="s">
        <v>10347</v>
      </c>
      <c r="S1438" s="7"/>
      <c r="T1438" s="8"/>
      <c r="U1438" s="19" t="str">
        <f>HYPERLINK("https://pbs.twimg.com/profile_images/1181926782485831680/fXW47Q7L.jpg","View")</f>
        <v>View</v>
      </c>
      <c r="V1438" s="8"/>
      <c r="W1438" s="8"/>
      <c r="X1438" s="8"/>
      <c r="Y1438" s="8"/>
      <c r="Z1438" s="8"/>
    </row>
    <row r="1439" spans="1:26" ht="12.75">
      <c r="A1439" s="11">
        <v>43747.282361111109</v>
      </c>
      <c r="B1439" s="12" t="str">
        <f>HYPERLINK("https://twitter.com/OzanCOzkan","@OzanCOzkan")</f>
        <v>@OzanCOzkan</v>
      </c>
      <c r="C1439" s="7" t="s">
        <v>10348</v>
      </c>
      <c r="D1439" s="7" t="s">
        <v>2802</v>
      </c>
      <c r="E1439" s="12" t="str">
        <f>HYPERLINK("https://twitter.com/OzanCOzkan/status/1181928953243721728","1181928953243721728")</f>
        <v>1181928953243721728</v>
      </c>
      <c r="F1439" s="8"/>
      <c r="G1439" s="14" t="s">
        <v>10349</v>
      </c>
      <c r="H1439" s="8"/>
      <c r="I1439" s="15">
        <v>0</v>
      </c>
      <c r="J1439" s="15">
        <v>1</v>
      </c>
      <c r="K1439" s="12" t="str">
        <f>HYPERLINK("http://twitter.com/download/iphone","Twitter for iPhone")</f>
        <v>Twitter for iPhone</v>
      </c>
      <c r="L1439" s="16">
        <v>204</v>
      </c>
      <c r="M1439" s="16">
        <v>204</v>
      </c>
      <c r="N1439" s="16">
        <v>0</v>
      </c>
      <c r="O1439" s="17"/>
      <c r="P1439" s="18">
        <v>42983.484270833331</v>
      </c>
      <c r="Q1439" s="7" t="s">
        <v>200</v>
      </c>
      <c r="R1439" s="7" t="s">
        <v>10353</v>
      </c>
      <c r="S1439" s="14" t="s">
        <v>10354</v>
      </c>
      <c r="T1439" s="8"/>
      <c r="U1439" s="19" t="str">
        <f>HYPERLINK("https://pbs.twimg.com/profile_images/1139657918918418433/nva7l5V5.jpg","View")</f>
        <v>View</v>
      </c>
      <c r="V1439" s="8"/>
      <c r="W1439" s="8"/>
      <c r="X1439" s="8"/>
      <c r="Y1439" s="8"/>
      <c r="Z1439" s="8"/>
    </row>
    <row r="1440" spans="1:26" ht="12.75">
      <c r="A1440" s="11">
        <v>43747.282337962963</v>
      </c>
      <c r="B1440" s="12" t="str">
        <f>HYPERLINK("https://twitter.com/onurgmus","@onurgmus")</f>
        <v>@onurgmus</v>
      </c>
      <c r="C1440" s="7" t="s">
        <v>10355</v>
      </c>
      <c r="D1440" s="7" t="s">
        <v>10356</v>
      </c>
      <c r="E1440" s="12" t="str">
        <f>HYPERLINK("https://twitter.com/onurgmus/status/1181928947707187200","1181928947707187200")</f>
        <v>1181928947707187200</v>
      </c>
      <c r="F1440" s="8"/>
      <c r="G1440" s="7"/>
      <c r="H1440" s="8"/>
      <c r="I1440" s="15">
        <v>0</v>
      </c>
      <c r="J1440" s="15">
        <v>3</v>
      </c>
      <c r="K1440" s="12" t="str">
        <f>HYPERLINK("https://mobile.twitter.com","Twitter Web App")</f>
        <v>Twitter Web App</v>
      </c>
      <c r="L1440" s="16">
        <v>319</v>
      </c>
      <c r="M1440" s="16">
        <v>996</v>
      </c>
      <c r="N1440" s="16">
        <v>2</v>
      </c>
      <c r="O1440" s="17"/>
      <c r="P1440" s="18">
        <v>41486.216874999998</v>
      </c>
      <c r="Q1440" s="7"/>
      <c r="R1440" s="7" t="s">
        <v>10358</v>
      </c>
      <c r="S1440" s="14" t="s">
        <v>10359</v>
      </c>
      <c r="T1440" s="8"/>
      <c r="U1440" s="19" t="str">
        <f>HYPERLINK("https://pbs.twimg.com/profile_images/1161395841019654145/GFAfDFWL.jpg","View")</f>
        <v>View</v>
      </c>
      <c r="V1440" s="8"/>
      <c r="W1440" s="8"/>
      <c r="X1440" s="8"/>
      <c r="Y1440" s="8"/>
      <c r="Z1440" s="8"/>
    </row>
    <row r="1441" spans="1:26" ht="12.75">
      <c r="A1441" s="11">
        <v>43747.282337962963</v>
      </c>
      <c r="B1441" s="12" t="str">
        <f>HYPERLINK("https://twitter.com/once_vatan_78","@once_vatan_78")</f>
        <v>@once_vatan_78</v>
      </c>
      <c r="C1441" s="7" t="s">
        <v>10363</v>
      </c>
      <c r="D1441" s="7" t="s">
        <v>10364</v>
      </c>
      <c r="E1441" s="12" t="str">
        <f>HYPERLINK("https://twitter.com/once_vatan_78/status/1181928946801225728","1181928946801225728")</f>
        <v>1181928946801225728</v>
      </c>
      <c r="F1441" s="8"/>
      <c r="G1441" s="14" t="s">
        <v>10365</v>
      </c>
      <c r="H1441" s="8"/>
      <c r="I1441" s="15">
        <v>4</v>
      </c>
      <c r="J1441" s="15">
        <v>26</v>
      </c>
      <c r="K1441" s="12" t="str">
        <f>HYPERLINK("http://twitter.com/download/android","Twitter for Android")</f>
        <v>Twitter for Android</v>
      </c>
      <c r="L1441" s="16">
        <v>1473</v>
      </c>
      <c r="M1441" s="16">
        <v>999</v>
      </c>
      <c r="N1441" s="16">
        <v>0</v>
      </c>
      <c r="O1441" s="17"/>
      <c r="P1441" s="18">
        <v>43570.587083333332</v>
      </c>
      <c r="Q1441" s="7" t="s">
        <v>287</v>
      </c>
      <c r="R1441" s="7" t="s">
        <v>10367</v>
      </c>
      <c r="S1441" s="7"/>
      <c r="T1441" s="8"/>
      <c r="U1441" s="19" t="str">
        <f>HYPERLINK("https://pbs.twimg.com/profile_images/1181692725470601219/a06sGFGr.jpg","View")</f>
        <v>View</v>
      </c>
      <c r="V1441" s="8"/>
      <c r="W1441" s="8"/>
      <c r="X1441" s="8"/>
      <c r="Y1441" s="8"/>
      <c r="Z1441" s="8"/>
    </row>
    <row r="1442" spans="1:26" ht="12.75">
      <c r="A1442" s="11">
        <v>43747.282291666663</v>
      </c>
      <c r="B1442" s="12" t="str">
        <f>HYPERLINK("https://twitter.com/zkanzm1","@zkanzm1")</f>
        <v>@zkanzm1</v>
      </c>
      <c r="C1442" s="7" t="s">
        <v>10374</v>
      </c>
      <c r="D1442" s="7" t="s">
        <v>10375</v>
      </c>
      <c r="E1442" s="12" t="str">
        <f>HYPERLINK("https://twitter.com/zkanzm1/status/1181928930200170496","1181928930200170496")</f>
        <v>1181928930200170496</v>
      </c>
      <c r="F1442" s="8"/>
      <c r="G1442" s="7"/>
      <c r="H1442" s="8"/>
      <c r="I1442" s="15">
        <v>0</v>
      </c>
      <c r="J1442" s="15">
        <v>0</v>
      </c>
      <c r="K1442" s="12" t="str">
        <f>HYPERLINK("http://twitter.com/download/android","Twitter for Android")</f>
        <v>Twitter for Android</v>
      </c>
      <c r="L1442" s="16">
        <v>62</v>
      </c>
      <c r="M1442" s="16">
        <v>41</v>
      </c>
      <c r="N1442" s="16">
        <v>0</v>
      </c>
      <c r="O1442" s="17"/>
      <c r="P1442" s="18">
        <v>40803.525856481479</v>
      </c>
      <c r="Q1442" s="7" t="s">
        <v>5678</v>
      </c>
      <c r="R1442" s="7" t="s">
        <v>10377</v>
      </c>
      <c r="S1442" s="7"/>
      <c r="T1442" s="8"/>
      <c r="U1442" s="19" t="str">
        <f>HYPERLINK("https://pbs.twimg.com/profile_images/789739296282533888/H_5dmmEt.jpg","View")</f>
        <v>View</v>
      </c>
      <c r="V1442" s="8"/>
      <c r="W1442" s="8"/>
      <c r="X1442" s="8"/>
      <c r="Y1442" s="8"/>
      <c r="Z1442" s="8"/>
    </row>
    <row r="1443" spans="1:26" ht="12.75">
      <c r="A1443" s="11">
        <v>43747.282280092593</v>
      </c>
      <c r="B1443" s="12" t="str">
        <f>HYPERLINK("https://twitter.com/turkticaretnet","@turkticaretnet")</f>
        <v>@turkticaretnet</v>
      </c>
      <c r="C1443" s="14" t="s">
        <v>10382</v>
      </c>
      <c r="D1443" s="7" t="s">
        <v>9322</v>
      </c>
      <c r="E1443" s="12" t="str">
        <f>HYPERLINK("https://twitter.com/turkticaretnet/status/1181928926135889922","1181928926135889922")</f>
        <v>1181928926135889922</v>
      </c>
      <c r="F1443" s="8"/>
      <c r="G1443" s="14" t="s">
        <v>10384</v>
      </c>
      <c r="H1443" s="8"/>
      <c r="I1443" s="15">
        <v>0</v>
      </c>
      <c r="J1443" s="15">
        <v>1</v>
      </c>
      <c r="K1443" s="12" t="str">
        <f>HYPERLINK("https://mobile.twitter.com","Twitter Web App")</f>
        <v>Twitter Web App</v>
      </c>
      <c r="L1443" s="16">
        <v>793</v>
      </c>
      <c r="M1443" s="16">
        <v>2304</v>
      </c>
      <c r="N1443" s="16">
        <v>4</v>
      </c>
      <c r="O1443" s="17"/>
      <c r="P1443" s="18">
        <v>40162.344537037039</v>
      </c>
      <c r="Q1443" s="7" t="s">
        <v>576</v>
      </c>
      <c r="R1443" s="7" t="s">
        <v>10385</v>
      </c>
      <c r="S1443" s="14" t="s">
        <v>10386</v>
      </c>
      <c r="T1443" s="8"/>
      <c r="U1443" s="19" t="str">
        <f>HYPERLINK("https://pbs.twimg.com/profile_images/469084380950839296/yKSDvcYK.jpeg","View")</f>
        <v>View</v>
      </c>
      <c r="V1443" s="8"/>
      <c r="W1443" s="8"/>
      <c r="X1443" s="8"/>
      <c r="Y1443" s="8"/>
      <c r="Z1443" s="8"/>
    </row>
    <row r="1444" spans="1:26" ht="12.75">
      <c r="A1444" s="11">
        <v>43747.28225694444</v>
      </c>
      <c r="B1444" s="12" t="str">
        <f>HYPERLINK("https://twitter.com/besyuzotuz9","@besyuzotuz9")</f>
        <v>@besyuzotuz9</v>
      </c>
      <c r="C1444" s="7" t="s">
        <v>10389</v>
      </c>
      <c r="D1444" s="7" t="s">
        <v>10390</v>
      </c>
      <c r="E1444" s="12" t="str">
        <f>HYPERLINK("https://twitter.com/besyuzotuz9/status/1181928914928754690","1181928914928754690")</f>
        <v>1181928914928754690</v>
      </c>
      <c r="F1444" s="8"/>
      <c r="G1444" s="7"/>
      <c r="H1444" s="8"/>
      <c r="I1444" s="15">
        <v>0</v>
      </c>
      <c r="J1444" s="15">
        <v>6</v>
      </c>
      <c r="K1444" s="12" t="str">
        <f>HYPERLINK("https://mobile.twitter.com","Twitter Web App")</f>
        <v>Twitter Web App</v>
      </c>
      <c r="L1444" s="16">
        <v>658</v>
      </c>
      <c r="M1444" s="16">
        <v>278</v>
      </c>
      <c r="N1444" s="16">
        <v>1</v>
      </c>
      <c r="O1444" s="17"/>
      <c r="P1444" s="18">
        <v>41675.152488425927</v>
      </c>
      <c r="Q1444" s="7"/>
      <c r="R1444" s="7" t="s">
        <v>10391</v>
      </c>
      <c r="S1444" s="7"/>
      <c r="T1444" s="8"/>
      <c r="U1444" s="19" t="str">
        <f>HYPERLINK("https://pbs.twimg.com/profile_images/1155158168634298368/oukHfXCQ.jpg","View")</f>
        <v>View</v>
      </c>
      <c r="V1444" s="8"/>
      <c r="W1444" s="8"/>
      <c r="X1444" s="8"/>
      <c r="Y1444" s="8"/>
      <c r="Z1444" s="8"/>
    </row>
    <row r="1445" spans="1:26" ht="12.75">
      <c r="A1445" s="11">
        <v>43747.28224537037</v>
      </c>
      <c r="B1445" s="12" t="str">
        <f>HYPERLINK("https://twitter.com/gkhnaslann","@gkhnaslann")</f>
        <v>@gkhnaslann</v>
      </c>
      <c r="C1445" s="7" t="s">
        <v>10394</v>
      </c>
      <c r="D1445" s="7" t="s">
        <v>10395</v>
      </c>
      <c r="E1445" s="12" t="str">
        <f>HYPERLINK("https://twitter.com/gkhnaslann/status/1181928910721880064","1181928910721880064")</f>
        <v>1181928910721880064</v>
      </c>
      <c r="F1445" s="8"/>
      <c r="G1445" s="7"/>
      <c r="H1445" s="8"/>
      <c r="I1445" s="15">
        <v>0</v>
      </c>
      <c r="J1445" s="15">
        <v>1</v>
      </c>
      <c r="K1445" s="12" t="str">
        <f>HYPERLINK("http://twitter.com/download/android","Twitter for Android")</f>
        <v>Twitter for Android</v>
      </c>
      <c r="L1445" s="16">
        <v>693</v>
      </c>
      <c r="M1445" s="16">
        <v>218</v>
      </c>
      <c r="N1445" s="16">
        <v>0</v>
      </c>
      <c r="O1445" s="17"/>
      <c r="P1445" s="18">
        <v>40734.10565972222</v>
      </c>
      <c r="Q1445" s="7" t="s">
        <v>10396</v>
      </c>
      <c r="R1445" s="7" t="s">
        <v>10397</v>
      </c>
      <c r="S1445" s="15"/>
      <c r="T1445" s="8"/>
      <c r="U1445" s="19" t="str">
        <f>HYPERLINK("https://pbs.twimg.com/profile_images/1162769922184962048/j7thmu5E.jpg","View")</f>
        <v>View</v>
      </c>
      <c r="V1445" s="8"/>
      <c r="W1445" s="8"/>
      <c r="X1445" s="8"/>
      <c r="Y1445" s="8"/>
      <c r="Z1445" s="8"/>
    </row>
    <row r="1446" spans="1:26" ht="12.75">
      <c r="A1446" s="11">
        <v>43747.282222222224</v>
      </c>
      <c r="B1446" s="12" t="str">
        <f>HYPERLINK("https://twitter.com/Aziz19261","@Aziz19261")</f>
        <v>@Aziz19261</v>
      </c>
      <c r="C1446" s="7" t="s">
        <v>10401</v>
      </c>
      <c r="D1446" s="7" t="s">
        <v>10402</v>
      </c>
      <c r="E1446" s="12" t="str">
        <f>HYPERLINK("https://twitter.com/Aziz19261/status/1181928902240952323","1181928902240952323")</f>
        <v>1181928902240952323</v>
      </c>
      <c r="F1446" s="8"/>
      <c r="G1446" s="14" t="s">
        <v>10403</v>
      </c>
      <c r="H1446" s="8"/>
      <c r="I1446" s="15">
        <v>0</v>
      </c>
      <c r="J1446" s="15">
        <v>0</v>
      </c>
      <c r="K1446" s="12" t="str">
        <f>HYPERLINK("http://twitter.com/download/iphone","Twitter for iPhone")</f>
        <v>Twitter for iPhone</v>
      </c>
      <c r="L1446" s="16">
        <v>55</v>
      </c>
      <c r="M1446" s="16">
        <v>24</v>
      </c>
      <c r="N1446" s="16">
        <v>0</v>
      </c>
      <c r="O1446" s="17"/>
      <c r="P1446" s="18">
        <v>42486.127500000002</v>
      </c>
      <c r="Q1446" s="7"/>
      <c r="R1446" s="7"/>
      <c r="S1446" s="7"/>
      <c r="T1446" s="8"/>
      <c r="U1446" s="19" t="str">
        <f>HYPERLINK("https://pbs.twimg.com/profile_images/1095265413783523330/GlnZNwwo.jpg","View")</f>
        <v>View</v>
      </c>
      <c r="V1446" s="8"/>
      <c r="W1446" s="8"/>
      <c r="X1446" s="8"/>
      <c r="Y1446" s="8"/>
      <c r="Z1446" s="8"/>
    </row>
    <row r="1447" spans="1:26" ht="12.75">
      <c r="A1447" s="11">
        <v>43747.282210648147</v>
      </c>
      <c r="B1447" s="12" t="str">
        <f>HYPERLINK("https://twitter.com/littleimpressio","@littleimpressio")</f>
        <v>@littleimpressio</v>
      </c>
      <c r="C1447" s="7" t="s">
        <v>10406</v>
      </c>
      <c r="D1447" s="7" t="s">
        <v>10407</v>
      </c>
      <c r="E1447" s="12" t="str">
        <f>HYPERLINK("https://twitter.com/littleimpressio/status/1181928899166515201","1181928899166515201")</f>
        <v>1181928899166515201</v>
      </c>
      <c r="F1447" s="14" t="s">
        <v>10409</v>
      </c>
      <c r="G1447" s="15"/>
      <c r="H1447" s="8"/>
      <c r="I1447" s="15">
        <v>0</v>
      </c>
      <c r="J1447" s="15">
        <v>0</v>
      </c>
      <c r="K1447" s="12" t="str">
        <f>HYPERLINK("http://twitter.com/download/android","Twitter for Android")</f>
        <v>Twitter for Android</v>
      </c>
      <c r="L1447" s="16">
        <v>2495</v>
      </c>
      <c r="M1447" s="16">
        <v>2703</v>
      </c>
      <c r="N1447" s="16">
        <v>94</v>
      </c>
      <c r="O1447" s="17"/>
      <c r="P1447" s="18">
        <v>39862.429293981484</v>
      </c>
      <c r="Q1447" s="7" t="s">
        <v>10412</v>
      </c>
      <c r="R1447" s="7"/>
      <c r="S1447" s="15"/>
      <c r="T1447" s="8"/>
      <c r="U1447" s="19" t="str">
        <f>HYPERLINK("https://pbs.twimg.com/profile_images/968489330028306432/81FabHmS.jpg","View")</f>
        <v>View</v>
      </c>
      <c r="V1447" s="8"/>
      <c r="W1447" s="8"/>
      <c r="X1447" s="8"/>
      <c r="Y1447" s="8"/>
      <c r="Z1447" s="8"/>
    </row>
    <row r="1448" spans="1:26" ht="12.75">
      <c r="A1448" s="11">
        <v>43747.282210648147</v>
      </c>
      <c r="B1448" s="12" t="str">
        <f>HYPERLINK("https://twitter.com/reuters_turkey","@reuters_turkey")</f>
        <v>@reuters_turkey</v>
      </c>
      <c r="C1448" s="7" t="s">
        <v>10414</v>
      </c>
      <c r="D1448" s="7" t="s">
        <v>10416</v>
      </c>
      <c r="E1448" s="12" t="str">
        <f>HYPERLINK("https://twitter.com/reuters_turkey/status/1181928898063294465","1181928898063294465")</f>
        <v>1181928898063294465</v>
      </c>
      <c r="F1448" s="8"/>
      <c r="G1448" s="7"/>
      <c r="H1448" s="8"/>
      <c r="I1448" s="15">
        <v>1</v>
      </c>
      <c r="J1448" s="15">
        <v>3</v>
      </c>
      <c r="K1448" s="12" t="str">
        <f>HYPERLINK("http://twitter.com/download/iphone","Twitter for iPhone")</f>
        <v>Twitter for iPhone</v>
      </c>
      <c r="L1448" s="16">
        <v>1719</v>
      </c>
      <c r="M1448" s="16">
        <v>2</v>
      </c>
      <c r="N1448" s="16">
        <v>6</v>
      </c>
      <c r="O1448" s="17"/>
      <c r="P1448" s="18">
        <v>43354.390300925923</v>
      </c>
      <c r="Q1448" s="7"/>
      <c r="R1448" s="7"/>
      <c r="S1448" s="7"/>
      <c r="T1448" s="8"/>
      <c r="U1448" s="19" t="str">
        <f>HYPERLINK("https://pbs.twimg.com/profile_images/1166966230747615239/w9SkClrY.jpg","View")</f>
        <v>View</v>
      </c>
      <c r="V1448" s="8"/>
      <c r="W1448" s="8"/>
      <c r="X1448" s="8"/>
      <c r="Y1448" s="8"/>
      <c r="Z1448" s="8"/>
    </row>
    <row r="1449" spans="1:26" ht="12.75">
      <c r="A1449" s="11">
        <v>43747.282199074078</v>
      </c>
      <c r="B1449" s="12" t="str">
        <f>HYPERLINK("https://twitter.com/Vatan18727498","@Vatan18727498")</f>
        <v>@Vatan18727498</v>
      </c>
      <c r="C1449" s="7" t="s">
        <v>10418</v>
      </c>
      <c r="D1449" s="7" t="s">
        <v>10419</v>
      </c>
      <c r="E1449" s="12" t="str">
        <f>HYPERLINK("https://twitter.com/Vatan18727498/status/1181928897157455872","1181928897157455872")</f>
        <v>1181928897157455872</v>
      </c>
      <c r="F1449" s="8"/>
      <c r="G1449" s="15"/>
      <c r="H1449" s="8"/>
      <c r="I1449" s="15">
        <v>0</v>
      </c>
      <c r="J1449" s="15">
        <v>0</v>
      </c>
      <c r="K1449" s="12" t="str">
        <f>HYPERLINK("http://twitter.com/download/android","Twitter for Android")</f>
        <v>Twitter for Android</v>
      </c>
      <c r="L1449" s="16">
        <v>21</v>
      </c>
      <c r="M1449" s="16">
        <v>58</v>
      </c>
      <c r="N1449" s="16">
        <v>0</v>
      </c>
      <c r="O1449" s="17"/>
      <c r="P1449" s="18">
        <v>43740.090138888889</v>
      </c>
      <c r="Q1449" s="7"/>
      <c r="R1449" s="7" t="s">
        <v>10422</v>
      </c>
      <c r="S1449" s="7"/>
      <c r="T1449" s="8"/>
      <c r="U1449" s="19" t="str">
        <f>HYPERLINK("https://pbs.twimg.com/profile_images/1179322752181964800/lRDyi-Md.jpg","View")</f>
        <v>View</v>
      </c>
      <c r="V1449" s="8"/>
      <c r="W1449" s="8"/>
      <c r="X1449" s="8"/>
      <c r="Y1449" s="8"/>
      <c r="Z1449" s="8"/>
    </row>
    <row r="1450" spans="1:26" ht="12.75">
      <c r="A1450" s="11">
        <v>43747.282187500001</v>
      </c>
      <c r="B1450" s="12" t="str">
        <f>HYPERLINK("https://twitter.com/54Harami","@54Harami")</f>
        <v>@54Harami</v>
      </c>
      <c r="C1450" s="7" t="s">
        <v>10423</v>
      </c>
      <c r="D1450" s="7" t="s">
        <v>10424</v>
      </c>
      <c r="E1450" s="12" t="str">
        <f>HYPERLINK("https://twitter.com/54Harami/status/1181928891662917632","1181928891662917632")</f>
        <v>1181928891662917632</v>
      </c>
      <c r="F1450" s="15"/>
      <c r="G1450" s="14" t="s">
        <v>10426</v>
      </c>
      <c r="H1450" s="8"/>
      <c r="I1450" s="15">
        <v>1</v>
      </c>
      <c r="J1450" s="15">
        <v>1</v>
      </c>
      <c r="K1450" s="12" t="str">
        <f>HYPERLINK("http://twitter.com/download/android","Twitter for Android")</f>
        <v>Twitter for Android</v>
      </c>
      <c r="L1450" s="16">
        <v>372</v>
      </c>
      <c r="M1450" s="16">
        <v>23</v>
      </c>
      <c r="N1450" s="16">
        <v>1</v>
      </c>
      <c r="O1450" s="17"/>
      <c r="P1450" s="18">
        <v>41817.744444444441</v>
      </c>
      <c r="Q1450" s="7" t="s">
        <v>10428</v>
      </c>
      <c r="R1450" s="7" t="s">
        <v>10429</v>
      </c>
      <c r="S1450" s="14" t="s">
        <v>10430</v>
      </c>
      <c r="T1450" s="8"/>
      <c r="U1450" s="19" t="str">
        <f>HYPERLINK("https://pbs.twimg.com/profile_images/482688837143900160/QZ7_achI.jpeg","View")</f>
        <v>View</v>
      </c>
      <c r="V1450" s="8"/>
      <c r="W1450" s="8"/>
      <c r="X1450" s="8"/>
      <c r="Y1450" s="8"/>
      <c r="Z1450" s="8"/>
    </row>
    <row r="1451" spans="1:26" ht="12.75">
      <c r="A1451" s="11">
        <v>43747.282175925924</v>
      </c>
      <c r="B1451" s="12" t="str">
        <f>HYPERLINK("https://twitter.com/eskimezesad","@eskimezesad")</f>
        <v>@eskimezesad</v>
      </c>
      <c r="C1451" s="7" t="s">
        <v>10433</v>
      </c>
      <c r="D1451" s="7" t="s">
        <v>10434</v>
      </c>
      <c r="E1451" s="12" t="str">
        <f>HYPERLINK("https://twitter.com/eskimezesad/status/1181928886659096576","1181928886659096576")</f>
        <v>1181928886659096576</v>
      </c>
      <c r="F1451" s="8"/>
      <c r="G1451" s="15"/>
      <c r="H1451" s="8"/>
      <c r="I1451" s="15">
        <v>0</v>
      </c>
      <c r="J1451" s="15">
        <v>12</v>
      </c>
      <c r="K1451" s="12" t="str">
        <f>HYPERLINK("http://twitter.com/download/iphone","Twitter for iPhone")</f>
        <v>Twitter for iPhone</v>
      </c>
      <c r="L1451" s="16">
        <v>320</v>
      </c>
      <c r="M1451" s="16">
        <v>245</v>
      </c>
      <c r="N1451" s="16">
        <v>0</v>
      </c>
      <c r="O1451" s="17"/>
      <c r="P1451" s="18">
        <v>42204.134756944448</v>
      </c>
      <c r="Q1451" s="7" t="s">
        <v>10435</v>
      </c>
      <c r="R1451" s="15" t="s">
        <v>10436</v>
      </c>
      <c r="S1451" s="14" t="s">
        <v>10437</v>
      </c>
      <c r="T1451" s="8"/>
      <c r="U1451" s="19" t="str">
        <f>HYPERLINK("https://pbs.twimg.com/profile_images/1169379736251961349/usIjdCfl.jpg","View")</f>
        <v>View</v>
      </c>
      <c r="V1451" s="8"/>
      <c r="W1451" s="8"/>
      <c r="X1451" s="8"/>
      <c r="Y1451" s="8"/>
      <c r="Z1451" s="8"/>
    </row>
    <row r="1452" spans="1:26" ht="12.75">
      <c r="A1452" s="11">
        <v>43747.282164351855</v>
      </c>
      <c r="B1452" s="12" t="str">
        <f>HYPERLINK("https://twitter.com/screaminmyhead7","@screaminmyhead7")</f>
        <v>@screaminmyhead7</v>
      </c>
      <c r="C1452" s="7" t="s">
        <v>10443</v>
      </c>
      <c r="D1452" s="7" t="s">
        <v>10444</v>
      </c>
      <c r="E1452" s="12" t="str">
        <f>HYPERLINK("https://twitter.com/screaminmyhead7/status/1181928883689590786","1181928883689590786")</f>
        <v>1181928883689590786</v>
      </c>
      <c r="F1452" s="8"/>
      <c r="G1452" s="14" t="s">
        <v>10445</v>
      </c>
      <c r="H1452" s="8"/>
      <c r="I1452" s="15">
        <v>0</v>
      </c>
      <c r="J1452" s="15">
        <v>2</v>
      </c>
      <c r="K1452" s="12" t="str">
        <f>HYPERLINK("http://twitter.com/download/android","Twitter for Android")</f>
        <v>Twitter for Android</v>
      </c>
      <c r="L1452" s="16">
        <v>36</v>
      </c>
      <c r="M1452" s="16">
        <v>45</v>
      </c>
      <c r="N1452" s="16">
        <v>0</v>
      </c>
      <c r="O1452" s="17"/>
      <c r="P1452" s="18">
        <v>43528.56722222222</v>
      </c>
      <c r="Q1452" s="7"/>
      <c r="R1452" s="7" t="s">
        <v>10449</v>
      </c>
      <c r="S1452" s="15"/>
      <c r="T1452" s="8"/>
      <c r="U1452" s="19" t="str">
        <f>HYPERLINK("https://pbs.twimg.com/profile_images/1102684766837661704/HN1gf35q.jpg","View")</f>
        <v>View</v>
      </c>
      <c r="V1452" s="8"/>
      <c r="W1452" s="8"/>
      <c r="X1452" s="8"/>
      <c r="Y1452" s="8"/>
      <c r="Z1452" s="8"/>
    </row>
    <row r="1453" spans="1:26" ht="12.75">
      <c r="A1453" s="11">
        <v>43747.282164351855</v>
      </c>
      <c r="B1453" s="12" t="str">
        <f>HYPERLINK("https://twitter.com/qrimneferi","@qrimneferi")</f>
        <v>@qrimneferi</v>
      </c>
      <c r="C1453" s="7" t="s">
        <v>10450</v>
      </c>
      <c r="D1453" s="7" t="s">
        <v>10451</v>
      </c>
      <c r="E1453" s="12" t="str">
        <f>HYPERLINK("https://twitter.com/qrimneferi/status/1181928882641014784","1181928882641014784")</f>
        <v>1181928882641014784</v>
      </c>
      <c r="F1453" s="8"/>
      <c r="G1453" s="15"/>
      <c r="H1453" s="8"/>
      <c r="I1453" s="15">
        <v>0</v>
      </c>
      <c r="J1453" s="15">
        <v>3</v>
      </c>
      <c r="K1453" s="12" t="str">
        <f>HYPERLINK("http://twitter.com/download/android","Twitter for Android")</f>
        <v>Twitter for Android</v>
      </c>
      <c r="L1453" s="16">
        <v>506</v>
      </c>
      <c r="M1453" s="16">
        <v>2363</v>
      </c>
      <c r="N1453" s="16">
        <v>0</v>
      </c>
      <c r="O1453" s="17"/>
      <c r="P1453" s="18">
        <v>43531.305625000001</v>
      </c>
      <c r="Q1453" s="7"/>
      <c r="R1453" s="7" t="s">
        <v>10454</v>
      </c>
      <c r="S1453" s="7"/>
      <c r="T1453" s="8"/>
      <c r="U1453" s="19" t="str">
        <f>HYPERLINK("https://pbs.twimg.com/profile_images/1137065941496451077/IWa8VI1Y.jpg","View")</f>
        <v>View</v>
      </c>
      <c r="V1453" s="8"/>
      <c r="W1453" s="8"/>
      <c r="X1453" s="8"/>
      <c r="Y1453" s="8"/>
      <c r="Z1453" s="8"/>
    </row>
    <row r="1454" spans="1:26" ht="12.75">
      <c r="A1454" s="11">
        <v>43747.282164351855</v>
      </c>
      <c r="B1454" s="12" t="str">
        <f>HYPERLINK("https://twitter.com/qemosabee","@qemosabee")</f>
        <v>@qemosabee</v>
      </c>
      <c r="C1454" s="7" t="s">
        <v>10455</v>
      </c>
      <c r="D1454" s="7" t="s">
        <v>10456</v>
      </c>
      <c r="E1454" s="12" t="str">
        <f>HYPERLINK("https://twitter.com/qemosabee/status/1181928880996864000","1181928880996864000")</f>
        <v>1181928880996864000</v>
      </c>
      <c r="F1454" s="8"/>
      <c r="G1454" s="14" t="s">
        <v>10457</v>
      </c>
      <c r="H1454" s="8"/>
      <c r="I1454" s="15">
        <v>0</v>
      </c>
      <c r="J1454" s="15">
        <v>1</v>
      </c>
      <c r="K1454" s="12" t="str">
        <f>HYPERLINK("http://twitter.com/download/iphone","Twitter for iPhone")</f>
        <v>Twitter for iPhone</v>
      </c>
      <c r="L1454" s="16">
        <v>175</v>
      </c>
      <c r="M1454" s="16">
        <v>475</v>
      </c>
      <c r="N1454" s="16">
        <v>0</v>
      </c>
      <c r="O1454" s="17"/>
      <c r="P1454" s="18">
        <v>40311.443460648152</v>
      </c>
      <c r="Q1454" s="7"/>
      <c r="R1454" s="7" t="s">
        <v>10461</v>
      </c>
      <c r="S1454" s="15"/>
      <c r="T1454" s="8"/>
      <c r="U1454" s="19" t="str">
        <f>HYPERLINK("https://pbs.twimg.com/profile_images/1165378072163622915/GUW1eaZx.jpg","View")</f>
        <v>View</v>
      </c>
      <c r="V1454" s="8"/>
      <c r="W1454" s="8"/>
      <c r="X1454" s="8"/>
      <c r="Y1454" s="8"/>
      <c r="Z1454" s="8"/>
    </row>
    <row r="1455" spans="1:26" ht="12.75">
      <c r="A1455" s="11">
        <v>43747.282152777778</v>
      </c>
      <c r="B1455" s="12" t="str">
        <f>HYPERLINK("https://twitter.com/zombidiken","@zombidiken")</f>
        <v>@zombidiken</v>
      </c>
      <c r="C1455" s="7" t="s">
        <v>10463</v>
      </c>
      <c r="D1455" s="7" t="s">
        <v>10464</v>
      </c>
      <c r="E1455" s="12" t="str">
        <f>HYPERLINK("https://twitter.com/zombidiken/status/1181928879218462722","1181928879218462722")</f>
        <v>1181928879218462722</v>
      </c>
      <c r="F1455" s="14" t="s">
        <v>10466</v>
      </c>
      <c r="G1455" s="7"/>
      <c r="H1455" s="8"/>
      <c r="I1455" s="15">
        <v>0</v>
      </c>
      <c r="J1455" s="15">
        <v>0</v>
      </c>
      <c r="K1455" s="12" t="str">
        <f>HYPERLINK("http://twitter.com/download/android","Twitter for Android")</f>
        <v>Twitter for Android</v>
      </c>
      <c r="L1455" s="16">
        <v>121</v>
      </c>
      <c r="M1455" s="16">
        <v>163</v>
      </c>
      <c r="N1455" s="16">
        <v>0</v>
      </c>
      <c r="O1455" s="17"/>
      <c r="P1455" s="18">
        <v>43296.570879629631</v>
      </c>
      <c r="Q1455" s="7" t="s">
        <v>10467</v>
      </c>
      <c r="R1455" s="7" t="s">
        <v>10468</v>
      </c>
      <c r="S1455" s="7"/>
      <c r="T1455" s="8"/>
      <c r="U1455" s="19" t="str">
        <f>HYPERLINK("https://pbs.twimg.com/profile_images/1063042628902707200/6xw3mFHB.jpg","View")</f>
        <v>View</v>
      </c>
      <c r="V1455" s="8"/>
      <c r="W1455" s="8"/>
      <c r="X1455" s="8"/>
      <c r="Y1455" s="8"/>
      <c r="Z1455" s="8"/>
    </row>
    <row r="1456" spans="1:26" ht="12.75">
      <c r="A1456" s="11">
        <v>43747.282129629632</v>
      </c>
      <c r="B1456" s="12" t="str">
        <f>HYPERLINK("https://twitter.com/muhendis58","@muhendis58")</f>
        <v>@muhendis58</v>
      </c>
      <c r="C1456" s="7" t="s">
        <v>10471</v>
      </c>
      <c r="D1456" s="7" t="s">
        <v>10472</v>
      </c>
      <c r="E1456" s="12" t="str">
        <f>HYPERLINK("https://twitter.com/muhendis58/status/1181928870473338881","1181928870473338881")</f>
        <v>1181928870473338881</v>
      </c>
      <c r="F1456" s="8"/>
      <c r="G1456" s="14" t="s">
        <v>10473</v>
      </c>
      <c r="H1456" s="8"/>
      <c r="I1456" s="15">
        <v>0</v>
      </c>
      <c r="J1456" s="15">
        <v>0</v>
      </c>
      <c r="K1456" s="12" t="str">
        <f>HYPERLINK("http://twitter.com/download/iphone","Twitter for iPhone")</f>
        <v>Twitter for iPhone</v>
      </c>
      <c r="L1456" s="16">
        <v>347</v>
      </c>
      <c r="M1456" s="16">
        <v>181</v>
      </c>
      <c r="N1456" s="16">
        <v>0</v>
      </c>
      <c r="O1456" s="17"/>
      <c r="P1456" s="18">
        <v>40222.135138888887</v>
      </c>
      <c r="Q1456" s="7" t="s">
        <v>10474</v>
      </c>
      <c r="R1456" s="7" t="s">
        <v>10475</v>
      </c>
      <c r="S1456" s="15"/>
      <c r="T1456" s="8"/>
      <c r="U1456" s="19" t="str">
        <f>HYPERLINK("https://pbs.twimg.com/profile_images/1139274349872078848/1YhaG3fR.jpg","View")</f>
        <v>View</v>
      </c>
      <c r="V1456" s="8"/>
      <c r="W1456" s="8"/>
      <c r="X1456" s="8"/>
      <c r="Y1456" s="8"/>
      <c r="Z1456" s="8"/>
    </row>
    <row r="1457" spans="1:26" ht="12.75">
      <c r="A1457" s="11">
        <v>43747.282118055555</v>
      </c>
      <c r="B1457" s="12" t="str">
        <f>HYPERLINK("https://twitter.com/gimork","@gimork")</f>
        <v>@gimork</v>
      </c>
      <c r="C1457" s="7" t="s">
        <v>10481</v>
      </c>
      <c r="D1457" s="7" t="s">
        <v>10482</v>
      </c>
      <c r="E1457" s="12" t="str">
        <f>HYPERLINK("https://twitter.com/gimork/status/1181928866430017537","1181928866430017537")</f>
        <v>1181928866430017537</v>
      </c>
      <c r="F1457" s="8"/>
      <c r="G1457" s="15"/>
      <c r="H1457" s="8"/>
      <c r="I1457" s="15">
        <v>1</v>
      </c>
      <c r="J1457" s="15">
        <v>12</v>
      </c>
      <c r="K1457" s="12" t="str">
        <f>HYPERLINK("http://twitter.com/download/iphone","Twitter for iPhone")</f>
        <v>Twitter for iPhone</v>
      </c>
      <c r="L1457" s="16">
        <v>846</v>
      </c>
      <c r="M1457" s="16">
        <v>145</v>
      </c>
      <c r="N1457" s="16">
        <v>0</v>
      </c>
      <c r="O1457" s="17"/>
      <c r="P1457" s="18">
        <v>43360.63680555555</v>
      </c>
      <c r="Q1457" s="7"/>
      <c r="R1457" s="7" t="s">
        <v>10483</v>
      </c>
      <c r="S1457" s="14" t="s">
        <v>10484</v>
      </c>
      <c r="T1457" s="8"/>
      <c r="U1457" s="19" t="str">
        <f>HYPERLINK("https://pbs.twimg.com/profile_images/1145731727958183937/idJxzvzN.jpg","View")</f>
        <v>View</v>
      </c>
      <c r="V1457" s="8"/>
      <c r="W1457" s="8"/>
      <c r="X1457" s="8"/>
      <c r="Y1457" s="8"/>
      <c r="Z1457" s="8"/>
    </row>
    <row r="1458" spans="1:26" ht="12.75">
      <c r="A1458" s="11">
        <v>43747.282118055555</v>
      </c>
      <c r="B1458" s="12" t="str">
        <f>HYPERLINK("https://twitter.com/gs_jackal","@gs_jackal")</f>
        <v>@gs_jackal</v>
      </c>
      <c r="C1458" s="7" t="s">
        <v>10487</v>
      </c>
      <c r="D1458" s="7" t="s">
        <v>10488</v>
      </c>
      <c r="E1458" s="12" t="str">
        <f>HYPERLINK("https://twitter.com/gs_jackal/status/1181928865897299970","1181928865897299970")</f>
        <v>1181928865897299970</v>
      </c>
      <c r="F1458" s="8"/>
      <c r="G1458" s="14" t="s">
        <v>10489</v>
      </c>
      <c r="H1458" s="8"/>
      <c r="I1458" s="15">
        <v>22</v>
      </c>
      <c r="J1458" s="15">
        <v>104</v>
      </c>
      <c r="K1458" s="12" t="str">
        <f>HYPERLINK("http://twitter.com/download/iphone","Twitter for iPhone")</f>
        <v>Twitter for iPhone</v>
      </c>
      <c r="L1458" s="16">
        <v>13525</v>
      </c>
      <c r="M1458" s="16">
        <v>13035</v>
      </c>
      <c r="N1458" s="16">
        <v>5</v>
      </c>
      <c r="O1458" s="17"/>
      <c r="P1458" s="18">
        <v>40336.260960648149</v>
      </c>
      <c r="Q1458" s="7" t="s">
        <v>313</v>
      </c>
      <c r="R1458" s="7" t="s">
        <v>10490</v>
      </c>
      <c r="S1458" s="7"/>
      <c r="T1458" s="8"/>
      <c r="U1458" s="19" t="str">
        <f>HYPERLINK("https://pbs.twimg.com/profile_images/1178571144816930817/ajcQBDp7.jpg","View")</f>
        <v>View</v>
      </c>
      <c r="V1458" s="8"/>
      <c r="W1458" s="8"/>
      <c r="X1458" s="8"/>
      <c r="Y1458" s="8"/>
      <c r="Z1458" s="8"/>
    </row>
    <row r="1459" spans="1:26" ht="12.75">
      <c r="A1459" s="11">
        <v>43747.282106481478</v>
      </c>
      <c r="B1459" s="12" t="str">
        <f>HYPERLINK("https://twitter.com/alptekin_ha","@alptekin_ha")</f>
        <v>@alptekin_ha</v>
      </c>
      <c r="C1459" s="7" t="s">
        <v>10491</v>
      </c>
      <c r="D1459" s="7" t="s">
        <v>10492</v>
      </c>
      <c r="E1459" s="12" t="str">
        <f>HYPERLINK("https://twitter.com/alptekin_ha/status/1181928862999105536","1181928862999105536")</f>
        <v>1181928862999105536</v>
      </c>
      <c r="F1459" s="8"/>
      <c r="G1459" s="15"/>
      <c r="H1459" s="8"/>
      <c r="I1459" s="15">
        <v>0</v>
      </c>
      <c r="J1459" s="15">
        <v>0</v>
      </c>
      <c r="K1459" s="12" t="str">
        <f>HYPERLINK("http://twitter.com/download/android","Twitter for Android")</f>
        <v>Twitter for Android</v>
      </c>
      <c r="L1459" s="16">
        <v>35</v>
      </c>
      <c r="M1459" s="16">
        <v>167</v>
      </c>
      <c r="N1459" s="16">
        <v>0</v>
      </c>
      <c r="O1459" s="17"/>
      <c r="P1459" s="18">
        <v>42996.0080787037</v>
      </c>
      <c r="Q1459" s="7"/>
      <c r="R1459" s="7" t="s">
        <v>10495</v>
      </c>
      <c r="S1459" s="7"/>
      <c r="T1459" s="8"/>
      <c r="U1459" s="19" t="str">
        <f>HYPERLINK("https://pbs.twimg.com/profile_images/1134746586926526464/RTmhPv9F.jpg","View")</f>
        <v>View</v>
      </c>
      <c r="V1459" s="8"/>
      <c r="W1459" s="8"/>
      <c r="X1459" s="8"/>
      <c r="Y1459" s="8"/>
      <c r="Z1459" s="8"/>
    </row>
    <row r="1460" spans="1:26" ht="12.75">
      <c r="A1460" s="11">
        <v>43747.282071759255</v>
      </c>
      <c r="B1460" s="12" t="str">
        <f>HYPERLINK("https://twitter.com/yes1634","@yes1634")</f>
        <v>@yes1634</v>
      </c>
      <c r="C1460" s="7" t="s">
        <v>10496</v>
      </c>
      <c r="D1460" s="7" t="s">
        <v>10497</v>
      </c>
      <c r="E1460" s="12" t="str">
        <f>HYPERLINK("https://twitter.com/yes1634/status/1181928848918827008","1181928848918827008")</f>
        <v>1181928848918827008</v>
      </c>
      <c r="F1460" s="8"/>
      <c r="G1460" s="14" t="s">
        <v>10498</v>
      </c>
      <c r="H1460" s="8"/>
      <c r="I1460" s="15">
        <v>2</v>
      </c>
      <c r="J1460" s="15">
        <v>9</v>
      </c>
      <c r="K1460" s="12" t="str">
        <f>HYPERLINK("http://twitter.com/download/iphone","Twitter for iPhone")</f>
        <v>Twitter for iPhone</v>
      </c>
      <c r="L1460" s="16">
        <v>1209</v>
      </c>
      <c r="M1460" s="16">
        <v>851</v>
      </c>
      <c r="N1460" s="16">
        <v>1</v>
      </c>
      <c r="O1460" s="17"/>
      <c r="P1460" s="18">
        <v>43407.402013888888</v>
      </c>
      <c r="Q1460" s="7" t="s">
        <v>6551</v>
      </c>
      <c r="R1460" s="7" t="s">
        <v>10502</v>
      </c>
      <c r="S1460" s="15"/>
      <c r="T1460" s="8"/>
      <c r="U1460" s="19" t="str">
        <f>HYPERLINK("https://pbs.twimg.com/profile_images/1168072391001591814/go3EnCBD.jpg","View")</f>
        <v>View</v>
      </c>
      <c r="V1460" s="8"/>
      <c r="W1460" s="8"/>
      <c r="X1460" s="8"/>
      <c r="Y1460" s="8"/>
      <c r="Z1460" s="8"/>
    </row>
    <row r="1461" spans="1:26" ht="12.75">
      <c r="A1461" s="11">
        <v>43747.282025462962</v>
      </c>
      <c r="B1461" s="12" t="str">
        <f>HYPERLINK("https://twitter.com/MRTSRZ48","@MRTSRZ48")</f>
        <v>@MRTSRZ48</v>
      </c>
      <c r="C1461" s="7" t="s">
        <v>10507</v>
      </c>
      <c r="D1461" s="7" t="s">
        <v>10508</v>
      </c>
      <c r="E1461" s="12" t="str">
        <f>HYPERLINK("https://twitter.com/MRTSRZ48/status/1181928833638907904","1181928833638907904")</f>
        <v>1181928833638907904</v>
      </c>
      <c r="F1461" s="8"/>
      <c r="G1461" s="7"/>
      <c r="H1461" s="8"/>
      <c r="I1461" s="15">
        <v>0</v>
      </c>
      <c r="J1461" s="15">
        <v>0</v>
      </c>
      <c r="K1461" s="12" t="str">
        <f>HYPERLINK("https://mobile.twitter.com","Twitter Web App")</f>
        <v>Twitter Web App</v>
      </c>
      <c r="L1461" s="16">
        <v>0</v>
      </c>
      <c r="M1461" s="16">
        <v>21</v>
      </c>
      <c r="N1461" s="16">
        <v>0</v>
      </c>
      <c r="O1461" s="17"/>
      <c r="P1461" s="18">
        <v>43661.254583333328</v>
      </c>
      <c r="Q1461" s="7"/>
      <c r="R1461" s="7" t="s">
        <v>6539</v>
      </c>
      <c r="S1461" s="7"/>
      <c r="T1461" s="8"/>
      <c r="U1461" s="19" t="str">
        <f>HYPERLINK("https://pbs.twimg.com/profile_images/1178953263502282752/iUOjn1qc.jpg","View")</f>
        <v>View</v>
      </c>
      <c r="V1461" s="8"/>
      <c r="W1461" s="8"/>
      <c r="X1461" s="8"/>
      <c r="Y1461" s="8"/>
      <c r="Z1461" s="8"/>
    </row>
    <row r="1462" spans="1:26" ht="12.75">
      <c r="A1462" s="11">
        <v>43747.282013888893</v>
      </c>
      <c r="B1462" s="12" t="str">
        <f>HYPERLINK("https://twitter.com/sami_koroglu","@sami_koroglu")</f>
        <v>@sami_koroglu</v>
      </c>
      <c r="C1462" s="7" t="s">
        <v>10512</v>
      </c>
      <c r="D1462" s="7" t="s">
        <v>10513</v>
      </c>
      <c r="E1462" s="12" t="str">
        <f>HYPERLINK("https://twitter.com/sami_koroglu/status/1181928827934711811","1181928827934711811")</f>
        <v>1181928827934711811</v>
      </c>
      <c r="F1462" s="8"/>
      <c r="G1462" s="14" t="s">
        <v>10516</v>
      </c>
      <c r="H1462" s="8"/>
      <c r="I1462" s="15">
        <v>0</v>
      </c>
      <c r="J1462" s="15">
        <v>4</v>
      </c>
      <c r="K1462" s="12" t="str">
        <f>HYPERLINK("http://twitter.com/download/android","Twitter for Android")</f>
        <v>Twitter for Android</v>
      </c>
      <c r="L1462" s="16">
        <v>9075</v>
      </c>
      <c r="M1462" s="16">
        <v>449</v>
      </c>
      <c r="N1462" s="16">
        <v>2</v>
      </c>
      <c r="O1462" s="17"/>
      <c r="P1462" s="18">
        <v>40248.214189814811</v>
      </c>
      <c r="Q1462" s="7" t="s">
        <v>10517</v>
      </c>
      <c r="R1462" s="7" t="s">
        <v>10518</v>
      </c>
      <c r="S1462" s="14" t="s">
        <v>10519</v>
      </c>
      <c r="T1462" s="8"/>
      <c r="U1462" s="19" t="str">
        <f>HYPERLINK("https://pbs.twimg.com/profile_images/920875931425755136/8C16yKWh.jpg","View")</f>
        <v>View</v>
      </c>
      <c r="V1462" s="8"/>
      <c r="W1462" s="8"/>
      <c r="X1462" s="8"/>
      <c r="Y1462" s="8"/>
      <c r="Z1462" s="8"/>
    </row>
    <row r="1463" spans="1:26" ht="12.75">
      <c r="A1463" s="11">
        <v>43747.282013888893</v>
      </c>
      <c r="B1463" s="12" t="str">
        <f>HYPERLINK("https://twitter.com/soysallk","@soysallk")</f>
        <v>@soysallk</v>
      </c>
      <c r="C1463" s="7" t="s">
        <v>10523</v>
      </c>
      <c r="D1463" s="7" t="s">
        <v>10524</v>
      </c>
      <c r="E1463" s="12" t="str">
        <f>HYPERLINK("https://twitter.com/soysallk/status/1181928826391191557","1181928826391191557")</f>
        <v>1181928826391191557</v>
      </c>
      <c r="F1463" s="8"/>
      <c r="G1463" s="14" t="s">
        <v>10526</v>
      </c>
      <c r="H1463" s="8"/>
      <c r="I1463" s="15">
        <v>0</v>
      </c>
      <c r="J1463" s="15">
        <v>3</v>
      </c>
      <c r="K1463" s="12" t="str">
        <f>HYPERLINK("http://twitter.com/download/android","Twitter for Android")</f>
        <v>Twitter for Android</v>
      </c>
      <c r="L1463" s="16">
        <v>120</v>
      </c>
      <c r="M1463" s="16">
        <v>126</v>
      </c>
      <c r="N1463" s="16">
        <v>0</v>
      </c>
      <c r="O1463" s="17"/>
      <c r="P1463" s="18">
        <v>43117.431562500002</v>
      </c>
      <c r="Q1463" s="7" t="s">
        <v>2201</v>
      </c>
      <c r="R1463" s="7" t="s">
        <v>10529</v>
      </c>
      <c r="S1463" s="7"/>
      <c r="T1463" s="8"/>
      <c r="U1463" s="19" t="str">
        <f>HYPERLINK("https://pbs.twimg.com/profile_images/1180887139510312960/IPAgBnmO.jpg","View")</f>
        <v>View</v>
      </c>
      <c r="V1463" s="8"/>
      <c r="W1463" s="8"/>
      <c r="X1463" s="8"/>
      <c r="Y1463" s="8"/>
      <c r="Z1463" s="8"/>
    </row>
    <row r="1464" spans="1:26" ht="12.75">
      <c r="A1464" s="11">
        <v>43747.281990740739</v>
      </c>
      <c r="B1464" s="12" t="str">
        <f>HYPERLINK("https://twitter.com/ShrAsena","@ShrAsena")</f>
        <v>@ShrAsena</v>
      </c>
      <c r="C1464" s="7" t="s">
        <v>10530</v>
      </c>
      <c r="D1464" s="7" t="s">
        <v>10531</v>
      </c>
      <c r="E1464" s="12" t="str">
        <f>HYPERLINK("https://twitter.com/ShrAsena/status/1181928819529277441","1181928819529277441")</f>
        <v>1181928819529277441</v>
      </c>
      <c r="F1464" s="8"/>
      <c r="G1464" s="14" t="s">
        <v>10534</v>
      </c>
      <c r="H1464" s="8"/>
      <c r="I1464" s="15">
        <v>0</v>
      </c>
      <c r="J1464" s="15">
        <v>1</v>
      </c>
      <c r="K1464" s="12" t="str">
        <f>HYPERLINK("http://twitter.com/download/android","Twitter for Android")</f>
        <v>Twitter for Android</v>
      </c>
      <c r="L1464" s="16">
        <v>0</v>
      </c>
      <c r="M1464" s="16">
        <v>1</v>
      </c>
      <c r="N1464" s="16">
        <v>0</v>
      </c>
      <c r="O1464" s="17"/>
      <c r="P1464" s="18">
        <v>43747.27134259259</v>
      </c>
      <c r="Q1464" s="7"/>
      <c r="R1464" s="7" t="s">
        <v>10536</v>
      </c>
      <c r="S1464" s="7"/>
      <c r="T1464" s="8"/>
      <c r="U1464" s="19" t="str">
        <f>HYPERLINK("https://pbs.twimg.com/profile_images/1181925093901000705/ZTQ0IQQ4.jpg","View")</f>
        <v>View</v>
      </c>
      <c r="V1464" s="8"/>
      <c r="W1464" s="8"/>
      <c r="X1464" s="8"/>
      <c r="Y1464" s="8"/>
      <c r="Z1464" s="8"/>
    </row>
    <row r="1465" spans="1:26" ht="12.75">
      <c r="A1465" s="11">
        <v>43747.281967592593</v>
      </c>
      <c r="B1465" s="12" t="str">
        <f>HYPERLINK("https://twitter.com/TomSwarbrick1","@TomSwarbrick1")</f>
        <v>@TomSwarbrick1</v>
      </c>
      <c r="C1465" s="7" t="s">
        <v>10540</v>
      </c>
      <c r="D1465" s="7" t="s">
        <v>10541</v>
      </c>
      <c r="E1465" s="12" t="str">
        <f>HYPERLINK("https://twitter.com/TomSwarbrick1/status/1181928809974640643","1181928809974640643")</f>
        <v>1181928809974640643</v>
      </c>
      <c r="F1465" s="8"/>
      <c r="G1465" s="15"/>
      <c r="H1465" s="8"/>
      <c r="I1465" s="15">
        <v>0</v>
      </c>
      <c r="J1465" s="15">
        <v>4</v>
      </c>
      <c r="K1465" s="12" t="str">
        <f>HYPERLINK("http://twitter.com/download/iphone","Twitter for iPhone")</f>
        <v>Twitter for iPhone</v>
      </c>
      <c r="L1465" s="16">
        <v>16311</v>
      </c>
      <c r="M1465" s="16">
        <v>3923</v>
      </c>
      <c r="N1465" s="16">
        <v>153</v>
      </c>
      <c r="O1465" s="17" t="s">
        <v>984</v>
      </c>
      <c r="P1465" s="18">
        <v>40434.518530092595</v>
      </c>
      <c r="Q1465" s="7" t="s">
        <v>10542</v>
      </c>
      <c r="R1465" s="7" t="s">
        <v>10543</v>
      </c>
      <c r="S1465" s="14" t="s">
        <v>10544</v>
      </c>
      <c r="T1465" s="8"/>
      <c r="U1465" s="19" t="str">
        <f>HYPERLINK("https://pbs.twimg.com/profile_images/1108803312957247489/RPj45-i3.jpg","View")</f>
        <v>View</v>
      </c>
      <c r="V1465" s="8"/>
      <c r="W1465" s="8"/>
      <c r="X1465" s="8"/>
      <c r="Y1465" s="8"/>
      <c r="Z1465" s="8"/>
    </row>
    <row r="1466" spans="1:26" ht="12.75">
      <c r="A1466" s="11">
        <v>43747.281956018516</v>
      </c>
      <c r="B1466" s="12" t="str">
        <f>HYPERLINK("https://twitter.com/23mirza23","@23mirza23")</f>
        <v>@23mirza23</v>
      </c>
      <c r="C1466" s="7" t="s">
        <v>10545</v>
      </c>
      <c r="D1466" s="7" t="s">
        <v>10546</v>
      </c>
      <c r="E1466" s="12" t="str">
        <f>HYPERLINK("https://twitter.com/23mirza23/status/1181928807462252544","1181928807462252544")</f>
        <v>1181928807462252544</v>
      </c>
      <c r="F1466" s="8"/>
      <c r="G1466" s="14" t="s">
        <v>10547</v>
      </c>
      <c r="H1466" s="8"/>
      <c r="I1466" s="15">
        <v>10</v>
      </c>
      <c r="J1466" s="15">
        <v>59</v>
      </c>
      <c r="K1466" s="12" t="str">
        <f>HYPERLINK("http://twitter.com/download/iphone","Twitter for iPhone")</f>
        <v>Twitter for iPhone</v>
      </c>
      <c r="L1466" s="16">
        <v>2184</v>
      </c>
      <c r="M1466" s="16">
        <v>2860</v>
      </c>
      <c r="N1466" s="16">
        <v>2</v>
      </c>
      <c r="O1466" s="17"/>
      <c r="P1466" s="18">
        <v>42032.03706018519</v>
      </c>
      <c r="Q1466" s="7"/>
      <c r="R1466" s="7" t="s">
        <v>10548</v>
      </c>
      <c r="S1466" s="7"/>
      <c r="T1466" s="8"/>
      <c r="U1466" s="19" t="str">
        <f>HYPERLINK("https://pbs.twimg.com/profile_images/1181865027965526016/RZ2vsy7f.jpg","View")</f>
        <v>View</v>
      </c>
      <c r="V1466" s="8"/>
      <c r="W1466" s="8"/>
      <c r="X1466" s="8"/>
      <c r="Y1466" s="8"/>
      <c r="Z1466" s="8"/>
    </row>
    <row r="1467" spans="1:26" ht="12.75">
      <c r="A1467" s="11">
        <v>43747.281875000001</v>
      </c>
      <c r="B1467" s="12" t="str">
        <f>HYPERLINK("https://twitter.com/arlabdullh","@arlabdullh")</f>
        <v>@arlabdullh</v>
      </c>
      <c r="C1467" s="7" t="s">
        <v>10558</v>
      </c>
      <c r="D1467" s="7" t="s">
        <v>10559</v>
      </c>
      <c r="E1467" s="12" t="str">
        <f>HYPERLINK("https://twitter.com/arlabdullh/status/1181928778487996418","1181928778487996418")</f>
        <v>1181928778487996418</v>
      </c>
      <c r="F1467" s="8"/>
      <c r="G1467" s="14" t="s">
        <v>10560</v>
      </c>
      <c r="H1467" s="8"/>
      <c r="I1467" s="15">
        <v>0</v>
      </c>
      <c r="J1467" s="15">
        <v>3</v>
      </c>
      <c r="K1467" s="12" t="str">
        <f>HYPERLINK("http://twitter.com/download/android","Twitter for Android")</f>
        <v>Twitter for Android</v>
      </c>
      <c r="L1467" s="16">
        <v>256</v>
      </c>
      <c r="M1467" s="16">
        <v>501</v>
      </c>
      <c r="N1467" s="16">
        <v>0</v>
      </c>
      <c r="O1467" s="17"/>
      <c r="P1467" s="18">
        <v>42982.283356481479</v>
      </c>
      <c r="Q1467" s="7" t="s">
        <v>2050</v>
      </c>
      <c r="R1467" s="7" t="s">
        <v>10564</v>
      </c>
      <c r="S1467" s="14" t="s">
        <v>10565</v>
      </c>
      <c r="T1467" s="8"/>
      <c r="U1467" s="19" t="str">
        <f>HYPERLINK("https://pbs.twimg.com/profile_images/1023317227825709056/AWEwUWgq.jpg","View")</f>
        <v>View</v>
      </c>
      <c r="V1467" s="8"/>
      <c r="W1467" s="8"/>
      <c r="X1467" s="8"/>
      <c r="Y1467" s="8"/>
      <c r="Z1467" s="8"/>
    </row>
    <row r="1468" spans="1:26" ht="12.75">
      <c r="A1468" s="11">
        <v>43747.281851851847</v>
      </c>
      <c r="B1468" s="12" t="str">
        <f>HYPERLINK("https://twitter.com/fatihcetin10","@fatihcetin10")</f>
        <v>@fatihcetin10</v>
      </c>
      <c r="C1468" s="7" t="s">
        <v>10570</v>
      </c>
      <c r="D1468" s="7" t="s">
        <v>10571</v>
      </c>
      <c r="E1468" s="12" t="str">
        <f>HYPERLINK("https://twitter.com/fatihcetin10/status/1181928768031604736","1181928768031604736")</f>
        <v>1181928768031604736</v>
      </c>
      <c r="F1468" s="8"/>
      <c r="G1468" s="15"/>
      <c r="H1468" s="8"/>
      <c r="I1468" s="15">
        <v>0</v>
      </c>
      <c r="J1468" s="15">
        <v>3</v>
      </c>
      <c r="K1468" s="12" t="str">
        <f>HYPERLINK("https://mobile.twitter.com","Twitter Web App")</f>
        <v>Twitter Web App</v>
      </c>
      <c r="L1468" s="16">
        <v>219</v>
      </c>
      <c r="M1468" s="16">
        <v>546</v>
      </c>
      <c r="N1468" s="16">
        <v>0</v>
      </c>
      <c r="O1468" s="17"/>
      <c r="P1468" s="18">
        <v>40811.111041666663</v>
      </c>
      <c r="Q1468" s="7" t="s">
        <v>2350</v>
      </c>
      <c r="R1468" s="7" t="s">
        <v>10573</v>
      </c>
      <c r="S1468" s="7"/>
      <c r="T1468" s="8"/>
      <c r="U1468" s="19" t="str">
        <f>HYPERLINK("https://pbs.twimg.com/profile_images/943224929658589185/5UcY5nWB.jpg","View")</f>
        <v>View</v>
      </c>
      <c r="V1468" s="8"/>
      <c r="W1468" s="8"/>
      <c r="X1468" s="8"/>
      <c r="Y1468" s="8"/>
      <c r="Z1468" s="8"/>
    </row>
    <row r="1469" spans="1:26" ht="12.75">
      <c r="A1469" s="11">
        <v>43747.281851851847</v>
      </c>
      <c r="B1469" s="12" t="str">
        <f>HYPERLINK("https://twitter.com/Ferhat_Turan","@Ferhat_Turan")</f>
        <v>@Ferhat_Turan</v>
      </c>
      <c r="C1469" s="7" t="s">
        <v>10575</v>
      </c>
      <c r="D1469" s="7" t="s">
        <v>10576</v>
      </c>
      <c r="E1469" s="12" t="str">
        <f>HYPERLINK("https://twitter.com/Ferhat_Turan/status/1181928767930941440","1181928767930941440")</f>
        <v>1181928767930941440</v>
      </c>
      <c r="F1469" s="8"/>
      <c r="G1469" s="7"/>
      <c r="H1469" s="8"/>
      <c r="I1469" s="15">
        <v>0</v>
      </c>
      <c r="J1469" s="15">
        <v>0</v>
      </c>
      <c r="K1469" s="12" t="str">
        <f>HYPERLINK("https://mobile.twitter.com","Twitter Web App")</f>
        <v>Twitter Web App</v>
      </c>
      <c r="L1469" s="16">
        <v>295</v>
      </c>
      <c r="M1469" s="16">
        <v>288</v>
      </c>
      <c r="N1469" s="16">
        <v>1</v>
      </c>
      <c r="O1469" s="17"/>
      <c r="P1469" s="18">
        <v>40131.974456018521</v>
      </c>
      <c r="Q1469" s="7" t="s">
        <v>313</v>
      </c>
      <c r="R1469" s="7" t="s">
        <v>10577</v>
      </c>
      <c r="S1469" s="14" t="s">
        <v>10578</v>
      </c>
      <c r="T1469" s="8"/>
      <c r="U1469" s="19" t="str">
        <f>HYPERLINK("https://pbs.twimg.com/profile_images/1075650808610476034/74BOZYW4.jpg","View")</f>
        <v>View</v>
      </c>
      <c r="V1469" s="8"/>
      <c r="W1469" s="8"/>
      <c r="X1469" s="8"/>
      <c r="Y1469" s="8"/>
      <c r="Z1469" s="8"/>
    </row>
    <row r="1470" spans="1:26" ht="12.75">
      <c r="A1470" s="11">
        <v>43747.281840277778</v>
      </c>
      <c r="B1470" s="12" t="str">
        <f>HYPERLINK("https://twitter.com/ftmkrbbr","@ftmkrbbr")</f>
        <v>@ftmkrbbr</v>
      </c>
      <c r="C1470" s="7" t="s">
        <v>10582</v>
      </c>
      <c r="D1470" s="7" t="s">
        <v>10583</v>
      </c>
      <c r="E1470" s="12" t="str">
        <f>HYPERLINK("https://twitter.com/ftmkrbbr/status/1181928765821206533","1181928765821206533")</f>
        <v>1181928765821206533</v>
      </c>
      <c r="F1470" s="8"/>
      <c r="G1470" s="14" t="s">
        <v>10584</v>
      </c>
      <c r="H1470" s="8"/>
      <c r="I1470" s="15">
        <v>7</v>
      </c>
      <c r="J1470" s="15">
        <v>18</v>
      </c>
      <c r="K1470" s="12" t="str">
        <f>HYPERLINK("http://twitter.com/download/android","Twitter for Android")</f>
        <v>Twitter for Android</v>
      </c>
      <c r="L1470" s="16">
        <v>12496</v>
      </c>
      <c r="M1470" s="16">
        <v>12290</v>
      </c>
      <c r="N1470" s="16">
        <v>1</v>
      </c>
      <c r="O1470" s="17"/>
      <c r="P1470" s="18">
        <v>40350.288564814815</v>
      </c>
      <c r="Q1470" s="7" t="s">
        <v>10587</v>
      </c>
      <c r="R1470" s="7" t="s">
        <v>10588</v>
      </c>
      <c r="S1470" s="7"/>
      <c r="T1470" s="8"/>
      <c r="U1470" s="19" t="str">
        <f>HYPERLINK("https://pbs.twimg.com/profile_images/1180942434261491713/9GJFnjks.jpg","View")</f>
        <v>View</v>
      </c>
      <c r="V1470" s="8"/>
      <c r="W1470" s="8"/>
      <c r="X1470" s="8"/>
      <c r="Y1470" s="8"/>
      <c r="Z1470" s="8"/>
    </row>
    <row r="1471" spans="1:26" ht="12.75">
      <c r="A1471" s="11">
        <v>43747.281817129631</v>
      </c>
      <c r="B1471" s="12" t="str">
        <f>HYPERLINK("https://twitter.com/1_rahatsizadam","@1_rahatsizadam")</f>
        <v>@1_rahatsizadam</v>
      </c>
      <c r="C1471" s="15" t="s">
        <v>10592</v>
      </c>
      <c r="D1471" s="7" t="s">
        <v>10594</v>
      </c>
      <c r="E1471" s="12" t="str">
        <f>HYPERLINK("https://twitter.com/1_rahatsizadam/status/1181928755012542464","1181928755012542464")</f>
        <v>1181928755012542464</v>
      </c>
      <c r="F1471" s="8"/>
      <c r="G1471" s="14" t="s">
        <v>10595</v>
      </c>
      <c r="H1471" s="8"/>
      <c r="I1471" s="15">
        <v>0</v>
      </c>
      <c r="J1471" s="15">
        <v>1</v>
      </c>
      <c r="K1471" s="12" t="str">
        <f>HYPERLINK("http://twitter.com/download/android","Twitter for Android")</f>
        <v>Twitter for Android</v>
      </c>
      <c r="L1471" s="16">
        <v>569</v>
      </c>
      <c r="M1471" s="16">
        <v>551</v>
      </c>
      <c r="N1471" s="16">
        <v>0</v>
      </c>
      <c r="O1471" s="17"/>
      <c r="P1471" s="18">
        <v>42816.621365740742</v>
      </c>
      <c r="Q1471" s="7" t="s">
        <v>10596</v>
      </c>
      <c r="R1471" s="7" t="s">
        <v>10597</v>
      </c>
      <c r="S1471" s="15"/>
      <c r="T1471" s="8"/>
      <c r="U1471" s="19" t="str">
        <f>HYPERLINK("https://pbs.twimg.com/profile_images/1158272565162512384/qH2IeA0g.jpg","View")</f>
        <v>View</v>
      </c>
      <c r="V1471" s="8"/>
      <c r="W1471" s="8"/>
      <c r="X1471" s="8"/>
      <c r="Y1471" s="8"/>
      <c r="Z1471" s="8"/>
    </row>
    <row r="1472" spans="1:26" ht="12.75">
      <c r="A1472" s="11">
        <v>43747.281805555554</v>
      </c>
      <c r="B1472" s="12" t="str">
        <f>HYPERLINK("https://twitter.com/alpertunaci","@alpertunaci")</f>
        <v>@alpertunaci</v>
      </c>
      <c r="C1472" s="7" t="s">
        <v>10600</v>
      </c>
      <c r="D1472" s="7" t="s">
        <v>10601</v>
      </c>
      <c r="E1472" s="12" t="str">
        <f>HYPERLINK("https://twitter.com/alpertunaci/status/1181928753422897155","1181928753422897155")</f>
        <v>1181928753422897155</v>
      </c>
      <c r="F1472" s="8"/>
      <c r="G1472" s="7"/>
      <c r="H1472" s="8"/>
      <c r="I1472" s="15">
        <v>0</v>
      </c>
      <c r="J1472" s="15">
        <v>0</v>
      </c>
      <c r="K1472" s="12" t="str">
        <f>HYPERLINK("http://twitter.com/download/android","Twitter for Android")</f>
        <v>Twitter for Android</v>
      </c>
      <c r="L1472" s="16">
        <v>106</v>
      </c>
      <c r="M1472" s="16">
        <v>263</v>
      </c>
      <c r="N1472" s="16">
        <v>0</v>
      </c>
      <c r="O1472" s="17"/>
      <c r="P1472" s="18">
        <v>41441.309837962966</v>
      </c>
      <c r="Q1472" s="7"/>
      <c r="R1472" s="7" t="s">
        <v>807</v>
      </c>
      <c r="S1472" s="7"/>
      <c r="T1472" s="8"/>
      <c r="U1472" s="19" t="str">
        <f>HYPERLINK("https://pbs.twimg.com/profile_images/501060695270506496/8UKHD5Kp.jpeg","View")</f>
        <v>View</v>
      </c>
      <c r="V1472" s="8"/>
      <c r="W1472" s="8"/>
      <c r="X1472" s="8"/>
      <c r="Y1472" s="8"/>
      <c r="Z1472" s="8"/>
    </row>
    <row r="1473" spans="1:26" ht="12.75">
      <c r="A1473" s="11">
        <v>43747.281770833331</v>
      </c>
      <c r="B1473" s="12" t="str">
        <f>HYPERLINK("https://twitter.com/kumrusandwich","@kumrusandwich")</f>
        <v>@kumrusandwich</v>
      </c>
      <c r="C1473" s="7" t="s">
        <v>10615</v>
      </c>
      <c r="D1473" s="7" t="s">
        <v>10616</v>
      </c>
      <c r="E1473" s="12" t="str">
        <f>HYPERLINK("https://twitter.com/kumrusandwich/status/1181928740319895552","1181928740319895552")</f>
        <v>1181928740319895552</v>
      </c>
      <c r="F1473" s="14" t="s">
        <v>10617</v>
      </c>
      <c r="G1473" s="14" t="s">
        <v>10620</v>
      </c>
      <c r="H1473" s="8"/>
      <c r="I1473" s="15">
        <v>0</v>
      </c>
      <c r="J1473" s="15">
        <v>0</v>
      </c>
      <c r="K1473" s="12" t="str">
        <f>HYPERLINK("http://twitter.com/download/iphone","Twitter for iPhone")</f>
        <v>Twitter for iPhone</v>
      </c>
      <c r="L1473" s="16">
        <v>187</v>
      </c>
      <c r="M1473" s="16">
        <v>276</v>
      </c>
      <c r="N1473" s="16">
        <v>2</v>
      </c>
      <c r="O1473" s="20"/>
      <c r="P1473" s="18">
        <v>40286.597280092596</v>
      </c>
      <c r="Q1473" s="7" t="s">
        <v>576</v>
      </c>
      <c r="R1473" s="7" t="s">
        <v>10622</v>
      </c>
      <c r="S1473" s="15"/>
      <c r="T1473" s="8"/>
      <c r="U1473" s="19" t="str">
        <f>HYPERLINK("https://pbs.twimg.com/profile_images/897874695370018816/qyR5Dv9Z.jpg","View")</f>
        <v>View</v>
      </c>
      <c r="V1473" s="8"/>
      <c r="W1473" s="8"/>
      <c r="X1473" s="8"/>
      <c r="Y1473" s="8"/>
      <c r="Z1473" s="8"/>
    </row>
    <row r="1474" spans="1:26" ht="12.75">
      <c r="A1474" s="11">
        <v>43747.281770833331</v>
      </c>
      <c r="B1474" s="12" t="str">
        <f>HYPERLINK("https://twitter.com/kafamtoz","@kafamtoz")</f>
        <v>@kafamtoz</v>
      </c>
      <c r="C1474" s="7" t="s">
        <v>10625</v>
      </c>
      <c r="D1474" s="7" t="s">
        <v>10626</v>
      </c>
      <c r="E1474" s="12" t="str">
        <f>HYPERLINK("https://twitter.com/kafamtoz/status/1181928738461814784","1181928738461814784")</f>
        <v>1181928738461814784</v>
      </c>
      <c r="F1474" s="8"/>
      <c r="G1474" s="14" t="s">
        <v>10629</v>
      </c>
      <c r="H1474" s="8"/>
      <c r="I1474" s="15">
        <v>1</v>
      </c>
      <c r="J1474" s="15">
        <v>0</v>
      </c>
      <c r="K1474" s="12" t="str">
        <f>HYPERLINK("https://about.twitter.com/products/tweetdeck","TweetDeck")</f>
        <v>TweetDeck</v>
      </c>
      <c r="L1474" s="16">
        <v>44830</v>
      </c>
      <c r="M1474" s="16">
        <v>52673</v>
      </c>
      <c r="N1474" s="16">
        <v>14</v>
      </c>
      <c r="O1474" s="17"/>
      <c r="P1474" s="18">
        <v>40667.085497685184</v>
      </c>
      <c r="Q1474" s="7"/>
      <c r="R1474" s="7" t="s">
        <v>10631</v>
      </c>
      <c r="S1474" s="7"/>
      <c r="T1474" s="8"/>
      <c r="U1474" s="19" t="str">
        <f>HYPERLINK("https://pbs.twimg.com/profile_images/1121368897251434500/kw0vGB_d.png","View")</f>
        <v>View</v>
      </c>
      <c r="V1474" s="8"/>
      <c r="W1474" s="8"/>
      <c r="X1474" s="8"/>
      <c r="Y1474" s="8"/>
      <c r="Z1474" s="8"/>
    </row>
    <row r="1475" spans="1:26" ht="12.75">
      <c r="A1475" s="11">
        <v>43747.281747685185</v>
      </c>
      <c r="B1475" s="12" t="str">
        <f>HYPERLINK("https://twitter.com/Elif09119018","@Elif09119018")</f>
        <v>@Elif09119018</v>
      </c>
      <c r="C1475" s="7" t="s">
        <v>10633</v>
      </c>
      <c r="D1475" s="7" t="s">
        <v>10635</v>
      </c>
      <c r="E1475" s="12" t="str">
        <f>HYPERLINK("https://twitter.com/Elif09119018/status/1181928733416005634","1181928733416005634")</f>
        <v>1181928733416005634</v>
      </c>
      <c r="F1475" s="14" t="s">
        <v>3207</v>
      </c>
      <c r="G1475" s="15"/>
      <c r="H1475" s="8"/>
      <c r="I1475" s="15">
        <v>0</v>
      </c>
      <c r="J1475" s="15">
        <v>0</v>
      </c>
      <c r="K1475" s="12" t="str">
        <f>HYPERLINK("http://twitter.com/download/android","Twitter for Android")</f>
        <v>Twitter for Android</v>
      </c>
      <c r="L1475" s="16">
        <v>252</v>
      </c>
      <c r="M1475" s="16">
        <v>284</v>
      </c>
      <c r="N1475" s="16">
        <v>0</v>
      </c>
      <c r="O1475" s="17"/>
      <c r="P1475" s="18">
        <v>43487.457187499997</v>
      </c>
      <c r="Q1475" s="7"/>
      <c r="R1475" s="7"/>
      <c r="S1475" s="7"/>
      <c r="T1475" s="8"/>
      <c r="U1475" s="19" t="str">
        <f>HYPERLINK("https://pbs.twimg.com/profile_images/1148306669476175872/vxDPKxKp.jpg","View")</f>
        <v>View</v>
      </c>
      <c r="V1475" s="8"/>
      <c r="W1475" s="8"/>
      <c r="X1475" s="8"/>
      <c r="Y1475" s="8"/>
      <c r="Z1475" s="8"/>
    </row>
    <row r="1476" spans="1:26" ht="12.75">
      <c r="A1476" s="11">
        <v>43747.281678240739</v>
      </c>
      <c r="B1476" s="12" t="str">
        <f>HYPERLINK("https://twitter.com/Scanseref","@Scanseref")</f>
        <v>@Scanseref</v>
      </c>
      <c r="C1476" s="7" t="s">
        <v>10639</v>
      </c>
      <c r="D1476" s="7" t="s">
        <v>10640</v>
      </c>
      <c r="E1476" s="12" t="str">
        <f>HYPERLINK("https://twitter.com/Scanseref/status/1181928706593480710","1181928706593480710")</f>
        <v>1181928706593480710</v>
      </c>
      <c r="F1476" s="8"/>
      <c r="G1476" s="15"/>
      <c r="H1476" s="8"/>
      <c r="I1476" s="15">
        <v>1</v>
      </c>
      <c r="J1476" s="15">
        <v>7</v>
      </c>
      <c r="K1476" s="12" t="str">
        <f>HYPERLINK("http://twitter.com/download/android","Twitter for Android")</f>
        <v>Twitter for Android</v>
      </c>
      <c r="L1476" s="16">
        <v>152</v>
      </c>
      <c r="M1476" s="16">
        <v>145</v>
      </c>
      <c r="N1476" s="16">
        <v>0</v>
      </c>
      <c r="O1476" s="17"/>
      <c r="P1476" s="18">
        <v>43644.594606481478</v>
      </c>
      <c r="Q1476" s="7" t="s">
        <v>2013</v>
      </c>
      <c r="R1476" s="7"/>
      <c r="S1476" s="14" t="s">
        <v>10641</v>
      </c>
      <c r="T1476" s="8"/>
      <c r="U1476" s="19" t="str">
        <f>HYPERLINK("https://pbs.twimg.com/profile_images/1178391160039063552/RFxPDDPa.jpg","View")</f>
        <v>View</v>
      </c>
      <c r="V1476" s="8"/>
      <c r="W1476" s="8"/>
      <c r="X1476" s="8"/>
      <c r="Y1476" s="8"/>
      <c r="Z1476" s="8"/>
    </row>
    <row r="1477" spans="1:26" ht="12.75">
      <c r="A1477" s="11">
        <v>43747.281643518523</v>
      </c>
      <c r="B1477" s="12" t="str">
        <f>HYPERLINK("https://twitter.com/hunsturkattila","@hunsturkattila")</f>
        <v>@hunsturkattila</v>
      </c>
      <c r="C1477" s="7" t="s">
        <v>10642</v>
      </c>
      <c r="D1477" s="7" t="s">
        <v>10643</v>
      </c>
      <c r="E1477" s="12" t="str">
        <f>HYPERLINK("https://twitter.com/hunsturkattila/status/1181928692932579328","1181928692932579328")</f>
        <v>1181928692932579328</v>
      </c>
      <c r="F1477" s="8"/>
      <c r="G1477" s="14" t="s">
        <v>10644</v>
      </c>
      <c r="H1477" s="8"/>
      <c r="I1477" s="15">
        <v>1</v>
      </c>
      <c r="J1477" s="15">
        <v>1</v>
      </c>
      <c r="K1477" s="12" t="str">
        <f>HYPERLINK("http://twitter.com/download/iphone","Twitter for iPhone")</f>
        <v>Twitter for iPhone</v>
      </c>
      <c r="L1477" s="16">
        <v>199</v>
      </c>
      <c r="M1477" s="16">
        <v>594</v>
      </c>
      <c r="N1477" s="16">
        <v>0</v>
      </c>
      <c r="O1477" s="17"/>
      <c r="P1477" s="18">
        <v>43302.630289351851</v>
      </c>
      <c r="Q1477" s="7"/>
      <c r="R1477" s="7" t="s">
        <v>10647</v>
      </c>
      <c r="S1477" s="15"/>
      <c r="T1477" s="8"/>
      <c r="U1477" s="19" t="str">
        <f>HYPERLINK("https://pbs.twimg.com/profile_images/1077291583672856576/LUkZVqCK.jpg","View")</f>
        <v>View</v>
      </c>
      <c r="V1477" s="8"/>
      <c r="W1477" s="8"/>
      <c r="X1477" s="8"/>
      <c r="Y1477" s="8"/>
      <c r="Z1477" s="8"/>
    </row>
    <row r="1478" spans="1:26" ht="12.75">
      <c r="A1478" s="11">
        <v>43747.28162037037</v>
      </c>
      <c r="B1478" s="12" t="str">
        <f>HYPERLINK("https://twitter.com/Mirolu20891793","@Mirolu20891793")</f>
        <v>@Mirolu20891793</v>
      </c>
      <c r="C1478" s="7" t="s">
        <v>10649</v>
      </c>
      <c r="D1478" s="7" t="s">
        <v>10650</v>
      </c>
      <c r="E1478" s="12" t="str">
        <f>HYPERLINK("https://twitter.com/Mirolu20891793/status/1181928687501037569","1181928687501037569")</f>
        <v>1181928687501037569</v>
      </c>
      <c r="F1478" s="8"/>
      <c r="G1478" s="15"/>
      <c r="H1478" s="8"/>
      <c r="I1478" s="15">
        <v>0</v>
      </c>
      <c r="J1478" s="15">
        <v>0</v>
      </c>
      <c r="K1478" s="12" t="str">
        <f>HYPERLINK("https://mobile.twitter.com","Twitter Web App")</f>
        <v>Twitter Web App</v>
      </c>
      <c r="L1478" s="16">
        <v>2</v>
      </c>
      <c r="M1478" s="16">
        <v>30</v>
      </c>
      <c r="N1478" s="16">
        <v>0</v>
      </c>
      <c r="O1478" s="17"/>
      <c r="P1478" s="18">
        <v>43741.510254629626</v>
      </c>
      <c r="Q1478" s="7"/>
      <c r="R1478" s="7"/>
      <c r="S1478" s="7"/>
      <c r="T1478" s="8"/>
      <c r="U1478" s="19" t="str">
        <f>HYPERLINK("https://pbs.twimg.com/profile_images/1181790551122821120/dZm9jhKB.jpg","View")</f>
        <v>View</v>
      </c>
      <c r="V1478" s="8"/>
      <c r="W1478" s="8"/>
      <c r="X1478" s="8"/>
      <c r="Y1478" s="8"/>
      <c r="Z1478" s="8"/>
    </row>
    <row r="1479" spans="1:26" ht="12.75">
      <c r="A1479" s="11">
        <v>43747.2816087963</v>
      </c>
      <c r="B1479" s="12" t="str">
        <f>HYPERLINK("https://twitter.com/yeniden_bas_la","@yeniden_bas_la")</f>
        <v>@yeniden_bas_la</v>
      </c>
      <c r="C1479" s="7" t="s">
        <v>10654</v>
      </c>
      <c r="D1479" s="7" t="s">
        <v>10655</v>
      </c>
      <c r="E1479" s="12" t="str">
        <f>HYPERLINK("https://twitter.com/yeniden_bas_la/status/1181928680215470080","1181928680215470080")</f>
        <v>1181928680215470080</v>
      </c>
      <c r="F1479" s="14" t="s">
        <v>10656</v>
      </c>
      <c r="G1479" s="7"/>
      <c r="H1479" s="8"/>
      <c r="I1479" s="15">
        <v>13</v>
      </c>
      <c r="J1479" s="15">
        <v>43</v>
      </c>
      <c r="K1479" s="12" t="str">
        <f>HYPERLINK("http://twitter.com/download/android","Twitter for Android")</f>
        <v>Twitter for Android</v>
      </c>
      <c r="L1479" s="16">
        <v>4627</v>
      </c>
      <c r="M1479" s="16">
        <v>1186</v>
      </c>
      <c r="N1479" s="16">
        <v>8</v>
      </c>
      <c r="O1479" s="17"/>
      <c r="P1479" s="18">
        <v>43474.49055555556</v>
      </c>
      <c r="Q1479" s="7"/>
      <c r="R1479" s="7"/>
      <c r="S1479" s="7"/>
      <c r="T1479" s="8"/>
      <c r="U1479" s="19" t="str">
        <f>HYPERLINK("https://pbs.twimg.com/profile_images/1180832925731971072/45opq-Vj.jpg","View")</f>
        <v>View</v>
      </c>
      <c r="V1479" s="8"/>
      <c r="W1479" s="8"/>
      <c r="X1479" s="8"/>
      <c r="Y1479" s="8"/>
      <c r="Z1479" s="8"/>
    </row>
    <row r="1480" spans="1:26" ht="12.75">
      <c r="A1480" s="11">
        <v>43747.2816087963</v>
      </c>
      <c r="B1480" s="12" t="str">
        <f>HYPERLINK("https://twitter.com/Ahmetsr14","@Ahmetsr14")</f>
        <v>@Ahmetsr14</v>
      </c>
      <c r="C1480" s="7" t="s">
        <v>10659</v>
      </c>
      <c r="D1480" s="7" t="s">
        <v>160</v>
      </c>
      <c r="E1480" s="12" t="str">
        <f>HYPERLINK("https://twitter.com/Ahmetsr14/status/1181928680186171394","1181928680186171394")</f>
        <v>1181928680186171394</v>
      </c>
      <c r="F1480" s="8"/>
      <c r="G1480" s="15"/>
      <c r="H1480" s="8"/>
      <c r="I1480" s="15">
        <v>0</v>
      </c>
      <c r="J1480" s="15">
        <v>0</v>
      </c>
      <c r="K1480" s="12" t="str">
        <f>HYPERLINK("https://mobile.twitter.com","Twitter Web App")</f>
        <v>Twitter Web App</v>
      </c>
      <c r="L1480" s="16">
        <v>1</v>
      </c>
      <c r="M1480" s="16">
        <v>6</v>
      </c>
      <c r="N1480" s="16">
        <v>0</v>
      </c>
      <c r="O1480" s="17"/>
      <c r="P1480" s="18">
        <v>43212.101990740739</v>
      </c>
      <c r="Q1480" s="7"/>
      <c r="R1480" s="7"/>
      <c r="S1480" s="15"/>
      <c r="T1480" s="8"/>
      <c r="U1480" s="20" t="s">
        <v>354</v>
      </c>
      <c r="V1480" s="8"/>
      <c r="W1480" s="8"/>
      <c r="X1480" s="8"/>
      <c r="Y1480" s="8"/>
      <c r="Z1480" s="8"/>
    </row>
    <row r="1481" spans="1:26" ht="12.75">
      <c r="A1481" s="11">
        <v>43747.281597222223</v>
      </c>
      <c r="B1481" s="12" t="str">
        <f>HYPERLINK("https://twitter.com/BurhanCoskun01","@BurhanCoskun01")</f>
        <v>@BurhanCoskun01</v>
      </c>
      <c r="C1481" s="7" t="s">
        <v>10660</v>
      </c>
      <c r="D1481" s="7" t="s">
        <v>10661</v>
      </c>
      <c r="E1481" s="12" t="str">
        <f>HYPERLINK("https://twitter.com/BurhanCoskun01/status/1181928678378348544","1181928678378348544")</f>
        <v>1181928678378348544</v>
      </c>
      <c r="F1481" s="8"/>
      <c r="G1481" s="14" t="s">
        <v>10662</v>
      </c>
      <c r="H1481" s="8"/>
      <c r="I1481" s="15">
        <v>0</v>
      </c>
      <c r="J1481" s="15">
        <v>1</v>
      </c>
      <c r="K1481" s="12" t="str">
        <f>HYPERLINK("http://twitter.com/download/android","Twitter for Android")</f>
        <v>Twitter for Android</v>
      </c>
      <c r="L1481" s="16">
        <v>1743</v>
      </c>
      <c r="M1481" s="16">
        <v>1914</v>
      </c>
      <c r="N1481" s="16">
        <v>1</v>
      </c>
      <c r="O1481" s="17"/>
      <c r="P1481" s="18">
        <v>42460.318553240737</v>
      </c>
      <c r="Q1481" s="7" t="s">
        <v>1150</v>
      </c>
      <c r="R1481" s="7" t="s">
        <v>10666</v>
      </c>
      <c r="S1481" s="7"/>
      <c r="T1481" s="8"/>
      <c r="U1481" s="19" t="str">
        <f>HYPERLINK("https://pbs.twimg.com/profile_images/1170334989508108288/XlR4WG3g.jpg","View")</f>
        <v>View</v>
      </c>
      <c r="V1481" s="8"/>
      <c r="W1481" s="8"/>
      <c r="X1481" s="8"/>
      <c r="Y1481" s="8"/>
      <c r="Z1481" s="8"/>
    </row>
    <row r="1482" spans="1:26" ht="12.75">
      <c r="A1482" s="11">
        <v>43747.281585648147</v>
      </c>
      <c r="B1482" s="12" t="str">
        <f>HYPERLINK("https://twitter.com/srkanyldrmgs","@srkanyldrmgs")</f>
        <v>@srkanyldrmgs</v>
      </c>
      <c r="C1482" s="7" t="s">
        <v>10668</v>
      </c>
      <c r="D1482" s="7" t="s">
        <v>10669</v>
      </c>
      <c r="E1482" s="12" t="str">
        <f>HYPERLINK("https://twitter.com/srkanyldrmgs/status/1181928671160000512","1181928671160000512")</f>
        <v>1181928671160000512</v>
      </c>
      <c r="F1482" s="14" t="s">
        <v>9554</v>
      </c>
      <c r="G1482" s="14" t="s">
        <v>9555</v>
      </c>
      <c r="H1482" s="8"/>
      <c r="I1482" s="15">
        <v>0</v>
      </c>
      <c r="J1482" s="15">
        <v>0</v>
      </c>
      <c r="K1482" s="12" t="str">
        <f>HYPERLINK("http://twitter.com/download/android","Twitter for Android")</f>
        <v>Twitter for Android</v>
      </c>
      <c r="L1482" s="16">
        <v>635</v>
      </c>
      <c r="M1482" s="16">
        <v>538</v>
      </c>
      <c r="N1482" s="16">
        <v>0</v>
      </c>
      <c r="O1482" s="17"/>
      <c r="P1482" s="18">
        <v>42087.442060185189</v>
      </c>
      <c r="Q1482" s="7" t="s">
        <v>10674</v>
      </c>
      <c r="R1482" s="7" t="s">
        <v>10676</v>
      </c>
      <c r="S1482" s="7"/>
      <c r="T1482" s="8"/>
      <c r="U1482" s="19" t="str">
        <f>HYPERLINK("https://pbs.twimg.com/profile_images/1181927607811657728/4w4UEqH5.jpg","View")</f>
        <v>View</v>
      </c>
      <c r="V1482" s="8"/>
      <c r="W1482" s="8"/>
      <c r="X1482" s="8"/>
      <c r="Y1482" s="8"/>
      <c r="Z1482" s="8"/>
    </row>
    <row r="1483" spans="1:26" ht="12.75">
      <c r="A1483" s="11">
        <v>43747.281574074077</v>
      </c>
      <c r="B1483" s="12" t="str">
        <f>HYPERLINK("https://twitter.com/AkPartiHesap","@AkPartiHesap")</f>
        <v>@AkPartiHesap</v>
      </c>
      <c r="C1483" s="7" t="s">
        <v>10677</v>
      </c>
      <c r="D1483" s="7" t="s">
        <v>10678</v>
      </c>
      <c r="E1483" s="12" t="str">
        <f>HYPERLINK("https://twitter.com/AkPartiHesap/status/1181928669264171008","1181928669264171008")</f>
        <v>1181928669264171008</v>
      </c>
      <c r="F1483" s="8"/>
      <c r="G1483" s="14" t="s">
        <v>10679</v>
      </c>
      <c r="H1483" s="8"/>
      <c r="I1483" s="15">
        <v>0</v>
      </c>
      <c r="J1483" s="15">
        <v>3</v>
      </c>
      <c r="K1483" s="12" t="str">
        <f>HYPERLINK("http://twitter.com/download/android","Twitter for Android")</f>
        <v>Twitter for Android</v>
      </c>
      <c r="L1483" s="16">
        <v>12882</v>
      </c>
      <c r="M1483" s="16">
        <v>2700</v>
      </c>
      <c r="N1483" s="16">
        <v>29</v>
      </c>
      <c r="O1483" s="17"/>
      <c r="P1483" s="18">
        <v>41636.390162037038</v>
      </c>
      <c r="Q1483" s="7" t="s">
        <v>10682</v>
      </c>
      <c r="R1483" s="7" t="s">
        <v>10683</v>
      </c>
      <c r="S1483" s="14" t="s">
        <v>10684</v>
      </c>
      <c r="T1483" s="8"/>
      <c r="U1483" s="19" t="str">
        <f>HYPERLINK("https://pbs.twimg.com/profile_images/1149275447320043520/p9WdC-ch.jpg","View")</f>
        <v>View</v>
      </c>
      <c r="V1483" s="8"/>
      <c r="W1483" s="8"/>
      <c r="X1483" s="8"/>
      <c r="Y1483" s="8"/>
      <c r="Z1483" s="8"/>
    </row>
    <row r="1484" spans="1:26" ht="12.75">
      <c r="A1484" s="11">
        <v>43747.281504629631</v>
      </c>
      <c r="B1484" s="12" t="str">
        <f>HYPERLINK("https://twitter.com/PacaHikmet","@PacaHikmet")</f>
        <v>@PacaHikmet</v>
      </c>
      <c r="C1484" s="7" t="s">
        <v>10686</v>
      </c>
      <c r="D1484" s="7" t="s">
        <v>10687</v>
      </c>
      <c r="E1484" s="12" t="str">
        <f>HYPERLINK("https://twitter.com/PacaHikmet/status/1181928644333182978","1181928644333182978")</f>
        <v>1181928644333182978</v>
      </c>
      <c r="F1484" s="8"/>
      <c r="G1484" s="7"/>
      <c r="H1484" s="8"/>
      <c r="I1484" s="15">
        <v>0</v>
      </c>
      <c r="J1484" s="15">
        <v>0</v>
      </c>
      <c r="K1484" s="12" t="str">
        <f>HYPERLINK("http://twitter.com/download/iphone","Twitter for iPhone")</f>
        <v>Twitter for iPhone</v>
      </c>
      <c r="L1484" s="16">
        <v>10</v>
      </c>
      <c r="M1484" s="16">
        <v>141</v>
      </c>
      <c r="N1484" s="16">
        <v>0</v>
      </c>
      <c r="O1484" s="17"/>
      <c r="P1484" s="18">
        <v>43699.175567129627</v>
      </c>
      <c r="Q1484" s="7"/>
      <c r="R1484" s="7"/>
      <c r="S1484" s="7"/>
      <c r="T1484" s="8"/>
      <c r="U1484" s="19" t="str">
        <f>HYPERLINK("https://pbs.twimg.com/profile_images/1179077996981960705/9B2CDmnw.jpg","View")</f>
        <v>View</v>
      </c>
      <c r="V1484" s="8"/>
      <c r="W1484" s="8"/>
      <c r="X1484" s="8"/>
      <c r="Y1484" s="8"/>
      <c r="Z1484" s="8"/>
    </row>
    <row r="1485" spans="1:26" ht="12.75">
      <c r="A1485" s="11">
        <v>43747.281469907408</v>
      </c>
      <c r="B1485" s="12" t="str">
        <f>HYPERLINK("https://twitter.com/1978End","@1978End")</f>
        <v>@1978End</v>
      </c>
      <c r="C1485" s="7" t="s">
        <v>10689</v>
      </c>
      <c r="D1485" s="7" t="s">
        <v>10690</v>
      </c>
      <c r="E1485" s="12" t="str">
        <f>HYPERLINK("https://twitter.com/1978End/status/1181928632601722880","1181928632601722880")</f>
        <v>1181928632601722880</v>
      </c>
      <c r="F1485" s="8"/>
      <c r="G1485" s="15"/>
      <c r="H1485" s="8"/>
      <c r="I1485" s="15">
        <v>0</v>
      </c>
      <c r="J1485" s="15">
        <v>0</v>
      </c>
      <c r="K1485" s="12" t="str">
        <f>HYPERLINK("http://twitter.com/download/android","Twitter for Android")</f>
        <v>Twitter for Android</v>
      </c>
      <c r="L1485" s="16">
        <v>46</v>
      </c>
      <c r="M1485" s="16">
        <v>338</v>
      </c>
      <c r="N1485" s="16">
        <v>1</v>
      </c>
      <c r="O1485" s="17"/>
      <c r="P1485" s="18">
        <v>42621.625219907408</v>
      </c>
      <c r="Q1485" s="7"/>
      <c r="R1485" s="7" t="s">
        <v>10691</v>
      </c>
      <c r="S1485" s="15"/>
      <c r="T1485" s="8"/>
      <c r="U1485" s="19" t="str">
        <f>HYPERLINK("https://pbs.twimg.com/profile_images/943609974701412352/4sPp-NXX.jpg","View")</f>
        <v>View</v>
      </c>
      <c r="V1485" s="8"/>
      <c r="W1485" s="8"/>
      <c r="X1485" s="8"/>
      <c r="Y1485" s="8"/>
      <c r="Z1485" s="8"/>
    </row>
    <row r="1486" spans="1:26" ht="12.75">
      <c r="A1486" s="11">
        <v>43747.281458333338</v>
      </c>
      <c r="B1486" s="12" t="str">
        <f>HYPERLINK("https://twitter.com/caghancolak","@caghancolak")</f>
        <v>@caghancolak</v>
      </c>
      <c r="C1486" s="7" t="s">
        <v>10692</v>
      </c>
      <c r="D1486" s="7" t="s">
        <v>10693</v>
      </c>
      <c r="E1486" s="12" t="str">
        <f>HYPERLINK("https://twitter.com/caghancolak/status/1181928626671013888","1181928626671013888")</f>
        <v>1181928626671013888</v>
      </c>
      <c r="F1486" s="8"/>
      <c r="G1486" s="7"/>
      <c r="H1486" s="8"/>
      <c r="I1486" s="15">
        <v>0</v>
      </c>
      <c r="J1486" s="15">
        <v>0</v>
      </c>
      <c r="K1486" s="12" t="str">
        <f>HYPERLINK("http://twitter.com/download/iphone","Twitter for iPhone")</f>
        <v>Twitter for iPhone</v>
      </c>
      <c r="L1486" s="16">
        <v>65</v>
      </c>
      <c r="M1486" s="16">
        <v>265</v>
      </c>
      <c r="N1486" s="16">
        <v>0</v>
      </c>
      <c r="O1486" s="17"/>
      <c r="P1486" s="18">
        <v>40205.278194444443</v>
      </c>
      <c r="Q1486" s="7" t="s">
        <v>313</v>
      </c>
      <c r="R1486" s="7" t="s">
        <v>9576</v>
      </c>
      <c r="S1486" s="14" t="s">
        <v>10697</v>
      </c>
      <c r="T1486" s="8"/>
      <c r="U1486" s="19" t="str">
        <f>HYPERLINK("https://pbs.twimg.com/profile_images/1107716735040479232/S5xLJPwA.jpg","View")</f>
        <v>View</v>
      </c>
      <c r="V1486" s="8"/>
      <c r="W1486" s="8"/>
      <c r="X1486" s="8"/>
      <c r="Y1486" s="8"/>
      <c r="Z1486" s="8"/>
    </row>
    <row r="1487" spans="1:26" ht="12.75">
      <c r="A1487" s="11">
        <v>43747.281412037039</v>
      </c>
      <c r="B1487" s="12" t="str">
        <f>HYPERLINK("https://twitter.com/CaveoInvestment","@CaveoInvestment")</f>
        <v>@CaveoInvestment</v>
      </c>
      <c r="C1487" s="7" t="s">
        <v>10701</v>
      </c>
      <c r="D1487" s="7" t="s">
        <v>10702</v>
      </c>
      <c r="E1487" s="12" t="str">
        <f>HYPERLINK("https://twitter.com/CaveoInvestment/status/1181928611495993344","1181928611495993344")</f>
        <v>1181928611495993344</v>
      </c>
      <c r="F1487" s="8"/>
      <c r="G1487" s="14" t="s">
        <v>10703</v>
      </c>
      <c r="H1487" s="8"/>
      <c r="I1487" s="15">
        <v>0</v>
      </c>
      <c r="J1487" s="15">
        <v>0</v>
      </c>
      <c r="K1487" s="12" t="str">
        <f>HYPERLINK("https://mobile.twitter.com","Twitter Web App")</f>
        <v>Twitter Web App</v>
      </c>
      <c r="L1487" s="16">
        <v>7312</v>
      </c>
      <c r="M1487" s="16">
        <v>4</v>
      </c>
      <c r="N1487" s="16">
        <v>58</v>
      </c>
      <c r="O1487" s="17"/>
      <c r="P1487" s="18">
        <v>40799.350717592592</v>
      </c>
      <c r="Q1487" s="7" t="s">
        <v>10706</v>
      </c>
      <c r="R1487" s="7" t="s">
        <v>10707</v>
      </c>
      <c r="S1487" s="15"/>
      <c r="T1487" s="8"/>
      <c r="U1487" s="19" t="str">
        <f>HYPERLINK("https://pbs.twimg.com/profile_images/1064869927432130562/FBHtc-Zs.jpg","View")</f>
        <v>View</v>
      </c>
      <c r="V1487" s="8"/>
      <c r="W1487" s="8"/>
      <c r="X1487" s="8"/>
      <c r="Y1487" s="8"/>
      <c r="Z1487" s="8"/>
    </row>
    <row r="1488" spans="1:26" ht="12.75">
      <c r="A1488" s="11">
        <v>43747.281412037039</v>
      </c>
      <c r="B1488" s="12" t="str">
        <f>HYPERLINK("https://twitter.com/SoLeRiT5","@SoLeRiT5")</f>
        <v>@SoLeRiT5</v>
      </c>
      <c r="C1488" s="7" t="s">
        <v>10710</v>
      </c>
      <c r="D1488" s="7" t="s">
        <v>10711</v>
      </c>
      <c r="E1488" s="12" t="str">
        <f>HYPERLINK("https://twitter.com/SoLeRiT5/status/1181928610896068610","1181928610896068610")</f>
        <v>1181928610896068610</v>
      </c>
      <c r="F1488" s="8"/>
      <c r="G1488" s="7"/>
      <c r="H1488" s="8"/>
      <c r="I1488" s="15">
        <v>0</v>
      </c>
      <c r="J1488" s="15">
        <v>0</v>
      </c>
      <c r="K1488" s="12" t="str">
        <f>HYPERLINK("https://mobile.twitter.com","Twitter Web App")</f>
        <v>Twitter Web App</v>
      </c>
      <c r="L1488" s="16">
        <v>82</v>
      </c>
      <c r="M1488" s="16">
        <v>95</v>
      </c>
      <c r="N1488" s="16">
        <v>0</v>
      </c>
      <c r="O1488" s="17"/>
      <c r="P1488" s="18">
        <v>43627.275011574078</v>
      </c>
      <c r="Q1488" s="7" t="s">
        <v>10715</v>
      </c>
      <c r="R1488" s="7" t="s">
        <v>10716</v>
      </c>
      <c r="S1488" s="7"/>
      <c r="T1488" s="8"/>
      <c r="U1488" s="19" t="str">
        <f>HYPERLINK("https://pbs.twimg.com/profile_images/1138440973283975168/-TovC1WD.png","View")</f>
        <v>View</v>
      </c>
      <c r="V1488" s="8"/>
      <c r="W1488" s="8"/>
      <c r="X1488" s="8"/>
      <c r="Y1488" s="8"/>
      <c r="Z1488" s="8"/>
    </row>
    <row r="1489" spans="1:26" ht="12.75">
      <c r="A1489" s="11">
        <v>43747.281388888892</v>
      </c>
      <c r="B1489" s="12" t="str">
        <f>HYPERLINK("https://twitter.com/erenucar29","@erenucar29")</f>
        <v>@erenucar29</v>
      </c>
      <c r="C1489" s="7" t="s">
        <v>10722</v>
      </c>
      <c r="D1489" s="7" t="s">
        <v>10723</v>
      </c>
      <c r="E1489" s="12" t="str">
        <f>HYPERLINK("https://twitter.com/erenucar29/status/1181928601471594498","1181928601471594498")</f>
        <v>1181928601471594498</v>
      </c>
      <c r="F1489" s="8"/>
      <c r="G1489" s="14" t="s">
        <v>10724</v>
      </c>
      <c r="H1489" s="8"/>
      <c r="I1489" s="15">
        <v>0</v>
      </c>
      <c r="J1489" s="15">
        <v>0</v>
      </c>
      <c r="K1489" s="12" t="str">
        <f>HYPERLINK("http://twitter.com/download/android","Twitter for Android")</f>
        <v>Twitter for Android</v>
      </c>
      <c r="L1489" s="16">
        <v>182</v>
      </c>
      <c r="M1489" s="16">
        <v>309</v>
      </c>
      <c r="N1489" s="16">
        <v>0</v>
      </c>
      <c r="O1489" s="17"/>
      <c r="P1489" s="18">
        <v>41739.176828703705</v>
      </c>
      <c r="Q1489" s="7"/>
      <c r="R1489" s="7"/>
      <c r="S1489" s="7"/>
      <c r="T1489" s="8"/>
      <c r="U1489" s="19" t="str">
        <f>HYPERLINK("https://pbs.twimg.com/profile_images/1181929099587198976/rDRvB04C.jpg","View")</f>
        <v>View</v>
      </c>
      <c r="V1489" s="8"/>
      <c r="W1489" s="8"/>
      <c r="X1489" s="8"/>
      <c r="Y1489" s="8"/>
      <c r="Z1489" s="8"/>
    </row>
    <row r="1490" spans="1:26" ht="12.75">
      <c r="A1490" s="11">
        <v>43747.281377314815</v>
      </c>
      <c r="B1490" s="12" t="str">
        <f>HYPERLINK("https://twitter.com/atlpzr","@atlpzr")</f>
        <v>@atlpzr</v>
      </c>
      <c r="C1490" s="7" t="s">
        <v>10728</v>
      </c>
      <c r="D1490" s="7" t="s">
        <v>10729</v>
      </c>
      <c r="E1490" s="12" t="str">
        <f>HYPERLINK("https://twitter.com/atlpzr/status/1181928599282212868","1181928599282212868")</f>
        <v>1181928599282212868</v>
      </c>
      <c r="F1490" s="8"/>
      <c r="G1490" s="15"/>
      <c r="H1490" s="8"/>
      <c r="I1490" s="15">
        <v>0</v>
      </c>
      <c r="J1490" s="15">
        <v>0</v>
      </c>
      <c r="K1490" s="12" t="str">
        <f>HYPERLINK("http://twitter.com/download/android","Twitter for Android")</f>
        <v>Twitter for Android</v>
      </c>
      <c r="L1490" s="16">
        <v>990</v>
      </c>
      <c r="M1490" s="16">
        <v>1965</v>
      </c>
      <c r="N1490" s="16">
        <v>40</v>
      </c>
      <c r="O1490" s="17"/>
      <c r="P1490" s="18">
        <v>40218.072326388887</v>
      </c>
      <c r="Q1490" s="7" t="s">
        <v>10730</v>
      </c>
      <c r="R1490" s="7" t="s">
        <v>10731</v>
      </c>
      <c r="S1490" s="14" t="s">
        <v>10732</v>
      </c>
      <c r="T1490" s="8"/>
      <c r="U1490" s="19" t="str">
        <f>HYPERLINK("https://pbs.twimg.com/profile_images/569212133536440320/Ee4xw0kV.jpeg","View")</f>
        <v>View</v>
      </c>
      <c r="V1490" s="8"/>
      <c r="W1490" s="8"/>
      <c r="X1490" s="8"/>
      <c r="Y1490" s="8"/>
      <c r="Z1490" s="8"/>
    </row>
    <row r="1491" spans="1:26" ht="12.75">
      <c r="A1491" s="11">
        <v>43747.281365740739</v>
      </c>
      <c r="B1491" s="12" t="str">
        <f>HYPERLINK("https://twitter.com/stanbul76568423","@stanbul76568423")</f>
        <v>@stanbul76568423</v>
      </c>
      <c r="C1491" s="7" t="s">
        <v>10737</v>
      </c>
      <c r="D1491" s="7" t="s">
        <v>10738</v>
      </c>
      <c r="E1491" s="12" t="str">
        <f>HYPERLINK("https://twitter.com/stanbul76568423/status/1181928593150169090","1181928593150169090")</f>
        <v>1181928593150169090</v>
      </c>
      <c r="F1491" s="8"/>
      <c r="G1491" s="14" t="s">
        <v>10739</v>
      </c>
      <c r="H1491" s="8"/>
      <c r="I1491" s="15">
        <v>0</v>
      </c>
      <c r="J1491" s="15">
        <v>3</v>
      </c>
      <c r="K1491" s="12" t="str">
        <f>HYPERLINK("http://twitter.com/download/android","Twitter for Android")</f>
        <v>Twitter for Android</v>
      </c>
      <c r="L1491" s="16">
        <v>54</v>
      </c>
      <c r="M1491" s="16">
        <v>15</v>
      </c>
      <c r="N1491" s="16">
        <v>0</v>
      </c>
      <c r="O1491" s="17"/>
      <c r="P1491" s="18">
        <v>43547.526898148149</v>
      </c>
      <c r="Q1491" s="7" t="s">
        <v>10743</v>
      </c>
      <c r="R1491" s="7" t="s">
        <v>10744</v>
      </c>
      <c r="S1491" s="15"/>
      <c r="T1491" s="8"/>
      <c r="U1491" s="19" t="str">
        <f>HYPERLINK("https://pbs.twimg.com/profile_images/1161419141141676032/xUk8QqKT.jpg","View")</f>
        <v>View</v>
      </c>
      <c r="V1491" s="8"/>
      <c r="W1491" s="8"/>
      <c r="X1491" s="8"/>
      <c r="Y1491" s="8"/>
      <c r="Z1491" s="8"/>
    </row>
    <row r="1492" spans="1:26" ht="12.75">
      <c r="A1492" s="11">
        <v>43747.281307870369</v>
      </c>
      <c r="B1492" s="12" t="str">
        <f>HYPERLINK("https://twitter.com/ipekbocegin","@ipekbocegin")</f>
        <v>@ipekbocegin</v>
      </c>
      <c r="C1492" s="7" t="s">
        <v>10746</v>
      </c>
      <c r="D1492" s="7" t="s">
        <v>10747</v>
      </c>
      <c r="E1492" s="12" t="str">
        <f>HYPERLINK("https://twitter.com/ipekbocegin/status/1181928572015009793","1181928572015009793")</f>
        <v>1181928572015009793</v>
      </c>
      <c r="F1492" s="8"/>
      <c r="G1492" s="14" t="s">
        <v>10750</v>
      </c>
      <c r="H1492" s="8"/>
      <c r="I1492" s="15">
        <v>0</v>
      </c>
      <c r="J1492" s="15">
        <v>0</v>
      </c>
      <c r="K1492" s="12" t="str">
        <f>HYPERLINK("https://about.twitter.com/products/tweetdeck","TweetDeck")</f>
        <v>TweetDeck</v>
      </c>
      <c r="L1492" s="16">
        <v>22606</v>
      </c>
      <c r="M1492" s="16">
        <v>27084</v>
      </c>
      <c r="N1492" s="16">
        <v>13</v>
      </c>
      <c r="O1492" s="17"/>
      <c r="P1492" s="18">
        <v>42109.175625000003</v>
      </c>
      <c r="Q1492" s="7"/>
      <c r="R1492" s="7" t="s">
        <v>10755</v>
      </c>
      <c r="S1492" s="7"/>
      <c r="T1492" s="8"/>
      <c r="U1492" s="19" t="str">
        <f>HYPERLINK("https://pbs.twimg.com/profile_images/1004662994184343552/7bZtc6fH.jpg","View")</f>
        <v>View</v>
      </c>
      <c r="V1492" s="8"/>
      <c r="W1492" s="8"/>
      <c r="X1492" s="8"/>
      <c r="Y1492" s="8"/>
      <c r="Z1492" s="8"/>
    </row>
    <row r="1493" spans="1:26" ht="12.75">
      <c r="A1493" s="11">
        <v>43747.281273148154</v>
      </c>
      <c r="B1493" s="12" t="str">
        <f>HYPERLINK("https://twitter.com/Nihal61_28","@Nihal61_28")</f>
        <v>@Nihal61_28</v>
      </c>
      <c r="C1493" s="7" t="s">
        <v>10757</v>
      </c>
      <c r="D1493" s="7" t="s">
        <v>10758</v>
      </c>
      <c r="E1493" s="12" t="str">
        <f>HYPERLINK("https://twitter.com/Nihal61_28/status/1181928561302749184","1181928561302749184")</f>
        <v>1181928561302749184</v>
      </c>
      <c r="F1493" s="15"/>
      <c r="G1493" s="14" t="s">
        <v>10759</v>
      </c>
      <c r="H1493" s="8"/>
      <c r="I1493" s="15">
        <v>0</v>
      </c>
      <c r="J1493" s="15">
        <v>0</v>
      </c>
      <c r="K1493" s="12" t="str">
        <f>HYPERLINK("http://twitter.com/download/iphone","Twitter for iPhone")</f>
        <v>Twitter for iPhone</v>
      </c>
      <c r="L1493" s="16">
        <v>231</v>
      </c>
      <c r="M1493" s="16">
        <v>377</v>
      </c>
      <c r="N1493" s="16">
        <v>0</v>
      </c>
      <c r="O1493" s="17"/>
      <c r="P1493" s="18">
        <v>43730.33457175926</v>
      </c>
      <c r="Q1493" s="7" t="s">
        <v>10762</v>
      </c>
      <c r="R1493" s="7" t="s">
        <v>10763</v>
      </c>
      <c r="S1493" s="15"/>
      <c r="T1493" s="8"/>
      <c r="U1493" s="19" t="str">
        <f>HYPERLINK("https://pbs.twimg.com/profile_images/1175791162122260480/bc9xs6AU.jpg","View")</f>
        <v>View</v>
      </c>
      <c r="V1493" s="8"/>
      <c r="W1493" s="8"/>
      <c r="X1493" s="8"/>
      <c r="Y1493" s="8"/>
      <c r="Z1493" s="8"/>
    </row>
    <row r="1494" spans="1:26" ht="12.75">
      <c r="A1494" s="11">
        <v>43747.281273148154</v>
      </c>
      <c r="B1494" s="12" t="str">
        <f>HYPERLINK("https://twitter.com/MertcanDurmu02","@MertcanDurmu02")</f>
        <v>@MertcanDurmu02</v>
      </c>
      <c r="C1494" s="13" t="s">
        <v>10764</v>
      </c>
      <c r="D1494" s="7" t="s">
        <v>10765</v>
      </c>
      <c r="E1494" s="12" t="str">
        <f>HYPERLINK("https://twitter.com/MertcanDurmu02/status/1181928560761741313","1181928560761741313")</f>
        <v>1181928560761741313</v>
      </c>
      <c r="F1494" s="15"/>
      <c r="G1494" s="7"/>
      <c r="H1494" s="8"/>
      <c r="I1494" s="15">
        <v>0</v>
      </c>
      <c r="J1494" s="15">
        <v>0</v>
      </c>
      <c r="K1494" s="12" t="str">
        <f>HYPERLINK("http://twitter.com/download/iphone","Twitter for iPhone")</f>
        <v>Twitter for iPhone</v>
      </c>
      <c r="L1494" s="16">
        <v>10</v>
      </c>
      <c r="M1494" s="16">
        <v>115</v>
      </c>
      <c r="N1494" s="16">
        <v>0</v>
      </c>
      <c r="O1494" s="17"/>
      <c r="P1494" s="18">
        <v>43004.583518518513</v>
      </c>
      <c r="Q1494" s="7" t="s">
        <v>200</v>
      </c>
      <c r="R1494" s="7" t="s">
        <v>10767</v>
      </c>
      <c r="S1494" s="7"/>
      <c r="T1494" s="8"/>
      <c r="U1494" s="19" t="str">
        <f>HYPERLINK("https://pbs.twimg.com/profile_images/1169676212580622336/ZefacO6l.jpg","View")</f>
        <v>View</v>
      </c>
      <c r="V1494" s="8"/>
      <c r="W1494" s="8"/>
      <c r="X1494" s="8"/>
      <c r="Y1494" s="8"/>
      <c r="Z1494" s="8"/>
    </row>
    <row r="1495" spans="1:26" ht="12.75">
      <c r="A1495" s="11">
        <v>43747.28126157407</v>
      </c>
      <c r="B1495" s="12" t="str">
        <f>HYPERLINK("https://twitter.com/mehmettdilsiz","@mehmettdilsiz")</f>
        <v>@mehmettdilsiz</v>
      </c>
      <c r="C1495" s="7" t="s">
        <v>10769</v>
      </c>
      <c r="D1495" s="7" t="s">
        <v>2802</v>
      </c>
      <c r="E1495" s="12" t="str">
        <f>HYPERLINK("https://twitter.com/mehmettdilsiz/status/1181928553937547264","1181928553937547264")</f>
        <v>1181928553937547264</v>
      </c>
      <c r="F1495" s="8"/>
      <c r="G1495" s="14" t="s">
        <v>10770</v>
      </c>
      <c r="H1495" s="8"/>
      <c r="I1495" s="15">
        <v>0</v>
      </c>
      <c r="J1495" s="15">
        <v>0</v>
      </c>
      <c r="K1495" s="12" t="str">
        <f>HYPERLINK("https://mobile.twitter.com","Twitter Web App")</f>
        <v>Twitter Web App</v>
      </c>
      <c r="L1495" s="16">
        <v>15</v>
      </c>
      <c r="M1495" s="16">
        <v>136</v>
      </c>
      <c r="N1495" s="16">
        <v>0</v>
      </c>
      <c r="O1495" s="17"/>
      <c r="P1495" s="18">
        <v>43680.35</v>
      </c>
      <c r="Q1495" s="7"/>
      <c r="R1495" s="7" t="s">
        <v>10774</v>
      </c>
      <c r="S1495" s="15"/>
      <c r="T1495" s="8"/>
      <c r="U1495" s="19" t="str">
        <f>HYPERLINK("https://pbs.twimg.com/profile_images/1170252504254296064/9YYGWZeV.jpg","View")</f>
        <v>View</v>
      </c>
      <c r="V1495" s="8"/>
      <c r="W1495" s="8"/>
      <c r="X1495" s="8"/>
      <c r="Y1495" s="8"/>
      <c r="Z1495" s="8"/>
    </row>
    <row r="1496" spans="1:26" ht="12.75">
      <c r="A1496" s="11">
        <v>43747.281180555554</v>
      </c>
      <c r="B1496" s="12" t="str">
        <f>HYPERLINK("https://twitter.com/yarliganozgur","@yarliganozgur")</f>
        <v>@yarliganozgur</v>
      </c>
      <c r="C1496" s="7" t="s">
        <v>10777</v>
      </c>
      <c r="D1496" s="7" t="s">
        <v>10778</v>
      </c>
      <c r="E1496" s="12" t="str">
        <f>HYPERLINK("https://twitter.com/yarliganozgur/status/1181928527618363394","1181928527618363394")</f>
        <v>1181928527618363394</v>
      </c>
      <c r="F1496" s="8"/>
      <c r="G1496" s="14" t="s">
        <v>10780</v>
      </c>
      <c r="H1496" s="8"/>
      <c r="I1496" s="15">
        <v>0</v>
      </c>
      <c r="J1496" s="15">
        <v>0</v>
      </c>
      <c r="K1496" s="12" t="str">
        <f>HYPERLINK("http://twitter.com/download/android","Twitter for Android")</f>
        <v>Twitter for Android</v>
      </c>
      <c r="L1496" s="16">
        <v>100</v>
      </c>
      <c r="M1496" s="16">
        <v>143</v>
      </c>
      <c r="N1496" s="16">
        <v>0</v>
      </c>
      <c r="O1496" s="17"/>
      <c r="P1496" s="18">
        <v>41275.559560185182</v>
      </c>
      <c r="Q1496" s="7" t="s">
        <v>970</v>
      </c>
      <c r="R1496" s="7" t="s">
        <v>10781</v>
      </c>
      <c r="S1496" s="7"/>
      <c r="T1496" s="8"/>
      <c r="U1496" s="19" t="str">
        <f>HYPERLINK("https://pbs.twimg.com/profile_images/910590390994178048/YIiOVSr-.jpg","View")</f>
        <v>View</v>
      </c>
      <c r="V1496" s="8"/>
      <c r="W1496" s="8"/>
      <c r="X1496" s="8"/>
      <c r="Y1496" s="8"/>
      <c r="Z1496" s="8"/>
    </row>
    <row r="1497" spans="1:26" ht="12.75">
      <c r="A1497" s="11">
        <v>43747.281180555554</v>
      </c>
      <c r="B1497" s="12" t="str">
        <f>HYPERLINK("https://twitter.com/yozgatlisparrow","@yozgatlisparrow")</f>
        <v>@yozgatlisparrow</v>
      </c>
      <c r="C1497" s="7" t="s">
        <v>10782</v>
      </c>
      <c r="D1497" s="7" t="s">
        <v>10783</v>
      </c>
      <c r="E1497" s="12" t="str">
        <f>HYPERLINK("https://twitter.com/yozgatlisparrow/status/1181928526456467456","1181928526456467456")</f>
        <v>1181928526456467456</v>
      </c>
      <c r="F1497" s="8"/>
      <c r="G1497" s="14" t="s">
        <v>10784</v>
      </c>
      <c r="H1497" s="8"/>
      <c r="I1497" s="15">
        <v>0</v>
      </c>
      <c r="J1497" s="15">
        <v>1</v>
      </c>
      <c r="K1497" s="12" t="str">
        <f>HYPERLINK("http://twitter.com/download/android","Twitter for Android")</f>
        <v>Twitter for Android</v>
      </c>
      <c r="L1497" s="16">
        <v>439</v>
      </c>
      <c r="M1497" s="16">
        <v>447</v>
      </c>
      <c r="N1497" s="16">
        <v>0</v>
      </c>
      <c r="O1497" s="17"/>
      <c r="P1497" s="18">
        <v>41305.118958333333</v>
      </c>
      <c r="Q1497" s="7" t="s">
        <v>313</v>
      </c>
      <c r="R1497" s="7" t="s">
        <v>10786</v>
      </c>
      <c r="S1497" s="15"/>
      <c r="T1497" s="8"/>
      <c r="U1497" s="19" t="str">
        <f>HYPERLINK("https://pbs.twimg.com/profile_images/1181514738402021376/RJPKhoOl.jpg","View")</f>
        <v>View</v>
      </c>
      <c r="V1497" s="8"/>
      <c r="W1497" s="8"/>
      <c r="X1497" s="8"/>
      <c r="Y1497" s="8"/>
      <c r="Z1497" s="8"/>
    </row>
    <row r="1498" spans="1:26" ht="12.75">
      <c r="A1498" s="11">
        <v>43747.281168981484</v>
      </c>
      <c r="B1498" s="12" t="str">
        <f>HYPERLINK("https://twitter.com/hakankrmtci","@hakankrmtci")</f>
        <v>@hakankrmtci</v>
      </c>
      <c r="C1498" s="7" t="s">
        <v>10787</v>
      </c>
      <c r="D1498" s="7" t="s">
        <v>10788</v>
      </c>
      <c r="E1498" s="12" t="str">
        <f>HYPERLINK("https://twitter.com/hakankrmtci/status/1181928522199289856","1181928522199289856")</f>
        <v>1181928522199289856</v>
      </c>
      <c r="F1498" s="8"/>
      <c r="G1498" s="7"/>
      <c r="H1498" s="8"/>
      <c r="I1498" s="15">
        <v>0</v>
      </c>
      <c r="J1498" s="15">
        <v>1</v>
      </c>
      <c r="K1498" s="12" t="str">
        <f>HYPERLINK("https://mobile.twitter.com","Twitter Web App")</f>
        <v>Twitter Web App</v>
      </c>
      <c r="L1498" s="16">
        <v>121</v>
      </c>
      <c r="M1498" s="16">
        <v>111</v>
      </c>
      <c r="N1498" s="16">
        <v>0</v>
      </c>
      <c r="O1498" s="17"/>
      <c r="P1498" s="18">
        <v>43734.945219907408</v>
      </c>
      <c r="Q1498" s="7" t="s">
        <v>200</v>
      </c>
      <c r="R1498" s="7" t="s">
        <v>10789</v>
      </c>
      <c r="S1498" s="15"/>
      <c r="T1498" s="8"/>
      <c r="U1498" s="19" t="str">
        <f>HYPERLINK("https://pbs.twimg.com/profile_images/1181208326874570752/edArx00Y.jpg","View")</f>
        <v>View</v>
      </c>
      <c r="V1498" s="8"/>
      <c r="W1498" s="8"/>
      <c r="X1498" s="8"/>
      <c r="Y1498" s="8"/>
      <c r="Z1498" s="8"/>
    </row>
    <row r="1499" spans="1:26" ht="12.75">
      <c r="A1499" s="11">
        <v>43747.281157407408</v>
      </c>
      <c r="B1499" s="12" t="str">
        <f>HYPERLINK("https://twitter.com/saircocuk61","@saircocuk61")</f>
        <v>@saircocuk61</v>
      </c>
      <c r="C1499" s="7" t="s">
        <v>10792</v>
      </c>
      <c r="D1499" s="7" t="s">
        <v>10793</v>
      </c>
      <c r="E1499" s="12" t="str">
        <f>HYPERLINK("https://twitter.com/saircocuk61/status/1181928517996552200","1181928517996552200")</f>
        <v>1181928517996552200</v>
      </c>
      <c r="F1499" s="8"/>
      <c r="G1499" s="15"/>
      <c r="H1499" s="8"/>
      <c r="I1499" s="15">
        <v>0</v>
      </c>
      <c r="J1499" s="15">
        <v>1</v>
      </c>
      <c r="K1499" s="12" t="str">
        <f>HYPERLINK("http://twitter.com/download/android","Twitter for Android")</f>
        <v>Twitter for Android</v>
      </c>
      <c r="L1499" s="16">
        <v>190</v>
      </c>
      <c r="M1499" s="16">
        <v>1152</v>
      </c>
      <c r="N1499" s="16">
        <v>0</v>
      </c>
      <c r="O1499" s="17"/>
      <c r="P1499" s="18">
        <v>40777.203506944446</v>
      </c>
      <c r="Q1499" s="7" t="s">
        <v>8902</v>
      </c>
      <c r="R1499" s="7" t="s">
        <v>10794</v>
      </c>
      <c r="S1499" s="7"/>
      <c r="T1499" s="8"/>
      <c r="U1499" s="19" t="str">
        <f>HYPERLINK("https://pbs.twimg.com/profile_images/1177339386565935105/47C1Y6Ad.jpg","View")</f>
        <v>View</v>
      </c>
      <c r="V1499" s="8"/>
      <c r="W1499" s="8"/>
      <c r="X1499" s="8"/>
      <c r="Y1499" s="8"/>
      <c r="Z1499" s="8"/>
    </row>
    <row r="1500" spans="1:26" ht="12.75">
      <c r="A1500" s="11">
        <v>43747.281122685185</v>
      </c>
      <c r="B1500" s="12" t="str">
        <f>HYPERLINK("https://twitter.com/thomascastelliT","@thomascastelliT")</f>
        <v>@thomascastelliT</v>
      </c>
      <c r="C1500" s="13" t="s">
        <v>10796</v>
      </c>
      <c r="D1500" s="7" t="s">
        <v>10797</v>
      </c>
      <c r="E1500" s="12" t="str">
        <f>HYPERLINK("https://twitter.com/thomascastelliT/status/1181928505547866112","1181928505547866112")</f>
        <v>1181928505547866112</v>
      </c>
      <c r="F1500" s="8"/>
      <c r="G1500" s="15"/>
      <c r="H1500" s="8"/>
      <c r="I1500" s="15">
        <v>0</v>
      </c>
      <c r="J1500" s="15">
        <v>3</v>
      </c>
      <c r="K1500" s="12" t="str">
        <f>HYPERLINK("http://twitter.com/download/android","Twitter for Android")</f>
        <v>Twitter for Android</v>
      </c>
      <c r="L1500" s="16">
        <v>921</v>
      </c>
      <c r="M1500" s="16">
        <v>895</v>
      </c>
      <c r="N1500" s="16">
        <v>3</v>
      </c>
      <c r="O1500" s="17"/>
      <c r="P1500" s="18">
        <v>42936.317719907413</v>
      </c>
      <c r="Q1500" s="7" t="s">
        <v>10799</v>
      </c>
      <c r="R1500" s="7" t="s">
        <v>10800</v>
      </c>
      <c r="S1500" s="7"/>
      <c r="T1500" s="8"/>
      <c r="U1500" s="19" t="str">
        <f>HYPERLINK("https://pbs.twimg.com/profile_images/1170644726900494336/ghvx7PfP.jpg","View")</f>
        <v>View</v>
      </c>
      <c r="V1500" s="8"/>
      <c r="W1500" s="8"/>
      <c r="X1500" s="8"/>
      <c r="Y1500" s="8"/>
      <c r="Z1500" s="8"/>
    </row>
    <row r="1501" spans="1:26" ht="12.75">
      <c r="A1501" s="11">
        <v>43747.281087962961</v>
      </c>
      <c r="B1501" s="12" t="str">
        <f>HYPERLINK("https://twitter.com/powered_by1453","@powered_by1453")</f>
        <v>@powered_by1453</v>
      </c>
      <c r="C1501" s="7" t="s">
        <v>10801</v>
      </c>
      <c r="D1501" s="7" t="s">
        <v>10802</v>
      </c>
      <c r="E1501" s="12" t="str">
        <f>HYPERLINK("https://twitter.com/powered_by1453/status/1181928491199209473","1181928491199209473")</f>
        <v>1181928491199209473</v>
      </c>
      <c r="F1501" s="8"/>
      <c r="G1501" s="14" t="s">
        <v>10803</v>
      </c>
      <c r="H1501" s="8"/>
      <c r="I1501" s="15">
        <v>4</v>
      </c>
      <c r="J1501" s="15">
        <v>20</v>
      </c>
      <c r="K1501" s="12" t="str">
        <f>HYPERLINK("http://twitter.com/download/android","Twitter for Android")</f>
        <v>Twitter for Android</v>
      </c>
      <c r="L1501" s="16">
        <v>8553</v>
      </c>
      <c r="M1501" s="16">
        <v>6139</v>
      </c>
      <c r="N1501" s="16">
        <v>7</v>
      </c>
      <c r="O1501" s="17"/>
      <c r="P1501" s="18">
        <v>41528.708668981482</v>
      </c>
      <c r="Q1501" s="7" t="s">
        <v>8345</v>
      </c>
      <c r="R1501" s="7" t="s">
        <v>10804</v>
      </c>
      <c r="S1501" s="7"/>
      <c r="T1501" s="8"/>
      <c r="U1501" s="19" t="str">
        <f>HYPERLINK("https://pbs.twimg.com/profile_images/1053037707696451584/5VsXzyvu.jpg","View")</f>
        <v>View</v>
      </c>
      <c r="V1501" s="8"/>
      <c r="W1501" s="8"/>
      <c r="X1501" s="8"/>
      <c r="Y1501" s="8"/>
      <c r="Z1501" s="8"/>
    </row>
    <row r="1502" spans="1:26" ht="12.75">
      <c r="A1502" s="11">
        <v>43747.281006944446</v>
      </c>
      <c r="B1502" s="12" t="str">
        <f>HYPERLINK("https://twitter.com/kayi_boyu_turk","@kayi_boyu_turk")</f>
        <v>@kayi_boyu_turk</v>
      </c>
      <c r="C1502" s="7" t="s">
        <v>10811</v>
      </c>
      <c r="D1502" s="7" t="s">
        <v>10812</v>
      </c>
      <c r="E1502" s="12" t="str">
        <f>HYPERLINK("https://twitter.com/kayi_boyu_turk/status/1181928464724742144","1181928464724742144")</f>
        <v>1181928464724742144</v>
      </c>
      <c r="F1502" s="8"/>
      <c r="G1502" s="15"/>
      <c r="H1502" s="8"/>
      <c r="I1502" s="15">
        <v>0</v>
      </c>
      <c r="J1502" s="15">
        <v>0</v>
      </c>
      <c r="K1502" s="12" t="str">
        <f>HYPERLINK("http://twitter.com/download/iphone","Twitter for iPhone")</f>
        <v>Twitter for iPhone</v>
      </c>
      <c r="L1502" s="16">
        <v>149</v>
      </c>
      <c r="M1502" s="16">
        <v>406</v>
      </c>
      <c r="N1502" s="16">
        <v>0</v>
      </c>
      <c r="O1502" s="17"/>
      <c r="P1502" s="18">
        <v>41817.328402777777</v>
      </c>
      <c r="Q1502" s="7"/>
      <c r="R1502" s="7"/>
      <c r="S1502" s="15"/>
      <c r="T1502" s="8"/>
      <c r="U1502" s="19" t="str">
        <f>HYPERLINK("https://pbs.twimg.com/profile_images/1080407404985094145/EYCc8m3Z.jpg","View")</f>
        <v>View</v>
      </c>
      <c r="V1502" s="8"/>
      <c r="W1502" s="8"/>
      <c r="X1502" s="8"/>
      <c r="Y1502" s="8"/>
      <c r="Z1502" s="8"/>
    </row>
    <row r="1503" spans="1:26" ht="12.75">
      <c r="A1503" s="11">
        <v>43747.2809837963</v>
      </c>
      <c r="B1503" s="12" t="str">
        <f>HYPERLINK("https://twitter.com/kayisimuendisi","@kayisimuendisi")</f>
        <v>@kayisimuendisi</v>
      </c>
      <c r="C1503" s="7" t="s">
        <v>10813</v>
      </c>
      <c r="D1503" s="7" t="s">
        <v>10814</v>
      </c>
      <c r="E1503" s="12" t="str">
        <f>HYPERLINK("https://twitter.com/kayisimuendisi/status/1181928455547564039","1181928455547564039")</f>
        <v>1181928455547564039</v>
      </c>
      <c r="F1503" s="8"/>
      <c r="G1503" s="15"/>
      <c r="H1503" s="8"/>
      <c r="I1503" s="15">
        <v>0</v>
      </c>
      <c r="J1503" s="15">
        <v>1</v>
      </c>
      <c r="K1503" s="12" t="str">
        <f>HYPERLINK("http://twitter.com/download/android","Twitter for Android")</f>
        <v>Twitter for Android</v>
      </c>
      <c r="L1503" s="16">
        <v>167</v>
      </c>
      <c r="M1503" s="16">
        <v>203</v>
      </c>
      <c r="N1503" s="16">
        <v>0</v>
      </c>
      <c r="O1503" s="17"/>
      <c r="P1503" s="18">
        <v>43305.035000000003</v>
      </c>
      <c r="Q1503" s="7"/>
      <c r="R1503" s="7" t="s">
        <v>10818</v>
      </c>
      <c r="S1503" s="15"/>
      <c r="T1503" s="8"/>
      <c r="U1503" s="19" t="str">
        <f>HYPERLINK("https://pbs.twimg.com/profile_images/1158743085335154688/lSi5vRJk.jpg","View")</f>
        <v>View</v>
      </c>
      <c r="V1503" s="8"/>
      <c r="W1503" s="8"/>
      <c r="X1503" s="8"/>
      <c r="Y1503" s="8"/>
      <c r="Z1503" s="8"/>
    </row>
    <row r="1504" spans="1:26" ht="12.75">
      <c r="A1504" s="11">
        <v>43747.280902777777</v>
      </c>
      <c r="B1504" s="12" t="str">
        <f>HYPERLINK("https://twitter.com/serkan6734","@serkan6734")</f>
        <v>@serkan6734</v>
      </c>
      <c r="C1504" s="7" t="s">
        <v>10824</v>
      </c>
      <c r="D1504" s="7" t="s">
        <v>10825</v>
      </c>
      <c r="E1504" s="12" t="str">
        <f>HYPERLINK("https://twitter.com/serkan6734/status/1181928427261173764","1181928427261173764")</f>
        <v>1181928427261173764</v>
      </c>
      <c r="F1504" s="8"/>
      <c r="G1504" s="15"/>
      <c r="H1504" s="8"/>
      <c r="I1504" s="15">
        <v>0</v>
      </c>
      <c r="J1504" s="15">
        <v>0</v>
      </c>
      <c r="K1504" s="12" t="str">
        <f>HYPERLINK("http://twitter.com/download/iphone","Twitter for iPhone")</f>
        <v>Twitter for iPhone</v>
      </c>
      <c r="L1504" s="16">
        <v>57</v>
      </c>
      <c r="M1504" s="16">
        <v>109</v>
      </c>
      <c r="N1504" s="16">
        <v>0</v>
      </c>
      <c r="O1504" s="17"/>
      <c r="P1504" s="18">
        <v>40224.605023148149</v>
      </c>
      <c r="Q1504" s="7" t="s">
        <v>10826</v>
      </c>
      <c r="R1504" s="7"/>
      <c r="S1504" s="7"/>
      <c r="T1504" s="8"/>
      <c r="U1504" s="19" t="str">
        <f>HYPERLINK("https://pbs.twimg.com/profile_images/912979405181513728/iNbJ99XY.jpg","View")</f>
        <v>View</v>
      </c>
      <c r="V1504" s="8"/>
      <c r="W1504" s="8"/>
      <c r="X1504" s="8"/>
      <c r="Y1504" s="8"/>
      <c r="Z1504" s="8"/>
    </row>
    <row r="1505" spans="1:26" ht="12.75">
      <c r="A1505" s="11">
        <v>43747.28087962963</v>
      </c>
      <c r="B1505" s="12" t="str">
        <f>HYPERLINK("https://twitter.com/tygrylmz","@tygrylmz")</f>
        <v>@tygrylmz</v>
      </c>
      <c r="C1505" s="7" t="s">
        <v>10830</v>
      </c>
      <c r="D1505" s="7" t="s">
        <v>10831</v>
      </c>
      <c r="E1505" s="12" t="str">
        <f>HYPERLINK("https://twitter.com/tygrylmz/status/1181928418696400902","1181928418696400902")</f>
        <v>1181928418696400902</v>
      </c>
      <c r="F1505" s="8"/>
      <c r="G1505" s="15"/>
      <c r="H1505" s="8"/>
      <c r="I1505" s="15">
        <v>1</v>
      </c>
      <c r="J1505" s="15">
        <v>2</v>
      </c>
      <c r="K1505" s="12" t="str">
        <f>HYPERLINK("http://twitter.com/download/iphone","Twitter for iPhone")</f>
        <v>Twitter for iPhone</v>
      </c>
      <c r="L1505" s="16">
        <v>61</v>
      </c>
      <c r="M1505" s="16">
        <v>175</v>
      </c>
      <c r="N1505" s="16">
        <v>0</v>
      </c>
      <c r="O1505" s="17"/>
      <c r="P1505" s="18">
        <v>41464.222638888888</v>
      </c>
      <c r="Q1505" s="7" t="s">
        <v>576</v>
      </c>
      <c r="R1505" s="7" t="s">
        <v>10832</v>
      </c>
      <c r="S1505" s="7"/>
      <c r="T1505" s="8"/>
      <c r="U1505" s="19" t="str">
        <f>HYPERLINK("https://pbs.twimg.com/profile_images/1180772898291757056/2mOg_Vth.jpg","View")</f>
        <v>View</v>
      </c>
      <c r="V1505" s="8"/>
      <c r="W1505" s="8"/>
      <c r="X1505" s="8"/>
      <c r="Y1505" s="8"/>
      <c r="Z1505" s="8"/>
    </row>
    <row r="1506" spans="1:26" ht="12.75">
      <c r="A1506" s="11">
        <v>43747.28087962963</v>
      </c>
      <c r="B1506" s="12" t="str">
        <f>HYPERLINK("https://twitter.com/Zazamca12","@Zazamca12")</f>
        <v>@Zazamca12</v>
      </c>
      <c r="C1506" s="7" t="s">
        <v>10834</v>
      </c>
      <c r="D1506" s="7" t="s">
        <v>10835</v>
      </c>
      <c r="E1506" s="12" t="str">
        <f>HYPERLINK("https://twitter.com/Zazamca12/status/1181928417236787202","1181928417236787202")</f>
        <v>1181928417236787202</v>
      </c>
      <c r="F1506" s="8"/>
      <c r="G1506" s="7"/>
      <c r="H1506" s="8"/>
      <c r="I1506" s="15">
        <v>0</v>
      </c>
      <c r="J1506" s="15">
        <v>0</v>
      </c>
      <c r="K1506" s="12" t="str">
        <f>HYPERLINK("http://twitter.com/download/iphone","Twitter for iPhone")</f>
        <v>Twitter for iPhone</v>
      </c>
      <c r="L1506" s="16">
        <v>57</v>
      </c>
      <c r="M1506" s="16">
        <v>131</v>
      </c>
      <c r="N1506" s="16">
        <v>0</v>
      </c>
      <c r="O1506" s="17"/>
      <c r="P1506" s="18">
        <v>43680.244074074071</v>
      </c>
      <c r="Q1506" s="7" t="s">
        <v>10837</v>
      </c>
      <c r="R1506" s="7"/>
      <c r="S1506" s="7"/>
      <c r="T1506" s="8"/>
      <c r="U1506" s="19" t="str">
        <f>HYPERLINK("https://pbs.twimg.com/profile_images/1181448724658167809/6w-rOACg.jpg","View")</f>
        <v>View</v>
      </c>
      <c r="V1506" s="8"/>
      <c r="W1506" s="8"/>
      <c r="X1506" s="8"/>
      <c r="Y1506" s="8"/>
      <c r="Z1506" s="8"/>
    </row>
    <row r="1507" spans="1:26" ht="12.75">
      <c r="A1507" s="11">
        <v>43747.280868055561</v>
      </c>
      <c r="B1507" s="12" t="str">
        <f>HYPERLINK("https://twitter.com/Hun1070_","@Hun1070_")</f>
        <v>@Hun1070_</v>
      </c>
      <c r="C1507" s="7" t="s">
        <v>10838</v>
      </c>
      <c r="D1507" s="7" t="s">
        <v>10839</v>
      </c>
      <c r="E1507" s="12" t="str">
        <f>HYPERLINK("https://twitter.com/Hun1070_/status/1181928414506188800","1181928414506188800")</f>
        <v>1181928414506188800</v>
      </c>
      <c r="F1507" s="8"/>
      <c r="G1507" s="15"/>
      <c r="H1507" s="8"/>
      <c r="I1507" s="15">
        <v>0</v>
      </c>
      <c r="J1507" s="15">
        <v>2</v>
      </c>
      <c r="K1507" s="12" t="str">
        <f>HYPERLINK("http://twitter.com/download/android","Twitter for Android")</f>
        <v>Twitter for Android</v>
      </c>
      <c r="L1507" s="16">
        <v>26</v>
      </c>
      <c r="M1507" s="16">
        <v>253</v>
      </c>
      <c r="N1507" s="16">
        <v>0</v>
      </c>
      <c r="O1507" s="17"/>
      <c r="P1507" s="18">
        <v>43611.365578703699</v>
      </c>
      <c r="Q1507" s="7"/>
      <c r="R1507" s="7" t="s">
        <v>10840</v>
      </c>
      <c r="S1507" s="7"/>
      <c r="T1507" s="8"/>
      <c r="U1507" s="19" t="str">
        <f>HYPERLINK("https://pbs.twimg.com/profile_images/1181267481777917953/65iNdZn9.jpg","View")</f>
        <v>View</v>
      </c>
      <c r="V1507" s="8"/>
      <c r="W1507" s="8"/>
      <c r="X1507" s="8"/>
      <c r="Y1507" s="8"/>
      <c r="Z1507" s="8"/>
    </row>
    <row r="1508" spans="1:26" ht="12.75">
      <c r="A1508" s="11">
        <v>43747.280868055561</v>
      </c>
      <c r="B1508" s="12" t="str">
        <f>HYPERLINK("https://twitter.com/obnaxious1","@obnaxious1")</f>
        <v>@obnaxious1</v>
      </c>
      <c r="C1508" s="7" t="s">
        <v>10841</v>
      </c>
      <c r="D1508" s="7" t="s">
        <v>10842</v>
      </c>
      <c r="E1508" s="12" t="str">
        <f>HYPERLINK("https://twitter.com/obnaxious1/status/1181928413289951232","1181928413289951232")</f>
        <v>1181928413289951232</v>
      </c>
      <c r="F1508" s="8"/>
      <c r="G1508" s="7"/>
      <c r="H1508" s="8"/>
      <c r="I1508" s="15">
        <v>0</v>
      </c>
      <c r="J1508" s="15">
        <v>0</v>
      </c>
      <c r="K1508" s="12" t="str">
        <f>HYPERLINK("https://mobile.twitter.com","Twitter Web App")</f>
        <v>Twitter Web App</v>
      </c>
      <c r="L1508" s="16">
        <v>51</v>
      </c>
      <c r="M1508" s="16">
        <v>335</v>
      </c>
      <c r="N1508" s="16">
        <v>0</v>
      </c>
      <c r="O1508" s="17"/>
      <c r="P1508" s="18">
        <v>42280.667037037041</v>
      </c>
      <c r="Q1508" s="7"/>
      <c r="R1508" s="7"/>
      <c r="S1508" s="7"/>
      <c r="T1508" s="8"/>
      <c r="U1508" s="19" t="str">
        <f>HYPERLINK("https://pbs.twimg.com/profile_images/869710932078993408/G6ThM41u.jpg","View")</f>
        <v>View</v>
      </c>
      <c r="V1508" s="8"/>
      <c r="W1508" s="8"/>
      <c r="X1508" s="8"/>
      <c r="Y1508" s="8"/>
      <c r="Z1508" s="8"/>
    </row>
    <row r="1509" spans="1:26" ht="12.75">
      <c r="A1509" s="11">
        <v>43747.280821759261</v>
      </c>
      <c r="B1509" s="12" t="str">
        <f>HYPERLINK("https://twitter.com/lilahatun","@lilahatun")</f>
        <v>@lilahatun</v>
      </c>
      <c r="C1509" s="7" t="s">
        <v>10845</v>
      </c>
      <c r="D1509" s="7" t="s">
        <v>10846</v>
      </c>
      <c r="E1509" s="12" t="str">
        <f>HYPERLINK("https://twitter.com/lilahatun/status/1181928397569712130","1181928397569712130")</f>
        <v>1181928397569712130</v>
      </c>
      <c r="F1509" s="8"/>
      <c r="G1509" s="15"/>
      <c r="H1509" s="8"/>
      <c r="I1509" s="15">
        <v>3</v>
      </c>
      <c r="J1509" s="15">
        <v>65</v>
      </c>
      <c r="K1509" s="12" t="str">
        <f>HYPERLINK("http://twitter.com/download/android","Twitter for Android")</f>
        <v>Twitter for Android</v>
      </c>
      <c r="L1509" s="16">
        <v>7351</v>
      </c>
      <c r="M1509" s="16">
        <v>5582</v>
      </c>
      <c r="N1509" s="16">
        <v>16</v>
      </c>
      <c r="O1509" s="17"/>
      <c r="P1509" s="18">
        <v>40528.630324074074</v>
      </c>
      <c r="Q1509" s="7"/>
      <c r="R1509" s="7" t="s">
        <v>10847</v>
      </c>
      <c r="S1509" s="7"/>
      <c r="T1509" s="8"/>
      <c r="U1509" s="19" t="str">
        <f>HYPERLINK("https://pbs.twimg.com/profile_images/1181164162753413121/sOpeuG6N.jpg","View")</f>
        <v>View</v>
      </c>
      <c r="V1509" s="8"/>
      <c r="W1509" s="8"/>
      <c r="X1509" s="8"/>
      <c r="Y1509" s="8"/>
      <c r="Z1509" s="8"/>
    </row>
    <row r="1510" spans="1:26" ht="12.75">
      <c r="A1510" s="11">
        <v>43747.280821759261</v>
      </c>
      <c r="B1510" s="12" t="str">
        <f>HYPERLINK("https://twitter.com/kralsinugur","@kralsinugur")</f>
        <v>@kralsinugur</v>
      </c>
      <c r="C1510" s="7" t="s">
        <v>10851</v>
      </c>
      <c r="D1510" s="7" t="s">
        <v>10852</v>
      </c>
      <c r="E1510" s="12" t="str">
        <f>HYPERLINK("https://twitter.com/kralsinugur/status/1181928394864386048","1181928394864386048")</f>
        <v>1181928394864386048</v>
      </c>
      <c r="F1510" s="8"/>
      <c r="G1510" s="7"/>
      <c r="H1510" s="8"/>
      <c r="I1510" s="15">
        <v>0</v>
      </c>
      <c r="J1510" s="15">
        <v>4</v>
      </c>
      <c r="K1510" s="12" t="str">
        <f>HYPERLINK("https://mobile.twitter.com","Twitter Web App")</f>
        <v>Twitter Web App</v>
      </c>
      <c r="L1510" s="16">
        <v>1596</v>
      </c>
      <c r="M1510" s="16">
        <v>1506</v>
      </c>
      <c r="N1510" s="16">
        <v>4</v>
      </c>
      <c r="O1510" s="17"/>
      <c r="P1510" s="18">
        <v>42719.152349537035</v>
      </c>
      <c r="Q1510" s="7" t="s">
        <v>10853</v>
      </c>
      <c r="R1510" s="7" t="s">
        <v>10854</v>
      </c>
      <c r="S1510" s="14" t="s">
        <v>10855</v>
      </c>
      <c r="T1510" s="8"/>
      <c r="U1510" s="19" t="str">
        <f>HYPERLINK("https://pbs.twimg.com/profile_images/1180151462451716096/BLL9v3cH.jpg","View")</f>
        <v>View</v>
      </c>
      <c r="V1510" s="8"/>
      <c r="W1510" s="8"/>
      <c r="X1510" s="8"/>
      <c r="Y1510" s="8"/>
      <c r="Z1510" s="8"/>
    </row>
    <row r="1511" spans="1:26" ht="12.75">
      <c r="A1511" s="11">
        <v>43747.280810185184</v>
      </c>
      <c r="B1511" s="12" t="str">
        <f>HYPERLINK("https://twitter.com/sebiha_usta","@sebiha_usta")</f>
        <v>@sebiha_usta</v>
      </c>
      <c r="C1511" s="7" t="s">
        <v>10859</v>
      </c>
      <c r="D1511" s="7" t="s">
        <v>1744</v>
      </c>
      <c r="E1511" s="12" t="str">
        <f>HYPERLINK("https://twitter.com/sebiha_usta/status/1181928393534779393","1181928393534779393")</f>
        <v>1181928393534779393</v>
      </c>
      <c r="F1511" s="8"/>
      <c r="G1511" s="15"/>
      <c r="H1511" s="8"/>
      <c r="I1511" s="15">
        <v>0</v>
      </c>
      <c r="J1511" s="15">
        <v>2</v>
      </c>
      <c r="K1511" s="12" t="str">
        <f>HYPERLINK("http://twitter.com/download/iphone","Twitter for iPhone")</f>
        <v>Twitter for iPhone</v>
      </c>
      <c r="L1511" s="16">
        <v>61</v>
      </c>
      <c r="M1511" s="16">
        <v>56</v>
      </c>
      <c r="N1511" s="16">
        <v>0</v>
      </c>
      <c r="O1511" s="17"/>
      <c r="P1511" s="18">
        <v>43437.066168981481</v>
      </c>
      <c r="Q1511" s="7" t="s">
        <v>287</v>
      </c>
      <c r="R1511" s="7" t="s">
        <v>10863</v>
      </c>
      <c r="S1511" s="15"/>
      <c r="T1511" s="8"/>
      <c r="U1511" s="19" t="str">
        <f>HYPERLINK("https://pbs.twimg.com/profile_images/1177159844664619008/ompmBY8N.jpg","View")</f>
        <v>View</v>
      </c>
      <c r="V1511" s="8"/>
      <c r="W1511" s="8"/>
      <c r="X1511" s="8"/>
      <c r="Y1511" s="8"/>
      <c r="Z1511" s="8"/>
    </row>
    <row r="1512" spans="1:26" ht="12.75">
      <c r="A1512" s="11">
        <v>43747.280775462961</v>
      </c>
      <c r="B1512" s="12" t="str">
        <f>HYPERLINK("https://twitter.com/38genco38","@38genco38")</f>
        <v>@38genco38</v>
      </c>
      <c r="C1512" s="7" t="s">
        <v>10864</v>
      </c>
      <c r="D1512" s="7" t="s">
        <v>10865</v>
      </c>
      <c r="E1512" s="12" t="str">
        <f>HYPERLINK("https://twitter.com/38genco38/status/1181928378271780869","1181928378271780869")</f>
        <v>1181928378271780869</v>
      </c>
      <c r="F1512" s="15" t="s">
        <v>10866</v>
      </c>
      <c r="G1512" s="14" t="s">
        <v>10867</v>
      </c>
      <c r="H1512" s="8"/>
      <c r="I1512" s="15">
        <v>0</v>
      </c>
      <c r="J1512" s="15">
        <v>0</v>
      </c>
      <c r="K1512" s="12" t="str">
        <f>HYPERLINK("http://twitter.com/download/android","Twitter for Android")</f>
        <v>Twitter for Android</v>
      </c>
      <c r="L1512" s="16">
        <v>416</v>
      </c>
      <c r="M1512" s="16">
        <v>440</v>
      </c>
      <c r="N1512" s="16">
        <v>0</v>
      </c>
      <c r="O1512" s="17"/>
      <c r="P1512" s="18">
        <v>40997.554641203707</v>
      </c>
      <c r="Q1512" s="7" t="s">
        <v>1639</v>
      </c>
      <c r="R1512" s="7" t="s">
        <v>10871</v>
      </c>
      <c r="S1512" s="7"/>
      <c r="T1512" s="8"/>
      <c r="U1512" s="19" t="str">
        <f>HYPERLINK("https://pbs.twimg.com/profile_images/1180200507098488832/e0NR1-8f.jpg","View")</f>
        <v>View</v>
      </c>
      <c r="V1512" s="8"/>
      <c r="W1512" s="8"/>
      <c r="X1512" s="8"/>
      <c r="Y1512" s="8"/>
      <c r="Z1512" s="8"/>
    </row>
    <row r="1513" spans="1:26" ht="12.75">
      <c r="A1513" s="11">
        <v>43747.280729166669</v>
      </c>
      <c r="B1513" s="12" t="str">
        <f>HYPERLINK("https://twitter.com/Teskilat_Komsyn","@Teskilat_Komsyn")</f>
        <v>@Teskilat_Komsyn</v>
      </c>
      <c r="C1513" s="7" t="s">
        <v>10887</v>
      </c>
      <c r="D1513" s="7" t="s">
        <v>10888</v>
      </c>
      <c r="E1513" s="12" t="str">
        <f>HYPERLINK("https://twitter.com/Teskilat_Komsyn/status/1181928362421342209","1181928362421342209")</f>
        <v>1181928362421342209</v>
      </c>
      <c r="F1513" s="14" t="s">
        <v>10890</v>
      </c>
      <c r="G1513" s="15"/>
      <c r="H1513" s="12" t="str">
        <f>HYPERLINK("https://ctrlq.org/maps/address/#41.04092478,28.91208887","Map")</f>
        <v>Map</v>
      </c>
      <c r="I1513" s="15">
        <v>1</v>
      </c>
      <c r="J1513" s="15">
        <v>0</v>
      </c>
      <c r="K1513" s="12" t="str">
        <f>HYPERLINK("http://instagram.com","Instagram")</f>
        <v>Instagram</v>
      </c>
      <c r="L1513" s="16">
        <v>11</v>
      </c>
      <c r="M1513" s="16">
        <v>17</v>
      </c>
      <c r="N1513" s="16">
        <v>0</v>
      </c>
      <c r="O1513" s="17"/>
      <c r="P1513" s="18">
        <v>43224.486620370371</v>
      </c>
      <c r="Q1513" s="7" t="s">
        <v>313</v>
      </c>
      <c r="R1513" s="7"/>
      <c r="S1513" s="7"/>
      <c r="T1513" s="8"/>
      <c r="U1513" s="19" t="str">
        <f>HYPERLINK("https://pbs.twimg.com/profile_images/1103940236248117250/69Qb2qC1.jpg","View")</f>
        <v>View</v>
      </c>
      <c r="V1513" s="8"/>
      <c r="W1513" s="8"/>
      <c r="X1513" s="8"/>
      <c r="Y1513" s="8"/>
      <c r="Z1513" s="8"/>
    </row>
    <row r="1514" spans="1:26" ht="12.75">
      <c r="A1514" s="11">
        <v>43747.280694444446</v>
      </c>
      <c r="B1514" s="12" t="str">
        <f>HYPERLINK("https://twitter.com/H_avni_","@H_avni_")</f>
        <v>@H_avni_</v>
      </c>
      <c r="C1514" s="7" t="s">
        <v>10895</v>
      </c>
      <c r="D1514" s="7" t="s">
        <v>10896</v>
      </c>
      <c r="E1514" s="12" t="str">
        <f>HYPERLINK("https://twitter.com/H_avni_/status/1181928348798337024","1181928348798337024")</f>
        <v>1181928348798337024</v>
      </c>
      <c r="F1514" s="8"/>
      <c r="G1514" s="14" t="s">
        <v>10897</v>
      </c>
      <c r="H1514" s="8"/>
      <c r="I1514" s="15">
        <v>0</v>
      </c>
      <c r="J1514" s="15">
        <v>0</v>
      </c>
      <c r="K1514" s="12" t="str">
        <f>HYPERLINK("http://twitter.com/download/android","Twitter for Android")</f>
        <v>Twitter for Android</v>
      </c>
      <c r="L1514" s="16">
        <v>556</v>
      </c>
      <c r="M1514" s="16">
        <v>979</v>
      </c>
      <c r="N1514" s="16">
        <v>0</v>
      </c>
      <c r="O1514" s="17"/>
      <c r="P1514" s="18">
        <v>40694.226087962961</v>
      </c>
      <c r="Q1514" s="7" t="s">
        <v>10903</v>
      </c>
      <c r="R1514" s="7" t="s">
        <v>10904</v>
      </c>
      <c r="S1514" s="7"/>
      <c r="T1514" s="8"/>
      <c r="U1514" s="19" t="str">
        <f>HYPERLINK("https://pbs.twimg.com/profile_images/930354992090927104/ptuHUuX7.jpg","View")</f>
        <v>View</v>
      </c>
      <c r="V1514" s="8"/>
      <c r="W1514" s="8"/>
      <c r="X1514" s="8"/>
      <c r="Y1514" s="8"/>
      <c r="Z1514" s="8"/>
    </row>
    <row r="1515" spans="1:26" ht="12.75">
      <c r="A1515" s="11">
        <v>43747.280682870369</v>
      </c>
      <c r="B1515" s="12" t="str">
        <f>HYPERLINK("https://twitter.com/arsslankaan","@arsslankaan")</f>
        <v>@arsslankaan</v>
      </c>
      <c r="C1515" s="7" t="s">
        <v>10905</v>
      </c>
      <c r="D1515" s="7" t="s">
        <v>10906</v>
      </c>
      <c r="E1515" s="12" t="str">
        <f>HYPERLINK("https://twitter.com/arsslankaan/status/1181928347024154624","1181928347024154624")</f>
        <v>1181928347024154624</v>
      </c>
      <c r="F1515" s="14" t="s">
        <v>10907</v>
      </c>
      <c r="G1515" s="14" t="s">
        <v>10908</v>
      </c>
      <c r="H1515" s="8"/>
      <c r="I1515" s="15">
        <v>2</v>
      </c>
      <c r="J1515" s="15">
        <v>3</v>
      </c>
      <c r="K1515" s="12" t="str">
        <f>HYPERLINK("https://mobile.twitter.com","Twitter Web App")</f>
        <v>Twitter Web App</v>
      </c>
      <c r="L1515" s="16">
        <v>1131</v>
      </c>
      <c r="M1515" s="16">
        <v>928</v>
      </c>
      <c r="N1515" s="16">
        <v>1</v>
      </c>
      <c r="O1515" s="17"/>
      <c r="P1515" s="18">
        <v>40375.614745370374</v>
      </c>
      <c r="Q1515" s="7"/>
      <c r="R1515" s="7" t="s">
        <v>10911</v>
      </c>
      <c r="S1515" s="14" t="s">
        <v>10912</v>
      </c>
      <c r="T1515" s="8"/>
      <c r="U1515" s="19" t="str">
        <f>HYPERLINK("https://pbs.twimg.com/profile_images/1069594619137134593/HDHfZZG8.jpg","View")</f>
        <v>View</v>
      </c>
      <c r="V1515" s="8"/>
      <c r="W1515" s="8"/>
      <c r="X1515" s="8"/>
      <c r="Y1515" s="8"/>
      <c r="Z1515" s="8"/>
    </row>
    <row r="1516" spans="1:26" ht="12.75">
      <c r="A1516" s="11">
        <v>43747.280682870369</v>
      </c>
      <c r="B1516" s="12" t="str">
        <f>HYPERLINK("https://twitter.com/blackwolfnoyan","@blackwolfnoyan")</f>
        <v>@blackwolfnoyan</v>
      </c>
      <c r="C1516" s="7" t="s">
        <v>10916</v>
      </c>
      <c r="D1516" s="7" t="s">
        <v>10917</v>
      </c>
      <c r="E1516" s="12" t="str">
        <f>HYPERLINK("https://twitter.com/blackwolfnoyan/status/1181928346902519809","1181928346902519809")</f>
        <v>1181928346902519809</v>
      </c>
      <c r="F1516" s="8"/>
      <c r="G1516" s="14" t="s">
        <v>10919</v>
      </c>
      <c r="H1516" s="8"/>
      <c r="I1516" s="15">
        <v>0</v>
      </c>
      <c r="J1516" s="15">
        <v>14</v>
      </c>
      <c r="K1516" s="12" t="str">
        <f>HYPERLINK("http://twitter.com/download/android","Twitter for Android")</f>
        <v>Twitter for Android</v>
      </c>
      <c r="L1516" s="16">
        <v>1144</v>
      </c>
      <c r="M1516" s="16">
        <v>439</v>
      </c>
      <c r="N1516" s="16">
        <v>2</v>
      </c>
      <c r="O1516" s="17"/>
      <c r="P1516" s="18">
        <v>42856.57677083333</v>
      </c>
      <c r="Q1516" s="7" t="s">
        <v>1622</v>
      </c>
      <c r="R1516" s="7" t="s">
        <v>10922</v>
      </c>
      <c r="S1516" s="7"/>
      <c r="T1516" s="8"/>
      <c r="U1516" s="19" t="str">
        <f>HYPERLINK("https://pbs.twimg.com/profile_images/1178752532354654208/GkJelPt5.jpg","View")</f>
        <v>View</v>
      </c>
      <c r="V1516" s="8"/>
      <c r="W1516" s="8"/>
      <c r="X1516" s="8"/>
      <c r="Y1516" s="8"/>
      <c r="Z1516" s="8"/>
    </row>
    <row r="1517" spans="1:26" ht="12.75">
      <c r="A1517" s="11">
        <v>43747.28061342593</v>
      </c>
      <c r="B1517" s="12" t="str">
        <f>HYPERLINK("https://twitter.com/metallurgische7","@metallurgische7")</f>
        <v>@metallurgische7</v>
      </c>
      <c r="C1517" s="7" t="s">
        <v>10926</v>
      </c>
      <c r="D1517" s="7" t="s">
        <v>1077</v>
      </c>
      <c r="E1517" s="12" t="str">
        <f>HYPERLINK("https://twitter.com/metallurgische7/status/1181928321862553600","1181928321862553600")</f>
        <v>1181928321862553600</v>
      </c>
      <c r="F1517" s="8"/>
      <c r="G1517" s="14" t="s">
        <v>10929</v>
      </c>
      <c r="H1517" s="8"/>
      <c r="I1517" s="15">
        <v>0</v>
      </c>
      <c r="J1517" s="15">
        <v>4</v>
      </c>
      <c r="K1517" s="12" t="str">
        <f>HYPERLINK("https://mobile.twitter.com","Twitter Web App")</f>
        <v>Twitter Web App</v>
      </c>
      <c r="L1517" s="16">
        <v>1089</v>
      </c>
      <c r="M1517" s="16">
        <v>375</v>
      </c>
      <c r="N1517" s="16">
        <v>2</v>
      </c>
      <c r="O1517" s="17"/>
      <c r="P1517" s="18">
        <v>41651.19939814815</v>
      </c>
      <c r="Q1517" s="7"/>
      <c r="R1517" s="7" t="s">
        <v>10933</v>
      </c>
      <c r="S1517" s="14" t="s">
        <v>10934</v>
      </c>
      <c r="T1517" s="8"/>
      <c r="U1517" s="19" t="str">
        <f>HYPERLINK("https://pbs.twimg.com/profile_images/1181231827094249473/7XpFq4gt.jpg","View")</f>
        <v>View</v>
      </c>
      <c r="V1517" s="8"/>
      <c r="W1517" s="8"/>
      <c r="X1517" s="8"/>
      <c r="Y1517" s="8"/>
      <c r="Z1517" s="8"/>
    </row>
    <row r="1518" spans="1:26" ht="12.75">
      <c r="A1518" s="11">
        <v>43747.280601851853</v>
      </c>
      <c r="B1518" s="12" t="str">
        <f>HYPERLINK("https://twitter.com/berkayesit","@berkayesit")</f>
        <v>@berkayesit</v>
      </c>
      <c r="C1518" s="7" t="s">
        <v>10937</v>
      </c>
      <c r="D1518" s="7" t="s">
        <v>10938</v>
      </c>
      <c r="E1518" s="12" t="str">
        <f>HYPERLINK("https://twitter.com/berkayesit/status/1181928317827604481","1181928317827604481")</f>
        <v>1181928317827604481</v>
      </c>
      <c r="F1518" s="15"/>
      <c r="G1518" s="14" t="s">
        <v>10939</v>
      </c>
      <c r="H1518" s="8"/>
      <c r="I1518" s="15">
        <v>0</v>
      </c>
      <c r="J1518" s="15">
        <v>6</v>
      </c>
      <c r="K1518" s="12" t="str">
        <f>HYPERLINK("http://twitter.com/download/android","Twitter for Android")</f>
        <v>Twitter for Android</v>
      </c>
      <c r="L1518" s="16">
        <v>510</v>
      </c>
      <c r="M1518" s="16">
        <v>158</v>
      </c>
      <c r="N1518" s="16">
        <v>1</v>
      </c>
      <c r="O1518" s="17"/>
      <c r="P1518" s="18">
        <v>41649.374247685184</v>
      </c>
      <c r="Q1518" s="7" t="s">
        <v>80</v>
      </c>
      <c r="R1518" s="7"/>
      <c r="S1518" s="7"/>
      <c r="T1518" s="8"/>
      <c r="U1518" s="19" t="str">
        <f>HYPERLINK("https://pbs.twimg.com/profile_images/1181919773812314114/yiYz2DP_.jpg","View")</f>
        <v>View</v>
      </c>
      <c r="V1518" s="8"/>
      <c r="W1518" s="8"/>
      <c r="X1518" s="8"/>
      <c r="Y1518" s="8"/>
      <c r="Z1518" s="8"/>
    </row>
    <row r="1519" spans="1:26" ht="12.75">
      <c r="A1519" s="11">
        <v>43747.280578703707</v>
      </c>
      <c r="B1519" s="12" t="str">
        <f>HYPERLINK("https://twitter.com/aKadirBAS","@aKadirBAS")</f>
        <v>@aKadirBAS</v>
      </c>
      <c r="C1519" s="7" t="s">
        <v>10944</v>
      </c>
      <c r="D1519" s="7" t="s">
        <v>10945</v>
      </c>
      <c r="E1519" s="12" t="str">
        <f>HYPERLINK("https://twitter.com/aKadirBAS/status/1181928308486877184","1181928308486877184")</f>
        <v>1181928308486877184</v>
      </c>
      <c r="F1519" s="15"/>
      <c r="G1519" s="14" t="s">
        <v>10947</v>
      </c>
      <c r="H1519" s="8"/>
      <c r="I1519" s="15">
        <v>0</v>
      </c>
      <c r="J1519" s="15">
        <v>11</v>
      </c>
      <c r="K1519" s="12" t="str">
        <f>HYPERLINK("https://mobile.twitter.com","Twitter Web App")</f>
        <v>Twitter Web App</v>
      </c>
      <c r="L1519" s="16">
        <v>9107</v>
      </c>
      <c r="M1519" s="16">
        <v>5269</v>
      </c>
      <c r="N1519" s="16">
        <v>4</v>
      </c>
      <c r="O1519" s="17"/>
      <c r="P1519" s="18">
        <v>40348.119710648149</v>
      </c>
      <c r="Q1519" s="7" t="s">
        <v>313</v>
      </c>
      <c r="R1519" s="7" t="s">
        <v>10950</v>
      </c>
      <c r="S1519" s="7"/>
      <c r="T1519" s="8"/>
      <c r="U1519" s="19" t="str">
        <f>HYPERLINK("https://pbs.twimg.com/profile_images/1181448489370345473/5qgtqdXe.jpg","View")</f>
        <v>View</v>
      </c>
      <c r="V1519" s="8"/>
      <c r="W1519" s="8"/>
      <c r="X1519" s="8"/>
      <c r="Y1519" s="8"/>
      <c r="Z1519" s="8"/>
    </row>
    <row r="1520" spans="1:26" ht="12.75">
      <c r="A1520" s="11">
        <v>43747.28056712963</v>
      </c>
      <c r="B1520" s="12" t="str">
        <f>HYPERLINK("https://twitter.com/DzGn67","@DzGn67")</f>
        <v>@DzGn67</v>
      </c>
      <c r="C1520" s="7" t="s">
        <v>10957</v>
      </c>
      <c r="D1520" s="7" t="s">
        <v>10958</v>
      </c>
      <c r="E1520" s="12" t="str">
        <f>HYPERLINK("https://twitter.com/DzGn67/status/1181928306083540992","1181928306083540992")</f>
        <v>1181928306083540992</v>
      </c>
      <c r="F1520" s="15"/>
      <c r="G1520" s="14" t="s">
        <v>10960</v>
      </c>
      <c r="H1520" s="8"/>
      <c r="I1520" s="15">
        <v>0</v>
      </c>
      <c r="J1520" s="15">
        <v>0</v>
      </c>
      <c r="K1520" s="12" t="str">
        <f>HYPERLINK("http://twitter.com/download/android","Twitter for Android")</f>
        <v>Twitter for Android</v>
      </c>
      <c r="L1520" s="16">
        <v>141</v>
      </c>
      <c r="M1520" s="16">
        <v>177</v>
      </c>
      <c r="N1520" s="16">
        <v>0</v>
      </c>
      <c r="O1520" s="17"/>
      <c r="P1520" s="18">
        <v>42523.444618055553</v>
      </c>
      <c r="Q1520" s="7"/>
      <c r="R1520" s="7" t="s">
        <v>10963</v>
      </c>
      <c r="S1520" s="7"/>
      <c r="T1520" s="8"/>
      <c r="U1520" s="19" t="str">
        <f>HYPERLINK("https://pbs.twimg.com/profile_images/1110268024102285312/b17-jhMF.jpg","View")</f>
        <v>View</v>
      </c>
      <c r="V1520" s="8"/>
      <c r="W1520" s="8"/>
      <c r="X1520" s="8"/>
      <c r="Y1520" s="8"/>
      <c r="Z1520" s="8"/>
    </row>
    <row r="1521" spans="1:26" ht="12.75">
      <c r="A1521" s="11">
        <v>43747.280543981484</v>
      </c>
      <c r="B1521" s="12" t="str">
        <f>HYPERLINK("https://twitter.com/kommunia","@kommunia")</f>
        <v>@kommunia</v>
      </c>
      <c r="C1521" s="7" t="s">
        <v>10967</v>
      </c>
      <c r="D1521" s="7" t="s">
        <v>10968</v>
      </c>
      <c r="E1521" s="12" t="str">
        <f>HYPERLINK("https://twitter.com/kommunia/status/1181928295044136966","1181928295044136966")</f>
        <v>1181928295044136966</v>
      </c>
      <c r="F1521" s="8"/>
      <c r="G1521" s="14" t="s">
        <v>10970</v>
      </c>
      <c r="H1521" s="8"/>
      <c r="I1521" s="15">
        <v>0</v>
      </c>
      <c r="J1521" s="15">
        <v>1</v>
      </c>
      <c r="K1521" s="12" t="str">
        <f>HYPERLINK("http://twitter.com/download/iphone","Twitter for iPhone")</f>
        <v>Twitter for iPhone</v>
      </c>
      <c r="L1521" s="16">
        <v>86</v>
      </c>
      <c r="M1521" s="16">
        <v>60</v>
      </c>
      <c r="N1521" s="16">
        <v>1</v>
      </c>
      <c r="O1521" s="17"/>
      <c r="P1521" s="18">
        <v>43517.03638888889</v>
      </c>
      <c r="Q1521" s="7" t="s">
        <v>10972</v>
      </c>
      <c r="R1521" s="7" t="s">
        <v>10973</v>
      </c>
      <c r="S1521" s="14" t="s">
        <v>10974</v>
      </c>
      <c r="T1521" s="8"/>
      <c r="U1521" s="19" t="str">
        <f>HYPERLINK("https://pbs.twimg.com/profile_images/1176455880163954689/SqeLtaTN.jpg","View")</f>
        <v>View</v>
      </c>
      <c r="V1521" s="8"/>
      <c r="W1521" s="8"/>
      <c r="X1521" s="8"/>
      <c r="Y1521" s="8"/>
      <c r="Z1521" s="8"/>
    </row>
    <row r="1522" spans="1:26" ht="12.75">
      <c r="A1522" s="11">
        <v>43747.28052083333</v>
      </c>
      <c r="B1522" s="12" t="str">
        <f>HYPERLINK("https://twitter.com/tgramazan","@tgramazan")</f>
        <v>@tgramazan</v>
      </c>
      <c r="C1522" s="7" t="s">
        <v>10977</v>
      </c>
      <c r="D1522" s="7" t="s">
        <v>10978</v>
      </c>
      <c r="E1522" s="12" t="str">
        <f>HYPERLINK("https://twitter.com/tgramazan/status/1181928288152952832","1181928288152952832")</f>
        <v>1181928288152952832</v>
      </c>
      <c r="F1522" s="8"/>
      <c r="G1522" s="7"/>
      <c r="H1522" s="8"/>
      <c r="I1522" s="15">
        <v>0</v>
      </c>
      <c r="J1522" s="15">
        <v>10</v>
      </c>
      <c r="K1522" s="12" t="str">
        <f>HYPERLINK("http://twitter.com/download/android","Twitter for Android")</f>
        <v>Twitter for Android</v>
      </c>
      <c r="L1522" s="16">
        <v>596</v>
      </c>
      <c r="M1522" s="16">
        <v>325</v>
      </c>
      <c r="N1522" s="16">
        <v>10</v>
      </c>
      <c r="O1522" s="17"/>
      <c r="P1522" s="18">
        <v>42904.30532407407</v>
      </c>
      <c r="Q1522" s="7" t="s">
        <v>10981</v>
      </c>
      <c r="R1522" s="7" t="s">
        <v>10982</v>
      </c>
      <c r="S1522" s="14" t="s">
        <v>10983</v>
      </c>
      <c r="T1522" s="8"/>
      <c r="U1522" s="19" t="str">
        <f>HYPERLINK("https://pbs.twimg.com/profile_images/1101938973369344001/Krh9bRij.jpg","View")</f>
        <v>View</v>
      </c>
      <c r="V1522" s="8"/>
      <c r="W1522" s="8"/>
      <c r="X1522" s="8"/>
      <c r="Y1522" s="8"/>
      <c r="Z1522" s="8"/>
    </row>
    <row r="1523" spans="1:26" ht="12.75">
      <c r="A1523" s="11">
        <v>43747.280509259261</v>
      </c>
      <c r="B1523" s="12" t="str">
        <f>HYPERLINK("https://twitter.com/droidyan","@droidyan")</f>
        <v>@droidyan</v>
      </c>
      <c r="C1523" s="7" t="s">
        <v>10985</v>
      </c>
      <c r="D1523" s="7" t="s">
        <v>10986</v>
      </c>
      <c r="E1523" s="12" t="str">
        <f>HYPERLINK("https://twitter.com/droidyan/status/1181928281697861632","1181928281697861632")</f>
        <v>1181928281697861632</v>
      </c>
      <c r="F1523" s="8"/>
      <c r="G1523" s="14" t="s">
        <v>10987</v>
      </c>
      <c r="H1523" s="8"/>
      <c r="I1523" s="15">
        <v>2</v>
      </c>
      <c r="J1523" s="15">
        <v>2</v>
      </c>
      <c r="K1523" s="12" t="str">
        <f>HYPERLINK("https://mobile.twitter.com","Twitter Web App")</f>
        <v>Twitter Web App</v>
      </c>
      <c r="L1523" s="16">
        <v>624</v>
      </c>
      <c r="M1523" s="16">
        <v>89</v>
      </c>
      <c r="N1523" s="16">
        <v>4</v>
      </c>
      <c r="O1523" s="17"/>
      <c r="P1523" s="18">
        <v>40274.247187499997</v>
      </c>
      <c r="Q1523" s="7"/>
      <c r="R1523" s="7" t="s">
        <v>10990</v>
      </c>
      <c r="S1523" s="7"/>
      <c r="T1523" s="8"/>
      <c r="U1523" s="19" t="str">
        <f>HYPERLINK("https://pbs.twimg.com/profile_images/1148888365112147970/LZL66jwL.jpg","View")</f>
        <v>View</v>
      </c>
      <c r="V1523" s="8"/>
      <c r="W1523" s="8"/>
      <c r="X1523" s="8"/>
      <c r="Y1523" s="8"/>
      <c r="Z1523" s="8"/>
    </row>
    <row r="1524" spans="1:26" ht="12.75">
      <c r="A1524" s="11">
        <v>43747.280486111107</v>
      </c>
      <c r="B1524" s="12" t="str">
        <f>HYPERLINK("https://twitter.com/Hasaanca","@Hasaanca")</f>
        <v>@Hasaanca</v>
      </c>
      <c r="C1524" s="7" t="s">
        <v>10992</v>
      </c>
      <c r="D1524" s="7" t="s">
        <v>10993</v>
      </c>
      <c r="E1524" s="12" t="str">
        <f>HYPERLINK("https://twitter.com/Hasaanca/status/1181928274269818881","1181928274269818881")</f>
        <v>1181928274269818881</v>
      </c>
      <c r="F1524" s="14" t="s">
        <v>10994</v>
      </c>
      <c r="G1524" s="14" t="s">
        <v>10997</v>
      </c>
      <c r="H1524" s="8"/>
      <c r="I1524" s="15">
        <v>0</v>
      </c>
      <c r="J1524" s="15">
        <v>0</v>
      </c>
      <c r="K1524" s="12" t="str">
        <f>HYPERLINK("http://twitter.com/download/iphone","Twitter for iPhone")</f>
        <v>Twitter for iPhone</v>
      </c>
      <c r="L1524" s="16">
        <v>138</v>
      </c>
      <c r="M1524" s="16">
        <v>159</v>
      </c>
      <c r="N1524" s="16">
        <v>0</v>
      </c>
      <c r="O1524" s="17"/>
      <c r="P1524" s="18">
        <v>40422.047997685186</v>
      </c>
      <c r="Q1524" s="7" t="s">
        <v>10999</v>
      </c>
      <c r="R1524" s="7" t="s">
        <v>11000</v>
      </c>
      <c r="S1524" s="7"/>
      <c r="T1524" s="8"/>
      <c r="U1524" s="19" t="str">
        <f>HYPERLINK("https://pbs.twimg.com/profile_images/1162593581753872384/x_uUuOdq.jpg","View")</f>
        <v>View</v>
      </c>
      <c r="V1524" s="8"/>
      <c r="W1524" s="8"/>
      <c r="X1524" s="8"/>
      <c r="Y1524" s="8"/>
      <c r="Z1524" s="8"/>
    </row>
    <row r="1525" spans="1:26" ht="12.75">
      <c r="A1525" s="11">
        <v>43747.280486111107</v>
      </c>
      <c r="B1525" s="12" t="str">
        <f>HYPERLINK("https://twitter.com/emircagdaspkctn","@emircagdaspkctn")</f>
        <v>@emircagdaspkctn</v>
      </c>
      <c r="C1525" s="7" t="s">
        <v>11003</v>
      </c>
      <c r="D1525" s="7" t="s">
        <v>11004</v>
      </c>
      <c r="E1525" s="12" t="str">
        <f>HYPERLINK("https://twitter.com/emircagdaspkctn/status/1181928273971941376","1181928273971941376")</f>
        <v>1181928273971941376</v>
      </c>
      <c r="F1525" s="8"/>
      <c r="G1525" s="14" t="s">
        <v>11005</v>
      </c>
      <c r="H1525" s="8"/>
      <c r="I1525" s="15">
        <v>0</v>
      </c>
      <c r="J1525" s="15">
        <v>0</v>
      </c>
      <c r="K1525" s="12" t="str">
        <f>HYPERLINK("http://twitter.com/download/iphone","Twitter for iPhone")</f>
        <v>Twitter for iPhone</v>
      </c>
      <c r="L1525" s="16">
        <v>27645</v>
      </c>
      <c r="M1525" s="16">
        <v>1186</v>
      </c>
      <c r="N1525" s="16">
        <v>28</v>
      </c>
      <c r="O1525" s="17"/>
      <c r="P1525" s="18">
        <v>40168.386053240742</v>
      </c>
      <c r="Q1525" s="7" t="s">
        <v>313</v>
      </c>
      <c r="R1525" s="7" t="s">
        <v>11009</v>
      </c>
      <c r="S1525" s="14" t="s">
        <v>11010</v>
      </c>
      <c r="T1525" s="8"/>
      <c r="U1525" s="19" t="str">
        <f>HYPERLINK("https://pbs.twimg.com/profile_images/1097634437083394049/Z3bC5cCG.jpg","View")</f>
        <v>View</v>
      </c>
      <c r="V1525" s="8"/>
      <c r="W1525" s="8"/>
      <c r="X1525" s="8"/>
      <c r="Y1525" s="8"/>
      <c r="Z1525" s="8"/>
    </row>
    <row r="1526" spans="1:26" ht="12.75">
      <c r="A1526" s="11">
        <v>43747.280474537038</v>
      </c>
      <c r="B1526" s="12" t="str">
        <f>HYPERLINK("https://twitter.com/Udana22","@Udana22")</f>
        <v>@Udana22</v>
      </c>
      <c r="C1526" s="7" t="s">
        <v>11012</v>
      </c>
      <c r="D1526" s="7" t="s">
        <v>11013</v>
      </c>
      <c r="E1526" s="12" t="str">
        <f>HYPERLINK("https://twitter.com/Udana22/status/1181928272415875073","1181928272415875073")</f>
        <v>1181928272415875073</v>
      </c>
      <c r="F1526" s="8"/>
      <c r="G1526" s="14" t="s">
        <v>11014</v>
      </c>
      <c r="H1526" s="8"/>
      <c r="I1526" s="15">
        <v>0</v>
      </c>
      <c r="J1526" s="15">
        <v>2</v>
      </c>
      <c r="K1526" s="12" t="str">
        <f>HYPERLINK("http://twitter.com/download/android","Twitter for Android")</f>
        <v>Twitter for Android</v>
      </c>
      <c r="L1526" s="16">
        <v>67</v>
      </c>
      <c r="M1526" s="16">
        <v>92</v>
      </c>
      <c r="N1526" s="16">
        <v>0</v>
      </c>
      <c r="O1526" s="17"/>
      <c r="P1526" s="18">
        <v>41336.254259259258</v>
      </c>
      <c r="Q1526" s="7" t="s">
        <v>11017</v>
      </c>
      <c r="R1526" s="7" t="s">
        <v>11018</v>
      </c>
      <c r="S1526" s="7"/>
      <c r="T1526" s="8"/>
      <c r="U1526" s="19" t="str">
        <f>HYPERLINK("https://pbs.twimg.com/profile_images/673960956318359552/F06L5s2I.jpg","View")</f>
        <v>View</v>
      </c>
      <c r="V1526" s="8"/>
      <c r="W1526" s="8"/>
      <c r="X1526" s="8"/>
      <c r="Y1526" s="8"/>
      <c r="Z1526" s="8"/>
    </row>
    <row r="1527" spans="1:26" ht="12.75">
      <c r="A1527" s="11">
        <v>43747.280474537038</v>
      </c>
      <c r="B1527" s="12" t="str">
        <f>HYPERLINK("https://twitter.com/korkutayk","@korkutayk")</f>
        <v>@korkutayk</v>
      </c>
      <c r="C1527" s="7" t="s">
        <v>11025</v>
      </c>
      <c r="D1527" s="7" t="s">
        <v>11026</v>
      </c>
      <c r="E1527" s="12" t="str">
        <f>HYPERLINK("https://twitter.com/korkutayk/status/1181928269312090113","1181928269312090113")</f>
        <v>1181928269312090113</v>
      </c>
      <c r="F1527" s="8"/>
      <c r="G1527" s="14" t="s">
        <v>11027</v>
      </c>
      <c r="H1527" s="8"/>
      <c r="I1527" s="15">
        <v>1</v>
      </c>
      <c r="J1527" s="15">
        <v>3</v>
      </c>
      <c r="K1527" s="12" t="str">
        <f>HYPERLINK("http://twitter.com/download/android","Twitter for Android")</f>
        <v>Twitter for Android</v>
      </c>
      <c r="L1527" s="16">
        <v>495</v>
      </c>
      <c r="M1527" s="16">
        <v>1076</v>
      </c>
      <c r="N1527" s="16">
        <v>0</v>
      </c>
      <c r="O1527" s="17"/>
      <c r="P1527" s="18">
        <v>40819.038935185185</v>
      </c>
      <c r="Q1527" s="7"/>
      <c r="R1527" s="7" t="s">
        <v>11031</v>
      </c>
      <c r="S1527" s="7"/>
      <c r="T1527" s="8"/>
      <c r="U1527" s="19" t="str">
        <f>HYPERLINK("https://pbs.twimg.com/profile_images/1124545644067282945/iy20q8Ca.jpg","View")</f>
        <v>View</v>
      </c>
      <c r="V1527" s="8"/>
      <c r="W1527" s="8"/>
      <c r="X1527" s="8"/>
      <c r="Y1527" s="8"/>
      <c r="Z1527" s="8"/>
    </row>
    <row r="1528" spans="1:26" ht="12.75">
      <c r="A1528" s="11">
        <v>43747.280451388884</v>
      </c>
      <c r="B1528" s="12" t="str">
        <f>HYPERLINK("https://twitter.com/jalekurt","@jalekurt")</f>
        <v>@jalekurt</v>
      </c>
      <c r="C1528" s="13" t="s">
        <v>11037</v>
      </c>
      <c r="D1528" s="7" t="s">
        <v>11038</v>
      </c>
      <c r="E1528" s="12" t="str">
        <f>HYPERLINK("https://twitter.com/jalekurt/status/1181928263607824385","1181928263607824385")</f>
        <v>1181928263607824385</v>
      </c>
      <c r="F1528" s="8"/>
      <c r="G1528" s="15"/>
      <c r="H1528" s="8"/>
      <c r="I1528" s="15">
        <v>0</v>
      </c>
      <c r="J1528" s="15">
        <v>2</v>
      </c>
      <c r="K1528" s="12" t="str">
        <f>HYPERLINK("https://mobile.twitter.com","Twitter Web App")</f>
        <v>Twitter Web App</v>
      </c>
      <c r="L1528" s="16">
        <v>1204</v>
      </c>
      <c r="M1528" s="16">
        <v>1436</v>
      </c>
      <c r="N1528" s="16">
        <v>0</v>
      </c>
      <c r="O1528" s="17"/>
      <c r="P1528" s="18">
        <v>40877.237303240741</v>
      </c>
      <c r="Q1528" s="7" t="s">
        <v>918</v>
      </c>
      <c r="R1528" s="7" t="s">
        <v>11042</v>
      </c>
      <c r="S1528" s="15"/>
      <c r="T1528" s="8"/>
      <c r="U1528" s="19" t="str">
        <f>HYPERLINK("https://pbs.twimg.com/profile_images/1167439282887417857/BbWIbi9E.jpg","View")</f>
        <v>View</v>
      </c>
      <c r="V1528" s="8"/>
      <c r="W1528" s="8"/>
      <c r="X1528" s="8"/>
      <c r="Y1528" s="8"/>
      <c r="Z1528" s="8"/>
    </row>
    <row r="1529" spans="1:26" ht="12.75">
      <c r="A1529" s="11">
        <v>43747.280439814815</v>
      </c>
      <c r="B1529" s="12" t="str">
        <f>HYPERLINK("https://twitter.com/aliceki_1","@aliceki_1")</f>
        <v>@aliceki_1</v>
      </c>
      <c r="C1529" s="7" t="s">
        <v>2327</v>
      </c>
      <c r="D1529" s="7" t="s">
        <v>11044</v>
      </c>
      <c r="E1529" s="12" t="str">
        <f>HYPERLINK("https://twitter.com/aliceki_1/status/1181928258755018752","1181928258755018752")</f>
        <v>1181928258755018752</v>
      </c>
      <c r="F1529" s="8"/>
      <c r="G1529" s="7"/>
      <c r="H1529" s="8"/>
      <c r="I1529" s="15">
        <v>0</v>
      </c>
      <c r="J1529" s="15">
        <v>1</v>
      </c>
      <c r="K1529" s="12" t="str">
        <f>HYPERLINK("http://twitter.com/download/android","Twitter for Android")</f>
        <v>Twitter for Android</v>
      </c>
      <c r="L1529" s="16">
        <v>306</v>
      </c>
      <c r="M1529" s="16">
        <v>973</v>
      </c>
      <c r="N1529" s="16">
        <v>1</v>
      </c>
      <c r="O1529" s="17"/>
      <c r="P1529" s="18">
        <v>40258.117465277777</v>
      </c>
      <c r="Q1529" s="7" t="s">
        <v>11046</v>
      </c>
      <c r="R1529" s="7" t="s">
        <v>11048</v>
      </c>
      <c r="S1529" s="14" t="s">
        <v>11049</v>
      </c>
      <c r="T1529" s="8"/>
      <c r="U1529" s="19" t="str">
        <f>HYPERLINK("https://pbs.twimg.com/profile_images/1125186631621861378/3wJ0vxAh.jpg","View")</f>
        <v>View</v>
      </c>
      <c r="V1529" s="8"/>
      <c r="W1529" s="8"/>
      <c r="X1529" s="8"/>
      <c r="Y1529" s="8"/>
      <c r="Z1529" s="8"/>
    </row>
    <row r="1530" spans="1:26" ht="12.75">
      <c r="A1530" s="11">
        <v>43747.280439814815</v>
      </c>
      <c r="B1530" s="12" t="str">
        <f>HYPERLINK("https://twitter.com/umtcrmm","@umtcrmm")</f>
        <v>@umtcrmm</v>
      </c>
      <c r="C1530" s="7" t="s">
        <v>11053</v>
      </c>
      <c r="D1530" s="7" t="s">
        <v>11054</v>
      </c>
      <c r="E1530" s="12" t="str">
        <f>HYPERLINK("https://twitter.com/umtcrmm/status/1181928258176241666","1181928258176241666")</f>
        <v>1181928258176241666</v>
      </c>
      <c r="F1530" s="15"/>
      <c r="G1530" s="14" t="s">
        <v>11055</v>
      </c>
      <c r="H1530" s="8"/>
      <c r="I1530" s="15">
        <v>0</v>
      </c>
      <c r="J1530" s="15">
        <v>0</v>
      </c>
      <c r="K1530" s="12" t="str">
        <f>HYPERLINK("http://twitter.com/download/android","Twitter for Android")</f>
        <v>Twitter for Android</v>
      </c>
      <c r="L1530" s="16">
        <v>398</v>
      </c>
      <c r="M1530" s="16">
        <v>269</v>
      </c>
      <c r="N1530" s="16">
        <v>0</v>
      </c>
      <c r="O1530" s="17"/>
      <c r="P1530" s="18">
        <v>43302.454745370371</v>
      </c>
      <c r="Q1530" s="7" t="s">
        <v>685</v>
      </c>
      <c r="R1530" s="7" t="s">
        <v>11058</v>
      </c>
      <c r="S1530" s="7"/>
      <c r="T1530" s="8"/>
      <c r="U1530" s="19" t="str">
        <f>HYPERLINK("https://pbs.twimg.com/profile_images/1179873393325301765/YxVH2ARn.jpg","View")</f>
        <v>View</v>
      </c>
      <c r="V1530" s="8"/>
      <c r="W1530" s="8"/>
      <c r="X1530" s="8"/>
      <c r="Y1530" s="8"/>
      <c r="Z1530" s="8"/>
    </row>
    <row r="1531" spans="1:26" ht="12.75">
      <c r="A1531" s="11">
        <v>43747.280439814815</v>
      </c>
      <c r="B1531" s="12" t="str">
        <f>HYPERLINK("https://twitter.com/Laadeess","@Laadeess")</f>
        <v>@Laadeess</v>
      </c>
      <c r="C1531" s="7" t="s">
        <v>11060</v>
      </c>
      <c r="D1531" s="7" t="s">
        <v>11061</v>
      </c>
      <c r="E1531" s="12" t="str">
        <f>HYPERLINK("https://twitter.com/Laadeess/status/1181928258025218053","1181928258025218053")</f>
        <v>1181928258025218053</v>
      </c>
      <c r="F1531" s="8"/>
      <c r="G1531" s="15"/>
      <c r="H1531" s="8"/>
      <c r="I1531" s="15">
        <v>0</v>
      </c>
      <c r="J1531" s="15">
        <v>1</v>
      </c>
      <c r="K1531" s="12" t="str">
        <f>HYPERLINK("http://twitter.com/download/android","Twitter for Android")</f>
        <v>Twitter for Android</v>
      </c>
      <c r="L1531" s="16">
        <v>0</v>
      </c>
      <c r="M1531" s="16">
        <v>14</v>
      </c>
      <c r="N1531" s="16">
        <v>0</v>
      </c>
      <c r="O1531" s="17"/>
      <c r="P1531" s="18">
        <v>43746.955740740741</v>
      </c>
      <c r="Q1531" s="7"/>
      <c r="R1531" s="7" t="s">
        <v>11064</v>
      </c>
      <c r="S1531" s="15"/>
      <c r="T1531" s="8"/>
      <c r="U1531" s="19" t="str">
        <f>HYPERLINK("https://pbs.twimg.com/profile_images/1181894806336917505/QSXYMMov.jpg","View")</f>
        <v>View</v>
      </c>
      <c r="V1531" s="8"/>
      <c r="W1531" s="8"/>
      <c r="X1531" s="8"/>
      <c r="Y1531" s="8"/>
      <c r="Z1531" s="8"/>
    </row>
    <row r="1532" spans="1:26" ht="12.75">
      <c r="A1532" s="11">
        <v>43747.280416666668</v>
      </c>
      <c r="B1532" s="12" t="str">
        <f>HYPERLINK("https://twitter.com/unalan_usk","@unalan_usk")</f>
        <v>@unalan_usk</v>
      </c>
      <c r="C1532" s="7" t="s">
        <v>11066</v>
      </c>
      <c r="D1532" s="7" t="s">
        <v>151</v>
      </c>
      <c r="E1532" s="12" t="str">
        <f>HYPERLINK("https://twitter.com/unalan_usk/status/1181928251373043713","1181928251373043713")</f>
        <v>1181928251373043713</v>
      </c>
      <c r="F1532" s="8"/>
      <c r="G1532" s="14" t="s">
        <v>152</v>
      </c>
      <c r="H1532" s="8"/>
      <c r="I1532" s="15">
        <v>1</v>
      </c>
      <c r="J1532" s="15">
        <v>1</v>
      </c>
      <c r="K1532" s="12" t="str">
        <f>HYPERLINK("http://twitter.com/download/android","Twitter for Android")</f>
        <v>Twitter for Android</v>
      </c>
      <c r="L1532" s="16">
        <v>25</v>
      </c>
      <c r="M1532" s="16">
        <v>198</v>
      </c>
      <c r="N1532" s="16">
        <v>0</v>
      </c>
      <c r="O1532" s="17"/>
      <c r="P1532" s="18">
        <v>43609.485335648147</v>
      </c>
      <c r="Q1532" s="7"/>
      <c r="R1532" s="7"/>
      <c r="S1532" s="7"/>
      <c r="T1532" s="8"/>
      <c r="U1532" s="19" t="str">
        <f>HYPERLINK("https://pbs.twimg.com/profile_images/1148207591169953792/Q_TGuz0I.jpg","View")</f>
        <v>View</v>
      </c>
      <c r="V1532" s="8"/>
      <c r="W1532" s="8"/>
      <c r="X1532" s="8"/>
      <c r="Y1532" s="8"/>
      <c r="Z1532" s="8"/>
    </row>
    <row r="1533" spans="1:26" ht="12.75">
      <c r="A1533" s="11">
        <v>43747.280381944445</v>
      </c>
      <c r="B1533" s="12" t="str">
        <f>HYPERLINK("https://twitter.com/kimkibuefe","@kimkibuefe")</f>
        <v>@kimkibuefe</v>
      </c>
      <c r="C1533" s="7" t="s">
        <v>11072</v>
      </c>
      <c r="D1533" s="7" t="s">
        <v>11073</v>
      </c>
      <c r="E1533" s="12" t="str">
        <f>HYPERLINK("https://twitter.com/kimkibuefe/status/1181928238249123841","1181928238249123841")</f>
        <v>1181928238249123841</v>
      </c>
      <c r="F1533" s="8"/>
      <c r="G1533" s="15"/>
      <c r="H1533" s="8"/>
      <c r="I1533" s="15">
        <v>0</v>
      </c>
      <c r="J1533" s="15">
        <v>1</v>
      </c>
      <c r="K1533" s="12" t="str">
        <f>HYPERLINK("http://twitter.com/download/android","Twitter for Android")</f>
        <v>Twitter for Android</v>
      </c>
      <c r="L1533" s="16">
        <v>84</v>
      </c>
      <c r="M1533" s="16">
        <v>431</v>
      </c>
      <c r="N1533" s="16">
        <v>0</v>
      </c>
      <c r="O1533" s="17"/>
      <c r="P1533" s="18">
        <v>42312.489918981482</v>
      </c>
      <c r="Q1533" s="7"/>
      <c r="R1533" s="7" t="s">
        <v>11078</v>
      </c>
      <c r="S1533" s="15"/>
      <c r="T1533" s="8"/>
      <c r="U1533" s="19" t="str">
        <f>HYPERLINK("https://pbs.twimg.com/profile_images/1167393625136861185/2l7nPxvi.jpg","View")</f>
        <v>View</v>
      </c>
      <c r="V1533" s="8"/>
      <c r="W1533" s="8"/>
      <c r="X1533" s="8"/>
      <c r="Y1533" s="8"/>
      <c r="Z1533" s="8"/>
    </row>
    <row r="1534" spans="1:26" ht="12.75">
      <c r="A1534" s="11">
        <v>43747.280370370368</v>
      </c>
      <c r="B1534" s="12" t="str">
        <f>HYPERLINK("https://twitter.com/oktaycolakoglu_","@oktaycolakoglu_")</f>
        <v>@oktaycolakoglu_</v>
      </c>
      <c r="C1534" s="7" t="s">
        <v>11080</v>
      </c>
      <c r="D1534" s="7" t="s">
        <v>11081</v>
      </c>
      <c r="E1534" s="12" t="str">
        <f>HYPERLINK("https://twitter.com/oktaycolakoglu_/status/1181928231194247171","1181928231194247171")</f>
        <v>1181928231194247171</v>
      </c>
      <c r="F1534" s="8"/>
      <c r="G1534" s="14" t="s">
        <v>11083</v>
      </c>
      <c r="H1534" s="8"/>
      <c r="I1534" s="15">
        <v>3</v>
      </c>
      <c r="J1534" s="15">
        <v>6</v>
      </c>
      <c r="K1534" s="12" t="str">
        <f>HYPERLINK("http://twitter.com/download/android","Twitter for Android")</f>
        <v>Twitter for Android</v>
      </c>
      <c r="L1534" s="16">
        <v>7282</v>
      </c>
      <c r="M1534" s="16">
        <v>7549</v>
      </c>
      <c r="N1534" s="16">
        <v>0</v>
      </c>
      <c r="O1534" s="17"/>
      <c r="P1534" s="18">
        <v>43288.738310185188</v>
      </c>
      <c r="Q1534" s="7"/>
      <c r="R1534" s="7" t="s">
        <v>11086</v>
      </c>
      <c r="S1534" s="14" t="s">
        <v>11087</v>
      </c>
      <c r="T1534" s="8"/>
      <c r="U1534" s="19" t="str">
        <f>HYPERLINK("https://pbs.twimg.com/profile_images/1160503134428585984/HTdmnteF.jpg","View")</f>
        <v>View</v>
      </c>
      <c r="V1534" s="8"/>
      <c r="W1534" s="8"/>
      <c r="X1534" s="8"/>
      <c r="Y1534" s="8"/>
      <c r="Z1534" s="8"/>
    </row>
    <row r="1535" spans="1:26" ht="12.75">
      <c r="A1535" s="11">
        <v>43747.280358796299</v>
      </c>
      <c r="B1535" s="12" t="str">
        <f>HYPERLINK("https://twitter.com/asutbatuhan","@asutbatuhan")</f>
        <v>@asutbatuhan</v>
      </c>
      <c r="C1535" s="7" t="s">
        <v>11090</v>
      </c>
      <c r="D1535" s="7" t="s">
        <v>11091</v>
      </c>
      <c r="E1535" s="12" t="str">
        <f>HYPERLINK("https://twitter.com/asutbatuhan/status/1181928227167772673","1181928227167772673")</f>
        <v>1181928227167772673</v>
      </c>
      <c r="F1535" s="8"/>
      <c r="G1535" s="14" t="s">
        <v>11093</v>
      </c>
      <c r="H1535" s="8"/>
      <c r="I1535" s="15">
        <v>0</v>
      </c>
      <c r="J1535" s="15">
        <v>0</v>
      </c>
      <c r="K1535" s="12" t="str">
        <f>HYPERLINK("http://twitter.com/download/iphone","Twitter for iPhone")</f>
        <v>Twitter for iPhone</v>
      </c>
      <c r="L1535" s="16">
        <v>31</v>
      </c>
      <c r="M1535" s="16">
        <v>57</v>
      </c>
      <c r="N1535" s="16">
        <v>0</v>
      </c>
      <c r="O1535" s="17"/>
      <c r="P1535" s="18">
        <v>43654.001574074078</v>
      </c>
      <c r="Q1535" s="7" t="s">
        <v>11098</v>
      </c>
      <c r="R1535" s="7" t="s">
        <v>11099</v>
      </c>
      <c r="S1535" s="14" t="s">
        <v>11100</v>
      </c>
      <c r="T1535" s="8"/>
      <c r="U1535" s="20" t="s">
        <v>354</v>
      </c>
      <c r="V1535" s="8"/>
      <c r="W1535" s="8"/>
      <c r="X1535" s="8"/>
      <c r="Y1535" s="8"/>
      <c r="Z1535" s="8"/>
    </row>
    <row r="1536" spans="1:26" ht="12.75">
      <c r="A1536" s="11">
        <v>43747.280335648145</v>
      </c>
      <c r="B1536" s="12" t="str">
        <f>HYPERLINK("https://twitter.com/hasimmtekinn","@hasimmtekinn")</f>
        <v>@hasimmtekinn</v>
      </c>
      <c r="C1536" s="7" t="s">
        <v>11103</v>
      </c>
      <c r="D1536" s="7" t="s">
        <v>11104</v>
      </c>
      <c r="E1536" s="12" t="str">
        <f>HYPERLINK("https://twitter.com/hasimmtekinn/status/1181928218158338048","1181928218158338048")</f>
        <v>1181928218158338048</v>
      </c>
      <c r="F1536" s="8"/>
      <c r="G1536" s="14" t="s">
        <v>11108</v>
      </c>
      <c r="H1536" s="8"/>
      <c r="I1536" s="15">
        <v>0</v>
      </c>
      <c r="J1536" s="15">
        <v>4</v>
      </c>
      <c r="K1536" s="12" t="str">
        <f>HYPERLINK("http://twitter.com/download/android","Twitter for Android")</f>
        <v>Twitter for Android</v>
      </c>
      <c r="L1536" s="16">
        <v>233</v>
      </c>
      <c r="M1536" s="16">
        <v>136</v>
      </c>
      <c r="N1536" s="16">
        <v>0</v>
      </c>
      <c r="O1536" s="17"/>
      <c r="P1536" s="18">
        <v>41602.516597222224</v>
      </c>
      <c r="Q1536" s="7" t="s">
        <v>11110</v>
      </c>
      <c r="R1536" s="7" t="s">
        <v>11112</v>
      </c>
      <c r="S1536" s="14" t="s">
        <v>11113</v>
      </c>
      <c r="T1536" s="8"/>
      <c r="U1536" s="19" t="str">
        <f>HYPERLINK("https://pbs.twimg.com/profile_images/1170702789540044801/67TAaZ6i.jpg","View")</f>
        <v>View</v>
      </c>
      <c r="V1536" s="8"/>
      <c r="W1536" s="8"/>
      <c r="X1536" s="8"/>
      <c r="Y1536" s="8"/>
      <c r="Z1536" s="8"/>
    </row>
    <row r="1537" spans="1:26" ht="12.75">
      <c r="A1537" s="11">
        <v>43747.280300925922</v>
      </c>
      <c r="B1537" s="12" t="str">
        <f>HYPERLINK("https://twitter.com/Yusufdmr0","@Yusufdmr0")</f>
        <v>@Yusufdmr0</v>
      </c>
      <c r="C1537" s="7" t="s">
        <v>11116</v>
      </c>
      <c r="D1537" s="7" t="s">
        <v>11117</v>
      </c>
      <c r="E1537" s="12" t="str">
        <f>HYPERLINK("https://twitter.com/Yusufdmr0/status/1181928209195159553","1181928209195159553")</f>
        <v>1181928209195159553</v>
      </c>
      <c r="F1537" s="8"/>
      <c r="G1537" s="14" t="s">
        <v>11119</v>
      </c>
      <c r="H1537" s="8"/>
      <c r="I1537" s="15">
        <v>0</v>
      </c>
      <c r="J1537" s="15">
        <v>0</v>
      </c>
      <c r="K1537" s="12" t="str">
        <f>HYPERLINK("http://twitter.com/download/android","Twitter for Android")</f>
        <v>Twitter for Android</v>
      </c>
      <c r="L1537" s="16">
        <v>107</v>
      </c>
      <c r="M1537" s="16">
        <v>152</v>
      </c>
      <c r="N1537" s="16">
        <v>0</v>
      </c>
      <c r="O1537" s="17"/>
      <c r="P1537" s="18">
        <v>43002.229374999995</v>
      </c>
      <c r="Q1537" s="7" t="s">
        <v>4645</v>
      </c>
      <c r="R1537" s="14" t="s">
        <v>11122</v>
      </c>
      <c r="S1537" s="7"/>
      <c r="T1537" s="8"/>
      <c r="U1537" s="19" t="str">
        <f>HYPERLINK("https://pbs.twimg.com/profile_images/1177311627978448896/Z3YaxGdO.jpg","View")</f>
        <v>View</v>
      </c>
      <c r="V1537" s="8"/>
      <c r="W1537" s="8"/>
      <c r="X1537" s="8"/>
      <c r="Y1537" s="8"/>
      <c r="Z1537" s="8"/>
    </row>
    <row r="1538" spans="1:26" ht="12.75">
      <c r="A1538" s="11">
        <v>43747.280300925922</v>
      </c>
      <c r="B1538" s="12" t="str">
        <f>HYPERLINK("https://twitter.com/_yasinokten","@_yasinokten")</f>
        <v>@_yasinokten</v>
      </c>
      <c r="C1538" s="7" t="s">
        <v>11127</v>
      </c>
      <c r="D1538" s="7" t="s">
        <v>11128</v>
      </c>
      <c r="E1538" s="12" t="str">
        <f>HYPERLINK("https://twitter.com/_yasinokten/status/1181928206686965761","1181928206686965761")</f>
        <v>1181928206686965761</v>
      </c>
      <c r="F1538" s="15"/>
      <c r="G1538" s="14" t="s">
        <v>11129</v>
      </c>
      <c r="H1538" s="8"/>
      <c r="I1538" s="15">
        <v>0</v>
      </c>
      <c r="J1538" s="15">
        <v>3</v>
      </c>
      <c r="K1538" s="12" t="str">
        <f>HYPERLINK("http://twitter.com/download/iphone","Twitter for iPhone")</f>
        <v>Twitter for iPhone</v>
      </c>
      <c r="L1538" s="16">
        <v>70</v>
      </c>
      <c r="M1538" s="16">
        <v>461</v>
      </c>
      <c r="N1538" s="16">
        <v>0</v>
      </c>
      <c r="O1538" s="17"/>
      <c r="P1538" s="18">
        <v>42001.487997685181</v>
      </c>
      <c r="Q1538" s="7" t="s">
        <v>1639</v>
      </c>
      <c r="R1538" s="7" t="s">
        <v>11131</v>
      </c>
      <c r="S1538" s="7"/>
      <c r="T1538" s="8"/>
      <c r="U1538" s="19" t="str">
        <f>HYPERLINK("https://pbs.twimg.com/profile_images/1164657532750770183/UlL5lj6T.jpg","View")</f>
        <v>View</v>
      </c>
      <c r="V1538" s="8"/>
      <c r="W1538" s="8"/>
      <c r="X1538" s="8"/>
      <c r="Y1538" s="8"/>
      <c r="Z1538" s="8"/>
    </row>
    <row r="1539" spans="1:26" ht="12.75">
      <c r="A1539" s="11">
        <v>43747.280289351853</v>
      </c>
      <c r="B1539" s="12" t="str">
        <f>HYPERLINK("https://twitter.com/cannatmaca1","@cannatmaca1")</f>
        <v>@cannatmaca1</v>
      </c>
      <c r="C1539" s="7" t="s">
        <v>11133</v>
      </c>
      <c r="D1539" s="7" t="s">
        <v>11134</v>
      </c>
      <c r="E1539" s="12" t="str">
        <f>HYPERLINK("https://twitter.com/cannatmaca1/status/1181928202878558208","1181928202878558208")</f>
        <v>1181928202878558208</v>
      </c>
      <c r="F1539" s="8"/>
      <c r="G1539" s="15"/>
      <c r="H1539" s="8"/>
      <c r="I1539" s="15">
        <v>0</v>
      </c>
      <c r="J1539" s="15">
        <v>0</v>
      </c>
      <c r="K1539" s="12" t="str">
        <f>HYPERLINK("http://twitter.com/download/iphone","Twitter for iPhone")</f>
        <v>Twitter for iPhone</v>
      </c>
      <c r="L1539" s="16">
        <v>9</v>
      </c>
      <c r="M1539" s="16">
        <v>34</v>
      </c>
      <c r="N1539" s="16">
        <v>0</v>
      </c>
      <c r="O1539" s="17"/>
      <c r="P1539" s="18">
        <v>43723.350590277776</v>
      </c>
      <c r="Q1539" s="7"/>
      <c r="R1539" s="15" t="s">
        <v>11136</v>
      </c>
      <c r="S1539" s="15"/>
      <c r="T1539" s="8"/>
      <c r="U1539" s="19" t="str">
        <f>HYPERLINK("https://pbs.twimg.com/profile_images/1173257209133895680/JOc7bzjy.jpg","View")</f>
        <v>View</v>
      </c>
      <c r="V1539" s="8"/>
      <c r="W1539" s="8"/>
      <c r="X1539" s="8"/>
      <c r="Y1539" s="8"/>
      <c r="Z1539" s="8"/>
    </row>
    <row r="1540" spans="1:26" ht="12.75">
      <c r="A1540" s="11">
        <v>43747.280289351853</v>
      </c>
      <c r="B1540" s="12" t="str">
        <f>HYPERLINK("https://twitter.com/monarc19","@monarc19")</f>
        <v>@monarc19</v>
      </c>
      <c r="C1540" s="7" t="s">
        <v>11139</v>
      </c>
      <c r="D1540" s="7" t="s">
        <v>11140</v>
      </c>
      <c r="E1540" s="12" t="str">
        <f>HYPERLINK("https://twitter.com/monarc19/status/1181928201695744000","1181928201695744000")</f>
        <v>1181928201695744000</v>
      </c>
      <c r="F1540" s="8"/>
      <c r="G1540" s="14" t="s">
        <v>11141</v>
      </c>
      <c r="H1540" s="8"/>
      <c r="I1540" s="15">
        <v>2</v>
      </c>
      <c r="J1540" s="15">
        <v>8</v>
      </c>
      <c r="K1540" s="12" t="str">
        <f>HYPERLINK("https://mobile.twitter.com","Twitter Web App")</f>
        <v>Twitter Web App</v>
      </c>
      <c r="L1540" s="16">
        <v>6533</v>
      </c>
      <c r="M1540" s="16">
        <v>5104</v>
      </c>
      <c r="N1540" s="16">
        <v>9</v>
      </c>
      <c r="O1540" s="17"/>
      <c r="P1540" s="18">
        <v>42313.076018518521</v>
      </c>
      <c r="Q1540" s="7" t="s">
        <v>11146</v>
      </c>
      <c r="R1540" s="7" t="s">
        <v>11147</v>
      </c>
      <c r="S1540" s="7"/>
      <c r="T1540" s="8"/>
      <c r="U1540" s="19" t="str">
        <f>HYPERLINK("https://pbs.twimg.com/profile_images/712319343548215296/VaMwSKYn.jpg","View")</f>
        <v>View</v>
      </c>
      <c r="V1540" s="8"/>
      <c r="W1540" s="8"/>
      <c r="X1540" s="8"/>
      <c r="Y1540" s="8"/>
      <c r="Z1540" s="8"/>
    </row>
    <row r="1541" spans="1:26" ht="12.75">
      <c r="A1541" s="11">
        <v>43747.280277777776</v>
      </c>
      <c r="B1541" s="12" t="str">
        <f>HYPERLINK("https://twitter.com/mandituning","@mandituning")</f>
        <v>@mandituning</v>
      </c>
      <c r="C1541" s="7" t="s">
        <v>11148</v>
      </c>
      <c r="D1541" s="7" t="s">
        <v>11149</v>
      </c>
      <c r="E1541" s="12" t="str">
        <f>HYPERLINK("https://twitter.com/mandituning/status/1181928200810749952","1181928200810749952")</f>
        <v>1181928200810749952</v>
      </c>
      <c r="F1541" s="8"/>
      <c r="G1541" s="7"/>
      <c r="H1541" s="8"/>
      <c r="I1541" s="15">
        <v>0</v>
      </c>
      <c r="J1541" s="15">
        <v>0</v>
      </c>
      <c r="K1541" s="12" t="str">
        <f>HYPERLINK("https://mobile.twitter.com","Twitter Web App")</f>
        <v>Twitter Web App</v>
      </c>
      <c r="L1541" s="16">
        <v>54</v>
      </c>
      <c r="M1541" s="16">
        <v>116</v>
      </c>
      <c r="N1541" s="16">
        <v>1</v>
      </c>
      <c r="O1541" s="17"/>
      <c r="P1541" s="18">
        <v>42223.391018518523</v>
      </c>
      <c r="Q1541" s="7" t="s">
        <v>3579</v>
      </c>
      <c r="R1541" s="7" t="s">
        <v>11151</v>
      </c>
      <c r="S1541" s="7"/>
      <c r="T1541" s="8"/>
      <c r="U1541" s="19" t="str">
        <f>HYPERLINK("https://pbs.twimg.com/profile_images/1178993444066381824/ggADpda-.jpg","View")</f>
        <v>View</v>
      </c>
      <c r="V1541" s="8"/>
      <c r="W1541" s="8"/>
      <c r="X1541" s="8"/>
      <c r="Y1541" s="8"/>
      <c r="Z1541" s="8"/>
    </row>
    <row r="1542" spans="1:26" ht="12.75">
      <c r="A1542" s="11">
        <v>43747.28024305556</v>
      </c>
      <c r="B1542" s="12" t="str">
        <f>HYPERLINK("https://twitter.com/alicamur81","@alicamur81")</f>
        <v>@alicamur81</v>
      </c>
      <c r="C1542" s="7" t="s">
        <v>11153</v>
      </c>
      <c r="D1542" s="7" t="s">
        <v>11154</v>
      </c>
      <c r="E1542" s="12" t="str">
        <f>HYPERLINK("https://twitter.com/alicamur81/status/1181928187581874182","1181928187581874182")</f>
        <v>1181928187581874182</v>
      </c>
      <c r="F1542" s="8"/>
      <c r="G1542" s="7"/>
      <c r="H1542" s="8"/>
      <c r="I1542" s="15">
        <v>0</v>
      </c>
      <c r="J1542" s="15">
        <v>1</v>
      </c>
      <c r="K1542" s="12" t="str">
        <f>HYPERLINK("http://twitter.com/download/iphone","Twitter for iPhone")</f>
        <v>Twitter for iPhone</v>
      </c>
      <c r="L1542" s="16">
        <v>297</v>
      </c>
      <c r="M1542" s="16">
        <v>277</v>
      </c>
      <c r="N1542" s="16">
        <v>3</v>
      </c>
      <c r="O1542" s="17"/>
      <c r="P1542" s="18">
        <v>41081.429155092592</v>
      </c>
      <c r="Q1542" s="7"/>
      <c r="R1542" s="7" t="s">
        <v>11156</v>
      </c>
      <c r="S1542" s="7"/>
      <c r="T1542" s="8"/>
      <c r="U1542" s="19" t="str">
        <f>HYPERLINK("https://pbs.twimg.com/profile_images/488135966541225986/vX85G5iM.jpeg","View")</f>
        <v>View</v>
      </c>
      <c r="V1542" s="8"/>
      <c r="W1542" s="8"/>
      <c r="X1542" s="8"/>
      <c r="Y1542" s="8"/>
      <c r="Z1542" s="8"/>
    </row>
    <row r="1543" spans="1:26" ht="12.75">
      <c r="A1543" s="11">
        <v>43747.280231481476</v>
      </c>
      <c r="B1543" s="12" t="str">
        <f>HYPERLINK("https://twitter.com/zgrdll","@zgrdll")</f>
        <v>@zgrdll</v>
      </c>
      <c r="C1543" s="7" t="s">
        <v>11160</v>
      </c>
      <c r="D1543" s="7" t="s">
        <v>11161</v>
      </c>
      <c r="E1543" s="12" t="str">
        <f>HYPERLINK("https://twitter.com/zgrdll/status/1181928183169458176","1181928183169458176")</f>
        <v>1181928183169458176</v>
      </c>
      <c r="F1543" s="8"/>
      <c r="G1543" s="15"/>
      <c r="H1543" s="8"/>
      <c r="I1543" s="15">
        <v>0</v>
      </c>
      <c r="J1543" s="15">
        <v>0</v>
      </c>
      <c r="K1543" s="12" t="str">
        <f>HYPERLINK("http://twitter.com/download/iphone","Twitter for iPhone")</f>
        <v>Twitter for iPhone</v>
      </c>
      <c r="L1543" s="16">
        <v>404</v>
      </c>
      <c r="M1543" s="16">
        <v>1086</v>
      </c>
      <c r="N1543" s="16">
        <v>0</v>
      </c>
      <c r="O1543" s="17"/>
      <c r="P1543" s="18">
        <v>42647.324733796297</v>
      </c>
      <c r="Q1543" s="7"/>
      <c r="R1543" s="7" t="s">
        <v>11163</v>
      </c>
      <c r="S1543" s="7"/>
      <c r="T1543" s="8"/>
      <c r="U1543" s="19" t="str">
        <f>HYPERLINK("https://pbs.twimg.com/profile_images/984484919643602949/AmHxx9Jo.jpg","View")</f>
        <v>View</v>
      </c>
      <c r="V1543" s="8"/>
      <c r="W1543" s="8"/>
      <c r="X1543" s="8"/>
      <c r="Y1543" s="8"/>
      <c r="Z1543" s="8"/>
    </row>
    <row r="1544" spans="1:26" ht="12.75">
      <c r="A1544" s="11">
        <v>43747.280231481476</v>
      </c>
      <c r="B1544" s="12" t="str">
        <f>HYPERLINK("https://twitter.com/Geespenst","@Geespenst")</f>
        <v>@Geespenst</v>
      </c>
      <c r="C1544" s="7" t="s">
        <v>11166</v>
      </c>
      <c r="D1544" s="7" t="s">
        <v>11167</v>
      </c>
      <c r="E1544" s="12" t="str">
        <f>HYPERLINK("https://twitter.com/Geespenst/status/1181928181156241409","1181928181156241409")</f>
        <v>1181928181156241409</v>
      </c>
      <c r="F1544" s="8"/>
      <c r="G1544" s="14" t="s">
        <v>11168</v>
      </c>
      <c r="H1544" s="8"/>
      <c r="I1544" s="15">
        <v>0</v>
      </c>
      <c r="J1544" s="15">
        <v>0</v>
      </c>
      <c r="K1544" s="12" t="str">
        <f>HYPERLINK("http://twitter.com/download/android","Twitter for Android")</f>
        <v>Twitter for Android</v>
      </c>
      <c r="L1544" s="16">
        <v>100</v>
      </c>
      <c r="M1544" s="16">
        <v>111</v>
      </c>
      <c r="N1544" s="16">
        <v>0</v>
      </c>
      <c r="O1544" s="17"/>
      <c r="P1544" s="18">
        <v>40575.097175925926</v>
      </c>
      <c r="Q1544" s="7" t="s">
        <v>200</v>
      </c>
      <c r="R1544" s="7" t="s">
        <v>11171</v>
      </c>
      <c r="S1544" s="7"/>
      <c r="T1544" s="8"/>
      <c r="U1544" s="19" t="str">
        <f>HYPERLINK("https://pbs.twimg.com/profile_images/989117490235142144/AtCFdITw.jpg","View")</f>
        <v>View</v>
      </c>
      <c r="V1544" s="8"/>
      <c r="W1544" s="8"/>
      <c r="X1544" s="8"/>
      <c r="Y1544" s="8"/>
      <c r="Z1544" s="8"/>
    </row>
    <row r="1545" spans="1:26" ht="12.75">
      <c r="A1545" s="11">
        <v>43747.280231481476</v>
      </c>
      <c r="B1545" s="12" t="str">
        <f>HYPERLINK("https://twitter.com/cekkoo_","@cekkoo_")</f>
        <v>@cekkoo_</v>
      </c>
      <c r="C1545" s="7" t="s">
        <v>11173</v>
      </c>
      <c r="D1545" s="7" t="s">
        <v>6457</v>
      </c>
      <c r="E1545" s="12" t="str">
        <f>HYPERLINK("https://twitter.com/cekkoo_/status/1181928180879429632","1181928180879429632")</f>
        <v>1181928180879429632</v>
      </c>
      <c r="F1545" s="8"/>
      <c r="G1545" s="15"/>
      <c r="H1545" s="8"/>
      <c r="I1545" s="15">
        <v>0</v>
      </c>
      <c r="J1545" s="15">
        <v>2</v>
      </c>
      <c r="K1545" s="12" t="str">
        <f>HYPERLINK("http://twitter.com/download/android","Twitter for Android")</f>
        <v>Twitter for Android</v>
      </c>
      <c r="L1545" s="16">
        <v>105</v>
      </c>
      <c r="M1545" s="16">
        <v>222</v>
      </c>
      <c r="N1545" s="16">
        <v>0</v>
      </c>
      <c r="O1545" s="17"/>
      <c r="P1545" s="18">
        <v>41128.343657407408</v>
      </c>
      <c r="Q1545" s="7"/>
      <c r="R1545" s="7" t="s">
        <v>11175</v>
      </c>
      <c r="S1545" s="15"/>
      <c r="T1545" s="8"/>
      <c r="U1545" s="19" t="str">
        <f>HYPERLINK("https://pbs.twimg.com/profile_images/1118937133773934592/EEn2N3v4.jpg","View")</f>
        <v>View</v>
      </c>
      <c r="V1545" s="8"/>
      <c r="W1545" s="8"/>
      <c r="X1545" s="8"/>
      <c r="Y1545" s="8"/>
      <c r="Z1545" s="8"/>
    </row>
    <row r="1546" spans="1:26" ht="12.75">
      <c r="A1546" s="11">
        <v>43747.280219907407</v>
      </c>
      <c r="B1546" s="12" t="str">
        <f>HYPERLINK("https://twitter.com/yaramadokundun","@yaramadokundun")</f>
        <v>@yaramadokundun</v>
      </c>
      <c r="C1546" s="7" t="s">
        <v>11178</v>
      </c>
      <c r="D1546" s="7" t="s">
        <v>11179</v>
      </c>
      <c r="E1546" s="12" t="str">
        <f>HYPERLINK("https://twitter.com/yaramadokundun/status/1181928178857762818","1181928178857762818")</f>
        <v>1181928178857762818</v>
      </c>
      <c r="F1546" s="8"/>
      <c r="G1546" s="7"/>
      <c r="H1546" s="8"/>
      <c r="I1546" s="15">
        <v>0</v>
      </c>
      <c r="J1546" s="15">
        <v>5</v>
      </c>
      <c r="K1546" s="12" t="str">
        <f>HYPERLINK("https://about.twitter.com/products/tweetdeck","TweetDeck")</f>
        <v>TweetDeck</v>
      </c>
      <c r="L1546" s="16">
        <v>47726</v>
      </c>
      <c r="M1546" s="16">
        <v>48908</v>
      </c>
      <c r="N1546" s="16">
        <v>16</v>
      </c>
      <c r="O1546" s="17"/>
      <c r="P1546" s="18">
        <v>42391.210543981477</v>
      </c>
      <c r="Q1546" s="7" t="s">
        <v>11181</v>
      </c>
      <c r="R1546" s="7" t="s">
        <v>11182</v>
      </c>
      <c r="S1546" s="7"/>
      <c r="T1546" s="8"/>
      <c r="U1546" s="19" t="str">
        <f>HYPERLINK("https://pbs.twimg.com/profile_images/919691726331236354/22fl2X_J.jpg","View")</f>
        <v>View</v>
      </c>
      <c r="V1546" s="8"/>
      <c r="W1546" s="8"/>
      <c r="X1546" s="8"/>
      <c r="Y1546" s="8"/>
      <c r="Z1546" s="8"/>
    </row>
    <row r="1547" spans="1:26" ht="12.75">
      <c r="A1547" s="11">
        <v>43747.280162037037</v>
      </c>
      <c r="B1547" s="12" t="str">
        <f>HYPERLINK("https://twitter.com/siradisikatip","@siradisikatip")</f>
        <v>@siradisikatip</v>
      </c>
      <c r="C1547" s="7" t="s">
        <v>11203</v>
      </c>
      <c r="D1547" s="7" t="s">
        <v>151</v>
      </c>
      <c r="E1547" s="12" t="str">
        <f>HYPERLINK("https://twitter.com/siradisikatip/status/1181928156544077824","1181928156544077824")</f>
        <v>1181928156544077824</v>
      </c>
      <c r="F1547" s="8"/>
      <c r="G1547" s="14" t="s">
        <v>11205</v>
      </c>
      <c r="H1547" s="8"/>
      <c r="I1547" s="15">
        <v>0</v>
      </c>
      <c r="J1547" s="15">
        <v>0</v>
      </c>
      <c r="K1547" s="12" t="str">
        <f>HYPERLINK("http://twitter.com/download/iphone","Twitter for iPhone")</f>
        <v>Twitter for iPhone</v>
      </c>
      <c r="L1547" s="16">
        <v>30</v>
      </c>
      <c r="M1547" s="16">
        <v>17</v>
      </c>
      <c r="N1547" s="16">
        <v>0</v>
      </c>
      <c r="O1547" s="17"/>
      <c r="P1547" s="18">
        <v>43642.231041666666</v>
      </c>
      <c r="Q1547" s="7" t="s">
        <v>445</v>
      </c>
      <c r="R1547" s="7" t="s">
        <v>11207</v>
      </c>
      <c r="S1547" s="7"/>
      <c r="T1547" s="8"/>
      <c r="U1547" s="19" t="str">
        <f>HYPERLINK("https://pbs.twimg.com/profile_images/1143860692178624512/acN-g_UX.jpg","View")</f>
        <v>View</v>
      </c>
      <c r="V1547" s="8"/>
      <c r="W1547" s="8"/>
      <c r="X1547" s="8"/>
      <c r="Y1547" s="8"/>
      <c r="Z1547" s="8"/>
    </row>
    <row r="1548" spans="1:26" ht="12.75">
      <c r="A1548" s="11">
        <v>43747.280162037037</v>
      </c>
      <c r="B1548" s="12" t="str">
        <f>HYPERLINK("https://twitter.com/s_esatf","@s_esatf")</f>
        <v>@s_esatf</v>
      </c>
      <c r="C1548" s="7" t="s">
        <v>11210</v>
      </c>
      <c r="D1548" s="7" t="s">
        <v>11211</v>
      </c>
      <c r="E1548" s="12" t="str">
        <f>HYPERLINK("https://twitter.com/s_esatf/status/1181928156317532160","1181928156317532160")</f>
        <v>1181928156317532160</v>
      </c>
      <c r="F1548" s="8"/>
      <c r="G1548" s="14" t="s">
        <v>11212</v>
      </c>
      <c r="H1548" s="8"/>
      <c r="I1548" s="15">
        <v>0</v>
      </c>
      <c r="J1548" s="15">
        <v>1</v>
      </c>
      <c r="K1548" s="12" t="str">
        <f>HYPERLINK("http://twitter.com/download/android","Twitter for Android")</f>
        <v>Twitter for Android</v>
      </c>
      <c r="L1548" s="16">
        <v>64</v>
      </c>
      <c r="M1548" s="16">
        <v>263</v>
      </c>
      <c r="N1548" s="16">
        <v>0</v>
      </c>
      <c r="O1548" s="17"/>
      <c r="P1548" s="18">
        <v>42944.065740740742</v>
      </c>
      <c r="Q1548" s="7" t="s">
        <v>7420</v>
      </c>
      <c r="R1548" s="7" t="s">
        <v>11215</v>
      </c>
      <c r="S1548" s="7"/>
      <c r="T1548" s="8"/>
      <c r="U1548" s="19" t="str">
        <f>HYPERLINK("https://pbs.twimg.com/profile_images/1070666638410821632/3kTptPC8.jpg","View")</f>
        <v>View</v>
      </c>
      <c r="V1548" s="8"/>
      <c r="W1548" s="8"/>
      <c r="X1548" s="8"/>
      <c r="Y1548" s="8"/>
      <c r="Z1548" s="8"/>
    </row>
    <row r="1549" spans="1:26" ht="12.75">
      <c r="A1549" s="11">
        <v>43747.280162037037</v>
      </c>
      <c r="B1549" s="12" t="str">
        <f>HYPERLINK("https://twitter.com/AkGercekleRTE","@AkGercekleRTE")</f>
        <v>@AkGercekleRTE</v>
      </c>
      <c r="C1549" s="7" t="s">
        <v>11219</v>
      </c>
      <c r="D1549" s="7" t="s">
        <v>11220</v>
      </c>
      <c r="E1549" s="12" t="str">
        <f>HYPERLINK("https://twitter.com/AkGercekleRTE/status/1181928155952623623","1181928155952623623")</f>
        <v>1181928155952623623</v>
      </c>
      <c r="F1549" s="15"/>
      <c r="G1549" s="14" t="s">
        <v>11221</v>
      </c>
      <c r="H1549" s="8"/>
      <c r="I1549" s="15">
        <v>22</v>
      </c>
      <c r="J1549" s="15">
        <v>45</v>
      </c>
      <c r="K1549" s="12" t="str">
        <f>HYPERLINK("http://twitter.com/download/android","Twitter for Android")</f>
        <v>Twitter for Android</v>
      </c>
      <c r="L1549" s="16">
        <v>8226</v>
      </c>
      <c r="M1549" s="16">
        <v>8625</v>
      </c>
      <c r="N1549" s="16">
        <v>7</v>
      </c>
      <c r="O1549" s="17"/>
      <c r="P1549" s="18">
        <v>42561.060092592597</v>
      </c>
      <c r="Q1549" s="7"/>
      <c r="R1549" s="7" t="s">
        <v>11224</v>
      </c>
      <c r="S1549" s="14" t="s">
        <v>11225</v>
      </c>
      <c r="T1549" s="8"/>
      <c r="U1549" s="19" t="str">
        <f>HYPERLINK("https://pbs.twimg.com/profile_images/767183079010082820/JqUUM7_-.jpg","View")</f>
        <v>View</v>
      </c>
      <c r="V1549" s="8"/>
      <c r="W1549" s="8"/>
      <c r="X1549" s="8"/>
      <c r="Y1549" s="8"/>
      <c r="Z1549" s="8"/>
    </row>
    <row r="1550" spans="1:26" ht="12.75">
      <c r="A1550" s="11">
        <v>43747.280138888891</v>
      </c>
      <c r="B1550" s="12" t="str">
        <f>HYPERLINK("https://twitter.com/omryrdmc","@omryrdmc")</f>
        <v>@omryrdmc</v>
      </c>
      <c r="C1550" s="7" t="s">
        <v>11228</v>
      </c>
      <c r="D1550" s="7" t="s">
        <v>11229</v>
      </c>
      <c r="E1550" s="12" t="str">
        <f>HYPERLINK("https://twitter.com/omryrdmc/status/1181928150118350848","1181928150118350848")</f>
        <v>1181928150118350848</v>
      </c>
      <c r="F1550" s="8"/>
      <c r="G1550" s="14" t="s">
        <v>11230</v>
      </c>
      <c r="H1550" s="8"/>
      <c r="I1550" s="15">
        <v>0</v>
      </c>
      <c r="J1550" s="15">
        <v>1</v>
      </c>
      <c r="K1550" s="12" t="str">
        <f>HYPERLINK("http://twitter.com/download/android","Twitter for Android")</f>
        <v>Twitter for Android</v>
      </c>
      <c r="L1550" s="16">
        <v>515</v>
      </c>
      <c r="M1550" s="16">
        <v>386</v>
      </c>
      <c r="N1550" s="16">
        <v>1</v>
      </c>
      <c r="O1550" s="17"/>
      <c r="P1550" s="18">
        <v>41537.510358796295</v>
      </c>
      <c r="Q1550" s="7" t="s">
        <v>11233</v>
      </c>
      <c r="R1550" s="7" t="s">
        <v>11234</v>
      </c>
      <c r="S1550" s="7"/>
      <c r="T1550" s="8"/>
      <c r="U1550" s="19" t="str">
        <f>HYPERLINK("https://pbs.twimg.com/profile_images/993258394143330308/dNvft89a.jpg","View")</f>
        <v>View</v>
      </c>
      <c r="V1550" s="8"/>
      <c r="W1550" s="8"/>
      <c r="X1550" s="8"/>
      <c r="Y1550" s="8"/>
      <c r="Z1550" s="8"/>
    </row>
    <row r="1551" spans="1:26" ht="12.75">
      <c r="A1551" s="11">
        <v>43747.280138888891</v>
      </c>
      <c r="B1551" s="12" t="str">
        <f>HYPERLINK("https://twitter.com/urfalinin1i","@urfalinin1i")</f>
        <v>@urfalinin1i</v>
      </c>
      <c r="C1551" s="7" t="s">
        <v>11236</v>
      </c>
      <c r="D1551" s="7" t="s">
        <v>11237</v>
      </c>
      <c r="E1551" s="12" t="str">
        <f>HYPERLINK("https://twitter.com/urfalinin1i/status/1181928149237616640","1181928149237616640")</f>
        <v>1181928149237616640</v>
      </c>
      <c r="F1551" s="8"/>
      <c r="G1551" s="14" t="s">
        <v>11238</v>
      </c>
      <c r="H1551" s="8"/>
      <c r="I1551" s="15">
        <v>0</v>
      </c>
      <c r="J1551" s="15">
        <v>6</v>
      </c>
      <c r="K1551" s="12" t="str">
        <f>HYPERLINK("http://twitter.com/download/android","Twitter for Android")</f>
        <v>Twitter for Android</v>
      </c>
      <c r="L1551" s="16">
        <v>1739</v>
      </c>
      <c r="M1551" s="16">
        <v>2971</v>
      </c>
      <c r="N1551" s="16">
        <v>0</v>
      </c>
      <c r="O1551" s="17"/>
      <c r="P1551" s="18">
        <v>43705.349976851852</v>
      </c>
      <c r="Q1551" s="7" t="s">
        <v>10009</v>
      </c>
      <c r="R1551" s="7" t="s">
        <v>11239</v>
      </c>
      <c r="S1551" s="7"/>
      <c r="T1551" s="8"/>
      <c r="U1551" s="19" t="str">
        <f>HYPERLINK("https://pbs.twimg.com/profile_images/1170789366651863040/4aRUH0fc.jpg","View")</f>
        <v>View</v>
      </c>
      <c r="V1551" s="8"/>
      <c r="W1551" s="8"/>
      <c r="X1551" s="8"/>
      <c r="Y1551" s="8"/>
      <c r="Z1551" s="8"/>
    </row>
    <row r="1552" spans="1:26" ht="12.75">
      <c r="A1552" s="11">
        <v>43747.280115740738</v>
      </c>
      <c r="B1552" s="12" t="str">
        <f>HYPERLINK("https://twitter.com/PlsCompact","@PlsCompact")</f>
        <v>@PlsCompact</v>
      </c>
      <c r="C1552" s="13" t="s">
        <v>11240</v>
      </c>
      <c r="D1552" s="7" t="s">
        <v>11241</v>
      </c>
      <c r="E1552" s="12" t="str">
        <f>HYPERLINK("https://twitter.com/PlsCompact/status/1181928140723179520","1181928140723179520")</f>
        <v>1181928140723179520</v>
      </c>
      <c r="F1552" s="8"/>
      <c r="G1552" s="14" t="s">
        <v>11242</v>
      </c>
      <c r="H1552" s="8"/>
      <c r="I1552" s="15">
        <v>0</v>
      </c>
      <c r="J1552" s="15">
        <v>0</v>
      </c>
      <c r="K1552" s="12" t="str">
        <f>HYPERLINK("http://twitter.com/download/android","Twitter for Android")</f>
        <v>Twitter for Android</v>
      </c>
      <c r="L1552" s="16">
        <v>393</v>
      </c>
      <c r="M1552" s="16">
        <v>355</v>
      </c>
      <c r="N1552" s="16">
        <v>0</v>
      </c>
      <c r="O1552" s="17"/>
      <c r="P1552" s="18">
        <v>41172.305219907408</v>
      </c>
      <c r="Q1552" s="7" t="s">
        <v>287</v>
      </c>
      <c r="R1552" s="7" t="s">
        <v>11243</v>
      </c>
      <c r="S1552" s="7"/>
      <c r="T1552" s="8"/>
      <c r="U1552" s="19" t="str">
        <f>HYPERLINK("https://pbs.twimg.com/profile_images/1148646598999728134/ClHsKQQp.jpg","View")</f>
        <v>View</v>
      </c>
      <c r="V1552" s="8"/>
      <c r="W1552" s="8"/>
      <c r="X1552" s="8"/>
      <c r="Y1552" s="8"/>
      <c r="Z1552" s="8"/>
    </row>
    <row r="1553" spans="1:26" ht="12.75">
      <c r="A1553" s="11">
        <v>43747.280057870375</v>
      </c>
      <c r="B1553" s="12" t="str">
        <f>HYPERLINK("https://twitter.com/idealstkalemler","@idealstkalemler")</f>
        <v>@idealstkalemler</v>
      </c>
      <c r="C1553" s="7" t="s">
        <v>11247</v>
      </c>
      <c r="D1553" s="7" t="s">
        <v>11248</v>
      </c>
      <c r="E1553" s="12" t="str">
        <f>HYPERLINK("https://twitter.com/idealstkalemler/status/1181928121479684096","1181928121479684096")</f>
        <v>1181928121479684096</v>
      </c>
      <c r="F1553" s="8"/>
      <c r="G1553" s="14" t="s">
        <v>11250</v>
      </c>
      <c r="H1553" s="8"/>
      <c r="I1553" s="15">
        <v>0</v>
      </c>
      <c r="J1553" s="15">
        <v>0</v>
      </c>
      <c r="K1553" s="12" t="str">
        <f>HYPERLINK("http://twitter.com/download/android","Twitter for Android")</f>
        <v>Twitter for Android</v>
      </c>
      <c r="L1553" s="16">
        <v>8</v>
      </c>
      <c r="M1553" s="16">
        <v>3</v>
      </c>
      <c r="N1553" s="16">
        <v>0</v>
      </c>
      <c r="O1553" s="17"/>
      <c r="P1553" s="18">
        <v>43392.052187499998</v>
      </c>
      <c r="Q1553" s="7"/>
      <c r="R1553" s="7"/>
      <c r="S1553" s="14" t="s">
        <v>11253</v>
      </c>
      <c r="T1553" s="8"/>
      <c r="U1553" s="19" t="str">
        <f>HYPERLINK("https://pbs.twimg.com/profile_images/1053198279150878721/-l-nYhGa.jpg","View")</f>
        <v>View</v>
      </c>
      <c r="V1553" s="8"/>
      <c r="W1553" s="8"/>
      <c r="X1553" s="8"/>
      <c r="Y1553" s="8"/>
      <c r="Z1553" s="8"/>
    </row>
    <row r="1554" spans="1:26" ht="12.75">
      <c r="A1554" s="11">
        <v>43747.280057870375</v>
      </c>
      <c r="B1554" s="12" t="str">
        <f>HYPERLINK("https://twitter.com/mstafaozerr","@mstafaozerr")</f>
        <v>@mstafaozerr</v>
      </c>
      <c r="C1554" s="7" t="s">
        <v>11257</v>
      </c>
      <c r="D1554" s="7" t="s">
        <v>11258</v>
      </c>
      <c r="E1554" s="12" t="str">
        <f>HYPERLINK("https://twitter.com/mstafaozerr/status/1181928118124199937","1181928118124199937")</f>
        <v>1181928118124199937</v>
      </c>
      <c r="F1554" s="8"/>
      <c r="G1554" s="14" t="s">
        <v>11260</v>
      </c>
      <c r="H1554" s="8"/>
      <c r="I1554" s="15">
        <v>1</v>
      </c>
      <c r="J1554" s="15">
        <v>4</v>
      </c>
      <c r="K1554" s="12" t="str">
        <f>HYPERLINK("http://twitter.com/download/android","Twitter for Android")</f>
        <v>Twitter for Android</v>
      </c>
      <c r="L1554" s="16">
        <v>1019</v>
      </c>
      <c r="M1554" s="16">
        <v>902</v>
      </c>
      <c r="N1554" s="16">
        <v>0</v>
      </c>
      <c r="O1554" s="17"/>
      <c r="P1554" s="18">
        <v>41713.615115740744</v>
      </c>
      <c r="Q1554" s="7" t="s">
        <v>313</v>
      </c>
      <c r="R1554" s="7" t="s">
        <v>11261</v>
      </c>
      <c r="S1554" s="7"/>
      <c r="T1554" s="8"/>
      <c r="U1554" s="19" t="str">
        <f>HYPERLINK("https://pbs.twimg.com/profile_images/1126204664297529344/3bOppIhw.jpg","View")</f>
        <v>View</v>
      </c>
      <c r="V1554" s="8"/>
      <c r="W1554" s="8"/>
      <c r="X1554" s="8"/>
      <c r="Y1554" s="8"/>
      <c r="Z1554" s="8"/>
    </row>
    <row r="1555" spans="1:26" ht="12.75">
      <c r="A1555" s="11">
        <v>43747.280046296291</v>
      </c>
      <c r="B1555" s="12" t="str">
        <f>HYPERLINK("https://twitter.com/melike_het","@melike_het")</f>
        <v>@melike_het</v>
      </c>
      <c r="C1555" s="7" t="s">
        <v>11265</v>
      </c>
      <c r="D1555" s="7" t="s">
        <v>9019</v>
      </c>
      <c r="E1555" s="12" t="str">
        <f>HYPERLINK("https://twitter.com/melike_het/status/1181928115087523840","1181928115087523840")</f>
        <v>1181928115087523840</v>
      </c>
      <c r="F1555" s="8"/>
      <c r="G1555" s="14" t="s">
        <v>11266</v>
      </c>
      <c r="H1555" s="8"/>
      <c r="I1555" s="15">
        <v>0</v>
      </c>
      <c r="J1555" s="15">
        <v>0</v>
      </c>
      <c r="K1555" s="12" t="str">
        <f>HYPERLINK("http://twitter.com/download/android","Twitter for Android")</f>
        <v>Twitter for Android</v>
      </c>
      <c r="L1555" s="16">
        <v>108</v>
      </c>
      <c r="M1555" s="16">
        <v>82</v>
      </c>
      <c r="N1555" s="16">
        <v>1</v>
      </c>
      <c r="O1555" s="17"/>
      <c r="P1555" s="18">
        <v>42471.705289351856</v>
      </c>
      <c r="Q1555" s="7" t="s">
        <v>11268</v>
      </c>
      <c r="R1555" s="7"/>
      <c r="S1555" s="7"/>
      <c r="T1555" s="8"/>
      <c r="U1555" s="19" t="str">
        <f>HYPERLINK("https://pbs.twimg.com/profile_images/1161716468138020865/3GtsrGMI.jpg","View")</f>
        <v>View</v>
      </c>
      <c r="V1555" s="8"/>
      <c r="W1555" s="8"/>
      <c r="X1555" s="8"/>
      <c r="Y1555" s="8"/>
      <c r="Z1555" s="8"/>
    </row>
    <row r="1556" spans="1:26" ht="12.75">
      <c r="A1556" s="11">
        <v>43747.28</v>
      </c>
      <c r="B1556" s="12" t="str">
        <f>HYPERLINK("https://twitter.com/kurallarkitabim","@kurallarkitabim")</f>
        <v>@kurallarkitabim</v>
      </c>
      <c r="C1556" s="7" t="s">
        <v>11271</v>
      </c>
      <c r="D1556" s="7" t="s">
        <v>10626</v>
      </c>
      <c r="E1556" s="12" t="str">
        <f>HYPERLINK("https://twitter.com/kurallarkitabim/status/1181928098700386304","1181928098700386304")</f>
        <v>1181928098700386304</v>
      </c>
      <c r="F1556" s="8"/>
      <c r="G1556" s="14" t="s">
        <v>11272</v>
      </c>
      <c r="H1556" s="8"/>
      <c r="I1556" s="15">
        <v>0</v>
      </c>
      <c r="J1556" s="15">
        <v>1</v>
      </c>
      <c r="K1556" s="12" t="str">
        <f>HYPERLINK("https://about.twitter.com/products/tweetdeck","TweetDeck")</f>
        <v>TweetDeck</v>
      </c>
      <c r="L1556" s="16">
        <v>39695</v>
      </c>
      <c r="M1556" s="16">
        <v>39624</v>
      </c>
      <c r="N1556" s="16">
        <v>14</v>
      </c>
      <c r="O1556" s="17"/>
      <c r="P1556" s="18">
        <v>42786.430405092593</v>
      </c>
      <c r="Q1556" s="7"/>
      <c r="R1556" s="7" t="s">
        <v>11276</v>
      </c>
      <c r="S1556" s="7"/>
      <c r="T1556" s="8"/>
      <c r="U1556" s="19" t="str">
        <f>HYPERLINK("https://pbs.twimg.com/profile_images/996336687717511169/_8PmsYG3.jpg","View")</f>
        <v>View</v>
      </c>
      <c r="V1556" s="8"/>
      <c r="W1556" s="8"/>
      <c r="X1556" s="8"/>
      <c r="Y1556" s="8"/>
      <c r="Z1556" s="8"/>
    </row>
    <row r="1557" spans="1:26" ht="12.75">
      <c r="A1557" s="11">
        <v>43747.28</v>
      </c>
      <c r="B1557" s="12" t="str">
        <f>HYPERLINK("https://twitter.com/SonsuzGull","@SonsuzGull")</f>
        <v>@SonsuzGull</v>
      </c>
      <c r="C1557" s="7" t="s">
        <v>11278</v>
      </c>
      <c r="D1557" s="7" t="s">
        <v>11279</v>
      </c>
      <c r="E1557" s="12" t="str">
        <f>HYPERLINK("https://twitter.com/SonsuzGull/status/1181928098247434241","1181928098247434241")</f>
        <v>1181928098247434241</v>
      </c>
      <c r="F1557" s="8"/>
      <c r="G1557" s="14" t="s">
        <v>11280</v>
      </c>
      <c r="H1557" s="8"/>
      <c r="I1557" s="15">
        <v>22</v>
      </c>
      <c r="J1557" s="15">
        <v>28</v>
      </c>
      <c r="K1557" s="12" t="str">
        <f>HYPERLINK("http://twitter.com/download/android","Twitter for Android")</f>
        <v>Twitter for Android</v>
      </c>
      <c r="L1557" s="16">
        <v>13896</v>
      </c>
      <c r="M1557" s="16">
        <v>3294</v>
      </c>
      <c r="N1557" s="16">
        <v>21</v>
      </c>
      <c r="O1557" s="17"/>
      <c r="P1557" s="18">
        <v>42904.867013888885</v>
      </c>
      <c r="Q1557" s="7"/>
      <c r="R1557" s="7" t="s">
        <v>11284</v>
      </c>
      <c r="S1557" s="7"/>
      <c r="T1557" s="8"/>
      <c r="U1557" s="19" t="str">
        <f>HYPERLINK("https://pbs.twimg.com/profile_images/1181429116211470336/5qRUZBM5.jpg","View")</f>
        <v>View</v>
      </c>
      <c r="V1557" s="8"/>
      <c r="W1557" s="8"/>
      <c r="X1557" s="8"/>
      <c r="Y1557" s="8"/>
      <c r="Z1557" s="8"/>
    </row>
    <row r="1558" spans="1:26" ht="12.75">
      <c r="A1558" s="11">
        <v>43747.279988425929</v>
      </c>
      <c r="B1558" s="12" t="str">
        <f>HYPERLINK("https://twitter.com/omererdemx","@omererdemx")</f>
        <v>@omererdemx</v>
      </c>
      <c r="C1558" s="7" t="s">
        <v>11287</v>
      </c>
      <c r="D1558" s="7" t="s">
        <v>11288</v>
      </c>
      <c r="E1558" s="12" t="str">
        <f>HYPERLINK("https://twitter.com/omererdemx/status/1181928095516909568","1181928095516909568")</f>
        <v>1181928095516909568</v>
      </c>
      <c r="F1558" s="8"/>
      <c r="G1558" s="14" t="s">
        <v>11289</v>
      </c>
      <c r="H1558" s="8"/>
      <c r="I1558" s="15">
        <v>0</v>
      </c>
      <c r="J1558" s="15">
        <v>2</v>
      </c>
      <c r="K1558" s="12" t="str">
        <f>HYPERLINK("http://twitter.com/download/android","Twitter for Android")</f>
        <v>Twitter for Android</v>
      </c>
      <c r="L1558" s="16">
        <v>110</v>
      </c>
      <c r="M1558" s="16">
        <v>121</v>
      </c>
      <c r="N1558" s="16">
        <v>0</v>
      </c>
      <c r="O1558" s="17"/>
      <c r="P1558" s="18">
        <v>43523.900590277779</v>
      </c>
      <c r="Q1558" s="7"/>
      <c r="R1558" s="7" t="s">
        <v>11292</v>
      </c>
      <c r="S1558" s="7"/>
      <c r="T1558" s="8"/>
      <c r="U1558" s="19" t="str">
        <f>HYPERLINK("https://pbs.twimg.com/profile_images/1165373430654480384/jc5MAW9b.jpg","View")</f>
        <v>View</v>
      </c>
      <c r="V1558" s="8"/>
      <c r="W1558" s="8"/>
      <c r="X1558" s="8"/>
      <c r="Y1558" s="8"/>
      <c r="Z1558" s="8"/>
    </row>
    <row r="1559" spans="1:26" ht="12.75">
      <c r="A1559" s="11">
        <v>43747.279976851853</v>
      </c>
      <c r="B1559" s="12" t="str">
        <f>HYPERLINK("https://twitter.com/mert45080930","@mert45080930")</f>
        <v>@mert45080930</v>
      </c>
      <c r="C1559" s="7" t="s">
        <v>5109</v>
      </c>
      <c r="D1559" s="7" t="s">
        <v>11295</v>
      </c>
      <c r="E1559" s="12" t="str">
        <f>HYPERLINK("https://twitter.com/mert45080930/status/1181928091427463168","1181928091427463168")</f>
        <v>1181928091427463168</v>
      </c>
      <c r="F1559" s="8"/>
      <c r="G1559" s="14" t="s">
        <v>11296</v>
      </c>
      <c r="H1559" s="8"/>
      <c r="I1559" s="15">
        <v>2</v>
      </c>
      <c r="J1559" s="15">
        <v>2</v>
      </c>
      <c r="K1559" s="12" t="str">
        <f>HYPERLINK("http://twitter.com/download/iphone","Twitter for iPhone")</f>
        <v>Twitter for iPhone</v>
      </c>
      <c r="L1559" s="16">
        <v>5</v>
      </c>
      <c r="M1559" s="16">
        <v>53</v>
      </c>
      <c r="N1559" s="16">
        <v>1</v>
      </c>
      <c r="O1559" s="17"/>
      <c r="P1559" s="18">
        <v>43746.415601851855</v>
      </c>
      <c r="Q1559" s="7"/>
      <c r="R1559" s="7" t="s">
        <v>11300</v>
      </c>
      <c r="S1559" s="7"/>
      <c r="T1559" s="8"/>
      <c r="U1559" s="19" t="str">
        <f>HYPERLINK("https://pbs.twimg.com/profile_images/1181614954039910402/9NEaum15.jpg","View")</f>
        <v>View</v>
      </c>
      <c r="V1559" s="8"/>
      <c r="W1559" s="8"/>
      <c r="X1559" s="8"/>
      <c r="Y1559" s="8"/>
      <c r="Z1559" s="8"/>
    </row>
    <row r="1560" spans="1:26" ht="12.75">
      <c r="A1560" s="11">
        <v>43747.279953703706</v>
      </c>
      <c r="B1560" s="12" t="str">
        <f>HYPERLINK("https://twitter.com/mstf_aslnturk","@mstf_aslnturk")</f>
        <v>@mstf_aslnturk</v>
      </c>
      <c r="C1560" s="7" t="s">
        <v>11303</v>
      </c>
      <c r="D1560" s="7" t="s">
        <v>11304</v>
      </c>
      <c r="E1560" s="12" t="str">
        <f>HYPERLINK("https://twitter.com/mstf_aslnturk/status/1181928080438386689","1181928080438386689")</f>
        <v>1181928080438386689</v>
      </c>
      <c r="F1560" s="8"/>
      <c r="G1560" s="14" t="s">
        <v>11306</v>
      </c>
      <c r="H1560" s="8"/>
      <c r="I1560" s="15">
        <v>1</v>
      </c>
      <c r="J1560" s="15">
        <v>4</v>
      </c>
      <c r="K1560" s="12" t="str">
        <f>HYPERLINK("http://twitter.com/download/android","Twitter for Android")</f>
        <v>Twitter for Android</v>
      </c>
      <c r="L1560" s="16">
        <v>10</v>
      </c>
      <c r="M1560" s="16">
        <v>82</v>
      </c>
      <c r="N1560" s="16">
        <v>0</v>
      </c>
      <c r="O1560" s="17"/>
      <c r="P1560" s="18">
        <v>43743.358900462961</v>
      </c>
      <c r="Q1560" s="7"/>
      <c r="R1560" s="7" t="s">
        <v>11308</v>
      </c>
      <c r="S1560" s="14" t="s">
        <v>9643</v>
      </c>
      <c r="T1560" s="8"/>
      <c r="U1560" s="19" t="str">
        <f>HYPERLINK("https://pbs.twimg.com/profile_images/1180507798142148610/Mujx07Sq.jpg","View")</f>
        <v>View</v>
      </c>
      <c r="V1560" s="8"/>
      <c r="W1560" s="8"/>
      <c r="X1560" s="8"/>
      <c r="Y1560" s="8"/>
      <c r="Z1560" s="8"/>
    </row>
    <row r="1561" spans="1:26" ht="12.75">
      <c r="A1561" s="11">
        <v>43747.279918981483</v>
      </c>
      <c r="B1561" s="12" t="str">
        <f>HYPERLINK("https://twitter.com/mmtblt","@mmtblt")</f>
        <v>@mmtblt</v>
      </c>
      <c r="C1561" s="7" t="s">
        <v>11311</v>
      </c>
      <c r="D1561" s="7" t="s">
        <v>11313</v>
      </c>
      <c r="E1561" s="12" t="str">
        <f>HYPERLINK("https://twitter.com/mmtblt/status/1181928070892199937","1181928070892199937")</f>
        <v>1181928070892199937</v>
      </c>
      <c r="F1561" s="8"/>
      <c r="G1561" s="15"/>
      <c r="H1561" s="8"/>
      <c r="I1561" s="15">
        <v>0</v>
      </c>
      <c r="J1561" s="15">
        <v>0</v>
      </c>
      <c r="K1561" s="12" t="str">
        <f>HYPERLINK("http://twitter.com/download/android","Twitter for Android")</f>
        <v>Twitter for Android</v>
      </c>
      <c r="L1561" s="16">
        <v>336</v>
      </c>
      <c r="M1561" s="16">
        <v>1662</v>
      </c>
      <c r="N1561" s="16">
        <v>0</v>
      </c>
      <c r="O1561" s="20"/>
      <c r="P1561" s="18">
        <v>41074.206145833334</v>
      </c>
      <c r="Q1561" s="7" t="s">
        <v>4422</v>
      </c>
      <c r="R1561" s="7" t="s">
        <v>11317</v>
      </c>
      <c r="S1561" s="15"/>
      <c r="T1561" s="8"/>
      <c r="U1561" s="19" t="str">
        <f>HYPERLINK("https://pbs.twimg.com/profile_images/1150852368331923457/rf8O32sY.jpg","View")</f>
        <v>View</v>
      </c>
      <c r="V1561" s="8"/>
      <c r="W1561" s="8"/>
      <c r="X1561" s="8"/>
      <c r="Y1561" s="8"/>
      <c r="Z1561" s="8"/>
    </row>
    <row r="1562" spans="1:26" ht="12.75">
      <c r="A1562" s="11">
        <v>43747.27989583333</v>
      </c>
      <c r="B1562" s="12" t="str">
        <f>HYPERLINK("https://twitter.com/korpemre","@korpemre")</f>
        <v>@korpemre</v>
      </c>
      <c r="C1562" s="7" t="s">
        <v>11318</v>
      </c>
      <c r="D1562" s="7" t="s">
        <v>11319</v>
      </c>
      <c r="E1562" s="12" t="str">
        <f>HYPERLINK("https://twitter.com/korpemre/status/1181928058854531074","1181928058854531074")</f>
        <v>1181928058854531074</v>
      </c>
      <c r="F1562" s="8"/>
      <c r="G1562" s="15"/>
      <c r="H1562" s="8"/>
      <c r="I1562" s="15">
        <v>0</v>
      </c>
      <c r="J1562" s="15">
        <v>1</v>
      </c>
      <c r="K1562" s="12" t="str">
        <f>HYPERLINK("http://twitter.com/download/iphone","Twitter for iPhone")</f>
        <v>Twitter for iPhone</v>
      </c>
      <c r="L1562" s="16">
        <v>1</v>
      </c>
      <c r="M1562" s="16">
        <v>5</v>
      </c>
      <c r="N1562" s="16">
        <v>0</v>
      </c>
      <c r="O1562" s="17"/>
      <c r="P1562" s="18">
        <v>43745.561400462961</v>
      </c>
      <c r="Q1562" s="7"/>
      <c r="R1562" s="7"/>
      <c r="S1562" s="7"/>
      <c r="T1562" s="8"/>
      <c r="U1562" s="19" t="str">
        <f>HYPERLINK("https://pbs.twimg.com/profile_images/1181305768517095424/gN60eGbM.jpg","View")</f>
        <v>View</v>
      </c>
      <c r="V1562" s="8"/>
      <c r="W1562" s="8"/>
      <c r="X1562" s="8"/>
      <c r="Y1562" s="8"/>
      <c r="Z1562" s="8"/>
    </row>
    <row r="1563" spans="1:26" ht="12.75">
      <c r="A1563" s="11">
        <v>43747.279826388884</v>
      </c>
      <c r="B1563" s="12" t="str">
        <f>HYPERLINK("https://twitter.com/frst34","@frst34")</f>
        <v>@frst34</v>
      </c>
      <c r="C1563" s="7" t="s">
        <v>11320</v>
      </c>
      <c r="D1563" s="7" t="s">
        <v>11321</v>
      </c>
      <c r="E1563" s="12" t="str">
        <f>HYPERLINK("https://twitter.com/frst34/status/1181928036645703686","1181928036645703686")</f>
        <v>1181928036645703686</v>
      </c>
      <c r="F1563" s="8"/>
      <c r="G1563" s="14" t="s">
        <v>11322</v>
      </c>
      <c r="H1563" s="8"/>
      <c r="I1563" s="15">
        <v>0</v>
      </c>
      <c r="J1563" s="15">
        <v>0</v>
      </c>
      <c r="K1563" s="12" t="str">
        <f>HYPERLINK("http://twitter.com/download/iphone","Twitter for iPhone")</f>
        <v>Twitter for iPhone</v>
      </c>
      <c r="L1563" s="16">
        <v>1601</v>
      </c>
      <c r="M1563" s="16">
        <v>1870</v>
      </c>
      <c r="N1563" s="16">
        <v>1</v>
      </c>
      <c r="O1563" s="17"/>
      <c r="P1563" s="18">
        <v>42734.502662037034</v>
      </c>
      <c r="Q1563" s="7"/>
      <c r="R1563" s="7" t="s">
        <v>11324</v>
      </c>
      <c r="S1563" s="15"/>
      <c r="T1563" s="8"/>
      <c r="U1563" s="19" t="str">
        <f>HYPERLINK("https://pbs.twimg.com/profile_images/1143171431313924096/DWXjo5NH.jpg","View")</f>
        <v>View</v>
      </c>
      <c r="V1563" s="8"/>
      <c r="W1563" s="8"/>
      <c r="X1563" s="8"/>
      <c r="Y1563" s="8"/>
      <c r="Z1563" s="8"/>
    </row>
    <row r="1564" spans="1:26" ht="12.75">
      <c r="A1564" s="11">
        <v>43747.279826388884</v>
      </c>
      <c r="B1564" s="12" t="str">
        <f>HYPERLINK("https://twitter.com/WiNTeR_2017","@WiNTeR_2017")</f>
        <v>@WiNTeR_2017</v>
      </c>
      <c r="C1564" s="7" t="s">
        <v>11327</v>
      </c>
      <c r="D1564" s="7" t="s">
        <v>11329</v>
      </c>
      <c r="E1564" s="12" t="str">
        <f>HYPERLINK("https://twitter.com/WiNTeR_2017/status/1181928034292682752","1181928034292682752")</f>
        <v>1181928034292682752</v>
      </c>
      <c r="F1564" s="8"/>
      <c r="G1564" s="15"/>
      <c r="H1564" s="8"/>
      <c r="I1564" s="15">
        <v>0</v>
      </c>
      <c r="J1564" s="15">
        <v>0</v>
      </c>
      <c r="K1564" s="12" t="str">
        <f>HYPERLINK("http://twitter.com/download/iphone","Twitter for iPhone")</f>
        <v>Twitter for iPhone</v>
      </c>
      <c r="L1564" s="16">
        <v>0</v>
      </c>
      <c r="M1564" s="16">
        <v>639</v>
      </c>
      <c r="N1564" s="16">
        <v>0</v>
      </c>
      <c r="O1564" s="17"/>
      <c r="P1564" s="18">
        <v>42570.200231481482</v>
      </c>
      <c r="Q1564" s="7"/>
      <c r="R1564" s="7"/>
      <c r="S1564" s="7"/>
      <c r="T1564" s="8"/>
      <c r="U1564" s="20" t="s">
        <v>354</v>
      </c>
      <c r="V1564" s="8"/>
      <c r="W1564" s="8"/>
      <c r="X1564" s="8"/>
      <c r="Y1564" s="8"/>
      <c r="Z1564" s="8"/>
    </row>
    <row r="1565" spans="1:26" ht="12.75">
      <c r="A1565" s="11">
        <v>43747.279791666668</v>
      </c>
      <c r="B1565" s="12" t="str">
        <f>HYPERLINK("https://twitter.com/boopptae","@boopptae")</f>
        <v>@boopptae</v>
      </c>
      <c r="C1565" s="7" t="s">
        <v>11332</v>
      </c>
      <c r="D1565" s="7" t="s">
        <v>11333</v>
      </c>
      <c r="E1565" s="12" t="str">
        <f>HYPERLINK("https://twitter.com/boopptae/status/1181928022196260865","1181928022196260865")</f>
        <v>1181928022196260865</v>
      </c>
      <c r="F1565" s="8"/>
      <c r="G1565" s="15"/>
      <c r="H1565" s="8"/>
      <c r="I1565" s="15">
        <v>0</v>
      </c>
      <c r="J1565" s="15">
        <v>0</v>
      </c>
      <c r="K1565" s="12" t="str">
        <f>HYPERLINK("http://twitter.com/download/iphone","Twitter for iPhone")</f>
        <v>Twitter for iPhone</v>
      </c>
      <c r="L1565" s="16">
        <v>67</v>
      </c>
      <c r="M1565" s="16">
        <v>192</v>
      </c>
      <c r="N1565" s="16">
        <v>0</v>
      </c>
      <c r="O1565" s="17"/>
      <c r="P1565" s="18">
        <v>43652.11346064815</v>
      </c>
      <c r="Q1565" s="7" t="s">
        <v>11336</v>
      </c>
      <c r="R1565" s="7" t="s">
        <v>11337</v>
      </c>
      <c r="S1565" s="7"/>
      <c r="T1565" s="8"/>
      <c r="U1565" s="19" t="str">
        <f>HYPERLINK("https://pbs.twimg.com/profile_images/1178304535816802304/wmZgiNjm.jpg","View")</f>
        <v>View</v>
      </c>
      <c r="V1565" s="8"/>
      <c r="W1565" s="8"/>
      <c r="X1565" s="8"/>
      <c r="Y1565" s="8"/>
      <c r="Z1565" s="8"/>
    </row>
    <row r="1566" spans="1:26" ht="12.75">
      <c r="A1566" s="11">
        <v>43747.279780092591</v>
      </c>
      <c r="B1566" s="12" t="str">
        <f>HYPERLINK("https://twitter.com/SezgiCakici","@SezgiCakici")</f>
        <v>@SezgiCakici</v>
      </c>
      <c r="C1566" s="7" t="s">
        <v>11338</v>
      </c>
      <c r="D1566" s="7" t="s">
        <v>11339</v>
      </c>
      <c r="E1566" s="12" t="str">
        <f>HYPERLINK("https://twitter.com/SezgiCakici/status/1181928020455645189","1181928020455645189")</f>
        <v>1181928020455645189</v>
      </c>
      <c r="F1566" s="8"/>
      <c r="G1566" s="7"/>
      <c r="H1566" s="8"/>
      <c r="I1566" s="15">
        <v>0</v>
      </c>
      <c r="J1566" s="15">
        <v>2</v>
      </c>
      <c r="K1566" s="12" t="str">
        <f>HYPERLINK("http://twitter.com/download/android","Twitter for Android")</f>
        <v>Twitter for Android</v>
      </c>
      <c r="L1566" s="16">
        <v>256</v>
      </c>
      <c r="M1566" s="16">
        <v>79</v>
      </c>
      <c r="N1566" s="16">
        <v>0</v>
      </c>
      <c r="O1566" s="17"/>
      <c r="P1566" s="18">
        <v>43373.278020833328</v>
      </c>
      <c r="Q1566" s="7" t="s">
        <v>80</v>
      </c>
      <c r="R1566" s="7"/>
      <c r="S1566" s="7"/>
      <c r="T1566" s="8"/>
      <c r="U1566" s="19" t="str">
        <f>HYPERLINK("https://pbs.twimg.com/profile_images/1180603366411341828/3vjpmsFW.jpg","View")</f>
        <v>View</v>
      </c>
      <c r="V1566" s="8"/>
      <c r="W1566" s="8"/>
      <c r="X1566" s="8"/>
      <c r="Y1566" s="8"/>
      <c r="Z1566" s="8"/>
    </row>
    <row r="1567" spans="1:26" ht="12.75">
      <c r="A1567" s="11">
        <v>43747.279780092591</v>
      </c>
      <c r="B1567" s="12" t="str">
        <f>HYPERLINK("https://twitter.com/nuvazmuzik","@nuvazmuzik")</f>
        <v>@nuvazmuzik</v>
      </c>
      <c r="C1567" s="7" t="s">
        <v>11343</v>
      </c>
      <c r="D1567" s="7" t="s">
        <v>11345</v>
      </c>
      <c r="E1567" s="12" t="str">
        <f>HYPERLINK("https://twitter.com/nuvazmuzik/status/1181928019759378432","1181928019759378432")</f>
        <v>1181928019759378432</v>
      </c>
      <c r="F1567" s="14" t="s">
        <v>11346</v>
      </c>
      <c r="G1567" s="15"/>
      <c r="H1567" s="8"/>
      <c r="I1567" s="15">
        <v>2</v>
      </c>
      <c r="J1567" s="15">
        <v>7</v>
      </c>
      <c r="K1567" s="12" t="str">
        <f>HYPERLINK("http://twitter.com/download/android","Twitter for Android")</f>
        <v>Twitter for Android</v>
      </c>
      <c r="L1567" s="16">
        <v>1719</v>
      </c>
      <c r="M1567" s="16">
        <v>333</v>
      </c>
      <c r="N1567" s="16">
        <v>6</v>
      </c>
      <c r="O1567" s="17"/>
      <c r="P1567" s="18">
        <v>40325.429791666669</v>
      </c>
      <c r="Q1567" s="7" t="s">
        <v>576</v>
      </c>
      <c r="R1567" s="7" t="s">
        <v>11349</v>
      </c>
      <c r="S1567" s="14" t="s">
        <v>11350</v>
      </c>
      <c r="T1567" s="8"/>
      <c r="U1567" s="19" t="str">
        <f>HYPERLINK("https://pbs.twimg.com/profile_images/887618351870222336/Ebw_vzPU.jpg","View")</f>
        <v>View</v>
      </c>
      <c r="V1567" s="8"/>
      <c r="W1567" s="8"/>
      <c r="X1567" s="8"/>
      <c r="Y1567" s="8"/>
      <c r="Z1567" s="8"/>
    </row>
    <row r="1568" spans="1:26" ht="12.75">
      <c r="A1568" s="11">
        <v>43747.279780092591</v>
      </c>
      <c r="B1568" s="12" t="str">
        <f>HYPERLINK("https://twitter.com/ttarikozdemir","@ttarikozdemir")</f>
        <v>@ttarikozdemir</v>
      </c>
      <c r="C1568" s="7" t="s">
        <v>11351</v>
      </c>
      <c r="D1568" s="7" t="s">
        <v>11352</v>
      </c>
      <c r="E1568" s="12" t="str">
        <f>HYPERLINK("https://twitter.com/ttarikozdemir/status/1181928018668920832","1181928018668920832")</f>
        <v>1181928018668920832</v>
      </c>
      <c r="F1568" s="8"/>
      <c r="G1568" s="14" t="s">
        <v>11353</v>
      </c>
      <c r="H1568" s="8"/>
      <c r="I1568" s="15">
        <v>0</v>
      </c>
      <c r="J1568" s="15">
        <v>1</v>
      </c>
      <c r="K1568" s="12" t="str">
        <f>HYPERLINK("http://twitter.com/download/iphone","Twitter for iPhone")</f>
        <v>Twitter for iPhone</v>
      </c>
      <c r="L1568" s="16">
        <v>100</v>
      </c>
      <c r="M1568" s="16">
        <v>94</v>
      </c>
      <c r="N1568" s="16">
        <v>0</v>
      </c>
      <c r="O1568" s="17"/>
      <c r="P1568" s="18">
        <v>41120.727233796293</v>
      </c>
      <c r="Q1568" s="7" t="s">
        <v>9716</v>
      </c>
      <c r="R1568" s="7" t="s">
        <v>11356</v>
      </c>
      <c r="S1568" s="7"/>
      <c r="T1568" s="8"/>
      <c r="U1568" s="19" t="str">
        <f>HYPERLINK("https://pbs.twimg.com/profile_images/927559188330500096/AZ_8HZUg.jpg","View")</f>
        <v>View</v>
      </c>
      <c r="V1568" s="8"/>
      <c r="W1568" s="8"/>
      <c r="X1568" s="8"/>
      <c r="Y1568" s="8"/>
      <c r="Z1568" s="8"/>
    </row>
    <row r="1569" spans="1:26" ht="12.75">
      <c r="A1569" s="11">
        <v>43747.279780092591</v>
      </c>
      <c r="B1569" s="12" t="str">
        <f>HYPERLINK("https://twitter.com/dinleyinulannn","@dinleyinulannn")</f>
        <v>@dinleyinulannn</v>
      </c>
      <c r="C1569" s="7" t="s">
        <v>11358</v>
      </c>
      <c r="D1569" s="7" t="s">
        <v>11359</v>
      </c>
      <c r="E1569" s="12" t="str">
        <f>HYPERLINK("https://twitter.com/dinleyinulannn/status/1181928017523810306","1181928017523810306")</f>
        <v>1181928017523810306</v>
      </c>
      <c r="F1569" s="8"/>
      <c r="G1569" s="15"/>
      <c r="H1569" s="8"/>
      <c r="I1569" s="15">
        <v>0</v>
      </c>
      <c r="J1569" s="15">
        <v>0</v>
      </c>
      <c r="K1569" s="12" t="str">
        <f>HYPERLINK("http://twitter.com/download/android","Twitter for Android")</f>
        <v>Twitter for Android</v>
      </c>
      <c r="L1569" s="16">
        <v>108</v>
      </c>
      <c r="M1569" s="16">
        <v>266</v>
      </c>
      <c r="N1569" s="16">
        <v>4</v>
      </c>
      <c r="O1569" s="17"/>
      <c r="P1569" s="18">
        <v>40942.428541666668</v>
      </c>
      <c r="Q1569" s="7" t="s">
        <v>1639</v>
      </c>
      <c r="R1569" s="7" t="s">
        <v>11363</v>
      </c>
      <c r="S1569" s="7"/>
      <c r="T1569" s="8"/>
      <c r="U1569" s="19" t="str">
        <f>HYPERLINK("https://pbs.twimg.com/profile_images/1137449980187348997/9UdYIPbN.jpg","View")</f>
        <v>View</v>
      </c>
      <c r="V1569" s="8"/>
      <c r="W1569" s="8"/>
      <c r="X1569" s="8"/>
      <c r="Y1569" s="8"/>
      <c r="Z1569" s="8"/>
    </row>
    <row r="1570" spans="1:26" ht="12.75">
      <c r="A1570" s="11">
        <v>43747.279768518521</v>
      </c>
      <c r="B1570" s="12" t="str">
        <f>HYPERLINK("https://twitter.com/SunaIzol","@SunaIzol")</f>
        <v>@SunaIzol</v>
      </c>
      <c r="C1570" s="7" t="s">
        <v>11365</v>
      </c>
      <c r="D1570" s="7" t="s">
        <v>11366</v>
      </c>
      <c r="E1570" s="12" t="str">
        <f>HYPERLINK("https://twitter.com/SunaIzol/status/1181928013052682240","1181928013052682240")</f>
        <v>1181928013052682240</v>
      </c>
      <c r="F1570" s="7"/>
      <c r="G1570" s="14" t="s">
        <v>11367</v>
      </c>
      <c r="H1570" s="8"/>
      <c r="I1570" s="15">
        <v>0</v>
      </c>
      <c r="J1570" s="15">
        <v>1</v>
      </c>
      <c r="K1570" s="12" t="str">
        <f>HYPERLINK("http://twitter.com/download/android","Twitter for Android")</f>
        <v>Twitter for Android</v>
      </c>
      <c r="L1570" s="16">
        <v>147</v>
      </c>
      <c r="M1570" s="16">
        <v>107</v>
      </c>
      <c r="N1570" s="16">
        <v>0</v>
      </c>
      <c r="O1570" s="17"/>
      <c r="P1570" s="18">
        <v>42752.006932870368</v>
      </c>
      <c r="Q1570" s="7"/>
      <c r="R1570" s="7" t="s">
        <v>807</v>
      </c>
      <c r="S1570" s="7"/>
      <c r="T1570" s="8"/>
      <c r="U1570" s="19" t="str">
        <f>HYPERLINK("https://pbs.twimg.com/profile_images/1169306156071890944/d7_2U2fh.jpg","View")</f>
        <v>View</v>
      </c>
      <c r="V1570" s="8"/>
      <c r="W1570" s="8"/>
      <c r="X1570" s="8"/>
      <c r="Y1570" s="8"/>
      <c r="Z1570" s="8"/>
    </row>
    <row r="1571" spans="1:26" ht="12.75">
      <c r="A1571" s="11">
        <v>43747.279733796298</v>
      </c>
      <c r="B1571" s="12" t="str">
        <f>HYPERLINK("https://twitter.com/Crazzypain","@Crazzypain")</f>
        <v>@Crazzypain</v>
      </c>
      <c r="C1571" s="7" t="s">
        <v>11371</v>
      </c>
      <c r="D1571" s="7" t="s">
        <v>11372</v>
      </c>
      <c r="E1571" s="12" t="str">
        <f>HYPERLINK("https://twitter.com/Crazzypain/status/1181928003435139072","1181928003435139072")</f>
        <v>1181928003435139072</v>
      </c>
      <c r="F1571" s="8"/>
      <c r="G1571" s="14" t="s">
        <v>11373</v>
      </c>
      <c r="H1571" s="8"/>
      <c r="I1571" s="15">
        <v>0</v>
      </c>
      <c r="J1571" s="15">
        <v>8</v>
      </c>
      <c r="K1571" s="12" t="str">
        <f>HYPERLINK("http://twitter.com/download/android","Twitter for Android")</f>
        <v>Twitter for Android</v>
      </c>
      <c r="L1571" s="16">
        <v>8020</v>
      </c>
      <c r="M1571" s="16">
        <v>62</v>
      </c>
      <c r="N1571" s="16">
        <v>53</v>
      </c>
      <c r="O1571" s="17"/>
      <c r="P1571" s="18">
        <v>42195.769629629634</v>
      </c>
      <c r="Q1571" s="7" t="s">
        <v>11378</v>
      </c>
      <c r="R1571" s="7" t="s">
        <v>11379</v>
      </c>
      <c r="S1571" s="7"/>
      <c r="T1571" s="8"/>
      <c r="U1571" s="19" t="str">
        <f>HYPERLINK("https://pbs.twimg.com/profile_images/1175877933652746241/krmNo3AY.jpg","View")</f>
        <v>View</v>
      </c>
      <c r="V1571" s="8"/>
      <c r="W1571" s="8"/>
      <c r="X1571" s="8"/>
      <c r="Y1571" s="8"/>
      <c r="Z1571" s="8"/>
    </row>
    <row r="1572" spans="1:26" ht="12.75">
      <c r="A1572" s="11">
        <v>43747.279699074075</v>
      </c>
      <c r="B1572" s="12" t="str">
        <f>HYPERLINK("https://twitter.com/KackarBeyi","@KackarBeyi")</f>
        <v>@KackarBeyi</v>
      </c>
      <c r="C1572" s="7" t="s">
        <v>11381</v>
      </c>
      <c r="D1572" s="13" t="s">
        <v>11382</v>
      </c>
      <c r="E1572" s="12" t="str">
        <f>HYPERLINK("https://twitter.com/KackarBeyi/status/1181927989275172864","1181927989275172864")</f>
        <v>1181927989275172864</v>
      </c>
      <c r="F1572" s="8"/>
      <c r="G1572" s="14" t="s">
        <v>11384</v>
      </c>
      <c r="H1572" s="8"/>
      <c r="I1572" s="15">
        <v>1</v>
      </c>
      <c r="J1572" s="15">
        <v>6</v>
      </c>
      <c r="K1572" s="12" t="str">
        <f>HYPERLINK("http://twitter.com/download/android","Twitter for Android")</f>
        <v>Twitter for Android</v>
      </c>
      <c r="L1572" s="16">
        <v>85</v>
      </c>
      <c r="M1572" s="16">
        <v>261</v>
      </c>
      <c r="N1572" s="16">
        <v>0</v>
      </c>
      <c r="O1572" s="17"/>
      <c r="P1572" s="18">
        <v>43104.509328703702</v>
      </c>
      <c r="Q1572" s="7" t="s">
        <v>11387</v>
      </c>
      <c r="R1572" s="13" t="s">
        <v>11388</v>
      </c>
      <c r="S1572" s="15"/>
      <c r="T1572" s="8"/>
      <c r="U1572" s="19" t="str">
        <f>HYPERLINK("https://pbs.twimg.com/profile_images/1174809208832823298/7JTR6HTx.jpg","View")</f>
        <v>View</v>
      </c>
      <c r="V1572" s="8"/>
      <c r="W1572" s="8"/>
      <c r="X1572" s="8"/>
      <c r="Y1572" s="8"/>
      <c r="Z1572" s="8"/>
    </row>
    <row r="1573" spans="1:26" ht="12.75">
      <c r="A1573" s="11">
        <v>43747.279687499999</v>
      </c>
      <c r="B1573" s="12" t="str">
        <f>HYPERLINK("https://twitter.com/beg_kurt","@beg_kurt")</f>
        <v>@beg_kurt</v>
      </c>
      <c r="C1573" s="7" t="s">
        <v>11391</v>
      </c>
      <c r="D1573" s="7" t="s">
        <v>11392</v>
      </c>
      <c r="E1573" s="12" t="str">
        <f>HYPERLINK("https://twitter.com/beg_kurt/status/1181927984732737536","1181927984732737536")</f>
        <v>1181927984732737536</v>
      </c>
      <c r="F1573" s="8"/>
      <c r="G1573" s="14" t="s">
        <v>11393</v>
      </c>
      <c r="H1573" s="8"/>
      <c r="I1573" s="15">
        <v>1</v>
      </c>
      <c r="J1573" s="15">
        <v>13</v>
      </c>
      <c r="K1573" s="12" t="str">
        <f>HYPERLINK("http://twitter.com/download/android","Twitter for Android")</f>
        <v>Twitter for Android</v>
      </c>
      <c r="L1573" s="16">
        <v>327</v>
      </c>
      <c r="M1573" s="16">
        <v>328</v>
      </c>
      <c r="N1573" s="16">
        <v>0</v>
      </c>
      <c r="O1573" s="17"/>
      <c r="P1573" s="18">
        <v>43722.46597222222</v>
      </c>
      <c r="Q1573" s="7"/>
      <c r="R1573" s="7" t="s">
        <v>11396</v>
      </c>
      <c r="S1573" s="7"/>
      <c r="T1573" s="8"/>
      <c r="U1573" s="19" t="str">
        <f>HYPERLINK("https://pbs.twimg.com/profile_images/1180166088581144577/Blfe6cnu.jpg","View")</f>
        <v>View</v>
      </c>
      <c r="V1573" s="8"/>
      <c r="W1573" s="8"/>
      <c r="X1573" s="8"/>
      <c r="Y1573" s="8"/>
      <c r="Z1573" s="8"/>
    </row>
    <row r="1574" spans="1:26" ht="12.75">
      <c r="A1574" s="11">
        <v>43747.279675925922</v>
      </c>
      <c r="B1574" s="12" t="str">
        <f>HYPERLINK("https://twitter.com/_mehmetdag","@_mehmetdag")</f>
        <v>@_mehmetdag</v>
      </c>
      <c r="C1574" s="7" t="s">
        <v>11397</v>
      </c>
      <c r="D1574" s="7" t="s">
        <v>11398</v>
      </c>
      <c r="E1574" s="12" t="str">
        <f>HYPERLINK("https://twitter.com/_mehmetdag/status/1181927982287540226","1181927982287540226")</f>
        <v>1181927982287540226</v>
      </c>
      <c r="F1574" s="15"/>
      <c r="G1574" s="7"/>
      <c r="H1574" s="8"/>
      <c r="I1574" s="15">
        <v>0</v>
      </c>
      <c r="J1574" s="15">
        <v>0</v>
      </c>
      <c r="K1574" s="12" t="str">
        <f>HYPERLINK("http://twitter.com/download/iphone","Twitter for iPhone")</f>
        <v>Twitter for iPhone</v>
      </c>
      <c r="L1574" s="16">
        <v>2096</v>
      </c>
      <c r="M1574" s="16">
        <v>1994</v>
      </c>
      <c r="N1574" s="16">
        <v>5</v>
      </c>
      <c r="O1574" s="17"/>
      <c r="P1574" s="18">
        <v>40676.498495370368</v>
      </c>
      <c r="Q1574" s="7"/>
      <c r="R1574" s="7" t="s">
        <v>11402</v>
      </c>
      <c r="S1574" s="7"/>
      <c r="T1574" s="8"/>
      <c r="U1574" s="19" t="str">
        <f>HYPERLINK("https://pbs.twimg.com/profile_images/1069311458238976000/Xr73Lno9.jpg","View")</f>
        <v>View</v>
      </c>
      <c r="V1574" s="8"/>
      <c r="W1574" s="8"/>
      <c r="X1574" s="8"/>
      <c r="Y1574" s="8"/>
      <c r="Z1574" s="8"/>
    </row>
    <row r="1575" spans="1:26" ht="12.75">
      <c r="A1575" s="11">
        <v>43747.279675925922</v>
      </c>
      <c r="B1575" s="12" t="str">
        <f>HYPERLINK("https://twitter.com/salgarburak","@salgarburak")</f>
        <v>@salgarburak</v>
      </c>
      <c r="C1575" s="15" t="s">
        <v>11403</v>
      </c>
      <c r="D1575" s="7" t="s">
        <v>11404</v>
      </c>
      <c r="E1575" s="12" t="str">
        <f>HYPERLINK("https://twitter.com/salgarburak/status/1181927980639150080","1181927980639150080")</f>
        <v>1181927980639150080</v>
      </c>
      <c r="F1575" s="8"/>
      <c r="G1575" s="15"/>
      <c r="H1575" s="8"/>
      <c r="I1575" s="15">
        <v>0</v>
      </c>
      <c r="J1575" s="15">
        <v>0</v>
      </c>
      <c r="K1575" s="12" t="str">
        <f>HYPERLINK("http://twitter.com/download/iphone","Twitter for iPhone")</f>
        <v>Twitter for iPhone</v>
      </c>
      <c r="L1575" s="16">
        <v>626</v>
      </c>
      <c r="M1575" s="16">
        <v>110</v>
      </c>
      <c r="N1575" s="16">
        <v>0</v>
      </c>
      <c r="O1575" s="17"/>
      <c r="P1575" s="18">
        <v>40675.469189814816</v>
      </c>
      <c r="Q1575" s="7" t="s">
        <v>11017</v>
      </c>
      <c r="R1575" s="7" t="s">
        <v>11408</v>
      </c>
      <c r="S1575" s="14" t="s">
        <v>11409</v>
      </c>
      <c r="T1575" s="8"/>
      <c r="U1575" s="19" t="str">
        <f>HYPERLINK("https://pbs.twimg.com/profile_images/1180144780258529287/pq2dJcNb.jpg","View")</f>
        <v>View</v>
      </c>
      <c r="V1575" s="8"/>
      <c r="W1575" s="8"/>
      <c r="X1575" s="8"/>
      <c r="Y1575" s="8"/>
      <c r="Z1575" s="8"/>
    </row>
    <row r="1576" spans="1:26" ht="12.75">
      <c r="A1576" s="11">
        <v>43747.279664351852</v>
      </c>
      <c r="B1576" s="12" t="str">
        <f>HYPERLINK("https://twitter.com/HasanUzguc","@HasanUzguc")</f>
        <v>@HasanUzguc</v>
      </c>
      <c r="C1576" s="7" t="s">
        <v>11412</v>
      </c>
      <c r="D1576" s="7" t="s">
        <v>11413</v>
      </c>
      <c r="E1576" s="12" t="str">
        <f>HYPERLINK("https://twitter.com/HasanUzguc/status/1181927978751660032","1181927978751660032")</f>
        <v>1181927978751660032</v>
      </c>
      <c r="F1576" s="8"/>
      <c r="G1576" s="7"/>
      <c r="H1576" s="8"/>
      <c r="I1576" s="15">
        <v>0</v>
      </c>
      <c r="J1576" s="15">
        <v>5</v>
      </c>
      <c r="K1576" s="12" t="str">
        <f>HYPERLINK("http://twitter.com/download/android","Twitter for Android")</f>
        <v>Twitter for Android</v>
      </c>
      <c r="L1576" s="16">
        <v>85</v>
      </c>
      <c r="M1576" s="16">
        <v>114</v>
      </c>
      <c r="N1576" s="16">
        <v>0</v>
      </c>
      <c r="O1576" s="17"/>
      <c r="P1576" s="18">
        <v>42618.640879629631</v>
      </c>
      <c r="Q1576" s="7"/>
      <c r="R1576" s="7" t="s">
        <v>11416</v>
      </c>
      <c r="S1576" s="7"/>
      <c r="T1576" s="8"/>
      <c r="U1576" s="19" t="str">
        <f>HYPERLINK("https://pbs.twimg.com/profile_images/1180826114400407555/tYrFfV4P.jpg","View")</f>
        <v>View</v>
      </c>
      <c r="V1576" s="8"/>
      <c r="W1576" s="8"/>
      <c r="X1576" s="8"/>
      <c r="Y1576" s="8"/>
      <c r="Z1576" s="8"/>
    </row>
    <row r="1577" spans="1:26" ht="12.75">
      <c r="A1577" s="11">
        <v>43747.279641203699</v>
      </c>
      <c r="B1577" s="12" t="str">
        <f>HYPERLINK("https://twitter.com/canradyo","@canradyo")</f>
        <v>@canradyo</v>
      </c>
      <c r="C1577" s="7" t="s">
        <v>11434</v>
      </c>
      <c r="D1577" s="7" t="s">
        <v>11435</v>
      </c>
      <c r="E1577" s="12" t="str">
        <f>HYPERLINK("https://twitter.com/canradyo/status/1181927968597262337","1181927968597262337")</f>
        <v>1181927968597262337</v>
      </c>
      <c r="F1577" s="14" t="s">
        <v>11436</v>
      </c>
      <c r="G1577" s="7"/>
      <c r="H1577" s="8"/>
      <c r="I1577" s="15">
        <v>0</v>
      </c>
      <c r="J1577" s="15">
        <v>1</v>
      </c>
      <c r="K1577" s="12" t="str">
        <f>HYPERLINK("http://instagram.com","Instagram")</f>
        <v>Instagram</v>
      </c>
      <c r="L1577" s="16">
        <v>2355</v>
      </c>
      <c r="M1577" s="16">
        <v>10</v>
      </c>
      <c r="N1577" s="16">
        <v>8</v>
      </c>
      <c r="O1577" s="17"/>
      <c r="P1577" s="18">
        <v>40255.212233796294</v>
      </c>
      <c r="Q1577" s="7" t="s">
        <v>11439</v>
      </c>
      <c r="R1577" s="7" t="s">
        <v>11440</v>
      </c>
      <c r="S1577" s="14" t="s">
        <v>11441</v>
      </c>
      <c r="T1577" s="8"/>
      <c r="U1577" s="19" t="str">
        <f>HYPERLINK("https://pbs.twimg.com/profile_images/378800000125512159/cc61fcd3ba446ebd761c07a02046babf.jpeg","View")</f>
        <v>View</v>
      </c>
      <c r="V1577" s="8"/>
      <c r="W1577" s="8"/>
      <c r="X1577" s="8"/>
      <c r="Y1577" s="8"/>
      <c r="Z1577" s="8"/>
    </row>
    <row r="1578" spans="1:26" ht="12.75">
      <c r="A1578" s="11">
        <v>43747.279629629629</v>
      </c>
      <c r="B1578" s="12" t="str">
        <f>HYPERLINK("https://twitter.com/calicopilots","@calicopilots")</f>
        <v>@calicopilots</v>
      </c>
      <c r="C1578" s="7" t="s">
        <v>11443</v>
      </c>
      <c r="D1578" s="7" t="s">
        <v>11445</v>
      </c>
      <c r="E1578" s="12" t="str">
        <f>HYPERLINK("https://twitter.com/calicopilots/status/1181927965023768576","1181927965023768576")</f>
        <v>1181927965023768576</v>
      </c>
      <c r="F1578" s="15"/>
      <c r="G1578" s="15"/>
      <c r="H1578" s="8"/>
      <c r="I1578" s="15">
        <v>0</v>
      </c>
      <c r="J1578" s="15">
        <v>0</v>
      </c>
      <c r="K1578" s="12" t="str">
        <f>HYPERLINK("http://twitter.com/download/android","Twitter for Android")</f>
        <v>Twitter for Android</v>
      </c>
      <c r="L1578" s="16">
        <v>203</v>
      </c>
      <c r="M1578" s="16">
        <v>190</v>
      </c>
      <c r="N1578" s="16">
        <v>7</v>
      </c>
      <c r="O1578" s="17"/>
      <c r="P1578" s="18">
        <v>43286.205046296294</v>
      </c>
      <c r="Q1578" s="7" t="s">
        <v>11448</v>
      </c>
      <c r="R1578" s="7" t="s">
        <v>11449</v>
      </c>
      <c r="S1578" s="14" t="s">
        <v>11450</v>
      </c>
      <c r="T1578" s="8"/>
      <c r="U1578" s="19" t="str">
        <f>HYPERLINK("https://pbs.twimg.com/profile_images/1178428873803026432/Jd91Mgeb.jpg","View")</f>
        <v>View</v>
      </c>
      <c r="V1578" s="8"/>
      <c r="W1578" s="8"/>
      <c r="X1578" s="8"/>
      <c r="Y1578" s="8"/>
      <c r="Z1578" s="8"/>
    </row>
    <row r="1579" spans="1:26" ht="12.75">
      <c r="A1579" s="11">
        <v>43747.279629629629</v>
      </c>
      <c r="B1579" s="12" t="str">
        <f>HYPERLINK("https://twitter.com/greenturk37","@greenturk37")</f>
        <v>@greenturk37</v>
      </c>
      <c r="C1579" s="7" t="s">
        <v>11455</v>
      </c>
      <c r="D1579" s="7" t="s">
        <v>11456</v>
      </c>
      <c r="E1579" s="12" t="str">
        <f>HYPERLINK("https://twitter.com/greenturk37/status/1181927962817507328","1181927962817507328")</f>
        <v>1181927962817507328</v>
      </c>
      <c r="F1579" s="8"/>
      <c r="G1579" s="7"/>
      <c r="H1579" s="8"/>
      <c r="I1579" s="15">
        <v>0</v>
      </c>
      <c r="J1579" s="15">
        <v>0</v>
      </c>
      <c r="K1579" s="12" t="str">
        <f>HYPERLINK("http://twitter.com/download/android","Twitter for Android")</f>
        <v>Twitter for Android</v>
      </c>
      <c r="L1579" s="16">
        <v>257</v>
      </c>
      <c r="M1579" s="16">
        <v>365</v>
      </c>
      <c r="N1579" s="16">
        <v>0</v>
      </c>
      <c r="O1579" s="17"/>
      <c r="P1579" s="18">
        <v>40938.080937500003</v>
      </c>
      <c r="Q1579" s="7" t="s">
        <v>200</v>
      </c>
      <c r="R1579" s="7" t="s">
        <v>11458</v>
      </c>
      <c r="S1579" s="7"/>
      <c r="T1579" s="8"/>
      <c r="U1579" s="19" t="str">
        <f>HYPERLINK("https://pbs.twimg.com/profile_images/1172946746915377152/YhkabdHy.jpg","View")</f>
        <v>View</v>
      </c>
      <c r="V1579" s="8"/>
      <c r="W1579" s="8"/>
      <c r="X1579" s="8"/>
      <c r="Y1579" s="8"/>
      <c r="Z1579" s="8"/>
    </row>
    <row r="1580" spans="1:26" ht="12.75">
      <c r="A1580" s="11">
        <v>43747.279606481483</v>
      </c>
      <c r="B1580" s="12" t="str">
        <f>HYPERLINK("https://twitter.com/monsieurseco","@monsieurseco")</f>
        <v>@monsieurseco</v>
      </c>
      <c r="C1580" s="7" t="s">
        <v>11462</v>
      </c>
      <c r="D1580" s="7" t="s">
        <v>11463</v>
      </c>
      <c r="E1580" s="12" t="str">
        <f>HYPERLINK("https://twitter.com/monsieurseco/status/1181927957159436289","1181927957159436289")</f>
        <v>1181927957159436289</v>
      </c>
      <c r="F1580" s="8"/>
      <c r="G1580" s="14" t="s">
        <v>11464</v>
      </c>
      <c r="H1580" s="8"/>
      <c r="I1580" s="15">
        <v>0</v>
      </c>
      <c r="J1580" s="15">
        <v>0</v>
      </c>
      <c r="K1580" s="12" t="str">
        <f>HYPERLINK("http://twitter.com/download/iphone","Twitter for iPhone")</f>
        <v>Twitter for iPhone</v>
      </c>
      <c r="L1580" s="16">
        <v>522</v>
      </c>
      <c r="M1580" s="16">
        <v>270</v>
      </c>
      <c r="N1580" s="16">
        <v>0</v>
      </c>
      <c r="O1580" s="17"/>
      <c r="P1580" s="18">
        <v>41133.635601851856</v>
      </c>
      <c r="Q1580" s="7" t="s">
        <v>80</v>
      </c>
      <c r="R1580" s="7" t="s">
        <v>11469</v>
      </c>
      <c r="S1580" s="7"/>
      <c r="T1580" s="8"/>
      <c r="U1580" s="19" t="str">
        <f>HYPERLINK("https://pbs.twimg.com/profile_images/378800000368578444/73d4854d1a4c7f07eed6de5dcc90afe6.jpeg","View")</f>
        <v>View</v>
      </c>
      <c r="V1580" s="8"/>
      <c r="W1580" s="8"/>
      <c r="X1580" s="8"/>
      <c r="Y1580" s="8"/>
      <c r="Z1580" s="8"/>
    </row>
    <row r="1581" spans="1:26" ht="12.75">
      <c r="A1581" s="11">
        <v>43747.279606481483</v>
      </c>
      <c r="B1581" s="12" t="str">
        <f>HYPERLINK("https://twitter.com/ErolKay06907355","@ErolKay06907355")</f>
        <v>@ErolKay06907355</v>
      </c>
      <c r="C1581" s="7" t="s">
        <v>11471</v>
      </c>
      <c r="D1581" s="7" t="s">
        <v>11472</v>
      </c>
      <c r="E1581" s="12" t="str">
        <f>HYPERLINK("https://twitter.com/ErolKay06907355/status/1181927953938239489","1181927953938239489")</f>
        <v>1181927953938239489</v>
      </c>
      <c r="F1581" s="8"/>
      <c r="G1581" s="14" t="s">
        <v>11473</v>
      </c>
      <c r="H1581" s="8"/>
      <c r="I1581" s="15">
        <v>0</v>
      </c>
      <c r="J1581" s="15">
        <v>0</v>
      </c>
      <c r="K1581" s="12" t="str">
        <f>HYPERLINK("http://twitter.com/download/iphone","Twitter for iPhone")</f>
        <v>Twitter for iPhone</v>
      </c>
      <c r="L1581" s="16">
        <v>4</v>
      </c>
      <c r="M1581" s="16">
        <v>46</v>
      </c>
      <c r="N1581" s="16">
        <v>0</v>
      </c>
      <c r="O1581" s="17"/>
      <c r="P1581" s="18">
        <v>42900.521458333329</v>
      </c>
      <c r="Q1581" s="7" t="s">
        <v>11477</v>
      </c>
      <c r="R1581" s="7" t="s">
        <v>11478</v>
      </c>
      <c r="S1581" s="7"/>
      <c r="T1581" s="8"/>
      <c r="U1581" s="19" t="str">
        <f>HYPERLINK("https://pbs.twimg.com/profile_images/1141047146327810050/fWnGY4D5.jpg","View")</f>
        <v>View</v>
      </c>
      <c r="V1581" s="8"/>
      <c r="W1581" s="8"/>
      <c r="X1581" s="8"/>
      <c r="Y1581" s="8"/>
      <c r="Z1581" s="8"/>
    </row>
    <row r="1582" spans="1:26" ht="12.75">
      <c r="A1582" s="11">
        <v>43747.279583333337</v>
      </c>
      <c r="B1582" s="12" t="str">
        <f>HYPERLINK("https://twitter.com/sungur_1903","@sungur_1903")</f>
        <v>@sungur_1903</v>
      </c>
      <c r="C1582" s="7" t="s">
        <v>11479</v>
      </c>
      <c r="D1582" s="7" t="s">
        <v>11480</v>
      </c>
      <c r="E1582" s="12" t="str">
        <f>HYPERLINK("https://twitter.com/sungur_1903/status/1181927947210498049","1181927947210498049")</f>
        <v>1181927947210498049</v>
      </c>
      <c r="F1582" s="8"/>
      <c r="G1582" s="7"/>
      <c r="H1582" s="8"/>
      <c r="I1582" s="15">
        <v>0</v>
      </c>
      <c r="J1582" s="15">
        <v>0</v>
      </c>
      <c r="K1582" s="12" t="str">
        <f>HYPERLINK("http://twitter.com/download/iphone","Twitter for iPhone")</f>
        <v>Twitter for iPhone</v>
      </c>
      <c r="L1582" s="16">
        <v>76</v>
      </c>
      <c r="M1582" s="16">
        <v>161</v>
      </c>
      <c r="N1582" s="16">
        <v>0</v>
      </c>
      <c r="O1582" s="17"/>
      <c r="P1582" s="18">
        <v>42923.31413194444</v>
      </c>
      <c r="Q1582" s="7" t="s">
        <v>200</v>
      </c>
      <c r="R1582" s="7" t="s">
        <v>11482</v>
      </c>
      <c r="S1582" s="7"/>
      <c r="T1582" s="8"/>
      <c r="U1582" s="19" t="str">
        <f>HYPERLINK("https://pbs.twimg.com/profile_images/1165949038035984385/zHf95v4E.jpg","View")</f>
        <v>View</v>
      </c>
      <c r="V1582" s="8"/>
      <c r="W1582" s="8"/>
      <c r="X1582" s="8"/>
      <c r="Y1582" s="8"/>
      <c r="Z1582" s="8"/>
    </row>
    <row r="1583" spans="1:26" ht="12.75">
      <c r="A1583" s="11">
        <v>43747.279560185183</v>
      </c>
      <c r="B1583" s="12" t="str">
        <f>HYPERLINK("https://twitter.com/SelimeTkenmez","@SelimeTkenmez")</f>
        <v>@SelimeTkenmez</v>
      </c>
      <c r="C1583" s="7" t="s">
        <v>11485</v>
      </c>
      <c r="D1583" s="7" t="s">
        <v>11486</v>
      </c>
      <c r="E1583" s="12" t="str">
        <f>HYPERLINK("https://twitter.com/SelimeTkenmez/status/1181927938289278977","1181927938289278977")</f>
        <v>1181927938289278977</v>
      </c>
      <c r="F1583" s="8"/>
      <c r="G1583" s="7"/>
      <c r="H1583" s="8"/>
      <c r="I1583" s="15">
        <v>0</v>
      </c>
      <c r="J1583" s="15">
        <v>0</v>
      </c>
      <c r="K1583" s="12" t="str">
        <f>HYPERLINK("http://twitter.com/download/android","Twitter for Android")</f>
        <v>Twitter for Android</v>
      </c>
      <c r="L1583" s="16">
        <v>191</v>
      </c>
      <c r="M1583" s="16">
        <v>612</v>
      </c>
      <c r="N1583" s="16">
        <v>0</v>
      </c>
      <c r="O1583" s="17"/>
      <c r="P1583" s="18">
        <v>40774.650127314817</v>
      </c>
      <c r="Q1583" s="7"/>
      <c r="R1583" s="7"/>
      <c r="S1583" s="15"/>
      <c r="T1583" s="8"/>
      <c r="U1583" s="19" t="str">
        <f>HYPERLINK("https://pbs.twimg.com/profile_images/1027867990828769280/xuwfz0zu.jpg","View")</f>
        <v>View</v>
      </c>
      <c r="V1583" s="8"/>
      <c r="W1583" s="8"/>
      <c r="X1583" s="8"/>
      <c r="Y1583" s="8"/>
      <c r="Z1583" s="8"/>
    </row>
    <row r="1584" spans="1:26" ht="12.75">
      <c r="A1584" s="11">
        <v>43747.279548611114</v>
      </c>
      <c r="B1584" s="12" t="str">
        <f>HYPERLINK("https://twitter.com/unsal_seker","@unsal_seker")</f>
        <v>@unsal_seker</v>
      </c>
      <c r="C1584" s="7" t="s">
        <v>11488</v>
      </c>
      <c r="D1584" s="7" t="s">
        <v>11489</v>
      </c>
      <c r="E1584" s="12" t="str">
        <f>HYPERLINK("https://twitter.com/unsal_seker/status/1181927934573137922","1181927934573137922")</f>
        <v>1181927934573137922</v>
      </c>
      <c r="F1584" s="8"/>
      <c r="G1584" s="7"/>
      <c r="H1584" s="8"/>
      <c r="I1584" s="15">
        <v>0</v>
      </c>
      <c r="J1584" s="15">
        <v>2</v>
      </c>
      <c r="K1584" s="12" t="str">
        <f>HYPERLINK("http://twitter.com/download/android","Twitter for Android")</f>
        <v>Twitter for Android</v>
      </c>
      <c r="L1584" s="16">
        <v>118</v>
      </c>
      <c r="M1584" s="16">
        <v>121</v>
      </c>
      <c r="N1584" s="16">
        <v>0</v>
      </c>
      <c r="O1584" s="17"/>
      <c r="P1584" s="18">
        <v>40510.680289351854</v>
      </c>
      <c r="Q1584" s="7"/>
      <c r="R1584" s="7" t="s">
        <v>11490</v>
      </c>
      <c r="S1584" s="7"/>
      <c r="T1584" s="8"/>
      <c r="U1584" s="19" t="str">
        <f>HYPERLINK("https://pbs.twimg.com/profile_images/710149424752754688/UP1tf80K.jpg","View")</f>
        <v>View</v>
      </c>
      <c r="V1584" s="8"/>
      <c r="W1584" s="8"/>
      <c r="X1584" s="8"/>
      <c r="Y1584" s="8"/>
      <c r="Z1584" s="8"/>
    </row>
    <row r="1585" spans="1:26" ht="12.75">
      <c r="A1585" s="11">
        <v>43747.279537037037</v>
      </c>
      <c r="B1585" s="12" t="str">
        <f>HYPERLINK("https://twitter.com/milletizbiz","@milletizbiz")</f>
        <v>@milletizbiz</v>
      </c>
      <c r="C1585" s="7" t="s">
        <v>11496</v>
      </c>
      <c r="D1585" s="7" t="s">
        <v>11497</v>
      </c>
      <c r="E1585" s="12" t="str">
        <f>HYPERLINK("https://twitter.com/milletizbiz/status/1181927930169040896","1181927930169040896")</f>
        <v>1181927930169040896</v>
      </c>
      <c r="F1585" s="8"/>
      <c r="G1585" s="14" t="s">
        <v>11498</v>
      </c>
      <c r="H1585" s="8"/>
      <c r="I1585" s="15">
        <v>0</v>
      </c>
      <c r="J1585" s="15">
        <v>4</v>
      </c>
      <c r="K1585" s="12" t="str">
        <f>HYPERLINK("http://twitter.com/download/iphone","Twitter for iPhone")</f>
        <v>Twitter for iPhone</v>
      </c>
      <c r="L1585" s="16">
        <v>3152</v>
      </c>
      <c r="M1585" s="16">
        <v>2213</v>
      </c>
      <c r="N1585" s="16">
        <v>5</v>
      </c>
      <c r="O1585" s="17"/>
      <c r="P1585" s="18">
        <v>42256.491655092592</v>
      </c>
      <c r="Q1585" s="7"/>
      <c r="R1585" s="7"/>
      <c r="S1585" s="15"/>
      <c r="T1585" s="8"/>
      <c r="U1585" s="19" t="str">
        <f>HYPERLINK("https://pbs.twimg.com/profile_images/1155852984393359360/heBDlR2v.jpg","View")</f>
        <v>View</v>
      </c>
      <c r="V1585" s="8"/>
      <c r="W1585" s="8"/>
      <c r="X1585" s="8"/>
      <c r="Y1585" s="8"/>
      <c r="Z1585" s="8"/>
    </row>
    <row r="1586" spans="1:26" ht="12.75">
      <c r="A1586" s="11">
        <v>43747.279537037037</v>
      </c>
      <c r="B1586" s="12" t="str">
        <f>HYPERLINK("https://twitter.com/Arbypn42","@Arbypn42")</f>
        <v>@Arbypn42</v>
      </c>
      <c r="C1586" s="7" t="s">
        <v>11502</v>
      </c>
      <c r="D1586" s="13" t="s">
        <v>11503</v>
      </c>
      <c r="E1586" s="12" t="str">
        <f>HYPERLINK("https://twitter.com/Arbypn42/status/1181927929397338113","1181927929397338113")</f>
        <v>1181927929397338113</v>
      </c>
      <c r="F1586" s="8"/>
      <c r="G1586" s="14" t="s">
        <v>11505</v>
      </c>
      <c r="H1586" s="8"/>
      <c r="I1586" s="15">
        <v>0</v>
      </c>
      <c r="J1586" s="15">
        <v>0</v>
      </c>
      <c r="K1586" s="12" t="str">
        <f>HYPERLINK("http://twitter.com/download/android","Twitter for Android")</f>
        <v>Twitter for Android</v>
      </c>
      <c r="L1586" s="16">
        <v>20</v>
      </c>
      <c r="M1586" s="16">
        <v>112</v>
      </c>
      <c r="N1586" s="16">
        <v>0</v>
      </c>
      <c r="O1586" s="17"/>
      <c r="P1586" s="18">
        <v>43052.597002314811</v>
      </c>
      <c r="Q1586" s="7" t="s">
        <v>2050</v>
      </c>
      <c r="R1586" s="13"/>
      <c r="S1586" s="14" t="s">
        <v>11508</v>
      </c>
      <c r="T1586" s="8"/>
      <c r="U1586" s="19" t="str">
        <f>HYPERLINK("https://pbs.twimg.com/profile_images/1140188583954976769/noojvTDa.jpg","View")</f>
        <v>View</v>
      </c>
      <c r="V1586" s="8"/>
      <c r="W1586" s="8"/>
      <c r="X1586" s="8"/>
      <c r="Y1586" s="8"/>
      <c r="Z1586" s="8"/>
    </row>
    <row r="1587" spans="1:26" ht="12.75">
      <c r="A1587" s="11">
        <v>43747.27952546296</v>
      </c>
      <c r="B1587" s="12" t="str">
        <f>HYPERLINK("https://twitter.com/ckmkemrh","@ckmkemrh")</f>
        <v>@ckmkemrh</v>
      </c>
      <c r="C1587" s="7" t="s">
        <v>11512</v>
      </c>
      <c r="D1587" s="7" t="s">
        <v>11513</v>
      </c>
      <c r="E1587" s="12" t="str">
        <f>HYPERLINK("https://twitter.com/ckmkemrh/status/1181927924997468161","1181927924997468161")</f>
        <v>1181927924997468161</v>
      </c>
      <c r="F1587" s="8"/>
      <c r="G1587" s="14" t="s">
        <v>11515</v>
      </c>
      <c r="H1587" s="8"/>
      <c r="I1587" s="15">
        <v>1</v>
      </c>
      <c r="J1587" s="15">
        <v>1</v>
      </c>
      <c r="K1587" s="12" t="str">
        <f>HYPERLINK("http://twitter.com/download/iphone","Twitter for iPhone")</f>
        <v>Twitter for iPhone</v>
      </c>
      <c r="L1587" s="16">
        <v>342</v>
      </c>
      <c r="M1587" s="16">
        <v>2823</v>
      </c>
      <c r="N1587" s="16">
        <v>0</v>
      </c>
      <c r="O1587" s="20"/>
      <c r="P1587" s="18">
        <v>40659.577569444446</v>
      </c>
      <c r="Q1587" s="7" t="s">
        <v>4895</v>
      </c>
      <c r="R1587" s="7" t="s">
        <v>11519</v>
      </c>
      <c r="S1587" s="14" t="s">
        <v>11520</v>
      </c>
      <c r="T1587" s="8"/>
      <c r="U1587" s="19" t="str">
        <f>HYPERLINK("https://pbs.twimg.com/profile_images/1153494766128107528/RgpnrHdt.jpg","View")</f>
        <v>View</v>
      </c>
      <c r="V1587" s="8"/>
      <c r="W1587" s="8"/>
      <c r="X1587" s="8"/>
      <c r="Y1587" s="8"/>
      <c r="Z1587" s="8"/>
    </row>
    <row r="1588" spans="1:26" ht="12.75">
      <c r="A1588" s="11">
        <v>43747.279467592598</v>
      </c>
      <c r="B1588" s="12" t="str">
        <f>HYPERLINK("https://twitter.com/t__c06","@t__c06")</f>
        <v>@t__c06</v>
      </c>
      <c r="C1588" s="7" t="s">
        <v>11536</v>
      </c>
      <c r="D1588" s="7" t="s">
        <v>1077</v>
      </c>
      <c r="E1588" s="12" t="str">
        <f>HYPERLINK("https://twitter.com/t__c06/status/1181927906571931650","1181927906571931650")</f>
        <v>1181927906571931650</v>
      </c>
      <c r="F1588" s="8"/>
      <c r="G1588" s="14" t="s">
        <v>11539</v>
      </c>
      <c r="H1588" s="8"/>
      <c r="I1588" s="15">
        <v>0</v>
      </c>
      <c r="J1588" s="15">
        <v>2</v>
      </c>
      <c r="K1588" s="12" t="str">
        <f>HYPERLINK("http://twitter.com/download/iphone","Twitter for iPhone")</f>
        <v>Twitter for iPhone</v>
      </c>
      <c r="L1588" s="16">
        <v>60</v>
      </c>
      <c r="M1588" s="16">
        <v>76</v>
      </c>
      <c r="N1588" s="16">
        <v>0</v>
      </c>
      <c r="O1588" s="17"/>
      <c r="P1588" s="18">
        <v>42424.210833333331</v>
      </c>
      <c r="Q1588" s="7" t="s">
        <v>11541</v>
      </c>
      <c r="R1588" s="15" t="s">
        <v>11542</v>
      </c>
      <c r="S1588" s="15"/>
      <c r="T1588" s="8"/>
      <c r="U1588" s="19" t="str">
        <f>HYPERLINK("https://pbs.twimg.com/profile_images/1175750696634916866/U2Fgafys.jpg","View")</f>
        <v>View</v>
      </c>
      <c r="V1588" s="8"/>
      <c r="W1588" s="8"/>
      <c r="X1588" s="8"/>
      <c r="Y1588" s="8"/>
      <c r="Z1588" s="8"/>
    </row>
    <row r="1589" spans="1:26" ht="12.75">
      <c r="A1589" s="11">
        <v>43747.279456018514</v>
      </c>
      <c r="B1589" s="12" t="str">
        <f>HYPERLINK("https://twitter.com/KusmezMustafaY","@KusmezMustafaY")</f>
        <v>@KusmezMustafaY</v>
      </c>
      <c r="C1589" s="7" t="s">
        <v>11545</v>
      </c>
      <c r="D1589" s="7" t="s">
        <v>11546</v>
      </c>
      <c r="E1589" s="12" t="str">
        <f>HYPERLINK("https://twitter.com/KusmezMustafaY/status/1181927900834086912","1181927900834086912")</f>
        <v>1181927900834086912</v>
      </c>
      <c r="F1589" s="8"/>
      <c r="G1589" s="14" t="s">
        <v>11547</v>
      </c>
      <c r="H1589" s="8"/>
      <c r="I1589" s="15">
        <v>0</v>
      </c>
      <c r="J1589" s="15">
        <v>1</v>
      </c>
      <c r="K1589" s="12" t="str">
        <f>HYPERLINK("http://twitter.com/download/android","Twitter for Android")</f>
        <v>Twitter for Android</v>
      </c>
      <c r="L1589" s="16">
        <v>135</v>
      </c>
      <c r="M1589" s="16">
        <v>851</v>
      </c>
      <c r="N1589" s="16">
        <v>0</v>
      </c>
      <c r="O1589" s="17"/>
      <c r="P1589" s="18">
        <v>43212.343356481477</v>
      </c>
      <c r="Q1589" s="7" t="s">
        <v>11551</v>
      </c>
      <c r="R1589" s="7" t="s">
        <v>11552</v>
      </c>
      <c r="S1589" s="7"/>
      <c r="T1589" s="8"/>
      <c r="U1589" s="19" t="str">
        <f>HYPERLINK("https://pbs.twimg.com/profile_images/1161397799923146752/-TMVKvd0.jpg","View")</f>
        <v>View</v>
      </c>
      <c r="V1589" s="8"/>
      <c r="W1589" s="8"/>
      <c r="X1589" s="8"/>
      <c r="Y1589" s="8"/>
      <c r="Z1589" s="8"/>
    </row>
    <row r="1590" spans="1:26" ht="12.75">
      <c r="A1590" s="11">
        <v>43747.279444444444</v>
      </c>
      <c r="B1590" s="12" t="str">
        <f>HYPERLINK("https://twitter.com/urii9n","@urii9n")</f>
        <v>@urii9n</v>
      </c>
      <c r="C1590" s="7" t="s">
        <v>11554</v>
      </c>
      <c r="D1590" s="7" t="s">
        <v>11555</v>
      </c>
      <c r="E1590" s="12" t="str">
        <f>HYPERLINK("https://twitter.com/urii9n/status/1181927895662518286","1181927895662518286")</f>
        <v>1181927895662518286</v>
      </c>
      <c r="F1590" s="7"/>
      <c r="G1590" s="7"/>
      <c r="H1590" s="8"/>
      <c r="I1590" s="15">
        <v>0</v>
      </c>
      <c r="J1590" s="15">
        <v>1</v>
      </c>
      <c r="K1590" s="12" t="str">
        <f>HYPERLINK("http://twitter.com/download/iphone","Twitter for iPhone")</f>
        <v>Twitter for iPhone</v>
      </c>
      <c r="L1590" s="16">
        <v>72</v>
      </c>
      <c r="M1590" s="16">
        <v>329</v>
      </c>
      <c r="N1590" s="16">
        <v>0</v>
      </c>
      <c r="O1590" s="17"/>
      <c r="P1590" s="18">
        <v>43615.112627314811</v>
      </c>
      <c r="Q1590" s="7" t="s">
        <v>11557</v>
      </c>
      <c r="R1590" s="7" t="s">
        <v>11559</v>
      </c>
      <c r="S1590" s="15"/>
      <c r="T1590" s="8"/>
      <c r="U1590" s="19" t="str">
        <f>HYPERLINK("https://pbs.twimg.com/profile_images/1180510773551992832/Mg7_ZkW1.jpg","View")</f>
        <v>View</v>
      </c>
      <c r="V1590" s="8"/>
      <c r="W1590" s="8"/>
      <c r="X1590" s="8"/>
      <c r="Y1590" s="8"/>
      <c r="Z1590" s="8"/>
    </row>
    <row r="1591" spans="1:26" ht="12.75">
      <c r="A1591" s="11">
        <v>43747.279432870375</v>
      </c>
      <c r="B1591" s="12" t="str">
        <f>HYPERLINK("https://twitter.com/murataydin90","@murataydin90")</f>
        <v>@murataydin90</v>
      </c>
      <c r="C1591" s="7" t="s">
        <v>11561</v>
      </c>
      <c r="D1591" s="7" t="s">
        <v>11562</v>
      </c>
      <c r="E1591" s="12" t="str">
        <f>HYPERLINK("https://twitter.com/murataydin90/status/1181927893607337984","1181927893607337984")</f>
        <v>1181927893607337984</v>
      </c>
      <c r="F1591" s="8"/>
      <c r="G1591" s="14" t="s">
        <v>11563</v>
      </c>
      <c r="H1591" s="8"/>
      <c r="I1591" s="15">
        <v>0</v>
      </c>
      <c r="J1591" s="15">
        <v>0</v>
      </c>
      <c r="K1591" s="12" t="str">
        <f>HYPERLINK("http://twitter.com/download/iphone","Twitter for iPhone")</f>
        <v>Twitter for iPhone</v>
      </c>
      <c r="L1591" s="16">
        <v>7</v>
      </c>
      <c r="M1591" s="16">
        <v>35</v>
      </c>
      <c r="N1591" s="16">
        <v>0</v>
      </c>
      <c r="O1591" s="17"/>
      <c r="P1591" s="18">
        <v>41012.430972222224</v>
      </c>
      <c r="Q1591" s="7"/>
      <c r="R1591" s="7"/>
      <c r="S1591" s="7"/>
      <c r="T1591" s="8"/>
      <c r="U1591" s="19" t="str">
        <f>HYPERLINK("https://pbs.twimg.com/profile_images/436456506955796480/CZ2xVcQ_.jpeg","View")</f>
        <v>View</v>
      </c>
      <c r="V1591" s="8"/>
      <c r="W1591" s="8"/>
      <c r="X1591" s="8"/>
      <c r="Y1591" s="8"/>
      <c r="Z1591" s="8"/>
    </row>
    <row r="1592" spans="1:26" ht="12.75">
      <c r="A1592" s="11">
        <v>43747.279432870375</v>
      </c>
      <c r="B1592" s="12" t="str">
        <f>HYPERLINK("https://twitter.com/MNuRuLVuR","@MNuRuLVuR")</f>
        <v>@MNuRuLVuR</v>
      </c>
      <c r="C1592" s="7" t="s">
        <v>11567</v>
      </c>
      <c r="D1592" s="7" t="s">
        <v>11568</v>
      </c>
      <c r="E1592" s="12" t="str">
        <f>HYPERLINK("https://twitter.com/MNuRuLVuR/status/1181927893238190080","1181927893238190080")</f>
        <v>1181927893238190080</v>
      </c>
      <c r="F1592" s="8"/>
      <c r="G1592" s="7"/>
      <c r="H1592" s="8"/>
      <c r="I1592" s="15">
        <v>0</v>
      </c>
      <c r="J1592" s="15">
        <v>1</v>
      </c>
      <c r="K1592" s="12" t="str">
        <f>HYPERLINK("http://twitter.com/download/android","Twitter for Android")</f>
        <v>Twitter for Android</v>
      </c>
      <c r="L1592" s="16">
        <v>172</v>
      </c>
      <c r="M1592" s="16">
        <v>763</v>
      </c>
      <c r="N1592" s="16">
        <v>0</v>
      </c>
      <c r="O1592" s="17"/>
      <c r="P1592" s="18">
        <v>42810.388865740737</v>
      </c>
      <c r="Q1592" s="7"/>
      <c r="R1592" s="7" t="s">
        <v>11572</v>
      </c>
      <c r="S1592" s="15"/>
      <c r="T1592" s="8"/>
      <c r="U1592" s="19" t="str">
        <f>HYPERLINK("https://pbs.twimg.com/profile_images/1150346504508530689/K0-prl4a.jpg","View")</f>
        <v>View</v>
      </c>
      <c r="V1592" s="8"/>
      <c r="W1592" s="8"/>
      <c r="X1592" s="8"/>
      <c r="Y1592" s="8"/>
      <c r="Z1592" s="8"/>
    </row>
    <row r="1593" spans="1:26" ht="12.75">
      <c r="A1593" s="11">
        <v>43747.279432870375</v>
      </c>
      <c r="B1593" s="12" t="str">
        <f>HYPERLINK("https://twitter.com/Holdingbaci","@Holdingbaci")</f>
        <v>@Holdingbaci</v>
      </c>
      <c r="C1593" s="7" t="s">
        <v>11573</v>
      </c>
      <c r="D1593" s="7" t="s">
        <v>11574</v>
      </c>
      <c r="E1593" s="12" t="str">
        <f>HYPERLINK("https://twitter.com/Holdingbaci/status/1181927891636019200","1181927891636019200")</f>
        <v>1181927891636019200</v>
      </c>
      <c r="F1593" s="8"/>
      <c r="G1593" s="14" t="s">
        <v>11575</v>
      </c>
      <c r="H1593" s="8"/>
      <c r="I1593" s="15">
        <v>0</v>
      </c>
      <c r="J1593" s="15">
        <v>8</v>
      </c>
      <c r="K1593" s="12" t="str">
        <f>HYPERLINK("http://twitter.com/download/android","Twitter for Android")</f>
        <v>Twitter for Android</v>
      </c>
      <c r="L1593" s="16">
        <v>269</v>
      </c>
      <c r="M1593" s="16">
        <v>190</v>
      </c>
      <c r="N1593" s="16">
        <v>1</v>
      </c>
      <c r="O1593" s="17"/>
      <c r="P1593" s="18">
        <v>42188.241875</v>
      </c>
      <c r="Q1593" s="7"/>
      <c r="R1593" s="7" t="s">
        <v>11578</v>
      </c>
      <c r="S1593" s="7"/>
      <c r="T1593" s="8"/>
      <c r="U1593" s="19" t="str">
        <f>HYPERLINK("https://pbs.twimg.com/profile_images/1179894881558433793/Zzr0umoW.jpg","View")</f>
        <v>View</v>
      </c>
      <c r="V1593" s="8"/>
      <c r="W1593" s="8"/>
      <c r="X1593" s="8"/>
      <c r="Y1593" s="8"/>
      <c r="Z1593" s="8"/>
    </row>
    <row r="1594" spans="1:26" ht="12.75">
      <c r="A1594" s="11">
        <v>43747.279374999998</v>
      </c>
      <c r="B1594" s="12" t="str">
        <f>HYPERLINK("https://twitter.com/TugceKaraaslann","@TugceKaraaslann")</f>
        <v>@TugceKaraaslann</v>
      </c>
      <c r="C1594" s="7" t="s">
        <v>11580</v>
      </c>
      <c r="D1594" s="7" t="s">
        <v>11581</v>
      </c>
      <c r="E1594" s="12" t="str">
        <f>HYPERLINK("https://twitter.com/TugceKaraaslann/status/1181927872950349826","1181927872950349826")</f>
        <v>1181927872950349826</v>
      </c>
      <c r="F1594" s="15"/>
      <c r="G1594" s="7"/>
      <c r="H1594" s="8"/>
      <c r="I1594" s="15">
        <v>0</v>
      </c>
      <c r="J1594" s="15">
        <v>0</v>
      </c>
      <c r="K1594" s="12" t="str">
        <f>HYPERLINK("http://twitter.com/download/iphone","Twitter for iPhone")</f>
        <v>Twitter for iPhone</v>
      </c>
      <c r="L1594" s="16">
        <v>74</v>
      </c>
      <c r="M1594" s="16">
        <v>421</v>
      </c>
      <c r="N1594" s="16">
        <v>0</v>
      </c>
      <c r="O1594" s="17"/>
      <c r="P1594" s="18">
        <v>42631.583449074074</v>
      </c>
      <c r="Q1594" s="7"/>
      <c r="R1594" s="7" t="s">
        <v>11582</v>
      </c>
      <c r="S1594" s="7"/>
      <c r="T1594" s="8"/>
      <c r="U1594" s="19" t="str">
        <f>HYPERLINK("https://pbs.twimg.com/profile_images/1147172270701522944/CxzN6kcc.jpg","View")</f>
        <v>View</v>
      </c>
      <c r="V1594" s="8"/>
      <c r="W1594" s="8"/>
      <c r="X1594" s="8"/>
      <c r="Y1594" s="8"/>
      <c r="Z1594" s="8"/>
    </row>
    <row r="1595" spans="1:26" ht="12.75">
      <c r="A1595" s="11">
        <v>43747.279374999998</v>
      </c>
      <c r="B1595" s="12" t="str">
        <f>HYPERLINK("https://twitter.com/fyldrm","@fyldrm")</f>
        <v>@fyldrm</v>
      </c>
      <c r="C1595" s="7" t="s">
        <v>11586</v>
      </c>
      <c r="D1595" s="7" t="s">
        <v>11587</v>
      </c>
      <c r="E1595" s="12" t="str">
        <f>HYPERLINK("https://twitter.com/fyldrm/status/1181927872224792581","1181927872224792581")</f>
        <v>1181927872224792581</v>
      </c>
      <c r="F1595" s="8"/>
      <c r="G1595" s="14" t="s">
        <v>11588</v>
      </c>
      <c r="H1595" s="8"/>
      <c r="I1595" s="15">
        <v>0</v>
      </c>
      <c r="J1595" s="15">
        <v>0</v>
      </c>
      <c r="K1595" s="12" t="str">
        <f>HYPERLINK("http://twitter.com/download/iphone","Twitter for iPhone")</f>
        <v>Twitter for iPhone</v>
      </c>
      <c r="L1595" s="16">
        <v>166</v>
      </c>
      <c r="M1595" s="16">
        <v>236</v>
      </c>
      <c r="N1595" s="16">
        <v>1</v>
      </c>
      <c r="O1595" s="17"/>
      <c r="P1595" s="18">
        <v>40613.146238425928</v>
      </c>
      <c r="Q1595" s="7" t="s">
        <v>918</v>
      </c>
      <c r="R1595" s="7" t="s">
        <v>8835</v>
      </c>
      <c r="S1595" s="14" t="s">
        <v>11589</v>
      </c>
      <c r="T1595" s="8"/>
      <c r="U1595" s="19" t="str">
        <f>HYPERLINK("https://pbs.twimg.com/profile_images/1027445011099648005/cgRJdiSi.jpg","View")</f>
        <v>View</v>
      </c>
      <c r="V1595" s="8"/>
      <c r="W1595" s="8"/>
      <c r="X1595" s="8"/>
      <c r="Y1595" s="8"/>
      <c r="Z1595" s="8"/>
    </row>
    <row r="1596" spans="1:26" ht="12.75">
      <c r="A1596" s="11">
        <v>43747.279363425929</v>
      </c>
      <c r="B1596" s="12" t="str">
        <f>HYPERLINK("https://twitter.com/furkann06arslan","@furkann06arslan")</f>
        <v>@furkann06arslan</v>
      </c>
      <c r="C1596" s="7" t="s">
        <v>11590</v>
      </c>
      <c r="D1596" s="7" t="s">
        <v>11591</v>
      </c>
      <c r="E1596" s="12" t="str">
        <f>HYPERLINK("https://twitter.com/furkann06arslan/status/1181927865924902913","1181927865924902913")</f>
        <v>1181927865924902913</v>
      </c>
      <c r="F1596" s="8"/>
      <c r="G1596" s="15"/>
      <c r="H1596" s="8"/>
      <c r="I1596" s="15">
        <v>0</v>
      </c>
      <c r="J1596" s="15">
        <v>0</v>
      </c>
      <c r="K1596" s="12" t="str">
        <f>HYPERLINK("http://twitter.com/download/iphone","Twitter for iPhone")</f>
        <v>Twitter for iPhone</v>
      </c>
      <c r="L1596" s="16">
        <v>11</v>
      </c>
      <c r="M1596" s="16">
        <v>18</v>
      </c>
      <c r="N1596" s="16">
        <v>0</v>
      </c>
      <c r="O1596" s="17"/>
      <c r="P1596" s="18">
        <v>43185.73101851852</v>
      </c>
      <c r="Q1596" s="7"/>
      <c r="R1596" s="7"/>
      <c r="S1596" s="14" t="s">
        <v>11592</v>
      </c>
      <c r="T1596" s="8"/>
      <c r="U1596" s="19" t="str">
        <f>HYPERLINK("https://pbs.twimg.com/profile_images/1180605743436836864/JKKhpcIg.jpg","View")</f>
        <v>View</v>
      </c>
      <c r="V1596" s="8"/>
      <c r="W1596" s="8"/>
      <c r="X1596" s="8"/>
      <c r="Y1596" s="8"/>
      <c r="Z1596" s="8"/>
    </row>
    <row r="1597" spans="1:26" ht="12.75">
      <c r="A1597" s="11">
        <v>43747.279270833329</v>
      </c>
      <c r="B1597" s="12" t="str">
        <f>HYPERLINK("https://twitter.com/ayhanbeyaz","@ayhanbeyaz")</f>
        <v>@ayhanbeyaz</v>
      </c>
      <c r="C1597" s="7" t="s">
        <v>11597</v>
      </c>
      <c r="D1597" s="7" t="s">
        <v>11598</v>
      </c>
      <c r="E1597" s="12" t="str">
        <f>HYPERLINK("https://twitter.com/ayhanbeyaz/status/1181927834195054594","1181927834195054594")</f>
        <v>1181927834195054594</v>
      </c>
      <c r="F1597" s="8"/>
      <c r="G1597" s="15"/>
      <c r="H1597" s="8"/>
      <c r="I1597" s="15">
        <v>0</v>
      </c>
      <c r="J1597" s="15">
        <v>0</v>
      </c>
      <c r="K1597" s="12" t="str">
        <f>HYPERLINK("http://twitter.com/download/android","Twitter for Android")</f>
        <v>Twitter for Android</v>
      </c>
      <c r="L1597" s="16">
        <v>93</v>
      </c>
      <c r="M1597" s="16">
        <v>235</v>
      </c>
      <c r="N1597" s="16">
        <v>2</v>
      </c>
      <c r="O1597" s="17"/>
      <c r="P1597" s="18">
        <v>40344.250659722224</v>
      </c>
      <c r="Q1597" s="7" t="s">
        <v>8902</v>
      </c>
      <c r="R1597" s="7"/>
      <c r="S1597" s="7"/>
      <c r="T1597" s="8"/>
      <c r="U1597" s="19" t="str">
        <f>HYPERLINK("https://pbs.twimg.com/profile_images/914964179060232192/suGkFywh.jpg","View")</f>
        <v>View</v>
      </c>
      <c r="V1597" s="8"/>
      <c r="W1597" s="8"/>
      <c r="X1597" s="8"/>
      <c r="Y1597" s="8"/>
      <c r="Z1597" s="8"/>
    </row>
    <row r="1598" spans="1:26" ht="12.75">
      <c r="A1598" s="11">
        <v>43747.279270833329</v>
      </c>
      <c r="B1598" s="12" t="str">
        <f>HYPERLINK("https://twitter.com/ZHSGH1","@ZHSGH1")</f>
        <v>@ZHSGH1</v>
      </c>
      <c r="C1598" s="7" t="s">
        <v>11607</v>
      </c>
      <c r="D1598" s="7" t="s">
        <v>11608</v>
      </c>
      <c r="E1598" s="12" t="str">
        <f>HYPERLINK("https://twitter.com/ZHSGH1/status/1181927833439997952","1181927833439997952")</f>
        <v>1181927833439997952</v>
      </c>
      <c r="F1598" s="8"/>
      <c r="G1598" s="7"/>
      <c r="H1598" s="8"/>
      <c r="I1598" s="15">
        <v>0</v>
      </c>
      <c r="J1598" s="15">
        <v>0</v>
      </c>
      <c r="K1598" s="12" t="str">
        <f>HYPERLINK("http://twitter.com/download/android","Twitter for Android")</f>
        <v>Twitter for Android</v>
      </c>
      <c r="L1598" s="16">
        <v>2820</v>
      </c>
      <c r="M1598" s="16">
        <v>66</v>
      </c>
      <c r="N1598" s="16">
        <v>5</v>
      </c>
      <c r="O1598" s="17"/>
      <c r="P1598" s="18">
        <v>41927.553090277775</v>
      </c>
      <c r="Q1598" s="7"/>
      <c r="R1598" s="7" t="s">
        <v>11612</v>
      </c>
      <c r="S1598" s="7"/>
      <c r="T1598" s="8"/>
      <c r="U1598" s="19" t="str">
        <f>HYPERLINK("https://pbs.twimg.com/profile_images/1181390092381896704/ygTU4Jay.jpg","View")</f>
        <v>View</v>
      </c>
      <c r="V1598" s="8"/>
      <c r="W1598" s="8"/>
      <c r="X1598" s="8"/>
      <c r="Y1598" s="8"/>
      <c r="Z1598" s="8"/>
    </row>
    <row r="1599" spans="1:26" ht="12.75">
      <c r="A1599" s="11">
        <v>43747.279212962967</v>
      </c>
      <c r="B1599" s="12" t="str">
        <f>HYPERLINK("https://twitter.com/gizembaktas","@gizembaktas")</f>
        <v>@gizembaktas</v>
      </c>
      <c r="C1599" s="7" t="s">
        <v>11617</v>
      </c>
      <c r="D1599" s="7" t="s">
        <v>11618</v>
      </c>
      <c r="E1599" s="12" t="str">
        <f>HYPERLINK("https://twitter.com/gizembaktas/status/1181927815056375809","1181927815056375809")</f>
        <v>1181927815056375809</v>
      </c>
      <c r="F1599" s="8"/>
      <c r="G1599" s="7"/>
      <c r="H1599" s="8"/>
      <c r="I1599" s="15">
        <v>0</v>
      </c>
      <c r="J1599" s="15">
        <v>1</v>
      </c>
      <c r="K1599" s="12" t="str">
        <f>HYPERLINK("http://twitter.com/download/iphone","Twitter for iPhone")</f>
        <v>Twitter for iPhone</v>
      </c>
      <c r="L1599" s="16">
        <v>344</v>
      </c>
      <c r="M1599" s="16">
        <v>154</v>
      </c>
      <c r="N1599" s="16">
        <v>4</v>
      </c>
      <c r="O1599" s="17"/>
      <c r="P1599" s="18">
        <v>40499.131736111114</v>
      </c>
      <c r="Q1599" s="7"/>
      <c r="R1599" s="7"/>
      <c r="S1599" s="7"/>
      <c r="T1599" s="8"/>
      <c r="U1599" s="19" t="str">
        <f>HYPERLINK("https://pbs.twimg.com/profile_images/1123281225781739520/x65-TE6c.jpg","View")</f>
        <v>View</v>
      </c>
      <c r="V1599" s="8"/>
      <c r="W1599" s="8"/>
      <c r="X1599" s="8"/>
      <c r="Y1599" s="8"/>
      <c r="Z1599" s="8"/>
    </row>
    <row r="1600" spans="1:26" ht="12.75">
      <c r="A1600" s="11">
        <v>43747.279212962967</v>
      </c>
      <c r="B1600" s="12" t="str">
        <f>HYPERLINK("https://twitter.com/muratkecel","@muratkecel")</f>
        <v>@muratkecel</v>
      </c>
      <c r="C1600" s="7" t="s">
        <v>11623</v>
      </c>
      <c r="D1600" s="7" t="s">
        <v>11624</v>
      </c>
      <c r="E1600" s="12" t="str">
        <f>HYPERLINK("https://twitter.com/muratkecel/status/1181927814502780930","1181927814502780930")</f>
        <v>1181927814502780930</v>
      </c>
      <c r="F1600" s="15"/>
      <c r="G1600" s="7"/>
      <c r="H1600" s="8"/>
      <c r="I1600" s="15">
        <v>1</v>
      </c>
      <c r="J1600" s="15">
        <v>1</v>
      </c>
      <c r="K1600" s="12" t="str">
        <f>HYPERLINK("http://twitter.com/download/android","Twitter for Android")</f>
        <v>Twitter for Android</v>
      </c>
      <c r="L1600" s="16">
        <v>990</v>
      </c>
      <c r="M1600" s="16">
        <v>893</v>
      </c>
      <c r="N1600" s="16">
        <v>3</v>
      </c>
      <c r="O1600" s="17"/>
      <c r="P1600" s="18">
        <v>40649.676736111112</v>
      </c>
      <c r="Q1600" s="7" t="s">
        <v>313</v>
      </c>
      <c r="R1600" s="7" t="s">
        <v>11625</v>
      </c>
      <c r="S1600" s="7"/>
      <c r="T1600" s="8"/>
      <c r="U1600" s="19" t="str">
        <f>HYPERLINK("https://pbs.twimg.com/profile_images/854717875612942338/Ni4Luqzv.jpg","View")</f>
        <v>View</v>
      </c>
      <c r="V1600" s="8"/>
      <c r="W1600" s="8"/>
      <c r="X1600" s="8"/>
      <c r="Y1600" s="8"/>
      <c r="Z1600" s="8"/>
    </row>
    <row r="1601" spans="1:26" ht="12.75">
      <c r="A1601" s="11">
        <v>43747.279212962967</v>
      </c>
      <c r="B1601" s="12" t="str">
        <f>HYPERLINK("https://twitter.com/kolcu_erhan","@kolcu_erhan")</f>
        <v>@kolcu_erhan</v>
      </c>
      <c r="C1601" s="7" t="s">
        <v>11627</v>
      </c>
      <c r="D1601" s="7" t="s">
        <v>11628</v>
      </c>
      <c r="E1601" s="12" t="str">
        <f>HYPERLINK("https://twitter.com/kolcu_erhan/status/1181927811470282758","1181927811470282758")</f>
        <v>1181927811470282758</v>
      </c>
      <c r="F1601" s="15"/>
      <c r="G1601" s="14" t="s">
        <v>11630</v>
      </c>
      <c r="H1601" s="8"/>
      <c r="I1601" s="15">
        <v>0</v>
      </c>
      <c r="J1601" s="15">
        <v>1</v>
      </c>
      <c r="K1601" s="12" t="str">
        <f>HYPERLINK("http://twitter.com/download/iphone","Twitter for iPhone")</f>
        <v>Twitter for iPhone</v>
      </c>
      <c r="L1601" s="16">
        <v>247</v>
      </c>
      <c r="M1601" s="16">
        <v>357</v>
      </c>
      <c r="N1601" s="16">
        <v>0</v>
      </c>
      <c r="O1601" s="17"/>
      <c r="P1601" s="18">
        <v>43128.56144675926</v>
      </c>
      <c r="Q1601" s="7"/>
      <c r="R1601" s="7" t="s">
        <v>11632</v>
      </c>
      <c r="S1601" s="7"/>
      <c r="T1601" s="8"/>
      <c r="U1601" s="19" t="str">
        <f>HYPERLINK("https://pbs.twimg.com/profile_images/957727990774984704/7lVAIVm8.jpg","View")</f>
        <v>View</v>
      </c>
      <c r="V1601" s="8"/>
      <c r="W1601" s="8"/>
      <c r="X1601" s="8"/>
      <c r="Y1601" s="8"/>
      <c r="Z1601" s="8"/>
    </row>
    <row r="1602" spans="1:26" ht="12.75">
      <c r="A1602" s="11">
        <v>43747.27920138889</v>
      </c>
      <c r="B1602" s="12" t="str">
        <f>HYPERLINK("https://twitter.com/bjkerkan44","@bjkerkan44")</f>
        <v>@bjkerkan44</v>
      </c>
      <c r="C1602" s="7" t="s">
        <v>11635</v>
      </c>
      <c r="D1602" s="7" t="s">
        <v>11636</v>
      </c>
      <c r="E1602" s="12" t="str">
        <f>HYPERLINK("https://twitter.com/bjkerkan44/status/1181927809582804993","1181927809582804993")</f>
        <v>1181927809582804993</v>
      </c>
      <c r="F1602" s="8"/>
      <c r="G1602" s="14" t="s">
        <v>11638</v>
      </c>
      <c r="H1602" s="8"/>
      <c r="I1602" s="15">
        <v>2</v>
      </c>
      <c r="J1602" s="15">
        <v>6</v>
      </c>
      <c r="K1602" s="12" t="str">
        <f>HYPERLINK("http://twitter.com/download/android","Twitter for Android")</f>
        <v>Twitter for Android</v>
      </c>
      <c r="L1602" s="16">
        <v>3033</v>
      </c>
      <c r="M1602" s="16">
        <v>2950</v>
      </c>
      <c r="N1602" s="16">
        <v>1</v>
      </c>
      <c r="O1602" s="17"/>
      <c r="P1602" s="18">
        <v>42217.491412037038</v>
      </c>
      <c r="Q1602" s="7" t="s">
        <v>11640</v>
      </c>
      <c r="R1602" s="7" t="s">
        <v>11641</v>
      </c>
      <c r="S1602" s="15"/>
      <c r="T1602" s="8"/>
      <c r="U1602" s="19" t="str">
        <f>HYPERLINK("https://pbs.twimg.com/profile_images/1153025488966823944/_RivUQeb.jpg","View")</f>
        <v>View</v>
      </c>
      <c r="V1602" s="8"/>
      <c r="W1602" s="8"/>
      <c r="X1602" s="8"/>
      <c r="Y1602" s="8"/>
      <c r="Z1602" s="8"/>
    </row>
    <row r="1603" spans="1:26" ht="12.75">
      <c r="A1603" s="11">
        <v>43747.27920138889</v>
      </c>
      <c r="B1603" s="12" t="str">
        <f>HYPERLINK("https://twitter.com/asoszen","@asoszen")</f>
        <v>@asoszen</v>
      </c>
      <c r="C1603" s="13" t="s">
        <v>11644</v>
      </c>
      <c r="D1603" s="7" t="s">
        <v>11645</v>
      </c>
      <c r="E1603" s="12" t="str">
        <f>HYPERLINK("https://twitter.com/asoszen/status/1181927808181948416","1181927808181948416")</f>
        <v>1181927808181948416</v>
      </c>
      <c r="F1603" s="8"/>
      <c r="G1603" s="14" t="s">
        <v>11646</v>
      </c>
      <c r="H1603" s="8"/>
      <c r="I1603" s="15">
        <v>1</v>
      </c>
      <c r="J1603" s="15">
        <v>3</v>
      </c>
      <c r="K1603" s="12" t="str">
        <f>HYPERLINK("https://mobile.twitter.com","Twitter Web App")</f>
        <v>Twitter Web App</v>
      </c>
      <c r="L1603" s="16">
        <v>5535</v>
      </c>
      <c r="M1603" s="16">
        <v>5281</v>
      </c>
      <c r="N1603" s="16">
        <v>6</v>
      </c>
      <c r="O1603" s="17"/>
      <c r="P1603" s="18">
        <v>43229.228506944448</v>
      </c>
      <c r="Q1603" s="7" t="s">
        <v>11650</v>
      </c>
      <c r="R1603" s="7" t="s">
        <v>11652</v>
      </c>
      <c r="S1603" s="7"/>
      <c r="T1603" s="8"/>
      <c r="U1603" s="19" t="str">
        <f>HYPERLINK("https://pbs.twimg.com/profile_images/1154696550813188096/C5jCL0Ju.jpg","View")</f>
        <v>View</v>
      </c>
      <c r="V1603" s="8"/>
      <c r="W1603" s="8"/>
      <c r="X1603" s="8"/>
      <c r="Y1603" s="8"/>
      <c r="Z1603" s="8"/>
    </row>
    <row r="1604" spans="1:26" ht="12.75">
      <c r="A1604" s="11">
        <v>43747.279178240744</v>
      </c>
      <c r="B1604" s="12" t="str">
        <f>HYPERLINK("https://twitter.com/baybjkbay","@baybjkbay")</f>
        <v>@baybjkbay</v>
      </c>
      <c r="C1604" s="7" t="s">
        <v>11654</v>
      </c>
      <c r="D1604" s="7" t="s">
        <v>11655</v>
      </c>
      <c r="E1604" s="12" t="str">
        <f>HYPERLINK("https://twitter.com/baybjkbay/status/1181927801982787585","1181927801982787585")</f>
        <v>1181927801982787585</v>
      </c>
      <c r="F1604" s="15"/>
      <c r="G1604" s="14" t="s">
        <v>11656</v>
      </c>
      <c r="H1604" s="8"/>
      <c r="I1604" s="15">
        <v>0</v>
      </c>
      <c r="J1604" s="15">
        <v>1</v>
      </c>
      <c r="K1604" s="12" t="str">
        <f>HYPERLINK("http://twitter.com/download/android","Twitter for Android")</f>
        <v>Twitter for Android</v>
      </c>
      <c r="L1604" s="16">
        <v>3020</v>
      </c>
      <c r="M1604" s="16">
        <v>3079</v>
      </c>
      <c r="N1604" s="16">
        <v>0</v>
      </c>
      <c r="O1604" s="17"/>
      <c r="P1604" s="18">
        <v>42465.591481481482</v>
      </c>
      <c r="Q1604" s="7" t="s">
        <v>313</v>
      </c>
      <c r="R1604" s="7" t="s">
        <v>11658</v>
      </c>
      <c r="S1604" s="7"/>
      <c r="T1604" s="8"/>
      <c r="U1604" s="19" t="str">
        <f>HYPERLINK("https://pbs.twimg.com/profile_images/1172177556910596097/TbBZ2FZQ.jpg","View")</f>
        <v>View</v>
      </c>
      <c r="V1604" s="8"/>
      <c r="W1604" s="8"/>
      <c r="X1604" s="8"/>
      <c r="Y1604" s="8"/>
      <c r="Z1604" s="8"/>
    </row>
    <row r="1605" spans="1:26" ht="12.75">
      <c r="A1605" s="11">
        <v>43747.279178240744</v>
      </c>
      <c r="B1605" s="12" t="str">
        <f>HYPERLINK("https://twitter.com/Yogbeya","@Yogbeya")</f>
        <v>@Yogbeya</v>
      </c>
      <c r="C1605" s="7" t="s">
        <v>11659</v>
      </c>
      <c r="D1605" s="7" t="s">
        <v>11660</v>
      </c>
      <c r="E1605" s="12" t="str">
        <f>HYPERLINK("https://twitter.com/Yogbeya/status/1181927800216985600","1181927800216985600")</f>
        <v>1181927800216985600</v>
      </c>
      <c r="F1605" s="8"/>
      <c r="G1605" s="14" t="s">
        <v>11662</v>
      </c>
      <c r="H1605" s="8"/>
      <c r="I1605" s="15">
        <v>1</v>
      </c>
      <c r="J1605" s="15">
        <v>2</v>
      </c>
      <c r="K1605" s="12" t="str">
        <f>HYPERLINK("http://twitter.com/download/android","Twitter for Android")</f>
        <v>Twitter for Android</v>
      </c>
      <c r="L1605" s="16">
        <v>6424</v>
      </c>
      <c r="M1605" s="16">
        <v>6111</v>
      </c>
      <c r="N1605" s="16">
        <v>5</v>
      </c>
      <c r="O1605" s="17"/>
      <c r="P1605" s="18">
        <v>42117.070983796293</v>
      </c>
      <c r="Q1605" s="7" t="s">
        <v>7005</v>
      </c>
      <c r="R1605" s="7" t="s">
        <v>11666</v>
      </c>
      <c r="S1605" s="7"/>
      <c r="T1605" s="8"/>
      <c r="U1605" s="19" t="str">
        <f>HYPERLINK("https://pbs.twimg.com/profile_images/1007451326610014209/m4goomLp.jpg","View")</f>
        <v>View</v>
      </c>
      <c r="V1605" s="8"/>
      <c r="W1605" s="8"/>
      <c r="X1605" s="8"/>
      <c r="Y1605" s="8"/>
      <c r="Z1605" s="8"/>
    </row>
    <row r="1606" spans="1:26" ht="12.75">
      <c r="A1606" s="11">
        <v>43747.279143518521</v>
      </c>
      <c r="B1606" s="12" t="str">
        <f>HYPERLINK("https://twitter.com/gungor951","@gungor951")</f>
        <v>@gungor951</v>
      </c>
      <c r="C1606" s="7" t="s">
        <v>11679</v>
      </c>
      <c r="D1606" s="7" t="s">
        <v>11680</v>
      </c>
      <c r="E1606" s="12" t="str">
        <f>HYPERLINK("https://twitter.com/gungor951/status/1181927787302735873","1181927787302735873")</f>
        <v>1181927787302735873</v>
      </c>
      <c r="F1606" s="8"/>
      <c r="G1606" s="14" t="s">
        <v>11681</v>
      </c>
      <c r="H1606" s="8"/>
      <c r="I1606" s="15">
        <v>0</v>
      </c>
      <c r="J1606" s="15">
        <v>0</v>
      </c>
      <c r="K1606" s="12" t="str">
        <f>HYPERLINK("http://twitter.com/download/android","Twitter for Android")</f>
        <v>Twitter for Android</v>
      </c>
      <c r="L1606" s="16">
        <v>30</v>
      </c>
      <c r="M1606" s="16">
        <v>99</v>
      </c>
      <c r="N1606" s="16">
        <v>0</v>
      </c>
      <c r="O1606" s="17"/>
      <c r="P1606" s="18">
        <v>41794.159849537034</v>
      </c>
      <c r="Q1606" s="7" t="s">
        <v>7733</v>
      </c>
      <c r="R1606" s="7" t="s">
        <v>11686</v>
      </c>
      <c r="S1606" s="14" t="s">
        <v>11687</v>
      </c>
      <c r="T1606" s="8"/>
      <c r="U1606" s="19" t="str">
        <f>HYPERLINK("https://pbs.twimg.com/profile_images/976447950447677441/ufqBmSod.jpg","View")</f>
        <v>View</v>
      </c>
      <c r="V1606" s="8"/>
      <c r="W1606" s="8"/>
      <c r="X1606" s="8"/>
      <c r="Y1606" s="8"/>
      <c r="Z1606" s="8"/>
    </row>
    <row r="1607" spans="1:26" ht="12.75">
      <c r="A1607" s="11">
        <v>43747.279085648144</v>
      </c>
      <c r="B1607" s="12" t="str">
        <f>HYPERLINK("https://twitter.com/yilmaz_mustafaa","@yilmaz_mustafaa")</f>
        <v>@yilmaz_mustafaa</v>
      </c>
      <c r="C1607" s="7" t="s">
        <v>11690</v>
      </c>
      <c r="D1607" s="7" t="s">
        <v>11691</v>
      </c>
      <c r="E1607" s="12" t="str">
        <f>HYPERLINK("https://twitter.com/yilmaz_mustafaa/status/1181927767958589442","1181927767958589442")</f>
        <v>1181927767958589442</v>
      </c>
      <c r="F1607" s="8"/>
      <c r="G1607" s="14" t="s">
        <v>11692</v>
      </c>
      <c r="H1607" s="8"/>
      <c r="I1607" s="15">
        <v>0</v>
      </c>
      <c r="J1607" s="15">
        <v>0</v>
      </c>
      <c r="K1607" s="12" t="str">
        <f>HYPERLINK("http://twitter.com/download/iphone","Twitter for iPhone")</f>
        <v>Twitter for iPhone</v>
      </c>
      <c r="L1607" s="16">
        <v>17008</v>
      </c>
      <c r="M1607" s="16">
        <v>169</v>
      </c>
      <c r="N1607" s="16">
        <v>7</v>
      </c>
      <c r="O1607" s="17"/>
      <c r="P1607" s="18">
        <v>41844.351736111115</v>
      </c>
      <c r="Q1607" s="7" t="s">
        <v>11695</v>
      </c>
      <c r="R1607" s="7"/>
      <c r="S1607" s="7"/>
      <c r="T1607" s="8"/>
      <c r="U1607" s="19" t="str">
        <f>HYPERLINK("https://pbs.twimg.com/profile_images/1135054207537569794/69O_lK1d.jpg","View")</f>
        <v>View</v>
      </c>
      <c r="V1607" s="8"/>
      <c r="W1607" s="8"/>
      <c r="X1607" s="8"/>
      <c r="Y1607" s="8"/>
      <c r="Z1607" s="8"/>
    </row>
    <row r="1608" spans="1:26" ht="12.75">
      <c r="A1608" s="11">
        <v>43747.279085648144</v>
      </c>
      <c r="B1608" s="12" t="str">
        <f>HYPERLINK("https://twitter.com/akkdnsehitkamil","@akkdnsehitkamil")</f>
        <v>@akkdnsehitkamil</v>
      </c>
      <c r="C1608" s="7" t="s">
        <v>11696</v>
      </c>
      <c r="D1608" s="7" t="s">
        <v>11697</v>
      </c>
      <c r="E1608" s="12" t="str">
        <f>HYPERLINK("https://twitter.com/akkdnsehitkamil/status/1181927767878914049","1181927767878914049")</f>
        <v>1181927767878914049</v>
      </c>
      <c r="F1608" s="8"/>
      <c r="G1608" s="14" t="s">
        <v>11698</v>
      </c>
      <c r="H1608" s="8"/>
      <c r="I1608" s="15">
        <v>10</v>
      </c>
      <c r="J1608" s="15">
        <v>12</v>
      </c>
      <c r="K1608" s="12" t="str">
        <f>HYPERLINK("http://twitter.com/download/android","Twitter for Android")</f>
        <v>Twitter for Android</v>
      </c>
      <c r="L1608" s="16">
        <v>3407</v>
      </c>
      <c r="M1608" s="16">
        <v>955</v>
      </c>
      <c r="N1608" s="16">
        <v>4</v>
      </c>
      <c r="O1608" s="17"/>
      <c r="P1608" s="18">
        <v>41948.175625000003</v>
      </c>
      <c r="Q1608" s="7" t="s">
        <v>11702</v>
      </c>
      <c r="R1608" s="7" t="s">
        <v>11704</v>
      </c>
      <c r="S1608" s="14" t="s">
        <v>11705</v>
      </c>
      <c r="T1608" s="8"/>
      <c r="U1608" s="19" t="str">
        <f>HYPERLINK("https://pbs.twimg.com/profile_images/1152124742389948416/rfYMepcE.jpg","View")</f>
        <v>View</v>
      </c>
      <c r="V1608" s="8"/>
      <c r="W1608" s="8"/>
      <c r="X1608" s="8"/>
      <c r="Y1608" s="8"/>
      <c r="Z1608" s="8"/>
    </row>
    <row r="1609" spans="1:26" ht="12.75">
      <c r="A1609" s="11">
        <v>43747.279074074075</v>
      </c>
      <c r="B1609" s="12" t="str">
        <f>HYPERLINK("https://twitter.com/AHNUUR1","@AHNUUR1")</f>
        <v>@AHNUUR1</v>
      </c>
      <c r="C1609" s="7" t="s">
        <v>11712</v>
      </c>
      <c r="D1609" s="7" t="s">
        <v>11713</v>
      </c>
      <c r="E1609" s="12" t="str">
        <f>HYPERLINK("https://twitter.com/AHNUUR1/status/1181927763449700354","1181927763449700354")</f>
        <v>1181927763449700354</v>
      </c>
      <c r="F1609" s="8"/>
      <c r="G1609" s="14" t="s">
        <v>152</v>
      </c>
      <c r="H1609" s="8"/>
      <c r="I1609" s="15">
        <v>0</v>
      </c>
      <c r="J1609" s="15">
        <v>0</v>
      </c>
      <c r="K1609" s="12" t="str">
        <f>HYPERLINK("http://twitter.com/download/android","Twitter for Android")</f>
        <v>Twitter for Android</v>
      </c>
      <c r="L1609" s="16">
        <v>230</v>
      </c>
      <c r="M1609" s="16">
        <v>523</v>
      </c>
      <c r="N1609" s="16">
        <v>0</v>
      </c>
      <c r="O1609" s="17"/>
      <c r="P1609" s="18">
        <v>43103.412881944445</v>
      </c>
      <c r="Q1609" s="7"/>
      <c r="R1609" s="7"/>
      <c r="S1609" s="15"/>
      <c r="T1609" s="8"/>
      <c r="U1609" s="19" t="str">
        <f>HYPERLINK("https://pbs.twimg.com/profile_images/990658217142308864/SfKrJPYK.jpg","View")</f>
        <v>View</v>
      </c>
      <c r="V1609" s="8"/>
      <c r="W1609" s="8"/>
      <c r="X1609" s="8"/>
      <c r="Y1609" s="8"/>
      <c r="Z1609" s="8"/>
    </row>
    <row r="1610" spans="1:26" ht="12.75">
      <c r="A1610" s="11">
        <v>43747.279062500005</v>
      </c>
      <c r="B1610" s="12" t="str">
        <f>HYPERLINK("https://twitter.com/emre_baseer","@emre_baseer")</f>
        <v>@emre_baseer</v>
      </c>
      <c r="C1610" s="7" t="s">
        <v>11718</v>
      </c>
      <c r="D1610" s="7" t="s">
        <v>11719</v>
      </c>
      <c r="E1610" s="12" t="str">
        <f>HYPERLINK("https://twitter.com/emre_baseer/status/1181927758525554692","1181927758525554692")</f>
        <v>1181927758525554692</v>
      </c>
      <c r="F1610" s="14" t="s">
        <v>11720</v>
      </c>
      <c r="G1610" s="14" t="s">
        <v>11721</v>
      </c>
      <c r="H1610" s="8"/>
      <c r="I1610" s="15">
        <v>0</v>
      </c>
      <c r="J1610" s="15">
        <v>4</v>
      </c>
      <c r="K1610" s="12" t="str">
        <f>HYPERLINK("http://twitter.com/download/iphone","Twitter for iPhone")</f>
        <v>Twitter for iPhone</v>
      </c>
      <c r="L1610" s="16">
        <v>96</v>
      </c>
      <c r="M1610" s="16">
        <v>122</v>
      </c>
      <c r="N1610" s="16">
        <v>0</v>
      </c>
      <c r="O1610" s="17"/>
      <c r="P1610" s="18">
        <v>41670.073136574072</v>
      </c>
      <c r="Q1610" s="7" t="s">
        <v>200</v>
      </c>
      <c r="R1610" s="7"/>
      <c r="S1610" s="14" t="s">
        <v>11722</v>
      </c>
      <c r="T1610" s="8"/>
      <c r="U1610" s="19" t="str">
        <f>HYPERLINK("https://pbs.twimg.com/profile_images/1155734871622475777/h8gVZr6w.jpg","View")</f>
        <v>View</v>
      </c>
      <c r="V1610" s="8"/>
      <c r="W1610" s="8"/>
      <c r="X1610" s="8"/>
      <c r="Y1610" s="8"/>
      <c r="Z1610" s="8"/>
    </row>
    <row r="1611" spans="1:26" ht="12.75">
      <c r="A1611" s="11">
        <v>43747.279050925921</v>
      </c>
      <c r="B1611" s="12" t="str">
        <f>HYPERLINK("https://twitter.com/un_aziz","@un_aziz")</f>
        <v>@un_aziz</v>
      </c>
      <c r="C1611" s="7" t="s">
        <v>11726</v>
      </c>
      <c r="D1611" s="7" t="s">
        <v>11727</v>
      </c>
      <c r="E1611" s="12" t="str">
        <f>HYPERLINK("https://twitter.com/un_aziz/status/1181927753387520000","1181927753387520000")</f>
        <v>1181927753387520000</v>
      </c>
      <c r="F1611" s="8"/>
      <c r="G1611" s="7"/>
      <c r="H1611" s="8"/>
      <c r="I1611" s="15">
        <v>0</v>
      </c>
      <c r="J1611" s="15">
        <v>0</v>
      </c>
      <c r="K1611" s="12" t="str">
        <f>HYPERLINK("http://twitter.com/download/android","Twitter for Android")</f>
        <v>Twitter for Android</v>
      </c>
      <c r="L1611" s="16">
        <v>3430</v>
      </c>
      <c r="M1611" s="16">
        <v>4101</v>
      </c>
      <c r="N1611" s="16">
        <v>2</v>
      </c>
      <c r="O1611" s="17"/>
      <c r="P1611" s="18">
        <v>41455.154444444444</v>
      </c>
      <c r="Q1611" s="7" t="s">
        <v>11728</v>
      </c>
      <c r="R1611" s="7" t="s">
        <v>11729</v>
      </c>
      <c r="S1611" s="7"/>
      <c r="T1611" s="8"/>
      <c r="U1611" s="19" t="str">
        <f>HYPERLINK("https://pbs.twimg.com/profile_images/1150518939052650497/c0igMrUw.jpg","View")</f>
        <v>View</v>
      </c>
      <c r="V1611" s="8"/>
      <c r="W1611" s="8"/>
      <c r="X1611" s="8"/>
      <c r="Y1611" s="8"/>
      <c r="Z1611" s="8"/>
    </row>
    <row r="1612" spans="1:26" ht="12.75">
      <c r="A1612" s="11">
        <v>43747.279016203705</v>
      </c>
      <c r="B1612" s="12" t="str">
        <f>HYPERLINK("https://twitter.com/AlperBlent","@AlperBlent")</f>
        <v>@AlperBlent</v>
      </c>
      <c r="C1612" s="7" t="s">
        <v>11732</v>
      </c>
      <c r="D1612" s="7" t="s">
        <v>11733</v>
      </c>
      <c r="E1612" s="12" t="str">
        <f>HYPERLINK("https://twitter.com/AlperBlent/status/1181927740674580482","1181927740674580482")</f>
        <v>1181927740674580482</v>
      </c>
      <c r="F1612" s="8"/>
      <c r="G1612" s="15"/>
      <c r="H1612" s="8"/>
      <c r="I1612" s="15">
        <v>0</v>
      </c>
      <c r="J1612" s="15">
        <v>2</v>
      </c>
      <c r="K1612" s="12" t="str">
        <f>HYPERLINK("http://twitter.com/download/android","Twitter for Android")</f>
        <v>Twitter for Android</v>
      </c>
      <c r="L1612" s="16">
        <v>184</v>
      </c>
      <c r="M1612" s="16">
        <v>229</v>
      </c>
      <c r="N1612" s="16">
        <v>0</v>
      </c>
      <c r="O1612" s="17"/>
      <c r="P1612" s="18">
        <v>40938.655069444445</v>
      </c>
      <c r="Q1612" s="7" t="s">
        <v>11734</v>
      </c>
      <c r="R1612" s="7"/>
      <c r="S1612" s="7"/>
      <c r="T1612" s="8"/>
      <c r="U1612" s="19" t="str">
        <f>HYPERLINK("https://pbs.twimg.com/profile_images/1179344334551945217/QajO4ep1.jpg","View")</f>
        <v>View</v>
      </c>
      <c r="V1612" s="8"/>
      <c r="W1612" s="8"/>
      <c r="X1612" s="8"/>
      <c r="Y1612" s="8"/>
      <c r="Z1612" s="8"/>
    </row>
    <row r="1613" spans="1:26" ht="12.75">
      <c r="A1613" s="11">
        <v>43747.278993055559</v>
      </c>
      <c r="B1613" s="12" t="str">
        <f>HYPERLINK("https://twitter.com/emrearss1","@emrearss1")</f>
        <v>@emrearss1</v>
      </c>
      <c r="C1613" s="7" t="s">
        <v>3662</v>
      </c>
      <c r="D1613" s="7" t="s">
        <v>1077</v>
      </c>
      <c r="E1613" s="12" t="str">
        <f>HYPERLINK("https://twitter.com/emrearss1/status/1181927735008083975","1181927735008083975")</f>
        <v>1181927735008083975</v>
      </c>
      <c r="F1613" s="15"/>
      <c r="G1613" s="14" t="s">
        <v>11738</v>
      </c>
      <c r="H1613" s="8"/>
      <c r="I1613" s="15">
        <v>0</v>
      </c>
      <c r="J1613" s="15">
        <v>0</v>
      </c>
      <c r="K1613" s="12" t="str">
        <f>HYPERLINK("http://twitter.com/download/android","Twitter for Android")</f>
        <v>Twitter for Android</v>
      </c>
      <c r="L1613" s="16">
        <v>201</v>
      </c>
      <c r="M1613" s="16">
        <v>536</v>
      </c>
      <c r="N1613" s="16">
        <v>0</v>
      </c>
      <c r="O1613" s="17"/>
      <c r="P1613" s="18">
        <v>42387.33630787037</v>
      </c>
      <c r="Q1613" s="7" t="s">
        <v>1850</v>
      </c>
      <c r="R1613" s="7"/>
      <c r="S1613" s="7"/>
      <c r="T1613" s="8"/>
      <c r="U1613" s="19" t="str">
        <f>HYPERLINK("https://pbs.twimg.com/profile_images/1165208245000187907/Eox7RrMI.jpg","View")</f>
        <v>View</v>
      </c>
      <c r="V1613" s="8"/>
      <c r="W1613" s="8"/>
      <c r="X1613" s="8"/>
      <c r="Y1613" s="8"/>
      <c r="Z1613" s="8"/>
    </row>
    <row r="1614" spans="1:26" ht="12.75">
      <c r="A1614" s="11">
        <v>43747.278958333336</v>
      </c>
      <c r="B1614" s="12" t="str">
        <f>HYPERLINK("https://twitter.com/MehdiMnaouar","@MehdiMnaouar")</f>
        <v>@MehdiMnaouar</v>
      </c>
      <c r="C1614" s="7" t="s">
        <v>11741</v>
      </c>
      <c r="D1614" s="7" t="s">
        <v>11743</v>
      </c>
      <c r="E1614" s="12" t="str">
        <f>HYPERLINK("https://twitter.com/MehdiMnaouar/status/1181927722370682880","1181927722370682880")</f>
        <v>1181927722370682880</v>
      </c>
      <c r="F1614" s="15"/>
      <c r="G1614" s="14" t="s">
        <v>11744</v>
      </c>
      <c r="H1614" s="8"/>
      <c r="I1614" s="15">
        <v>1</v>
      </c>
      <c r="J1614" s="15">
        <v>1</v>
      </c>
      <c r="K1614" s="12" t="str">
        <f>HYPERLINK("http://twitter.com/download/android","Twitter for Android")</f>
        <v>Twitter for Android</v>
      </c>
      <c r="L1614" s="16">
        <v>1292</v>
      </c>
      <c r="M1614" s="16">
        <v>4863</v>
      </c>
      <c r="N1614" s="16">
        <v>24</v>
      </c>
      <c r="O1614" s="17"/>
      <c r="P1614" s="18">
        <v>41184.129189814819</v>
      </c>
      <c r="Q1614" s="7" t="s">
        <v>5310</v>
      </c>
      <c r="R1614" s="7" t="s">
        <v>11747</v>
      </c>
      <c r="S1614" s="14" t="s">
        <v>11748</v>
      </c>
      <c r="T1614" s="8"/>
      <c r="U1614" s="19" t="str">
        <f>HYPERLINK("https://pbs.twimg.com/profile_images/870224153953140736/PSLJiqhQ.jpg","View")</f>
        <v>View</v>
      </c>
      <c r="V1614" s="8"/>
      <c r="W1614" s="8"/>
      <c r="X1614" s="8"/>
      <c r="Y1614" s="8"/>
      <c r="Z1614" s="8"/>
    </row>
    <row r="1615" spans="1:26" ht="12.75">
      <c r="A1615" s="11">
        <v>43747.278958333336</v>
      </c>
      <c r="B1615" s="12" t="str">
        <f>HYPERLINK("https://twitter.com/mttbkutahya","@mttbkutahya")</f>
        <v>@mttbkutahya</v>
      </c>
      <c r="C1615" s="7" t="s">
        <v>11752</v>
      </c>
      <c r="D1615" s="7" t="s">
        <v>3843</v>
      </c>
      <c r="E1615" s="12" t="str">
        <f>HYPERLINK("https://twitter.com/mttbkutahya/status/1181927720231608320","1181927720231608320")</f>
        <v>1181927720231608320</v>
      </c>
      <c r="F1615" s="8"/>
      <c r="G1615" s="15"/>
      <c r="H1615" s="8"/>
      <c r="I1615" s="15">
        <v>0</v>
      </c>
      <c r="J1615" s="15">
        <v>2</v>
      </c>
      <c r="K1615" s="12" t="str">
        <f>HYPERLINK("http://twitter.com/download/android","Twitter for Android")</f>
        <v>Twitter for Android</v>
      </c>
      <c r="L1615" s="16">
        <v>687</v>
      </c>
      <c r="M1615" s="16">
        <v>43</v>
      </c>
      <c r="N1615" s="16">
        <v>3</v>
      </c>
      <c r="O1615" s="17"/>
      <c r="P1615" s="18">
        <v>41390.528460648144</v>
      </c>
      <c r="Q1615" s="7" t="s">
        <v>11756</v>
      </c>
      <c r="R1615" s="7" t="s">
        <v>11757</v>
      </c>
      <c r="S1615" s="14" t="s">
        <v>11758</v>
      </c>
      <c r="T1615" s="8"/>
      <c r="U1615" s="19" t="str">
        <f>HYPERLINK("https://pbs.twimg.com/profile_images/1037067577770627074/IyY8qkAD.jpg","View")</f>
        <v>View</v>
      </c>
      <c r="V1615" s="8"/>
      <c r="W1615" s="8"/>
      <c r="X1615" s="8"/>
      <c r="Y1615" s="8"/>
      <c r="Z1615" s="8"/>
    </row>
    <row r="1616" spans="1:26" ht="12.75">
      <c r="A1616" s="11">
        <v>43747.278958333336</v>
      </c>
      <c r="B1616" s="12" t="str">
        <f>HYPERLINK("https://twitter.com/bazer008","@bazer008")</f>
        <v>@bazer008</v>
      </c>
      <c r="C1616" s="7" t="s">
        <v>11760</v>
      </c>
      <c r="D1616" s="7" t="s">
        <v>11761</v>
      </c>
      <c r="E1616" s="12" t="str">
        <f>HYPERLINK("https://twitter.com/bazer008/status/1181927719904432134","1181927719904432134")</f>
        <v>1181927719904432134</v>
      </c>
      <c r="F1616" s="8"/>
      <c r="G1616" s="15"/>
      <c r="H1616" s="8"/>
      <c r="I1616" s="15">
        <v>0</v>
      </c>
      <c r="J1616" s="15">
        <v>0</v>
      </c>
      <c r="K1616" s="12" t="str">
        <f>HYPERLINK("http://twitter.com/download/android","Twitter for Android")</f>
        <v>Twitter for Android</v>
      </c>
      <c r="L1616" s="16">
        <v>320</v>
      </c>
      <c r="M1616" s="16">
        <v>2046</v>
      </c>
      <c r="N1616" s="16">
        <v>3</v>
      </c>
      <c r="O1616" s="17"/>
      <c r="P1616" s="18">
        <v>41649.171423611115</v>
      </c>
      <c r="Q1616" s="7"/>
      <c r="R1616" s="7" t="s">
        <v>11764</v>
      </c>
      <c r="S1616" s="7"/>
      <c r="T1616" s="8"/>
      <c r="U1616" s="19" t="str">
        <f>HYPERLINK("https://pbs.twimg.com/profile_images/1181352917871349760/0O_I_Ebf.jpg","View")</f>
        <v>View</v>
      </c>
      <c r="V1616" s="8"/>
      <c r="W1616" s="8"/>
      <c r="X1616" s="8"/>
      <c r="Y1616" s="8"/>
      <c r="Z1616" s="8"/>
    </row>
    <row r="1617" spans="1:26" ht="12.75">
      <c r="A1617" s="11">
        <v>43747.278958333336</v>
      </c>
      <c r="B1617" s="12" t="str">
        <f>HYPERLINK("https://twitter.com/Ruhadam33","@Ruhadam33")</f>
        <v>@Ruhadam33</v>
      </c>
      <c r="C1617" s="7" t="s">
        <v>11766</v>
      </c>
      <c r="D1617" s="7" t="s">
        <v>6457</v>
      </c>
      <c r="E1617" s="12" t="str">
        <f>HYPERLINK("https://twitter.com/Ruhadam33/status/1181927719011000327","1181927719011000327")</f>
        <v>1181927719011000327</v>
      </c>
      <c r="F1617" s="8"/>
      <c r="G1617" s="14" t="s">
        <v>11767</v>
      </c>
      <c r="H1617" s="8"/>
      <c r="I1617" s="15">
        <v>0</v>
      </c>
      <c r="J1617" s="15">
        <v>1</v>
      </c>
      <c r="K1617" s="12" t="str">
        <f>HYPERLINK("http://twitter.com/download/android","Twitter for Android")</f>
        <v>Twitter for Android</v>
      </c>
      <c r="L1617" s="16">
        <v>95</v>
      </c>
      <c r="M1617" s="16">
        <v>265</v>
      </c>
      <c r="N1617" s="16">
        <v>0</v>
      </c>
      <c r="O1617" s="17"/>
      <c r="P1617" s="18">
        <v>40656.31925925926</v>
      </c>
      <c r="Q1617" s="7"/>
      <c r="R1617" s="7"/>
      <c r="S1617" s="7"/>
      <c r="T1617" s="8"/>
      <c r="U1617" s="19" t="str">
        <f>HYPERLINK("https://pbs.twimg.com/profile_images/896265850495401984/2fm6f1yE.jpg","View")</f>
        <v>View</v>
      </c>
      <c r="V1617" s="8"/>
      <c r="W1617" s="8"/>
      <c r="X1617" s="8"/>
      <c r="Y1617" s="8"/>
      <c r="Z1617" s="8"/>
    </row>
    <row r="1618" spans="1:26" ht="12.75">
      <c r="A1618" s="11">
        <v>43747.278935185182</v>
      </c>
      <c r="B1618" s="12" t="str">
        <f>HYPERLINK("https://twitter.com/sah_2000","@sah_2000")</f>
        <v>@sah_2000</v>
      </c>
      <c r="C1618" s="7" t="s">
        <v>11772</v>
      </c>
      <c r="D1618" s="7" t="s">
        <v>9270</v>
      </c>
      <c r="E1618" s="12" t="str">
        <f>HYPERLINK("https://twitter.com/sah_2000/status/1181927711985606656","1181927711985606656")</f>
        <v>1181927711985606656</v>
      </c>
      <c r="F1618" s="8"/>
      <c r="G1618" s="15"/>
      <c r="H1618" s="8"/>
      <c r="I1618" s="15">
        <v>0</v>
      </c>
      <c r="J1618" s="15">
        <v>0</v>
      </c>
      <c r="K1618" s="12" t="str">
        <f>HYPERLINK("https://mobile.twitter.com","Twitter Web App")</f>
        <v>Twitter Web App</v>
      </c>
      <c r="L1618" s="16">
        <v>1</v>
      </c>
      <c r="M1618" s="16">
        <v>1</v>
      </c>
      <c r="N1618" s="16">
        <v>0</v>
      </c>
      <c r="O1618" s="17"/>
      <c r="P1618" s="18">
        <v>43565.458425925928</v>
      </c>
      <c r="Q1618" s="7"/>
      <c r="R1618" s="7"/>
      <c r="S1618" s="7"/>
      <c r="T1618" s="8"/>
      <c r="U1618" s="20" t="s">
        <v>354</v>
      </c>
      <c r="V1618" s="8"/>
      <c r="W1618" s="8"/>
      <c r="X1618" s="8"/>
      <c r="Y1618" s="8"/>
      <c r="Z1618" s="8"/>
    </row>
    <row r="1619" spans="1:26" ht="12.75">
      <c r="A1619" s="11">
        <v>43747.278935185182</v>
      </c>
      <c r="B1619" s="12" t="str">
        <f>HYPERLINK("https://twitter.com/Mart_donus","@Mart_donus")</f>
        <v>@Mart_donus</v>
      </c>
      <c r="C1619" s="7" t="s">
        <v>11776</v>
      </c>
      <c r="D1619" s="7" t="s">
        <v>11778</v>
      </c>
      <c r="E1619" s="12" t="str">
        <f>HYPERLINK("https://twitter.com/Mart_donus/status/1181927711327084545","1181927711327084545")</f>
        <v>1181927711327084545</v>
      </c>
      <c r="F1619" s="8"/>
      <c r="G1619" s="7"/>
      <c r="H1619" s="8"/>
      <c r="I1619" s="15">
        <v>0</v>
      </c>
      <c r="J1619" s="15">
        <v>0</v>
      </c>
      <c r="K1619" s="12" t="str">
        <f>HYPERLINK("http://twitter.com/download/android","Twitter for Android")</f>
        <v>Twitter for Android</v>
      </c>
      <c r="L1619" s="16">
        <v>41</v>
      </c>
      <c r="M1619" s="16">
        <v>41</v>
      </c>
      <c r="N1619" s="16">
        <v>0</v>
      </c>
      <c r="O1619" s="17"/>
      <c r="P1619" s="18">
        <v>40042.093449074076</v>
      </c>
      <c r="Q1619" s="7"/>
      <c r="R1619" s="7"/>
      <c r="S1619" s="7"/>
      <c r="T1619" s="8"/>
      <c r="U1619" s="19" t="str">
        <f>HYPERLINK("https://pbs.twimg.com/profile_images/842237642414645248/EQrntttz.jpg","View")</f>
        <v>View</v>
      </c>
      <c r="V1619" s="8"/>
      <c r="W1619" s="8"/>
      <c r="X1619" s="8"/>
      <c r="Y1619" s="8"/>
      <c r="Z1619" s="8"/>
    </row>
    <row r="1620" spans="1:26" ht="12.75">
      <c r="A1620" s="11">
        <v>43747.278923611113</v>
      </c>
      <c r="B1620" s="12" t="str">
        <f>HYPERLINK("https://twitter.com/bykuvan","@bykuvan")</f>
        <v>@bykuvan</v>
      </c>
      <c r="C1620" s="7" t="s">
        <v>11782</v>
      </c>
      <c r="D1620" s="7" t="s">
        <v>11783</v>
      </c>
      <c r="E1620" s="12" t="str">
        <f>HYPERLINK("https://twitter.com/bykuvan/status/1181927710492430336","1181927710492430336")</f>
        <v>1181927710492430336</v>
      </c>
      <c r="F1620" s="8"/>
      <c r="G1620" s="14" t="s">
        <v>11784</v>
      </c>
      <c r="H1620" s="8"/>
      <c r="I1620" s="15">
        <v>1</v>
      </c>
      <c r="J1620" s="15">
        <v>2</v>
      </c>
      <c r="K1620" s="12" t="str">
        <f>HYPERLINK("http://twitter.com/download/android","Twitter for Android")</f>
        <v>Twitter for Android</v>
      </c>
      <c r="L1620" s="16">
        <v>245</v>
      </c>
      <c r="M1620" s="16">
        <v>27</v>
      </c>
      <c r="N1620" s="16">
        <v>1</v>
      </c>
      <c r="O1620" s="17"/>
      <c r="P1620" s="18">
        <v>40503.417881944442</v>
      </c>
      <c r="Q1620" s="7" t="s">
        <v>11789</v>
      </c>
      <c r="R1620" s="7" t="s">
        <v>11790</v>
      </c>
      <c r="S1620" s="7"/>
      <c r="T1620" s="8"/>
      <c r="U1620" s="19" t="str">
        <f>HYPERLINK("https://pbs.twimg.com/profile_images/1175028591580667904/GsA23VEb.jpg","View")</f>
        <v>View</v>
      </c>
      <c r="V1620" s="8"/>
      <c r="W1620" s="8"/>
      <c r="X1620" s="8"/>
      <c r="Y1620" s="8"/>
      <c r="Z1620" s="8"/>
    </row>
    <row r="1621" spans="1:26" ht="12.75">
      <c r="A1621" s="11">
        <v>43747.278923611113</v>
      </c>
      <c r="B1621" s="12" t="str">
        <f>HYPERLINK("https://twitter.com/muhammet_ihsans","@muhammet_ihsans")</f>
        <v>@muhammet_ihsans</v>
      </c>
      <c r="C1621" s="7" t="s">
        <v>11791</v>
      </c>
      <c r="D1621" s="7" t="s">
        <v>11793</v>
      </c>
      <c r="E1621" s="12" t="str">
        <f>HYPERLINK("https://twitter.com/muhammet_ihsans/status/1181927709594865665","1181927709594865665")</f>
        <v>1181927709594865665</v>
      </c>
      <c r="F1621" s="8"/>
      <c r="G1621" s="14" t="s">
        <v>11795</v>
      </c>
      <c r="H1621" s="8"/>
      <c r="I1621" s="15">
        <v>0</v>
      </c>
      <c r="J1621" s="15">
        <v>1</v>
      </c>
      <c r="K1621" s="12" t="str">
        <f>HYPERLINK("http://twitter.com/download/android","Twitter for Android")</f>
        <v>Twitter for Android</v>
      </c>
      <c r="L1621" s="16">
        <v>176</v>
      </c>
      <c r="M1621" s="16">
        <v>176</v>
      </c>
      <c r="N1621" s="16">
        <v>0</v>
      </c>
      <c r="O1621" s="17"/>
      <c r="P1621" s="18">
        <v>43537.434004629627</v>
      </c>
      <c r="Q1621" s="7" t="s">
        <v>200</v>
      </c>
      <c r="R1621" s="7" t="s">
        <v>11799</v>
      </c>
      <c r="S1621" s="15"/>
      <c r="T1621" s="8"/>
      <c r="U1621" s="19" t="str">
        <f>HYPERLINK("https://pbs.twimg.com/profile_images/1164498054046769152/xN0U4FV4.jpg","View")</f>
        <v>View</v>
      </c>
      <c r="V1621" s="8"/>
      <c r="W1621" s="8"/>
      <c r="X1621" s="8"/>
      <c r="Y1621" s="8"/>
      <c r="Z1621" s="8"/>
    </row>
    <row r="1622" spans="1:26" ht="12.75">
      <c r="A1622" s="11">
        <v>43747.278923611113</v>
      </c>
      <c r="B1622" s="12" t="str">
        <f>HYPERLINK("https://twitter.com/datagrambyte","@datagrambyte")</f>
        <v>@datagrambyte</v>
      </c>
      <c r="C1622" s="7" t="s">
        <v>11801</v>
      </c>
      <c r="D1622" s="7" t="s">
        <v>6457</v>
      </c>
      <c r="E1622" s="12" t="str">
        <f>HYPERLINK("https://twitter.com/datagrambyte/status/1181927708244299776","1181927708244299776")</f>
        <v>1181927708244299776</v>
      </c>
      <c r="F1622" s="8"/>
      <c r="G1622" s="15" t="s">
        <v>11803</v>
      </c>
      <c r="H1622" s="8"/>
      <c r="I1622" s="15">
        <v>0</v>
      </c>
      <c r="J1622" s="15">
        <v>1</v>
      </c>
      <c r="K1622" s="12" t="str">
        <f>HYPERLINK("http://twitter.com/download/android","Twitter for Android")</f>
        <v>Twitter for Android</v>
      </c>
      <c r="L1622" s="16">
        <v>299</v>
      </c>
      <c r="M1622" s="16">
        <v>1059</v>
      </c>
      <c r="N1622" s="16">
        <v>0</v>
      </c>
      <c r="O1622" s="17"/>
      <c r="P1622" s="18">
        <v>41111.283263888887</v>
      </c>
      <c r="Q1622" s="7"/>
      <c r="R1622" s="7" t="s">
        <v>11805</v>
      </c>
      <c r="S1622" s="7"/>
      <c r="T1622" s="8"/>
      <c r="U1622" s="19" t="str">
        <f>HYPERLINK("https://pbs.twimg.com/profile_images/1106989853860864001/i8hI_Fyy.jpg","View")</f>
        <v>View</v>
      </c>
      <c r="V1622" s="8"/>
      <c r="W1622" s="8"/>
      <c r="X1622" s="8"/>
      <c r="Y1622" s="8"/>
      <c r="Z1622" s="8"/>
    </row>
    <row r="1623" spans="1:26" ht="12.75">
      <c r="A1623" s="11">
        <v>43747.278877314813</v>
      </c>
      <c r="B1623" s="12" t="str">
        <f>HYPERLINK("https://twitter.com/HakkKaradag","@HakkKaradag")</f>
        <v>@HakkKaradag</v>
      </c>
      <c r="C1623" s="7" t="s">
        <v>11813</v>
      </c>
      <c r="D1623" s="7" t="s">
        <v>11815</v>
      </c>
      <c r="E1623" s="12" t="str">
        <f>HYPERLINK("https://twitter.com/HakkKaradag/status/1181927691425062913","1181927691425062913")</f>
        <v>1181927691425062913</v>
      </c>
      <c r="F1623" s="8"/>
      <c r="G1623" s="14" t="s">
        <v>11818</v>
      </c>
      <c r="H1623" s="8"/>
      <c r="I1623" s="15">
        <v>1</v>
      </c>
      <c r="J1623" s="15">
        <v>8</v>
      </c>
      <c r="K1623" s="12" t="str">
        <f>HYPERLINK("http://twitter.com/download/android","Twitter for Android")</f>
        <v>Twitter for Android</v>
      </c>
      <c r="L1623" s="16">
        <v>3748</v>
      </c>
      <c r="M1623" s="16">
        <v>3395</v>
      </c>
      <c r="N1623" s="16">
        <v>3</v>
      </c>
      <c r="O1623" s="17"/>
      <c r="P1623" s="18">
        <v>41925.426087962966</v>
      </c>
      <c r="Q1623" s="7" t="s">
        <v>860</v>
      </c>
      <c r="R1623" s="7" t="s">
        <v>11819</v>
      </c>
      <c r="S1623" s="15"/>
      <c r="T1623" s="8"/>
      <c r="U1623" s="19" t="str">
        <f>HYPERLINK("https://pbs.twimg.com/profile_images/1126878002158166016/G0fSxjLB.jpg","View")</f>
        <v>View</v>
      </c>
      <c r="V1623" s="8"/>
      <c r="W1623" s="8"/>
      <c r="X1623" s="8"/>
      <c r="Y1623" s="8"/>
      <c r="Z1623" s="8"/>
    </row>
    <row r="1624" spans="1:26" ht="12.75">
      <c r="A1624" s="11">
        <v>43747.278865740736</v>
      </c>
      <c r="B1624" s="12" t="str">
        <f>HYPERLINK("https://twitter.com/KaracikMehmet","@KaracikMehmet")</f>
        <v>@KaracikMehmet</v>
      </c>
      <c r="C1624" s="7" t="s">
        <v>11821</v>
      </c>
      <c r="D1624" s="13" t="s">
        <v>11823</v>
      </c>
      <c r="E1624" s="12" t="str">
        <f>HYPERLINK("https://twitter.com/KaracikMehmet/status/1181927688061235206","1181927688061235206")</f>
        <v>1181927688061235206</v>
      </c>
      <c r="F1624" s="8"/>
      <c r="G1624" s="14" t="s">
        <v>11824</v>
      </c>
      <c r="H1624" s="8"/>
      <c r="I1624" s="15">
        <v>0</v>
      </c>
      <c r="J1624" s="15">
        <v>0</v>
      </c>
      <c r="K1624" s="12" t="str">
        <f>HYPERLINK("http://twitter.com/download/android","Twitter for Android")</f>
        <v>Twitter for Android</v>
      </c>
      <c r="L1624" s="16">
        <v>4164</v>
      </c>
      <c r="M1624" s="16">
        <v>4398</v>
      </c>
      <c r="N1624" s="16">
        <v>0</v>
      </c>
      <c r="O1624" s="17"/>
      <c r="P1624" s="18">
        <v>43299.561782407407</v>
      </c>
      <c r="Q1624" s="7" t="s">
        <v>200</v>
      </c>
      <c r="R1624" s="13" t="s">
        <v>11825</v>
      </c>
      <c r="S1624" s="15"/>
      <c r="T1624" s="8"/>
      <c r="U1624" s="19" t="str">
        <f>HYPERLINK("https://pbs.twimg.com/profile_images/1151512151431045121/yOc04csD.jpg","View")</f>
        <v>View</v>
      </c>
      <c r="V1624" s="8"/>
      <c r="W1624" s="8"/>
      <c r="X1624" s="8"/>
      <c r="Y1624" s="8"/>
      <c r="Z1624" s="8"/>
    </row>
    <row r="1625" spans="1:26" ht="12.75">
      <c r="A1625" s="11">
        <v>43747.278865740736</v>
      </c>
      <c r="B1625" s="12" t="str">
        <f>HYPERLINK("https://twitter.com/zeynepdem008","@zeynepdem008")</f>
        <v>@zeynepdem008</v>
      </c>
      <c r="C1625" s="7" t="s">
        <v>11828</v>
      </c>
      <c r="D1625" s="7" t="s">
        <v>11829</v>
      </c>
      <c r="E1625" s="12" t="str">
        <f>HYPERLINK("https://twitter.com/zeynepdem008/status/1181927686194774016","1181927686194774016")</f>
        <v>1181927686194774016</v>
      </c>
      <c r="F1625" s="8"/>
      <c r="G1625" s="14" t="s">
        <v>11830</v>
      </c>
      <c r="H1625" s="8"/>
      <c r="I1625" s="15">
        <v>0</v>
      </c>
      <c r="J1625" s="15">
        <v>1</v>
      </c>
      <c r="K1625" s="12" t="str">
        <f>HYPERLINK("http://twitter.com/download/android","Twitter for Android")</f>
        <v>Twitter for Android</v>
      </c>
      <c r="L1625" s="16">
        <v>131</v>
      </c>
      <c r="M1625" s="16">
        <v>128</v>
      </c>
      <c r="N1625" s="16">
        <v>0</v>
      </c>
      <c r="O1625" s="17"/>
      <c r="P1625" s="18">
        <v>42831.324074074073</v>
      </c>
      <c r="Q1625" s="7" t="s">
        <v>11833</v>
      </c>
      <c r="R1625" s="7" t="s">
        <v>11834</v>
      </c>
      <c r="S1625" s="14" t="s">
        <v>11836</v>
      </c>
      <c r="T1625" s="8"/>
      <c r="U1625" s="19" t="str">
        <f>HYPERLINK("https://pbs.twimg.com/profile_images/1163918037927510016/8vLuffuz.jpg","View")</f>
        <v>View</v>
      </c>
      <c r="V1625" s="8"/>
      <c r="W1625" s="8"/>
      <c r="X1625" s="8"/>
      <c r="Y1625" s="8"/>
      <c r="Z1625" s="8"/>
    </row>
    <row r="1626" spans="1:26" ht="12.75">
      <c r="A1626" s="11">
        <v>43747.278854166667</v>
      </c>
      <c r="B1626" s="12" t="str">
        <f>HYPERLINK("https://twitter.com/4dsiz","@4dsiz")</f>
        <v>@4dsiz</v>
      </c>
      <c r="C1626" s="7" t="s">
        <v>11837</v>
      </c>
      <c r="D1626" s="7" t="s">
        <v>11838</v>
      </c>
      <c r="E1626" s="12" t="str">
        <f>HYPERLINK("https://twitter.com/4dsiz/status/1181927683602681856","1181927683602681856")</f>
        <v>1181927683602681856</v>
      </c>
      <c r="F1626" s="8"/>
      <c r="G1626" s="14" t="s">
        <v>11841</v>
      </c>
      <c r="H1626" s="8"/>
      <c r="I1626" s="15">
        <v>0</v>
      </c>
      <c r="J1626" s="15">
        <v>1</v>
      </c>
      <c r="K1626" s="12" t="str">
        <f>HYPERLINK("http://twitter.com/download/android","Twitter for Android")</f>
        <v>Twitter for Android</v>
      </c>
      <c r="L1626" s="16">
        <v>46</v>
      </c>
      <c r="M1626" s="16">
        <v>248</v>
      </c>
      <c r="N1626" s="16">
        <v>0</v>
      </c>
      <c r="O1626" s="17"/>
      <c r="P1626" s="18">
        <v>43308.626875000002</v>
      </c>
      <c r="Q1626" s="7" t="s">
        <v>200</v>
      </c>
      <c r="R1626" s="7" t="s">
        <v>11843</v>
      </c>
      <c r="S1626" s="7"/>
      <c r="T1626" s="8"/>
      <c r="U1626" s="19" t="str">
        <f>HYPERLINK("https://pbs.twimg.com/profile_images/1163344049207742464/9FPdQNiu.jpg","View")</f>
        <v>View</v>
      </c>
      <c r="V1626" s="8"/>
      <c r="W1626" s="8"/>
      <c r="X1626" s="8"/>
      <c r="Y1626" s="8"/>
      <c r="Z1626" s="8"/>
    </row>
    <row r="1627" spans="1:26" ht="12.75">
      <c r="A1627" s="11">
        <v>43747.278842592597</v>
      </c>
      <c r="B1627" s="12" t="str">
        <f>HYPERLINK("https://twitter.com/1ismailaydin","@1ismailaydin")</f>
        <v>@1ismailaydin</v>
      </c>
      <c r="C1627" s="7" t="s">
        <v>11846</v>
      </c>
      <c r="D1627" s="7" t="s">
        <v>11847</v>
      </c>
      <c r="E1627" s="12" t="str">
        <f>HYPERLINK("https://twitter.com/1ismailaydin/status/1181927679404236802","1181927679404236802")</f>
        <v>1181927679404236802</v>
      </c>
      <c r="F1627" s="8"/>
      <c r="G1627" s="15"/>
      <c r="H1627" s="8"/>
      <c r="I1627" s="15">
        <v>0</v>
      </c>
      <c r="J1627" s="15">
        <v>0</v>
      </c>
      <c r="K1627" s="12" t="str">
        <f>HYPERLINK("http://twitter.com/download/iphone","Twitter for iPhone")</f>
        <v>Twitter for iPhone</v>
      </c>
      <c r="L1627" s="16">
        <v>72</v>
      </c>
      <c r="M1627" s="16">
        <v>386</v>
      </c>
      <c r="N1627" s="16">
        <v>0</v>
      </c>
      <c r="O1627" s="17"/>
      <c r="P1627" s="18">
        <v>41607.240983796299</v>
      </c>
      <c r="Q1627" s="7"/>
      <c r="R1627" s="7" t="s">
        <v>11849</v>
      </c>
      <c r="S1627" s="7"/>
      <c r="T1627" s="8"/>
      <c r="U1627" s="19" t="str">
        <f>HYPERLINK("https://pbs.twimg.com/profile_images/1167542551911571469/uzUrs57M.jpg","View")</f>
        <v>View</v>
      </c>
      <c r="V1627" s="8"/>
      <c r="W1627" s="8"/>
      <c r="X1627" s="8"/>
      <c r="Y1627" s="8"/>
      <c r="Z1627" s="8"/>
    </row>
    <row r="1628" spans="1:26" ht="12.75">
      <c r="A1628" s="11">
        <v>43747.278831018513</v>
      </c>
      <c r="B1628" s="12" t="str">
        <f>HYPERLINK("https://twitter.com/cany4545","@cany4545")</f>
        <v>@cany4545</v>
      </c>
      <c r="C1628" s="7" t="s">
        <v>11852</v>
      </c>
      <c r="D1628" s="7" t="s">
        <v>11854</v>
      </c>
      <c r="E1628" s="12" t="str">
        <f>HYPERLINK("https://twitter.com/cany4545/status/1181927676019449857","1181927676019449857")</f>
        <v>1181927676019449857</v>
      </c>
      <c r="F1628" s="8"/>
      <c r="G1628" s="14" t="s">
        <v>11857</v>
      </c>
      <c r="H1628" s="8"/>
      <c r="I1628" s="15">
        <v>3</v>
      </c>
      <c r="J1628" s="15">
        <v>20</v>
      </c>
      <c r="K1628" s="12" t="str">
        <f>HYPERLINK("http://twitter.com/download/android","Twitter for Android")</f>
        <v>Twitter for Android</v>
      </c>
      <c r="L1628" s="16">
        <v>3372</v>
      </c>
      <c r="M1628" s="16">
        <v>1064</v>
      </c>
      <c r="N1628" s="16">
        <v>3</v>
      </c>
      <c r="O1628" s="17"/>
      <c r="P1628" s="18">
        <v>42319.601666666669</v>
      </c>
      <c r="Q1628" s="7"/>
      <c r="R1628" s="7" t="s">
        <v>11860</v>
      </c>
      <c r="S1628" s="7"/>
      <c r="T1628" s="8"/>
      <c r="U1628" s="19" t="str">
        <f>HYPERLINK("https://pbs.twimg.com/profile_images/916386542008131584/Nf3RN3xD.jpg","View")</f>
        <v>View</v>
      </c>
      <c r="V1628" s="8"/>
      <c r="W1628" s="8"/>
      <c r="X1628" s="8"/>
      <c r="Y1628" s="8"/>
      <c r="Z1628" s="8"/>
    </row>
    <row r="1629" spans="1:26" ht="12.75">
      <c r="A1629" s="11">
        <v>43747.278819444444</v>
      </c>
      <c r="B1629" s="12" t="str">
        <f>HYPERLINK("https://twitter.com/Furkansert45","@Furkansert45")</f>
        <v>@Furkansert45</v>
      </c>
      <c r="C1629" s="7" t="s">
        <v>11864</v>
      </c>
      <c r="D1629" s="7" t="s">
        <v>11865</v>
      </c>
      <c r="E1629" s="12" t="str">
        <f>HYPERLINK("https://twitter.com/Furkansert45/status/1181927668834537473","1181927668834537473")</f>
        <v>1181927668834537473</v>
      </c>
      <c r="F1629" s="8"/>
      <c r="G1629" s="7"/>
      <c r="H1629" s="8"/>
      <c r="I1629" s="15">
        <v>0</v>
      </c>
      <c r="J1629" s="15">
        <v>1</v>
      </c>
      <c r="K1629" s="12" t="str">
        <f>HYPERLINK("http://twitter.com/download/iphone","Twitter for iPhone")</f>
        <v>Twitter for iPhone</v>
      </c>
      <c r="L1629" s="16">
        <v>39</v>
      </c>
      <c r="M1629" s="16">
        <v>117</v>
      </c>
      <c r="N1629" s="16">
        <v>0</v>
      </c>
      <c r="O1629" s="17"/>
      <c r="P1629" s="18">
        <v>42769.259976851856</v>
      </c>
      <c r="Q1629" s="7" t="s">
        <v>313</v>
      </c>
      <c r="R1629" s="7" t="s">
        <v>11867</v>
      </c>
      <c r="S1629" s="7"/>
      <c r="T1629" s="8"/>
      <c r="U1629" s="19" t="str">
        <f>HYPERLINK("https://pbs.twimg.com/profile_images/1033649965724323840/LC8sMkKh.jpg","View")</f>
        <v>View</v>
      </c>
      <c r="V1629" s="8"/>
      <c r="W1629" s="8"/>
      <c r="X1629" s="8"/>
      <c r="Y1629" s="8"/>
      <c r="Z1629" s="8"/>
    </row>
    <row r="1630" spans="1:26" ht="12.75">
      <c r="A1630" s="11">
        <v>43747.278796296298</v>
      </c>
      <c r="B1630" s="12" t="str">
        <f>HYPERLINK("https://twitter.com/hacerasli223","@hacerasli223")</f>
        <v>@hacerasli223</v>
      </c>
      <c r="C1630" s="7" t="s">
        <v>11870</v>
      </c>
      <c r="D1630" s="7" t="s">
        <v>11871</v>
      </c>
      <c r="E1630" s="12" t="str">
        <f>HYPERLINK("https://twitter.com/hacerasli223/status/1181927662702530565","1181927662702530565")</f>
        <v>1181927662702530565</v>
      </c>
      <c r="F1630" s="15"/>
      <c r="G1630" s="15"/>
      <c r="H1630" s="8"/>
      <c r="I1630" s="15">
        <v>1</v>
      </c>
      <c r="J1630" s="15">
        <v>1</v>
      </c>
      <c r="K1630" s="12" t="str">
        <f>HYPERLINK("http://twitter.com/download/iphone","Twitter for iPhone")</f>
        <v>Twitter for iPhone</v>
      </c>
      <c r="L1630" s="16">
        <v>43</v>
      </c>
      <c r="M1630" s="16">
        <v>36</v>
      </c>
      <c r="N1630" s="16">
        <v>0</v>
      </c>
      <c r="O1630" s="17"/>
      <c r="P1630" s="18">
        <v>43375.342430555553</v>
      </c>
      <c r="Q1630" s="7" t="s">
        <v>1408</v>
      </c>
      <c r="R1630" s="7" t="s">
        <v>11875</v>
      </c>
      <c r="S1630" s="7"/>
      <c r="T1630" s="8"/>
      <c r="U1630" s="19" t="str">
        <f>HYPERLINK("https://pbs.twimg.com/profile_images/1168135225739829249/OpPH_zX7.jpg","View")</f>
        <v>View</v>
      </c>
      <c r="V1630" s="8"/>
      <c r="W1630" s="8"/>
      <c r="X1630" s="8"/>
      <c r="Y1630" s="8"/>
      <c r="Z1630" s="8"/>
    </row>
    <row r="1631" spans="1:26" ht="12.75">
      <c r="A1631" s="11">
        <v>43747.278761574074</v>
      </c>
      <c r="B1631" s="12" t="str">
        <f>HYPERLINK("https://twitter.com/Yunuss1ss","@Yunuss1ss")</f>
        <v>@Yunuss1ss</v>
      </c>
      <c r="C1631" s="7" t="s">
        <v>5104</v>
      </c>
      <c r="D1631" s="7" t="s">
        <v>11877</v>
      </c>
      <c r="E1631" s="12" t="str">
        <f>HYPERLINK("https://twitter.com/Yunuss1ss/status/1181927650002165761","1181927650002165761")</f>
        <v>1181927650002165761</v>
      </c>
      <c r="F1631" s="8"/>
      <c r="G1631" s="14" t="s">
        <v>11878</v>
      </c>
      <c r="H1631" s="8"/>
      <c r="I1631" s="15">
        <v>0</v>
      </c>
      <c r="J1631" s="15">
        <v>0</v>
      </c>
      <c r="K1631" s="12" t="str">
        <f>HYPERLINK("http://twitter.com/download/android","Twitter for Android")</f>
        <v>Twitter for Android</v>
      </c>
      <c r="L1631" s="16">
        <v>5</v>
      </c>
      <c r="M1631" s="16">
        <v>26</v>
      </c>
      <c r="N1631" s="16">
        <v>0</v>
      </c>
      <c r="O1631" s="17"/>
      <c r="P1631" s="18">
        <v>43643.710231481484</v>
      </c>
      <c r="Q1631" s="7"/>
      <c r="R1631" s="7"/>
      <c r="S1631" s="15"/>
      <c r="T1631" s="8"/>
      <c r="U1631" s="19" t="str">
        <f>HYPERLINK("https://pbs.twimg.com/profile_images/1170733072209317889/sqL5F2eJ.jpg","View")</f>
        <v>View</v>
      </c>
      <c r="V1631" s="8"/>
      <c r="W1631" s="8"/>
      <c r="X1631" s="8"/>
      <c r="Y1631" s="8"/>
      <c r="Z1631" s="8"/>
    </row>
    <row r="1632" spans="1:26" ht="12.75">
      <c r="A1632" s="11">
        <v>43747.278761574074</v>
      </c>
      <c r="B1632" s="12" t="str">
        <f>HYPERLINK("https://twitter.com/gkhnklc7","@gkhnklc7")</f>
        <v>@gkhnklc7</v>
      </c>
      <c r="C1632" s="7" t="s">
        <v>11886</v>
      </c>
      <c r="D1632" s="7" t="s">
        <v>11887</v>
      </c>
      <c r="E1632" s="12" t="str">
        <f>HYPERLINK("https://twitter.com/gkhnklc7/status/1181927648316051457","1181927648316051457")</f>
        <v>1181927648316051457</v>
      </c>
      <c r="F1632" s="8"/>
      <c r="G1632" s="14" t="s">
        <v>11888</v>
      </c>
      <c r="H1632" s="8"/>
      <c r="I1632" s="15">
        <v>0</v>
      </c>
      <c r="J1632" s="15">
        <v>0</v>
      </c>
      <c r="K1632" s="12" t="str">
        <f>HYPERLINK("http://twitter.com/download/android","Twitter for Android")</f>
        <v>Twitter for Android</v>
      </c>
      <c r="L1632" s="16">
        <v>12</v>
      </c>
      <c r="M1632" s="16">
        <v>71</v>
      </c>
      <c r="N1632" s="16">
        <v>0</v>
      </c>
      <c r="O1632" s="17"/>
      <c r="P1632" s="18">
        <v>43632.144224537042</v>
      </c>
      <c r="Q1632" s="7"/>
      <c r="R1632" s="7" t="s">
        <v>807</v>
      </c>
      <c r="S1632" s="15"/>
      <c r="T1632" s="8"/>
      <c r="U1632" s="19" t="str">
        <f>HYPERLINK("https://pbs.twimg.com/profile_images/1140209150758137857/-XyjzU-d.jpg","View")</f>
        <v>View</v>
      </c>
      <c r="V1632" s="8"/>
      <c r="W1632" s="8"/>
      <c r="X1632" s="8"/>
      <c r="Y1632" s="8"/>
      <c r="Z1632" s="8"/>
    </row>
    <row r="1633" spans="1:26" ht="12.75">
      <c r="A1633" s="11">
        <v>43747.278726851851</v>
      </c>
      <c r="B1633" s="12" t="str">
        <f>HYPERLINK("https://twitter.com/aydemirhn","@aydemirhn")</f>
        <v>@aydemirhn</v>
      </c>
      <c r="C1633" s="7" t="s">
        <v>11898</v>
      </c>
      <c r="D1633" s="7" t="s">
        <v>160</v>
      </c>
      <c r="E1633" s="12" t="str">
        <f>HYPERLINK("https://twitter.com/aydemirhn/status/1181927638203617280","1181927638203617280")</f>
        <v>1181927638203617280</v>
      </c>
      <c r="F1633" s="8"/>
      <c r="G1633" s="14" t="s">
        <v>11900</v>
      </c>
      <c r="H1633" s="8"/>
      <c r="I1633" s="15">
        <v>0</v>
      </c>
      <c r="J1633" s="15">
        <v>2</v>
      </c>
      <c r="K1633" s="12" t="str">
        <f>HYPERLINK("http://twitter.com/download/iphone","Twitter for iPhone")</f>
        <v>Twitter for iPhone</v>
      </c>
      <c r="L1633" s="16">
        <v>663</v>
      </c>
      <c r="M1633" s="16">
        <v>197</v>
      </c>
      <c r="N1633" s="16">
        <v>1</v>
      </c>
      <c r="O1633" s="17"/>
      <c r="P1633" s="18">
        <v>41095.318368055552</v>
      </c>
      <c r="Q1633" s="7" t="s">
        <v>11902</v>
      </c>
      <c r="R1633" s="7"/>
      <c r="S1633" s="14" t="s">
        <v>11903</v>
      </c>
      <c r="T1633" s="8"/>
      <c r="U1633" s="19" t="str">
        <f>HYPERLINK("https://pbs.twimg.com/profile_images/1146339340068503552/EZxms4F4.jpg","View")</f>
        <v>View</v>
      </c>
      <c r="V1633" s="8"/>
      <c r="W1633" s="8"/>
      <c r="X1633" s="8"/>
      <c r="Y1633" s="8"/>
      <c r="Z1633" s="8"/>
    </row>
    <row r="1634" spans="1:26" ht="12.75">
      <c r="A1634" s="11">
        <v>43747.278703703705</v>
      </c>
      <c r="B1634" s="12" t="str">
        <f>HYPERLINK("https://twitter.com/AademUcar","@AademUcar")</f>
        <v>@AademUcar</v>
      </c>
      <c r="C1634" s="7" t="s">
        <v>11908</v>
      </c>
      <c r="D1634" s="7" t="s">
        <v>11909</v>
      </c>
      <c r="E1634" s="12" t="str">
        <f>HYPERLINK("https://twitter.com/AademUcar/status/1181927629236183040","1181927629236183040")</f>
        <v>1181927629236183040</v>
      </c>
      <c r="F1634" s="7"/>
      <c r="G1634" s="14" t="s">
        <v>11910</v>
      </c>
      <c r="H1634" s="8"/>
      <c r="I1634" s="15">
        <v>1</v>
      </c>
      <c r="J1634" s="15">
        <v>1</v>
      </c>
      <c r="K1634" s="12" t="str">
        <f>HYPERLINK("http://twitter.com/download/android","Twitter for Android")</f>
        <v>Twitter for Android</v>
      </c>
      <c r="L1634" s="16">
        <v>269</v>
      </c>
      <c r="M1634" s="16">
        <v>1019</v>
      </c>
      <c r="N1634" s="16">
        <v>0</v>
      </c>
      <c r="O1634" s="17"/>
      <c r="P1634" s="18">
        <v>42155.668009259258</v>
      </c>
      <c r="Q1634" s="7" t="s">
        <v>2576</v>
      </c>
      <c r="R1634" s="7" t="s">
        <v>11913</v>
      </c>
      <c r="S1634" s="7"/>
      <c r="T1634" s="8"/>
      <c r="U1634" s="19" t="str">
        <f>HYPERLINK("https://pbs.twimg.com/profile_images/1149493102106664961/cC6wT_jq.jpg","View")</f>
        <v>View</v>
      </c>
      <c r="V1634" s="8"/>
      <c r="W1634" s="8"/>
      <c r="X1634" s="8"/>
      <c r="Y1634" s="8"/>
      <c r="Z1634" s="8"/>
    </row>
    <row r="1635" spans="1:26" ht="12.75">
      <c r="A1635" s="11">
        <v>43747.278692129628</v>
      </c>
      <c r="B1635" s="12" t="str">
        <f>HYPERLINK("https://twitter.com/ogzhanka","@ogzhanka")</f>
        <v>@ogzhanka</v>
      </c>
      <c r="C1635" s="7" t="s">
        <v>11914</v>
      </c>
      <c r="D1635" s="7" t="s">
        <v>11915</v>
      </c>
      <c r="E1635" s="12" t="str">
        <f>HYPERLINK("https://twitter.com/ogzhanka/status/1181927624551088128","1181927624551088128")</f>
        <v>1181927624551088128</v>
      </c>
      <c r="F1635" s="8"/>
      <c r="G1635" s="7"/>
      <c r="H1635" s="8"/>
      <c r="I1635" s="15">
        <v>0</v>
      </c>
      <c r="J1635" s="15">
        <v>0</v>
      </c>
      <c r="K1635" s="12" t="str">
        <f>HYPERLINK("http://twitter.com/download/android","Twitter for Android")</f>
        <v>Twitter for Android</v>
      </c>
      <c r="L1635" s="16">
        <v>349</v>
      </c>
      <c r="M1635" s="16">
        <v>109</v>
      </c>
      <c r="N1635" s="16">
        <v>5</v>
      </c>
      <c r="O1635" s="17"/>
      <c r="P1635" s="18">
        <v>40739.434050925927</v>
      </c>
      <c r="Q1635" s="7" t="s">
        <v>2277</v>
      </c>
      <c r="R1635" s="7" t="s">
        <v>11916</v>
      </c>
      <c r="S1635" s="15"/>
      <c r="T1635" s="8"/>
      <c r="U1635" s="19" t="str">
        <f>HYPERLINK("https://pbs.twimg.com/profile_images/1066107718409310208/0uz6TZ5x.jpg","View")</f>
        <v>View</v>
      </c>
      <c r="V1635" s="8"/>
      <c r="W1635" s="8"/>
      <c r="X1635" s="8"/>
      <c r="Y1635" s="8"/>
      <c r="Z1635" s="8"/>
    </row>
    <row r="1636" spans="1:26" ht="12.75">
      <c r="A1636" s="11">
        <v>43747.278692129628</v>
      </c>
      <c r="B1636" s="12" t="str">
        <f>HYPERLINK("https://twitter.com/kalaycMuzaffer","@kalaycMuzaffer")</f>
        <v>@kalaycMuzaffer</v>
      </c>
      <c r="C1636" s="7" t="s">
        <v>6614</v>
      </c>
      <c r="D1636" s="7" t="s">
        <v>11920</v>
      </c>
      <c r="E1636" s="12" t="str">
        <f>HYPERLINK("https://twitter.com/kalaycMuzaffer/status/1181927623800315909","1181927623800315909")</f>
        <v>1181927623800315909</v>
      </c>
      <c r="F1636" s="8"/>
      <c r="G1636" s="14" t="s">
        <v>11921</v>
      </c>
      <c r="H1636" s="8"/>
      <c r="I1636" s="15">
        <v>0</v>
      </c>
      <c r="J1636" s="15">
        <v>1</v>
      </c>
      <c r="K1636" s="12" t="str">
        <f>HYPERLINK("http://twitter.com/download/android","Twitter for Android")</f>
        <v>Twitter for Android</v>
      </c>
      <c r="L1636" s="16">
        <v>853</v>
      </c>
      <c r="M1636" s="16">
        <v>2111</v>
      </c>
      <c r="N1636" s="16">
        <v>2</v>
      </c>
      <c r="O1636" s="17"/>
      <c r="P1636" s="18">
        <v>41450.211493055554</v>
      </c>
      <c r="Q1636" s="7"/>
      <c r="R1636" s="7"/>
      <c r="S1636" s="7"/>
      <c r="T1636" s="8"/>
      <c r="U1636" s="19" t="str">
        <f>HYPERLINK("https://pbs.twimg.com/profile_images/1107759553255481351/nncJXxlC.jpg","View")</f>
        <v>View</v>
      </c>
      <c r="V1636" s="8"/>
      <c r="W1636" s="8"/>
      <c r="X1636" s="8"/>
      <c r="Y1636" s="8"/>
      <c r="Z1636" s="8"/>
    </row>
    <row r="1637" spans="1:26" ht="12.75">
      <c r="A1637" s="11">
        <v>43747.278668981482</v>
      </c>
      <c r="B1637" s="12" t="str">
        <f>HYPERLINK("https://twitter.com/sukrualniacik","@sukrualniacik")</f>
        <v>@sukrualniacik</v>
      </c>
      <c r="C1637" s="7" t="s">
        <v>11926</v>
      </c>
      <c r="D1637" s="7" t="s">
        <v>11927</v>
      </c>
      <c r="E1637" s="12" t="str">
        <f>HYPERLINK("https://twitter.com/sukrualniacik/status/1181927617617911809","1181927617617911809")</f>
        <v>1181927617617911809</v>
      </c>
      <c r="F1637" s="8"/>
      <c r="G1637" s="14" t="s">
        <v>11929</v>
      </c>
      <c r="H1637" s="8"/>
      <c r="I1637" s="15">
        <v>7</v>
      </c>
      <c r="J1637" s="15">
        <v>46</v>
      </c>
      <c r="K1637" s="12" t="str">
        <f>HYPERLINK("http://twitter.com/download/android","Twitter for Android")</f>
        <v>Twitter for Android</v>
      </c>
      <c r="L1637" s="16">
        <v>17675</v>
      </c>
      <c r="M1637" s="16">
        <v>1619</v>
      </c>
      <c r="N1637" s="16">
        <v>30</v>
      </c>
      <c r="O1637" s="17"/>
      <c r="P1637" s="18">
        <v>40446.618958333333</v>
      </c>
      <c r="Q1637" s="7" t="s">
        <v>287</v>
      </c>
      <c r="R1637" s="7" t="s">
        <v>11932</v>
      </c>
      <c r="S1637" s="14" t="s">
        <v>11933</v>
      </c>
      <c r="T1637" s="8"/>
      <c r="U1637" s="19" t="str">
        <f>HYPERLINK("https://pbs.twimg.com/profile_images/1090498836726980608/7WA-qmO2.jpg","View")</f>
        <v>View</v>
      </c>
      <c r="V1637" s="8"/>
      <c r="W1637" s="8"/>
      <c r="X1637" s="8"/>
      <c r="Y1637" s="8"/>
      <c r="Z1637" s="8"/>
    </row>
    <row r="1638" spans="1:26" ht="12.75">
      <c r="A1638" s="11">
        <v>43747.278668981482</v>
      </c>
      <c r="B1638" s="12" t="str">
        <f>HYPERLINK("https://twitter.com/songul13","@songul13")</f>
        <v>@songul13</v>
      </c>
      <c r="C1638" s="7" t="s">
        <v>11938</v>
      </c>
      <c r="D1638" s="7" t="s">
        <v>11939</v>
      </c>
      <c r="E1638" s="12" t="str">
        <f>HYPERLINK("https://twitter.com/songul13/status/1181927616502255622","1181927616502255622")</f>
        <v>1181927616502255622</v>
      </c>
      <c r="F1638" s="8"/>
      <c r="G1638" s="14" t="s">
        <v>11941</v>
      </c>
      <c r="H1638" s="8"/>
      <c r="I1638" s="15">
        <v>1</v>
      </c>
      <c r="J1638" s="15">
        <v>4</v>
      </c>
      <c r="K1638" s="12" t="str">
        <f>HYPERLINK("http://twitter.com/download/iphone","Twitter for iPhone")</f>
        <v>Twitter for iPhone</v>
      </c>
      <c r="L1638" s="16">
        <v>316</v>
      </c>
      <c r="M1638" s="16">
        <v>419</v>
      </c>
      <c r="N1638" s="16">
        <v>1</v>
      </c>
      <c r="O1638" s="17"/>
      <c r="P1638" s="18">
        <v>40807.207094907411</v>
      </c>
      <c r="Q1638" s="7"/>
      <c r="R1638" s="7" t="s">
        <v>11943</v>
      </c>
      <c r="S1638" s="14" t="s">
        <v>8179</v>
      </c>
      <c r="T1638" s="8"/>
      <c r="U1638" s="19" t="str">
        <f>HYPERLINK("https://pbs.twimg.com/profile_images/1150503576688574468/keukWe0Y.jpg","View")</f>
        <v>View</v>
      </c>
      <c r="V1638" s="8"/>
      <c r="W1638" s="8"/>
      <c r="X1638" s="8"/>
      <c r="Y1638" s="8"/>
      <c r="Z1638" s="8"/>
    </row>
    <row r="1639" spans="1:26" ht="12.75">
      <c r="A1639" s="11">
        <v>43747.278668981482</v>
      </c>
      <c r="B1639" s="12" t="str">
        <f>HYPERLINK("https://twitter.com/Zoroglumustafa","@Zoroglumustafa")</f>
        <v>@Zoroglumustafa</v>
      </c>
      <c r="C1639" s="7" t="s">
        <v>11947</v>
      </c>
      <c r="D1639" s="7" t="s">
        <v>11948</v>
      </c>
      <c r="E1639" s="12" t="str">
        <f>HYPERLINK("https://twitter.com/Zoroglumustafa/status/1181927615894081536","1181927615894081536")</f>
        <v>1181927615894081536</v>
      </c>
      <c r="F1639" s="8"/>
      <c r="G1639" s="7"/>
      <c r="H1639" s="8"/>
      <c r="I1639" s="15">
        <v>0</v>
      </c>
      <c r="J1639" s="15">
        <v>1</v>
      </c>
      <c r="K1639" s="12" t="str">
        <f>HYPERLINK("http://twitter.com/download/iphone","Twitter for iPhone")</f>
        <v>Twitter for iPhone</v>
      </c>
      <c r="L1639" s="16">
        <v>82</v>
      </c>
      <c r="M1639" s="16">
        <v>179</v>
      </c>
      <c r="N1639" s="16">
        <v>0</v>
      </c>
      <c r="O1639" s="17"/>
      <c r="P1639" s="18">
        <v>42194.215069444443</v>
      </c>
      <c r="Q1639" s="7"/>
      <c r="R1639" s="7" t="s">
        <v>11950</v>
      </c>
      <c r="S1639" s="7"/>
      <c r="T1639" s="8"/>
      <c r="U1639" s="19" t="str">
        <f>HYPERLINK("https://pbs.twimg.com/profile_images/854080385831055361/qpRQHbUd.jpg","View")</f>
        <v>View</v>
      </c>
      <c r="V1639" s="8"/>
      <c r="W1639" s="8"/>
      <c r="X1639" s="8"/>
      <c r="Y1639" s="8"/>
      <c r="Z1639" s="8"/>
    </row>
    <row r="1640" spans="1:26" ht="12.75">
      <c r="A1640" s="11">
        <v>43747.278668981482</v>
      </c>
      <c r="B1640" s="12" t="str">
        <f>HYPERLINK("https://twitter.com/akiraH_nzB","@akiraH_nzB")</f>
        <v>@akiraH_nzB</v>
      </c>
      <c r="C1640" s="7" t="s">
        <v>11951</v>
      </c>
      <c r="D1640" s="7" t="s">
        <v>11952</v>
      </c>
      <c r="E1640" s="12" t="str">
        <f>HYPERLINK("https://twitter.com/akiraH_nzB/status/1181927615055220737","1181927615055220737")</f>
        <v>1181927615055220737</v>
      </c>
      <c r="F1640" s="8"/>
      <c r="G1640" s="15"/>
      <c r="H1640" s="8"/>
      <c r="I1640" s="15">
        <v>0</v>
      </c>
      <c r="J1640" s="15">
        <v>17</v>
      </c>
      <c r="K1640" s="12" t="str">
        <f>HYPERLINK("http://twitter.com/download/android","Twitter for Android")</f>
        <v>Twitter for Android</v>
      </c>
      <c r="L1640" s="16">
        <v>563</v>
      </c>
      <c r="M1640" s="16">
        <v>209</v>
      </c>
      <c r="N1640" s="16">
        <v>2</v>
      </c>
      <c r="O1640" s="17"/>
      <c r="P1640" s="18">
        <v>43402.057152777779</v>
      </c>
      <c r="Q1640" s="7"/>
      <c r="R1640" s="7" t="s">
        <v>11953</v>
      </c>
      <c r="S1640" s="15"/>
      <c r="T1640" s="8"/>
      <c r="U1640" s="19" t="str">
        <f>HYPERLINK("https://pbs.twimg.com/profile_images/1179318835847028736/xSHDTt2e.jpg","View")</f>
        <v>View</v>
      </c>
      <c r="V1640" s="8"/>
      <c r="W1640" s="8"/>
      <c r="X1640" s="8"/>
      <c r="Y1640" s="8"/>
      <c r="Z1640" s="8"/>
    </row>
    <row r="1641" spans="1:26" ht="12.75">
      <c r="A1641" s="11">
        <v>43747.278668981482</v>
      </c>
      <c r="B1641" s="12" t="str">
        <f>HYPERLINK("https://twitter.com/sekap06","@sekap06")</f>
        <v>@sekap06</v>
      </c>
      <c r="C1641" s="7" t="s">
        <v>11957</v>
      </c>
      <c r="D1641" s="7" t="s">
        <v>11958</v>
      </c>
      <c r="E1641" s="12" t="str">
        <f>HYPERLINK("https://twitter.com/sekap06/status/1181927614321172482","1181927614321172482")</f>
        <v>1181927614321172482</v>
      </c>
      <c r="F1641" s="8"/>
      <c r="G1641" s="15"/>
      <c r="H1641" s="8"/>
      <c r="I1641" s="15">
        <v>0</v>
      </c>
      <c r="J1641" s="15">
        <v>4</v>
      </c>
      <c r="K1641" s="12" t="str">
        <f>HYPERLINK("http://twitter.com/download/iphone","Twitter for iPhone")</f>
        <v>Twitter for iPhone</v>
      </c>
      <c r="L1641" s="16">
        <v>7099</v>
      </c>
      <c r="M1641" s="16">
        <v>7077</v>
      </c>
      <c r="N1641" s="16">
        <v>7</v>
      </c>
      <c r="O1641" s="17"/>
      <c r="P1641" s="18">
        <v>40508.03056712963</v>
      </c>
      <c r="Q1641" s="7" t="s">
        <v>11959</v>
      </c>
      <c r="R1641" s="7" t="s">
        <v>11961</v>
      </c>
      <c r="S1641" s="7"/>
      <c r="T1641" s="8"/>
      <c r="U1641" s="19" t="str">
        <f>HYPERLINK("https://pbs.twimg.com/profile_images/1153386431773122560/l2Ba1DH8.jpg","View")</f>
        <v>View</v>
      </c>
      <c r="V1641" s="8"/>
      <c r="W1641" s="8"/>
      <c r="X1641" s="8"/>
      <c r="Y1641" s="8"/>
      <c r="Z1641" s="8"/>
    </row>
    <row r="1642" spans="1:26" ht="12.75">
      <c r="A1642" s="11">
        <v>43747.278657407413</v>
      </c>
      <c r="B1642" s="12" t="str">
        <f>HYPERLINK("https://twitter.com/NoonaArgenta","@NoonaArgenta")</f>
        <v>@NoonaArgenta</v>
      </c>
      <c r="C1642" s="7" t="s">
        <v>11964</v>
      </c>
      <c r="D1642" s="7" t="s">
        <v>11965</v>
      </c>
      <c r="E1642" s="12" t="str">
        <f>HYPERLINK("https://twitter.com/NoonaArgenta/status/1181927612794441729","1181927612794441729")</f>
        <v>1181927612794441729</v>
      </c>
      <c r="F1642" s="15"/>
      <c r="G1642" s="15"/>
      <c r="H1642" s="8"/>
      <c r="I1642" s="15">
        <v>1</v>
      </c>
      <c r="J1642" s="15">
        <v>2</v>
      </c>
      <c r="K1642" s="12" t="str">
        <f>HYPERLINK("http://twitter.com/download/android","Twitter for Android")</f>
        <v>Twitter for Android</v>
      </c>
      <c r="L1642" s="16">
        <v>682</v>
      </c>
      <c r="M1642" s="16">
        <v>155</v>
      </c>
      <c r="N1642" s="16">
        <v>15</v>
      </c>
      <c r="O1642" s="17"/>
      <c r="P1642" s="18">
        <v>42693.651122685187</v>
      </c>
      <c r="Q1642" s="7" t="s">
        <v>11967</v>
      </c>
      <c r="R1642" s="7" t="s">
        <v>11968</v>
      </c>
      <c r="S1642" s="14" t="s">
        <v>11969</v>
      </c>
      <c r="T1642" s="8"/>
      <c r="U1642" s="19" t="str">
        <f>HYPERLINK("https://pbs.twimg.com/profile_images/1162710718531215360/mQdSbyWj.jpg","View")</f>
        <v>View</v>
      </c>
      <c r="V1642" s="8"/>
      <c r="W1642" s="8"/>
      <c r="X1642" s="8"/>
      <c r="Y1642" s="8"/>
      <c r="Z1642" s="8"/>
    </row>
    <row r="1643" spans="1:26" ht="12.75">
      <c r="A1643" s="11">
        <v>43747.278657407413</v>
      </c>
      <c r="B1643" s="12" t="str">
        <f>HYPERLINK("https://twitter.com/ugur_uzmcu","@ugur_uzmcu")</f>
        <v>@ugur_uzmcu</v>
      </c>
      <c r="C1643" s="7" t="s">
        <v>11972</v>
      </c>
      <c r="D1643" s="7" t="s">
        <v>11974</v>
      </c>
      <c r="E1643" s="12" t="str">
        <f>HYPERLINK("https://twitter.com/ugur_uzmcu/status/1181927611364253696","1181927611364253696")</f>
        <v>1181927611364253696</v>
      </c>
      <c r="F1643" s="8"/>
      <c r="G1643" s="15"/>
      <c r="H1643" s="8"/>
      <c r="I1643" s="15">
        <v>0</v>
      </c>
      <c r="J1643" s="15">
        <v>1</v>
      </c>
      <c r="K1643" s="12" t="str">
        <f>HYPERLINK("http://twitter.com/download/iphone","Twitter for iPhone")</f>
        <v>Twitter for iPhone</v>
      </c>
      <c r="L1643" s="16">
        <v>70</v>
      </c>
      <c r="M1643" s="16">
        <v>244</v>
      </c>
      <c r="N1643" s="16">
        <v>0</v>
      </c>
      <c r="O1643" s="17"/>
      <c r="P1643" s="18">
        <v>42777.374224537038</v>
      </c>
      <c r="Q1643" s="7" t="s">
        <v>287</v>
      </c>
      <c r="R1643" s="7" t="s">
        <v>11977</v>
      </c>
      <c r="S1643" s="7"/>
      <c r="T1643" s="8"/>
      <c r="U1643" s="19" t="str">
        <f>HYPERLINK("https://pbs.twimg.com/profile_images/954393603396251649/ojZtPVi4.jpg","View")</f>
        <v>View</v>
      </c>
      <c r="V1643" s="8"/>
      <c r="W1643" s="8"/>
      <c r="X1643" s="8"/>
      <c r="Y1643" s="8"/>
      <c r="Z1643" s="8"/>
    </row>
    <row r="1644" spans="1:26" ht="12.75">
      <c r="A1644" s="11">
        <v>43747.278657407413</v>
      </c>
      <c r="B1644" s="12" t="str">
        <f>HYPERLINK("https://twitter.com/Turksanthos_","@Turksanthos_")</f>
        <v>@Turksanthos_</v>
      </c>
      <c r="C1644" s="7" t="s">
        <v>11978</v>
      </c>
      <c r="D1644" s="7" t="s">
        <v>11979</v>
      </c>
      <c r="E1644" s="12" t="str">
        <f>HYPERLINK("https://twitter.com/Turksanthos_/status/1181927610110107650","1181927610110107650")</f>
        <v>1181927610110107650</v>
      </c>
      <c r="F1644" s="8"/>
      <c r="G1644" s="7"/>
      <c r="H1644" s="8"/>
      <c r="I1644" s="15">
        <v>0</v>
      </c>
      <c r="J1644" s="15">
        <v>1</v>
      </c>
      <c r="K1644" s="12" t="str">
        <f>HYPERLINK("http://twitter.com/download/android","Twitter for Android")</f>
        <v>Twitter for Android</v>
      </c>
      <c r="L1644" s="16">
        <v>862</v>
      </c>
      <c r="M1644" s="16">
        <v>1467</v>
      </c>
      <c r="N1644" s="16">
        <v>2</v>
      </c>
      <c r="O1644" s="17"/>
      <c r="P1644" s="18">
        <v>41665.45653935185</v>
      </c>
      <c r="Q1644" s="7" t="s">
        <v>287</v>
      </c>
      <c r="R1644" s="7" t="s">
        <v>11983</v>
      </c>
      <c r="S1644" s="7"/>
      <c r="T1644" s="8"/>
      <c r="U1644" s="19" t="str">
        <f>HYPERLINK("https://pbs.twimg.com/profile_images/1179432575682646022/OcDohGQF.jpg","View")</f>
        <v>View</v>
      </c>
      <c r="V1644" s="8"/>
      <c r="W1644" s="8"/>
      <c r="X1644" s="8"/>
      <c r="Y1644" s="8"/>
      <c r="Z1644" s="8"/>
    </row>
    <row r="1645" spans="1:26" ht="12.75">
      <c r="A1645" s="11">
        <v>43747.278645833328</v>
      </c>
      <c r="B1645" s="12" t="str">
        <f>HYPERLINK("https://twitter.com/royalstance1453","@royalstance1453")</f>
        <v>@royalstance1453</v>
      </c>
      <c r="C1645" s="7" t="s">
        <v>11985</v>
      </c>
      <c r="D1645" s="7" t="s">
        <v>160</v>
      </c>
      <c r="E1645" s="12" t="str">
        <f>HYPERLINK("https://twitter.com/royalstance1453/status/1181927609334145024","1181927609334145024")</f>
        <v>1181927609334145024</v>
      </c>
      <c r="F1645" s="8"/>
      <c r="G1645" s="14" t="s">
        <v>11987</v>
      </c>
      <c r="H1645" s="8"/>
      <c r="I1645" s="15">
        <v>0</v>
      </c>
      <c r="J1645" s="15">
        <v>0</v>
      </c>
      <c r="K1645" s="12" t="str">
        <f>HYPERLINK("http://twitter.com/download/android","Twitter for Android")</f>
        <v>Twitter for Android</v>
      </c>
      <c r="L1645" s="16">
        <v>618</v>
      </c>
      <c r="M1645" s="16">
        <v>627</v>
      </c>
      <c r="N1645" s="16">
        <v>0</v>
      </c>
      <c r="O1645" s="17"/>
      <c r="P1645" s="18">
        <v>41886.471620370372</v>
      </c>
      <c r="Q1645" s="7" t="s">
        <v>11990</v>
      </c>
      <c r="R1645" s="7" t="s">
        <v>11991</v>
      </c>
      <c r="S1645" s="14" t="s">
        <v>11992</v>
      </c>
      <c r="T1645" s="8"/>
      <c r="U1645" s="19" t="str">
        <f>HYPERLINK("https://pbs.twimg.com/profile_images/1177329128728666112/CXhhI7-G.jpg","View")</f>
        <v>View</v>
      </c>
      <c r="V1645" s="8"/>
      <c r="W1645" s="8"/>
      <c r="X1645" s="8"/>
      <c r="Y1645" s="8"/>
      <c r="Z1645" s="8"/>
    </row>
    <row r="1646" spans="1:26" ht="12.75">
      <c r="A1646" s="11">
        <v>43747.278645833328</v>
      </c>
      <c r="B1646" s="12" t="str">
        <f>HYPERLINK("https://twitter.com/aysenurbozer","@aysenurbozer")</f>
        <v>@aysenurbozer</v>
      </c>
      <c r="C1646" s="7" t="s">
        <v>11994</v>
      </c>
      <c r="D1646" s="7" t="s">
        <v>11995</v>
      </c>
      <c r="E1646" s="12" t="str">
        <f>HYPERLINK("https://twitter.com/aysenurbozer/status/1181927608918917122","1181927608918917122")</f>
        <v>1181927608918917122</v>
      </c>
      <c r="F1646" s="8"/>
      <c r="G1646" s="7"/>
      <c r="H1646" s="8"/>
      <c r="I1646" s="15">
        <v>0</v>
      </c>
      <c r="J1646" s="15">
        <v>1</v>
      </c>
      <c r="K1646" s="12" t="str">
        <f>HYPERLINK("http://twitter.com/download/android","Twitter for Android")</f>
        <v>Twitter for Android</v>
      </c>
      <c r="L1646" s="16">
        <v>121</v>
      </c>
      <c r="M1646" s="16">
        <v>148</v>
      </c>
      <c r="N1646" s="16">
        <v>0</v>
      </c>
      <c r="O1646" s="17"/>
      <c r="P1646" s="18">
        <v>40197.352754629632</v>
      </c>
      <c r="Q1646" s="7" t="s">
        <v>11996</v>
      </c>
      <c r="R1646" s="13" t="s">
        <v>11997</v>
      </c>
      <c r="S1646" s="7"/>
      <c r="T1646" s="8"/>
      <c r="U1646" s="19" t="str">
        <f>HYPERLINK("https://pbs.twimg.com/profile_images/1139132793500459009/p96BxG0s.jpg","View")</f>
        <v>View</v>
      </c>
      <c r="V1646" s="8"/>
      <c r="W1646" s="8"/>
      <c r="X1646" s="8"/>
      <c r="Y1646" s="8"/>
      <c r="Z1646" s="8"/>
    </row>
    <row r="1647" spans="1:26" ht="12.75">
      <c r="A1647" s="11">
        <v>43747.278645833328</v>
      </c>
      <c r="B1647" s="12" t="str">
        <f>HYPERLINK("https://twitter.com/RefikGul","@RefikGul")</f>
        <v>@RefikGul</v>
      </c>
      <c r="C1647" s="7" t="s">
        <v>11998</v>
      </c>
      <c r="D1647" s="7" t="s">
        <v>12000</v>
      </c>
      <c r="E1647" s="12" t="str">
        <f>HYPERLINK("https://twitter.com/RefikGul/status/1181927608373653504","1181927608373653504")</f>
        <v>1181927608373653504</v>
      </c>
      <c r="F1647" s="8"/>
      <c r="G1647" s="14" t="s">
        <v>12002</v>
      </c>
      <c r="H1647" s="8"/>
      <c r="I1647" s="15">
        <v>8</v>
      </c>
      <c r="J1647" s="15">
        <v>81</v>
      </c>
      <c r="K1647" s="12" t="str">
        <f>HYPERLINK("https://mobile.twitter.com","Twitter Web App")</f>
        <v>Twitter Web App</v>
      </c>
      <c r="L1647" s="16">
        <v>6484</v>
      </c>
      <c r="M1647" s="16">
        <v>350</v>
      </c>
      <c r="N1647" s="16">
        <v>4</v>
      </c>
      <c r="O1647" s="17"/>
      <c r="P1647" s="18">
        <v>41518.431388888886</v>
      </c>
      <c r="Q1647" s="7" t="s">
        <v>6543</v>
      </c>
      <c r="R1647" s="7" t="s">
        <v>12003</v>
      </c>
      <c r="S1647" s="14" t="s">
        <v>12004</v>
      </c>
      <c r="T1647" s="8"/>
      <c r="U1647" s="19" t="str">
        <f>HYPERLINK("https://pbs.twimg.com/profile_images/923588353370542080/McoaUTDi.jpg","View")</f>
        <v>View</v>
      </c>
      <c r="V1647" s="8"/>
      <c r="W1647" s="8"/>
      <c r="X1647" s="8"/>
      <c r="Y1647" s="8"/>
      <c r="Z1647" s="8"/>
    </row>
    <row r="1648" spans="1:26" ht="12.75">
      <c r="A1648" s="11">
        <v>43747.278645833328</v>
      </c>
      <c r="B1648" s="12" t="str">
        <f>HYPERLINK("https://twitter.com/aytekin5953","@aytekin5953")</f>
        <v>@aytekin5953</v>
      </c>
      <c r="C1648" s="7" t="s">
        <v>12008</v>
      </c>
      <c r="D1648" s="7" t="s">
        <v>12009</v>
      </c>
      <c r="E1648" s="12" t="str">
        <f>HYPERLINK("https://twitter.com/aytekin5953/status/1181927606918291456","1181927606918291456")</f>
        <v>1181927606918291456</v>
      </c>
      <c r="F1648" s="8"/>
      <c r="G1648" s="14" t="s">
        <v>12010</v>
      </c>
      <c r="H1648" s="8"/>
      <c r="I1648" s="15">
        <v>0</v>
      </c>
      <c r="J1648" s="15">
        <v>6</v>
      </c>
      <c r="K1648" s="12" t="str">
        <f>HYPERLINK("http://twitter.com/download/iphone","Twitter for iPhone")</f>
        <v>Twitter for iPhone</v>
      </c>
      <c r="L1648" s="16">
        <v>153</v>
      </c>
      <c r="M1648" s="16">
        <v>130</v>
      </c>
      <c r="N1648" s="16">
        <v>0</v>
      </c>
      <c r="O1648" s="17"/>
      <c r="P1648" s="18">
        <v>43291.506886574076</v>
      </c>
      <c r="Q1648" s="7" t="s">
        <v>12014</v>
      </c>
      <c r="R1648" s="7" t="s">
        <v>12015</v>
      </c>
      <c r="S1648" s="7"/>
      <c r="T1648" s="8"/>
      <c r="U1648" s="19" t="str">
        <f>HYPERLINK("https://pbs.twimg.com/profile_images/1178668385485410305/5oeXu7yy.jpg","View")</f>
        <v>View</v>
      </c>
      <c r="V1648" s="8"/>
      <c r="W1648" s="8"/>
      <c r="X1648" s="8"/>
      <c r="Y1648" s="8"/>
      <c r="Z1648" s="8"/>
    </row>
    <row r="1649" spans="1:26" ht="12.75">
      <c r="A1649" s="11">
        <v>43747.278634259259</v>
      </c>
      <c r="B1649" s="12" t="str">
        <f>HYPERLINK("https://twitter.com/umuravar","@umuravar")</f>
        <v>@umuravar</v>
      </c>
      <c r="C1649" s="7" t="s">
        <v>12021</v>
      </c>
      <c r="D1649" s="7" t="s">
        <v>12022</v>
      </c>
      <c r="E1649" s="12" t="str">
        <f>HYPERLINK("https://twitter.com/umuravar/status/1181927603634094080","1181927603634094080")</f>
        <v>1181927603634094080</v>
      </c>
      <c r="F1649" s="8"/>
      <c r="G1649" s="15"/>
      <c r="H1649" s="8"/>
      <c r="I1649" s="15">
        <v>0</v>
      </c>
      <c r="J1649" s="15">
        <v>0</v>
      </c>
      <c r="K1649" s="12" t="str">
        <f>HYPERLINK("http://twitter.com/download/iphone","Twitter for iPhone")</f>
        <v>Twitter for iPhone</v>
      </c>
      <c r="L1649" s="16">
        <v>9</v>
      </c>
      <c r="M1649" s="16">
        <v>235</v>
      </c>
      <c r="N1649" s="16">
        <v>0</v>
      </c>
      <c r="O1649" s="17"/>
      <c r="P1649" s="18">
        <v>43739.236550925925</v>
      </c>
      <c r="Q1649" s="7"/>
      <c r="R1649" s="7" t="s">
        <v>12024</v>
      </c>
      <c r="S1649" s="14" t="s">
        <v>12025</v>
      </c>
      <c r="T1649" s="8"/>
      <c r="U1649" s="19" t="str">
        <f>HYPERLINK("https://pbs.twimg.com/profile_images/1179014607488405504/jYQ7237K.jpg","View")</f>
        <v>View</v>
      </c>
      <c r="V1649" s="8"/>
      <c r="W1649" s="8"/>
      <c r="X1649" s="8"/>
      <c r="Y1649" s="8"/>
      <c r="Z1649" s="8"/>
    </row>
    <row r="1650" spans="1:26" ht="12.75">
      <c r="A1650" s="11">
        <v>43747.278634259259</v>
      </c>
      <c r="B1650" s="12" t="str">
        <f>HYPERLINK("https://twitter.com/gamerido","@gamerido")</f>
        <v>@gamerido</v>
      </c>
      <c r="C1650" s="7" t="s">
        <v>12032</v>
      </c>
      <c r="D1650" s="7" t="s">
        <v>12033</v>
      </c>
      <c r="E1650" s="12" t="str">
        <f>HYPERLINK("https://twitter.com/gamerido/status/1181927601872494593","1181927601872494593")</f>
        <v>1181927601872494593</v>
      </c>
      <c r="F1650" s="8"/>
      <c r="G1650" s="7"/>
      <c r="H1650" s="8"/>
      <c r="I1650" s="15">
        <v>0</v>
      </c>
      <c r="J1650" s="15">
        <v>1</v>
      </c>
      <c r="K1650" s="12" t="str">
        <f>HYPERLINK("http://twitter.com/download/android","Twitter for Android")</f>
        <v>Twitter for Android</v>
      </c>
      <c r="L1650" s="16">
        <v>0</v>
      </c>
      <c r="M1650" s="16">
        <v>0</v>
      </c>
      <c r="N1650" s="16">
        <v>0</v>
      </c>
      <c r="O1650" s="17"/>
      <c r="P1650" s="18">
        <v>42658.452303240745</v>
      </c>
      <c r="Q1650" s="7" t="s">
        <v>200</v>
      </c>
      <c r="R1650" s="7" t="s">
        <v>12034</v>
      </c>
      <c r="S1650" s="7"/>
      <c r="T1650" s="8"/>
      <c r="U1650" s="19" t="str">
        <f>HYPERLINK("https://pbs.twimg.com/profile_images/1092738896885092352/zXw5Q7GS.jpg","View")</f>
        <v>View</v>
      </c>
      <c r="V1650" s="8"/>
      <c r="W1650" s="8"/>
      <c r="X1650" s="8"/>
      <c r="Y1650" s="8"/>
      <c r="Z1650" s="8"/>
    </row>
    <row r="1651" spans="1:26" ht="12.75">
      <c r="A1651" s="11">
        <v>43747.278611111113</v>
      </c>
      <c r="B1651" s="12" t="str">
        <f>HYPERLINK("https://twitter.com/FurkanHoskunn","@FurkanHoskunn")</f>
        <v>@FurkanHoskunn</v>
      </c>
      <c r="C1651" s="7" t="s">
        <v>12036</v>
      </c>
      <c r="D1651" s="7" t="s">
        <v>12037</v>
      </c>
      <c r="E1651" s="12" t="str">
        <f>HYPERLINK("https://twitter.com/FurkanHoskunn/status/1181927596952604672","1181927596952604672")</f>
        <v>1181927596952604672</v>
      </c>
      <c r="F1651" s="15"/>
      <c r="G1651" s="14" t="s">
        <v>12039</v>
      </c>
      <c r="H1651" s="8"/>
      <c r="I1651" s="15">
        <v>0</v>
      </c>
      <c r="J1651" s="15">
        <v>3</v>
      </c>
      <c r="K1651" s="12" t="str">
        <f>HYPERLINK("http://twitter.com/download/android","Twitter for Android")</f>
        <v>Twitter for Android</v>
      </c>
      <c r="L1651" s="16">
        <v>508</v>
      </c>
      <c r="M1651" s="16">
        <v>155</v>
      </c>
      <c r="N1651" s="16">
        <v>4</v>
      </c>
      <c r="O1651" s="17"/>
      <c r="P1651" s="18">
        <v>40994.279328703706</v>
      </c>
      <c r="Q1651" s="7" t="s">
        <v>313</v>
      </c>
      <c r="R1651" s="7"/>
      <c r="S1651" s="14" t="s">
        <v>12042</v>
      </c>
      <c r="T1651" s="8"/>
      <c r="U1651" s="19" t="str">
        <f>HYPERLINK("https://pbs.twimg.com/profile_images/1157799236404203521/8LmjtEYG.jpg","View")</f>
        <v>View</v>
      </c>
      <c r="V1651" s="8"/>
      <c r="W1651" s="8"/>
      <c r="X1651" s="8"/>
      <c r="Y1651" s="8"/>
      <c r="Z1651" s="8"/>
    </row>
    <row r="1652" spans="1:26" ht="12.75">
      <c r="A1652" s="11">
        <v>43747.278611111113</v>
      </c>
      <c r="B1652" s="12" t="str">
        <f>HYPERLINK("https://twitter.com/PoTi1907","@PoTi1907")</f>
        <v>@PoTi1907</v>
      </c>
      <c r="C1652" s="15" t="s">
        <v>12045</v>
      </c>
      <c r="D1652" s="7" t="s">
        <v>12046</v>
      </c>
      <c r="E1652" s="12" t="str">
        <f>HYPERLINK("https://twitter.com/PoTi1907/status/1181927594331115521","1181927594331115521")</f>
        <v>1181927594331115521</v>
      </c>
      <c r="F1652" s="8"/>
      <c r="G1652" s="7"/>
      <c r="H1652" s="8"/>
      <c r="I1652" s="15">
        <v>0</v>
      </c>
      <c r="J1652" s="15">
        <v>1</v>
      </c>
      <c r="K1652" s="12" t="str">
        <f>HYPERLINK("http://twitter.com/download/android","Twitter for Android")</f>
        <v>Twitter for Android</v>
      </c>
      <c r="L1652" s="16">
        <v>1494</v>
      </c>
      <c r="M1652" s="16">
        <v>332</v>
      </c>
      <c r="N1652" s="16">
        <v>11</v>
      </c>
      <c r="O1652" s="17"/>
      <c r="P1652" s="18">
        <v>40043.319236111114</v>
      </c>
      <c r="Q1652" s="7" t="s">
        <v>12049</v>
      </c>
      <c r="R1652" s="7" t="s">
        <v>12050</v>
      </c>
      <c r="S1652" s="14" t="s">
        <v>5017</v>
      </c>
      <c r="T1652" s="8"/>
      <c r="U1652" s="19" t="str">
        <f>HYPERLINK("https://pbs.twimg.com/profile_images/488176008076746752/nXanaCaT.jpeg","View")</f>
        <v>View</v>
      </c>
      <c r="V1652" s="8"/>
      <c r="W1652" s="8"/>
      <c r="X1652" s="8"/>
      <c r="Y1652" s="8"/>
      <c r="Z1652" s="8"/>
    </row>
    <row r="1653" spans="1:26" ht="12.75">
      <c r="A1653" s="11">
        <v>43747.278611111113</v>
      </c>
      <c r="B1653" s="12" t="str">
        <f>HYPERLINK("https://twitter.com/SafaBekirhanl","@SafaBekirhanl")</f>
        <v>@SafaBekirhanl</v>
      </c>
      <c r="C1653" s="7" t="s">
        <v>12051</v>
      </c>
      <c r="D1653" s="7" t="s">
        <v>12052</v>
      </c>
      <c r="E1653" s="12" t="str">
        <f>HYPERLINK("https://twitter.com/SafaBekirhanl/status/1181927594025000960","1181927594025000960")</f>
        <v>1181927594025000960</v>
      </c>
      <c r="F1653" s="8"/>
      <c r="G1653" s="14" t="s">
        <v>12053</v>
      </c>
      <c r="H1653" s="8"/>
      <c r="I1653" s="15">
        <v>0</v>
      </c>
      <c r="J1653" s="15">
        <v>0</v>
      </c>
      <c r="K1653" s="12" t="str">
        <f>HYPERLINK("http://twitter.com/download/iphone","Twitter for iPhone")</f>
        <v>Twitter for iPhone</v>
      </c>
      <c r="L1653" s="16">
        <v>7</v>
      </c>
      <c r="M1653" s="16">
        <v>33</v>
      </c>
      <c r="N1653" s="16">
        <v>0</v>
      </c>
      <c r="O1653" s="17"/>
      <c r="P1653" s="18">
        <v>43406.562731481477</v>
      </c>
      <c r="Q1653" s="7"/>
      <c r="R1653" s="7" t="s">
        <v>12056</v>
      </c>
      <c r="S1653" s="7"/>
      <c r="T1653" s="8"/>
      <c r="U1653" s="19" t="str">
        <f>HYPERLINK("https://pbs.twimg.com/profile_images/1141837452161761285/klWgMWDR.jpg","View")</f>
        <v>View</v>
      </c>
      <c r="V1653" s="8"/>
      <c r="W1653" s="8"/>
      <c r="X1653" s="8"/>
      <c r="Y1653" s="8"/>
      <c r="Z1653" s="8"/>
    </row>
    <row r="1654" spans="1:26" ht="12.75">
      <c r="A1654" s="11">
        <v>43747.278599537036</v>
      </c>
      <c r="B1654" s="12" t="str">
        <f>HYPERLINK("https://twitter.com/kelesglu61","@kelesglu61")</f>
        <v>@kelesglu61</v>
      </c>
      <c r="C1654" s="7" t="s">
        <v>12058</v>
      </c>
      <c r="D1654" s="7" t="s">
        <v>12059</v>
      </c>
      <c r="E1654" s="12" t="str">
        <f>HYPERLINK("https://twitter.com/kelesglu61/status/1181927592590548994","1181927592590548994")</f>
        <v>1181927592590548994</v>
      </c>
      <c r="F1654" s="8"/>
      <c r="G1654" s="14" t="s">
        <v>12060</v>
      </c>
      <c r="H1654" s="8"/>
      <c r="I1654" s="15">
        <v>0</v>
      </c>
      <c r="J1654" s="15">
        <v>2</v>
      </c>
      <c r="K1654" s="12" t="str">
        <f>HYPERLINK("http://twitter.com/download/android","Twitter for Android")</f>
        <v>Twitter for Android</v>
      </c>
      <c r="L1654" s="16">
        <v>558</v>
      </c>
      <c r="M1654" s="16">
        <v>277</v>
      </c>
      <c r="N1654" s="16">
        <v>0</v>
      </c>
      <c r="O1654" s="17"/>
      <c r="P1654" s="18">
        <v>42079.680208333331</v>
      </c>
      <c r="Q1654" s="7" t="s">
        <v>1748</v>
      </c>
      <c r="R1654" s="7" t="s">
        <v>12061</v>
      </c>
      <c r="S1654" s="7"/>
      <c r="T1654" s="8"/>
      <c r="U1654" s="19" t="str">
        <f>HYPERLINK("https://pbs.twimg.com/profile_images/1068242401599344640/uBJmTRaf.jpg","View")</f>
        <v>View</v>
      </c>
      <c r="V1654" s="8"/>
      <c r="W1654" s="8"/>
      <c r="X1654" s="8"/>
      <c r="Y1654" s="8"/>
      <c r="Z1654" s="8"/>
    </row>
    <row r="1655" spans="1:26" ht="12.75">
      <c r="A1655" s="11">
        <v>43747.278587962966</v>
      </c>
      <c r="B1655" s="12" t="str">
        <f>HYPERLINK("https://twitter.com/hKnAydn_1903","@hKnAydn_1903")</f>
        <v>@hKnAydn_1903</v>
      </c>
      <c r="C1655" s="7" t="s">
        <v>12062</v>
      </c>
      <c r="D1655" s="7" t="s">
        <v>12063</v>
      </c>
      <c r="E1655" s="12" t="str">
        <f>HYPERLINK("https://twitter.com/hKnAydn_1903/status/1181927588698185728","1181927588698185728")</f>
        <v>1181927588698185728</v>
      </c>
      <c r="F1655" s="8"/>
      <c r="G1655" s="7"/>
      <c r="H1655" s="8"/>
      <c r="I1655" s="15">
        <v>0</v>
      </c>
      <c r="J1655" s="15">
        <v>0</v>
      </c>
      <c r="K1655" s="12" t="str">
        <f>HYPERLINK("https://mobile.twitter.com","Twitter Web App")</f>
        <v>Twitter Web App</v>
      </c>
      <c r="L1655" s="16">
        <v>181</v>
      </c>
      <c r="M1655" s="16">
        <v>220</v>
      </c>
      <c r="N1655" s="16">
        <v>1</v>
      </c>
      <c r="O1655" s="17"/>
      <c r="P1655" s="18">
        <v>41707.627743055556</v>
      </c>
      <c r="Q1655" s="7" t="s">
        <v>69</v>
      </c>
      <c r="R1655" s="7" t="s">
        <v>12064</v>
      </c>
      <c r="S1655" s="15"/>
      <c r="T1655" s="8"/>
      <c r="U1655" s="19" t="str">
        <f>HYPERLINK("https://pbs.twimg.com/profile_images/920216493249515520/Iyq6vQV1.jpg","View")</f>
        <v>View</v>
      </c>
      <c r="V1655" s="8"/>
      <c r="W1655" s="8"/>
      <c r="X1655" s="8"/>
      <c r="Y1655" s="8"/>
      <c r="Z1655" s="8"/>
    </row>
    <row r="1656" spans="1:26" ht="12.75">
      <c r="A1656" s="11">
        <v>43747.27857638889</v>
      </c>
      <c r="B1656" s="12" t="str">
        <f>HYPERLINK("https://twitter.com/canliokuspor","@canliokuspor")</f>
        <v>@canliokuspor</v>
      </c>
      <c r="C1656" s="7" t="s">
        <v>12065</v>
      </c>
      <c r="D1656" s="7" t="s">
        <v>12066</v>
      </c>
      <c r="E1656" s="12" t="str">
        <f>HYPERLINK("https://twitter.com/canliokuspor/status/1181927582331281409","1181927582331281409")</f>
        <v>1181927582331281409</v>
      </c>
      <c r="F1656" s="8"/>
      <c r="G1656" s="15"/>
      <c r="H1656" s="8"/>
      <c r="I1656" s="15">
        <v>0</v>
      </c>
      <c r="J1656" s="15">
        <v>0</v>
      </c>
      <c r="K1656" s="12" t="str">
        <f>HYPERLINK("http://www.facebook.com/twitter","Facebook")</f>
        <v>Facebook</v>
      </c>
      <c r="L1656" s="16">
        <v>20248</v>
      </c>
      <c r="M1656" s="16">
        <v>17561</v>
      </c>
      <c r="N1656" s="16">
        <v>22</v>
      </c>
      <c r="O1656" s="17"/>
      <c r="P1656" s="18">
        <v>41199.363379629627</v>
      </c>
      <c r="Q1656" s="7" t="s">
        <v>668</v>
      </c>
      <c r="R1656" s="7" t="s">
        <v>12067</v>
      </c>
      <c r="S1656" s="14" t="s">
        <v>12068</v>
      </c>
      <c r="T1656" s="8"/>
      <c r="U1656" s="19" t="str">
        <f>HYPERLINK("https://pbs.twimg.com/profile_images/1143503831629815809/7UrhKDj7.png","View")</f>
        <v>View</v>
      </c>
      <c r="V1656" s="8"/>
      <c r="W1656" s="8"/>
      <c r="X1656" s="8"/>
      <c r="Y1656" s="8"/>
      <c r="Z1656" s="8"/>
    </row>
    <row r="1657" spans="1:26" ht="12.75">
      <c r="A1657" s="11">
        <v>43747.278553240743</v>
      </c>
      <c r="B1657" s="12" t="str">
        <f>HYPERLINK("https://twitter.com/scandadaa","@scandadaa")</f>
        <v>@scandadaa</v>
      </c>
      <c r="C1657" s="7" t="s">
        <v>12069</v>
      </c>
      <c r="D1657" s="7" t="s">
        <v>12070</v>
      </c>
      <c r="E1657" s="12" t="str">
        <f>HYPERLINK("https://twitter.com/scandadaa/status/1181927574894780419","1181927574894780419")</f>
        <v>1181927574894780419</v>
      </c>
      <c r="F1657" s="8"/>
      <c r="G1657" s="14" t="s">
        <v>12071</v>
      </c>
      <c r="H1657" s="8"/>
      <c r="I1657" s="15">
        <v>0</v>
      </c>
      <c r="J1657" s="15">
        <v>0</v>
      </c>
      <c r="K1657" s="12" t="str">
        <f>HYPERLINK("http://twitter.com/download/android","Twitter for Android")</f>
        <v>Twitter for Android</v>
      </c>
      <c r="L1657" s="16">
        <v>27</v>
      </c>
      <c r="M1657" s="16">
        <v>229</v>
      </c>
      <c r="N1657" s="16">
        <v>0</v>
      </c>
      <c r="O1657" s="17"/>
      <c r="P1657" s="18">
        <v>43432.360196759255</v>
      </c>
      <c r="Q1657" s="7" t="s">
        <v>12072</v>
      </c>
      <c r="R1657" s="7" t="s">
        <v>12073</v>
      </c>
      <c r="S1657" s="15"/>
      <c r="T1657" s="8"/>
      <c r="U1657" s="19" t="str">
        <f>HYPERLINK("https://pbs.twimg.com/profile_images/1146743080214769664/glUw9ybi.jpg","View")</f>
        <v>View</v>
      </c>
      <c r="V1657" s="8"/>
      <c r="W1657" s="8"/>
      <c r="X1657" s="8"/>
      <c r="Y1657" s="8"/>
      <c r="Z1657" s="8"/>
    </row>
    <row r="1658" spans="1:26" ht="12.75">
      <c r="A1658" s="11">
        <v>43747.278553240743</v>
      </c>
      <c r="B1658" s="12" t="str">
        <f>HYPERLINK("https://twitter.com/SedaYesilgul","@SedaYesilgul")</f>
        <v>@SedaYesilgul</v>
      </c>
      <c r="C1658" s="7" t="s">
        <v>12074</v>
      </c>
      <c r="D1658" s="7" t="s">
        <v>12075</v>
      </c>
      <c r="E1658" s="12" t="str">
        <f>HYPERLINK("https://twitter.com/SedaYesilgul/status/1181927574643105792","1181927574643105792")</f>
        <v>1181927574643105792</v>
      </c>
      <c r="F1658" s="8"/>
      <c r="G1658" s="14" t="s">
        <v>12076</v>
      </c>
      <c r="H1658" s="8"/>
      <c r="I1658" s="15">
        <v>0</v>
      </c>
      <c r="J1658" s="15">
        <v>1</v>
      </c>
      <c r="K1658" s="12" t="str">
        <f>HYPERLINK("http://twitter.com/download/android","Twitter for Android")</f>
        <v>Twitter for Android</v>
      </c>
      <c r="L1658" s="16">
        <v>60</v>
      </c>
      <c r="M1658" s="16">
        <v>88</v>
      </c>
      <c r="N1658" s="16">
        <v>0</v>
      </c>
      <c r="O1658" s="17"/>
      <c r="P1658" s="18">
        <v>42579.407164351855</v>
      </c>
      <c r="Q1658" s="7"/>
      <c r="R1658" s="7" t="s">
        <v>12077</v>
      </c>
      <c r="S1658" s="15"/>
      <c r="T1658" s="8"/>
      <c r="U1658" s="19" t="str">
        <f>HYPERLINK("https://pbs.twimg.com/profile_images/1158261360100294656/Sa91uoXw.jpg","View")</f>
        <v>View</v>
      </c>
      <c r="V1658" s="8"/>
      <c r="W1658" s="8"/>
      <c r="X1658" s="8"/>
      <c r="Y1658" s="8"/>
      <c r="Z1658" s="8"/>
    </row>
    <row r="1659" spans="1:26" ht="12.75">
      <c r="A1659" s="11">
        <v>43747.278541666667</v>
      </c>
      <c r="B1659" s="12" t="str">
        <f>HYPERLINK("https://twitter.com/battalgazitv","@battalgazitv")</f>
        <v>@battalgazitv</v>
      </c>
      <c r="C1659" s="7" t="s">
        <v>12078</v>
      </c>
      <c r="D1659" s="7" t="s">
        <v>12079</v>
      </c>
      <c r="E1659" s="12" t="str">
        <f>HYPERLINK("https://twitter.com/battalgazitv/status/1181927570805329921","1181927570805329921")</f>
        <v>1181927570805329921</v>
      </c>
      <c r="F1659" s="8"/>
      <c r="G1659" s="14" t="s">
        <v>12080</v>
      </c>
      <c r="H1659" s="8"/>
      <c r="I1659" s="15">
        <v>1</v>
      </c>
      <c r="J1659" s="15">
        <v>3</v>
      </c>
      <c r="K1659" s="12" t="str">
        <f>HYPERLINK("http://twitter.com/download/android","Twitter for Android")</f>
        <v>Twitter for Android</v>
      </c>
      <c r="L1659" s="16">
        <v>1176</v>
      </c>
      <c r="M1659" s="16">
        <v>931</v>
      </c>
      <c r="N1659" s="16">
        <v>0</v>
      </c>
      <c r="O1659" s="17"/>
      <c r="P1659" s="18">
        <v>42880.952164351853</v>
      </c>
      <c r="Q1659" s="7" t="s">
        <v>200</v>
      </c>
      <c r="R1659" s="7" t="s">
        <v>12081</v>
      </c>
      <c r="S1659" s="7"/>
      <c r="T1659" s="8"/>
      <c r="U1659" s="19" t="str">
        <f>HYPERLINK("https://pbs.twimg.com/profile_images/867985814449410048/YSWY_snV.jpg","View")</f>
        <v>View</v>
      </c>
      <c r="V1659" s="8"/>
      <c r="W1659" s="8"/>
      <c r="X1659" s="8"/>
      <c r="Y1659" s="8"/>
      <c r="Z1659" s="8"/>
    </row>
    <row r="1660" spans="1:26" ht="12.75">
      <c r="A1660" s="11">
        <v>43747.27853009259</v>
      </c>
      <c r="B1660" s="12" t="str">
        <f>HYPERLINK("https://twitter.com/yemred06","@yemred06")</f>
        <v>@yemred06</v>
      </c>
      <c r="C1660" s="7" t="s">
        <v>12082</v>
      </c>
      <c r="D1660" s="7" t="s">
        <v>12083</v>
      </c>
      <c r="E1660" s="12" t="str">
        <f>HYPERLINK("https://twitter.com/yemred06/status/1181927563981135875","1181927563981135875")</f>
        <v>1181927563981135875</v>
      </c>
      <c r="F1660" s="8"/>
      <c r="G1660" s="7"/>
      <c r="H1660" s="8"/>
      <c r="I1660" s="15">
        <v>0</v>
      </c>
      <c r="J1660" s="15">
        <v>0</v>
      </c>
      <c r="K1660" s="12" t="str">
        <f>HYPERLINK("http://twitter.com/download/android","Twitter for Android")</f>
        <v>Twitter for Android</v>
      </c>
      <c r="L1660" s="16">
        <v>104</v>
      </c>
      <c r="M1660" s="16">
        <v>27</v>
      </c>
      <c r="N1660" s="16">
        <v>0</v>
      </c>
      <c r="O1660" s="17"/>
      <c r="P1660" s="18">
        <v>40808.580763888887</v>
      </c>
      <c r="Q1660" s="7" t="s">
        <v>12084</v>
      </c>
      <c r="R1660" s="7" t="s">
        <v>12085</v>
      </c>
      <c r="S1660" s="14" t="s">
        <v>12086</v>
      </c>
      <c r="T1660" s="8"/>
      <c r="U1660" s="19" t="str">
        <f>HYPERLINK("https://pbs.twimg.com/profile_images/1087361645037436928/DU0W1nZJ.jpg","View")</f>
        <v>View</v>
      </c>
      <c r="V1660" s="8"/>
      <c r="W1660" s="8"/>
      <c r="X1660" s="8"/>
      <c r="Y1660" s="8"/>
      <c r="Z1660" s="8"/>
    </row>
    <row r="1661" spans="1:26" ht="12.75">
      <c r="A1661" s="11">
        <v>43747.27851851852</v>
      </c>
      <c r="B1661" s="12" t="str">
        <f>HYPERLINK("https://twitter.com/KARADENZ27","@KARADENZ27")</f>
        <v>@KARADENZ27</v>
      </c>
      <c r="C1661" s="7" t="s">
        <v>4372</v>
      </c>
      <c r="D1661" s="7" t="s">
        <v>12090</v>
      </c>
      <c r="E1661" s="12" t="str">
        <f>HYPERLINK("https://twitter.com/KARADENZ27/status/1181927560608911361","1181927560608911361")</f>
        <v>1181927560608911361</v>
      </c>
      <c r="F1661" s="8"/>
      <c r="G1661" s="14" t="s">
        <v>12091</v>
      </c>
      <c r="H1661" s="8"/>
      <c r="I1661" s="15">
        <v>0</v>
      </c>
      <c r="J1661" s="15">
        <v>0</v>
      </c>
      <c r="K1661" s="12" t="str">
        <f>HYPERLINK("http://twitter.com/download/iphone","Twitter for iPhone")</f>
        <v>Twitter for iPhone</v>
      </c>
      <c r="L1661" s="16">
        <v>586</v>
      </c>
      <c r="M1661" s="16">
        <v>330</v>
      </c>
      <c r="N1661" s="16">
        <v>1</v>
      </c>
      <c r="O1661" s="17"/>
      <c r="P1661" s="18">
        <v>42649.050706018519</v>
      </c>
      <c r="Q1661" s="7" t="s">
        <v>12094</v>
      </c>
      <c r="R1661" s="7" t="s">
        <v>12095</v>
      </c>
      <c r="S1661" s="7"/>
      <c r="T1661" s="8"/>
      <c r="U1661" s="19" t="str">
        <f>HYPERLINK("https://pbs.twimg.com/profile_images/1177108922483826688/XcTUL0AT.jpg","View")</f>
        <v>View</v>
      </c>
      <c r="V1661" s="8"/>
      <c r="W1661" s="8"/>
      <c r="X1661" s="8"/>
      <c r="Y1661" s="8"/>
      <c r="Z1661" s="8"/>
    </row>
    <row r="1662" spans="1:26" ht="12.75">
      <c r="A1662" s="11">
        <v>43747.27847222222</v>
      </c>
      <c r="B1662" s="12" t="str">
        <f>HYPERLINK("https://twitter.com/hasanaydinq","@hasanaydinq")</f>
        <v>@hasanaydinq</v>
      </c>
      <c r="C1662" s="7" t="s">
        <v>12101</v>
      </c>
      <c r="D1662" s="7" t="s">
        <v>12102</v>
      </c>
      <c r="E1662" s="12" t="str">
        <f>HYPERLINK("https://twitter.com/hasanaydinq/status/1181927545119416321","1181927545119416321")</f>
        <v>1181927545119416321</v>
      </c>
      <c r="F1662" s="8"/>
      <c r="G1662" s="14" t="s">
        <v>12104</v>
      </c>
      <c r="H1662" s="8"/>
      <c r="I1662" s="15">
        <v>0</v>
      </c>
      <c r="J1662" s="15">
        <v>2</v>
      </c>
      <c r="K1662" s="12" t="str">
        <f>HYPERLINK("http://twitter.com/download/iphone","Twitter for iPhone")</f>
        <v>Twitter for iPhone</v>
      </c>
      <c r="L1662" s="16">
        <v>443</v>
      </c>
      <c r="M1662" s="16">
        <v>78</v>
      </c>
      <c r="N1662" s="16">
        <v>0</v>
      </c>
      <c r="O1662" s="17"/>
      <c r="P1662" s="18">
        <v>43288.365057870367</v>
      </c>
      <c r="Q1662" s="7" t="s">
        <v>313</v>
      </c>
      <c r="R1662" s="7"/>
      <c r="S1662" s="15"/>
      <c r="T1662" s="8"/>
      <c r="U1662" s="19" t="str">
        <f>HYPERLINK("https://pbs.twimg.com/profile_images/1174329598458437633/oLN8zi6S.jpg","View")</f>
        <v>View</v>
      </c>
      <c r="V1662" s="8"/>
      <c r="W1662" s="8"/>
      <c r="X1662" s="8"/>
      <c r="Y1662" s="8"/>
      <c r="Z1662" s="8"/>
    </row>
    <row r="1663" spans="1:26" ht="12.75">
      <c r="A1663" s="11">
        <v>43747.278437500005</v>
      </c>
      <c r="B1663" s="12" t="str">
        <f>HYPERLINK("https://twitter.com/eraykkaygusuz","@eraykkaygusuz")</f>
        <v>@eraykkaygusuz</v>
      </c>
      <c r="C1663" s="7" t="s">
        <v>12106</v>
      </c>
      <c r="D1663" s="7" t="s">
        <v>12108</v>
      </c>
      <c r="E1663" s="12" t="str">
        <f>HYPERLINK("https://twitter.com/eraykkaygusuz/status/1181927532117053441","1181927532117053441")</f>
        <v>1181927532117053441</v>
      </c>
      <c r="F1663" s="8"/>
      <c r="G1663" s="15"/>
      <c r="H1663" s="8"/>
      <c r="I1663" s="15">
        <v>0</v>
      </c>
      <c r="J1663" s="15">
        <v>1</v>
      </c>
      <c r="K1663" s="12" t="str">
        <f>HYPERLINK("http://twitter.com/download/android","Twitter for Android")</f>
        <v>Twitter for Android</v>
      </c>
      <c r="L1663" s="16">
        <v>228</v>
      </c>
      <c r="M1663" s="16">
        <v>11</v>
      </c>
      <c r="N1663" s="16">
        <v>0</v>
      </c>
      <c r="O1663" s="17"/>
      <c r="P1663" s="18">
        <v>40901.095416666663</v>
      </c>
      <c r="Q1663" s="7"/>
      <c r="R1663" s="7"/>
      <c r="S1663" s="7"/>
      <c r="T1663" s="8"/>
      <c r="U1663" s="19" t="str">
        <f>HYPERLINK("https://pbs.twimg.com/profile_images/1174698870909100038/7tkFrWgN.jpg","View")</f>
        <v>View</v>
      </c>
      <c r="V1663" s="8"/>
      <c r="W1663" s="8"/>
      <c r="X1663" s="8"/>
      <c r="Y1663" s="8"/>
      <c r="Z1663" s="8"/>
    </row>
    <row r="1664" spans="1:26" ht="12.75">
      <c r="A1664" s="11">
        <v>43747.278425925921</v>
      </c>
      <c r="B1664" s="12" t="str">
        <f>HYPERLINK("https://twitter.com/DrSinanOgan","@DrSinanOgan")</f>
        <v>@DrSinanOgan</v>
      </c>
      <c r="C1664" s="7" t="s">
        <v>12111</v>
      </c>
      <c r="D1664" s="7" t="s">
        <v>12112</v>
      </c>
      <c r="E1664" s="12" t="str">
        <f>HYPERLINK("https://twitter.com/DrSinanOgan/status/1181927526593171456","1181927526593171456")</f>
        <v>1181927526593171456</v>
      </c>
      <c r="F1664" s="14" t="s">
        <v>12114</v>
      </c>
      <c r="G1664" s="14" t="s">
        <v>12117</v>
      </c>
      <c r="H1664" s="8"/>
      <c r="I1664" s="15">
        <v>36</v>
      </c>
      <c r="J1664" s="15">
        <v>257</v>
      </c>
      <c r="K1664" s="12" t="str">
        <f>HYPERLINK("https://mobile.twitter.com","Twitter Web App")</f>
        <v>Twitter Web App</v>
      </c>
      <c r="L1664" s="16">
        <v>1068976</v>
      </c>
      <c r="M1664" s="16">
        <v>2240</v>
      </c>
      <c r="N1664" s="16">
        <v>884</v>
      </c>
      <c r="O1664" s="17" t="s">
        <v>984</v>
      </c>
      <c r="P1664" s="18">
        <v>40403.08079861111</v>
      </c>
      <c r="Q1664" s="7" t="s">
        <v>918</v>
      </c>
      <c r="R1664" s="15" t="s">
        <v>12120</v>
      </c>
      <c r="S1664" s="14" t="s">
        <v>12122</v>
      </c>
      <c r="T1664" s="8"/>
      <c r="U1664" s="19" t="str">
        <f>HYPERLINK("https://pbs.twimg.com/profile_images/863690029201281024/QshC0K2o.jpg","View")</f>
        <v>View</v>
      </c>
      <c r="V1664" s="8"/>
      <c r="W1664" s="8"/>
      <c r="X1664" s="8"/>
      <c r="Y1664" s="8"/>
      <c r="Z1664" s="8"/>
    </row>
    <row r="1665" spans="1:26" ht="12.75">
      <c r="A1665" s="11">
        <v>43747.278414351851</v>
      </c>
      <c r="B1665" s="12" t="str">
        <f>HYPERLINK("https://twitter.com/Azra_1inci","@Azra_1inci")</f>
        <v>@Azra_1inci</v>
      </c>
      <c r="C1665" s="7" t="s">
        <v>12124</v>
      </c>
      <c r="D1665" s="7" t="s">
        <v>12125</v>
      </c>
      <c r="E1665" s="12" t="str">
        <f>HYPERLINK("https://twitter.com/Azra_1inci/status/1181927525288730624","1181927525288730624")</f>
        <v>1181927525288730624</v>
      </c>
      <c r="F1665" s="8"/>
      <c r="G1665" s="7"/>
      <c r="H1665" s="8"/>
      <c r="I1665" s="15">
        <v>13</v>
      </c>
      <c r="J1665" s="15">
        <v>60</v>
      </c>
      <c r="K1665" s="12" t="str">
        <f>HYPERLINK("http://twitter.com/#!/download/ipad","Twitter for iPad")</f>
        <v>Twitter for iPad</v>
      </c>
      <c r="L1665" s="16">
        <v>9311</v>
      </c>
      <c r="M1665" s="16">
        <v>197</v>
      </c>
      <c r="N1665" s="16">
        <v>189</v>
      </c>
      <c r="O1665" s="17"/>
      <c r="P1665" s="18">
        <v>42197.63894675926</v>
      </c>
      <c r="Q1665" s="7" t="s">
        <v>12131</v>
      </c>
      <c r="R1665" s="7" t="s">
        <v>12132</v>
      </c>
      <c r="S1665" s="7"/>
      <c r="T1665" s="8"/>
      <c r="U1665" s="19" t="str">
        <f>HYPERLINK("https://pbs.twimg.com/profile_images/1180620780490674176/yL78vaZc.jpg","View")</f>
        <v>View</v>
      </c>
      <c r="V1665" s="8"/>
      <c r="W1665" s="8"/>
      <c r="X1665" s="8"/>
      <c r="Y1665" s="8"/>
      <c r="Z1665" s="8"/>
    </row>
    <row r="1666" spans="1:26" ht="12.75">
      <c r="A1666" s="11">
        <v>43747.278379629628</v>
      </c>
      <c r="B1666" s="12" t="str">
        <f>HYPERLINK("https://twitter.com/DikmenSevinc","@DikmenSevinc")</f>
        <v>@DikmenSevinc</v>
      </c>
      <c r="C1666" s="7" t="s">
        <v>12145</v>
      </c>
      <c r="D1666" s="7" t="s">
        <v>12146</v>
      </c>
      <c r="E1666" s="12" t="str">
        <f>HYPERLINK("https://twitter.com/DikmenSevinc/status/1181927513108500480","1181927513108500480")</f>
        <v>1181927513108500480</v>
      </c>
      <c r="F1666" s="8"/>
      <c r="G1666" s="7"/>
      <c r="H1666" s="8"/>
      <c r="I1666" s="15">
        <v>0</v>
      </c>
      <c r="J1666" s="15">
        <v>0</v>
      </c>
      <c r="K1666" s="12" t="str">
        <f>HYPERLINK("http://twitter.com/download/android","Twitter for Android")</f>
        <v>Twitter for Android</v>
      </c>
      <c r="L1666" s="16">
        <v>190</v>
      </c>
      <c r="M1666" s="16">
        <v>776</v>
      </c>
      <c r="N1666" s="16">
        <v>0</v>
      </c>
      <c r="O1666" s="17"/>
      <c r="P1666" s="18">
        <v>42172.228368055556</v>
      </c>
      <c r="Q1666" s="7" t="s">
        <v>287</v>
      </c>
      <c r="R1666" s="7" t="s">
        <v>12147</v>
      </c>
      <c r="S1666" s="7"/>
      <c r="T1666" s="8"/>
      <c r="U1666" s="19" t="str">
        <f>HYPERLINK("https://pbs.twimg.com/profile_images/1154155656481583106/Iwt5AFSz.jpg","View")</f>
        <v>View</v>
      </c>
      <c r="V1666" s="8"/>
      <c r="W1666" s="8"/>
      <c r="X1666" s="8"/>
      <c r="Y1666" s="8"/>
      <c r="Z1666" s="8"/>
    </row>
    <row r="1667" spans="1:26" ht="12.75">
      <c r="A1667" s="11">
        <v>43747.278356481482</v>
      </c>
      <c r="B1667" s="12" t="str">
        <f>HYPERLINK("https://twitter.com/t_o_p_r_a_k_1","@t_o_p_r_a_k_1")</f>
        <v>@t_o_p_r_a_k_1</v>
      </c>
      <c r="C1667" s="7" t="s">
        <v>12150</v>
      </c>
      <c r="D1667" s="7" t="s">
        <v>12151</v>
      </c>
      <c r="E1667" s="12" t="str">
        <f>HYPERLINK("https://twitter.com/t_o_p_r_a_k_1/status/1181927501167288320","1181927501167288320")</f>
        <v>1181927501167288320</v>
      </c>
      <c r="F1667" s="8"/>
      <c r="G1667" s="7"/>
      <c r="H1667" s="8"/>
      <c r="I1667" s="15">
        <v>0</v>
      </c>
      <c r="J1667" s="15">
        <v>0</v>
      </c>
      <c r="K1667" s="12" t="str">
        <f>HYPERLINK("https://mobile.twitter.com","Twitter Web App")</f>
        <v>Twitter Web App</v>
      </c>
      <c r="L1667" s="16">
        <v>2183</v>
      </c>
      <c r="M1667" s="16">
        <v>2142</v>
      </c>
      <c r="N1667" s="16">
        <v>4</v>
      </c>
      <c r="O1667" s="17"/>
      <c r="P1667" s="18">
        <v>41288.615671296298</v>
      </c>
      <c r="Q1667" s="7" t="s">
        <v>200</v>
      </c>
      <c r="R1667" s="7"/>
      <c r="S1667" s="7"/>
      <c r="T1667" s="8"/>
      <c r="U1667" s="19" t="str">
        <f>HYPERLINK("https://pbs.twimg.com/profile_images/1151519700565811201/SSUjYHNr.jpg","View")</f>
        <v>View</v>
      </c>
      <c r="V1667" s="8"/>
      <c r="W1667" s="8"/>
      <c r="X1667" s="8"/>
      <c r="Y1667" s="8"/>
      <c r="Z1667" s="8"/>
    </row>
    <row r="1668" spans="1:26" ht="12.75">
      <c r="A1668" s="11">
        <v>43747.278333333335</v>
      </c>
      <c r="B1668" s="12" t="str">
        <f>HYPERLINK("https://twitter.com/fthpekdogan","@fthpekdogan")</f>
        <v>@fthpekdogan</v>
      </c>
      <c r="C1668" s="7" t="s">
        <v>12156</v>
      </c>
      <c r="D1668" s="7" t="s">
        <v>12157</v>
      </c>
      <c r="E1668" s="12" t="str">
        <f>HYPERLINK("https://twitter.com/fthpekdogan/status/1181927493260972034","1181927493260972034")</f>
        <v>1181927493260972034</v>
      </c>
      <c r="F1668" s="15"/>
      <c r="G1668" s="7"/>
      <c r="H1668" s="8"/>
      <c r="I1668" s="15">
        <v>0</v>
      </c>
      <c r="J1668" s="15">
        <v>2</v>
      </c>
      <c r="K1668" s="12" t="str">
        <f>HYPERLINK("http://twitter.com/download/android","Twitter for Android")</f>
        <v>Twitter for Android</v>
      </c>
      <c r="L1668" s="16">
        <v>605</v>
      </c>
      <c r="M1668" s="16">
        <v>334</v>
      </c>
      <c r="N1668" s="16">
        <v>0</v>
      </c>
      <c r="O1668" s="17"/>
      <c r="P1668" s="18">
        <v>41307.079560185186</v>
      </c>
      <c r="Q1668" s="7" t="s">
        <v>12159</v>
      </c>
      <c r="R1668" s="7" t="s">
        <v>12160</v>
      </c>
      <c r="S1668" s="14" t="s">
        <v>12161</v>
      </c>
      <c r="T1668" s="8"/>
      <c r="U1668" s="19" t="str">
        <f>HYPERLINK("https://pbs.twimg.com/profile_images/1046700867204902912/h35VjqXI.jpg","View")</f>
        <v>View</v>
      </c>
      <c r="V1668" s="8"/>
      <c r="W1668" s="8"/>
      <c r="X1668" s="8"/>
      <c r="Y1668" s="8"/>
      <c r="Z1668" s="8"/>
    </row>
    <row r="1669" spans="1:26" ht="12.75">
      <c r="A1669" s="11">
        <v>43747.278321759259</v>
      </c>
      <c r="B1669" s="12" t="str">
        <f>HYPERLINK("https://twitter.com/haydiefe","@haydiefe")</f>
        <v>@haydiefe</v>
      </c>
      <c r="C1669" s="7" t="s">
        <v>12162</v>
      </c>
      <c r="D1669" s="7" t="s">
        <v>12163</v>
      </c>
      <c r="E1669" s="12" t="str">
        <f>HYPERLINK("https://twitter.com/haydiefe/status/1181927492396994561","1181927492396994561")</f>
        <v>1181927492396994561</v>
      </c>
      <c r="F1669" s="15"/>
      <c r="G1669" s="14" t="s">
        <v>12164</v>
      </c>
      <c r="H1669" s="8"/>
      <c r="I1669" s="15">
        <v>0</v>
      </c>
      <c r="J1669" s="15">
        <v>0</v>
      </c>
      <c r="K1669" s="12" t="str">
        <f>HYPERLINK("http://twitter.com/download/iphone","Twitter for iPhone")</f>
        <v>Twitter for iPhone</v>
      </c>
      <c r="L1669" s="16">
        <v>40</v>
      </c>
      <c r="M1669" s="16">
        <v>171</v>
      </c>
      <c r="N1669" s="16">
        <v>0</v>
      </c>
      <c r="O1669" s="17"/>
      <c r="P1669" s="18">
        <v>40696.978217592594</v>
      </c>
      <c r="Q1669" s="7"/>
      <c r="R1669" s="7" t="s">
        <v>12168</v>
      </c>
      <c r="S1669" s="15"/>
      <c r="T1669" s="8"/>
      <c r="U1669" s="19" t="str">
        <f>HYPERLINK("https://pbs.twimg.com/profile_images/1088921183129612289/Ct2nopgI.jpg","View")</f>
        <v>View</v>
      </c>
      <c r="V1669" s="8"/>
      <c r="W1669" s="8"/>
      <c r="X1669" s="8"/>
      <c r="Y1669" s="8"/>
      <c r="Z1669" s="8"/>
    </row>
    <row r="1670" spans="1:26" ht="12.75">
      <c r="A1670" s="11">
        <v>43747.278310185182</v>
      </c>
      <c r="B1670" s="12" t="str">
        <f>HYPERLINK("https://twitter.com/brshzln","@brshzln")</f>
        <v>@brshzln</v>
      </c>
      <c r="C1670" s="7" t="s">
        <v>12169</v>
      </c>
      <c r="D1670" s="7" t="s">
        <v>11655</v>
      </c>
      <c r="E1670" s="12" t="str">
        <f>HYPERLINK("https://twitter.com/brshzln/status/1181927484092223488","1181927484092223488")</f>
        <v>1181927484092223488</v>
      </c>
      <c r="F1670" s="8"/>
      <c r="G1670" s="14" t="s">
        <v>12171</v>
      </c>
      <c r="H1670" s="8"/>
      <c r="I1670" s="15">
        <v>1</v>
      </c>
      <c r="J1670" s="15">
        <v>2</v>
      </c>
      <c r="K1670" s="12" t="str">
        <f>HYPERLINK("http://twitter.com/download/android","Twitter for Android")</f>
        <v>Twitter for Android</v>
      </c>
      <c r="L1670" s="16">
        <v>62</v>
      </c>
      <c r="M1670" s="16">
        <v>255</v>
      </c>
      <c r="N1670" s="16">
        <v>0</v>
      </c>
      <c r="O1670" s="17"/>
      <c r="P1670" s="18">
        <v>42852.153692129628</v>
      </c>
      <c r="Q1670" s="7"/>
      <c r="R1670" s="7" t="s">
        <v>12174</v>
      </c>
      <c r="S1670" s="14" t="s">
        <v>12175</v>
      </c>
      <c r="T1670" s="8"/>
      <c r="U1670" s="19" t="str">
        <f>HYPERLINK("https://pbs.twimg.com/profile_images/950377165102731264/GWJg55wp.jpg","View")</f>
        <v>View</v>
      </c>
      <c r="V1670" s="8"/>
      <c r="W1670" s="8"/>
      <c r="X1670" s="8"/>
      <c r="Y1670" s="8"/>
      <c r="Z1670" s="8"/>
    </row>
    <row r="1671" spans="1:26" ht="12.75">
      <c r="A1671" s="11">
        <v>43747.278263888889</v>
      </c>
      <c r="B1671" s="12" t="str">
        <f>HYPERLINK("https://twitter.com/muhammtoztprak","@muhammtoztprak")</f>
        <v>@muhammtoztprak</v>
      </c>
      <c r="C1671" s="7" t="s">
        <v>12176</v>
      </c>
      <c r="D1671" s="7" t="s">
        <v>12177</v>
      </c>
      <c r="E1671" s="12" t="str">
        <f>HYPERLINK("https://twitter.com/muhammtoztprak/status/1181927469844185088","1181927469844185088")</f>
        <v>1181927469844185088</v>
      </c>
      <c r="F1671" s="8"/>
      <c r="G1671" s="14" t="s">
        <v>12178</v>
      </c>
      <c r="H1671" s="8"/>
      <c r="I1671" s="15">
        <v>0</v>
      </c>
      <c r="J1671" s="15">
        <v>1</v>
      </c>
      <c r="K1671" s="12" t="str">
        <f>HYPERLINK("http://twitter.com/download/iphone","Twitter for iPhone")</f>
        <v>Twitter for iPhone</v>
      </c>
      <c r="L1671" s="16">
        <v>1934</v>
      </c>
      <c r="M1671" s="16">
        <v>1861</v>
      </c>
      <c r="N1671" s="16">
        <v>0</v>
      </c>
      <c r="O1671" s="17"/>
      <c r="P1671" s="18">
        <v>41329.179432870369</v>
      </c>
      <c r="Q1671" s="7" t="s">
        <v>860</v>
      </c>
      <c r="R1671" s="7" t="s">
        <v>12179</v>
      </c>
      <c r="S1671" s="15"/>
      <c r="T1671" s="8"/>
      <c r="U1671" s="19" t="str">
        <f>HYPERLINK("https://pbs.twimg.com/profile_images/1172434198616952833/d_9-ogyu.jpg","View")</f>
        <v>View</v>
      </c>
      <c r="V1671" s="8"/>
      <c r="W1671" s="8"/>
      <c r="X1671" s="8"/>
      <c r="Y1671" s="8"/>
      <c r="Z1671" s="8"/>
    </row>
    <row r="1672" spans="1:26" ht="12.75">
      <c r="A1672" s="11">
        <v>43747.278263888889</v>
      </c>
      <c r="B1672" s="12" t="str">
        <f>HYPERLINK("https://twitter.com/Ahmet77141596","@Ahmet77141596")</f>
        <v>@Ahmet77141596</v>
      </c>
      <c r="C1672" s="7" t="s">
        <v>12180</v>
      </c>
      <c r="D1672" s="7" t="s">
        <v>12075</v>
      </c>
      <c r="E1672" s="12" t="str">
        <f>HYPERLINK("https://twitter.com/Ahmet77141596/status/1181927468615241729","1181927468615241729")</f>
        <v>1181927468615241729</v>
      </c>
      <c r="F1672" s="8"/>
      <c r="G1672" s="14" t="s">
        <v>12181</v>
      </c>
      <c r="H1672" s="8"/>
      <c r="I1672" s="15">
        <v>0</v>
      </c>
      <c r="J1672" s="15">
        <v>0</v>
      </c>
      <c r="K1672" s="12" t="str">
        <f>HYPERLINK("http://twitter.com/download/android","Twitter for Android")</f>
        <v>Twitter for Android</v>
      </c>
      <c r="L1672" s="16">
        <v>45</v>
      </c>
      <c r="M1672" s="16">
        <v>42</v>
      </c>
      <c r="N1672" s="16">
        <v>0</v>
      </c>
      <c r="O1672" s="17"/>
      <c r="P1672" s="18">
        <v>43519.174456018518</v>
      </c>
      <c r="Q1672" s="7"/>
      <c r="R1672" s="7" t="s">
        <v>12182</v>
      </c>
      <c r="S1672" s="7"/>
      <c r="T1672" s="8"/>
      <c r="U1672" s="19" t="str">
        <f>HYPERLINK("https://pbs.twimg.com/profile_images/1099280801450156032/qTd6h_9T.jpg","View")</f>
        <v>View</v>
      </c>
      <c r="V1672" s="8"/>
      <c r="W1672" s="8"/>
      <c r="X1672" s="8"/>
      <c r="Y1672" s="8"/>
      <c r="Z1672" s="8"/>
    </row>
    <row r="1673" spans="1:26" ht="12.75">
      <c r="A1673" s="11">
        <v>43747.27825231482</v>
      </c>
      <c r="B1673" s="12" t="str">
        <f>HYPERLINK("https://twitter.com/royjonesgm","@royjonesgm")</f>
        <v>@royjonesgm</v>
      </c>
      <c r="C1673" s="7" t="s">
        <v>12185</v>
      </c>
      <c r="D1673" s="7" t="s">
        <v>12186</v>
      </c>
      <c r="E1673" s="12" t="str">
        <f>HYPERLINK("https://twitter.com/royjonesgm/status/1181927466287423489","1181927466287423489")</f>
        <v>1181927466287423489</v>
      </c>
      <c r="F1673" s="8"/>
      <c r="G1673" s="7"/>
      <c r="H1673" s="8"/>
      <c r="I1673" s="15">
        <v>0</v>
      </c>
      <c r="J1673" s="15">
        <v>0</v>
      </c>
      <c r="K1673" s="12" t="str">
        <f>HYPERLINK("http://twitter.com/download/android","Twitter for Android")</f>
        <v>Twitter for Android</v>
      </c>
      <c r="L1673" s="16">
        <v>289</v>
      </c>
      <c r="M1673" s="16">
        <v>434</v>
      </c>
      <c r="N1673" s="16">
        <v>0</v>
      </c>
      <c r="O1673" s="17"/>
      <c r="P1673" s="18">
        <v>41931.181747685187</v>
      </c>
      <c r="Q1673" s="7"/>
      <c r="R1673" s="7"/>
      <c r="S1673" s="7"/>
      <c r="T1673" s="8"/>
      <c r="U1673" s="19" t="str">
        <f>HYPERLINK("https://pbs.twimg.com/profile_images/980448107778494464/-maUHYPm.jpg","View")</f>
        <v>View</v>
      </c>
      <c r="V1673" s="8"/>
      <c r="W1673" s="8"/>
      <c r="X1673" s="8"/>
      <c r="Y1673" s="8"/>
      <c r="Z1673" s="8"/>
    </row>
    <row r="1674" spans="1:26" ht="12.75">
      <c r="A1674" s="11">
        <v>43747.27825231482</v>
      </c>
      <c r="B1674" s="12" t="str">
        <f>HYPERLINK("https://twitter.com/Vedanta52025","@Vedanta52025")</f>
        <v>@Vedanta52025</v>
      </c>
      <c r="C1674" s="7" t="s">
        <v>12187</v>
      </c>
      <c r="D1674" s="7" t="s">
        <v>12188</v>
      </c>
      <c r="E1674" s="12" t="str">
        <f>HYPERLINK("https://twitter.com/Vedanta52025/status/1181927464551026688","1181927464551026688")</f>
        <v>1181927464551026688</v>
      </c>
      <c r="F1674" s="14" t="s">
        <v>12191</v>
      </c>
      <c r="G1674" s="14" t="s">
        <v>12193</v>
      </c>
      <c r="H1674" s="8"/>
      <c r="I1674" s="15">
        <v>2</v>
      </c>
      <c r="J1674" s="15">
        <v>2</v>
      </c>
      <c r="K1674" s="12" t="str">
        <f>HYPERLINK("http://twitter.com/download/iphone","Twitter for iPhone")</f>
        <v>Twitter for iPhone</v>
      </c>
      <c r="L1674" s="16">
        <v>3</v>
      </c>
      <c r="M1674" s="16">
        <v>17</v>
      </c>
      <c r="N1674" s="16">
        <v>0</v>
      </c>
      <c r="O1674" s="17"/>
      <c r="P1674" s="18">
        <v>43747.167673611111</v>
      </c>
      <c r="Q1674" s="7"/>
      <c r="R1674" s="7" t="s">
        <v>12199</v>
      </c>
      <c r="S1674" s="7"/>
      <c r="T1674" s="8"/>
      <c r="U1674" s="19" t="str">
        <f>HYPERLINK("https://pbs.twimg.com/profile_images/1181887496193486850/Uh19QPtw.jpg","View")</f>
        <v>View</v>
      </c>
      <c r="V1674" s="8"/>
      <c r="W1674" s="8"/>
      <c r="X1674" s="8"/>
      <c r="Y1674" s="8"/>
      <c r="Z1674" s="8"/>
    </row>
    <row r="1675" spans="1:26" ht="12.75">
      <c r="A1675" s="11">
        <v>43747.278240740736</v>
      </c>
      <c r="B1675" s="12" t="str">
        <f>HYPERLINK("https://twitter.com/darknessbilgi","@darknessbilgi")</f>
        <v>@darknessbilgi</v>
      </c>
      <c r="C1675" s="7" t="s">
        <v>12200</v>
      </c>
      <c r="D1675" s="7" t="s">
        <v>12201</v>
      </c>
      <c r="E1675" s="12" t="str">
        <f>HYPERLINK("https://twitter.com/darknessbilgi/status/1181927462558715904","1181927462558715904")</f>
        <v>1181927462558715904</v>
      </c>
      <c r="F1675" s="8"/>
      <c r="G1675" s="14" t="s">
        <v>12202</v>
      </c>
      <c r="H1675" s="8"/>
      <c r="I1675" s="15">
        <v>0</v>
      </c>
      <c r="J1675" s="15">
        <v>0</v>
      </c>
      <c r="K1675" s="12" t="str">
        <f>HYPERLINK("http://twitter.com/download/android","Twitter for Android")</f>
        <v>Twitter for Android</v>
      </c>
      <c r="L1675" s="16">
        <v>28</v>
      </c>
      <c r="M1675" s="16">
        <v>0</v>
      </c>
      <c r="N1675" s="16">
        <v>0</v>
      </c>
      <c r="O1675" s="17"/>
      <c r="P1675" s="18">
        <v>43486.314062500001</v>
      </c>
      <c r="Q1675" s="7"/>
      <c r="R1675" s="7"/>
      <c r="S1675" s="15"/>
      <c r="T1675" s="8"/>
      <c r="U1675" s="19" t="str">
        <f>HYPERLINK("https://pbs.twimg.com/profile_images/1169133227199664130/DnMVpiek.jpg","View")</f>
        <v>View</v>
      </c>
      <c r="V1675" s="8"/>
      <c r="W1675" s="8"/>
      <c r="X1675" s="8"/>
      <c r="Y1675" s="8"/>
      <c r="Z1675" s="8"/>
    </row>
    <row r="1676" spans="1:26" ht="12.75">
      <c r="A1676" s="11">
        <v>43747.278240740736</v>
      </c>
      <c r="B1676" s="12" t="str">
        <f>HYPERLINK("https://twitter.com/TermalGazz","@TermalGazz")</f>
        <v>@TermalGazz</v>
      </c>
      <c r="C1676" s="7" t="s">
        <v>12206</v>
      </c>
      <c r="D1676" s="7" t="s">
        <v>12207</v>
      </c>
      <c r="E1676" s="12" t="str">
        <f>HYPERLINK("https://twitter.com/TermalGazz/status/1181927460759392258","1181927460759392258")</f>
        <v>1181927460759392258</v>
      </c>
      <c r="F1676" s="8"/>
      <c r="G1676" s="15"/>
      <c r="H1676" s="8"/>
      <c r="I1676" s="15">
        <v>0</v>
      </c>
      <c r="J1676" s="15">
        <v>0</v>
      </c>
      <c r="K1676" s="12" t="str">
        <f>HYPERLINK("https://mobile.twitter.com","Twitter Web App")</f>
        <v>Twitter Web App</v>
      </c>
      <c r="L1676" s="16">
        <v>40</v>
      </c>
      <c r="M1676" s="16">
        <v>61</v>
      </c>
      <c r="N1676" s="16">
        <v>0</v>
      </c>
      <c r="O1676" s="17"/>
      <c r="P1676" s="18">
        <v>42295.101307870369</v>
      </c>
      <c r="Q1676" s="7" t="s">
        <v>313</v>
      </c>
      <c r="R1676" s="7" t="s">
        <v>12210</v>
      </c>
      <c r="S1676" s="7"/>
      <c r="T1676" s="8"/>
      <c r="U1676" s="19" t="str">
        <f>HYPERLINK("https://pbs.twimg.com/profile_images/917405709423251463/o3-1MzkY.jpg","View")</f>
        <v>View</v>
      </c>
      <c r="V1676" s="8"/>
      <c r="W1676" s="8"/>
      <c r="X1676" s="8"/>
      <c r="Y1676" s="8"/>
      <c r="Z1676" s="8"/>
    </row>
    <row r="1677" spans="1:26" ht="12.75">
      <c r="A1677" s="11">
        <v>43747.278217592597</v>
      </c>
      <c r="B1677" s="12" t="str">
        <f>HYPERLINK("https://twitter.com/MenekeYldrm11","@MenekeYldrm11")</f>
        <v>@MenekeYldrm11</v>
      </c>
      <c r="C1677" s="7" t="s">
        <v>12211</v>
      </c>
      <c r="D1677" s="7" t="s">
        <v>12212</v>
      </c>
      <c r="E1677" s="12" t="str">
        <f>HYPERLINK("https://twitter.com/MenekeYldrm11/status/1181927453796835328","1181927453796835328")</f>
        <v>1181927453796835328</v>
      </c>
      <c r="F1677" s="14" t="s">
        <v>12213</v>
      </c>
      <c r="G1677" s="7"/>
      <c r="H1677" s="8"/>
      <c r="I1677" s="15">
        <v>0</v>
      </c>
      <c r="J1677" s="15">
        <v>1</v>
      </c>
      <c r="K1677" s="12" t="str">
        <f>HYPERLINK("http://twitter.com/download/android","Twitter for Android")</f>
        <v>Twitter for Android</v>
      </c>
      <c r="L1677" s="16">
        <v>867</v>
      </c>
      <c r="M1677" s="16">
        <v>1195</v>
      </c>
      <c r="N1677" s="16">
        <v>0</v>
      </c>
      <c r="O1677" s="17"/>
      <c r="P1677" s="18">
        <v>43616.177893518514</v>
      </c>
      <c r="Q1677" s="7"/>
      <c r="R1677" s="7" t="s">
        <v>12217</v>
      </c>
      <c r="S1677" s="7"/>
      <c r="T1677" s="8"/>
      <c r="U1677" s="19" t="str">
        <f>HYPERLINK("https://pbs.twimg.com/profile_images/1181875867779244032/aA9HM_BS.jpg","View")</f>
        <v>View</v>
      </c>
      <c r="V1677" s="8"/>
      <c r="W1677" s="8"/>
      <c r="X1677" s="8"/>
      <c r="Y1677" s="8"/>
      <c r="Z1677" s="8"/>
    </row>
    <row r="1678" spans="1:26" ht="12.75">
      <c r="A1678" s="11">
        <v>43747.278217592597</v>
      </c>
      <c r="B1678" s="12" t="str">
        <f>HYPERLINK("https://twitter.com/tgbisik","@tgbisik")</f>
        <v>@tgbisik</v>
      </c>
      <c r="C1678" s="7" t="s">
        <v>12218</v>
      </c>
      <c r="D1678" s="7" t="s">
        <v>5361</v>
      </c>
      <c r="E1678" s="12" t="str">
        <f>HYPERLINK("https://twitter.com/tgbisik/status/1181927452660117504","1181927452660117504")</f>
        <v>1181927452660117504</v>
      </c>
      <c r="F1678" s="8"/>
      <c r="G1678" s="14" t="s">
        <v>12219</v>
      </c>
      <c r="H1678" s="8"/>
      <c r="I1678" s="15">
        <v>1</v>
      </c>
      <c r="J1678" s="15">
        <v>1</v>
      </c>
      <c r="K1678" s="12" t="str">
        <f>HYPERLINK("http://twitter.com/download/android","Twitter for Android")</f>
        <v>Twitter for Android</v>
      </c>
      <c r="L1678" s="16">
        <v>18</v>
      </c>
      <c r="M1678" s="16">
        <v>12</v>
      </c>
      <c r="N1678" s="16">
        <v>0</v>
      </c>
      <c r="O1678" s="17"/>
      <c r="P1678" s="18">
        <v>43740.493831018517</v>
      </c>
      <c r="Q1678" s="7"/>
      <c r="R1678" s="7" t="s">
        <v>12223</v>
      </c>
      <c r="S1678" s="14" t="s">
        <v>10912</v>
      </c>
      <c r="T1678" s="8"/>
      <c r="U1678" s="19" t="str">
        <f>HYPERLINK("https://pbs.twimg.com/profile_images/1179468931477770242/Jw4wYKA7.jpg","View")</f>
        <v>View</v>
      </c>
      <c r="V1678" s="8"/>
      <c r="W1678" s="8"/>
      <c r="X1678" s="8"/>
      <c r="Y1678" s="8"/>
      <c r="Z1678" s="8"/>
    </row>
    <row r="1679" spans="1:26" ht="12.75">
      <c r="A1679" s="11">
        <v>43747.27820601852</v>
      </c>
      <c r="B1679" s="12" t="str">
        <f>HYPERLINK("https://twitter.com/kabinekibiniz","@kabinekibiniz")</f>
        <v>@kabinekibiniz</v>
      </c>
      <c r="C1679" s="7" t="s">
        <v>12224</v>
      </c>
      <c r="D1679" s="7" t="s">
        <v>6747</v>
      </c>
      <c r="E1679" s="12" t="str">
        <f>HYPERLINK("https://twitter.com/kabinekibiniz/status/1181927449204068353","1181927449204068353")</f>
        <v>1181927449204068353</v>
      </c>
      <c r="F1679" s="8"/>
      <c r="G1679" s="14" t="s">
        <v>12225</v>
      </c>
      <c r="H1679" s="8"/>
      <c r="I1679" s="15">
        <v>0</v>
      </c>
      <c r="J1679" s="15">
        <v>0</v>
      </c>
      <c r="K1679" s="12" t="str">
        <f>HYPERLINK("https://mobile.twitter.com","Twitter Web App")</f>
        <v>Twitter Web App</v>
      </c>
      <c r="L1679" s="16">
        <v>33</v>
      </c>
      <c r="M1679" s="16">
        <v>190</v>
      </c>
      <c r="N1679" s="16">
        <v>0</v>
      </c>
      <c r="O1679" s="17"/>
      <c r="P1679" s="18">
        <v>43347.282997685186</v>
      </c>
      <c r="Q1679" s="7" t="s">
        <v>1150</v>
      </c>
      <c r="R1679" s="7" t="s">
        <v>12226</v>
      </c>
      <c r="S1679" s="7"/>
      <c r="T1679" s="8"/>
      <c r="U1679" s="19" t="str">
        <f>HYPERLINK("https://pbs.twimg.com/profile_images/1179719733492494336/SVYvOfBz.jpg","View")</f>
        <v>View</v>
      </c>
      <c r="V1679" s="8"/>
      <c r="W1679" s="8"/>
      <c r="X1679" s="8"/>
      <c r="Y1679" s="8"/>
      <c r="Z1679" s="8"/>
    </row>
    <row r="1680" spans="1:26" ht="12.75">
      <c r="A1680" s="11">
        <v>43747.278194444443</v>
      </c>
      <c r="B1680" s="12" t="str">
        <f>HYPERLINK("https://twitter.com/HalitNas","@HalitNas")</f>
        <v>@HalitNas</v>
      </c>
      <c r="C1680" s="7" t="s">
        <v>12228</v>
      </c>
      <c r="D1680" s="7" t="s">
        <v>12229</v>
      </c>
      <c r="E1680" s="12" t="str">
        <f>HYPERLINK("https://twitter.com/HalitNas/status/1181927443130654720","1181927443130654720")</f>
        <v>1181927443130654720</v>
      </c>
      <c r="F1680" s="8"/>
      <c r="G1680" s="15"/>
      <c r="H1680" s="8"/>
      <c r="I1680" s="15">
        <v>0</v>
      </c>
      <c r="J1680" s="15">
        <v>0</v>
      </c>
      <c r="K1680" s="12" t="str">
        <f>HYPERLINK("http://twitter.com/download/android","Twitter for Android")</f>
        <v>Twitter for Android</v>
      </c>
      <c r="L1680" s="16">
        <v>361</v>
      </c>
      <c r="M1680" s="16">
        <v>477</v>
      </c>
      <c r="N1680" s="16">
        <v>1</v>
      </c>
      <c r="O1680" s="17"/>
      <c r="P1680" s="18">
        <v>40939.251388888893</v>
      </c>
      <c r="Q1680" s="7" t="s">
        <v>1827</v>
      </c>
      <c r="R1680" s="7"/>
      <c r="S1680" s="7"/>
      <c r="T1680" s="8"/>
      <c r="U1680" s="19" t="str">
        <f>HYPERLINK("https://pbs.twimg.com/profile_images/1151056210096992257/U5TBRFiE.jpg","View")</f>
        <v>View</v>
      </c>
      <c r="V1680" s="8"/>
      <c r="W1680" s="8"/>
      <c r="X1680" s="8"/>
      <c r="Y1680" s="8"/>
      <c r="Z1680" s="8"/>
    </row>
    <row r="1681" spans="1:26" ht="12.75">
      <c r="A1681" s="11">
        <v>43747.278182870374</v>
      </c>
      <c r="B1681" s="12" t="str">
        <f>HYPERLINK("https://twitter.com/UDanagoz","@UDanagoz")</f>
        <v>@UDanagoz</v>
      </c>
      <c r="C1681" s="7" t="s">
        <v>12231</v>
      </c>
      <c r="D1681" s="7" t="s">
        <v>12232</v>
      </c>
      <c r="E1681" s="12" t="str">
        <f>HYPERLINK("https://twitter.com/UDanagoz/status/1181927440907718656","1181927440907718656")</f>
        <v>1181927440907718656</v>
      </c>
      <c r="F1681" s="8"/>
      <c r="G1681" s="14" t="s">
        <v>12233</v>
      </c>
      <c r="H1681" s="8"/>
      <c r="I1681" s="15">
        <v>0</v>
      </c>
      <c r="J1681" s="15">
        <v>5</v>
      </c>
      <c r="K1681" s="12" t="str">
        <f>HYPERLINK("http://twitter.com/download/iphone","Twitter for iPhone")</f>
        <v>Twitter for iPhone</v>
      </c>
      <c r="L1681" s="16">
        <v>228</v>
      </c>
      <c r="M1681" s="16">
        <v>195</v>
      </c>
      <c r="N1681" s="16">
        <v>0</v>
      </c>
      <c r="O1681" s="17"/>
      <c r="P1681" s="18">
        <v>42708.09207175926</v>
      </c>
      <c r="Q1681" s="7" t="s">
        <v>12236</v>
      </c>
      <c r="R1681" s="7" t="s">
        <v>12237</v>
      </c>
      <c r="S1681" s="15"/>
      <c r="T1681" s="8"/>
      <c r="U1681" s="19" t="str">
        <f>HYPERLINK("https://pbs.twimg.com/profile_images/1124767326178545665/xSkeEGSl.jpg","View")</f>
        <v>View</v>
      </c>
      <c r="V1681" s="8"/>
      <c r="W1681" s="8"/>
      <c r="X1681" s="8"/>
      <c r="Y1681" s="8"/>
      <c r="Z1681" s="8"/>
    </row>
    <row r="1682" spans="1:26" ht="12.75">
      <c r="A1682" s="11">
        <v>43747.278171296297</v>
      </c>
      <c r="B1682" s="12" t="str">
        <f>HYPERLINK("https://twitter.com/Muhamme60134870","@Muhamme60134870")</f>
        <v>@Muhamme60134870</v>
      </c>
      <c r="C1682" s="7" t="s">
        <v>12238</v>
      </c>
      <c r="D1682" s="7" t="s">
        <v>12239</v>
      </c>
      <c r="E1682" s="12" t="str">
        <f>HYPERLINK("https://twitter.com/Muhamme60134870/status/1181927435891347456","1181927435891347456")</f>
        <v>1181927435891347456</v>
      </c>
      <c r="F1682" s="15"/>
      <c r="G1682" s="14" t="s">
        <v>12240</v>
      </c>
      <c r="H1682" s="8"/>
      <c r="I1682" s="15">
        <v>0</v>
      </c>
      <c r="J1682" s="15">
        <v>4</v>
      </c>
      <c r="K1682" s="12" t="str">
        <f>HYPERLINK("http://twitter.com/download/iphone","Twitter for iPhone")</f>
        <v>Twitter for iPhone</v>
      </c>
      <c r="L1682" s="16">
        <v>67</v>
      </c>
      <c r="M1682" s="16">
        <v>134</v>
      </c>
      <c r="N1682" s="16">
        <v>0</v>
      </c>
      <c r="O1682" s="17"/>
      <c r="P1682" s="18">
        <v>43715.531817129631</v>
      </c>
      <c r="Q1682" s="7"/>
      <c r="R1682" s="7" t="s">
        <v>12244</v>
      </c>
      <c r="S1682" s="15"/>
      <c r="T1682" s="8"/>
      <c r="U1682" s="19" t="str">
        <f>HYPERLINK("https://pbs.twimg.com/profile_images/1181135233003016192/KQWyALJF.jpg","View")</f>
        <v>View</v>
      </c>
      <c r="V1682" s="8"/>
      <c r="W1682" s="8"/>
      <c r="X1682" s="8"/>
      <c r="Y1682" s="8"/>
      <c r="Z1682" s="8"/>
    </row>
    <row r="1683" spans="1:26" ht="12.75">
      <c r="A1683" s="11">
        <v>43747.278148148151</v>
      </c>
      <c r="B1683" s="12" t="str">
        <f>HYPERLINK("https://twitter.com/Gencmuhendis42","@Gencmuhendis42")</f>
        <v>@Gencmuhendis42</v>
      </c>
      <c r="C1683" s="7" t="s">
        <v>12245</v>
      </c>
      <c r="D1683" s="7" t="s">
        <v>12246</v>
      </c>
      <c r="E1683" s="12" t="str">
        <f>HYPERLINK("https://twitter.com/Gencmuhendis42/status/1181927428345749510","1181927428345749510")</f>
        <v>1181927428345749510</v>
      </c>
      <c r="F1683" s="8"/>
      <c r="G1683" s="15"/>
      <c r="H1683" s="8"/>
      <c r="I1683" s="15">
        <v>0</v>
      </c>
      <c r="J1683" s="15">
        <v>0</v>
      </c>
      <c r="K1683" s="12" t="str">
        <f>HYPERLINK("http://twitter.com/download/android","Twitter for Android")</f>
        <v>Twitter for Android</v>
      </c>
      <c r="L1683" s="16">
        <v>22</v>
      </c>
      <c r="M1683" s="16">
        <v>232</v>
      </c>
      <c r="N1683" s="16">
        <v>0</v>
      </c>
      <c r="O1683" s="17"/>
      <c r="P1683" s="18">
        <v>42550.465925925921</v>
      </c>
      <c r="Q1683" s="7" t="s">
        <v>200</v>
      </c>
      <c r="R1683" s="7"/>
      <c r="S1683" s="7"/>
      <c r="T1683" s="8"/>
      <c r="U1683" s="19" t="str">
        <f>HYPERLINK("https://pbs.twimg.com/profile_images/748219872430202880/MHY1z-Sc.jpg","View")</f>
        <v>View</v>
      </c>
      <c r="V1683" s="8"/>
      <c r="W1683" s="8"/>
      <c r="X1683" s="8"/>
      <c r="Y1683" s="8"/>
      <c r="Z1683" s="8"/>
    </row>
    <row r="1684" spans="1:26" ht="12.75">
      <c r="A1684" s="11">
        <v>43747.278148148151</v>
      </c>
      <c r="B1684" s="12" t="str">
        <f>HYPERLINK("https://twitter.com/KabusFreddyJK","@KabusFreddyJK")</f>
        <v>@KabusFreddyJK</v>
      </c>
      <c r="C1684" s="7" t="s">
        <v>12247</v>
      </c>
      <c r="D1684" s="7" t="s">
        <v>12248</v>
      </c>
      <c r="E1684" s="12" t="str">
        <f>HYPERLINK("https://twitter.com/KabusFreddyJK/status/1181927426256977920","1181927426256977920")</f>
        <v>1181927426256977920</v>
      </c>
      <c r="F1684" s="15"/>
      <c r="G1684" s="14" t="s">
        <v>12249</v>
      </c>
      <c r="H1684" s="8"/>
      <c r="I1684" s="15">
        <v>9</v>
      </c>
      <c r="J1684" s="15">
        <v>119</v>
      </c>
      <c r="K1684" s="12" t="str">
        <f>HYPERLINK("http://twitter.com/download/iphone","Twitter for iPhone")</f>
        <v>Twitter for iPhone</v>
      </c>
      <c r="L1684" s="16">
        <v>1015</v>
      </c>
      <c r="M1684" s="16">
        <v>1113</v>
      </c>
      <c r="N1684" s="16">
        <v>2</v>
      </c>
      <c r="O1684" s="20"/>
      <c r="P1684" s="18">
        <v>43722.144050925926</v>
      </c>
      <c r="Q1684" s="7" t="s">
        <v>12250</v>
      </c>
      <c r="R1684" s="7" t="s">
        <v>12251</v>
      </c>
      <c r="S1684" s="15"/>
      <c r="T1684" s="8"/>
      <c r="U1684" s="19" t="str">
        <f>HYPERLINK("https://pbs.twimg.com/profile_images/1176545257930022913/gMVHYc6r.jpg","View")</f>
        <v>View</v>
      </c>
      <c r="V1684" s="8"/>
      <c r="W1684" s="8"/>
      <c r="X1684" s="8"/>
      <c r="Y1684" s="8"/>
      <c r="Z1684" s="8"/>
    </row>
    <row r="1685" spans="1:26" ht="12.75">
      <c r="A1685" s="11">
        <v>43747.278136574074</v>
      </c>
      <c r="B1685" s="12" t="str">
        <f>HYPERLINK("https://twitter.com/yasinguler1903","@yasinguler1903")</f>
        <v>@yasinguler1903</v>
      </c>
      <c r="C1685" s="7" t="s">
        <v>12252</v>
      </c>
      <c r="D1685" s="7" t="s">
        <v>12253</v>
      </c>
      <c r="E1685" s="12" t="str">
        <f>HYPERLINK("https://twitter.com/yasinguler1903/status/1181927423442587651","1181927423442587651")</f>
        <v>1181927423442587651</v>
      </c>
      <c r="F1685" s="7"/>
      <c r="G1685" s="15"/>
      <c r="H1685" s="8"/>
      <c r="I1685" s="15">
        <v>0</v>
      </c>
      <c r="J1685" s="15">
        <v>0</v>
      </c>
      <c r="K1685" s="12" t="str">
        <f>HYPERLINK("http://twitter.com/download/iphone","Twitter for iPhone")</f>
        <v>Twitter for iPhone</v>
      </c>
      <c r="L1685" s="16">
        <v>196</v>
      </c>
      <c r="M1685" s="16">
        <v>290</v>
      </c>
      <c r="N1685" s="16">
        <v>0</v>
      </c>
      <c r="O1685" s="17"/>
      <c r="P1685" s="18">
        <v>43228.601354166662</v>
      </c>
      <c r="Q1685" s="7" t="s">
        <v>2350</v>
      </c>
      <c r="R1685" s="7" t="s">
        <v>12254</v>
      </c>
      <c r="S1685" s="7"/>
      <c r="T1685" s="8"/>
      <c r="U1685" s="19" t="str">
        <f>HYPERLINK("https://pbs.twimg.com/profile_images/1152396291210731522/ezJEvcba.jpg","View")</f>
        <v>View</v>
      </c>
      <c r="V1685" s="8"/>
      <c r="W1685" s="8"/>
      <c r="X1685" s="8"/>
      <c r="Y1685" s="8"/>
      <c r="Z1685" s="8"/>
    </row>
    <row r="1686" spans="1:26" ht="12.75">
      <c r="A1686" s="11">
        <v>43747.278124999997</v>
      </c>
      <c r="B1686" s="12" t="str">
        <f>HYPERLINK("https://twitter.com/Muhamma71777977","@Muhamma71777977")</f>
        <v>@Muhamma71777977</v>
      </c>
      <c r="C1686" s="7" t="s">
        <v>12255</v>
      </c>
      <c r="D1686" s="7" t="s">
        <v>12256</v>
      </c>
      <c r="E1686" s="12" t="str">
        <f>HYPERLINK("https://twitter.com/Muhamma71777977/status/1181927420762447872","1181927420762447872")</f>
        <v>1181927420762447872</v>
      </c>
      <c r="F1686" s="8"/>
      <c r="G1686" s="14" t="s">
        <v>12257</v>
      </c>
      <c r="H1686" s="8"/>
      <c r="I1686" s="15">
        <v>0</v>
      </c>
      <c r="J1686" s="15">
        <v>0</v>
      </c>
      <c r="K1686" s="12" t="str">
        <f>HYPERLINK("http://twitter.com/download/android","Twitter for Android")</f>
        <v>Twitter for Android</v>
      </c>
      <c r="L1686" s="16">
        <v>2</v>
      </c>
      <c r="M1686" s="16">
        <v>109</v>
      </c>
      <c r="N1686" s="16">
        <v>0</v>
      </c>
      <c r="O1686" s="17"/>
      <c r="P1686" s="18">
        <v>43735.526412037041</v>
      </c>
      <c r="Q1686" s="7"/>
      <c r="R1686" s="7" t="s">
        <v>12258</v>
      </c>
      <c r="S1686" s="15"/>
      <c r="T1686" s="8"/>
      <c r="U1686" s="19" t="str">
        <f>HYPERLINK("https://pbs.twimg.com/profile_images/1180557790517039104/UzhQ1qxh.jpg","View")</f>
        <v>View</v>
      </c>
      <c r="V1686" s="8"/>
      <c r="W1686" s="8"/>
      <c r="X1686" s="8"/>
      <c r="Y1686" s="8"/>
      <c r="Z1686" s="8"/>
    </row>
    <row r="1687" spans="1:26" ht="12.75">
      <c r="A1687" s="11">
        <v>43747.278124999997</v>
      </c>
      <c r="B1687" s="12" t="str">
        <f>HYPERLINK("https://twitter.com/Szralkn","@Szralkn")</f>
        <v>@Szralkn</v>
      </c>
      <c r="C1687" s="7" t="s">
        <v>12259</v>
      </c>
      <c r="D1687" s="7" t="s">
        <v>1744</v>
      </c>
      <c r="E1687" s="12" t="str">
        <f>HYPERLINK("https://twitter.com/Szralkn/status/1181927417386033152","1181927417386033152")</f>
        <v>1181927417386033152</v>
      </c>
      <c r="F1687" s="8"/>
      <c r="G1687" s="14" t="s">
        <v>12260</v>
      </c>
      <c r="H1687" s="8"/>
      <c r="I1687" s="15">
        <v>0</v>
      </c>
      <c r="J1687" s="15">
        <v>3</v>
      </c>
      <c r="K1687" s="12" t="str">
        <f>HYPERLINK("http://twitter.com/download/iphone","Twitter for iPhone")</f>
        <v>Twitter for iPhone</v>
      </c>
      <c r="L1687" s="16">
        <v>242</v>
      </c>
      <c r="M1687" s="16">
        <v>139</v>
      </c>
      <c r="N1687" s="16">
        <v>4</v>
      </c>
      <c r="O1687" s="17"/>
      <c r="P1687" s="18">
        <v>41945.370138888888</v>
      </c>
      <c r="Q1687" s="7"/>
      <c r="R1687" s="7" t="s">
        <v>12261</v>
      </c>
      <c r="S1687" s="7"/>
      <c r="T1687" s="8"/>
      <c r="U1687" s="19" t="str">
        <f>HYPERLINK("https://pbs.twimg.com/profile_images/1168199142495195136/Ak_yueiO.jpg","View")</f>
        <v>View</v>
      </c>
      <c r="V1687" s="8"/>
      <c r="W1687" s="8"/>
      <c r="X1687" s="8"/>
      <c r="Y1687" s="8"/>
      <c r="Z1687" s="8"/>
    </row>
    <row r="1688" spans="1:26" ht="12.75">
      <c r="A1688" s="11">
        <v>43747.278113425928</v>
      </c>
      <c r="B1688" s="12" t="str">
        <f>HYPERLINK("https://twitter.com/fatmanur3435","@fatmanur3435")</f>
        <v>@fatmanur3435</v>
      </c>
      <c r="C1688" s="7" t="s">
        <v>12262</v>
      </c>
      <c r="D1688" s="7" t="s">
        <v>12263</v>
      </c>
      <c r="E1688" s="12" t="str">
        <f>HYPERLINK("https://twitter.com/fatmanur3435/status/1181927413707628544","1181927413707628544")</f>
        <v>1181927413707628544</v>
      </c>
      <c r="F1688" s="8"/>
      <c r="G1688" s="14" t="s">
        <v>12264</v>
      </c>
      <c r="H1688" s="8"/>
      <c r="I1688" s="15">
        <v>0</v>
      </c>
      <c r="J1688" s="15">
        <v>3</v>
      </c>
      <c r="K1688" s="12" t="str">
        <f>HYPERLINK("http://twitter.com/download/android","Twitter for Android")</f>
        <v>Twitter for Android</v>
      </c>
      <c r="L1688" s="16">
        <v>581</v>
      </c>
      <c r="M1688" s="16">
        <v>428</v>
      </c>
      <c r="N1688" s="16">
        <v>0</v>
      </c>
      <c r="O1688" s="17"/>
      <c r="P1688" s="18">
        <v>43087.121400462958</v>
      </c>
      <c r="Q1688" s="7" t="s">
        <v>313</v>
      </c>
      <c r="R1688" s="7" t="s">
        <v>12265</v>
      </c>
      <c r="S1688" s="7"/>
      <c r="T1688" s="8"/>
      <c r="U1688" s="19" t="str">
        <f>HYPERLINK("https://pbs.twimg.com/profile_images/1175804923902119937/PF2gOOnz.jpg","View")</f>
        <v>View</v>
      </c>
      <c r="V1688" s="8"/>
      <c r="W1688" s="8"/>
      <c r="X1688" s="8"/>
      <c r="Y1688" s="8"/>
      <c r="Z1688" s="8"/>
    </row>
    <row r="1689" spans="1:26" ht="12.75">
      <c r="A1689" s="11">
        <v>43747.278101851851</v>
      </c>
      <c r="B1689" s="12" t="str">
        <f>HYPERLINK("https://twitter.com/uzunhaso","@uzunhaso")</f>
        <v>@uzunhaso</v>
      </c>
      <c r="C1689" s="7" t="s">
        <v>12266</v>
      </c>
      <c r="D1689" s="7" t="s">
        <v>12267</v>
      </c>
      <c r="E1689" s="12" t="str">
        <f>HYPERLINK("https://twitter.com/uzunhaso/status/1181927409056137219","1181927409056137219")</f>
        <v>1181927409056137219</v>
      </c>
      <c r="F1689" s="8"/>
      <c r="G1689" s="14" t="s">
        <v>12268</v>
      </c>
      <c r="H1689" s="8"/>
      <c r="I1689" s="15">
        <v>0</v>
      </c>
      <c r="J1689" s="15">
        <v>2</v>
      </c>
      <c r="K1689" s="12" t="str">
        <f>HYPERLINK("http://twitter.com/download/android","Twitter for Android")</f>
        <v>Twitter for Android</v>
      </c>
      <c r="L1689" s="16">
        <v>13084</v>
      </c>
      <c r="M1689" s="16">
        <v>12414</v>
      </c>
      <c r="N1689" s="16">
        <v>12</v>
      </c>
      <c r="O1689" s="17"/>
      <c r="P1689" s="18">
        <v>41588.210393518515</v>
      </c>
      <c r="Q1689" s="7"/>
      <c r="R1689" s="7" t="s">
        <v>12272</v>
      </c>
      <c r="S1689" s="7"/>
      <c r="T1689" s="8"/>
      <c r="U1689" s="19" t="str">
        <f>HYPERLINK("https://pbs.twimg.com/profile_images/1149049743332519936/sy5d2dBn.jpg","View")</f>
        <v>View</v>
      </c>
      <c r="V1689" s="8"/>
      <c r="W1689" s="8"/>
      <c r="X1689" s="8"/>
      <c r="Y1689" s="8"/>
      <c r="Z1689" s="8"/>
    </row>
    <row r="1690" spans="1:26" ht="12.75">
      <c r="A1690" s="11">
        <v>43747.278090277774</v>
      </c>
      <c r="B1690" s="12" t="str">
        <f>HYPERLINK("https://twitter.com/FerhatU83837936","@FerhatU83837936")</f>
        <v>@FerhatU83837936</v>
      </c>
      <c r="C1690" s="7" t="s">
        <v>12273</v>
      </c>
      <c r="D1690" s="7" t="s">
        <v>12274</v>
      </c>
      <c r="E1690" s="12" t="str">
        <f>HYPERLINK("https://twitter.com/FerhatU83837936/status/1181927407550439424","1181927407550439424")</f>
        <v>1181927407550439424</v>
      </c>
      <c r="F1690" s="8"/>
      <c r="G1690" s="14" t="s">
        <v>12276</v>
      </c>
      <c r="H1690" s="8"/>
      <c r="I1690" s="15">
        <v>0</v>
      </c>
      <c r="J1690" s="15">
        <v>1</v>
      </c>
      <c r="K1690" s="12" t="str">
        <f>HYPERLINK("http://twitter.com/download/android","Twitter for Android")</f>
        <v>Twitter for Android</v>
      </c>
      <c r="L1690" s="16">
        <v>42</v>
      </c>
      <c r="M1690" s="16">
        <v>102</v>
      </c>
      <c r="N1690" s="16">
        <v>0</v>
      </c>
      <c r="O1690" s="17"/>
      <c r="P1690" s="18">
        <v>42234.023090277777</v>
      </c>
      <c r="Q1690" s="7"/>
      <c r="R1690" s="7"/>
      <c r="S1690" s="7"/>
      <c r="T1690" s="8"/>
      <c r="U1690" s="19" t="str">
        <f>HYPERLINK("https://pbs.twimg.com/profile_images/765492857503383552/gf5xKwn9.jpg","View")</f>
        <v>View</v>
      </c>
      <c r="V1690" s="8"/>
      <c r="W1690" s="8"/>
      <c r="X1690" s="8"/>
      <c r="Y1690" s="8"/>
      <c r="Z1690" s="8"/>
    </row>
    <row r="1691" spans="1:26" ht="12.75">
      <c r="A1691" s="11">
        <v>43747.278090277774</v>
      </c>
      <c r="B1691" s="12" t="str">
        <f>HYPERLINK("https://twitter.com/MrBilen","@MrBilen")</f>
        <v>@MrBilen</v>
      </c>
      <c r="C1691" s="7" t="s">
        <v>12279</v>
      </c>
      <c r="D1691" s="7" t="s">
        <v>12280</v>
      </c>
      <c r="E1691" s="12" t="str">
        <f>HYPERLINK("https://twitter.com/MrBilen/status/1181927405948211200","1181927405948211200")</f>
        <v>1181927405948211200</v>
      </c>
      <c r="F1691" s="8"/>
      <c r="G1691" s="15"/>
      <c r="H1691" s="8"/>
      <c r="I1691" s="15">
        <v>0</v>
      </c>
      <c r="J1691" s="15">
        <v>0</v>
      </c>
      <c r="K1691" s="12" t="str">
        <f>HYPERLINK("http://twitter.com/download/iphone","Twitter for iPhone")</f>
        <v>Twitter for iPhone</v>
      </c>
      <c r="L1691" s="16">
        <v>158</v>
      </c>
      <c r="M1691" s="16">
        <v>59</v>
      </c>
      <c r="N1691" s="16">
        <v>2</v>
      </c>
      <c r="O1691" s="17"/>
      <c r="P1691" s="18">
        <v>40703.038472222222</v>
      </c>
      <c r="Q1691" s="7" t="s">
        <v>200</v>
      </c>
      <c r="R1691" s="7" t="s">
        <v>12284</v>
      </c>
      <c r="S1691" s="15"/>
      <c r="T1691" s="8"/>
      <c r="U1691" s="19" t="str">
        <f>HYPERLINK("https://pbs.twimg.com/profile_images/1116727684552327168/qQcF6H2E.jpg","View")</f>
        <v>View</v>
      </c>
      <c r="V1691" s="8"/>
      <c r="W1691" s="8"/>
      <c r="X1691" s="8"/>
      <c r="Y1691" s="8"/>
      <c r="Z1691" s="8"/>
    </row>
    <row r="1692" spans="1:26" ht="12.75">
      <c r="A1692" s="11">
        <v>43747.278043981481</v>
      </c>
      <c r="B1692" s="12" t="str">
        <f>HYPERLINK("https://twitter.com/cypheus","@cypheus")</f>
        <v>@cypheus</v>
      </c>
      <c r="C1692" s="7" t="s">
        <v>12287</v>
      </c>
      <c r="D1692" s="7" t="s">
        <v>12288</v>
      </c>
      <c r="E1692" s="12" t="str">
        <f>HYPERLINK("https://twitter.com/cypheus/status/1181927391242985473","1181927391242985473")</f>
        <v>1181927391242985473</v>
      </c>
      <c r="F1692" s="8"/>
      <c r="G1692" s="15"/>
      <c r="H1692" s="8"/>
      <c r="I1692" s="15">
        <v>0</v>
      </c>
      <c r="J1692" s="15">
        <v>2</v>
      </c>
      <c r="K1692" s="12" t="str">
        <f>HYPERLINK("http://twitter.com/download/iphone","Twitter for iPhone")</f>
        <v>Twitter for iPhone</v>
      </c>
      <c r="L1692" s="16">
        <v>33</v>
      </c>
      <c r="M1692" s="16">
        <v>65</v>
      </c>
      <c r="N1692" s="16">
        <v>0</v>
      </c>
      <c r="O1692" s="17"/>
      <c r="P1692" s="18">
        <v>40223.312488425923</v>
      </c>
      <c r="Q1692" s="7"/>
      <c r="R1692" s="7"/>
      <c r="S1692" s="7"/>
      <c r="T1692" s="8"/>
      <c r="U1692" s="19" t="str">
        <f>HYPERLINK("https://pbs.twimg.com/profile_images/1438260480/207436_10150174236179849_522149848_7076318_5059281_n.jpg","View")</f>
        <v>View</v>
      </c>
      <c r="V1692" s="8"/>
      <c r="W1692" s="8"/>
      <c r="X1692" s="8"/>
      <c r="Y1692" s="8"/>
      <c r="Z1692" s="8"/>
    </row>
    <row r="1693" spans="1:26" ht="12.75">
      <c r="A1693" s="11">
        <v>43747.278043981481</v>
      </c>
      <c r="B1693" s="12" t="str">
        <f>HYPERLINK("https://twitter.com/wornlives","@wornlives")</f>
        <v>@wornlives</v>
      </c>
      <c r="C1693" s="7" t="s">
        <v>12290</v>
      </c>
      <c r="D1693" s="7" t="s">
        <v>12291</v>
      </c>
      <c r="E1693" s="12" t="str">
        <f>HYPERLINK("https://twitter.com/wornlives/status/1181927390722875392","1181927390722875392")</f>
        <v>1181927390722875392</v>
      </c>
      <c r="F1693" s="8"/>
      <c r="G1693" s="15"/>
      <c r="H1693" s="8"/>
      <c r="I1693" s="15">
        <v>0</v>
      </c>
      <c r="J1693" s="15">
        <v>6</v>
      </c>
      <c r="K1693" s="12" t="str">
        <f>HYPERLINK("http://twitter.com/download/android","Twitter for Android")</f>
        <v>Twitter for Android</v>
      </c>
      <c r="L1693" s="16">
        <v>1302</v>
      </c>
      <c r="M1693" s="16">
        <v>475</v>
      </c>
      <c r="N1693" s="16">
        <v>17</v>
      </c>
      <c r="O1693" s="17"/>
      <c r="P1693" s="18">
        <v>42909.47047453704</v>
      </c>
      <c r="Q1693" s="7"/>
      <c r="R1693" s="7"/>
      <c r="S1693" s="14" t="s">
        <v>12292</v>
      </c>
      <c r="T1693" s="8"/>
      <c r="U1693" s="19" t="str">
        <f>HYPERLINK("https://pbs.twimg.com/profile_images/1179491858403205120/z2ML5sHA.jpg","View")</f>
        <v>View</v>
      </c>
      <c r="V1693" s="8"/>
      <c r="W1693" s="8"/>
      <c r="X1693" s="8"/>
      <c r="Y1693" s="8"/>
      <c r="Z1693" s="8"/>
    </row>
    <row r="1694" spans="1:26" ht="12.75">
      <c r="A1694" s="11">
        <v>43747.278043981481</v>
      </c>
      <c r="B1694" s="12" t="str">
        <f>HYPERLINK("https://twitter.com/NderBayraktar","@NderBayraktar")</f>
        <v>@NderBayraktar</v>
      </c>
      <c r="C1694" s="13" t="s">
        <v>12296</v>
      </c>
      <c r="D1694" s="7" t="s">
        <v>12297</v>
      </c>
      <c r="E1694" s="12" t="str">
        <f>HYPERLINK("https://twitter.com/NderBayraktar/status/1181927387837222915","1181927387837222915")</f>
        <v>1181927387837222915</v>
      </c>
      <c r="F1694" s="8"/>
      <c r="G1694" s="15"/>
      <c r="H1694" s="8"/>
      <c r="I1694" s="15">
        <v>0</v>
      </c>
      <c r="J1694" s="15">
        <v>1</v>
      </c>
      <c r="K1694" s="12" t="str">
        <f>HYPERLINK("http://twitter.com/download/iphone","Twitter for iPhone")</f>
        <v>Twitter for iPhone</v>
      </c>
      <c r="L1694" s="16">
        <v>181</v>
      </c>
      <c r="M1694" s="16">
        <v>98</v>
      </c>
      <c r="N1694" s="16">
        <v>0</v>
      </c>
      <c r="O1694" s="17"/>
      <c r="P1694" s="18">
        <v>41733.487951388888</v>
      </c>
      <c r="Q1694" s="7" t="s">
        <v>12298</v>
      </c>
      <c r="R1694" s="7" t="s">
        <v>12299</v>
      </c>
      <c r="S1694" s="7"/>
      <c r="T1694" s="8"/>
      <c r="U1694" s="19" t="str">
        <f>HYPERLINK("https://pbs.twimg.com/profile_images/1169639108181934082/YzR8r_8K.jpg","View")</f>
        <v>View</v>
      </c>
      <c r="V1694" s="8"/>
      <c r="W1694" s="8"/>
      <c r="X1694" s="8"/>
      <c r="Y1694" s="8"/>
      <c r="Z1694" s="8"/>
    </row>
    <row r="1695" spans="1:26" ht="12.75">
      <c r="A1695" s="11">
        <v>43747.278032407412</v>
      </c>
      <c r="B1695" s="12" t="str">
        <f>HYPERLINK("https://twitter.com/AvIsmailDamat","@AvIsmailDamat")</f>
        <v>@AvIsmailDamat</v>
      </c>
      <c r="C1695" s="7" t="s">
        <v>12300</v>
      </c>
      <c r="D1695" s="7" t="s">
        <v>12301</v>
      </c>
      <c r="E1695" s="12" t="str">
        <f>HYPERLINK("https://twitter.com/AvIsmailDamat/status/1181927386801217538","1181927386801217538")</f>
        <v>1181927386801217538</v>
      </c>
      <c r="F1695" s="8"/>
      <c r="G1695" s="15"/>
      <c r="H1695" s="8"/>
      <c r="I1695" s="15">
        <v>2</v>
      </c>
      <c r="J1695" s="15">
        <v>3</v>
      </c>
      <c r="K1695" s="12" t="str">
        <f>HYPERLINK("http://twitter.com/download/iphone","Twitter for iPhone")</f>
        <v>Twitter for iPhone</v>
      </c>
      <c r="L1695" s="16">
        <v>3188</v>
      </c>
      <c r="M1695" s="16">
        <v>1009</v>
      </c>
      <c r="N1695" s="16">
        <v>6</v>
      </c>
      <c r="O1695" s="17"/>
      <c r="P1695" s="18">
        <v>40846.267291666663</v>
      </c>
      <c r="Q1695" s="7" t="s">
        <v>313</v>
      </c>
      <c r="R1695" s="7" t="s">
        <v>12302</v>
      </c>
      <c r="S1695" s="14" t="s">
        <v>12303</v>
      </c>
      <c r="T1695" s="8"/>
      <c r="U1695" s="19" t="str">
        <f>HYPERLINK("https://pbs.twimg.com/profile_images/1101521715807567872/50ylYLjK.jpg","View")</f>
        <v>View</v>
      </c>
      <c r="V1695" s="8"/>
      <c r="W1695" s="8"/>
      <c r="X1695" s="8"/>
      <c r="Y1695" s="8"/>
      <c r="Z1695" s="8"/>
    </row>
    <row r="1696" spans="1:26" ht="12.75">
      <c r="A1696" s="11">
        <v>43747.278032407412</v>
      </c>
      <c r="B1696" s="12" t="str">
        <f>HYPERLINK("https://twitter.com/GencBeyinResmi","@GencBeyinResmi")</f>
        <v>@GencBeyinResmi</v>
      </c>
      <c r="C1696" s="7" t="s">
        <v>12307</v>
      </c>
      <c r="D1696" s="7" t="s">
        <v>12308</v>
      </c>
      <c r="E1696" s="12" t="str">
        <f>HYPERLINK("https://twitter.com/GencBeyinResmi/status/1181927385370894338","1181927385370894338")</f>
        <v>1181927385370894338</v>
      </c>
      <c r="F1696" s="14" t="s">
        <v>12309</v>
      </c>
      <c r="G1696" s="14" t="s">
        <v>12310</v>
      </c>
      <c r="H1696" s="8"/>
      <c r="I1696" s="15">
        <v>0</v>
      </c>
      <c r="J1696" s="15">
        <v>2</v>
      </c>
      <c r="K1696" s="12" t="str">
        <f>HYPERLINK("http://twitter.com","Twitter Web Client")</f>
        <v>Twitter Web Client</v>
      </c>
      <c r="L1696" s="16">
        <v>1098</v>
      </c>
      <c r="M1696" s="16">
        <v>4</v>
      </c>
      <c r="N1696" s="16">
        <v>4</v>
      </c>
      <c r="O1696" s="17"/>
      <c r="P1696" s="18">
        <v>42689.181493055556</v>
      </c>
      <c r="Q1696" s="7" t="s">
        <v>313</v>
      </c>
      <c r="R1696" s="7" t="s">
        <v>12313</v>
      </c>
      <c r="S1696" s="14" t="s">
        <v>12314</v>
      </c>
      <c r="T1696" s="8"/>
      <c r="U1696" s="19" t="str">
        <f>HYPERLINK("https://pbs.twimg.com/profile_images/1023887221210968064/Jwv7OylK.jpg","View")</f>
        <v>View</v>
      </c>
      <c r="V1696" s="8"/>
      <c r="W1696" s="8"/>
      <c r="X1696" s="8"/>
      <c r="Y1696" s="8"/>
      <c r="Z1696" s="8"/>
    </row>
    <row r="1697" spans="1:26" ht="12.75">
      <c r="A1697" s="11">
        <v>43747.277939814812</v>
      </c>
      <c r="B1697" s="12" t="str">
        <f>HYPERLINK("https://twitter.com/irfanakin_","@irfanakin_")</f>
        <v>@irfanakin_</v>
      </c>
      <c r="C1697" s="7" t="s">
        <v>12323</v>
      </c>
      <c r="D1697" s="7" t="s">
        <v>12324</v>
      </c>
      <c r="E1697" s="12" t="str">
        <f>HYPERLINK("https://twitter.com/irfanakin_/status/1181927353888448513","1181927353888448513")</f>
        <v>1181927353888448513</v>
      </c>
      <c r="F1697" s="8"/>
      <c r="G1697" s="15"/>
      <c r="H1697" s="8"/>
      <c r="I1697" s="15">
        <v>0</v>
      </c>
      <c r="J1697" s="15">
        <v>0</v>
      </c>
      <c r="K1697" s="12" t="str">
        <f>HYPERLINK("http://twitter.com/download/android","Twitter for Android")</f>
        <v>Twitter for Android</v>
      </c>
      <c r="L1697" s="16">
        <v>90</v>
      </c>
      <c r="M1697" s="16">
        <v>141</v>
      </c>
      <c r="N1697" s="16">
        <v>0</v>
      </c>
      <c r="O1697" s="17"/>
      <c r="P1697" s="18">
        <v>40155.573425925926</v>
      </c>
      <c r="Q1697" s="7" t="s">
        <v>12326</v>
      </c>
      <c r="R1697" s="7" t="s">
        <v>12327</v>
      </c>
      <c r="S1697" s="14" t="s">
        <v>12328</v>
      </c>
      <c r="T1697" s="8"/>
      <c r="U1697" s="19" t="str">
        <f>HYPERLINK("https://pbs.twimg.com/profile_images/749249799896100864/xB4SosXC.jpg","View")</f>
        <v>View</v>
      </c>
      <c r="V1697" s="8"/>
      <c r="W1697" s="8"/>
      <c r="X1697" s="8"/>
      <c r="Y1697" s="8"/>
      <c r="Z1697" s="8"/>
    </row>
    <row r="1698" spans="1:26" ht="12.75">
      <c r="A1698" s="11">
        <v>43747.277939814812</v>
      </c>
      <c r="B1698" s="12" t="str">
        <f>HYPERLINK("https://twitter.com/tcrblart","@tcrblart")</f>
        <v>@tcrblart</v>
      </c>
      <c r="C1698" s="7" t="s">
        <v>12329</v>
      </c>
      <c r="D1698" s="7" t="s">
        <v>12330</v>
      </c>
      <c r="E1698" s="12" t="str">
        <f>HYPERLINK("https://twitter.com/tcrblart/status/1181927350889529344","1181927350889529344")</f>
        <v>1181927350889529344</v>
      </c>
      <c r="F1698" s="8"/>
      <c r="G1698" s="7"/>
      <c r="H1698" s="8"/>
      <c r="I1698" s="15">
        <v>0</v>
      </c>
      <c r="J1698" s="15">
        <v>0</v>
      </c>
      <c r="K1698" s="12" t="str">
        <f>HYPERLINK("https://mobile.twitter.com","Twitter Web App")</f>
        <v>Twitter Web App</v>
      </c>
      <c r="L1698" s="16">
        <v>4</v>
      </c>
      <c r="M1698" s="16">
        <v>263</v>
      </c>
      <c r="N1698" s="16">
        <v>0</v>
      </c>
      <c r="O1698" s="17"/>
      <c r="P1698" s="18">
        <v>43679.382604166662</v>
      </c>
      <c r="Q1698" s="7"/>
      <c r="R1698" s="7" t="s">
        <v>12331</v>
      </c>
      <c r="S1698" s="15"/>
      <c r="T1698" s="8"/>
      <c r="U1698" s="19" t="str">
        <f>HYPERLINK("https://pbs.twimg.com/profile_images/1158670458948128768/lnFw9wTT.jpg","View")</f>
        <v>View</v>
      </c>
      <c r="V1698" s="8"/>
      <c r="W1698" s="8"/>
      <c r="X1698" s="8"/>
      <c r="Y1698" s="8"/>
      <c r="Z1698" s="8"/>
    </row>
    <row r="1699" spans="1:26" ht="12.75">
      <c r="A1699" s="11">
        <v>43747.277928240743</v>
      </c>
      <c r="B1699" s="12" t="str">
        <f>HYPERLINK("https://twitter.com/VeysellAlii","@VeysellAlii")</f>
        <v>@VeysellAlii</v>
      </c>
      <c r="C1699" s="7" t="s">
        <v>12332</v>
      </c>
      <c r="D1699" s="7" t="s">
        <v>12333</v>
      </c>
      <c r="E1699" s="12" t="str">
        <f>HYPERLINK("https://twitter.com/VeysellAlii/status/1181927349631234053","1181927349631234053")</f>
        <v>1181927349631234053</v>
      </c>
      <c r="F1699" s="8"/>
      <c r="G1699" s="14" t="s">
        <v>12334</v>
      </c>
      <c r="H1699" s="8"/>
      <c r="I1699" s="15">
        <v>0</v>
      </c>
      <c r="J1699" s="15">
        <v>4</v>
      </c>
      <c r="K1699" s="12" t="str">
        <f>HYPERLINK("http://twitter.com/download/android","Twitter for Android")</f>
        <v>Twitter for Android</v>
      </c>
      <c r="L1699" s="16">
        <v>382</v>
      </c>
      <c r="M1699" s="16">
        <v>165</v>
      </c>
      <c r="N1699" s="16">
        <v>1</v>
      </c>
      <c r="O1699" s="17"/>
      <c r="P1699" s="18">
        <v>41411.656296296293</v>
      </c>
      <c r="Q1699" s="7" t="s">
        <v>7733</v>
      </c>
      <c r="R1699" s="7" t="s">
        <v>12335</v>
      </c>
      <c r="S1699" s="14" t="s">
        <v>12336</v>
      </c>
      <c r="T1699" s="8"/>
      <c r="U1699" s="19" t="str">
        <f>HYPERLINK("https://pbs.twimg.com/profile_images/982571911061409792/HFjGW_5l.jpg","View")</f>
        <v>View</v>
      </c>
      <c r="V1699" s="8"/>
      <c r="W1699" s="8"/>
      <c r="X1699" s="8"/>
      <c r="Y1699" s="8"/>
      <c r="Z1699" s="8"/>
    </row>
    <row r="1700" spans="1:26" ht="12.75">
      <c r="A1700" s="11">
        <v>43747.277928240743</v>
      </c>
      <c r="B1700" s="12" t="str">
        <f>HYPERLINK("https://twitter.com/Egeasik59","@Egeasik59")</f>
        <v>@Egeasik59</v>
      </c>
      <c r="C1700" s="7" t="s">
        <v>12337</v>
      </c>
      <c r="D1700" s="7" t="s">
        <v>12338</v>
      </c>
      <c r="E1700" s="12" t="str">
        <f>HYPERLINK("https://twitter.com/Egeasik59/status/1181927346762387456","1181927346762387456")</f>
        <v>1181927346762387456</v>
      </c>
      <c r="F1700" s="15"/>
      <c r="G1700" s="14" t="s">
        <v>12339</v>
      </c>
      <c r="H1700" s="8"/>
      <c r="I1700" s="15">
        <v>0</v>
      </c>
      <c r="J1700" s="15">
        <v>1</v>
      </c>
      <c r="K1700" s="12" t="str">
        <f>HYPERLINK("http://twitter.com/download/iphone","Twitter for iPhone")</f>
        <v>Twitter for iPhone</v>
      </c>
      <c r="L1700" s="16">
        <v>305</v>
      </c>
      <c r="M1700" s="16">
        <v>252</v>
      </c>
      <c r="N1700" s="16">
        <v>0</v>
      </c>
      <c r="O1700" s="17"/>
      <c r="P1700" s="18">
        <v>40795.115497685183</v>
      </c>
      <c r="Q1700" s="7" t="s">
        <v>12340</v>
      </c>
      <c r="R1700" s="7" t="s">
        <v>12341</v>
      </c>
      <c r="S1700" s="7"/>
      <c r="T1700" s="8"/>
      <c r="U1700" s="19" t="str">
        <f>HYPERLINK("https://pbs.twimg.com/profile_images/1160053785865142272/PDBtcFKG.jpg","View")</f>
        <v>View</v>
      </c>
      <c r="V1700" s="8"/>
      <c r="W1700" s="8"/>
      <c r="X1700" s="8"/>
      <c r="Y1700" s="8"/>
      <c r="Z1700" s="8"/>
    </row>
    <row r="1701" spans="1:26" ht="12.75">
      <c r="A1701" s="11">
        <v>43747.277928240743</v>
      </c>
      <c r="B1701" s="12" t="str">
        <f>HYPERLINK("https://twitter.com/Make_Me_Aware","@Make_Me_Aware")</f>
        <v>@Make_Me_Aware</v>
      </c>
      <c r="C1701" s="13" t="s">
        <v>12342</v>
      </c>
      <c r="D1701" s="7" t="s">
        <v>12343</v>
      </c>
      <c r="E1701" s="12" t="str">
        <f>HYPERLINK("https://twitter.com/Make_Me_Aware/status/1181927346372255747","1181927346372255747")</f>
        <v>1181927346372255747</v>
      </c>
      <c r="F1701" s="14" t="s">
        <v>12344</v>
      </c>
      <c r="G1701" s="7"/>
      <c r="H1701" s="8"/>
      <c r="I1701" s="15">
        <v>0</v>
      </c>
      <c r="J1701" s="15">
        <v>0</v>
      </c>
      <c r="K1701" s="12" t="str">
        <f>HYPERLINK("https://mobile.twitter.com","Twitter Web App")</f>
        <v>Twitter Web App</v>
      </c>
      <c r="L1701" s="16">
        <v>553</v>
      </c>
      <c r="M1701" s="16">
        <v>1048</v>
      </c>
      <c r="N1701" s="16">
        <v>10</v>
      </c>
      <c r="O1701" s="17"/>
      <c r="P1701" s="18">
        <v>42391.318611111114</v>
      </c>
      <c r="Q1701" s="7" t="s">
        <v>2858</v>
      </c>
      <c r="R1701" s="7" t="s">
        <v>12345</v>
      </c>
      <c r="S1701" s="14" t="s">
        <v>12346</v>
      </c>
      <c r="T1701" s="8"/>
      <c r="U1701" s="19" t="str">
        <f>HYPERLINK("https://pbs.twimg.com/profile_images/706853611574333441/XBT1MnNh.jpg","View")</f>
        <v>View</v>
      </c>
      <c r="V1701" s="8"/>
      <c r="W1701" s="8"/>
      <c r="X1701" s="8"/>
      <c r="Y1701" s="8"/>
      <c r="Z1701" s="8"/>
    </row>
    <row r="1702" spans="1:26" ht="12.75">
      <c r="A1702" s="11">
        <v>43747.277905092589</v>
      </c>
      <c r="B1702" s="12" t="str">
        <f>HYPERLINK("https://twitter.com/vakanuvis17","@vakanuvis17")</f>
        <v>@vakanuvis17</v>
      </c>
      <c r="C1702" s="7" t="s">
        <v>12347</v>
      </c>
      <c r="D1702" s="7" t="s">
        <v>12348</v>
      </c>
      <c r="E1702" s="12" t="str">
        <f>HYPERLINK("https://twitter.com/vakanuvis17/status/1181927339925671937","1181927339925671937")</f>
        <v>1181927339925671937</v>
      </c>
      <c r="F1702" s="8"/>
      <c r="G1702" s="7"/>
      <c r="H1702" s="8"/>
      <c r="I1702" s="15">
        <v>0</v>
      </c>
      <c r="J1702" s="15">
        <v>0</v>
      </c>
      <c r="K1702" s="12" t="str">
        <f>HYPERLINK("http://twitter.com/download/android","Twitter for Android")</f>
        <v>Twitter for Android</v>
      </c>
      <c r="L1702" s="16">
        <v>886</v>
      </c>
      <c r="M1702" s="16">
        <v>649</v>
      </c>
      <c r="N1702" s="16">
        <v>4</v>
      </c>
      <c r="O1702" s="17"/>
      <c r="P1702" s="18">
        <v>41657.045578703706</v>
      </c>
      <c r="Q1702" s="7" t="s">
        <v>12349</v>
      </c>
      <c r="R1702" s="7" t="s">
        <v>12350</v>
      </c>
      <c r="S1702" s="7"/>
      <c r="T1702" s="8"/>
      <c r="U1702" s="19" t="str">
        <f>HYPERLINK("https://pbs.twimg.com/profile_images/1178626667721498624/G9kQ3jBU.jpg","View")</f>
        <v>View</v>
      </c>
      <c r="V1702" s="8"/>
      <c r="W1702" s="8"/>
      <c r="X1702" s="8"/>
      <c r="Y1702" s="8"/>
      <c r="Z1702" s="8"/>
    </row>
    <row r="1703" spans="1:26" ht="12.75">
      <c r="A1703" s="11">
        <v>43747.277870370366</v>
      </c>
      <c r="B1703" s="12" t="str">
        <f>HYPERLINK("https://twitter.com/maab1907","@maab1907")</f>
        <v>@maab1907</v>
      </c>
      <c r="C1703" s="7" t="s">
        <v>12351</v>
      </c>
      <c r="D1703" s="7" t="s">
        <v>12352</v>
      </c>
      <c r="E1703" s="12" t="str">
        <f>HYPERLINK("https://twitter.com/maab1907/status/1181927327556612097","1181927327556612097")</f>
        <v>1181927327556612097</v>
      </c>
      <c r="F1703" s="8"/>
      <c r="G1703" s="14" t="s">
        <v>12353</v>
      </c>
      <c r="H1703" s="8"/>
      <c r="I1703" s="15">
        <v>0</v>
      </c>
      <c r="J1703" s="15">
        <v>2</v>
      </c>
      <c r="K1703" s="12" t="str">
        <f>HYPERLINK("http://twitter.com/download/android","Twitter for Android")</f>
        <v>Twitter for Android</v>
      </c>
      <c r="L1703" s="16">
        <v>755</v>
      </c>
      <c r="M1703" s="16">
        <v>1422</v>
      </c>
      <c r="N1703" s="16">
        <v>0</v>
      </c>
      <c r="O1703" s="17"/>
      <c r="P1703" s="18">
        <v>43382.273865740739</v>
      </c>
      <c r="Q1703" s="7"/>
      <c r="R1703" s="7"/>
      <c r="S1703" s="7"/>
      <c r="T1703" s="8"/>
      <c r="U1703" s="19" t="str">
        <f>HYPERLINK("https://pbs.twimg.com/profile_images/1177569942503378945/a1nl-6Hy.jpg","View")</f>
        <v>View</v>
      </c>
      <c r="V1703" s="8"/>
      <c r="W1703" s="8"/>
      <c r="X1703" s="8"/>
      <c r="Y1703" s="8"/>
      <c r="Z1703" s="8"/>
    </row>
    <row r="1704" spans="1:26" ht="12.75">
      <c r="A1704" s="11">
        <v>43747.277812500004</v>
      </c>
      <c r="B1704" s="12" t="str">
        <f>HYPERLINK("https://twitter.com/OguzOzd96711728","@OguzOzd96711728")</f>
        <v>@OguzOzd96711728</v>
      </c>
      <c r="C1704" s="7" t="s">
        <v>12364</v>
      </c>
      <c r="D1704" s="13" t="s">
        <v>12365</v>
      </c>
      <c r="E1704" s="12" t="str">
        <f>HYPERLINK("https://twitter.com/OguzOzd96711728/status/1181927305934974976","1181927305934974976")</f>
        <v>1181927305934974976</v>
      </c>
      <c r="F1704" s="8"/>
      <c r="G1704" s="15"/>
      <c r="H1704" s="8"/>
      <c r="I1704" s="15">
        <v>0</v>
      </c>
      <c r="J1704" s="15">
        <v>0</v>
      </c>
      <c r="K1704" s="12" t="str">
        <f>HYPERLINK("http://twitter.com/download/android","Twitter for Android")</f>
        <v>Twitter for Android</v>
      </c>
      <c r="L1704" s="16">
        <v>2</v>
      </c>
      <c r="M1704" s="16">
        <v>10</v>
      </c>
      <c r="N1704" s="16">
        <v>0</v>
      </c>
      <c r="O1704" s="17"/>
      <c r="P1704" s="18">
        <v>43704.256307870368</v>
      </c>
      <c r="Q1704" s="7"/>
      <c r="R1704" s="13" t="s">
        <v>12367</v>
      </c>
      <c r="S1704" s="15"/>
      <c r="T1704" s="8"/>
      <c r="U1704" s="19" t="str">
        <f>HYPERLINK("https://pbs.twimg.com/profile_images/1170971219514056705/XeVEJyUt.jpg","View")</f>
        <v>View</v>
      </c>
      <c r="V1704" s="8"/>
      <c r="W1704" s="8"/>
      <c r="X1704" s="8"/>
      <c r="Y1704" s="8"/>
      <c r="Z1704" s="8"/>
    </row>
    <row r="1705" spans="1:26" ht="12.75">
      <c r="A1705" s="11">
        <v>43747.277812500004</v>
      </c>
      <c r="B1705" s="12" t="str">
        <f>HYPERLINK("https://twitter.com/RZcaptan","@RZcaptan")</f>
        <v>@RZcaptan</v>
      </c>
      <c r="C1705" s="7" t="s">
        <v>12368</v>
      </c>
      <c r="D1705" s="7" t="s">
        <v>12369</v>
      </c>
      <c r="E1705" s="12" t="str">
        <f>HYPERLINK("https://twitter.com/RZcaptan/status/1181927305284853760","1181927305284853760")</f>
        <v>1181927305284853760</v>
      </c>
      <c r="F1705" s="8"/>
      <c r="G1705" s="7"/>
      <c r="H1705" s="8"/>
      <c r="I1705" s="15">
        <v>0</v>
      </c>
      <c r="J1705" s="15">
        <v>0</v>
      </c>
      <c r="K1705" s="12" t="str">
        <f>HYPERLINK("http://twitter.com/download/android","Twitter for Android")</f>
        <v>Twitter for Android</v>
      </c>
      <c r="L1705" s="16">
        <v>132</v>
      </c>
      <c r="M1705" s="16">
        <v>221</v>
      </c>
      <c r="N1705" s="16">
        <v>0</v>
      </c>
      <c r="O1705" s="17"/>
      <c r="P1705" s="18">
        <v>43633.385462962964</v>
      </c>
      <c r="Q1705" s="7"/>
      <c r="R1705" s="7" t="s">
        <v>6539</v>
      </c>
      <c r="S1705" s="15"/>
      <c r="T1705" s="8"/>
      <c r="U1705" s="19" t="str">
        <f>HYPERLINK("https://pbs.twimg.com/profile_images/1141425509684928512/Q0lBEutS.jpg","View")</f>
        <v>View</v>
      </c>
      <c r="V1705" s="8"/>
      <c r="W1705" s="8"/>
      <c r="X1705" s="8"/>
      <c r="Y1705" s="8"/>
      <c r="Z1705" s="8"/>
    </row>
    <row r="1706" spans="1:26" ht="12.75">
      <c r="A1706" s="11">
        <v>43747.277789351851</v>
      </c>
      <c r="B1706" s="12" t="str">
        <f>HYPERLINK("https://twitter.com/ogzgrdp","@ogzgrdp")</f>
        <v>@ogzgrdp</v>
      </c>
      <c r="C1706" s="7" t="s">
        <v>12370</v>
      </c>
      <c r="D1706" s="7" t="s">
        <v>12371</v>
      </c>
      <c r="E1706" s="12" t="str">
        <f>HYPERLINK("https://twitter.com/ogzgrdp/status/1181927297550557186","1181927297550557186")</f>
        <v>1181927297550557186</v>
      </c>
      <c r="F1706" s="8"/>
      <c r="G1706" s="14" t="s">
        <v>12374</v>
      </c>
      <c r="H1706" s="8"/>
      <c r="I1706" s="15">
        <v>0</v>
      </c>
      <c r="J1706" s="15">
        <v>1</v>
      </c>
      <c r="K1706" s="12" t="str">
        <f>HYPERLINK("https://mobile.twitter.com","Twitter Web App")</f>
        <v>Twitter Web App</v>
      </c>
      <c r="L1706" s="16">
        <v>599</v>
      </c>
      <c r="M1706" s="16">
        <v>1589</v>
      </c>
      <c r="N1706" s="16">
        <v>6</v>
      </c>
      <c r="O1706" s="17"/>
      <c r="P1706" s="18">
        <v>40177.259560185186</v>
      </c>
      <c r="Q1706" s="7"/>
      <c r="R1706" s="7" t="s">
        <v>12376</v>
      </c>
      <c r="S1706" s="7"/>
      <c r="T1706" s="8"/>
      <c r="U1706" s="19" t="str">
        <f>HYPERLINK("https://pbs.twimg.com/profile_images/952349888515313664/VlcQYzvH.jpg","View")</f>
        <v>View</v>
      </c>
      <c r="V1706" s="8"/>
      <c r="W1706" s="8"/>
      <c r="X1706" s="8"/>
      <c r="Y1706" s="8"/>
      <c r="Z1706" s="8"/>
    </row>
    <row r="1707" spans="1:26" ht="12.75">
      <c r="A1707" s="11">
        <v>43747.277777777781</v>
      </c>
      <c r="B1707" s="12" t="str">
        <f>HYPERLINK("https://twitter.com/dundarsuleyman","@dundarsuleyman")</f>
        <v>@dundarsuleyman</v>
      </c>
      <c r="C1707" s="7" t="s">
        <v>12380</v>
      </c>
      <c r="D1707" s="7" t="s">
        <v>12381</v>
      </c>
      <c r="E1707" s="12" t="str">
        <f>HYPERLINK("https://twitter.com/dundarsuleyman/status/1181927295017263104","1181927295017263104")</f>
        <v>1181927295017263104</v>
      </c>
      <c r="F1707" s="8"/>
      <c r="G1707" s="14" t="s">
        <v>12382</v>
      </c>
      <c r="H1707" s="8"/>
      <c r="I1707" s="15">
        <v>0</v>
      </c>
      <c r="J1707" s="15">
        <v>0</v>
      </c>
      <c r="K1707" s="12" t="str">
        <f>HYPERLINK("https://mobile.twitter.com","Twitter Web App")</f>
        <v>Twitter Web App</v>
      </c>
      <c r="L1707" s="16">
        <v>1017</v>
      </c>
      <c r="M1707" s="16">
        <v>120</v>
      </c>
      <c r="N1707" s="16">
        <v>5</v>
      </c>
      <c r="O1707" s="17"/>
      <c r="P1707" s="18">
        <v>41074.222685185188</v>
      </c>
      <c r="Q1707" s="7" t="s">
        <v>12384</v>
      </c>
      <c r="R1707" s="7" t="s">
        <v>12385</v>
      </c>
      <c r="S1707" s="14" t="s">
        <v>12386</v>
      </c>
      <c r="T1707" s="8"/>
      <c r="U1707" s="19" t="str">
        <f>HYPERLINK("https://pbs.twimg.com/profile_images/1148190571435044864/VIRA6D-k.png","View")</f>
        <v>View</v>
      </c>
      <c r="V1707" s="8"/>
      <c r="W1707" s="8"/>
      <c r="X1707" s="8"/>
      <c r="Y1707" s="8"/>
      <c r="Z1707" s="8"/>
    </row>
    <row r="1708" spans="1:26" ht="12.75">
      <c r="A1708" s="11">
        <v>43747.277777777781</v>
      </c>
      <c r="B1708" s="12" t="str">
        <f>HYPERLINK("https://twitter.com/cinopupr1","@cinopupr1")</f>
        <v>@cinopupr1</v>
      </c>
      <c r="C1708" s="7" t="s">
        <v>12392</v>
      </c>
      <c r="D1708" s="7" t="s">
        <v>12393</v>
      </c>
      <c r="E1708" s="12" t="str">
        <f>HYPERLINK("https://twitter.com/cinopupr1/status/1181927293687668736","1181927293687668736")</f>
        <v>1181927293687668736</v>
      </c>
      <c r="F1708" s="8"/>
      <c r="G1708" s="14" t="s">
        <v>12394</v>
      </c>
      <c r="H1708" s="8"/>
      <c r="I1708" s="15">
        <v>0</v>
      </c>
      <c r="J1708" s="15">
        <v>0</v>
      </c>
      <c r="K1708" s="12" t="str">
        <f>HYPERLINK("http://twitter.com/download/iphone","Twitter for iPhone")</f>
        <v>Twitter for iPhone</v>
      </c>
      <c r="L1708" s="16">
        <v>1882</v>
      </c>
      <c r="M1708" s="16">
        <v>2098</v>
      </c>
      <c r="N1708" s="16">
        <v>3</v>
      </c>
      <c r="O1708" s="17"/>
      <c r="P1708" s="18">
        <v>40833.288842592592</v>
      </c>
      <c r="Q1708" s="7" t="s">
        <v>12398</v>
      </c>
      <c r="R1708" s="7"/>
      <c r="S1708" s="15"/>
      <c r="T1708" s="8"/>
      <c r="U1708" s="19" t="str">
        <f>HYPERLINK("https://pbs.twimg.com/profile_images/1179834062124572672/cj6ykV0b.jpg","View")</f>
        <v>View</v>
      </c>
      <c r="V1708" s="8"/>
      <c r="W1708" s="8"/>
      <c r="X1708" s="8"/>
      <c r="Y1708" s="8"/>
      <c r="Z1708" s="8"/>
    </row>
    <row r="1709" spans="1:26" ht="12.75">
      <c r="A1709" s="11">
        <v>43747.277777777781</v>
      </c>
      <c r="B1709" s="12" t="str">
        <f>HYPERLINK("https://twitter.com/kadirgolerr","@kadirgolerr")</f>
        <v>@kadirgolerr</v>
      </c>
      <c r="C1709" s="7" t="s">
        <v>12399</v>
      </c>
      <c r="D1709" s="7" t="s">
        <v>12400</v>
      </c>
      <c r="E1709" s="12" t="str">
        <f>HYPERLINK("https://twitter.com/kadirgolerr/status/1181927291900895234","1181927291900895234")</f>
        <v>1181927291900895234</v>
      </c>
      <c r="F1709" s="8"/>
      <c r="G1709" s="15"/>
      <c r="H1709" s="8"/>
      <c r="I1709" s="15">
        <v>0</v>
      </c>
      <c r="J1709" s="15">
        <v>2</v>
      </c>
      <c r="K1709" s="12" t="str">
        <f>HYPERLINK("http://twitter.com/download/iphone","Twitter for iPhone")</f>
        <v>Twitter for iPhone</v>
      </c>
      <c r="L1709" s="16">
        <v>577</v>
      </c>
      <c r="M1709" s="16">
        <v>934</v>
      </c>
      <c r="N1709" s="16">
        <v>0</v>
      </c>
      <c r="O1709" s="17"/>
      <c r="P1709" s="18">
        <v>40843.970277777778</v>
      </c>
      <c r="Q1709" s="7" t="s">
        <v>12401</v>
      </c>
      <c r="R1709" s="7" t="s">
        <v>12402</v>
      </c>
      <c r="S1709" s="15"/>
      <c r="T1709" s="8"/>
      <c r="U1709" s="19" t="str">
        <f>HYPERLINK("https://pbs.twimg.com/profile_images/1180391038759964673/ILuIzPob.jpg","View")</f>
        <v>View</v>
      </c>
      <c r="V1709" s="8"/>
      <c r="W1709" s="8"/>
      <c r="X1709" s="8"/>
      <c r="Y1709" s="8"/>
      <c r="Z1709" s="8"/>
    </row>
    <row r="1710" spans="1:26" ht="12.75">
      <c r="A1710" s="11">
        <v>43747.277754629627</v>
      </c>
      <c r="B1710" s="12" t="str">
        <f>HYPERLINK("https://twitter.com/maylmz43","@maylmz43")</f>
        <v>@maylmz43</v>
      </c>
      <c r="C1710" s="7" t="s">
        <v>12403</v>
      </c>
      <c r="D1710" s="7" t="s">
        <v>12404</v>
      </c>
      <c r="E1710" s="12" t="str">
        <f>HYPERLINK("https://twitter.com/maylmz43/status/1181927286083375104","1181927286083375104")</f>
        <v>1181927286083375104</v>
      </c>
      <c r="F1710" s="8"/>
      <c r="G1710" s="7"/>
      <c r="H1710" s="8"/>
      <c r="I1710" s="15">
        <v>0</v>
      </c>
      <c r="J1710" s="15">
        <v>0</v>
      </c>
      <c r="K1710" s="12" t="str">
        <f>HYPERLINK("http://twitter.com/download/iphone","Twitter for iPhone")</f>
        <v>Twitter for iPhone</v>
      </c>
      <c r="L1710" s="16">
        <v>91</v>
      </c>
      <c r="M1710" s="16">
        <v>63</v>
      </c>
      <c r="N1710" s="16">
        <v>1</v>
      </c>
      <c r="O1710" s="17"/>
      <c r="P1710" s="18">
        <v>42606.131967592592</v>
      </c>
      <c r="Q1710" s="7" t="s">
        <v>313</v>
      </c>
      <c r="R1710" s="7"/>
      <c r="S1710" s="14" t="s">
        <v>12405</v>
      </c>
      <c r="T1710" s="8"/>
      <c r="U1710" s="19" t="str">
        <f>HYPERLINK("https://pbs.twimg.com/profile_images/1181268648201207808/2XNFcpy3.jpg","View")</f>
        <v>View</v>
      </c>
      <c r="V1710" s="8"/>
      <c r="W1710" s="8"/>
      <c r="X1710" s="8"/>
      <c r="Y1710" s="8"/>
      <c r="Z1710" s="8"/>
    </row>
    <row r="1711" spans="1:26" ht="12.75">
      <c r="A1711" s="11">
        <v>43747.277743055558</v>
      </c>
      <c r="B1711" s="12" t="str">
        <f>HYPERLINK("https://twitter.com/ilelebetBjk","@ilelebetBjk")</f>
        <v>@ilelebetBjk</v>
      </c>
      <c r="C1711" s="7" t="s">
        <v>12406</v>
      </c>
      <c r="D1711" s="7" t="s">
        <v>12407</v>
      </c>
      <c r="E1711" s="12" t="str">
        <f>HYPERLINK("https://twitter.com/ilelebetBjk/status/1181927280278474752","1181927280278474752")</f>
        <v>1181927280278474752</v>
      </c>
      <c r="F1711" s="8"/>
      <c r="G1711" s="15"/>
      <c r="H1711" s="8"/>
      <c r="I1711" s="15">
        <v>0</v>
      </c>
      <c r="J1711" s="15">
        <v>0</v>
      </c>
      <c r="K1711" s="12" t="str">
        <f>HYPERLINK("http://twitter.com/download/android","Twitter for Android")</f>
        <v>Twitter for Android</v>
      </c>
      <c r="L1711" s="16">
        <v>10</v>
      </c>
      <c r="M1711" s="16">
        <v>58</v>
      </c>
      <c r="N1711" s="16">
        <v>0</v>
      </c>
      <c r="O1711" s="20"/>
      <c r="P1711" s="18">
        <v>43013.574212962965</v>
      </c>
      <c r="Q1711" s="7"/>
      <c r="R1711" s="7"/>
      <c r="S1711" s="15"/>
      <c r="T1711" s="8"/>
      <c r="U1711" s="19" t="str">
        <f>HYPERLINK("https://pbs.twimg.com/profile_images/1080961471834599424/LnVyny4x.jpg","View")</f>
        <v>View</v>
      </c>
      <c r="V1711" s="8"/>
      <c r="W1711" s="8"/>
      <c r="X1711" s="8"/>
      <c r="Y1711" s="8"/>
      <c r="Z1711" s="8"/>
    </row>
    <row r="1712" spans="1:26" ht="12.75">
      <c r="A1712" s="11">
        <v>43747.277731481481</v>
      </c>
      <c r="B1712" s="12" t="str">
        <f>HYPERLINK("https://twitter.com/YasemenMerve","@YasemenMerve")</f>
        <v>@YasemenMerve</v>
      </c>
      <c r="C1712" s="7" t="s">
        <v>12411</v>
      </c>
      <c r="D1712" s="7" t="s">
        <v>12412</v>
      </c>
      <c r="E1712" s="12" t="str">
        <f>HYPERLINK("https://twitter.com/YasemenMerve/status/1181927277019443205","1181927277019443205")</f>
        <v>1181927277019443205</v>
      </c>
      <c r="F1712" s="8"/>
      <c r="G1712" s="7"/>
      <c r="H1712" s="8"/>
      <c r="I1712" s="15">
        <v>0</v>
      </c>
      <c r="J1712" s="15">
        <v>0</v>
      </c>
      <c r="K1712" s="12" t="str">
        <f>HYPERLINK("http://twitter.com/download/android","Twitter for Android")</f>
        <v>Twitter for Android</v>
      </c>
      <c r="L1712" s="16">
        <v>140</v>
      </c>
      <c r="M1712" s="16">
        <v>232</v>
      </c>
      <c r="N1712" s="16">
        <v>1</v>
      </c>
      <c r="O1712" s="17"/>
      <c r="P1712" s="18">
        <v>42555.080335648148</v>
      </c>
      <c r="Q1712" s="7"/>
      <c r="R1712" s="7"/>
      <c r="S1712" s="15"/>
      <c r="T1712" s="8"/>
      <c r="U1712" s="19" t="str">
        <f>HYPERLINK("https://pbs.twimg.com/profile_images/1149211090603171841/D8ijUgHi.jpg","View")</f>
        <v>View</v>
      </c>
      <c r="V1712" s="8"/>
      <c r="W1712" s="8"/>
      <c r="X1712" s="8"/>
      <c r="Y1712" s="8"/>
      <c r="Z1712" s="8"/>
    </row>
    <row r="1713" spans="1:26" ht="12.75">
      <c r="A1713" s="11">
        <v>43747.277731481481</v>
      </c>
      <c r="B1713" s="12" t="str">
        <f>HYPERLINK("https://twitter.com/Tzgr7","@Tzgr7")</f>
        <v>@Tzgr7</v>
      </c>
      <c r="C1713" s="7" t="s">
        <v>12416</v>
      </c>
      <c r="D1713" s="7" t="s">
        <v>12417</v>
      </c>
      <c r="E1713" s="12" t="str">
        <f>HYPERLINK("https://twitter.com/Tzgr7/status/1181927275090055168","1181927275090055168")</f>
        <v>1181927275090055168</v>
      </c>
      <c r="F1713" s="8"/>
      <c r="G1713" s="14" t="s">
        <v>12418</v>
      </c>
      <c r="H1713" s="8"/>
      <c r="I1713" s="15">
        <v>0</v>
      </c>
      <c r="J1713" s="15">
        <v>2</v>
      </c>
      <c r="K1713" s="12" t="str">
        <f>HYPERLINK("http://twitter.com/download/android","Twitter for Android")</f>
        <v>Twitter for Android</v>
      </c>
      <c r="L1713" s="16">
        <v>92</v>
      </c>
      <c r="M1713" s="16">
        <v>90</v>
      </c>
      <c r="N1713" s="16">
        <v>0</v>
      </c>
      <c r="O1713" s="17"/>
      <c r="P1713" s="18">
        <v>43602.998703703706</v>
      </c>
      <c r="Q1713" s="7" t="s">
        <v>6808</v>
      </c>
      <c r="R1713" s="7" t="s">
        <v>12419</v>
      </c>
      <c r="S1713" s="7"/>
      <c r="T1713" s="8"/>
      <c r="U1713" s="19" t="str">
        <f>HYPERLINK("https://pbs.twimg.com/profile_images/1177654068782739460/ELBYD1RS.jpg","View")</f>
        <v>View</v>
      </c>
      <c r="V1713" s="8"/>
      <c r="W1713" s="8"/>
      <c r="X1713" s="8"/>
      <c r="Y1713" s="8"/>
      <c r="Z1713" s="8"/>
    </row>
    <row r="1714" spans="1:26" ht="12.75">
      <c r="A1714" s="11">
        <v>43747.277731481481</v>
      </c>
      <c r="B1714" s="12" t="str">
        <f>HYPERLINK("https://twitter.com/_fyyzqx","@_fyyzqx")</f>
        <v>@_fyyzqx</v>
      </c>
      <c r="C1714" s="7" t="s">
        <v>12420</v>
      </c>
      <c r="D1714" s="7" t="s">
        <v>12421</v>
      </c>
      <c r="E1714" s="12" t="str">
        <f>HYPERLINK("https://twitter.com/_fyyzqx/status/1181927274326700032","1181927274326700032")</f>
        <v>1181927274326700032</v>
      </c>
      <c r="F1714" s="8"/>
      <c r="G1714" s="14" t="s">
        <v>12422</v>
      </c>
      <c r="H1714" s="8"/>
      <c r="I1714" s="15">
        <v>0</v>
      </c>
      <c r="J1714" s="15">
        <v>1</v>
      </c>
      <c r="K1714" s="12" t="str">
        <f>HYPERLINK("https://mobile.twitter.com","Twitter Web App")</f>
        <v>Twitter Web App</v>
      </c>
      <c r="L1714" s="16">
        <v>29</v>
      </c>
      <c r="M1714" s="16">
        <v>23</v>
      </c>
      <c r="N1714" s="16">
        <v>0</v>
      </c>
      <c r="O1714" s="17"/>
      <c r="P1714" s="18">
        <v>43654.489479166667</v>
      </c>
      <c r="Q1714" s="7" t="s">
        <v>668</v>
      </c>
      <c r="R1714" s="7" t="s">
        <v>12425</v>
      </c>
      <c r="S1714" s="15"/>
      <c r="T1714" s="8"/>
      <c r="U1714" s="19" t="str">
        <f>HYPERLINK("https://pbs.twimg.com/profile_images/1180830097630285825/23c8Opau.jpg","View")</f>
        <v>View</v>
      </c>
      <c r="V1714" s="8"/>
      <c r="W1714" s="8"/>
      <c r="X1714" s="8"/>
      <c r="Y1714" s="8"/>
      <c r="Z1714" s="8"/>
    </row>
    <row r="1715" spans="1:26" ht="12.75">
      <c r="A1715" s="11">
        <v>43747.277708333335</v>
      </c>
      <c r="B1715" s="12" t="str">
        <f>HYPERLINK("https://twitter.com/meser34","@meser34")</f>
        <v>@meser34</v>
      </c>
      <c r="C1715" s="7" t="s">
        <v>12432</v>
      </c>
      <c r="D1715" s="7" t="s">
        <v>12433</v>
      </c>
      <c r="E1715" s="12" t="str">
        <f>HYPERLINK("https://twitter.com/meser34/status/1181927266781147139","1181927266781147139")</f>
        <v>1181927266781147139</v>
      </c>
      <c r="F1715" s="8"/>
      <c r="G1715" s="14" t="s">
        <v>12434</v>
      </c>
      <c r="H1715" s="8"/>
      <c r="I1715" s="15">
        <v>7</v>
      </c>
      <c r="J1715" s="15">
        <v>76</v>
      </c>
      <c r="K1715" s="12" t="str">
        <f>HYPERLINK("http://twitter.com/download/iphone","Twitter for iPhone")</f>
        <v>Twitter for iPhone</v>
      </c>
      <c r="L1715" s="16">
        <v>9798</v>
      </c>
      <c r="M1715" s="16">
        <v>105</v>
      </c>
      <c r="N1715" s="16">
        <v>106</v>
      </c>
      <c r="O1715" s="17"/>
      <c r="P1715" s="18">
        <v>42637.381099537037</v>
      </c>
      <c r="Q1715" s="7"/>
      <c r="R1715" s="7" t="s">
        <v>12437</v>
      </c>
      <c r="S1715" s="15"/>
      <c r="T1715" s="8"/>
      <c r="U1715" s="19" t="str">
        <f>HYPERLINK("https://pbs.twimg.com/profile_images/1133781288152911872/dt7pl9D1.jpg","View")</f>
        <v>View</v>
      </c>
      <c r="V1715" s="8"/>
      <c r="W1715" s="8"/>
      <c r="X1715" s="8"/>
      <c r="Y1715" s="8"/>
      <c r="Z1715" s="8"/>
    </row>
    <row r="1716" spans="1:26" ht="12.75">
      <c r="A1716" s="11">
        <v>43747.277650462958</v>
      </c>
      <c r="B1716" s="12" t="str">
        <f>HYPERLINK("https://twitter.com/BuraBora1","@BuraBora1")</f>
        <v>@BuraBora1</v>
      </c>
      <c r="C1716" s="7" t="s">
        <v>12438</v>
      </c>
      <c r="D1716" s="7" t="s">
        <v>12439</v>
      </c>
      <c r="E1716" s="12" t="str">
        <f>HYPERLINK("https://twitter.com/BuraBora1/status/1181927246463930369","1181927246463930369")</f>
        <v>1181927246463930369</v>
      </c>
      <c r="F1716" s="8"/>
      <c r="G1716" s="14" t="s">
        <v>12440</v>
      </c>
      <c r="H1716" s="8"/>
      <c r="I1716" s="15">
        <v>0</v>
      </c>
      <c r="J1716" s="15">
        <v>1</v>
      </c>
      <c r="K1716" s="12" t="str">
        <f>HYPERLINK("http://twitter.com/download/iphone","Twitter for iPhone")</f>
        <v>Twitter for iPhone</v>
      </c>
      <c r="L1716" s="16">
        <v>1427</v>
      </c>
      <c r="M1716" s="16">
        <v>1219</v>
      </c>
      <c r="N1716" s="16">
        <v>1</v>
      </c>
      <c r="O1716" s="17"/>
      <c r="P1716" s="18">
        <v>40996.577916666669</v>
      </c>
      <c r="Q1716" s="7" t="s">
        <v>2851</v>
      </c>
      <c r="R1716" s="7"/>
      <c r="S1716" s="7"/>
      <c r="T1716" s="8"/>
      <c r="U1716" s="19" t="str">
        <f>HYPERLINK("https://pbs.twimg.com/profile_images/1068212874030534659/V67Lqhld.jpg","View")</f>
        <v>View</v>
      </c>
      <c r="V1716" s="8"/>
      <c r="W1716" s="8"/>
      <c r="X1716" s="8"/>
      <c r="Y1716" s="8"/>
      <c r="Z1716" s="8"/>
    </row>
    <row r="1717" spans="1:26" ht="12.75">
      <c r="A1717" s="11">
        <v>43747.277638888889</v>
      </c>
      <c r="B1717" s="12" t="str">
        <f>HYPERLINK("https://twitter.com/SosyalmansetC","@SosyalmansetC")</f>
        <v>@SosyalmansetC</v>
      </c>
      <c r="C1717" s="14" t="s">
        <v>12441</v>
      </c>
      <c r="D1717" s="7" t="s">
        <v>12442</v>
      </c>
      <c r="E1717" s="12" t="str">
        <f>HYPERLINK("https://twitter.com/SosyalmansetC/status/1181927243343450115","1181927243343450115")</f>
        <v>1181927243343450115</v>
      </c>
      <c r="F1717" s="14" t="s">
        <v>12443</v>
      </c>
      <c r="G1717" s="14" t="s">
        <v>12444</v>
      </c>
      <c r="H1717" s="8"/>
      <c r="I1717" s="15">
        <v>0</v>
      </c>
      <c r="J1717" s="15">
        <v>0</v>
      </c>
      <c r="K1717" s="12" t="str">
        <f>HYPERLINK("https://mobile.twitter.com","Twitter Web App")</f>
        <v>Twitter Web App</v>
      </c>
      <c r="L1717" s="16">
        <v>0</v>
      </c>
      <c r="M1717" s="16">
        <v>0</v>
      </c>
      <c r="N1717" s="16">
        <v>0</v>
      </c>
      <c r="O1717" s="17"/>
      <c r="P1717" s="18">
        <v>43745.06925925926</v>
      </c>
      <c r="Q1717" s="7" t="s">
        <v>576</v>
      </c>
      <c r="R1717" s="7" t="s">
        <v>12445</v>
      </c>
      <c r="S1717" s="14" t="s">
        <v>12446</v>
      </c>
      <c r="T1717" s="8"/>
      <c r="U1717" s="19" t="str">
        <f>HYPERLINK("https://pbs.twimg.com/profile_images/1181128626445660160/HhLurUss.jpg","View")</f>
        <v>View</v>
      </c>
      <c r="V1717" s="8"/>
      <c r="W1717" s="8"/>
      <c r="X1717" s="8"/>
      <c r="Y1717" s="8"/>
      <c r="Z1717" s="8"/>
    </row>
    <row r="1718" spans="1:26" ht="12.75">
      <c r="A1718" s="11">
        <v>43747.277569444443</v>
      </c>
      <c r="B1718" s="12" t="str">
        <f>HYPERLINK("https://twitter.com/tavuklupilaf","@tavuklupilaf")</f>
        <v>@tavuklupilaf</v>
      </c>
      <c r="C1718" s="7" t="s">
        <v>12447</v>
      </c>
      <c r="D1718" s="7" t="s">
        <v>12448</v>
      </c>
      <c r="E1718" s="12" t="str">
        <f>HYPERLINK("https://twitter.com/tavuklupilaf/status/1181927217259003907","1181927217259003907")</f>
        <v>1181927217259003907</v>
      </c>
      <c r="F1718" s="8"/>
      <c r="G1718" s="14" t="s">
        <v>12450</v>
      </c>
      <c r="H1718" s="8"/>
      <c r="I1718" s="15">
        <v>0</v>
      </c>
      <c r="J1718" s="15">
        <v>1</v>
      </c>
      <c r="K1718" s="12" t="str">
        <f>HYPERLINK("http://twitter.com/download/iphone","Twitter for iPhone")</f>
        <v>Twitter for iPhone</v>
      </c>
      <c r="L1718" s="16">
        <v>26</v>
      </c>
      <c r="M1718" s="16">
        <v>51</v>
      </c>
      <c r="N1718" s="16">
        <v>0</v>
      </c>
      <c r="O1718" s="17"/>
      <c r="P1718" s="18">
        <v>42975.659594907411</v>
      </c>
      <c r="Q1718" s="7" t="s">
        <v>12452</v>
      </c>
      <c r="R1718" s="7" t="s">
        <v>12453</v>
      </c>
      <c r="S1718" s="7"/>
      <c r="T1718" s="8"/>
      <c r="U1718" s="19" t="str">
        <f>HYPERLINK("https://pbs.twimg.com/profile_images/1147277846198591488/LvMNPja9.jpg","View")</f>
        <v>View</v>
      </c>
      <c r="V1718" s="8"/>
      <c r="W1718" s="8"/>
      <c r="X1718" s="8"/>
      <c r="Y1718" s="8"/>
      <c r="Z1718" s="8"/>
    </row>
    <row r="1719" spans="1:26" ht="12.75">
      <c r="A1719" s="11">
        <v>43747.277546296296</v>
      </c>
      <c r="B1719" s="12" t="str">
        <f>HYPERLINK("https://twitter.com/FatmaDe23811700","@FatmaDe23811700")</f>
        <v>@FatmaDe23811700</v>
      </c>
      <c r="C1719" s="7" t="s">
        <v>12457</v>
      </c>
      <c r="D1719" s="7" t="s">
        <v>12458</v>
      </c>
      <c r="E1719" s="12" t="str">
        <f>HYPERLINK("https://twitter.com/FatmaDe23811700/status/1181927210028077056","1181927210028077056")</f>
        <v>1181927210028077056</v>
      </c>
      <c r="F1719" s="8"/>
      <c r="G1719" s="14" t="s">
        <v>12459</v>
      </c>
      <c r="H1719" s="8"/>
      <c r="I1719" s="15">
        <v>0</v>
      </c>
      <c r="J1719" s="15">
        <v>1</v>
      </c>
      <c r="K1719" s="12" t="str">
        <f>HYPERLINK("http://twitter.com/download/android","Twitter for Android")</f>
        <v>Twitter for Android</v>
      </c>
      <c r="L1719" s="16">
        <v>3</v>
      </c>
      <c r="M1719" s="16">
        <v>14</v>
      </c>
      <c r="N1719" s="16">
        <v>0</v>
      </c>
      <c r="O1719" s="17"/>
      <c r="P1719" s="18">
        <v>43420.572847222225</v>
      </c>
      <c r="Q1719" s="7"/>
      <c r="R1719" s="7"/>
      <c r="S1719" s="7"/>
      <c r="T1719" s="8"/>
      <c r="U1719" s="19" t="str">
        <f>HYPERLINK("https://pbs.twimg.com/profile_images/1181341258423394305/te5yn-yz.jpg","View")</f>
        <v>View</v>
      </c>
      <c r="V1719" s="8"/>
      <c r="W1719" s="8"/>
      <c r="X1719" s="8"/>
      <c r="Y1719" s="8"/>
      <c r="Z1719" s="8"/>
    </row>
    <row r="1720" spans="1:26" ht="12.75">
      <c r="A1720" s="11">
        <v>43747.277546296296</v>
      </c>
      <c r="B1720" s="12" t="str">
        <f>HYPERLINK("https://twitter.com/akkent1453","@akkent1453")</f>
        <v>@akkent1453</v>
      </c>
      <c r="C1720" s="7" t="s">
        <v>12460</v>
      </c>
      <c r="D1720" s="7" t="s">
        <v>12461</v>
      </c>
      <c r="E1720" s="12" t="str">
        <f>HYPERLINK("https://twitter.com/akkent1453/status/1181927208853655552","1181927208853655552")</f>
        <v>1181927208853655552</v>
      </c>
      <c r="F1720" s="8"/>
      <c r="G1720" s="14" t="s">
        <v>12463</v>
      </c>
      <c r="H1720" s="8"/>
      <c r="I1720" s="15">
        <v>0</v>
      </c>
      <c r="J1720" s="15">
        <v>1</v>
      </c>
      <c r="K1720" s="12" t="str">
        <f>HYPERLINK("http://twitter.com/download/android","Twitter for Android")</f>
        <v>Twitter for Android</v>
      </c>
      <c r="L1720" s="16">
        <v>625</v>
      </c>
      <c r="M1720" s="16">
        <v>3151</v>
      </c>
      <c r="N1720" s="16">
        <v>0</v>
      </c>
      <c r="O1720" s="17"/>
      <c r="P1720" s="18">
        <v>42693.639282407406</v>
      </c>
      <c r="Q1720" s="7" t="s">
        <v>313</v>
      </c>
      <c r="R1720" s="7" t="s">
        <v>12465</v>
      </c>
      <c r="S1720" s="14" t="s">
        <v>12466</v>
      </c>
      <c r="T1720" s="8"/>
      <c r="U1720" s="19" t="str">
        <f>HYPERLINK("https://pbs.twimg.com/profile_images/1173418966330544128/vDdN8Gev.jpg","View")</f>
        <v>View</v>
      </c>
      <c r="V1720" s="8"/>
      <c r="W1720" s="8"/>
      <c r="X1720" s="8"/>
      <c r="Y1720" s="8"/>
      <c r="Z1720" s="8"/>
    </row>
    <row r="1721" spans="1:26" ht="12.75">
      <c r="A1721" s="11">
        <v>43747.27752314815</v>
      </c>
      <c r="B1721" s="12" t="str">
        <f>HYPERLINK("https://twitter.com/burhanozcan09","@burhanozcan09")</f>
        <v>@burhanozcan09</v>
      </c>
      <c r="C1721" s="7" t="s">
        <v>12467</v>
      </c>
      <c r="D1721" s="7" t="s">
        <v>12468</v>
      </c>
      <c r="E1721" s="12" t="str">
        <f>HYPERLINK("https://twitter.com/burhanozcan09/status/1181927201597468678","1181927201597468678")</f>
        <v>1181927201597468678</v>
      </c>
      <c r="F1721" s="8"/>
      <c r="G1721" s="7"/>
      <c r="H1721" s="8"/>
      <c r="I1721" s="15">
        <v>0</v>
      </c>
      <c r="J1721" s="15">
        <v>3</v>
      </c>
      <c r="K1721" s="12" t="str">
        <f>HYPERLINK("http://twitter.com/download/android","Twitter for Android")</f>
        <v>Twitter for Android</v>
      </c>
      <c r="L1721" s="16">
        <v>910</v>
      </c>
      <c r="M1721" s="16">
        <v>1354</v>
      </c>
      <c r="N1721" s="16">
        <v>0</v>
      </c>
      <c r="O1721" s="17"/>
      <c r="P1721" s="18">
        <v>41933.578506944446</v>
      </c>
      <c r="Q1721" s="7" t="s">
        <v>5418</v>
      </c>
      <c r="R1721" s="7" t="s">
        <v>12469</v>
      </c>
      <c r="S1721" s="7"/>
      <c r="T1721" s="8"/>
      <c r="U1721" s="19" t="str">
        <f>HYPERLINK("https://pbs.twimg.com/profile_images/1053709638930235392/DNjr5qGL.jpg","View")</f>
        <v>View</v>
      </c>
      <c r="V1721" s="8"/>
      <c r="W1721" s="8"/>
      <c r="X1721" s="8"/>
      <c r="Y1721" s="8"/>
      <c r="Z1721" s="8"/>
    </row>
    <row r="1722" spans="1:26" ht="12.75">
      <c r="A1722" s="11">
        <v>43747.277511574073</v>
      </c>
      <c r="B1722" s="12" t="str">
        <f>HYPERLINK("https://twitter.com/idrissdemir","@idrissdemir")</f>
        <v>@idrissdemir</v>
      </c>
      <c r="C1722" s="7" t="s">
        <v>12470</v>
      </c>
      <c r="D1722" s="7" t="s">
        <v>12471</v>
      </c>
      <c r="E1722" s="12" t="str">
        <f>HYPERLINK("https://twitter.com/idrissdemir/status/1181927198015578113","1181927198015578113")</f>
        <v>1181927198015578113</v>
      </c>
      <c r="F1722" s="8"/>
      <c r="G1722" s="7"/>
      <c r="H1722" s="8"/>
      <c r="I1722" s="15">
        <v>0</v>
      </c>
      <c r="J1722" s="15">
        <v>1</v>
      </c>
      <c r="K1722" s="12" t="str">
        <f>HYPERLINK("http://twitter.com/download/android","Twitter for Android")</f>
        <v>Twitter for Android</v>
      </c>
      <c r="L1722" s="16">
        <v>568</v>
      </c>
      <c r="M1722" s="16">
        <v>728</v>
      </c>
      <c r="N1722" s="16">
        <v>2</v>
      </c>
      <c r="O1722" s="17"/>
      <c r="P1722" s="18">
        <v>40077.473981481482</v>
      </c>
      <c r="Q1722" s="7" t="s">
        <v>445</v>
      </c>
      <c r="R1722" s="7" t="s">
        <v>12472</v>
      </c>
      <c r="S1722" s="7"/>
      <c r="T1722" s="8"/>
      <c r="U1722" s="19" t="str">
        <f>HYPERLINK("https://pbs.twimg.com/profile_images/1179692666986078208/Uqbyvvao.jpg","View")</f>
        <v>View</v>
      </c>
      <c r="V1722" s="8"/>
      <c r="W1722" s="8"/>
      <c r="X1722" s="8"/>
      <c r="Y1722" s="8"/>
      <c r="Z1722" s="8"/>
    </row>
    <row r="1723" spans="1:26" ht="12.75">
      <c r="A1723" s="11">
        <v>43747.277488425927</v>
      </c>
      <c r="B1723" s="12" t="str">
        <f>HYPERLINK("https://twitter.com/cobullu","@cobullu")</f>
        <v>@cobullu</v>
      </c>
      <c r="C1723" s="7" t="s">
        <v>12476</v>
      </c>
      <c r="D1723" s="7" t="s">
        <v>12477</v>
      </c>
      <c r="E1723" s="12" t="str">
        <f>HYPERLINK("https://twitter.com/cobullu/status/1181927188221845504","1181927188221845504")</f>
        <v>1181927188221845504</v>
      </c>
      <c r="F1723" s="8"/>
      <c r="G1723" s="15"/>
      <c r="H1723" s="8"/>
      <c r="I1723" s="15">
        <v>0</v>
      </c>
      <c r="J1723" s="15">
        <v>0</v>
      </c>
      <c r="K1723" s="12" t="str">
        <f>HYPERLINK("http://twitter.com/download/iphone","Twitter for iPhone")</f>
        <v>Twitter for iPhone</v>
      </c>
      <c r="L1723" s="16">
        <v>3</v>
      </c>
      <c r="M1723" s="16">
        <v>5</v>
      </c>
      <c r="N1723" s="16">
        <v>0</v>
      </c>
      <c r="O1723" s="17"/>
      <c r="P1723" s="18">
        <v>43745.60832175926</v>
      </c>
      <c r="Q1723" s="7"/>
      <c r="R1723" s="7" t="s">
        <v>12478</v>
      </c>
      <c r="S1723" s="7"/>
      <c r="T1723" s="8"/>
      <c r="U1723" s="19" t="str">
        <f>HYPERLINK("https://pbs.twimg.com/profile_images/1181330482224619521/wIMViIKo.jpg","View")</f>
        <v>View</v>
      </c>
      <c r="V1723" s="8"/>
      <c r="W1723" s="8"/>
      <c r="X1723" s="8"/>
      <c r="Y1723" s="8"/>
      <c r="Z1723" s="8"/>
    </row>
    <row r="1724" spans="1:26" ht="12.75">
      <c r="A1724" s="11">
        <v>43747.277488425927</v>
      </c>
      <c r="B1724" s="12" t="str">
        <f>HYPERLINK("https://twitter.com/mecpr38","@mecpr38")</f>
        <v>@mecpr38</v>
      </c>
      <c r="C1724" s="7" t="s">
        <v>12479</v>
      </c>
      <c r="D1724" s="7" t="s">
        <v>12480</v>
      </c>
      <c r="E1724" s="12" t="str">
        <f>HYPERLINK("https://twitter.com/mecpr38/status/1181927187668242432","1181927187668242432")</f>
        <v>1181927187668242432</v>
      </c>
      <c r="F1724" s="8"/>
      <c r="G1724" s="14" t="s">
        <v>12481</v>
      </c>
      <c r="H1724" s="8"/>
      <c r="I1724" s="15">
        <v>0</v>
      </c>
      <c r="J1724" s="15">
        <v>7</v>
      </c>
      <c r="K1724" s="12" t="str">
        <f>HYPERLINK("http://twitter.com/download/android","Twitter for Android")</f>
        <v>Twitter for Android</v>
      </c>
      <c r="L1724" s="16">
        <v>26</v>
      </c>
      <c r="M1724" s="16">
        <v>20</v>
      </c>
      <c r="N1724" s="16">
        <v>0</v>
      </c>
      <c r="O1724" s="17"/>
      <c r="P1724" s="18">
        <v>43562.975335648152</v>
      </c>
      <c r="Q1724" s="7" t="s">
        <v>12482</v>
      </c>
      <c r="R1724" s="7" t="s">
        <v>12483</v>
      </c>
      <c r="S1724" s="14" t="s">
        <v>12484</v>
      </c>
      <c r="T1724" s="8"/>
      <c r="U1724" s="19" t="str">
        <f>HYPERLINK("https://pbs.twimg.com/profile_images/1175034457901936640/UI8MzXHq.jpg","View")</f>
        <v>View</v>
      </c>
      <c r="V1724" s="8"/>
      <c r="W1724" s="8"/>
      <c r="X1724" s="8"/>
      <c r="Y1724" s="8"/>
      <c r="Z1724" s="8"/>
    </row>
    <row r="1725" spans="1:26" ht="12.75">
      <c r="A1725" s="11">
        <v>43747.27747685185</v>
      </c>
      <c r="B1725" s="12" t="str">
        <f>HYPERLINK("https://twitter.com/krediburs1","@krediburs1")</f>
        <v>@krediburs1</v>
      </c>
      <c r="C1725" s="7" t="s">
        <v>12485</v>
      </c>
      <c r="D1725" s="7" t="s">
        <v>12486</v>
      </c>
      <c r="E1725" s="12" t="str">
        <f>HYPERLINK("https://twitter.com/krediburs1/status/1181927184522461185","1181927184522461185")</f>
        <v>1181927184522461185</v>
      </c>
      <c r="F1725" s="8"/>
      <c r="G1725" s="15"/>
      <c r="H1725" s="8"/>
      <c r="I1725" s="15">
        <v>0</v>
      </c>
      <c r="J1725" s="15">
        <v>0</v>
      </c>
      <c r="K1725" s="12" t="str">
        <f>HYPERLINK("https://mobile.twitter.com","Twitter Web App")</f>
        <v>Twitter Web App</v>
      </c>
      <c r="L1725" s="16">
        <v>13</v>
      </c>
      <c r="M1725" s="16">
        <v>117</v>
      </c>
      <c r="N1725" s="16">
        <v>0</v>
      </c>
      <c r="O1725" s="17"/>
      <c r="P1725" s="18">
        <v>43588.274062500001</v>
      </c>
      <c r="Q1725" s="7" t="s">
        <v>12489</v>
      </c>
      <c r="R1725" s="15" t="s">
        <v>12491</v>
      </c>
      <c r="S1725" s="15"/>
      <c r="T1725" s="8"/>
      <c r="U1725" s="19" t="str">
        <f>HYPERLINK("https://pbs.twimg.com/profile_images/1124306551198629888/xr848r-W.jpg","View")</f>
        <v>View</v>
      </c>
      <c r="V1725" s="8"/>
      <c r="W1725" s="8"/>
      <c r="X1725" s="8"/>
      <c r="Y1725" s="8"/>
      <c r="Z1725" s="8"/>
    </row>
    <row r="1726" spans="1:26" ht="12.75">
      <c r="A1726" s="11">
        <v>43747.277465277773</v>
      </c>
      <c r="B1726" s="12" t="str">
        <f>HYPERLINK("https://twitter.com/ttolga_tolga","@ttolga_tolga")</f>
        <v>@ttolga_tolga</v>
      </c>
      <c r="C1726" s="7" t="s">
        <v>12492</v>
      </c>
      <c r="D1726" s="7" t="s">
        <v>12493</v>
      </c>
      <c r="E1726" s="12" t="str">
        <f>HYPERLINK("https://twitter.com/ttolga_tolga/status/1181927182031114241","1181927182031114241")</f>
        <v>1181927182031114241</v>
      </c>
      <c r="F1726" s="8"/>
      <c r="G1726" s="14" t="s">
        <v>12494</v>
      </c>
      <c r="H1726" s="8"/>
      <c r="I1726" s="15">
        <v>3</v>
      </c>
      <c r="J1726" s="15">
        <v>6</v>
      </c>
      <c r="K1726" s="12" t="str">
        <f>HYPERLINK("http://twitter.com/download/iphone","Twitter for iPhone")</f>
        <v>Twitter for iPhone</v>
      </c>
      <c r="L1726" s="16">
        <v>694</v>
      </c>
      <c r="M1726" s="16">
        <v>481</v>
      </c>
      <c r="N1726" s="16">
        <v>0</v>
      </c>
      <c r="O1726" s="17"/>
      <c r="P1726" s="18">
        <v>41844.377280092594</v>
      </c>
      <c r="Q1726" s="7" t="s">
        <v>4422</v>
      </c>
      <c r="R1726" s="7" t="s">
        <v>12495</v>
      </c>
      <c r="S1726" s="15"/>
      <c r="T1726" s="8"/>
      <c r="U1726" s="19" t="str">
        <f>HYPERLINK("https://pbs.twimg.com/profile_images/1160520653356838912/t9T7nQCX.jpg","View")</f>
        <v>View</v>
      </c>
      <c r="V1726" s="8"/>
      <c r="W1726" s="8"/>
      <c r="X1726" s="8"/>
      <c r="Y1726" s="8"/>
      <c r="Z1726" s="8"/>
    </row>
    <row r="1727" spans="1:26" ht="12.75">
      <c r="A1727" s="11">
        <v>43747.277453703704</v>
      </c>
      <c r="B1727" s="12" t="str">
        <f>HYPERLINK("https://twitter.com/MertGulyag","@MertGulyag")</f>
        <v>@MertGulyag</v>
      </c>
      <c r="C1727" s="7" t="s">
        <v>12496</v>
      </c>
      <c r="D1727" s="7" t="s">
        <v>12497</v>
      </c>
      <c r="E1727" s="12" t="str">
        <f>HYPERLINK("https://twitter.com/MertGulyag/status/1181927176511340544","1181927176511340544")</f>
        <v>1181927176511340544</v>
      </c>
      <c r="F1727" s="8"/>
      <c r="G1727" s="15"/>
      <c r="H1727" s="8"/>
      <c r="I1727" s="15">
        <v>0</v>
      </c>
      <c r="J1727" s="15">
        <v>0</v>
      </c>
      <c r="K1727" s="12" t="str">
        <f>HYPERLINK("http://twitter.com/download/iphone","Twitter for iPhone")</f>
        <v>Twitter for iPhone</v>
      </c>
      <c r="L1727" s="16">
        <v>63</v>
      </c>
      <c r="M1727" s="16">
        <v>400</v>
      </c>
      <c r="N1727" s="16">
        <v>0</v>
      </c>
      <c r="O1727" s="17"/>
      <c r="P1727" s="18">
        <v>42617.498807870375</v>
      </c>
      <c r="Q1727" s="7" t="s">
        <v>200</v>
      </c>
      <c r="R1727" s="7"/>
      <c r="S1727" s="7"/>
      <c r="T1727" s="8"/>
      <c r="U1727" s="19" t="str">
        <f>HYPERLINK("https://pbs.twimg.com/profile_images/1180881383025266688/JqSPMaRg.jpg","View")</f>
        <v>View</v>
      </c>
      <c r="V1727" s="8"/>
      <c r="W1727" s="8"/>
      <c r="X1727" s="8"/>
      <c r="Y1727" s="8"/>
      <c r="Z1727" s="8"/>
    </row>
    <row r="1728" spans="1:26" ht="12.75">
      <c r="A1728" s="11">
        <v>43747.277453703704</v>
      </c>
      <c r="B1728" s="12" t="str">
        <f>HYPERLINK("https://twitter.com/yusuf__bahar","@yusuf__bahar")</f>
        <v>@yusuf__bahar</v>
      </c>
      <c r="C1728" s="7" t="s">
        <v>12501</v>
      </c>
      <c r="D1728" s="7" t="s">
        <v>12502</v>
      </c>
      <c r="E1728" s="12" t="str">
        <f>HYPERLINK("https://twitter.com/yusuf__bahar/status/1181927176188379139","1181927176188379139")</f>
        <v>1181927176188379139</v>
      </c>
      <c r="F1728" s="8"/>
      <c r="G1728" s="14" t="s">
        <v>12503</v>
      </c>
      <c r="H1728" s="8"/>
      <c r="I1728" s="15">
        <v>1</v>
      </c>
      <c r="J1728" s="15">
        <v>10</v>
      </c>
      <c r="K1728" s="12" t="str">
        <f>HYPERLINK("http://twitter.com/download/android","Twitter for Android")</f>
        <v>Twitter for Android</v>
      </c>
      <c r="L1728" s="16">
        <v>1015</v>
      </c>
      <c r="M1728" s="16">
        <v>285</v>
      </c>
      <c r="N1728" s="16">
        <v>0</v>
      </c>
      <c r="O1728" s="17"/>
      <c r="P1728" s="18">
        <v>40800.616354166668</v>
      </c>
      <c r="Q1728" s="7" t="s">
        <v>313</v>
      </c>
      <c r="R1728" s="7" t="s">
        <v>12507</v>
      </c>
      <c r="S1728" s="7"/>
      <c r="T1728" s="8"/>
      <c r="U1728" s="19" t="str">
        <f>HYPERLINK("https://pbs.twimg.com/profile_images/1170804600758292482/_wXyUtTO.jpg","View")</f>
        <v>View</v>
      </c>
      <c r="V1728" s="8"/>
      <c r="W1728" s="8"/>
      <c r="X1728" s="8"/>
      <c r="Y1728" s="8"/>
      <c r="Z1728" s="8"/>
    </row>
    <row r="1729" spans="1:26" ht="12.75">
      <c r="A1729" s="11">
        <v>43747.277453703704</v>
      </c>
      <c r="B1729" s="12" t="str">
        <f>HYPERLINK("https://twitter.com/ahmet__akis","@ahmet__akis")</f>
        <v>@ahmet__akis</v>
      </c>
      <c r="C1729" s="7" t="s">
        <v>12509</v>
      </c>
      <c r="D1729" s="7" t="s">
        <v>12510</v>
      </c>
      <c r="E1729" s="12" t="str">
        <f>HYPERLINK("https://twitter.com/ahmet__akis/status/1181927175315955713","1181927175315955713")</f>
        <v>1181927175315955713</v>
      </c>
      <c r="F1729" s="8"/>
      <c r="G1729" s="14" t="s">
        <v>12511</v>
      </c>
      <c r="H1729" s="8"/>
      <c r="I1729" s="15">
        <v>27</v>
      </c>
      <c r="J1729" s="15">
        <v>149</v>
      </c>
      <c r="K1729" s="12" t="str">
        <f>HYPERLINK("https://mobile.twitter.com","Twitter Web App")</f>
        <v>Twitter Web App</v>
      </c>
      <c r="L1729" s="16">
        <v>1283</v>
      </c>
      <c r="M1729" s="16">
        <v>1003</v>
      </c>
      <c r="N1729" s="16">
        <v>2</v>
      </c>
      <c r="O1729" s="17"/>
      <c r="P1729" s="18">
        <v>42286.051979166667</v>
      </c>
      <c r="Q1729" s="7" t="s">
        <v>80</v>
      </c>
      <c r="R1729" s="7" t="s">
        <v>12512</v>
      </c>
      <c r="S1729" s="7"/>
      <c r="T1729" s="8"/>
      <c r="U1729" s="19" t="str">
        <f>HYPERLINK("https://pbs.twimg.com/profile_images/1120636665347887109/gAszi5mT.png","View")</f>
        <v>View</v>
      </c>
      <c r="V1729" s="8"/>
      <c r="W1729" s="8"/>
      <c r="X1729" s="8"/>
      <c r="Y1729" s="8"/>
      <c r="Z1729" s="8"/>
    </row>
    <row r="1730" spans="1:26" ht="12.75">
      <c r="A1730" s="11">
        <v>43747.277442129634</v>
      </c>
      <c r="B1730" s="12" t="str">
        <f>HYPERLINK("https://twitter.com/umutzgll","@umutzgll")</f>
        <v>@umutzgll</v>
      </c>
      <c r="C1730" s="7" t="s">
        <v>12513</v>
      </c>
      <c r="D1730" s="7" t="s">
        <v>12514</v>
      </c>
      <c r="E1730" s="12" t="str">
        <f>HYPERLINK("https://twitter.com/umutzgll/status/1181927172010852353","1181927172010852353")</f>
        <v>1181927172010852353</v>
      </c>
      <c r="F1730" s="8"/>
      <c r="G1730" s="14" t="s">
        <v>12515</v>
      </c>
      <c r="H1730" s="8"/>
      <c r="I1730" s="15">
        <v>0</v>
      </c>
      <c r="J1730" s="15">
        <v>2</v>
      </c>
      <c r="K1730" s="12" t="str">
        <f>HYPERLINK("http://twitter.com/download/iphone","Twitter for iPhone")</f>
        <v>Twitter for iPhone</v>
      </c>
      <c r="L1730" s="16">
        <v>186</v>
      </c>
      <c r="M1730" s="16">
        <v>347</v>
      </c>
      <c r="N1730" s="16">
        <v>0</v>
      </c>
      <c r="O1730" s="17"/>
      <c r="P1730" s="18">
        <v>40545.975266203706</v>
      </c>
      <c r="Q1730" s="7"/>
      <c r="R1730" s="7" t="s">
        <v>12516</v>
      </c>
      <c r="S1730" s="7"/>
      <c r="T1730" s="8"/>
      <c r="U1730" s="19" t="str">
        <f>HYPERLINK("https://pbs.twimg.com/profile_images/1150334552159719424/c2Mu-mMp.jpg","View")</f>
        <v>View</v>
      </c>
      <c r="V1730" s="8"/>
      <c r="W1730" s="8"/>
      <c r="X1730" s="8"/>
      <c r="Y1730" s="8"/>
      <c r="Z1730" s="8"/>
    </row>
    <row r="1731" spans="1:26" ht="12.75">
      <c r="A1731" s="11">
        <v>43747.27743055555</v>
      </c>
      <c r="B1731" s="12" t="str">
        <f>HYPERLINK("https://twitter.com/malatya_55","@malatya_55")</f>
        <v>@malatya_55</v>
      </c>
      <c r="C1731" s="7" t="s">
        <v>12518</v>
      </c>
      <c r="D1731" s="7" t="s">
        <v>12519</v>
      </c>
      <c r="E1731" s="12" t="str">
        <f>HYPERLINK("https://twitter.com/malatya_55/status/1181927166109466625","1181927166109466625")</f>
        <v>1181927166109466625</v>
      </c>
      <c r="F1731" s="8"/>
      <c r="G1731" s="15"/>
      <c r="H1731" s="8"/>
      <c r="I1731" s="15">
        <v>0</v>
      </c>
      <c r="J1731" s="15">
        <v>0</v>
      </c>
      <c r="K1731" s="12" t="str">
        <f>HYPERLINK("http://twitter.com/download/iphone","Twitter for iPhone")</f>
        <v>Twitter for iPhone</v>
      </c>
      <c r="L1731" s="16">
        <v>22</v>
      </c>
      <c r="M1731" s="16">
        <v>196</v>
      </c>
      <c r="N1731" s="16">
        <v>0</v>
      </c>
      <c r="O1731" s="17"/>
      <c r="P1731" s="18">
        <v>43127.284143518518</v>
      </c>
      <c r="Q1731" s="7"/>
      <c r="R1731" s="7" t="s">
        <v>12521</v>
      </c>
      <c r="S1731" s="7"/>
      <c r="T1731" s="8"/>
      <c r="U1731" s="19" t="str">
        <f>HYPERLINK("https://pbs.twimg.com/profile_images/1178712261231353856/iKP_xsUA.jpg","View")</f>
        <v>View</v>
      </c>
      <c r="V1731" s="8"/>
      <c r="W1731" s="8"/>
      <c r="X1731" s="8"/>
      <c r="Y1731" s="8"/>
      <c r="Z1731" s="8"/>
    </row>
    <row r="1732" spans="1:26" ht="12.75">
      <c r="A1732" s="11">
        <v>43747.277407407411</v>
      </c>
      <c r="B1732" s="12" t="str">
        <f>HYPERLINK("https://twitter.com/AkitOkurlari","@AkitOkurlari")</f>
        <v>@AkitOkurlari</v>
      </c>
      <c r="C1732" s="7" t="s">
        <v>12522</v>
      </c>
      <c r="D1732" s="7" t="s">
        <v>12524</v>
      </c>
      <c r="E1732" s="12" t="str">
        <f>HYPERLINK("https://twitter.com/AkitOkurlari/status/1181927159998365696","1181927159998365696")</f>
        <v>1181927159998365696</v>
      </c>
      <c r="F1732" s="8"/>
      <c r="G1732" s="7"/>
      <c r="H1732" s="8"/>
      <c r="I1732" s="15">
        <v>1</v>
      </c>
      <c r="J1732" s="15">
        <v>20</v>
      </c>
      <c r="K1732" s="12" t="str">
        <f>HYPERLINK("http://twitter.com/download/android","Twitter for Android")</f>
        <v>Twitter for Android</v>
      </c>
      <c r="L1732" s="16">
        <v>164356</v>
      </c>
      <c r="M1732" s="16">
        <v>628</v>
      </c>
      <c r="N1732" s="16">
        <v>292</v>
      </c>
      <c r="O1732" s="17"/>
      <c r="P1732" s="18">
        <v>40948.516180555554</v>
      </c>
      <c r="Q1732" s="7"/>
      <c r="R1732" s="7" t="s">
        <v>12527</v>
      </c>
      <c r="S1732" s="15"/>
      <c r="T1732" s="8"/>
      <c r="U1732" s="19" t="str">
        <f>HYPERLINK("https://pbs.twimg.com/profile_images/1171327288140607488/ACGclS3q.png","View")</f>
        <v>View</v>
      </c>
      <c r="V1732" s="8"/>
      <c r="W1732" s="8"/>
      <c r="X1732" s="8"/>
      <c r="Y1732" s="8"/>
      <c r="Z1732" s="8"/>
    </row>
    <row r="1733" spans="1:26" ht="12.75">
      <c r="A1733" s="11">
        <v>43747.277407407411</v>
      </c>
      <c r="B1733" s="12" t="str">
        <f>HYPERLINK("https://twitter.com/mvcemalozturk","@mvcemalozturk")</f>
        <v>@mvcemalozturk</v>
      </c>
      <c r="C1733" s="7" t="s">
        <v>12528</v>
      </c>
      <c r="D1733" s="7" t="s">
        <v>12529</v>
      </c>
      <c r="E1733" s="12" t="str">
        <f>HYPERLINK("https://twitter.com/mvcemalozturk/status/1181927157116936195","1181927157116936195")</f>
        <v>1181927157116936195</v>
      </c>
      <c r="F1733" s="8"/>
      <c r="G1733" s="14" t="s">
        <v>12530</v>
      </c>
      <c r="H1733" s="8"/>
      <c r="I1733" s="15">
        <v>3</v>
      </c>
      <c r="J1733" s="15">
        <v>13</v>
      </c>
      <c r="K1733" s="12" t="str">
        <f>HYPERLINK("http://twitter.com/download/iphone","Twitter for iPhone")</f>
        <v>Twitter for iPhone</v>
      </c>
      <c r="L1733" s="16">
        <v>16119</v>
      </c>
      <c r="M1733" s="16">
        <v>1801</v>
      </c>
      <c r="N1733" s="16">
        <v>53</v>
      </c>
      <c r="O1733" s="17" t="s">
        <v>984</v>
      </c>
      <c r="P1733" s="18">
        <v>41093.520069444443</v>
      </c>
      <c r="Q1733" s="7" t="s">
        <v>12531</v>
      </c>
      <c r="R1733" s="7" t="s">
        <v>12532</v>
      </c>
      <c r="S1733" s="14" t="s">
        <v>12533</v>
      </c>
      <c r="T1733" s="8"/>
      <c r="U1733" s="19" t="str">
        <f>HYPERLINK("https://pbs.twimg.com/profile_images/1017357912044384256/FOEn0uyZ.jpg","View")</f>
        <v>View</v>
      </c>
      <c r="V1733" s="8"/>
      <c r="W1733" s="8"/>
      <c r="X1733" s="8"/>
      <c r="Y1733" s="8"/>
      <c r="Z1733" s="8"/>
    </row>
    <row r="1734" spans="1:26" ht="12.75">
      <c r="A1734" s="11">
        <v>43747.277395833335</v>
      </c>
      <c r="B1734" s="12" t="str">
        <f>HYPERLINK("https://twitter.com/Resul_Baskara","@Resul_Baskara")</f>
        <v>@Resul_Baskara</v>
      </c>
      <c r="C1734" s="7" t="s">
        <v>12534</v>
      </c>
      <c r="D1734" s="7" t="s">
        <v>12535</v>
      </c>
      <c r="E1734" s="12" t="str">
        <f>HYPERLINK("https://twitter.com/Resul_Baskara/status/1181927153216163841","1181927153216163841")</f>
        <v>1181927153216163841</v>
      </c>
      <c r="F1734" s="8"/>
      <c r="G1734" s="14" t="s">
        <v>12536</v>
      </c>
      <c r="H1734" s="8"/>
      <c r="I1734" s="15">
        <v>0</v>
      </c>
      <c r="J1734" s="15">
        <v>2</v>
      </c>
      <c r="K1734" s="12" t="str">
        <f>HYPERLINK("https://mobile.twitter.com","Twitter Web App")</f>
        <v>Twitter Web App</v>
      </c>
      <c r="L1734" s="16">
        <v>421</v>
      </c>
      <c r="M1734" s="16">
        <v>212</v>
      </c>
      <c r="N1734" s="16">
        <v>0</v>
      </c>
      <c r="O1734" s="17"/>
      <c r="P1734" s="18">
        <v>40766.304224537038</v>
      </c>
      <c r="Q1734" s="7"/>
      <c r="R1734" s="7" t="s">
        <v>12540</v>
      </c>
      <c r="S1734" s="7"/>
      <c r="T1734" s="8"/>
      <c r="U1734" s="19" t="str">
        <f>HYPERLINK("https://pbs.twimg.com/profile_images/999419228942827521/t7E9pn4c.jpg","View")</f>
        <v>View</v>
      </c>
      <c r="V1734" s="8"/>
      <c r="W1734" s="8"/>
      <c r="X1734" s="8"/>
      <c r="Y1734" s="8"/>
      <c r="Z1734" s="8"/>
    </row>
    <row r="1735" spans="1:26" ht="12.75">
      <c r="A1735" s="11">
        <v>43747.277372685188</v>
      </c>
      <c r="B1735" s="12" t="str">
        <f>HYPERLINK("https://twitter.com/yelizager","@yelizager")</f>
        <v>@yelizager</v>
      </c>
      <c r="C1735" s="7" t="s">
        <v>12541</v>
      </c>
      <c r="D1735" s="7" t="s">
        <v>12542</v>
      </c>
      <c r="E1735" s="12" t="str">
        <f>HYPERLINK("https://twitter.com/yelizager/status/1181927144718503936","1181927144718503936")</f>
        <v>1181927144718503936</v>
      </c>
      <c r="F1735" s="8"/>
      <c r="G1735" s="14" t="s">
        <v>12543</v>
      </c>
      <c r="H1735" s="8"/>
      <c r="I1735" s="15">
        <v>2</v>
      </c>
      <c r="J1735" s="15">
        <v>12</v>
      </c>
      <c r="K1735" s="12" t="str">
        <f>HYPERLINK("http://twitter.com/download/iphone","Twitter for iPhone")</f>
        <v>Twitter for iPhone</v>
      </c>
      <c r="L1735" s="16">
        <v>2472</v>
      </c>
      <c r="M1735" s="16">
        <v>2420</v>
      </c>
      <c r="N1735" s="16">
        <v>3</v>
      </c>
      <c r="O1735" s="17"/>
      <c r="P1735" s="18">
        <v>41574.125925925924</v>
      </c>
      <c r="Q1735" s="7" t="s">
        <v>313</v>
      </c>
      <c r="R1735" s="7" t="s">
        <v>12544</v>
      </c>
      <c r="S1735" s="7"/>
      <c r="T1735" s="8"/>
      <c r="U1735" s="19" t="str">
        <f>HYPERLINK("https://pbs.twimg.com/profile_images/1176489584793989125/M0GGDRFW.jpg","View")</f>
        <v>View</v>
      </c>
      <c r="V1735" s="8"/>
      <c r="W1735" s="8"/>
      <c r="X1735" s="8"/>
      <c r="Y1735" s="8"/>
      <c r="Z1735" s="8"/>
    </row>
    <row r="1736" spans="1:26" ht="12.75">
      <c r="A1736" s="11">
        <v>43747.277361111112</v>
      </c>
      <c r="B1736" s="12" t="str">
        <f>HYPERLINK("https://twitter.com/Serdar_SARIL","@Serdar_SARIL")</f>
        <v>@Serdar_SARIL</v>
      </c>
      <c r="C1736" s="7" t="s">
        <v>12550</v>
      </c>
      <c r="D1736" s="7" t="s">
        <v>12551</v>
      </c>
      <c r="E1736" s="12" t="str">
        <f>HYPERLINK("https://twitter.com/Serdar_SARIL/status/1181927141799288835","1181927141799288835")</f>
        <v>1181927141799288835</v>
      </c>
      <c r="F1736" s="8"/>
      <c r="G1736" s="14" t="s">
        <v>12552</v>
      </c>
      <c r="H1736" s="8"/>
      <c r="I1736" s="15">
        <v>0</v>
      </c>
      <c r="J1736" s="15">
        <v>0</v>
      </c>
      <c r="K1736" s="12" t="str">
        <f>HYPERLINK("http://twitter.com/download/iphone","Twitter for iPhone")</f>
        <v>Twitter for iPhone</v>
      </c>
      <c r="L1736" s="16">
        <v>40</v>
      </c>
      <c r="M1736" s="16">
        <v>178</v>
      </c>
      <c r="N1736" s="16">
        <v>0</v>
      </c>
      <c r="O1736" s="17"/>
      <c r="P1736" s="18">
        <v>40420.584247685183</v>
      </c>
      <c r="Q1736" s="7" t="s">
        <v>12553</v>
      </c>
      <c r="R1736" s="7" t="s">
        <v>12554</v>
      </c>
      <c r="S1736" s="14" t="s">
        <v>12555</v>
      </c>
      <c r="T1736" s="8"/>
      <c r="U1736" s="19" t="str">
        <f>HYPERLINK("https://pbs.twimg.com/profile_images/1093858794172530694/itE5qb1Y.jpg","View")</f>
        <v>View</v>
      </c>
      <c r="V1736" s="8"/>
      <c r="W1736" s="8"/>
      <c r="X1736" s="8"/>
      <c r="Y1736" s="8"/>
      <c r="Z1736" s="8"/>
    </row>
    <row r="1737" spans="1:26" ht="12.75">
      <c r="A1737" s="11">
        <v>43747.277349537035</v>
      </c>
      <c r="B1737" s="12" t="str">
        <f>HYPERLINK("https://twitter.com/hurkanak","@hurkanak")</f>
        <v>@hurkanak</v>
      </c>
      <c r="C1737" s="7" t="s">
        <v>12556</v>
      </c>
      <c r="D1737" s="7" t="s">
        <v>12557</v>
      </c>
      <c r="E1737" s="12" t="str">
        <f>HYPERLINK("https://twitter.com/hurkanak/status/1181927139794411520","1181927139794411520")</f>
        <v>1181927139794411520</v>
      </c>
      <c r="F1737" s="8"/>
      <c r="G1737" s="14" t="s">
        <v>12558</v>
      </c>
      <c r="H1737" s="8"/>
      <c r="I1737" s="15">
        <v>0</v>
      </c>
      <c r="J1737" s="15">
        <v>1</v>
      </c>
      <c r="K1737" s="12" t="str">
        <f>HYPERLINK("http://twitter.com/download/iphone","Twitter for iPhone")</f>
        <v>Twitter for iPhone</v>
      </c>
      <c r="L1737" s="16">
        <v>16120</v>
      </c>
      <c r="M1737" s="16">
        <v>58</v>
      </c>
      <c r="N1737" s="16">
        <v>11</v>
      </c>
      <c r="O1737" s="17"/>
      <c r="P1737" s="18">
        <v>40739.606157407405</v>
      </c>
      <c r="Q1737" s="7" t="s">
        <v>12560</v>
      </c>
      <c r="R1737" s="7" t="s">
        <v>12561</v>
      </c>
      <c r="S1737" s="14" t="s">
        <v>12562</v>
      </c>
      <c r="T1737" s="8"/>
      <c r="U1737" s="19" t="str">
        <f>HYPERLINK("https://pbs.twimg.com/profile_images/849910146188931072/zvHXKiU7.jpg","View")</f>
        <v>View</v>
      </c>
      <c r="V1737" s="8"/>
      <c r="W1737" s="8"/>
      <c r="X1737" s="8"/>
      <c r="Y1737" s="8"/>
      <c r="Z1737" s="8"/>
    </row>
    <row r="1738" spans="1:26" ht="12.75">
      <c r="A1738" s="11">
        <v>43747.277349537035</v>
      </c>
      <c r="B1738" s="12" t="str">
        <f>HYPERLINK("https://twitter.com/1brahimaydin","@1brahimaydin")</f>
        <v>@1brahimaydin</v>
      </c>
      <c r="C1738" s="7" t="s">
        <v>12564</v>
      </c>
      <c r="D1738" s="7" t="s">
        <v>12565</v>
      </c>
      <c r="E1738" s="12" t="str">
        <f>HYPERLINK("https://twitter.com/1brahimaydin/status/1181927137328148480","1181927137328148480")</f>
        <v>1181927137328148480</v>
      </c>
      <c r="F1738" s="8"/>
      <c r="G1738" s="7"/>
      <c r="H1738" s="8"/>
      <c r="I1738" s="15">
        <v>0</v>
      </c>
      <c r="J1738" s="15">
        <v>1</v>
      </c>
      <c r="K1738" s="12" t="str">
        <f>HYPERLINK("http://twitter.com/download/android","Twitter for Android")</f>
        <v>Twitter for Android</v>
      </c>
      <c r="L1738" s="16">
        <v>329</v>
      </c>
      <c r="M1738" s="16">
        <v>135</v>
      </c>
      <c r="N1738" s="16">
        <v>4</v>
      </c>
      <c r="O1738" s="17"/>
      <c r="P1738" s="18">
        <v>40263.714791666665</v>
      </c>
      <c r="Q1738" s="7" t="s">
        <v>313</v>
      </c>
      <c r="R1738" s="21" t="s">
        <v>12568</v>
      </c>
      <c r="S1738" s="7"/>
      <c r="T1738" s="8"/>
      <c r="U1738" s="19" t="str">
        <f>HYPERLINK("https://pbs.twimg.com/profile_images/1169533545401991175/4pAWgLFo.jpg","View")</f>
        <v>View</v>
      </c>
      <c r="V1738" s="8"/>
      <c r="W1738" s="8"/>
      <c r="X1738" s="8"/>
      <c r="Y1738" s="8"/>
      <c r="Z1738" s="8"/>
    </row>
    <row r="1739" spans="1:26" ht="12.75">
      <c r="A1739" s="11">
        <v>43747.277337962965</v>
      </c>
      <c r="B1739" s="12" t="str">
        <f>HYPERLINK("https://twitter.com/MilatGazete","@MilatGazete")</f>
        <v>@MilatGazete</v>
      </c>
      <c r="C1739" s="7" t="s">
        <v>12569</v>
      </c>
      <c r="D1739" s="7" t="s">
        <v>12570</v>
      </c>
      <c r="E1739" s="12" t="str">
        <f>HYPERLINK("https://twitter.com/MilatGazete/status/1181927135419785216","1181927135419785216")</f>
        <v>1181927135419785216</v>
      </c>
      <c r="F1739" s="14" t="s">
        <v>12571</v>
      </c>
      <c r="G1739" s="14" t="s">
        <v>12572</v>
      </c>
      <c r="H1739" s="8"/>
      <c r="I1739" s="15">
        <v>0</v>
      </c>
      <c r="J1739" s="15">
        <v>1</v>
      </c>
      <c r="K1739" s="12" t="str">
        <f>HYPERLINK("https://mobile.twitter.com","Twitter Web App")</f>
        <v>Twitter Web App</v>
      </c>
      <c r="L1739" s="16">
        <v>61123</v>
      </c>
      <c r="M1739" s="16">
        <v>24</v>
      </c>
      <c r="N1739" s="16">
        <v>184</v>
      </c>
      <c r="O1739" s="17" t="s">
        <v>984</v>
      </c>
      <c r="P1739" s="18">
        <v>40825.437442129631</v>
      </c>
      <c r="Q1739" s="7" t="s">
        <v>313</v>
      </c>
      <c r="R1739" s="7" t="s">
        <v>12573</v>
      </c>
      <c r="S1739" s="14" t="s">
        <v>12574</v>
      </c>
      <c r="T1739" s="8"/>
      <c r="U1739" s="19" t="str">
        <f>HYPERLINK("https://pbs.twimg.com/profile_images/1003981219229466625/vmqnNWyy.jpg","View")</f>
        <v>View</v>
      </c>
      <c r="V1739" s="8"/>
      <c r="W1739" s="8"/>
      <c r="X1739" s="8"/>
      <c r="Y1739" s="8"/>
      <c r="Z1739" s="8"/>
    </row>
    <row r="1740" spans="1:26" ht="12.75">
      <c r="A1740" s="11">
        <v>43747.277337962965</v>
      </c>
      <c r="B1740" s="12" t="str">
        <f>HYPERLINK("https://twitter.com/OsmanKar46","@OsmanKar46")</f>
        <v>@OsmanKar46</v>
      </c>
      <c r="C1740" s="7" t="s">
        <v>4124</v>
      </c>
      <c r="D1740" s="7" t="s">
        <v>12575</v>
      </c>
      <c r="E1740" s="12" t="str">
        <f>HYPERLINK("https://twitter.com/OsmanKar46/status/1181927132525744130","1181927132525744130")</f>
        <v>1181927132525744130</v>
      </c>
      <c r="F1740" s="8"/>
      <c r="G1740" s="14" t="s">
        <v>12576</v>
      </c>
      <c r="H1740" s="8"/>
      <c r="I1740" s="15">
        <v>0</v>
      </c>
      <c r="J1740" s="15">
        <v>1</v>
      </c>
      <c r="K1740" s="12" t="str">
        <f>HYPERLINK("http://twitter.com/download/android","Twitter for Android")</f>
        <v>Twitter for Android</v>
      </c>
      <c r="L1740" s="16">
        <v>187</v>
      </c>
      <c r="M1740" s="16">
        <v>298</v>
      </c>
      <c r="N1740" s="16">
        <v>0</v>
      </c>
      <c r="O1740" s="17"/>
      <c r="P1740" s="18">
        <v>43138.474976851852</v>
      </c>
      <c r="Q1740" s="7"/>
      <c r="R1740" s="7" t="s">
        <v>12577</v>
      </c>
      <c r="S1740" s="15"/>
      <c r="T1740" s="8"/>
      <c r="U1740" s="19" t="str">
        <f>HYPERLINK("https://pbs.twimg.com/profile_images/1034838542457946112/qF1YIfWB.jpg","View")</f>
        <v>View</v>
      </c>
      <c r="V1740" s="8"/>
      <c r="W1740" s="8"/>
      <c r="X1740" s="8"/>
      <c r="Y1740" s="8"/>
      <c r="Z1740" s="8"/>
    </row>
    <row r="1741" spans="1:26" ht="12.75">
      <c r="A1741" s="11">
        <v>43747.277314814812</v>
      </c>
      <c r="B1741" s="12" t="str">
        <f>HYPERLINK("https://twitter.com/MahjoubGhalia","@MahjoubGhalia")</f>
        <v>@MahjoubGhalia</v>
      </c>
      <c r="C1741" s="7" t="s">
        <v>12578</v>
      </c>
      <c r="D1741" s="7" t="s">
        <v>12579</v>
      </c>
      <c r="E1741" s="12" t="str">
        <f>HYPERLINK("https://twitter.com/MahjoubGhalia/status/1181927126557171713","1181927126557171713")</f>
        <v>1181927126557171713</v>
      </c>
      <c r="F1741" s="8"/>
      <c r="G1741" s="14" t="s">
        <v>12580</v>
      </c>
      <c r="H1741" s="8"/>
      <c r="I1741" s="15">
        <v>0</v>
      </c>
      <c r="J1741" s="15">
        <v>0</v>
      </c>
      <c r="K1741" s="12" t="str">
        <f>HYPERLINK("http://twitter.com/download/iphone","Twitter for iPhone")</f>
        <v>Twitter for iPhone</v>
      </c>
      <c r="L1741" s="16">
        <v>1229</v>
      </c>
      <c r="M1741" s="16">
        <v>941</v>
      </c>
      <c r="N1741" s="16">
        <v>5</v>
      </c>
      <c r="O1741" s="17"/>
      <c r="P1741" s="18">
        <v>40975.77280092593</v>
      </c>
      <c r="Q1741" s="7" t="s">
        <v>12581</v>
      </c>
      <c r="R1741" s="7" t="s">
        <v>12582</v>
      </c>
      <c r="S1741" s="7"/>
      <c r="T1741" s="8"/>
      <c r="U1741" s="19" t="str">
        <f>HYPERLINK("https://pbs.twimg.com/profile_images/1084915913969844224/zvgWHmQ4.jpg","View")</f>
        <v>View</v>
      </c>
      <c r="V1741" s="8"/>
      <c r="W1741" s="8"/>
      <c r="X1741" s="8"/>
      <c r="Y1741" s="8"/>
      <c r="Z1741" s="8"/>
    </row>
    <row r="1742" spans="1:26" ht="12.75">
      <c r="A1742" s="11">
        <v>43747.277314814812</v>
      </c>
      <c r="B1742" s="12" t="str">
        <f>HYPERLINK("https://twitter.com/erkinizm__1","@erkinizm__1")</f>
        <v>@erkinizm__1</v>
      </c>
      <c r="C1742" s="7" t="s">
        <v>12583</v>
      </c>
      <c r="D1742" s="7" t="s">
        <v>12584</v>
      </c>
      <c r="E1742" s="12" t="str">
        <f>HYPERLINK("https://twitter.com/erkinizm__1/status/1181927125709926401","1181927125709926401")</f>
        <v>1181927125709926401</v>
      </c>
      <c r="F1742" s="8"/>
      <c r="G1742" s="7"/>
      <c r="H1742" s="8"/>
      <c r="I1742" s="15">
        <v>0</v>
      </c>
      <c r="J1742" s="15">
        <v>0</v>
      </c>
      <c r="K1742" s="12" t="str">
        <f>HYPERLINK("http://twitter.com/download/android","Twitter for Android")</f>
        <v>Twitter for Android</v>
      </c>
      <c r="L1742" s="16">
        <v>91</v>
      </c>
      <c r="M1742" s="16">
        <v>61</v>
      </c>
      <c r="N1742" s="16">
        <v>0</v>
      </c>
      <c r="O1742" s="17"/>
      <c r="P1742" s="18">
        <v>42683.495717592596</v>
      </c>
      <c r="Q1742" s="7" t="s">
        <v>12585</v>
      </c>
      <c r="R1742" s="7" t="s">
        <v>12586</v>
      </c>
      <c r="S1742" s="15"/>
      <c r="T1742" s="8"/>
      <c r="U1742" s="19" t="str">
        <f>HYPERLINK("https://pbs.twimg.com/profile_images/1168628392075386882/QiQwbFeK.jpg","View")</f>
        <v>View</v>
      </c>
      <c r="V1742" s="8"/>
      <c r="W1742" s="8"/>
      <c r="X1742" s="8"/>
      <c r="Y1742" s="8"/>
      <c r="Z1742" s="8"/>
    </row>
    <row r="1743" spans="1:26" ht="12.75">
      <c r="A1743" s="11">
        <v>43747.277314814812</v>
      </c>
      <c r="B1743" s="12" t="str">
        <f>HYPERLINK("https://twitter.com/DonBlais85","@DonBlais85")</f>
        <v>@DonBlais85</v>
      </c>
      <c r="C1743" s="7" t="s">
        <v>12587</v>
      </c>
      <c r="D1743" s="7" t="s">
        <v>12588</v>
      </c>
      <c r="E1743" s="12" t="str">
        <f>HYPERLINK("https://twitter.com/DonBlais85/status/1181927124430655488","1181927124430655488")</f>
        <v>1181927124430655488</v>
      </c>
      <c r="F1743" s="8" t="s">
        <v>12589</v>
      </c>
      <c r="G1743" s="15"/>
      <c r="H1743" s="8"/>
      <c r="I1743" s="15">
        <v>2</v>
      </c>
      <c r="J1743" s="15">
        <v>1</v>
      </c>
      <c r="K1743" s="12" t="str">
        <f>HYPERLINK("http://twitter.com/download/android","Twitter for Android")</f>
        <v>Twitter for Android</v>
      </c>
      <c r="L1743" s="16">
        <v>938</v>
      </c>
      <c r="M1743" s="16">
        <v>579</v>
      </c>
      <c r="N1743" s="16">
        <v>22</v>
      </c>
      <c r="O1743" s="17"/>
      <c r="P1743" s="18">
        <v>40904.802488425928</v>
      </c>
      <c r="Q1743" s="7" t="s">
        <v>12590</v>
      </c>
      <c r="R1743" s="7" t="s">
        <v>12591</v>
      </c>
      <c r="S1743" s="7"/>
      <c r="T1743" s="8"/>
      <c r="U1743" s="19" t="str">
        <f>HYPERLINK("https://pbs.twimg.com/profile_images/1017541146292125696/DLF1NL3N.jpg","View")</f>
        <v>View</v>
      </c>
      <c r="V1743" s="8"/>
      <c r="W1743" s="8"/>
      <c r="X1743" s="8"/>
      <c r="Y1743" s="8"/>
      <c r="Z1743" s="8"/>
    </row>
    <row r="1744" spans="1:26" ht="12.75">
      <c r="A1744" s="11">
        <v>43747.277303240742</v>
      </c>
      <c r="B1744" s="12" t="str">
        <f>HYPERLINK("https://twitter.com/Banuuu23166555","@Banuuu23166555")</f>
        <v>@Banuuu23166555</v>
      </c>
      <c r="C1744" s="7" t="s">
        <v>12595</v>
      </c>
      <c r="D1744" s="7" t="s">
        <v>12596</v>
      </c>
      <c r="E1744" s="12" t="str">
        <f>HYPERLINK("https://twitter.com/Banuuu23166555/status/1181927120940855297","1181927120940855297")</f>
        <v>1181927120940855297</v>
      </c>
      <c r="F1744" s="8"/>
      <c r="G1744" s="14" t="s">
        <v>12597</v>
      </c>
      <c r="H1744" s="8"/>
      <c r="I1744" s="15">
        <v>0</v>
      </c>
      <c r="J1744" s="15">
        <v>0</v>
      </c>
      <c r="K1744" s="12" t="str">
        <f>HYPERLINK("http://twitter.com/download/android","Twitter for Android")</f>
        <v>Twitter for Android</v>
      </c>
      <c r="L1744" s="16">
        <v>0</v>
      </c>
      <c r="M1744" s="16">
        <v>6</v>
      </c>
      <c r="N1744" s="16">
        <v>0</v>
      </c>
      <c r="O1744" s="17"/>
      <c r="P1744" s="18">
        <v>43737.20648148148</v>
      </c>
      <c r="Q1744" s="7"/>
      <c r="R1744" s="7"/>
      <c r="S1744" s="15"/>
      <c r="T1744" s="8"/>
      <c r="U1744" s="19" t="str">
        <f>HYPERLINK("https://pbs.twimg.com/profile_images/1178277692598341633/lYT81hlj.jpg","View")</f>
        <v>View</v>
      </c>
      <c r="V1744" s="8"/>
      <c r="W1744" s="8"/>
      <c r="X1744" s="8"/>
      <c r="Y1744" s="8"/>
      <c r="Z1744" s="8"/>
    </row>
    <row r="1745" spans="1:26" ht="12.75">
      <c r="A1745" s="11">
        <v>43747.277291666665</v>
      </c>
      <c r="B1745" s="12" t="str">
        <f>HYPERLINK("https://twitter.com/tekerstcamkena1","@tekerstcamkena1")</f>
        <v>@tekerstcamkena1</v>
      </c>
      <c r="C1745" s="7" t="s">
        <v>12601</v>
      </c>
      <c r="D1745" s="7" t="s">
        <v>12602</v>
      </c>
      <c r="E1745" s="12" t="str">
        <f>HYPERLINK("https://twitter.com/tekerstcamkena1/status/1181927115371012097","1181927115371012097")</f>
        <v>1181927115371012097</v>
      </c>
      <c r="F1745" s="8"/>
      <c r="G1745" s="14" t="s">
        <v>12604</v>
      </c>
      <c r="H1745" s="8"/>
      <c r="I1745" s="15">
        <v>0</v>
      </c>
      <c r="J1745" s="15">
        <v>0</v>
      </c>
      <c r="K1745" s="12" t="str">
        <f>HYPERLINK("https://mobile.twitter.com","Twitter Web App")</f>
        <v>Twitter Web App</v>
      </c>
      <c r="L1745" s="16">
        <v>28</v>
      </c>
      <c r="M1745" s="16">
        <v>319</v>
      </c>
      <c r="N1745" s="16">
        <v>0</v>
      </c>
      <c r="O1745" s="17"/>
      <c r="P1745" s="18">
        <v>40105.17527777778</v>
      </c>
      <c r="Q1745" s="7"/>
      <c r="R1745" s="7"/>
      <c r="S1745" s="7"/>
      <c r="T1745" s="8"/>
      <c r="U1745" s="19" t="str">
        <f>HYPERLINK("https://pbs.twimg.com/profile_images/973382155920445440/L_Y1V01t.jpg","View")</f>
        <v>View</v>
      </c>
      <c r="V1745" s="8"/>
      <c r="W1745" s="8"/>
      <c r="X1745" s="8"/>
      <c r="Y1745" s="8"/>
      <c r="Z1745" s="8"/>
    </row>
    <row r="1746" spans="1:26" ht="12.75">
      <c r="A1746" s="11">
        <v>43747.277280092589</v>
      </c>
      <c r="B1746" s="12" t="str">
        <f>HYPERLINK("https://twitter.com/emrearducc","@emrearducc")</f>
        <v>@emrearducc</v>
      </c>
      <c r="C1746" s="7" t="s">
        <v>12607</v>
      </c>
      <c r="D1746" s="7" t="s">
        <v>12608</v>
      </c>
      <c r="E1746" s="12" t="str">
        <f>HYPERLINK("https://twitter.com/emrearducc/status/1181927111159877632","1181927111159877632")</f>
        <v>1181927111159877632</v>
      </c>
      <c r="F1746" s="8"/>
      <c r="G1746" s="15"/>
      <c r="H1746" s="8"/>
      <c r="I1746" s="15">
        <v>1</v>
      </c>
      <c r="J1746" s="15">
        <v>4</v>
      </c>
      <c r="K1746" s="12" t="str">
        <f>HYPERLINK("http://twitter.com/download/iphone","Twitter for iPhone")</f>
        <v>Twitter for iPhone</v>
      </c>
      <c r="L1746" s="16">
        <v>238</v>
      </c>
      <c r="M1746" s="16">
        <v>182</v>
      </c>
      <c r="N1746" s="16">
        <v>0</v>
      </c>
      <c r="O1746" s="17"/>
      <c r="P1746" s="18">
        <v>42050.495717592596</v>
      </c>
      <c r="Q1746" s="7" t="s">
        <v>8513</v>
      </c>
      <c r="R1746" s="7" t="s">
        <v>12611</v>
      </c>
      <c r="S1746" s="14" t="s">
        <v>12612</v>
      </c>
      <c r="T1746" s="8"/>
      <c r="U1746" s="19" t="str">
        <f>HYPERLINK("https://pbs.twimg.com/profile_images/1139088818563424257/jlAR58gr.jpg","View")</f>
        <v>View</v>
      </c>
      <c r="V1746" s="8"/>
      <c r="W1746" s="8"/>
      <c r="X1746" s="8"/>
      <c r="Y1746" s="8"/>
      <c r="Z1746" s="8"/>
    </row>
    <row r="1747" spans="1:26" ht="12.75">
      <c r="A1747" s="11">
        <v>43747.277268518519</v>
      </c>
      <c r="B1747" s="12" t="str">
        <f>HYPERLINK("https://twitter.com/NightBend","@NightBend")</f>
        <v>@NightBend</v>
      </c>
      <c r="C1747" s="7" t="s">
        <v>12613</v>
      </c>
      <c r="D1747" s="7" t="s">
        <v>12614</v>
      </c>
      <c r="E1747" s="12" t="str">
        <f>HYPERLINK("https://twitter.com/NightBend/status/1181927108727234565","1181927108727234565")</f>
        <v>1181927108727234565</v>
      </c>
      <c r="F1747" s="8"/>
      <c r="G1747" s="14" t="s">
        <v>12615</v>
      </c>
      <c r="H1747" s="8"/>
      <c r="I1747" s="15">
        <v>1</v>
      </c>
      <c r="J1747" s="15">
        <v>2</v>
      </c>
      <c r="K1747" s="12" t="str">
        <f>HYPERLINK("http://twitter.com/download/android","Twitter for Android")</f>
        <v>Twitter for Android</v>
      </c>
      <c r="L1747" s="16">
        <v>884</v>
      </c>
      <c r="M1747" s="16">
        <v>569</v>
      </c>
      <c r="N1747" s="16">
        <v>2</v>
      </c>
      <c r="O1747" s="17"/>
      <c r="P1747" s="18">
        <v>40364.21465277778</v>
      </c>
      <c r="Q1747" s="7" t="s">
        <v>12616</v>
      </c>
      <c r="R1747" s="7"/>
      <c r="S1747" s="14" t="s">
        <v>12617</v>
      </c>
      <c r="T1747" s="8"/>
      <c r="U1747" s="19" t="str">
        <f>HYPERLINK("https://pbs.twimg.com/profile_images/991045878235521024/0ENs3xr8.jpg","View")</f>
        <v>View</v>
      </c>
      <c r="V1747" s="8"/>
      <c r="W1747" s="8"/>
      <c r="X1747" s="8"/>
      <c r="Y1747" s="8"/>
      <c r="Z1747" s="8"/>
    </row>
    <row r="1748" spans="1:26" ht="12.75">
      <c r="A1748" s="11">
        <v>43747.277233796296</v>
      </c>
      <c r="B1748" s="12" t="str">
        <f>HYPERLINK("https://twitter.com/alper_isbilen","@alper_isbilen")</f>
        <v>@alper_isbilen</v>
      </c>
      <c r="C1748" s="7" t="s">
        <v>12620</v>
      </c>
      <c r="D1748" s="7" t="s">
        <v>12621</v>
      </c>
      <c r="E1748" s="12" t="str">
        <f>HYPERLINK("https://twitter.com/alper_isbilen/status/1181927097733976064","1181927097733976064")</f>
        <v>1181927097733976064</v>
      </c>
      <c r="F1748" s="15"/>
      <c r="G1748" s="14" t="s">
        <v>12622</v>
      </c>
      <c r="H1748" s="8"/>
      <c r="I1748" s="15">
        <v>0</v>
      </c>
      <c r="J1748" s="15">
        <v>3</v>
      </c>
      <c r="K1748" s="12" t="str">
        <f>HYPERLINK("http://twitter.com/download/iphone","Twitter for iPhone")</f>
        <v>Twitter for iPhone</v>
      </c>
      <c r="L1748" s="16">
        <v>2399</v>
      </c>
      <c r="M1748" s="16">
        <v>2258</v>
      </c>
      <c r="N1748" s="16">
        <v>1</v>
      </c>
      <c r="O1748" s="17"/>
      <c r="P1748" s="18">
        <v>42765.040706018517</v>
      </c>
      <c r="Q1748" s="7" t="s">
        <v>2201</v>
      </c>
      <c r="R1748" s="7" t="s">
        <v>12625</v>
      </c>
      <c r="S1748" s="14" t="s">
        <v>12626</v>
      </c>
      <c r="T1748" s="8"/>
      <c r="U1748" s="19" t="str">
        <f>HYPERLINK("https://pbs.twimg.com/profile_images/1172913918358052864/vg_AFD3I.jpg","View")</f>
        <v>View</v>
      </c>
      <c r="V1748" s="8"/>
      <c r="W1748" s="8"/>
      <c r="X1748" s="8"/>
      <c r="Y1748" s="8"/>
      <c r="Z1748" s="8"/>
    </row>
    <row r="1749" spans="1:26" ht="12.75">
      <c r="A1749" s="11">
        <v>43747.277233796296</v>
      </c>
      <c r="B1749" s="12" t="str">
        <f>HYPERLINK("https://twitter.com/sametgok25671","@sametgok25671")</f>
        <v>@sametgok25671</v>
      </c>
      <c r="C1749" s="7" t="s">
        <v>12630</v>
      </c>
      <c r="D1749" s="7" t="s">
        <v>12631</v>
      </c>
      <c r="E1749" s="12" t="str">
        <f>HYPERLINK("https://twitter.com/sametgok25671/status/1181927097180155904","1181927097180155904")</f>
        <v>1181927097180155904</v>
      </c>
      <c r="F1749" s="8"/>
      <c r="G1749" s="15"/>
      <c r="H1749" s="8"/>
      <c r="I1749" s="15">
        <v>0</v>
      </c>
      <c r="J1749" s="15">
        <v>1</v>
      </c>
      <c r="K1749" s="12" t="str">
        <f>HYPERLINK("http://twitter.com/download/android","Twitter for Android")</f>
        <v>Twitter for Android</v>
      </c>
      <c r="L1749" s="16">
        <v>5</v>
      </c>
      <c r="M1749" s="16">
        <v>70</v>
      </c>
      <c r="N1749" s="16">
        <v>0</v>
      </c>
      <c r="O1749" s="17"/>
      <c r="P1749" s="18">
        <v>43716.163368055553</v>
      </c>
      <c r="Q1749" s="7" t="s">
        <v>313</v>
      </c>
      <c r="R1749" s="7"/>
      <c r="S1749" s="7"/>
      <c r="T1749" s="8"/>
      <c r="U1749" s="19" t="str">
        <f>HYPERLINK("https://pbs.twimg.com/profile_images/1171131872639893505/jTjawpcJ.jpg","View")</f>
        <v>View</v>
      </c>
      <c r="V1749" s="8"/>
      <c r="W1749" s="8"/>
      <c r="X1749" s="8"/>
      <c r="Y1749" s="8"/>
      <c r="Z1749" s="8"/>
    </row>
    <row r="1750" spans="1:26" ht="12.75">
      <c r="A1750" s="11">
        <v>43747.277233796296</v>
      </c>
      <c r="B1750" s="12" t="str">
        <f>HYPERLINK("https://twitter.com/omaxsah","@omaxsah")</f>
        <v>@omaxsah</v>
      </c>
      <c r="C1750" s="7" t="s">
        <v>12632</v>
      </c>
      <c r="D1750" s="7" t="s">
        <v>12633</v>
      </c>
      <c r="E1750" s="12" t="str">
        <f>HYPERLINK("https://twitter.com/omaxsah/status/1181927095955578885","1181927095955578885")</f>
        <v>1181927095955578885</v>
      </c>
      <c r="F1750" s="8"/>
      <c r="G1750" s="15"/>
      <c r="H1750" s="8"/>
      <c r="I1750" s="15">
        <v>9</v>
      </c>
      <c r="J1750" s="15">
        <v>50</v>
      </c>
      <c r="K1750" s="12" t="str">
        <f>HYPERLINK("https://mobile.twitter.com","Twitter Web App")</f>
        <v>Twitter Web App</v>
      </c>
      <c r="L1750" s="16">
        <v>7323</v>
      </c>
      <c r="M1750" s="16">
        <v>7069</v>
      </c>
      <c r="N1750" s="16">
        <v>9</v>
      </c>
      <c r="O1750" s="17"/>
      <c r="P1750" s="18">
        <v>40279.525046296294</v>
      </c>
      <c r="Q1750" s="7" t="s">
        <v>69</v>
      </c>
      <c r="R1750" s="7" t="s">
        <v>12634</v>
      </c>
      <c r="S1750" s="14" t="s">
        <v>12635</v>
      </c>
      <c r="T1750" s="8"/>
      <c r="U1750" s="19" t="str">
        <f>HYPERLINK("https://pbs.twimg.com/profile_images/1153418525140279296/tu0K5VQd.jpg","View")</f>
        <v>View</v>
      </c>
      <c r="V1750" s="8"/>
      <c r="W1750" s="8"/>
      <c r="X1750" s="8"/>
      <c r="Y1750" s="8"/>
      <c r="Z1750" s="8"/>
    </row>
    <row r="1751" spans="1:26" ht="12.75">
      <c r="A1751" s="11">
        <v>43747.277233796296</v>
      </c>
      <c r="B1751" s="12" t="str">
        <f>HYPERLINK("https://twitter.com/Zincirsiz58","@Zincirsiz58")</f>
        <v>@Zincirsiz58</v>
      </c>
      <c r="C1751" s="7" t="s">
        <v>12639</v>
      </c>
      <c r="D1751" s="7" t="s">
        <v>12640</v>
      </c>
      <c r="E1751" s="12" t="str">
        <f>HYPERLINK("https://twitter.com/Zincirsiz58/status/1181927095099969537","1181927095099969537")</f>
        <v>1181927095099969537</v>
      </c>
      <c r="F1751" s="8"/>
      <c r="G1751" s="15"/>
      <c r="H1751" s="8"/>
      <c r="I1751" s="15">
        <v>1</v>
      </c>
      <c r="J1751" s="15">
        <v>1</v>
      </c>
      <c r="K1751" s="12" t="str">
        <f>HYPERLINK("http://twitter.com/download/iphone","Twitter for iPhone")</f>
        <v>Twitter for iPhone</v>
      </c>
      <c r="L1751" s="16">
        <v>1394</v>
      </c>
      <c r="M1751" s="16">
        <v>1358</v>
      </c>
      <c r="N1751" s="16">
        <v>0</v>
      </c>
      <c r="O1751" s="17"/>
      <c r="P1751" s="18">
        <v>42599.162939814814</v>
      </c>
      <c r="Q1751" s="7"/>
      <c r="R1751" s="7" t="s">
        <v>12641</v>
      </c>
      <c r="S1751" s="7"/>
      <c r="T1751" s="8"/>
      <c r="U1751" s="19" t="str">
        <f>HYPERLINK("https://pbs.twimg.com/profile_images/765872166042755072/rpWoLXE2.jpg","View")</f>
        <v>View</v>
      </c>
      <c r="V1751" s="8"/>
      <c r="W1751" s="8"/>
      <c r="X1751" s="8"/>
      <c r="Y1751" s="8"/>
      <c r="Z1751" s="8"/>
    </row>
    <row r="1752" spans="1:26" ht="12.75">
      <c r="A1752" s="11">
        <v>43747.277199074073</v>
      </c>
      <c r="B1752" s="12" t="str">
        <f>HYPERLINK("https://twitter.com/FTHKR03","@FTHKR03")</f>
        <v>@FTHKR03</v>
      </c>
      <c r="C1752" s="7" t="s">
        <v>12647</v>
      </c>
      <c r="D1752" s="7" t="s">
        <v>3552</v>
      </c>
      <c r="E1752" s="12" t="str">
        <f>HYPERLINK("https://twitter.com/FTHKR03/status/1181927082026311680","1181927082026311680")</f>
        <v>1181927082026311680</v>
      </c>
      <c r="F1752" s="8"/>
      <c r="G1752" s="14" t="s">
        <v>12648</v>
      </c>
      <c r="H1752" s="8"/>
      <c r="I1752" s="15">
        <v>0</v>
      </c>
      <c r="J1752" s="15">
        <v>5</v>
      </c>
      <c r="K1752" s="12" t="str">
        <f>HYPERLINK("http://twitter.com/download/android","Twitter for Android")</f>
        <v>Twitter for Android</v>
      </c>
      <c r="L1752" s="16">
        <v>205</v>
      </c>
      <c r="M1752" s="16">
        <v>139</v>
      </c>
      <c r="N1752" s="16">
        <v>0</v>
      </c>
      <c r="O1752" s="17"/>
      <c r="P1752" s="18">
        <v>43459.13581018518</v>
      </c>
      <c r="Q1752" s="7" t="s">
        <v>12649</v>
      </c>
      <c r="R1752" s="7" t="s">
        <v>12650</v>
      </c>
      <c r="S1752" s="7"/>
      <c r="T1752" s="8"/>
      <c r="U1752" s="19" t="str">
        <f>HYPERLINK("https://pbs.twimg.com/profile_images/1171340509782126592/1Z7EDhdF.jpg","View")</f>
        <v>View</v>
      </c>
      <c r="V1752" s="8"/>
      <c r="W1752" s="8"/>
      <c r="X1752" s="8"/>
      <c r="Y1752" s="8"/>
      <c r="Z1752" s="8"/>
    </row>
    <row r="1753" spans="1:26" ht="12.75">
      <c r="A1753" s="11">
        <v>43747.277199074073</v>
      </c>
      <c r="B1753" s="12" t="str">
        <f>HYPERLINK("https://twitter.com/fatihgurer09","@fatihgurer09")</f>
        <v>@fatihgurer09</v>
      </c>
      <c r="C1753" s="7" t="s">
        <v>12653</v>
      </c>
      <c r="D1753" s="7" t="s">
        <v>12654</v>
      </c>
      <c r="E1753" s="12" t="str">
        <f>HYPERLINK("https://twitter.com/fatihgurer09/status/1181927081636241410","1181927081636241410")</f>
        <v>1181927081636241410</v>
      </c>
      <c r="F1753" s="8"/>
      <c r="G1753" s="14" t="s">
        <v>12656</v>
      </c>
      <c r="H1753" s="8"/>
      <c r="I1753" s="15">
        <v>3</v>
      </c>
      <c r="J1753" s="15">
        <v>5</v>
      </c>
      <c r="K1753" s="12" t="str">
        <f>HYPERLINK("http://twitter.com/download/iphone","Twitter for iPhone")</f>
        <v>Twitter for iPhone</v>
      </c>
      <c r="L1753" s="16">
        <v>4943</v>
      </c>
      <c r="M1753" s="16">
        <v>5167</v>
      </c>
      <c r="N1753" s="16">
        <v>5</v>
      </c>
      <c r="O1753" s="17"/>
      <c r="P1753" s="18">
        <v>40111.614398148144</v>
      </c>
      <c r="Q1753" s="7" t="s">
        <v>12657</v>
      </c>
      <c r="R1753" s="7" t="s">
        <v>12659</v>
      </c>
      <c r="S1753" s="7"/>
      <c r="T1753" s="8"/>
      <c r="U1753" s="19" t="str">
        <f>HYPERLINK("https://pbs.twimg.com/profile_images/1154756306424815616/xb1LUO-l.jpg","View")</f>
        <v>View</v>
      </c>
      <c r="V1753" s="8"/>
      <c r="W1753" s="8"/>
      <c r="X1753" s="8"/>
      <c r="Y1753" s="8"/>
      <c r="Z1753" s="8"/>
    </row>
    <row r="1754" spans="1:26" ht="12.75">
      <c r="A1754" s="11">
        <v>43747.277187500003</v>
      </c>
      <c r="B1754" s="12" t="str">
        <f>HYPERLINK("https://twitter.com/Muvaffak24","@Muvaffak24")</f>
        <v>@Muvaffak24</v>
      </c>
      <c r="C1754" s="7" t="s">
        <v>12660</v>
      </c>
      <c r="D1754" s="7" t="s">
        <v>12661</v>
      </c>
      <c r="E1754" s="12" t="str">
        <f>HYPERLINK("https://twitter.com/Muvaffak24/status/1181927077236416512","1181927077236416512")</f>
        <v>1181927077236416512</v>
      </c>
      <c r="F1754" s="8"/>
      <c r="G1754" s="14" t="s">
        <v>12662</v>
      </c>
      <c r="H1754" s="8"/>
      <c r="I1754" s="15">
        <v>0</v>
      </c>
      <c r="J1754" s="15">
        <v>0</v>
      </c>
      <c r="K1754" s="12" t="str">
        <f>HYPERLINK("https://mobile.twitter.com","Twitter Web App")</f>
        <v>Twitter Web App</v>
      </c>
      <c r="L1754" s="16">
        <v>348</v>
      </c>
      <c r="M1754" s="16">
        <v>386</v>
      </c>
      <c r="N1754" s="16">
        <v>0</v>
      </c>
      <c r="O1754" s="17"/>
      <c r="P1754" s="18">
        <v>41406.443020833336</v>
      </c>
      <c r="Q1754" s="7"/>
      <c r="R1754" s="7" t="s">
        <v>12663</v>
      </c>
      <c r="S1754" s="7"/>
      <c r="T1754" s="8"/>
      <c r="U1754" s="19" t="str">
        <f>HYPERLINK("https://pbs.twimg.com/profile_images/709780749113827328/ZarfuY9t.jpg","View")</f>
        <v>View</v>
      </c>
      <c r="V1754" s="8"/>
      <c r="W1754" s="8"/>
      <c r="X1754" s="8"/>
      <c r="Y1754" s="8"/>
      <c r="Z1754" s="8"/>
    </row>
    <row r="1755" spans="1:26" ht="12.75">
      <c r="A1755" s="11">
        <v>43747.27715277778</v>
      </c>
      <c r="B1755" s="12" t="str">
        <f>HYPERLINK("https://twitter.com/think_big8","@think_big8")</f>
        <v>@think_big8</v>
      </c>
      <c r="C1755" s="7" t="s">
        <v>12670</v>
      </c>
      <c r="D1755" s="7" t="s">
        <v>12671</v>
      </c>
      <c r="E1755" s="12" t="str">
        <f>HYPERLINK("https://twitter.com/think_big8/status/1181927068059291648","1181927068059291648")</f>
        <v>1181927068059291648</v>
      </c>
      <c r="F1755" s="8"/>
      <c r="G1755" s="14" t="s">
        <v>12672</v>
      </c>
      <c r="H1755" s="8"/>
      <c r="I1755" s="15">
        <v>0</v>
      </c>
      <c r="J1755" s="15">
        <v>0</v>
      </c>
      <c r="K1755" s="12" t="str">
        <f>HYPERLINK("http://twitter.com/download/android","Twitter for Android")</f>
        <v>Twitter for Android</v>
      </c>
      <c r="L1755" s="16">
        <v>405</v>
      </c>
      <c r="M1755" s="16">
        <v>2844</v>
      </c>
      <c r="N1755" s="16">
        <v>1</v>
      </c>
      <c r="O1755" s="17"/>
      <c r="P1755" s="18">
        <v>42465.433229166665</v>
      </c>
      <c r="Q1755" s="7"/>
      <c r="R1755" s="7" t="s">
        <v>12673</v>
      </c>
      <c r="S1755" s="7"/>
      <c r="T1755" s="8"/>
      <c r="U1755" s="19" t="str">
        <f>HYPERLINK("https://pbs.twimg.com/profile_images/1152913799793582081/OdUVc4nG.jpg","View")</f>
        <v>View</v>
      </c>
      <c r="V1755" s="8"/>
      <c r="W1755" s="8"/>
      <c r="X1755" s="8"/>
      <c r="Y1755" s="8"/>
      <c r="Z1755" s="8"/>
    </row>
    <row r="1756" spans="1:26" ht="12.75">
      <c r="A1756" s="11">
        <v>43747.277141203704</v>
      </c>
      <c r="B1756" s="12" t="str">
        <f>HYPERLINK("https://twitter.com/A_ODER1903","@A_ODER1903")</f>
        <v>@A_ODER1903</v>
      </c>
      <c r="C1756" s="7" t="s">
        <v>12677</v>
      </c>
      <c r="D1756" s="7" t="s">
        <v>12678</v>
      </c>
      <c r="E1756" s="12" t="str">
        <f>HYPERLINK("https://twitter.com/A_ODER1903/status/1181927064217292801","1181927064217292801")</f>
        <v>1181927064217292801</v>
      </c>
      <c r="F1756" s="8"/>
      <c r="G1756" s="7"/>
      <c r="H1756" s="8"/>
      <c r="I1756" s="15">
        <v>0</v>
      </c>
      <c r="J1756" s="15">
        <v>0</v>
      </c>
      <c r="K1756" s="12" t="str">
        <f>HYPERLINK("http://twitter.com/download/android","Twitter for Android")</f>
        <v>Twitter for Android</v>
      </c>
      <c r="L1756" s="16">
        <v>24</v>
      </c>
      <c r="M1756" s="16">
        <v>130</v>
      </c>
      <c r="N1756" s="16">
        <v>0</v>
      </c>
      <c r="O1756" s="17"/>
      <c r="P1756" s="18">
        <v>42053.14298611111</v>
      </c>
      <c r="Q1756" s="7"/>
      <c r="R1756" s="7" t="s">
        <v>12681</v>
      </c>
      <c r="S1756" s="7"/>
      <c r="T1756" s="8"/>
      <c r="U1756" s="19" t="str">
        <f>HYPERLINK("https://pbs.twimg.com/profile_images/568131788959412224/C0-zoEjR.jpeg","View")</f>
        <v>View</v>
      </c>
      <c r="V1756" s="8"/>
      <c r="W1756" s="8"/>
      <c r="X1756" s="8"/>
      <c r="Y1756" s="8"/>
      <c r="Z1756" s="8"/>
    </row>
    <row r="1757" spans="1:26" ht="12.75">
      <c r="A1757" s="11">
        <v>43747.277141203704</v>
      </c>
      <c r="B1757" s="12" t="str">
        <f>HYPERLINK("https://twitter.com/Edriiyin","@Edriiyin")</f>
        <v>@Edriiyin</v>
      </c>
      <c r="C1757" s="7" t="s">
        <v>12682</v>
      </c>
      <c r="D1757" s="7" t="s">
        <v>12683</v>
      </c>
      <c r="E1757" s="12" t="str">
        <f>HYPERLINK("https://twitter.com/Edriiyin/status/1181927063814623232","1181927063814623232")</f>
        <v>1181927063814623232</v>
      </c>
      <c r="F1757" s="8"/>
      <c r="G1757" s="7"/>
      <c r="H1757" s="8"/>
      <c r="I1757" s="15">
        <v>0</v>
      </c>
      <c r="J1757" s="15">
        <v>0</v>
      </c>
      <c r="K1757" s="12" t="str">
        <f>HYPERLINK("http://twitter.com/download/iphone","Twitter for iPhone")</f>
        <v>Twitter for iPhone</v>
      </c>
      <c r="L1757" s="16">
        <v>120</v>
      </c>
      <c r="M1757" s="16">
        <v>78</v>
      </c>
      <c r="N1757" s="16">
        <v>0</v>
      </c>
      <c r="O1757" s="17"/>
      <c r="P1757" s="18">
        <v>43165.237037037034</v>
      </c>
      <c r="Q1757" s="7" t="s">
        <v>12687</v>
      </c>
      <c r="R1757" s="7" t="s">
        <v>12688</v>
      </c>
      <c r="S1757" s="14" t="s">
        <v>12689</v>
      </c>
      <c r="T1757" s="8"/>
      <c r="U1757" s="19" t="str">
        <f>HYPERLINK("https://pbs.twimg.com/profile_images/1167759184902918144/fDex0Htl.jpg","View")</f>
        <v>View</v>
      </c>
      <c r="V1757" s="8"/>
      <c r="W1757" s="8"/>
      <c r="X1757" s="8"/>
      <c r="Y1757" s="8"/>
      <c r="Z1757" s="8"/>
    </row>
    <row r="1758" spans="1:26" ht="12.75">
      <c r="A1758" s="11">
        <v>43747.277141203704</v>
      </c>
      <c r="B1758" s="12" t="str">
        <f>HYPERLINK("https://twitter.com/mucc43","@mucc43")</f>
        <v>@mucc43</v>
      </c>
      <c r="C1758" s="7" t="s">
        <v>12693</v>
      </c>
      <c r="D1758" s="7" t="s">
        <v>12694</v>
      </c>
      <c r="E1758" s="12" t="str">
        <f>HYPERLINK("https://twitter.com/mucc43/status/1181927062073946113","1181927062073946113")</f>
        <v>1181927062073946113</v>
      </c>
      <c r="F1758" s="15"/>
      <c r="G1758" s="14" t="s">
        <v>12695</v>
      </c>
      <c r="H1758" s="8"/>
      <c r="I1758" s="15">
        <v>0</v>
      </c>
      <c r="J1758" s="15">
        <v>7</v>
      </c>
      <c r="K1758" s="12" t="str">
        <f>HYPERLINK("http://twitter.com/download/iphone","Twitter for iPhone")</f>
        <v>Twitter for iPhone</v>
      </c>
      <c r="L1758" s="16">
        <v>422</v>
      </c>
      <c r="M1758" s="16">
        <v>313</v>
      </c>
      <c r="N1758" s="16">
        <v>0</v>
      </c>
      <c r="O1758" s="17"/>
      <c r="P1758" s="18">
        <v>41303.403668981482</v>
      </c>
      <c r="Q1758" s="7" t="s">
        <v>576</v>
      </c>
      <c r="R1758" s="7" t="s">
        <v>12698</v>
      </c>
      <c r="S1758" s="7"/>
      <c r="T1758" s="8"/>
      <c r="U1758" s="19" t="str">
        <f>HYPERLINK("https://pbs.twimg.com/profile_images/1153783838306209792/XM0ofwBS.jpg","View")</f>
        <v>View</v>
      </c>
      <c r="V1758" s="8"/>
      <c r="W1758" s="8"/>
      <c r="X1758" s="8"/>
      <c r="Y1758" s="8"/>
      <c r="Z1758" s="8"/>
    </row>
    <row r="1759" spans="1:26" ht="12.75">
      <c r="A1759" s="11">
        <v>43747.277129629627</v>
      </c>
      <c r="B1759" s="12" t="str">
        <f>HYPERLINK("https://twitter.com/atlantisliyim","@atlantisliyim")</f>
        <v>@atlantisliyim</v>
      </c>
      <c r="C1759" s="7" t="s">
        <v>12705</v>
      </c>
      <c r="D1759" s="7" t="s">
        <v>12706</v>
      </c>
      <c r="E1759" s="12" t="str">
        <f>HYPERLINK("https://twitter.com/atlantisliyim/status/1181927059536388096","1181927059536388096")</f>
        <v>1181927059536388096</v>
      </c>
      <c r="F1759" s="8"/>
      <c r="G1759" s="15"/>
      <c r="H1759" s="8"/>
      <c r="I1759" s="15">
        <v>0</v>
      </c>
      <c r="J1759" s="15">
        <v>0</v>
      </c>
      <c r="K1759" s="12" t="str">
        <f>HYPERLINK("http://twitter.com/download/android","Twitter for Android")</f>
        <v>Twitter for Android</v>
      </c>
      <c r="L1759" s="16">
        <v>1243</v>
      </c>
      <c r="M1759" s="16">
        <v>1016</v>
      </c>
      <c r="N1759" s="16">
        <v>0</v>
      </c>
      <c r="O1759" s="17"/>
      <c r="P1759" s="18">
        <v>43096.878182870365</v>
      </c>
      <c r="Q1759" s="7" t="s">
        <v>12708</v>
      </c>
      <c r="R1759" s="7" t="s">
        <v>12709</v>
      </c>
      <c r="S1759" s="14" t="s">
        <v>12710</v>
      </c>
      <c r="T1759" s="8"/>
      <c r="U1759" s="19" t="str">
        <f>HYPERLINK("https://pbs.twimg.com/profile_images/1159527903010480128/Ue1V0UAp.jpg","View")</f>
        <v>View</v>
      </c>
      <c r="V1759" s="8"/>
      <c r="W1759" s="8"/>
      <c r="X1759" s="8"/>
      <c r="Y1759" s="8"/>
      <c r="Z1759" s="8"/>
    </row>
    <row r="1760" spans="1:26" ht="12.75">
      <c r="A1760" s="11">
        <v>43747.277118055557</v>
      </c>
      <c r="B1760" s="12" t="str">
        <f>HYPERLINK("https://twitter.com/kentyasamgazete","@kentyasamgazete")</f>
        <v>@kentyasamgazete</v>
      </c>
      <c r="C1760" s="7" t="s">
        <v>12711</v>
      </c>
      <c r="D1760" s="7" t="s">
        <v>12712</v>
      </c>
      <c r="E1760" s="12" t="str">
        <f>HYPERLINK("https://twitter.com/kentyasamgazete/status/1181927052078977026","1181927052078977026")</f>
        <v>1181927052078977026</v>
      </c>
      <c r="F1760" s="14" t="s">
        <v>12715</v>
      </c>
      <c r="G1760" s="14" t="s">
        <v>12717</v>
      </c>
      <c r="H1760" s="8"/>
      <c r="I1760" s="15">
        <v>0</v>
      </c>
      <c r="J1760" s="15">
        <v>1</v>
      </c>
      <c r="K1760" s="12" t="str">
        <f>HYPERLINK("https://mobile.twitter.com","Twitter Web App")</f>
        <v>Twitter Web App</v>
      </c>
      <c r="L1760" s="16">
        <v>126</v>
      </c>
      <c r="M1760" s="16">
        <v>29</v>
      </c>
      <c r="N1760" s="16">
        <v>0</v>
      </c>
      <c r="O1760" s="17"/>
      <c r="P1760" s="18">
        <v>41673.204016203701</v>
      </c>
      <c r="Q1760" s="7" t="s">
        <v>576</v>
      </c>
      <c r="R1760" s="7" t="s">
        <v>12720</v>
      </c>
      <c r="S1760" s="14" t="s">
        <v>12721</v>
      </c>
      <c r="T1760" s="8"/>
      <c r="U1760" s="19" t="str">
        <f>HYPERLINK("https://pbs.twimg.com/profile_images/1176490464935055360/xWMsPNNP.jpg","View")</f>
        <v>View</v>
      </c>
      <c r="V1760" s="8"/>
      <c r="W1760" s="8"/>
      <c r="X1760" s="8"/>
      <c r="Y1760" s="8"/>
      <c r="Z1760" s="8"/>
    </row>
    <row r="1761" spans="1:26" ht="12.75">
      <c r="A1761" s="11">
        <v>43747.277106481481</v>
      </c>
      <c r="B1761" s="12" t="str">
        <f>HYPERLINK("https://twitter.com/nuhkocabas1","@nuhkocabas1")</f>
        <v>@nuhkocabas1</v>
      </c>
      <c r="C1761" s="7" t="s">
        <v>12725</v>
      </c>
      <c r="D1761" s="7" t="s">
        <v>12726</v>
      </c>
      <c r="E1761" s="12" t="str">
        <f>HYPERLINK("https://twitter.com/nuhkocabas1/status/1181927051751809025","1181927051751809025")</f>
        <v>1181927051751809025</v>
      </c>
      <c r="F1761" s="8"/>
      <c r="G1761" s="14" t="s">
        <v>12727</v>
      </c>
      <c r="H1761" s="8"/>
      <c r="I1761" s="15">
        <v>0</v>
      </c>
      <c r="J1761" s="15">
        <v>5</v>
      </c>
      <c r="K1761" s="12" t="str">
        <f>HYPERLINK("http://twitter.com/download/android","Twitter for Android")</f>
        <v>Twitter for Android</v>
      </c>
      <c r="L1761" s="16">
        <v>108</v>
      </c>
      <c r="M1761" s="16">
        <v>197</v>
      </c>
      <c r="N1761" s="16">
        <v>0</v>
      </c>
      <c r="O1761" s="17"/>
      <c r="P1761" s="18">
        <v>43270.120081018518</v>
      </c>
      <c r="Q1761" s="7"/>
      <c r="R1761" s="7" t="s">
        <v>12731</v>
      </c>
      <c r="S1761" s="7"/>
      <c r="T1761" s="8"/>
      <c r="U1761" s="19" t="str">
        <f>HYPERLINK("https://pbs.twimg.com/profile_images/1009023687624929280/nIfxWflv.jpg","View")</f>
        <v>View</v>
      </c>
      <c r="V1761" s="8"/>
      <c r="W1761" s="8"/>
      <c r="X1761" s="8"/>
      <c r="Y1761" s="8"/>
      <c r="Z1761" s="8"/>
    </row>
    <row r="1762" spans="1:26" ht="12.75">
      <c r="A1762" s="11">
        <v>43747.277106481481</v>
      </c>
      <c r="B1762" s="12" t="str">
        <f>HYPERLINK("https://twitter.com/MuhammetErbasa1","@MuhammetErbasa1")</f>
        <v>@MuhammetErbasa1</v>
      </c>
      <c r="C1762" s="7" t="s">
        <v>12732</v>
      </c>
      <c r="D1762" s="7" t="s">
        <v>12733</v>
      </c>
      <c r="E1762" s="12" t="str">
        <f>HYPERLINK("https://twitter.com/MuhammetErbasa1/status/1181927050615181312","1181927050615181312")</f>
        <v>1181927050615181312</v>
      </c>
      <c r="F1762" s="8"/>
      <c r="G1762" s="14" t="s">
        <v>12734</v>
      </c>
      <c r="H1762" s="8"/>
      <c r="I1762" s="15">
        <v>0</v>
      </c>
      <c r="J1762" s="15">
        <v>0</v>
      </c>
      <c r="K1762" s="12" t="str">
        <f>HYPERLINK("http://twitter.com/download/android","Twitter for Android")</f>
        <v>Twitter for Android</v>
      </c>
      <c r="L1762" s="16">
        <v>13</v>
      </c>
      <c r="M1762" s="16">
        <v>55</v>
      </c>
      <c r="N1762" s="16">
        <v>0</v>
      </c>
      <c r="O1762" s="17"/>
      <c r="P1762" s="18">
        <v>43738.384687500002</v>
      </c>
      <c r="Q1762" s="7"/>
      <c r="R1762" s="7" t="s">
        <v>12735</v>
      </c>
      <c r="S1762" s="15"/>
      <c r="T1762" s="8"/>
      <c r="U1762" s="19" t="str">
        <f>HYPERLINK("https://pbs.twimg.com/profile_images/1178704663006367744/xDPTpRFa.jpg","View")</f>
        <v>View</v>
      </c>
      <c r="V1762" s="8"/>
      <c r="W1762" s="8"/>
      <c r="X1762" s="8"/>
      <c r="Y1762" s="8"/>
      <c r="Z1762" s="8"/>
    </row>
    <row r="1763" spans="1:26" ht="12.75">
      <c r="A1763" s="11">
        <v>43747.277106481481</v>
      </c>
      <c r="B1763" s="12" t="str">
        <f>HYPERLINK("https://twitter.com/TCengizKeskin","@TCengizKeskin")</f>
        <v>@TCengizKeskin</v>
      </c>
      <c r="C1763" s="7" t="s">
        <v>12736</v>
      </c>
      <c r="D1763" s="7" t="s">
        <v>12737</v>
      </c>
      <c r="E1763" s="12" t="str">
        <f>HYPERLINK("https://twitter.com/TCengizKeskin/status/1181927049725927424","1181927049725927424")</f>
        <v>1181927049725927424</v>
      </c>
      <c r="F1763" s="8"/>
      <c r="G1763" s="15"/>
      <c r="H1763" s="8"/>
      <c r="I1763" s="15">
        <v>0</v>
      </c>
      <c r="J1763" s="15">
        <v>1</v>
      </c>
      <c r="K1763" s="12" t="str">
        <f>HYPERLINK("https://mobile.twitter.com","Twitter Web App")</f>
        <v>Twitter Web App</v>
      </c>
      <c r="L1763" s="16">
        <v>21</v>
      </c>
      <c r="M1763" s="16">
        <v>229</v>
      </c>
      <c r="N1763" s="16">
        <v>0</v>
      </c>
      <c r="O1763" s="17"/>
      <c r="P1763" s="18">
        <v>43632.535162037035</v>
      </c>
      <c r="Q1763" s="7" t="s">
        <v>12741</v>
      </c>
      <c r="R1763" s="13" t="s">
        <v>12742</v>
      </c>
      <c r="S1763" s="7"/>
      <c r="T1763" s="8"/>
      <c r="U1763" s="19" t="str">
        <f>HYPERLINK("https://pbs.twimg.com/profile_images/1147049978034081792/RrZip_V_.png","View")</f>
        <v>View</v>
      </c>
      <c r="V1763" s="8"/>
      <c r="W1763" s="8"/>
      <c r="X1763" s="8"/>
      <c r="Y1763" s="8"/>
      <c r="Z1763" s="8"/>
    </row>
    <row r="1764" spans="1:26" ht="12.75">
      <c r="A1764" s="11">
        <v>43747.277094907404</v>
      </c>
      <c r="B1764" s="12" t="str">
        <f>HYPERLINK("https://twitter.com/yusuftalhaeren","@yusuftalhaeren")</f>
        <v>@yusuftalhaeren</v>
      </c>
      <c r="C1764" s="7" t="s">
        <v>12743</v>
      </c>
      <c r="D1764" s="7" t="s">
        <v>12744</v>
      </c>
      <c r="E1764" s="12" t="str">
        <f>HYPERLINK("https://twitter.com/yusuftalhaeren/status/1181927046370529280","1181927046370529280")</f>
        <v>1181927046370529280</v>
      </c>
      <c r="F1764" s="8"/>
      <c r="G1764" s="14" t="s">
        <v>12747</v>
      </c>
      <c r="H1764" s="8"/>
      <c r="I1764" s="15">
        <v>1</v>
      </c>
      <c r="J1764" s="15">
        <v>7</v>
      </c>
      <c r="K1764" s="12" t="str">
        <f>HYPERLINK("http://twitter.com/download/android","Twitter for Android")</f>
        <v>Twitter for Android</v>
      </c>
      <c r="L1764" s="16">
        <v>114</v>
      </c>
      <c r="M1764" s="16">
        <v>117</v>
      </c>
      <c r="N1764" s="16">
        <v>0</v>
      </c>
      <c r="O1764" s="17"/>
      <c r="P1764" s="18">
        <v>43643.05532407407</v>
      </c>
      <c r="Q1764" s="7"/>
      <c r="R1764" s="7" t="s">
        <v>12749</v>
      </c>
      <c r="S1764" s="7"/>
      <c r="T1764" s="8"/>
      <c r="U1764" s="19" t="str">
        <f>HYPERLINK("https://pbs.twimg.com/profile_images/1171839620054704128/KwTRevEe.jpg","View")</f>
        <v>View</v>
      </c>
      <c r="V1764" s="8"/>
      <c r="W1764" s="8"/>
      <c r="X1764" s="8"/>
      <c r="Y1764" s="8"/>
      <c r="Z1764" s="8"/>
    </row>
    <row r="1765" spans="1:26" ht="12.75">
      <c r="A1765" s="11">
        <v>43747.277094907404</v>
      </c>
      <c r="B1765" s="12" t="str">
        <f>HYPERLINK("https://twitter.com/Kerim_rifai","@Kerim_rifai")</f>
        <v>@Kerim_rifai</v>
      </c>
      <c r="C1765" s="7" t="s">
        <v>12750</v>
      </c>
      <c r="D1765" s="7" t="s">
        <v>12751</v>
      </c>
      <c r="E1765" s="12" t="str">
        <f>HYPERLINK("https://twitter.com/Kerim_rifai/status/1181927046055972864","1181927046055972864")</f>
        <v>1181927046055972864</v>
      </c>
      <c r="F1765" s="8"/>
      <c r="G1765" s="15"/>
      <c r="H1765" s="8"/>
      <c r="I1765" s="15">
        <v>0</v>
      </c>
      <c r="J1765" s="15">
        <v>1</v>
      </c>
      <c r="K1765" s="12" t="str">
        <f>HYPERLINK("http://twitter.com/download/iphone","Twitter for iPhone")</f>
        <v>Twitter for iPhone</v>
      </c>
      <c r="L1765" s="16">
        <v>52</v>
      </c>
      <c r="M1765" s="16">
        <v>291</v>
      </c>
      <c r="N1765" s="16">
        <v>0</v>
      </c>
      <c r="O1765" s="17"/>
      <c r="P1765" s="18">
        <v>40781.444594907407</v>
      </c>
      <c r="Q1765" s="7" t="s">
        <v>668</v>
      </c>
      <c r="R1765" s="7" t="s">
        <v>12752</v>
      </c>
      <c r="S1765" s="14" t="s">
        <v>12753</v>
      </c>
      <c r="T1765" s="8"/>
      <c r="U1765" s="19" t="str">
        <f>HYPERLINK("https://pbs.twimg.com/profile_images/1127296148002177025/cyjvE787.jpg","View")</f>
        <v>View</v>
      </c>
      <c r="V1765" s="8"/>
      <c r="W1765" s="8"/>
      <c r="X1765" s="8"/>
      <c r="Y1765" s="8"/>
      <c r="Z1765" s="8"/>
    </row>
    <row r="1766" spans="1:26" ht="12.75">
      <c r="A1766" s="11">
        <v>43747.277094907404</v>
      </c>
      <c r="B1766" s="12" t="str">
        <f>HYPERLINK("https://twitter.com/yldraykazak","@yldraykazak")</f>
        <v>@yldraykazak</v>
      </c>
      <c r="C1766" s="7" t="s">
        <v>12756</v>
      </c>
      <c r="D1766" s="7" t="s">
        <v>12757</v>
      </c>
      <c r="E1766" s="12" t="str">
        <f>HYPERLINK("https://twitter.com/yldraykazak/status/1181927045636472832","1181927045636472832")</f>
        <v>1181927045636472832</v>
      </c>
      <c r="F1766" s="8"/>
      <c r="G1766" s="15"/>
      <c r="H1766" s="8"/>
      <c r="I1766" s="15">
        <v>0</v>
      </c>
      <c r="J1766" s="15">
        <v>0</v>
      </c>
      <c r="K1766" s="12" t="str">
        <f>HYPERLINK("http://twitter.com/download/iphone","Twitter for iPhone")</f>
        <v>Twitter for iPhone</v>
      </c>
      <c r="L1766" s="16">
        <v>893</v>
      </c>
      <c r="M1766" s="16">
        <v>654</v>
      </c>
      <c r="N1766" s="16">
        <v>6</v>
      </c>
      <c r="O1766" s="17"/>
      <c r="P1766" s="18">
        <v>41150.510914351849</v>
      </c>
      <c r="Q1766" s="7" t="s">
        <v>12759</v>
      </c>
      <c r="R1766" s="7" t="s">
        <v>12760</v>
      </c>
      <c r="S1766" s="7"/>
      <c r="T1766" s="8"/>
      <c r="U1766" s="19" t="str">
        <f>HYPERLINK("https://pbs.twimg.com/profile_images/1101231549415067653/CQ4pb5Pw.jpg","View")</f>
        <v>View</v>
      </c>
      <c r="V1766" s="8"/>
      <c r="W1766" s="8"/>
      <c r="X1766" s="8"/>
      <c r="Y1766" s="8"/>
      <c r="Z1766" s="8"/>
    </row>
    <row r="1767" spans="1:26" ht="12.75">
      <c r="A1767" s="11">
        <v>43747.277083333334</v>
      </c>
      <c r="B1767" s="12" t="str">
        <f>HYPERLINK("https://twitter.com/mustafasari196","@mustafasari196")</f>
        <v>@mustafasari196</v>
      </c>
      <c r="C1767" s="7" t="s">
        <v>12764</v>
      </c>
      <c r="D1767" s="7" t="s">
        <v>12765</v>
      </c>
      <c r="E1767" s="12" t="str">
        <f>HYPERLINK("https://twitter.com/mustafasari196/status/1181927041161158656","1181927041161158656")</f>
        <v>1181927041161158656</v>
      </c>
      <c r="F1767" s="8"/>
      <c r="G1767" s="14" t="s">
        <v>12766</v>
      </c>
      <c r="H1767" s="8"/>
      <c r="I1767" s="15">
        <v>0</v>
      </c>
      <c r="J1767" s="15">
        <v>0</v>
      </c>
      <c r="K1767" s="12" t="str">
        <f>HYPERLINK("http://twitter.com/download/android","Twitter for Android")</f>
        <v>Twitter for Android</v>
      </c>
      <c r="L1767" s="16">
        <v>40</v>
      </c>
      <c r="M1767" s="16">
        <v>177</v>
      </c>
      <c r="N1767" s="16">
        <v>0</v>
      </c>
      <c r="O1767" s="17"/>
      <c r="P1767" s="18">
        <v>43056.133460648147</v>
      </c>
      <c r="Q1767" s="7" t="s">
        <v>12769</v>
      </c>
      <c r="R1767" s="7" t="s">
        <v>2324</v>
      </c>
      <c r="S1767" s="7"/>
      <c r="T1767" s="8"/>
      <c r="U1767" s="19" t="str">
        <f>HYPERLINK("https://pbs.twimg.com/profile_images/1018406393458589696/YzBHhIhV.jpg","View")</f>
        <v>View</v>
      </c>
      <c r="V1767" s="8"/>
      <c r="W1767" s="8"/>
      <c r="X1767" s="8"/>
      <c r="Y1767" s="8"/>
      <c r="Z1767" s="8"/>
    </row>
    <row r="1768" spans="1:26" ht="12.75">
      <c r="A1768" s="11">
        <v>43747.277071759258</v>
      </c>
      <c r="B1768" s="12" t="str">
        <f>HYPERLINK("https://twitter.com/Mim_isabal","@Mim_isabal")</f>
        <v>@Mim_isabal</v>
      </c>
      <c r="C1768" s="7" t="s">
        <v>12770</v>
      </c>
      <c r="D1768" s="7" t="s">
        <v>12771</v>
      </c>
      <c r="E1768" s="12" t="str">
        <f>HYPERLINK("https://twitter.com/Mim_isabal/status/1181927037734473728","1181927037734473728")</f>
        <v>1181927037734473728</v>
      </c>
      <c r="F1768" s="8"/>
      <c r="G1768" s="14" t="s">
        <v>12772</v>
      </c>
      <c r="H1768" s="8"/>
      <c r="I1768" s="15">
        <v>0</v>
      </c>
      <c r="J1768" s="15">
        <v>0</v>
      </c>
      <c r="K1768" s="12" t="str">
        <f>HYPERLINK("http://twitter.com/download/android","Twitter for Android")</f>
        <v>Twitter for Android</v>
      </c>
      <c r="L1768" s="16">
        <v>1001</v>
      </c>
      <c r="M1768" s="16">
        <v>882</v>
      </c>
      <c r="N1768" s="16">
        <v>2</v>
      </c>
      <c r="O1768" s="17"/>
      <c r="P1768" s="18">
        <v>41300.597696759258</v>
      </c>
      <c r="Q1768" s="7" t="s">
        <v>12773</v>
      </c>
      <c r="R1768" s="7" t="s">
        <v>12774</v>
      </c>
      <c r="S1768" s="7"/>
      <c r="T1768" s="8"/>
      <c r="U1768" s="19" t="str">
        <f>HYPERLINK("https://pbs.twimg.com/profile_images/1154502614660390912/llIyeuyW.jpg","View")</f>
        <v>View</v>
      </c>
      <c r="V1768" s="8"/>
      <c r="W1768" s="8"/>
      <c r="X1768" s="8"/>
      <c r="Y1768" s="8"/>
      <c r="Z1768" s="8"/>
    </row>
    <row r="1769" spans="1:26" ht="12.75">
      <c r="A1769" s="11">
        <v>43747.277071759258</v>
      </c>
      <c r="B1769" s="12" t="str">
        <f>HYPERLINK("https://twitter.com/fatihozkan72","@fatihozkan72")</f>
        <v>@fatihozkan72</v>
      </c>
      <c r="C1769" s="7" t="s">
        <v>12776</v>
      </c>
      <c r="D1769" s="7" t="s">
        <v>12777</v>
      </c>
      <c r="E1769" s="12" t="str">
        <f>HYPERLINK("https://twitter.com/fatihozkan72/status/1181927035737907202","1181927035737907202")</f>
        <v>1181927035737907202</v>
      </c>
      <c r="F1769" s="8"/>
      <c r="G1769" s="14" t="s">
        <v>12778</v>
      </c>
      <c r="H1769" s="8"/>
      <c r="I1769" s="15">
        <v>0</v>
      </c>
      <c r="J1769" s="15">
        <v>0</v>
      </c>
      <c r="K1769" s="12" t="str">
        <f>HYPERLINK("http://twitter.com/download/iphone","Twitter for iPhone")</f>
        <v>Twitter for iPhone</v>
      </c>
      <c r="L1769" s="16">
        <v>513</v>
      </c>
      <c r="M1769" s="16">
        <v>214</v>
      </c>
      <c r="N1769" s="16">
        <v>0</v>
      </c>
      <c r="O1769" s="17"/>
      <c r="P1769" s="18">
        <v>40677.110856481479</v>
      </c>
      <c r="Q1769" s="7"/>
      <c r="R1769" s="7" t="s">
        <v>12781</v>
      </c>
      <c r="S1769" s="7"/>
      <c r="T1769" s="8"/>
      <c r="U1769" s="19" t="str">
        <f>HYPERLINK("https://pbs.twimg.com/profile_images/1112488053329854465/3tOg3DCM.jpg","View")</f>
        <v>View</v>
      </c>
      <c r="V1769" s="8"/>
      <c r="W1769" s="8"/>
      <c r="X1769" s="8"/>
      <c r="Y1769" s="8"/>
      <c r="Z1769" s="8"/>
    </row>
    <row r="1770" spans="1:26" ht="12.75">
      <c r="A1770" s="11">
        <v>43747.277060185181</v>
      </c>
      <c r="B1770" s="12" t="str">
        <f>HYPERLINK("https://twitter.com/OsmanKsr60","@OsmanKsr60")</f>
        <v>@OsmanKsr60</v>
      </c>
      <c r="C1770" s="7" t="s">
        <v>4124</v>
      </c>
      <c r="D1770" s="7" t="s">
        <v>12783</v>
      </c>
      <c r="E1770" s="12" t="str">
        <f>HYPERLINK("https://twitter.com/OsmanKsr60/status/1181927032101494784","1181927032101494784")</f>
        <v>1181927032101494784</v>
      </c>
      <c r="F1770" s="8"/>
      <c r="G1770" s="14" t="s">
        <v>12784</v>
      </c>
      <c r="H1770" s="8"/>
      <c r="I1770" s="15">
        <v>0</v>
      </c>
      <c r="J1770" s="15">
        <v>0</v>
      </c>
      <c r="K1770" s="12" t="str">
        <f>HYPERLINK("http://twitter.com/download/iphone","Twitter for iPhone")</f>
        <v>Twitter for iPhone</v>
      </c>
      <c r="L1770" s="16">
        <v>2</v>
      </c>
      <c r="M1770" s="16">
        <v>8</v>
      </c>
      <c r="N1770" s="16">
        <v>0</v>
      </c>
      <c r="O1770" s="17"/>
      <c r="P1770" s="18">
        <v>43627.106828703705</v>
      </c>
      <c r="Q1770" s="7"/>
      <c r="R1770" s="7" t="s">
        <v>12788</v>
      </c>
      <c r="S1770" s="7"/>
      <c r="T1770" s="8"/>
      <c r="U1770" s="19" t="str">
        <f>HYPERLINK("https://pbs.twimg.com/profile_images/1138379116464529408/Xd59wCdY.jpg","View")</f>
        <v>View</v>
      </c>
      <c r="V1770" s="8"/>
      <c r="W1770" s="8"/>
      <c r="X1770" s="8"/>
      <c r="Y1770" s="8"/>
      <c r="Z1770" s="8"/>
    </row>
    <row r="1771" spans="1:26" ht="12.75">
      <c r="A1771" s="11">
        <v>43747.277025462958</v>
      </c>
      <c r="B1771" s="12" t="str">
        <f>HYPERLINK("https://twitter.com/WMAL_Saglik","@WMAL_Saglik")</f>
        <v>@WMAL_Saglik</v>
      </c>
      <c r="C1771" s="7" t="s">
        <v>12794</v>
      </c>
      <c r="D1771" s="7" t="s">
        <v>12795</v>
      </c>
      <c r="E1771" s="12" t="str">
        <f>HYPERLINK("https://twitter.com/WMAL_Saglik/status/1181927018864222209","1181927018864222209")</f>
        <v>1181927018864222209</v>
      </c>
      <c r="F1771" s="14" t="s">
        <v>12796</v>
      </c>
      <c r="G1771" s="7"/>
      <c r="H1771" s="8"/>
      <c r="I1771" s="15">
        <v>0</v>
      </c>
      <c r="J1771" s="15">
        <v>0</v>
      </c>
      <c r="K1771" s="12" t="str">
        <f>HYPERLINK("https://mobile.twitter.com","Twitter Web App")</f>
        <v>Twitter Web App</v>
      </c>
      <c r="L1771" s="16">
        <v>5039</v>
      </c>
      <c r="M1771" s="16">
        <v>2446</v>
      </c>
      <c r="N1771" s="16">
        <v>3</v>
      </c>
      <c r="O1771" s="17"/>
      <c r="P1771" s="18">
        <v>41519.947766203702</v>
      </c>
      <c r="Q1771" s="7" t="s">
        <v>200</v>
      </c>
      <c r="R1771" s="7" t="s">
        <v>12797</v>
      </c>
      <c r="S1771" s="14" t="s">
        <v>12798</v>
      </c>
      <c r="T1771" s="8"/>
      <c r="U1771" s="19" t="str">
        <f>HYPERLINK("https://pbs.twimg.com/profile_images/1144871542314192897/gfIgrQpv.jpg","View")</f>
        <v>View</v>
      </c>
      <c r="V1771" s="8"/>
      <c r="W1771" s="8"/>
      <c r="X1771" s="8"/>
      <c r="Y1771" s="8"/>
      <c r="Z1771" s="8"/>
    </row>
    <row r="1772" spans="1:26" ht="12.75">
      <c r="A1772" s="11">
        <v>43747.277013888888</v>
      </c>
      <c r="B1772" s="12" t="str">
        <f>HYPERLINK("https://twitter.com/KOrtakapi","@KOrtakapi")</f>
        <v>@KOrtakapi</v>
      </c>
      <c r="C1772" s="7" t="s">
        <v>12801</v>
      </c>
      <c r="D1772" s="7" t="s">
        <v>12802</v>
      </c>
      <c r="E1772" s="12" t="str">
        <f>HYPERLINK("https://twitter.com/KOrtakapi/status/1181927017807335424","1181927017807335424")</f>
        <v>1181927017807335424</v>
      </c>
      <c r="F1772" s="8"/>
      <c r="G1772" s="15"/>
      <c r="H1772" s="8"/>
      <c r="I1772" s="15">
        <v>0</v>
      </c>
      <c r="J1772" s="15">
        <v>0</v>
      </c>
      <c r="K1772" s="12" t="str">
        <f>HYPERLINK("http://twitter.com/download/android","Twitter for Android")</f>
        <v>Twitter for Android</v>
      </c>
      <c r="L1772" s="16">
        <v>7</v>
      </c>
      <c r="M1772" s="16">
        <v>40</v>
      </c>
      <c r="N1772" s="16">
        <v>0</v>
      </c>
      <c r="O1772" s="17"/>
      <c r="P1772" s="18">
        <v>43451.512546296297</v>
      </c>
      <c r="Q1772" s="7"/>
      <c r="R1772" s="7"/>
      <c r="S1772" s="7"/>
      <c r="T1772" s="8"/>
      <c r="U1772" s="19" t="str">
        <f>HYPERLINK("https://pbs.twimg.com/profile_images/1074761224959741952/gk0zPjLW.jpg","View")</f>
        <v>View</v>
      </c>
      <c r="V1772" s="8"/>
      <c r="W1772" s="8"/>
      <c r="X1772" s="8"/>
      <c r="Y1772" s="8"/>
      <c r="Z1772" s="8"/>
    </row>
    <row r="1773" spans="1:26" ht="12.75">
      <c r="A1773" s="11">
        <v>43747.277002314819</v>
      </c>
      <c r="B1773" s="12" t="str">
        <f>HYPERLINK("https://twitter.com/muratakyuz10","@muratakyuz10")</f>
        <v>@muratakyuz10</v>
      </c>
      <c r="C1773" s="7" t="s">
        <v>12805</v>
      </c>
      <c r="D1773" s="7" t="s">
        <v>12807</v>
      </c>
      <c r="E1773" s="12" t="str">
        <f>HYPERLINK("https://twitter.com/muratakyuz10/status/1181927012916748288","1181927012916748288")</f>
        <v>1181927012916748288</v>
      </c>
      <c r="F1773" s="8"/>
      <c r="G1773" s="15"/>
      <c r="H1773" s="8"/>
      <c r="I1773" s="15">
        <v>0</v>
      </c>
      <c r="J1773" s="15">
        <v>1</v>
      </c>
      <c r="K1773" s="12" t="str">
        <f>HYPERLINK("http://twitter.com/download/android","Twitter for Android")</f>
        <v>Twitter for Android</v>
      </c>
      <c r="L1773" s="16">
        <v>98</v>
      </c>
      <c r="M1773" s="16">
        <v>297</v>
      </c>
      <c r="N1773" s="16">
        <v>1</v>
      </c>
      <c r="O1773" s="17"/>
      <c r="P1773" s="18">
        <v>40525.226226851853</v>
      </c>
      <c r="Q1773" s="7"/>
      <c r="R1773" s="7" t="s">
        <v>12808</v>
      </c>
      <c r="S1773" s="15"/>
      <c r="T1773" s="8"/>
      <c r="U1773" s="19" t="str">
        <f>HYPERLINK("https://pbs.twimg.com/profile_images/897393906337316865/1dAO4cz-.jpg","View")</f>
        <v>View</v>
      </c>
      <c r="V1773" s="8"/>
      <c r="W1773" s="8"/>
      <c r="X1773" s="8"/>
      <c r="Y1773" s="8"/>
      <c r="Z1773" s="8"/>
    </row>
    <row r="1774" spans="1:26" ht="12.75">
      <c r="A1774" s="11">
        <v>43747.276979166665</v>
      </c>
      <c r="B1774" s="12" t="str">
        <f>HYPERLINK("https://twitter.com/internethaber","@internethaber")</f>
        <v>@internethaber</v>
      </c>
      <c r="C1774" s="14" t="s">
        <v>12811</v>
      </c>
      <c r="D1774" s="7" t="s">
        <v>12813</v>
      </c>
      <c r="E1774" s="12" t="str">
        <f>HYPERLINK("https://twitter.com/internethaber/status/1181927004158988288","1181927004158988288")</f>
        <v>1181927004158988288</v>
      </c>
      <c r="F1774" s="14" t="s">
        <v>12814</v>
      </c>
      <c r="G1774" s="14" t="s">
        <v>12817</v>
      </c>
      <c r="H1774" s="8"/>
      <c r="I1774" s="15">
        <v>0</v>
      </c>
      <c r="J1774" s="15">
        <v>6</v>
      </c>
      <c r="K1774" s="12" t="str">
        <f>HYPERLINK("https://mobile.twitter.com","Twitter Web App")</f>
        <v>Twitter Web App</v>
      </c>
      <c r="L1774" s="16">
        <v>472245</v>
      </c>
      <c r="M1774" s="16">
        <v>7136</v>
      </c>
      <c r="N1774" s="16">
        <v>628</v>
      </c>
      <c r="O1774" s="17" t="s">
        <v>984</v>
      </c>
      <c r="P1774" s="18">
        <v>40869.721747685187</v>
      </c>
      <c r="Q1774" s="7" t="s">
        <v>576</v>
      </c>
      <c r="R1774" s="7" t="s">
        <v>12818</v>
      </c>
      <c r="S1774" s="14" t="s">
        <v>12819</v>
      </c>
      <c r="T1774" s="8"/>
      <c r="U1774" s="19" t="str">
        <f>HYPERLINK("https://pbs.twimg.com/profile_images/464738975416999937/QN_eQxs_.png","View")</f>
        <v>View</v>
      </c>
      <c r="V1774" s="8"/>
      <c r="W1774" s="8"/>
      <c r="X1774" s="8"/>
      <c r="Y1774" s="8"/>
      <c r="Z1774" s="8"/>
    </row>
    <row r="1775" spans="1:26" ht="12.75">
      <c r="A1775" s="11">
        <v>43747.276967592596</v>
      </c>
      <c r="B1775" s="12" t="str">
        <f>HYPERLINK("https://twitter.com/zcan21802269","@zcan21802269")</f>
        <v>@zcan21802269</v>
      </c>
      <c r="C1775" s="7" t="s">
        <v>12825</v>
      </c>
      <c r="D1775" s="7" t="s">
        <v>151</v>
      </c>
      <c r="E1775" s="12" t="str">
        <f>HYPERLINK("https://twitter.com/zcan21802269/status/1181927001344610308","1181927001344610308")</f>
        <v>1181927001344610308</v>
      </c>
      <c r="F1775" s="8"/>
      <c r="G1775" s="7"/>
      <c r="H1775" s="8"/>
      <c r="I1775" s="15">
        <v>0</v>
      </c>
      <c r="J1775" s="15">
        <v>1</v>
      </c>
      <c r="K1775" s="12" t="str">
        <f>HYPERLINK("http://twitter.com/download/android","Twitter for Android")</f>
        <v>Twitter for Android</v>
      </c>
      <c r="L1775" s="16">
        <v>4</v>
      </c>
      <c r="M1775" s="16">
        <v>57</v>
      </c>
      <c r="N1775" s="16">
        <v>0</v>
      </c>
      <c r="O1775" s="17"/>
      <c r="P1775" s="18">
        <v>43680.447164351848</v>
      </c>
      <c r="Q1775" s="7"/>
      <c r="R1775" s="7" t="s">
        <v>12829</v>
      </c>
      <c r="S1775" s="7"/>
      <c r="T1775" s="8"/>
      <c r="U1775" s="19" t="str">
        <f>HYPERLINK("https://pbs.twimg.com/profile_images/1173264124844871686/odFIWrBo.jpg","View")</f>
        <v>View</v>
      </c>
      <c r="V1775" s="8"/>
      <c r="W1775" s="8"/>
      <c r="X1775" s="8"/>
      <c r="Y1775" s="8"/>
      <c r="Z1775" s="8"/>
    </row>
    <row r="1776" spans="1:26" ht="12.75">
      <c r="A1776" s="11">
        <v>43747.276932870373</v>
      </c>
      <c r="B1776" s="12" t="str">
        <f>HYPERLINK("https://twitter.com/erleksglu","@erleksglu")</f>
        <v>@erleksglu</v>
      </c>
      <c r="C1776" s="7" t="s">
        <v>12835</v>
      </c>
      <c r="D1776" s="7" t="s">
        <v>12836</v>
      </c>
      <c r="E1776" s="12" t="str">
        <f>HYPERLINK("https://twitter.com/erleksglu/status/1181926987876704256","1181926987876704256")</f>
        <v>1181926987876704256</v>
      </c>
      <c r="F1776" s="8"/>
      <c r="G1776" s="7"/>
      <c r="H1776" s="8"/>
      <c r="I1776" s="15">
        <v>0</v>
      </c>
      <c r="J1776" s="15">
        <v>1</v>
      </c>
      <c r="K1776" s="12" t="str">
        <f>HYPERLINK("http://twitter.com/download/android","Twitter for Android")</f>
        <v>Twitter for Android</v>
      </c>
      <c r="L1776" s="16">
        <v>353</v>
      </c>
      <c r="M1776" s="16">
        <v>1737</v>
      </c>
      <c r="N1776" s="16">
        <v>6</v>
      </c>
      <c r="O1776" s="17"/>
      <c r="P1776" s="18">
        <v>39975.068703703706</v>
      </c>
      <c r="Q1776" s="7" t="s">
        <v>313</v>
      </c>
      <c r="R1776" s="13" t="s">
        <v>12837</v>
      </c>
      <c r="S1776" s="7"/>
      <c r="T1776" s="8"/>
      <c r="U1776" s="19" t="str">
        <f>HYPERLINK("https://pbs.twimg.com/profile_images/1155547029835276289/7hllfkUK.jpg","View")</f>
        <v>View</v>
      </c>
      <c r="V1776" s="8"/>
      <c r="W1776" s="8"/>
      <c r="X1776" s="8"/>
      <c r="Y1776" s="8"/>
      <c r="Z1776" s="8"/>
    </row>
    <row r="1777" spans="1:26" ht="12.75">
      <c r="A1777" s="11">
        <v>43747.276932870373</v>
      </c>
      <c r="B1777" s="12" t="str">
        <f>HYPERLINK("https://twitter.com/sryuluca101","@sryuluca101")</f>
        <v>@sryuluca101</v>
      </c>
      <c r="C1777" s="7" t="s">
        <v>12838</v>
      </c>
      <c r="D1777" s="7" t="s">
        <v>12839</v>
      </c>
      <c r="E1777" s="12" t="str">
        <f>HYPERLINK("https://twitter.com/sryuluca101/status/1181926986354237440","1181926986354237440")</f>
        <v>1181926986354237440</v>
      </c>
      <c r="F1777" s="8"/>
      <c r="G1777" s="14" t="s">
        <v>12840</v>
      </c>
      <c r="H1777" s="8"/>
      <c r="I1777" s="15">
        <v>0</v>
      </c>
      <c r="J1777" s="15">
        <v>3</v>
      </c>
      <c r="K1777" s="12" t="str">
        <f>HYPERLINK("http://twitter.com/download/iphone","Twitter for iPhone")</f>
        <v>Twitter for iPhone</v>
      </c>
      <c r="L1777" s="16">
        <v>2820</v>
      </c>
      <c r="M1777" s="16">
        <v>2837</v>
      </c>
      <c r="N1777" s="16">
        <v>1</v>
      </c>
      <c r="O1777" s="17"/>
      <c r="P1777" s="18">
        <v>43492.963020833333</v>
      </c>
      <c r="Q1777" s="7"/>
      <c r="R1777" s="13" t="s">
        <v>12841</v>
      </c>
      <c r="S1777" s="15"/>
      <c r="T1777" s="8"/>
      <c r="U1777" s="19" t="str">
        <f>HYPERLINK("https://pbs.twimg.com/profile_images/1159437248645029888/njUSmdJp.jpg","View")</f>
        <v>View</v>
      </c>
      <c r="V1777" s="8"/>
      <c r="W1777" s="8"/>
      <c r="X1777" s="8"/>
      <c r="Y1777" s="8"/>
      <c r="Z1777" s="8"/>
    </row>
    <row r="1778" spans="1:26" ht="12.75">
      <c r="A1778" s="11">
        <v>43747.276921296296</v>
      </c>
      <c r="B1778" s="12" t="str">
        <f>HYPERLINK("https://twitter.com/bachelormannn","@bachelormannn")</f>
        <v>@bachelormannn</v>
      </c>
      <c r="C1778" s="7" t="s">
        <v>12842</v>
      </c>
      <c r="D1778" s="7" t="s">
        <v>12843</v>
      </c>
      <c r="E1778" s="12" t="str">
        <f>HYPERLINK("https://twitter.com/bachelormannn/status/1181926984298962945","1181926984298962945")</f>
        <v>1181926984298962945</v>
      </c>
      <c r="F1778" s="8"/>
      <c r="G1778" s="14" t="s">
        <v>12844</v>
      </c>
      <c r="H1778" s="8"/>
      <c r="I1778" s="15">
        <v>0</v>
      </c>
      <c r="J1778" s="15">
        <v>1</v>
      </c>
      <c r="K1778" s="12" t="str">
        <f>HYPERLINK("http://twitter.com/download/android","Twitter for Android")</f>
        <v>Twitter for Android</v>
      </c>
      <c r="L1778" s="16">
        <v>180</v>
      </c>
      <c r="M1778" s="16">
        <v>431</v>
      </c>
      <c r="N1778" s="16">
        <v>0</v>
      </c>
      <c r="O1778" s="17"/>
      <c r="P1778" s="18">
        <v>41682.364594907405</v>
      </c>
      <c r="Q1778" s="7"/>
      <c r="R1778" s="7" t="s">
        <v>12845</v>
      </c>
      <c r="S1778" s="7"/>
      <c r="T1778" s="8"/>
      <c r="U1778" s="19" t="str">
        <f>HYPERLINK("https://pbs.twimg.com/profile_images/1121174309236555777/RAm8a17c.jpg","View")</f>
        <v>View</v>
      </c>
      <c r="V1778" s="8"/>
      <c r="W1778" s="8"/>
      <c r="X1778" s="8"/>
      <c r="Y1778" s="8"/>
      <c r="Z1778" s="8"/>
    </row>
    <row r="1779" spans="1:26" ht="12.75">
      <c r="A1779" s="11">
        <v>43747.276921296296</v>
      </c>
      <c r="B1779" s="12" t="str">
        <f>HYPERLINK("https://twitter.com/omerfarukbasbug","@omerfarukbasbug")</f>
        <v>@omerfarukbasbug</v>
      </c>
      <c r="C1779" s="7" t="s">
        <v>12846</v>
      </c>
      <c r="D1779" s="7" t="s">
        <v>12847</v>
      </c>
      <c r="E1779" s="12" t="str">
        <f>HYPERLINK("https://twitter.com/omerfarukbasbug/status/1181926984022204422","1181926984022204422")</f>
        <v>1181926984022204422</v>
      </c>
      <c r="F1779" s="8"/>
      <c r="G1779" s="15"/>
      <c r="H1779" s="8"/>
      <c r="I1779" s="15">
        <v>0</v>
      </c>
      <c r="J1779" s="15">
        <v>1</v>
      </c>
      <c r="K1779" s="12" t="str">
        <f>HYPERLINK("http://twitter.com/download/android","Twitter for Android")</f>
        <v>Twitter for Android</v>
      </c>
      <c r="L1779" s="16">
        <v>418</v>
      </c>
      <c r="M1779" s="16">
        <v>227</v>
      </c>
      <c r="N1779" s="16">
        <v>0</v>
      </c>
      <c r="O1779" s="17"/>
      <c r="P1779" s="18">
        <v>42329.46365740741</v>
      </c>
      <c r="Q1779" s="7" t="s">
        <v>2050</v>
      </c>
      <c r="R1779" s="7" t="s">
        <v>12848</v>
      </c>
      <c r="S1779" s="14" t="s">
        <v>12849</v>
      </c>
      <c r="T1779" s="8"/>
      <c r="U1779" s="19" t="str">
        <f>HYPERLINK("https://pbs.twimg.com/profile_images/1151316211474554886/B4-ONj2P.jpg","View")</f>
        <v>View</v>
      </c>
      <c r="V1779" s="8"/>
      <c r="W1779" s="8"/>
      <c r="X1779" s="8"/>
      <c r="Y1779" s="8"/>
      <c r="Z1779" s="8"/>
    </row>
    <row r="1780" spans="1:26" ht="12.75">
      <c r="A1780" s="11">
        <v>43747.276921296296</v>
      </c>
      <c r="B1780" s="12" t="str">
        <f>HYPERLINK("https://twitter.com/cgnlty","@cgnlty")</f>
        <v>@cgnlty</v>
      </c>
      <c r="C1780" s="7" t="s">
        <v>12851</v>
      </c>
      <c r="D1780" s="7" t="s">
        <v>12852</v>
      </c>
      <c r="E1780" s="12" t="str">
        <f>HYPERLINK("https://twitter.com/cgnlty/status/1181926983233658880","1181926983233658880")</f>
        <v>1181926983233658880</v>
      </c>
      <c r="F1780" s="8"/>
      <c r="G1780" s="7"/>
      <c r="H1780" s="8"/>
      <c r="I1780" s="15">
        <v>0</v>
      </c>
      <c r="J1780" s="15">
        <v>0</v>
      </c>
      <c r="K1780" s="12" t="str">
        <f>HYPERLINK("http://twitter.com/download/android","Twitter for Android")</f>
        <v>Twitter for Android</v>
      </c>
      <c r="L1780" s="16">
        <v>685</v>
      </c>
      <c r="M1780" s="16">
        <v>826</v>
      </c>
      <c r="N1780" s="16">
        <v>0</v>
      </c>
      <c r="O1780" s="17"/>
      <c r="P1780" s="18">
        <v>43003.606504629628</v>
      </c>
      <c r="Q1780" s="7" t="s">
        <v>12855</v>
      </c>
      <c r="R1780" s="7" t="s">
        <v>12856</v>
      </c>
      <c r="S1780" s="7"/>
      <c r="T1780" s="8"/>
      <c r="U1780" s="19" t="str">
        <f>HYPERLINK("https://pbs.twimg.com/profile_images/1150810250376822790/v1TunfSK.jpg","View")</f>
        <v>View</v>
      </c>
      <c r="V1780" s="8"/>
      <c r="W1780" s="8"/>
      <c r="X1780" s="8"/>
      <c r="Y1780" s="8"/>
      <c r="Z1780" s="8"/>
    </row>
    <row r="1781" spans="1:26" ht="12.75">
      <c r="A1781" s="11">
        <v>43747.276909722219</v>
      </c>
      <c r="B1781" s="12" t="str">
        <f>HYPERLINK("https://twitter.com/muezzaMM","@muezzaMM")</f>
        <v>@muezzaMM</v>
      </c>
      <c r="C1781" s="7" t="s">
        <v>12860</v>
      </c>
      <c r="D1781" s="7" t="s">
        <v>12861</v>
      </c>
      <c r="E1781" s="12" t="str">
        <f>HYPERLINK("https://twitter.com/muezzaMM/status/1181926978317893632","1181926978317893632")</f>
        <v>1181926978317893632</v>
      </c>
      <c r="F1781" s="8"/>
      <c r="G1781" s="7"/>
      <c r="H1781" s="8"/>
      <c r="I1781" s="15">
        <v>0</v>
      </c>
      <c r="J1781" s="15">
        <v>2</v>
      </c>
      <c r="K1781" s="12" t="str">
        <f>HYPERLINK("http://twitter.com/download/iphone","Twitter for iPhone")</f>
        <v>Twitter for iPhone</v>
      </c>
      <c r="L1781" s="16">
        <v>317</v>
      </c>
      <c r="M1781" s="16">
        <v>2992</v>
      </c>
      <c r="N1781" s="16">
        <v>1</v>
      </c>
      <c r="O1781" s="17"/>
      <c r="P1781" s="18">
        <v>42190.756643518514</v>
      </c>
      <c r="Q1781" s="7"/>
      <c r="R1781" s="7"/>
      <c r="S1781" s="7"/>
      <c r="T1781" s="8"/>
      <c r="U1781" s="19" t="str">
        <f>HYPERLINK("https://pbs.twimg.com/profile_images/1169004271431553024/le63E539.jpg","View")</f>
        <v>View</v>
      </c>
      <c r="V1781" s="8"/>
      <c r="W1781" s="8"/>
      <c r="X1781" s="8"/>
      <c r="Y1781" s="8"/>
      <c r="Z1781" s="8"/>
    </row>
    <row r="1782" spans="1:26" ht="12.75">
      <c r="A1782" s="11">
        <v>43747.276898148149</v>
      </c>
      <c r="B1782" s="12" t="str">
        <f>HYPERLINK("https://twitter.com/doratayster","@doratayster")</f>
        <v>@doratayster</v>
      </c>
      <c r="C1782" s="7" t="s">
        <v>12862</v>
      </c>
      <c r="D1782" s="7" t="s">
        <v>12863</v>
      </c>
      <c r="E1782" s="12" t="str">
        <f>HYPERLINK("https://twitter.com/doratayster/status/1181926974165602304","1181926974165602304")</f>
        <v>1181926974165602304</v>
      </c>
      <c r="F1782" s="8"/>
      <c r="G1782" s="7"/>
      <c r="H1782" s="8"/>
      <c r="I1782" s="15">
        <v>0</v>
      </c>
      <c r="J1782" s="15">
        <v>0</v>
      </c>
      <c r="K1782" s="12" t="str">
        <f>HYPERLINK("https://mobile.twitter.com","Twitter Web App")</f>
        <v>Twitter Web App</v>
      </c>
      <c r="L1782" s="16">
        <v>1118</v>
      </c>
      <c r="M1782" s="16">
        <v>1094</v>
      </c>
      <c r="N1782" s="16">
        <v>1</v>
      </c>
      <c r="O1782" s="17"/>
      <c r="P1782" s="18">
        <v>41939.581828703704</v>
      </c>
      <c r="Q1782" s="7"/>
      <c r="R1782" s="7" t="s">
        <v>12864</v>
      </c>
      <c r="S1782" s="15"/>
      <c r="T1782" s="8"/>
      <c r="U1782" s="19" t="str">
        <f>HYPERLINK("https://pbs.twimg.com/profile_images/1181308274915729409/ZwiJW0jD.jpg","View")</f>
        <v>View</v>
      </c>
      <c r="V1782" s="8"/>
      <c r="W1782" s="8"/>
      <c r="X1782" s="8"/>
      <c r="Y1782" s="8"/>
      <c r="Z1782" s="8"/>
    </row>
    <row r="1783" spans="1:26" ht="12.75">
      <c r="A1783" s="11">
        <v>43747.276898148149</v>
      </c>
      <c r="B1783" s="12" t="str">
        <f>HYPERLINK("https://twitter.com/AbdulsametMEM1","@AbdulsametMEM1")</f>
        <v>@AbdulsametMEM1</v>
      </c>
      <c r="C1783" s="7" t="s">
        <v>12865</v>
      </c>
      <c r="D1783" s="7" t="s">
        <v>12866</v>
      </c>
      <c r="E1783" s="12" t="str">
        <f>HYPERLINK("https://twitter.com/AbdulsametMEM1/status/1181926972517158914","1181926972517158914")</f>
        <v>1181926972517158914</v>
      </c>
      <c r="F1783" s="8"/>
      <c r="G1783" s="14" t="s">
        <v>12869</v>
      </c>
      <c r="H1783" s="8"/>
      <c r="I1783" s="15">
        <v>0</v>
      </c>
      <c r="J1783" s="15">
        <v>1</v>
      </c>
      <c r="K1783" s="12" t="str">
        <f>HYPERLINK("http://twitter.com/download/android","Twitter for Android")</f>
        <v>Twitter for Android</v>
      </c>
      <c r="L1783" s="16">
        <v>476</v>
      </c>
      <c r="M1783" s="16">
        <v>576</v>
      </c>
      <c r="N1783" s="16">
        <v>0</v>
      </c>
      <c r="O1783" s="17"/>
      <c r="P1783" s="18">
        <v>43154.001087962963</v>
      </c>
      <c r="Q1783" s="7" t="s">
        <v>12871</v>
      </c>
      <c r="R1783" s="7" t="s">
        <v>12872</v>
      </c>
      <c r="S1783" s="7"/>
      <c r="T1783" s="8"/>
      <c r="U1783" s="19" t="str">
        <f>HYPERLINK("https://pbs.twimg.com/profile_images/1034929516387467264/PLG9fISy.jpg","View")</f>
        <v>View</v>
      </c>
      <c r="V1783" s="8"/>
      <c r="W1783" s="8"/>
      <c r="X1783" s="8"/>
      <c r="Y1783" s="8"/>
      <c r="Z1783" s="8"/>
    </row>
    <row r="1784" spans="1:26" ht="12.75">
      <c r="A1784" s="11">
        <v>43747.276886574073</v>
      </c>
      <c r="B1784" s="12" t="str">
        <f>HYPERLINK("https://twitter.com/yenidenask7","@yenidenask7")</f>
        <v>@yenidenask7</v>
      </c>
      <c r="C1784" s="7" t="s">
        <v>12874</v>
      </c>
      <c r="D1784" s="7" t="s">
        <v>12875</v>
      </c>
      <c r="E1784" s="12" t="str">
        <f>HYPERLINK("https://twitter.com/yenidenask7/status/1181926972320034816","1181926972320034816")</f>
        <v>1181926972320034816</v>
      </c>
      <c r="F1784" s="8"/>
      <c r="G1784" s="14" t="s">
        <v>12877</v>
      </c>
      <c r="H1784" s="8"/>
      <c r="I1784" s="15">
        <v>0</v>
      </c>
      <c r="J1784" s="15">
        <v>0</v>
      </c>
      <c r="K1784" s="12" t="str">
        <f>HYPERLINK("http://twitter.com/download/android","Twitter for Android")</f>
        <v>Twitter for Android</v>
      </c>
      <c r="L1784" s="16">
        <v>439</v>
      </c>
      <c r="M1784" s="16">
        <v>485</v>
      </c>
      <c r="N1784" s="16">
        <v>0</v>
      </c>
      <c r="O1784" s="17"/>
      <c r="P1784" s="18">
        <v>43722.093159722222</v>
      </c>
      <c r="Q1784" s="7"/>
      <c r="R1784" s="7" t="s">
        <v>12878</v>
      </c>
      <c r="S1784" s="7"/>
      <c r="T1784" s="8"/>
      <c r="U1784" s="19" t="str">
        <f>HYPERLINK("https://pbs.twimg.com/profile_images/1177561327260356608/w4Eq5HkW.jpg","View")</f>
        <v>View</v>
      </c>
      <c r="V1784" s="8"/>
      <c r="W1784" s="8"/>
      <c r="X1784" s="8"/>
      <c r="Y1784" s="8"/>
      <c r="Z1784" s="8"/>
    </row>
    <row r="1785" spans="1:26" ht="12.75">
      <c r="A1785" s="11">
        <v>43747.276886574073</v>
      </c>
      <c r="B1785" s="12" t="str">
        <f>HYPERLINK("https://twitter.com/umutgulderen","@umutgulderen")</f>
        <v>@umutgulderen</v>
      </c>
      <c r="C1785" s="7" t="s">
        <v>12882</v>
      </c>
      <c r="D1785" s="7" t="s">
        <v>12883</v>
      </c>
      <c r="E1785" s="12" t="str">
        <f>HYPERLINK("https://twitter.com/umutgulderen/status/1181926971896414209","1181926971896414209")</f>
        <v>1181926971896414209</v>
      </c>
      <c r="F1785" s="8"/>
      <c r="G1785" s="14" t="s">
        <v>12884</v>
      </c>
      <c r="H1785" s="8"/>
      <c r="I1785" s="15">
        <v>0</v>
      </c>
      <c r="J1785" s="15">
        <v>2</v>
      </c>
      <c r="K1785" s="12" t="str">
        <f>HYPERLINK("http://twitter.com/download/iphone","Twitter for iPhone")</f>
        <v>Twitter for iPhone</v>
      </c>
      <c r="L1785" s="16">
        <v>876</v>
      </c>
      <c r="M1785" s="16">
        <v>70</v>
      </c>
      <c r="N1785" s="16">
        <v>0</v>
      </c>
      <c r="O1785" s="17"/>
      <c r="P1785" s="18">
        <v>41617.985254629632</v>
      </c>
      <c r="Q1785" s="7" t="s">
        <v>2277</v>
      </c>
      <c r="R1785" s="7"/>
      <c r="S1785" s="14" t="s">
        <v>12887</v>
      </c>
      <c r="T1785" s="8"/>
      <c r="U1785" s="19" t="str">
        <f>HYPERLINK("https://pbs.twimg.com/profile_images/1178062374466723840/Fh3KE6Nl.jpg","View")</f>
        <v>View</v>
      </c>
      <c r="V1785" s="8"/>
      <c r="W1785" s="8"/>
      <c r="X1785" s="8"/>
      <c r="Y1785" s="8"/>
      <c r="Z1785" s="8"/>
    </row>
    <row r="1786" spans="1:26" ht="12.75">
      <c r="A1786" s="11">
        <v>43747.276874999996</v>
      </c>
      <c r="B1786" s="12" t="str">
        <f>HYPERLINK("https://twitter.com/ekmeneko","@ekmeneko")</f>
        <v>@ekmeneko</v>
      </c>
      <c r="C1786" s="7" t="s">
        <v>12888</v>
      </c>
      <c r="D1786" s="7" t="s">
        <v>12889</v>
      </c>
      <c r="E1786" s="12" t="str">
        <f>HYPERLINK("https://twitter.com/ekmeneko/status/1181926966947135489","1181926966947135489")</f>
        <v>1181926966947135489</v>
      </c>
      <c r="F1786" s="8"/>
      <c r="G1786" s="7"/>
      <c r="H1786" s="8"/>
      <c r="I1786" s="15">
        <v>0</v>
      </c>
      <c r="J1786" s="15">
        <v>0</v>
      </c>
      <c r="K1786" s="12" t="str">
        <f>HYPERLINK("http://twitter.com/download/iphone","Twitter for iPhone")</f>
        <v>Twitter for iPhone</v>
      </c>
      <c r="L1786" s="16">
        <v>666</v>
      </c>
      <c r="M1786" s="16">
        <v>1352</v>
      </c>
      <c r="N1786" s="16">
        <v>2</v>
      </c>
      <c r="O1786" s="17"/>
      <c r="P1786" s="18">
        <v>41428.29760416667</v>
      </c>
      <c r="Q1786" s="7" t="s">
        <v>12893</v>
      </c>
      <c r="R1786" s="7" t="s">
        <v>12894</v>
      </c>
      <c r="S1786" s="7"/>
      <c r="T1786" s="8"/>
      <c r="U1786" s="19" t="str">
        <f>HYPERLINK("https://pbs.twimg.com/profile_images/760958086534295554/01SUCSyO.jpg","View")</f>
        <v>View</v>
      </c>
      <c r="V1786" s="8"/>
      <c r="W1786" s="8"/>
      <c r="X1786" s="8"/>
      <c r="Y1786" s="8"/>
      <c r="Z1786" s="8"/>
    </row>
    <row r="1787" spans="1:26" ht="12.75">
      <c r="A1787" s="11">
        <v>43747.276874999996</v>
      </c>
      <c r="B1787" s="12" t="str">
        <f>HYPERLINK("https://twitter.com/abkefirut","@abkefirut")</f>
        <v>@abkefirut</v>
      </c>
      <c r="C1787" s="7" t="s">
        <v>12895</v>
      </c>
      <c r="D1787" s="7" t="s">
        <v>12896</v>
      </c>
      <c r="E1787" s="12" t="str">
        <f>HYPERLINK("https://twitter.com/abkefirut/status/1181926965772730369","1181926965772730369")</f>
        <v>1181926965772730369</v>
      </c>
      <c r="F1787" s="8"/>
      <c r="G1787" s="14" t="s">
        <v>12897</v>
      </c>
      <c r="H1787" s="8"/>
      <c r="I1787" s="15">
        <v>0</v>
      </c>
      <c r="J1787" s="15">
        <v>0</v>
      </c>
      <c r="K1787" s="12" t="str">
        <f>HYPERLINK("http://twitter.com/download/android","Twitter for Android")</f>
        <v>Twitter for Android</v>
      </c>
      <c r="L1787" s="16">
        <v>52</v>
      </c>
      <c r="M1787" s="16">
        <v>194</v>
      </c>
      <c r="N1787" s="16">
        <v>0</v>
      </c>
      <c r="O1787" s="17"/>
      <c r="P1787" s="18">
        <v>41628.154629629629</v>
      </c>
      <c r="Q1787" s="7"/>
      <c r="R1787" s="7" t="s">
        <v>12901</v>
      </c>
      <c r="S1787" s="15"/>
      <c r="T1787" s="8"/>
      <c r="U1787" s="19" t="str">
        <f>HYPERLINK("https://pbs.twimg.com/profile_images/844441237344194560/O_92mScu.jpg","View")</f>
        <v>View</v>
      </c>
      <c r="V1787" s="8"/>
      <c r="W1787" s="8"/>
      <c r="X1787" s="8"/>
      <c r="Y1787" s="8"/>
      <c r="Z1787" s="8"/>
    </row>
    <row r="1788" spans="1:26" ht="12.75">
      <c r="A1788" s="11">
        <v>43747.276863425926</v>
      </c>
      <c r="B1788" s="12" t="str">
        <f>HYPERLINK("https://twitter.com/vechii0","@vechii0")</f>
        <v>@vechii0</v>
      </c>
      <c r="C1788" s="7" t="s">
        <v>12904</v>
      </c>
      <c r="D1788" s="7" t="s">
        <v>12905</v>
      </c>
      <c r="E1788" s="12" t="str">
        <f>HYPERLINK("https://twitter.com/vechii0/status/1181926962912215050","1181926962912215050")</f>
        <v>1181926962912215050</v>
      </c>
      <c r="F1788" s="8"/>
      <c r="G1788" s="7"/>
      <c r="H1788" s="8"/>
      <c r="I1788" s="15">
        <v>0</v>
      </c>
      <c r="J1788" s="15">
        <v>0</v>
      </c>
      <c r="K1788" s="12" t="str">
        <f>HYPERLINK("http://twitter.com/download/android","Twitter for Android")</f>
        <v>Twitter for Android</v>
      </c>
      <c r="L1788" s="16">
        <v>89</v>
      </c>
      <c r="M1788" s="16">
        <v>103</v>
      </c>
      <c r="N1788" s="16">
        <v>0</v>
      </c>
      <c r="O1788" s="17"/>
      <c r="P1788" s="18">
        <v>42376.296898148154</v>
      </c>
      <c r="Q1788" s="7" t="s">
        <v>1748</v>
      </c>
      <c r="R1788" s="7" t="s">
        <v>12906</v>
      </c>
      <c r="S1788" s="14" t="s">
        <v>8179</v>
      </c>
      <c r="T1788" s="8"/>
      <c r="U1788" s="19" t="str">
        <f>HYPERLINK("https://pbs.twimg.com/profile_images/981572361001537538/OH4qnhRy.jpg","View")</f>
        <v>View</v>
      </c>
      <c r="V1788" s="8"/>
      <c r="W1788" s="8"/>
      <c r="X1788" s="8"/>
      <c r="Y1788" s="8"/>
      <c r="Z1788" s="8"/>
    </row>
    <row r="1789" spans="1:26" ht="12.75">
      <c r="A1789" s="11">
        <v>43747.276863425926</v>
      </c>
      <c r="B1789" s="12" t="str">
        <f>HYPERLINK("https://twitter.com/calisknmstf","@calisknmstf")</f>
        <v>@calisknmstf</v>
      </c>
      <c r="C1789" s="7" t="s">
        <v>12908</v>
      </c>
      <c r="D1789" s="7" t="s">
        <v>12909</v>
      </c>
      <c r="E1789" s="12" t="str">
        <f>HYPERLINK("https://twitter.com/calisknmstf/status/1181926960299159552","1181926960299159552")</f>
        <v>1181926960299159552</v>
      </c>
      <c r="F1789" s="15" t="s">
        <v>12910</v>
      </c>
      <c r="G1789" s="15"/>
      <c r="H1789" s="8"/>
      <c r="I1789" s="15">
        <v>0</v>
      </c>
      <c r="J1789" s="15">
        <v>1</v>
      </c>
      <c r="K1789" s="12" t="str">
        <f>HYPERLINK("http://twitter.com/download/iphone","Twitter for iPhone")</f>
        <v>Twitter for iPhone</v>
      </c>
      <c r="L1789" s="16">
        <v>1036</v>
      </c>
      <c r="M1789" s="16">
        <v>320</v>
      </c>
      <c r="N1789" s="16">
        <v>4</v>
      </c>
      <c r="O1789" s="17"/>
      <c r="P1789" s="18">
        <v>40681.31962962963</v>
      </c>
      <c r="Q1789" s="7" t="s">
        <v>12911</v>
      </c>
      <c r="R1789" s="7" t="s">
        <v>12912</v>
      </c>
      <c r="S1789" s="14" t="s">
        <v>12913</v>
      </c>
      <c r="T1789" s="8"/>
      <c r="U1789" s="19" t="str">
        <f>HYPERLINK("https://pbs.twimg.com/profile_images/1180453031776833537/g3iO-Tpt.jpg","View")</f>
        <v>View</v>
      </c>
      <c r="V1789" s="8"/>
      <c r="W1789" s="8"/>
      <c r="X1789" s="8"/>
      <c r="Y1789" s="8"/>
      <c r="Z1789" s="8"/>
    </row>
    <row r="1790" spans="1:26" ht="12.75">
      <c r="A1790" s="11">
        <v>43747.276851851857</v>
      </c>
      <c r="B1790" s="12" t="str">
        <f>HYPERLINK("https://twitter.com/AyrintiliHaberV","@AyrintiliHaberV")</f>
        <v>@AyrintiliHaberV</v>
      </c>
      <c r="C1790" s="7" t="s">
        <v>12918</v>
      </c>
      <c r="D1790" s="7" t="s">
        <v>12919</v>
      </c>
      <c r="E1790" s="12" t="str">
        <f>HYPERLINK("https://twitter.com/AyrintiliHaberV/status/1181926957598101504","1181926957598101504")</f>
        <v>1181926957598101504</v>
      </c>
      <c r="F1790" s="8"/>
      <c r="G1790" s="14" t="s">
        <v>12920</v>
      </c>
      <c r="H1790" s="8"/>
      <c r="I1790" s="15">
        <v>1</v>
      </c>
      <c r="J1790" s="15">
        <v>1</v>
      </c>
      <c r="K1790" s="12" t="str">
        <f>HYPERLINK("https://mobile.twitter.com","Twitter Web App")</f>
        <v>Twitter Web App</v>
      </c>
      <c r="L1790" s="16">
        <v>2290</v>
      </c>
      <c r="M1790" s="16">
        <v>2149</v>
      </c>
      <c r="N1790" s="16">
        <v>12</v>
      </c>
      <c r="O1790" s="17"/>
      <c r="P1790" s="18">
        <v>42104.043599537035</v>
      </c>
      <c r="Q1790" s="7" t="s">
        <v>313</v>
      </c>
      <c r="R1790" s="7" t="s">
        <v>12921</v>
      </c>
      <c r="S1790" s="14" t="s">
        <v>12922</v>
      </c>
      <c r="T1790" s="8"/>
      <c r="U1790" s="19" t="str">
        <f>HYPERLINK("https://pbs.twimg.com/profile_images/683988174276833280/9lWXqhKj.png","View")</f>
        <v>View</v>
      </c>
      <c r="V1790" s="8"/>
      <c r="W1790" s="8"/>
      <c r="X1790" s="8"/>
      <c r="Y1790" s="8"/>
      <c r="Z1790" s="8"/>
    </row>
    <row r="1791" spans="1:26" ht="12.75">
      <c r="A1791" s="11">
        <v>43747.276840277773</v>
      </c>
      <c r="B1791" s="12" t="str">
        <f>HYPERLINK("https://twitter.com/zurichtair","@zurichtair")</f>
        <v>@zurichtair</v>
      </c>
      <c r="C1791" s="7" t="s">
        <v>12923</v>
      </c>
      <c r="D1791" s="7" t="s">
        <v>12924</v>
      </c>
      <c r="E1791" s="12" t="str">
        <f>HYPERLINK("https://twitter.com/zurichtair/status/1181926952967516165","1181926952967516165")</f>
        <v>1181926952967516165</v>
      </c>
      <c r="F1791" s="8"/>
      <c r="G1791" s="15"/>
      <c r="H1791" s="8"/>
      <c r="I1791" s="15">
        <v>0</v>
      </c>
      <c r="J1791" s="15">
        <v>0</v>
      </c>
      <c r="K1791" s="12" t="str">
        <f>HYPERLINK("http://twitter.com/download/iphone","Twitter for iPhone")</f>
        <v>Twitter for iPhone</v>
      </c>
      <c r="L1791" s="16">
        <v>2192</v>
      </c>
      <c r="M1791" s="16">
        <v>1532</v>
      </c>
      <c r="N1791" s="16">
        <v>39</v>
      </c>
      <c r="O1791" s="17"/>
      <c r="P1791" s="18">
        <v>41975.27275462963</v>
      </c>
      <c r="Q1791" s="7" t="s">
        <v>12925</v>
      </c>
      <c r="R1791" s="7" t="s">
        <v>12926</v>
      </c>
      <c r="S1791" s="14" t="s">
        <v>12927</v>
      </c>
      <c r="T1791" s="8"/>
      <c r="U1791" s="19" t="str">
        <f>HYPERLINK("https://pbs.twimg.com/profile_images/1179849215939432449/oYaUAY9M.jpg","View")</f>
        <v>View</v>
      </c>
      <c r="V1791" s="8"/>
      <c r="W1791" s="8"/>
      <c r="X1791" s="8"/>
      <c r="Y1791" s="8"/>
      <c r="Z1791" s="8"/>
    </row>
    <row r="1792" spans="1:26" ht="12.75">
      <c r="A1792" s="11">
        <v>43747.276828703703</v>
      </c>
      <c r="B1792" s="12" t="str">
        <f>HYPERLINK("https://twitter.com/emrekandemir","@emrekandemir")</f>
        <v>@emrekandemir</v>
      </c>
      <c r="C1792" s="7" t="s">
        <v>12932</v>
      </c>
      <c r="D1792" s="7" t="s">
        <v>12933</v>
      </c>
      <c r="E1792" s="12" t="str">
        <f>HYPERLINK("https://twitter.com/emrekandemir/status/1181926947217125383","1181926947217125383")</f>
        <v>1181926947217125383</v>
      </c>
      <c r="F1792" s="8"/>
      <c r="G1792" s="14" t="s">
        <v>12936</v>
      </c>
      <c r="H1792" s="8"/>
      <c r="I1792" s="15">
        <v>0</v>
      </c>
      <c r="J1792" s="15">
        <v>0</v>
      </c>
      <c r="K1792" s="12" t="str">
        <f>HYPERLINK("http://twitter.com/download/android","Twitter for Android")</f>
        <v>Twitter for Android</v>
      </c>
      <c r="L1792" s="16">
        <v>1586</v>
      </c>
      <c r="M1792" s="16">
        <v>2909</v>
      </c>
      <c r="N1792" s="16">
        <v>2</v>
      </c>
      <c r="O1792" s="17"/>
      <c r="P1792" s="18">
        <v>40236.413831018523</v>
      </c>
      <c r="Q1792" s="7"/>
      <c r="R1792" s="7"/>
      <c r="S1792" s="7"/>
      <c r="T1792" s="8"/>
      <c r="U1792" s="19" t="str">
        <f>HYPERLINK("https://pbs.twimg.com/profile_images/1170600399017041920/mZu3WnuJ.jpg","View")</f>
        <v>View</v>
      </c>
      <c r="V1792" s="8"/>
      <c r="W1792" s="8"/>
      <c r="X1792" s="8"/>
      <c r="Y1792" s="8"/>
      <c r="Z1792" s="8"/>
    </row>
    <row r="1793" spans="1:26" ht="12.75">
      <c r="A1793" s="11">
        <v>43747.276817129634</v>
      </c>
      <c r="B1793" s="12" t="str">
        <f>HYPERLINK("https://twitter.com/hcelik1907","@hcelik1907")</f>
        <v>@hcelik1907</v>
      </c>
      <c r="C1793" s="7" t="s">
        <v>12938</v>
      </c>
      <c r="D1793" s="7" t="s">
        <v>9270</v>
      </c>
      <c r="E1793" s="12" t="str">
        <f>HYPERLINK("https://twitter.com/hcelik1907/status/1181926943035465728","1181926943035465728")</f>
        <v>1181926943035465728</v>
      </c>
      <c r="F1793" s="8"/>
      <c r="G1793" s="14" t="s">
        <v>12939</v>
      </c>
      <c r="H1793" s="8"/>
      <c r="I1793" s="15">
        <v>0</v>
      </c>
      <c r="J1793" s="15">
        <v>0</v>
      </c>
      <c r="K1793" s="12" t="str">
        <f>HYPERLINK("https://mobile.twitter.com","Twitter Web App")</f>
        <v>Twitter Web App</v>
      </c>
      <c r="L1793" s="16">
        <v>437</v>
      </c>
      <c r="M1793" s="16">
        <v>496</v>
      </c>
      <c r="N1793" s="16">
        <v>2</v>
      </c>
      <c r="O1793" s="17"/>
      <c r="P1793" s="18">
        <v>40660.172754629632</v>
      </c>
      <c r="Q1793" s="7"/>
      <c r="R1793" s="7" t="s">
        <v>12943</v>
      </c>
      <c r="S1793" s="7"/>
      <c r="T1793" s="8"/>
      <c r="U1793" s="19" t="str">
        <f>HYPERLINK("https://pbs.twimg.com/profile_images/1148655566245507072/zDkLHWwL.jpg","View")</f>
        <v>View</v>
      </c>
      <c r="V1793" s="8"/>
      <c r="W1793" s="8"/>
      <c r="X1793" s="8"/>
      <c r="Y1793" s="8"/>
      <c r="Z1793" s="8"/>
    </row>
    <row r="1794" spans="1:26" ht="12.75">
      <c r="A1794" s="11">
        <v>43747.276805555557</v>
      </c>
      <c r="B1794" s="12" t="str">
        <f>HYPERLINK("https://twitter.com/extremesss","@extremesss")</f>
        <v>@extremesss</v>
      </c>
      <c r="C1794" s="7" t="s">
        <v>12944</v>
      </c>
      <c r="D1794" s="7" t="s">
        <v>12945</v>
      </c>
      <c r="E1794" s="12" t="str">
        <f>HYPERLINK("https://twitter.com/extremesss/status/1181926942871838727","1181926942871838727")</f>
        <v>1181926942871838727</v>
      </c>
      <c r="F1794" s="8"/>
      <c r="G1794" s="15"/>
      <c r="H1794" s="8"/>
      <c r="I1794" s="15">
        <v>0</v>
      </c>
      <c r="J1794" s="15">
        <v>0</v>
      </c>
      <c r="K1794" s="12" t="str">
        <f>HYPERLINK("http://twitter.com/download/iphone","Twitter for iPhone")</f>
        <v>Twitter for iPhone</v>
      </c>
      <c r="L1794" s="16">
        <v>775</v>
      </c>
      <c r="M1794" s="16">
        <v>1572</v>
      </c>
      <c r="N1794" s="16">
        <v>1</v>
      </c>
      <c r="O1794" s="17"/>
      <c r="P1794" s="18">
        <v>40422.324872685189</v>
      </c>
      <c r="Q1794" s="7" t="s">
        <v>576</v>
      </c>
      <c r="R1794" s="7" t="s">
        <v>12946</v>
      </c>
      <c r="S1794" s="7"/>
      <c r="T1794" s="8"/>
      <c r="U1794" s="19" t="str">
        <f>HYPERLINK("https://pbs.twimg.com/profile_images/793851405333368834/KdknwOj2.jpg","View")</f>
        <v>View</v>
      </c>
      <c r="V1794" s="8"/>
      <c r="W1794" s="8"/>
      <c r="X1794" s="8"/>
      <c r="Y1794" s="8"/>
      <c r="Z1794" s="8"/>
    </row>
    <row r="1795" spans="1:26" ht="12.75">
      <c r="A1795" s="11">
        <v>43747.27679398148</v>
      </c>
      <c r="B1795" s="12" t="str">
        <f>HYPERLINK("https://twitter.com/beyzaaaacim","@beyzaaaacim")</f>
        <v>@beyzaaaacim</v>
      </c>
      <c r="C1795" s="7" t="s">
        <v>12947</v>
      </c>
      <c r="D1795" s="7" t="s">
        <v>2101</v>
      </c>
      <c r="E1795" s="12" t="str">
        <f>HYPERLINK("https://twitter.com/beyzaaaacim/status/1181926936857190401","1181926936857190401")</f>
        <v>1181926936857190401</v>
      </c>
      <c r="F1795" s="8"/>
      <c r="G1795" s="14" t="s">
        <v>12950</v>
      </c>
      <c r="H1795" s="8"/>
      <c r="I1795" s="15">
        <v>3</v>
      </c>
      <c r="J1795" s="15">
        <v>136</v>
      </c>
      <c r="K1795" s="12" t="str">
        <f>HYPERLINK("http://twitter.com/download/iphone","Twitter for iPhone")</f>
        <v>Twitter for iPhone</v>
      </c>
      <c r="L1795" s="16">
        <v>8887</v>
      </c>
      <c r="M1795" s="16">
        <v>5732</v>
      </c>
      <c r="N1795" s="16">
        <v>1</v>
      </c>
      <c r="O1795" s="17"/>
      <c r="P1795" s="18">
        <v>43347.987407407403</v>
      </c>
      <c r="Q1795" s="7" t="s">
        <v>12952</v>
      </c>
      <c r="R1795" s="7" t="s">
        <v>12953</v>
      </c>
      <c r="S1795" s="15"/>
      <c r="T1795" s="8"/>
      <c r="U1795" s="19" t="str">
        <f>HYPERLINK("https://pbs.twimg.com/profile_images/1177902202905600000/Tz4PbSJc.jpg","View")</f>
        <v>View</v>
      </c>
      <c r="V1795" s="8"/>
      <c r="W1795" s="8"/>
      <c r="X1795" s="8"/>
      <c r="Y1795" s="8"/>
      <c r="Z1795" s="8"/>
    </row>
    <row r="1796" spans="1:26" ht="12.75">
      <c r="A1796" s="11">
        <v>43747.276782407411</v>
      </c>
      <c r="B1796" s="12" t="str">
        <f>HYPERLINK("https://twitter.com/batuunl","@batuunl")</f>
        <v>@batuunl</v>
      </c>
      <c r="C1796" s="7" t="s">
        <v>12954</v>
      </c>
      <c r="D1796" s="7" t="s">
        <v>12955</v>
      </c>
      <c r="E1796" s="12" t="str">
        <f>HYPERLINK("https://twitter.com/batuunl/status/1181926934504189958","1181926934504189958")</f>
        <v>1181926934504189958</v>
      </c>
      <c r="F1796" s="8"/>
      <c r="G1796" s="14" t="s">
        <v>12956</v>
      </c>
      <c r="H1796" s="8"/>
      <c r="I1796" s="15">
        <v>0</v>
      </c>
      <c r="J1796" s="15">
        <v>0</v>
      </c>
      <c r="K1796" s="12" t="str">
        <f>HYPERLINK("https://mobile.twitter.com","Twitter Web App")</f>
        <v>Twitter Web App</v>
      </c>
      <c r="L1796" s="16">
        <v>5</v>
      </c>
      <c r="M1796" s="16">
        <v>5</v>
      </c>
      <c r="N1796" s="16">
        <v>0</v>
      </c>
      <c r="O1796" s="17"/>
      <c r="P1796" s="18">
        <v>40742.302523148144</v>
      </c>
      <c r="Q1796" s="7"/>
      <c r="R1796" s="7"/>
      <c r="S1796" s="15"/>
      <c r="T1796" s="8"/>
      <c r="U1796" s="19" t="str">
        <f>HYPERLINK("https://pbs.twimg.com/profile_images/1054337554391199744/3almv0Lq.jpg","View")</f>
        <v>View</v>
      </c>
      <c r="V1796" s="8"/>
      <c r="W1796" s="8"/>
      <c r="X1796" s="8"/>
      <c r="Y1796" s="8"/>
      <c r="Z1796" s="8"/>
    </row>
    <row r="1797" spans="1:26" ht="12.75">
      <c r="A1797" s="11">
        <v>43747.276782407411</v>
      </c>
      <c r="B1797" s="12" t="str">
        <f>HYPERLINK("https://twitter.com/Erturul37072475","@Erturul37072475")</f>
        <v>@Erturul37072475</v>
      </c>
      <c r="C1797" s="7" t="s">
        <v>12959</v>
      </c>
      <c r="D1797" s="7" t="s">
        <v>160</v>
      </c>
      <c r="E1797" s="12" t="str">
        <f>HYPERLINK("https://twitter.com/Erturul37072475/status/1181926933698875392","1181926933698875392")</f>
        <v>1181926933698875392</v>
      </c>
      <c r="F1797" s="8"/>
      <c r="G1797" s="15"/>
      <c r="H1797" s="8"/>
      <c r="I1797" s="15">
        <v>0</v>
      </c>
      <c r="J1797" s="15">
        <v>0</v>
      </c>
      <c r="K1797" s="12" t="str">
        <f>HYPERLINK("http://twitter.com/download/iphone","Twitter for iPhone")</f>
        <v>Twitter for iPhone</v>
      </c>
      <c r="L1797" s="16">
        <v>0</v>
      </c>
      <c r="M1797" s="16">
        <v>13</v>
      </c>
      <c r="N1797" s="16">
        <v>0</v>
      </c>
      <c r="O1797" s="17"/>
      <c r="P1797" s="18">
        <v>43745.50844907407</v>
      </c>
      <c r="Q1797" s="7"/>
      <c r="R1797" s="7"/>
      <c r="S1797" s="15"/>
      <c r="T1797" s="8"/>
      <c r="U1797" s="19" t="str">
        <f>HYPERLINK("https://pbs.twimg.com/profile_images/1181286612891848705/DxB0hgWc.jpg","View")</f>
        <v>View</v>
      </c>
      <c r="V1797" s="8"/>
      <c r="W1797" s="8"/>
      <c r="X1797" s="8"/>
      <c r="Y1797" s="8"/>
      <c r="Z1797" s="8"/>
    </row>
    <row r="1798" spans="1:26" ht="12.75">
      <c r="A1798" s="11">
        <v>43747.276770833334</v>
      </c>
      <c r="B1798" s="12" t="str">
        <f>HYPERLINK("https://twitter.com/BuRHaeN55","@BuRHaeN55")</f>
        <v>@BuRHaeN55</v>
      </c>
      <c r="C1798" s="7" t="s">
        <v>12965</v>
      </c>
      <c r="D1798" s="7" t="s">
        <v>12966</v>
      </c>
      <c r="E1798" s="12" t="str">
        <f>HYPERLINK("https://twitter.com/BuRHaeN55/status/1181926926883213313","1181926926883213313")</f>
        <v>1181926926883213313</v>
      </c>
      <c r="F1798" s="8"/>
      <c r="G1798" s="14" t="s">
        <v>12967</v>
      </c>
      <c r="H1798" s="8"/>
      <c r="I1798" s="15">
        <v>0</v>
      </c>
      <c r="J1798" s="15">
        <v>1</v>
      </c>
      <c r="K1798" s="12" t="str">
        <f>HYPERLINK("http://twitter.com/download/android","Twitter for Android")</f>
        <v>Twitter for Android</v>
      </c>
      <c r="L1798" s="16">
        <v>59</v>
      </c>
      <c r="M1798" s="16">
        <v>158</v>
      </c>
      <c r="N1798" s="16">
        <v>0</v>
      </c>
      <c r="O1798" s="17"/>
      <c r="P1798" s="18">
        <v>40712.453819444447</v>
      </c>
      <c r="Q1798" s="7"/>
      <c r="R1798" s="7"/>
      <c r="S1798" s="15"/>
      <c r="T1798" s="8"/>
      <c r="U1798" s="19" t="str">
        <f>HYPERLINK("https://pbs.twimg.com/profile_images/1150173087285043201/Z9BeS9sS.jpg","View")</f>
        <v>View</v>
      </c>
      <c r="V1798" s="8"/>
      <c r="W1798" s="8"/>
      <c r="X1798" s="8"/>
      <c r="Y1798" s="8"/>
      <c r="Z1798" s="8"/>
    </row>
    <row r="1799" spans="1:26" ht="12.75">
      <c r="A1799" s="11">
        <v>43747.276747685188</v>
      </c>
      <c r="B1799" s="12" t="str">
        <f>HYPERLINK("https://twitter.com/Volkan1907yeah","@Volkan1907yeah")</f>
        <v>@Volkan1907yeah</v>
      </c>
      <c r="C1799" s="7" t="s">
        <v>12970</v>
      </c>
      <c r="D1799" s="7" t="s">
        <v>12971</v>
      </c>
      <c r="E1799" s="12" t="str">
        <f>HYPERLINK("https://twitter.com/Volkan1907yeah/status/1181926917819248642","1181926917819248642")</f>
        <v>1181926917819248642</v>
      </c>
      <c r="F1799" s="8"/>
      <c r="G1799" s="15"/>
      <c r="H1799" s="8"/>
      <c r="I1799" s="15">
        <v>0</v>
      </c>
      <c r="J1799" s="15">
        <v>1</v>
      </c>
      <c r="K1799" s="12" t="str">
        <f>HYPERLINK("http://twitter.com/download/android","Twitter for Android")</f>
        <v>Twitter for Android</v>
      </c>
      <c r="L1799" s="16">
        <v>3082</v>
      </c>
      <c r="M1799" s="16">
        <v>2712</v>
      </c>
      <c r="N1799" s="16">
        <v>0</v>
      </c>
      <c r="O1799" s="17"/>
      <c r="P1799" s="18">
        <v>40852.301678240743</v>
      </c>
      <c r="Q1799" s="7"/>
      <c r="R1799" s="7" t="s">
        <v>12973</v>
      </c>
      <c r="S1799" s="7"/>
      <c r="T1799" s="8"/>
      <c r="U1799" s="19" t="str">
        <f>HYPERLINK("https://pbs.twimg.com/profile_images/1177335252999651328/-u8N_8vp.jpg","View")</f>
        <v>View</v>
      </c>
      <c r="V1799" s="8"/>
      <c r="W1799" s="8"/>
      <c r="X1799" s="8"/>
      <c r="Y1799" s="8"/>
      <c r="Z1799" s="8"/>
    </row>
    <row r="1800" spans="1:26" ht="12.75">
      <c r="A1800" s="11">
        <v>43747.276736111111</v>
      </c>
      <c r="B1800" s="12" t="str">
        <f>HYPERLINK("https://twitter.com/Vatanim_TR","@Vatanim_TR")</f>
        <v>@Vatanim_TR</v>
      </c>
      <c r="C1800" s="7" t="s">
        <v>12974</v>
      </c>
      <c r="D1800" s="7" t="s">
        <v>12975</v>
      </c>
      <c r="E1800" s="12" t="str">
        <f>HYPERLINK("https://twitter.com/Vatanim_TR/status/1181926915076186113","1181926915076186113")</f>
        <v>1181926915076186113</v>
      </c>
      <c r="F1800" s="8"/>
      <c r="G1800" s="14" t="s">
        <v>12976</v>
      </c>
      <c r="H1800" s="8"/>
      <c r="I1800" s="15">
        <v>0</v>
      </c>
      <c r="J1800" s="15">
        <v>0</v>
      </c>
      <c r="K1800" s="12" t="str">
        <f>HYPERLINK("http://twitter.com/download/android","Twitter for Android")</f>
        <v>Twitter for Android</v>
      </c>
      <c r="L1800" s="16">
        <v>1085</v>
      </c>
      <c r="M1800" s="16">
        <v>226</v>
      </c>
      <c r="N1800" s="16">
        <v>2</v>
      </c>
      <c r="O1800" s="17"/>
      <c r="P1800" s="18">
        <v>40810.730162037034</v>
      </c>
      <c r="Q1800" s="7"/>
      <c r="R1800" s="7" t="s">
        <v>12979</v>
      </c>
      <c r="S1800" s="15"/>
      <c r="T1800" s="8"/>
      <c r="U1800" s="19" t="str">
        <f>HYPERLINK("https://pbs.twimg.com/profile_images/1181875367264559104/u4nszSkh.jpg","View")</f>
        <v>View</v>
      </c>
      <c r="V1800" s="8"/>
      <c r="W1800" s="8"/>
      <c r="X1800" s="8"/>
      <c r="Y1800" s="8"/>
      <c r="Z1800" s="8"/>
    </row>
    <row r="1801" spans="1:26" ht="12.75">
      <c r="A1801" s="11">
        <v>43747.276689814811</v>
      </c>
      <c r="B1801" s="12" t="str">
        <f>HYPERLINK("https://twitter.com/dusunenndeli","@dusunenndeli")</f>
        <v>@dusunenndeli</v>
      </c>
      <c r="C1801" s="13" t="s">
        <v>12983</v>
      </c>
      <c r="D1801" s="7" t="s">
        <v>12985</v>
      </c>
      <c r="E1801" s="12" t="str">
        <f>HYPERLINK("https://twitter.com/dusunenndeli/status/1181926897221062656","1181926897221062656")</f>
        <v>1181926897221062656</v>
      </c>
      <c r="F1801" s="15"/>
      <c r="G1801" s="14" t="s">
        <v>12988</v>
      </c>
      <c r="H1801" s="8"/>
      <c r="I1801" s="15">
        <v>1</v>
      </c>
      <c r="J1801" s="15">
        <v>1</v>
      </c>
      <c r="K1801" s="12" t="str">
        <f>HYPERLINK("http://twitter.com","Twitter Web Client")</f>
        <v>Twitter Web Client</v>
      </c>
      <c r="L1801" s="16">
        <v>62</v>
      </c>
      <c r="M1801" s="16">
        <v>5</v>
      </c>
      <c r="N1801" s="16">
        <v>0</v>
      </c>
      <c r="O1801" s="17"/>
      <c r="P1801" s="18">
        <v>43684.500671296293</v>
      </c>
      <c r="Q1801" s="7"/>
      <c r="R1801" s="13" t="s">
        <v>12989</v>
      </c>
      <c r="S1801" s="7"/>
      <c r="T1801" s="8"/>
      <c r="U1801" s="19" t="str">
        <f>HYPERLINK("https://pbs.twimg.com/profile_images/1179909457205223424/rvkurSDV.png","View")</f>
        <v>View</v>
      </c>
      <c r="V1801" s="8"/>
      <c r="W1801" s="8"/>
      <c r="X1801" s="8"/>
      <c r="Y1801" s="8"/>
      <c r="Z1801" s="8"/>
    </row>
    <row r="1802" spans="1:26" ht="12.75">
      <c r="A1802" s="11">
        <v>43747.276678240742</v>
      </c>
      <c r="B1802" s="12" t="str">
        <f>HYPERLINK("https://twitter.com/mustafaberigel1","@mustafaberigel1")</f>
        <v>@mustafaberigel1</v>
      </c>
      <c r="C1802" s="7" t="s">
        <v>12990</v>
      </c>
      <c r="D1802" s="7" t="s">
        <v>12991</v>
      </c>
      <c r="E1802" s="12" t="str">
        <f>HYPERLINK("https://twitter.com/mustafaberigel1/status/1181926895925022720","1181926895925022720")</f>
        <v>1181926895925022720</v>
      </c>
      <c r="F1802" s="8"/>
      <c r="G1802" s="7"/>
      <c r="H1802" s="8"/>
      <c r="I1802" s="15">
        <v>0</v>
      </c>
      <c r="J1802" s="15">
        <v>0</v>
      </c>
      <c r="K1802" s="12" t="str">
        <f>HYPERLINK("http://twitter.com/download/android","Twitter for Android")</f>
        <v>Twitter for Android</v>
      </c>
      <c r="L1802" s="16">
        <v>581</v>
      </c>
      <c r="M1802" s="16">
        <v>768</v>
      </c>
      <c r="N1802" s="16">
        <v>0</v>
      </c>
      <c r="O1802" s="17"/>
      <c r="P1802" s="18">
        <v>40935.226354166669</v>
      </c>
      <c r="Q1802" s="7"/>
      <c r="R1802" s="7"/>
      <c r="S1802" s="7"/>
      <c r="T1802" s="8"/>
      <c r="U1802" s="19" t="str">
        <f>HYPERLINK("https://pbs.twimg.com/profile_images/654236793672454144/30-94Ck7.jpg","View")</f>
        <v>View</v>
      </c>
      <c r="V1802" s="8"/>
      <c r="W1802" s="8"/>
      <c r="X1802" s="8"/>
      <c r="Y1802" s="8"/>
      <c r="Z1802" s="8"/>
    </row>
    <row r="1803" spans="1:26" ht="12.75">
      <c r="A1803" s="11">
        <v>43747.276678240742</v>
      </c>
      <c r="B1803" s="12" t="str">
        <f>HYPERLINK("https://twitter.com/cikonusuyor","@cikonusuyor")</f>
        <v>@cikonusuyor</v>
      </c>
      <c r="C1803" s="7" t="s">
        <v>12993</v>
      </c>
      <c r="D1803" s="7" t="s">
        <v>12995</v>
      </c>
      <c r="E1803" s="12" t="str">
        <f>HYPERLINK("https://twitter.com/cikonusuyor/status/1181926895304228864","1181926895304228864")</f>
        <v>1181926895304228864</v>
      </c>
      <c r="F1803" s="8"/>
      <c r="G1803" s="15"/>
      <c r="H1803" s="8"/>
      <c r="I1803" s="15">
        <v>0</v>
      </c>
      <c r="J1803" s="15">
        <v>0</v>
      </c>
      <c r="K1803" s="12" t="str">
        <f>HYPERLINK("http://twitter.com/download/iphone","Twitter for iPhone")</f>
        <v>Twitter for iPhone</v>
      </c>
      <c r="L1803" s="16">
        <v>175</v>
      </c>
      <c r="M1803" s="16">
        <v>106</v>
      </c>
      <c r="N1803" s="16">
        <v>0</v>
      </c>
      <c r="O1803" s="17"/>
      <c r="P1803" s="18">
        <v>40423.388726851852</v>
      </c>
      <c r="Q1803" s="7"/>
      <c r="R1803" s="7" t="s">
        <v>12997</v>
      </c>
      <c r="S1803" s="14" t="s">
        <v>12998</v>
      </c>
      <c r="T1803" s="8"/>
      <c r="U1803" s="19" t="str">
        <f>HYPERLINK("https://pbs.twimg.com/profile_images/1084888597726224384/SeI_doMB.jpg","View")</f>
        <v>View</v>
      </c>
      <c r="V1803" s="8"/>
      <c r="W1803" s="8"/>
      <c r="X1803" s="8"/>
      <c r="Y1803" s="8"/>
      <c r="Z1803" s="8"/>
    </row>
    <row r="1804" spans="1:26" ht="12.75">
      <c r="A1804" s="11">
        <v>43747.276678240742</v>
      </c>
      <c r="B1804" s="12" t="str">
        <f>HYPERLINK("https://twitter.com/1997muharrem13","@1997muharrem13")</f>
        <v>@1997muharrem13</v>
      </c>
      <c r="C1804" s="7" t="s">
        <v>13001</v>
      </c>
      <c r="D1804" s="7" t="s">
        <v>13002</v>
      </c>
      <c r="E1804" s="12" t="str">
        <f>HYPERLINK("https://twitter.com/1997muharrem13/status/1181926893383290882","1181926893383290882")</f>
        <v>1181926893383290882</v>
      </c>
      <c r="F1804" s="8"/>
      <c r="G1804" s="14" t="s">
        <v>13004</v>
      </c>
      <c r="H1804" s="8"/>
      <c r="I1804" s="15">
        <v>0</v>
      </c>
      <c r="J1804" s="15">
        <v>2</v>
      </c>
      <c r="K1804" s="12" t="str">
        <f>HYPERLINK("http://twitter.com/download/android","Twitter for Android")</f>
        <v>Twitter for Android</v>
      </c>
      <c r="L1804" s="16">
        <v>344</v>
      </c>
      <c r="M1804" s="16">
        <v>230</v>
      </c>
      <c r="N1804" s="16">
        <v>2</v>
      </c>
      <c r="O1804" s="17"/>
      <c r="P1804" s="18">
        <v>41670.201157407406</v>
      </c>
      <c r="Q1804" s="7"/>
      <c r="R1804" s="7" t="s">
        <v>13005</v>
      </c>
      <c r="S1804" s="7"/>
      <c r="T1804" s="8"/>
      <c r="U1804" s="19" t="str">
        <f>HYPERLINK("https://pbs.twimg.com/profile_images/1110395379160412160/1QVL1-ej.jpg","View")</f>
        <v>View</v>
      </c>
      <c r="V1804" s="8"/>
      <c r="W1804" s="8"/>
      <c r="X1804" s="8"/>
      <c r="Y1804" s="8"/>
      <c r="Z1804" s="8"/>
    </row>
    <row r="1805" spans="1:26" ht="12.75">
      <c r="A1805" s="11">
        <v>43747.276666666672</v>
      </c>
      <c r="B1805" s="12" t="str">
        <f>HYPERLINK("https://twitter.com/aliekinx","@aliekinx")</f>
        <v>@aliekinx</v>
      </c>
      <c r="C1805" s="7" t="s">
        <v>13006</v>
      </c>
      <c r="D1805" s="7" t="s">
        <v>13007</v>
      </c>
      <c r="E1805" s="12" t="str">
        <f>HYPERLINK("https://twitter.com/aliekinx/status/1181926888626933760","1181926888626933760")</f>
        <v>1181926888626933760</v>
      </c>
      <c r="F1805" s="8"/>
      <c r="G1805" s="14" t="s">
        <v>13008</v>
      </c>
      <c r="H1805" s="8"/>
      <c r="I1805" s="15">
        <v>0</v>
      </c>
      <c r="J1805" s="15">
        <v>0</v>
      </c>
      <c r="K1805" s="12" t="str">
        <f>HYPERLINK("http://twitter.com/download/android","Twitter for Android")</f>
        <v>Twitter for Android</v>
      </c>
      <c r="L1805" s="16">
        <v>729</v>
      </c>
      <c r="M1805" s="16">
        <v>199</v>
      </c>
      <c r="N1805" s="16">
        <v>0</v>
      </c>
      <c r="O1805" s="17"/>
      <c r="P1805" s="18">
        <v>43319.734988425931</v>
      </c>
      <c r="Q1805" s="7"/>
      <c r="R1805" s="7"/>
      <c r="S1805" s="7"/>
      <c r="T1805" s="8"/>
      <c r="U1805" s="19" t="str">
        <f>HYPERLINK("https://pbs.twimg.com/profile_images/1177864828184141824/7FPv7vwu.jpg","View")</f>
        <v>View</v>
      </c>
      <c r="V1805" s="8"/>
      <c r="W1805" s="8"/>
      <c r="X1805" s="8"/>
      <c r="Y1805" s="8"/>
      <c r="Z1805" s="8"/>
    </row>
    <row r="1806" spans="1:26" ht="12.75">
      <c r="A1806" s="11">
        <v>43747.276643518519</v>
      </c>
      <c r="B1806" s="12" t="str">
        <f>HYPERLINK("https://twitter.com/masenacicek","@masenacicek")</f>
        <v>@masenacicek</v>
      </c>
      <c r="C1806" s="7" t="s">
        <v>13012</v>
      </c>
      <c r="D1806" s="7" t="s">
        <v>13013</v>
      </c>
      <c r="E1806" s="12" t="str">
        <f>HYPERLINK("https://twitter.com/masenacicek/status/1181926884088655872","1181926884088655872")</f>
        <v>1181926884088655872</v>
      </c>
      <c r="F1806" s="8"/>
      <c r="G1806" s="14" t="s">
        <v>13014</v>
      </c>
      <c r="H1806" s="8"/>
      <c r="I1806" s="15">
        <v>0</v>
      </c>
      <c r="J1806" s="15">
        <v>3</v>
      </c>
      <c r="K1806" s="12" t="str">
        <f>HYPERLINK("http://twitter.com/download/android","Twitter for Android")</f>
        <v>Twitter for Android</v>
      </c>
      <c r="L1806" s="16">
        <v>628</v>
      </c>
      <c r="M1806" s="16">
        <v>374</v>
      </c>
      <c r="N1806" s="16">
        <v>0</v>
      </c>
      <c r="O1806" s="17"/>
      <c r="P1806" s="18">
        <v>41681.475023148145</v>
      </c>
      <c r="Q1806" s="7" t="s">
        <v>287</v>
      </c>
      <c r="R1806" s="7" t="s">
        <v>13015</v>
      </c>
      <c r="S1806" s="7"/>
      <c r="T1806" s="8"/>
      <c r="U1806" s="19" t="str">
        <f>HYPERLINK("https://pbs.twimg.com/profile_images/1158055574208167937/KBU5anmj.jpg","View")</f>
        <v>View</v>
      </c>
      <c r="V1806" s="8"/>
      <c r="W1806" s="8"/>
      <c r="X1806" s="8"/>
      <c r="Y1806" s="8"/>
      <c r="Z1806" s="8"/>
    </row>
    <row r="1807" spans="1:26" ht="12.75">
      <c r="A1807" s="11">
        <v>43747.276643518519</v>
      </c>
      <c r="B1807" s="12" t="str">
        <f>HYPERLINK("https://twitter.com/BircanBasak1453","@BircanBasak1453")</f>
        <v>@BircanBasak1453</v>
      </c>
      <c r="C1807" s="7" t="s">
        <v>13016</v>
      </c>
      <c r="D1807" s="7" t="s">
        <v>13017</v>
      </c>
      <c r="E1807" s="12" t="str">
        <f>HYPERLINK("https://twitter.com/BircanBasak1453/status/1181926882805272577","1181926882805272577")</f>
        <v>1181926882805272577</v>
      </c>
      <c r="F1807" s="8"/>
      <c r="G1807" s="14" t="s">
        <v>13018</v>
      </c>
      <c r="H1807" s="8"/>
      <c r="I1807" s="15">
        <v>3</v>
      </c>
      <c r="J1807" s="15">
        <v>2</v>
      </c>
      <c r="K1807" s="12" t="str">
        <f>HYPERLINK("http://twitter.com/download/iphone","Twitter for iPhone")</f>
        <v>Twitter for iPhone</v>
      </c>
      <c r="L1807" s="16">
        <v>19907</v>
      </c>
      <c r="M1807" s="16">
        <v>14111</v>
      </c>
      <c r="N1807" s="16">
        <v>39</v>
      </c>
      <c r="O1807" s="17"/>
      <c r="P1807" s="18">
        <v>42289.54387731482</v>
      </c>
      <c r="Q1807" s="7" t="s">
        <v>3881</v>
      </c>
      <c r="R1807" s="7" t="s">
        <v>13022</v>
      </c>
      <c r="S1807" s="15"/>
      <c r="T1807" s="8"/>
      <c r="U1807" s="19" t="str">
        <f>HYPERLINK("https://pbs.twimg.com/profile_images/1173904645187670016/BjdWtNuE.jpg","View")</f>
        <v>View</v>
      </c>
      <c r="V1807" s="8"/>
      <c r="W1807" s="8"/>
      <c r="X1807" s="8"/>
      <c r="Y1807" s="8"/>
      <c r="Z1807" s="8"/>
    </row>
    <row r="1808" spans="1:26" ht="12.75">
      <c r="A1808" s="11">
        <v>43747.276643518519</v>
      </c>
      <c r="B1808" s="12" t="str">
        <f>HYPERLINK("https://twitter.com/Salihebi3","@Salihebi3")</f>
        <v>@Salihebi3</v>
      </c>
      <c r="C1808" s="7" t="s">
        <v>13023</v>
      </c>
      <c r="D1808" s="7" t="s">
        <v>13024</v>
      </c>
      <c r="E1808" s="12" t="str">
        <f>HYPERLINK("https://twitter.com/Salihebi3/status/1181926881224007680","1181926881224007680")</f>
        <v>1181926881224007680</v>
      </c>
      <c r="F1808" s="15"/>
      <c r="G1808" s="14" t="s">
        <v>13025</v>
      </c>
      <c r="H1808" s="8"/>
      <c r="I1808" s="15">
        <v>0</v>
      </c>
      <c r="J1808" s="15">
        <v>0</v>
      </c>
      <c r="K1808" s="12" t="str">
        <f>HYPERLINK("http://twitter.com/download/android","Twitter for Android")</f>
        <v>Twitter for Android</v>
      </c>
      <c r="L1808" s="16">
        <v>6</v>
      </c>
      <c r="M1808" s="16">
        <v>46</v>
      </c>
      <c r="N1808" s="16">
        <v>0</v>
      </c>
      <c r="O1808" s="17"/>
      <c r="P1808" s="18">
        <v>43391.335081018522</v>
      </c>
      <c r="Q1808" s="7" t="s">
        <v>80</v>
      </c>
      <c r="R1808" s="7"/>
      <c r="S1808" s="7"/>
      <c r="T1808" s="8"/>
      <c r="U1808" s="19" t="str">
        <f>HYPERLINK("https://pbs.twimg.com/profile_images/1056553666637897734/aCSfR0qW.jpg","View")</f>
        <v>View</v>
      </c>
      <c r="V1808" s="8"/>
      <c r="W1808" s="8"/>
      <c r="X1808" s="8"/>
      <c r="Y1808" s="8"/>
      <c r="Z1808" s="8"/>
    </row>
    <row r="1809" spans="1:26" ht="12.75">
      <c r="A1809" s="11">
        <v>43747.276608796295</v>
      </c>
      <c r="B1809" s="12" t="str">
        <f>HYPERLINK("https://twitter.com/GTozluca","@GTozluca")</f>
        <v>@GTozluca</v>
      </c>
      <c r="C1809" s="7" t="s">
        <v>13026</v>
      </c>
      <c r="D1809" s="7" t="s">
        <v>13027</v>
      </c>
      <c r="E1809" s="12" t="str">
        <f>HYPERLINK("https://twitter.com/GTozluca/status/1181926870578843648","1181926870578843648")</f>
        <v>1181926870578843648</v>
      </c>
      <c r="F1809" s="8"/>
      <c r="G1809" s="14" t="s">
        <v>13028</v>
      </c>
      <c r="H1809" s="8"/>
      <c r="I1809" s="15">
        <v>0</v>
      </c>
      <c r="J1809" s="15">
        <v>2</v>
      </c>
      <c r="K1809" s="12" t="str">
        <f>HYPERLINK("http://twitter.com/download/android","Twitter for Android")</f>
        <v>Twitter for Android</v>
      </c>
      <c r="L1809" s="16">
        <v>7</v>
      </c>
      <c r="M1809" s="16">
        <v>20</v>
      </c>
      <c r="N1809" s="16">
        <v>0</v>
      </c>
      <c r="O1809" s="17"/>
      <c r="P1809" s="18">
        <v>43643.722650462965</v>
      </c>
      <c r="Q1809" s="7"/>
      <c r="R1809" s="7" t="s">
        <v>13029</v>
      </c>
      <c r="S1809" s="7"/>
      <c r="T1809" s="8"/>
      <c r="U1809" s="19" t="str">
        <f>HYPERLINK("https://pbs.twimg.com/profile_images/1180004451286945792/-L55Npi_.jpg","View")</f>
        <v>View</v>
      </c>
      <c r="V1809" s="8"/>
      <c r="W1809" s="8"/>
      <c r="X1809" s="8"/>
      <c r="Y1809" s="8"/>
      <c r="Z1809" s="8"/>
    </row>
    <row r="1810" spans="1:26" ht="12.75">
      <c r="A1810" s="11">
        <v>43747.276597222226</v>
      </c>
      <c r="B1810" s="12" t="str">
        <f>HYPERLINK("https://twitter.com/senseymaa","@senseymaa")</f>
        <v>@senseymaa</v>
      </c>
      <c r="C1810" s="7" t="s">
        <v>13030</v>
      </c>
      <c r="D1810" s="7" t="s">
        <v>13031</v>
      </c>
      <c r="E1810" s="12" t="str">
        <f>HYPERLINK("https://twitter.com/senseymaa/status/1181926866560548864","1181926866560548864")</f>
        <v>1181926866560548864</v>
      </c>
      <c r="F1810" s="8"/>
      <c r="G1810" s="14" t="s">
        <v>13032</v>
      </c>
      <c r="H1810" s="8"/>
      <c r="I1810" s="15">
        <v>0</v>
      </c>
      <c r="J1810" s="15">
        <v>11</v>
      </c>
      <c r="K1810" s="12" t="str">
        <f>HYPERLINK("http://twitter.com/download/android","Twitter for Android")</f>
        <v>Twitter for Android</v>
      </c>
      <c r="L1810" s="16">
        <v>825</v>
      </c>
      <c r="M1810" s="16">
        <v>306</v>
      </c>
      <c r="N1810" s="16">
        <v>0</v>
      </c>
      <c r="O1810" s="17"/>
      <c r="P1810" s="18">
        <v>41000.298564814817</v>
      </c>
      <c r="Q1810" s="7" t="s">
        <v>8902</v>
      </c>
      <c r="R1810" s="7" t="s">
        <v>13035</v>
      </c>
      <c r="S1810" s="14" t="s">
        <v>13036</v>
      </c>
      <c r="T1810" s="8"/>
      <c r="U1810" s="19" t="str">
        <f>HYPERLINK("https://pbs.twimg.com/profile_images/1166445532098768897/HWNGQs1r.jpg","View")</f>
        <v>View</v>
      </c>
      <c r="V1810" s="8"/>
      <c r="W1810" s="8"/>
      <c r="X1810" s="8"/>
      <c r="Y1810" s="8"/>
      <c r="Z1810" s="8"/>
    </row>
    <row r="1811" spans="1:26" ht="12.75">
      <c r="A1811" s="11">
        <v>43747.276585648149</v>
      </c>
      <c r="B1811" s="12" t="str">
        <f>HYPERLINK("https://twitter.com/KuRSaD__AraS","@KuRSaD__AraS")</f>
        <v>@KuRSaD__AraS</v>
      </c>
      <c r="C1811" s="7" t="s">
        <v>13037</v>
      </c>
      <c r="D1811" s="7" t="s">
        <v>13040</v>
      </c>
      <c r="E1811" s="12" t="str">
        <f>HYPERLINK("https://twitter.com/KuRSaD__AraS/status/1181926862756470784","1181926862756470784")</f>
        <v>1181926862756470784</v>
      </c>
      <c r="F1811" s="8"/>
      <c r="G1811" s="7"/>
      <c r="H1811" s="8"/>
      <c r="I1811" s="15">
        <v>1</v>
      </c>
      <c r="J1811" s="15">
        <v>3</v>
      </c>
      <c r="K1811" s="12" t="str">
        <f>HYPERLINK("http://twitter.com/download/iphone","Twitter for iPhone")</f>
        <v>Twitter for iPhone</v>
      </c>
      <c r="L1811" s="16">
        <v>491</v>
      </c>
      <c r="M1811" s="16">
        <v>342</v>
      </c>
      <c r="N1811" s="16">
        <v>1</v>
      </c>
      <c r="O1811" s="17"/>
      <c r="P1811" s="18">
        <v>41825.482106481482</v>
      </c>
      <c r="Q1811" s="7" t="s">
        <v>313</v>
      </c>
      <c r="R1811" s="7" t="s">
        <v>13042</v>
      </c>
      <c r="S1811" s="7"/>
      <c r="T1811" s="8"/>
      <c r="U1811" s="19" t="str">
        <f>HYPERLINK("https://pbs.twimg.com/profile_images/1163019886500753408/WjLOOREc.jpg","View")</f>
        <v>View</v>
      </c>
      <c r="V1811" s="8"/>
      <c r="W1811" s="8"/>
      <c r="X1811" s="8"/>
      <c r="Y1811" s="8"/>
      <c r="Z1811" s="8"/>
    </row>
    <row r="1812" spans="1:26" ht="12.75">
      <c r="A1812" s="11">
        <v>43747.276585648149</v>
      </c>
      <c r="B1812" s="12" t="str">
        <f>HYPERLINK("https://twitter.com/yomraakgenclik","@yomraakgenclik")</f>
        <v>@yomraakgenclik</v>
      </c>
      <c r="C1812" s="7" t="s">
        <v>13043</v>
      </c>
      <c r="D1812" s="7" t="s">
        <v>13044</v>
      </c>
      <c r="E1812" s="12" t="str">
        <f>HYPERLINK("https://twitter.com/yomraakgenclik/status/1181926859870806022","1181926859870806022")</f>
        <v>1181926859870806022</v>
      </c>
      <c r="F1812" s="8"/>
      <c r="G1812" s="14" t="s">
        <v>13045</v>
      </c>
      <c r="H1812" s="8"/>
      <c r="I1812" s="15">
        <v>0</v>
      </c>
      <c r="J1812" s="15">
        <v>3</v>
      </c>
      <c r="K1812" s="12" t="str">
        <f>HYPERLINK("http://twitter.com/download/android","Twitter for Android")</f>
        <v>Twitter for Android</v>
      </c>
      <c r="L1812" s="16">
        <v>389</v>
      </c>
      <c r="M1812" s="16">
        <v>39</v>
      </c>
      <c r="N1812" s="16">
        <v>0</v>
      </c>
      <c r="O1812" s="17"/>
      <c r="P1812" s="18">
        <v>42635.334652777776</v>
      </c>
      <c r="Q1812" s="7" t="s">
        <v>13048</v>
      </c>
      <c r="R1812" s="7" t="s">
        <v>13049</v>
      </c>
      <c r="S1812" s="14" t="s">
        <v>13050</v>
      </c>
      <c r="T1812" s="8"/>
      <c r="U1812" s="19" t="str">
        <f>HYPERLINK("https://pbs.twimg.com/profile_images/793513517747998720/nG0A_ZHV.jpg","View")</f>
        <v>View</v>
      </c>
      <c r="V1812" s="8"/>
      <c r="W1812" s="8"/>
      <c r="X1812" s="8"/>
      <c r="Y1812" s="8"/>
      <c r="Z1812" s="8"/>
    </row>
    <row r="1813" spans="1:26" ht="12.75">
      <c r="A1813" s="11">
        <v>43747.276574074072</v>
      </c>
      <c r="B1813" s="12" t="str">
        <f>HYPERLINK("https://twitter.com/tahaerdemir3","@tahaerdemir3")</f>
        <v>@tahaerdemir3</v>
      </c>
      <c r="C1813" s="7" t="s">
        <v>13054</v>
      </c>
      <c r="D1813" s="7" t="s">
        <v>13055</v>
      </c>
      <c r="E1813" s="12" t="str">
        <f>HYPERLINK("https://twitter.com/tahaerdemir3/status/1181926857677123586","1181926857677123586")</f>
        <v>1181926857677123586</v>
      </c>
      <c r="F1813" s="8"/>
      <c r="G1813" s="7"/>
      <c r="H1813" s="8"/>
      <c r="I1813" s="15">
        <v>0</v>
      </c>
      <c r="J1813" s="15">
        <v>0</v>
      </c>
      <c r="K1813" s="12" t="str">
        <f>HYPERLINK("http://twitter.com/download/iphone","Twitter for iPhone")</f>
        <v>Twitter for iPhone</v>
      </c>
      <c r="L1813" s="16">
        <v>33</v>
      </c>
      <c r="M1813" s="16">
        <v>114</v>
      </c>
      <c r="N1813" s="16">
        <v>0</v>
      </c>
      <c r="O1813" s="17"/>
      <c r="P1813" s="18">
        <v>43352.544537037036</v>
      </c>
      <c r="Q1813" s="7"/>
      <c r="R1813" s="7"/>
      <c r="S1813" s="15"/>
      <c r="T1813" s="8"/>
      <c r="U1813" s="19" t="str">
        <f>HYPERLINK("https://pbs.twimg.com/profile_images/1179962539578417153/DFU9DZt2.jpg","View")</f>
        <v>View</v>
      </c>
      <c r="V1813" s="8"/>
      <c r="W1813" s="8"/>
      <c r="X1813" s="8"/>
      <c r="Y1813" s="8"/>
      <c r="Z1813" s="8"/>
    </row>
    <row r="1814" spans="1:26" ht="12.75">
      <c r="A1814" s="11">
        <v>43747.276539351849</v>
      </c>
      <c r="B1814" s="12" t="str">
        <f>HYPERLINK("https://twitter.com/yedibelanebos","@yedibelanebos")</f>
        <v>@yedibelanebos</v>
      </c>
      <c r="C1814" s="7" t="s">
        <v>13063</v>
      </c>
      <c r="D1814" s="7" t="s">
        <v>13064</v>
      </c>
      <c r="E1814" s="12" t="str">
        <f>HYPERLINK("https://twitter.com/yedibelanebos/status/1181926846105083909","1181926846105083909")</f>
        <v>1181926846105083909</v>
      </c>
      <c r="F1814" s="8"/>
      <c r="G1814" s="15"/>
      <c r="H1814" s="8"/>
      <c r="I1814" s="15">
        <v>0</v>
      </c>
      <c r="J1814" s="15">
        <v>1</v>
      </c>
      <c r="K1814" s="12" t="str">
        <f>HYPERLINK("https://mobile.twitter.com","Twitter Web App")</f>
        <v>Twitter Web App</v>
      </c>
      <c r="L1814" s="16">
        <v>4168</v>
      </c>
      <c r="M1814" s="16">
        <v>4183</v>
      </c>
      <c r="N1814" s="16">
        <v>5</v>
      </c>
      <c r="O1814" s="17"/>
      <c r="P1814" s="18">
        <v>42255.373865740738</v>
      </c>
      <c r="Q1814" s="7" t="s">
        <v>313</v>
      </c>
      <c r="R1814" s="7"/>
      <c r="S1814" s="7"/>
      <c r="T1814" s="8"/>
      <c r="U1814" s="19" t="str">
        <f>HYPERLINK("https://pbs.twimg.com/profile_images/1181925653337260032/ZAj0Hj16.jpg","View")</f>
        <v>View</v>
      </c>
      <c r="V1814" s="8"/>
      <c r="W1814" s="8"/>
      <c r="X1814" s="8"/>
      <c r="Y1814" s="8"/>
      <c r="Z1814" s="8"/>
    </row>
    <row r="1815" spans="1:26" ht="12.75">
      <c r="A1815" s="11">
        <v>43747.276504629626</v>
      </c>
      <c r="B1815" s="12" t="str">
        <f>HYPERLINK("https://twitter.com/bektaas","@bektaas")</f>
        <v>@bektaas</v>
      </c>
      <c r="C1815" s="7" t="s">
        <v>13068</v>
      </c>
      <c r="D1815" s="7" t="s">
        <v>13069</v>
      </c>
      <c r="E1815" s="12" t="str">
        <f>HYPERLINK("https://twitter.com/bektaas/status/1181926832934965248","1181926832934965248")</f>
        <v>1181926832934965248</v>
      </c>
      <c r="F1815" s="15"/>
      <c r="G1815" s="15"/>
      <c r="H1815" s="8"/>
      <c r="I1815" s="15">
        <v>0</v>
      </c>
      <c r="J1815" s="15">
        <v>0</v>
      </c>
      <c r="K1815" s="12" t="str">
        <f>HYPERLINK("http://twitter.com/download/iphone","Twitter for iPhone")</f>
        <v>Twitter for iPhone</v>
      </c>
      <c r="L1815" s="16">
        <v>35</v>
      </c>
      <c r="M1815" s="16">
        <v>231</v>
      </c>
      <c r="N1815" s="16">
        <v>0</v>
      </c>
      <c r="O1815" s="17"/>
      <c r="P1815" s="18">
        <v>40177.993634259255</v>
      </c>
      <c r="Q1815" s="7"/>
      <c r="R1815" s="7"/>
      <c r="S1815" s="7"/>
      <c r="T1815" s="8"/>
      <c r="U1815" s="19" t="str">
        <f>HYPERLINK("https://pbs.twimg.com/profile_images/1090330312423415810/TdzAJQSp.jpg","View")</f>
        <v>View</v>
      </c>
      <c r="V1815" s="8"/>
      <c r="W1815" s="8"/>
      <c r="X1815" s="8"/>
      <c r="Y1815" s="8"/>
      <c r="Z1815" s="8"/>
    </row>
    <row r="1816" spans="1:26" ht="12.75">
      <c r="A1816" s="11">
        <v>43747.276504629626</v>
      </c>
      <c r="B1816" s="12" t="str">
        <f>HYPERLINK("https://twitter.com/mesut122014","@mesut122014")</f>
        <v>@mesut122014</v>
      </c>
      <c r="C1816" s="7" t="s">
        <v>13073</v>
      </c>
      <c r="D1816" s="7" t="s">
        <v>13074</v>
      </c>
      <c r="E1816" s="12" t="str">
        <f>HYPERLINK("https://twitter.com/mesut122014/status/1181926832351911939","1181926832351911939")</f>
        <v>1181926832351911939</v>
      </c>
      <c r="F1816" s="8"/>
      <c r="G1816" s="7"/>
      <c r="H1816" s="8"/>
      <c r="I1816" s="15">
        <v>0</v>
      </c>
      <c r="J1816" s="15">
        <v>1</v>
      </c>
      <c r="K1816" s="12" t="str">
        <f>HYPERLINK("http://twitter.com/download/android","Twitter for Android")</f>
        <v>Twitter for Android</v>
      </c>
      <c r="L1816" s="16">
        <v>1332</v>
      </c>
      <c r="M1816" s="16">
        <v>440</v>
      </c>
      <c r="N1816" s="16">
        <v>0</v>
      </c>
      <c r="O1816" s="17"/>
      <c r="P1816" s="18">
        <v>42259.479085648149</v>
      </c>
      <c r="Q1816" s="7"/>
      <c r="R1816" s="7" t="s">
        <v>13075</v>
      </c>
      <c r="S1816" s="7"/>
      <c r="T1816" s="8"/>
      <c r="U1816" s="19" t="str">
        <f>HYPERLINK("https://pbs.twimg.com/profile_images/1036223083256918016/N2pQ0MRV.jpg","View")</f>
        <v>View</v>
      </c>
      <c r="V1816" s="8"/>
      <c r="W1816" s="8"/>
      <c r="X1816" s="8"/>
      <c r="Y1816" s="8"/>
      <c r="Z1816" s="8"/>
    </row>
    <row r="1817" spans="1:26" ht="12.75">
      <c r="A1817" s="11">
        <v>43747.276504629626</v>
      </c>
      <c r="B1817" s="12" t="str">
        <f>HYPERLINK("https://twitter.com/ademcayir74","@ademcayir74")</f>
        <v>@ademcayir74</v>
      </c>
      <c r="C1817" s="7" t="s">
        <v>13079</v>
      </c>
      <c r="D1817" s="7" t="s">
        <v>13080</v>
      </c>
      <c r="E1817" s="12" t="str">
        <f>HYPERLINK("https://twitter.com/ademcayir74/status/1181926832033148929","1181926832033148929")</f>
        <v>1181926832033148929</v>
      </c>
      <c r="F1817" s="8"/>
      <c r="G1817" s="7"/>
      <c r="H1817" s="8"/>
      <c r="I1817" s="15">
        <v>0</v>
      </c>
      <c r="J1817" s="15">
        <v>0</v>
      </c>
      <c r="K1817" s="12" t="str">
        <f>HYPERLINK("http://twitter.com/download/android","Twitter for Android")</f>
        <v>Twitter for Android</v>
      </c>
      <c r="L1817" s="16">
        <v>67</v>
      </c>
      <c r="M1817" s="16">
        <v>116</v>
      </c>
      <c r="N1817" s="16">
        <v>0</v>
      </c>
      <c r="O1817" s="17"/>
      <c r="P1817" s="18">
        <v>42118.667210648149</v>
      </c>
      <c r="Q1817" s="7"/>
      <c r="R1817" s="7"/>
      <c r="S1817" s="7"/>
      <c r="T1817" s="8"/>
      <c r="U1817" s="19" t="str">
        <f>HYPERLINK("https://pbs.twimg.com/profile_images/1155467163169447936/PGrABNj0.jpg","View")</f>
        <v>View</v>
      </c>
      <c r="V1817" s="8"/>
      <c r="W1817" s="8"/>
      <c r="X1817" s="8"/>
      <c r="Y1817" s="8"/>
      <c r="Z1817" s="8"/>
    </row>
    <row r="1818" spans="1:26" ht="12.75">
      <c r="A1818" s="11">
        <v>43747.276469907403</v>
      </c>
      <c r="B1818" s="12" t="str">
        <f>HYPERLINK("https://twitter.com/BerrakD03994435","@BerrakD03994435")</f>
        <v>@BerrakD03994435</v>
      </c>
      <c r="C1818" s="7" t="s">
        <v>13089</v>
      </c>
      <c r="D1818" s="7" t="s">
        <v>13090</v>
      </c>
      <c r="E1818" s="12" t="str">
        <f>HYPERLINK("https://twitter.com/BerrakD03994435/status/1181926819794173953","1181926819794173953")</f>
        <v>1181926819794173953</v>
      </c>
      <c r="F1818" s="15"/>
      <c r="G1818" s="14" t="s">
        <v>13091</v>
      </c>
      <c r="H1818" s="8"/>
      <c r="I1818" s="15">
        <v>1</v>
      </c>
      <c r="J1818" s="15">
        <v>6</v>
      </c>
      <c r="K1818" s="12" t="str">
        <f>HYPERLINK("http://twitter.com/download/android","Twitter for Android")</f>
        <v>Twitter for Android</v>
      </c>
      <c r="L1818" s="16">
        <v>319</v>
      </c>
      <c r="M1818" s="16">
        <v>845</v>
      </c>
      <c r="N1818" s="16">
        <v>0</v>
      </c>
      <c r="O1818" s="17"/>
      <c r="P1818" s="18">
        <v>43676.71293981481</v>
      </c>
      <c r="Q1818" s="7" t="s">
        <v>13095</v>
      </c>
      <c r="R1818" s="7" t="s">
        <v>13096</v>
      </c>
      <c r="S1818" s="7"/>
      <c r="T1818" s="8"/>
      <c r="U1818" s="19" t="str">
        <f>HYPERLINK("https://pbs.twimg.com/profile_images/1181935589127544837/Mj26ScAF.jpg","View")</f>
        <v>View</v>
      </c>
      <c r="V1818" s="8"/>
      <c r="W1818" s="8"/>
      <c r="X1818" s="8"/>
      <c r="Y1818" s="8"/>
      <c r="Z1818" s="8"/>
    </row>
    <row r="1819" spans="1:26" ht="12.75">
      <c r="A1819" s="11">
        <v>43747.276469907403</v>
      </c>
      <c r="B1819" s="12" t="str">
        <f>HYPERLINK("https://twitter.com/donjuAnov","@donjuAnov")</f>
        <v>@donjuAnov</v>
      </c>
      <c r="C1819" s="15" t="s">
        <v>13099</v>
      </c>
      <c r="D1819" s="7" t="s">
        <v>13100</v>
      </c>
      <c r="E1819" s="12" t="str">
        <f>HYPERLINK("https://twitter.com/donjuAnov/status/1181926817894023168","1181926817894023168")</f>
        <v>1181926817894023168</v>
      </c>
      <c r="F1819" s="8"/>
      <c r="G1819" s="15"/>
      <c r="H1819" s="8"/>
      <c r="I1819" s="15">
        <v>0</v>
      </c>
      <c r="J1819" s="15">
        <v>0</v>
      </c>
      <c r="K1819" s="12" t="str">
        <f>HYPERLINK("http://twitter.com/download/android","Twitter for Android")</f>
        <v>Twitter for Android</v>
      </c>
      <c r="L1819" s="16">
        <v>263</v>
      </c>
      <c r="M1819" s="16">
        <v>166</v>
      </c>
      <c r="N1819" s="16">
        <v>1</v>
      </c>
      <c r="O1819" s="17"/>
      <c r="P1819" s="18">
        <v>41776.511863425927</v>
      </c>
      <c r="Q1819" s="7" t="s">
        <v>13102</v>
      </c>
      <c r="R1819" s="7" t="s">
        <v>13104</v>
      </c>
      <c r="S1819" s="14" t="s">
        <v>13105</v>
      </c>
      <c r="T1819" s="8"/>
      <c r="U1819" s="19" t="str">
        <f>HYPERLINK("https://pbs.twimg.com/profile_images/1177747545390534657/fw1QlOpt.jpg","View")</f>
        <v>View</v>
      </c>
      <c r="V1819" s="8"/>
      <c r="W1819" s="8"/>
      <c r="X1819" s="8"/>
      <c r="Y1819" s="8"/>
      <c r="Z1819" s="8"/>
    </row>
    <row r="1820" spans="1:26" ht="12.75">
      <c r="A1820" s="11">
        <v>43747.276446759264</v>
      </c>
      <c r="B1820" s="12" t="str">
        <f>HYPERLINK("https://twitter.com/Trekul3","@Trekul3")</f>
        <v>@Trekul3</v>
      </c>
      <c r="C1820" s="7" t="s">
        <v>13106</v>
      </c>
      <c r="D1820" s="7" t="s">
        <v>13107</v>
      </c>
      <c r="E1820" s="12" t="str">
        <f>HYPERLINK("https://twitter.com/Trekul3/status/1181926811283984384","1181926811283984384")</f>
        <v>1181926811283984384</v>
      </c>
      <c r="F1820" s="8"/>
      <c r="G1820" s="7"/>
      <c r="H1820" s="8"/>
      <c r="I1820" s="15">
        <v>0</v>
      </c>
      <c r="J1820" s="15">
        <v>4</v>
      </c>
      <c r="K1820" s="12" t="str">
        <f>HYPERLINK("http://twitter.com/download/android","Twitter for Android")</f>
        <v>Twitter for Android</v>
      </c>
      <c r="L1820" s="16">
        <v>174</v>
      </c>
      <c r="M1820" s="16">
        <v>273</v>
      </c>
      <c r="N1820" s="16">
        <v>0</v>
      </c>
      <c r="O1820" s="17"/>
      <c r="P1820" s="18">
        <v>43718.622511574074</v>
      </c>
      <c r="Q1820" s="7"/>
      <c r="R1820" s="7" t="s">
        <v>13108</v>
      </c>
      <c r="S1820" s="7"/>
      <c r="T1820" s="8"/>
      <c r="U1820" s="19" t="str">
        <f>HYPERLINK("https://pbs.twimg.com/profile_images/1172258505912389633/6Wi9am3g.jpg","View")</f>
        <v>View</v>
      </c>
      <c r="V1820" s="8"/>
      <c r="W1820" s="8"/>
      <c r="X1820" s="8"/>
      <c r="Y1820" s="8"/>
      <c r="Z1820" s="8"/>
    </row>
    <row r="1821" spans="1:26" ht="12.75">
      <c r="A1821" s="11">
        <v>43747.276446759264</v>
      </c>
      <c r="B1821" s="12" t="str">
        <f>HYPERLINK("https://twitter.com/captincii","@captincii")</f>
        <v>@captincii</v>
      </c>
      <c r="C1821" s="7" t="s">
        <v>13109</v>
      </c>
      <c r="D1821" s="7" t="s">
        <v>13111</v>
      </c>
      <c r="E1821" s="12" t="str">
        <f>HYPERLINK("https://twitter.com/captincii/status/1181926808847081474","1181926808847081474")</f>
        <v>1181926808847081474</v>
      </c>
      <c r="F1821" s="8"/>
      <c r="G1821" s="14" t="s">
        <v>13113</v>
      </c>
      <c r="H1821" s="8"/>
      <c r="I1821" s="15">
        <v>0</v>
      </c>
      <c r="J1821" s="15">
        <v>0</v>
      </c>
      <c r="K1821" s="12" t="str">
        <f>HYPERLINK("http://twitter.com/download/iphone","Twitter for iPhone")</f>
        <v>Twitter for iPhone</v>
      </c>
      <c r="L1821" s="16">
        <v>495</v>
      </c>
      <c r="M1821" s="16">
        <v>84</v>
      </c>
      <c r="N1821" s="16">
        <v>0</v>
      </c>
      <c r="O1821" s="17"/>
      <c r="P1821" s="18">
        <v>41812.618275462963</v>
      </c>
      <c r="Q1821" s="7"/>
      <c r="R1821" s="7" t="s">
        <v>13115</v>
      </c>
      <c r="S1821" s="7"/>
      <c r="T1821" s="8"/>
      <c r="U1821" s="19" t="str">
        <f>HYPERLINK("https://pbs.twimg.com/profile_images/958492913012494336/OVOXOl35.jpg","View")</f>
        <v>View</v>
      </c>
      <c r="V1821" s="8"/>
      <c r="W1821" s="8"/>
      <c r="X1821" s="8"/>
      <c r="Y1821" s="8"/>
      <c r="Z1821" s="8"/>
    </row>
    <row r="1822" spans="1:26" ht="12.75">
      <c r="A1822" s="11">
        <v>43747.27643518518</v>
      </c>
      <c r="B1822" s="12" t="str">
        <f>HYPERLINK("https://twitter.com/suhcuum","@suhcuum")</f>
        <v>@suhcuum</v>
      </c>
      <c r="C1822" s="7" t="s">
        <v>13118</v>
      </c>
      <c r="D1822" s="7" t="s">
        <v>13119</v>
      </c>
      <c r="E1822" s="12" t="str">
        <f>HYPERLINK("https://twitter.com/suhcuum/status/1181926804799574016","1181926804799574016")</f>
        <v>1181926804799574016</v>
      </c>
      <c r="F1822" s="8"/>
      <c r="G1822" s="14" t="s">
        <v>13120</v>
      </c>
      <c r="H1822" s="8"/>
      <c r="I1822" s="15">
        <v>0</v>
      </c>
      <c r="J1822" s="15">
        <v>1</v>
      </c>
      <c r="K1822" s="12" t="str">
        <f>HYPERLINK("https://mobile.twitter.com","Twitter Web App")</f>
        <v>Twitter Web App</v>
      </c>
      <c r="L1822" s="16">
        <v>106</v>
      </c>
      <c r="M1822" s="16">
        <v>102</v>
      </c>
      <c r="N1822" s="16">
        <v>0</v>
      </c>
      <c r="O1822" s="17"/>
      <c r="P1822" s="18">
        <v>43390.495416666672</v>
      </c>
      <c r="Q1822" s="7" t="s">
        <v>313</v>
      </c>
      <c r="R1822" s="7" t="s">
        <v>13123</v>
      </c>
      <c r="S1822" s="7"/>
      <c r="T1822" s="8"/>
      <c r="U1822" s="19" t="str">
        <f>HYPERLINK("https://pbs.twimg.com/profile_images/1150377168645578752/7Iqzw6i0.jpg","View")</f>
        <v>View</v>
      </c>
      <c r="V1822" s="8"/>
      <c r="W1822" s="8"/>
      <c r="X1822" s="8"/>
      <c r="Y1822" s="8"/>
      <c r="Z1822" s="8"/>
    </row>
    <row r="1823" spans="1:26" ht="12.75">
      <c r="A1823" s="11">
        <v>43747.276423611111</v>
      </c>
      <c r="B1823" s="12" t="str">
        <f>HYPERLINK("https://twitter.com/T_AliEmre","@T_AliEmre")</f>
        <v>@T_AliEmre</v>
      </c>
      <c r="C1823" s="7" t="s">
        <v>13124</v>
      </c>
      <c r="D1823" s="7" t="s">
        <v>13125</v>
      </c>
      <c r="E1823" s="12" t="str">
        <f>HYPERLINK("https://twitter.com/T_AliEmre/status/1181926804262666240","1181926804262666240")</f>
        <v>1181926804262666240</v>
      </c>
      <c r="F1823" s="15"/>
      <c r="G1823" s="14" t="s">
        <v>13126</v>
      </c>
      <c r="H1823" s="8"/>
      <c r="I1823" s="15">
        <v>0</v>
      </c>
      <c r="J1823" s="15">
        <v>1</v>
      </c>
      <c r="K1823" s="12" t="str">
        <f>HYPERLINK("http://twitter.com/download/iphone","Twitter for iPhone")</f>
        <v>Twitter for iPhone</v>
      </c>
      <c r="L1823" s="16">
        <v>83</v>
      </c>
      <c r="M1823" s="16">
        <v>101</v>
      </c>
      <c r="N1823" s="16">
        <v>0</v>
      </c>
      <c r="O1823" s="17"/>
      <c r="P1823" s="18">
        <v>43708.534861111111</v>
      </c>
      <c r="Q1823" s="7" t="s">
        <v>200</v>
      </c>
      <c r="R1823" s="7" t="s">
        <v>13128</v>
      </c>
      <c r="S1823" s="7"/>
      <c r="T1823" s="8"/>
      <c r="U1823" s="19" t="str">
        <f>HYPERLINK("https://pbs.twimg.com/profile_images/1181339476309745665/-GFy8ByO.jpg","View")</f>
        <v>View</v>
      </c>
      <c r="V1823" s="8"/>
      <c r="W1823" s="8"/>
      <c r="X1823" s="8"/>
      <c r="Y1823" s="8"/>
      <c r="Z1823" s="8"/>
    </row>
    <row r="1824" spans="1:26" ht="12.75">
      <c r="A1824" s="11">
        <v>43747.276400462964</v>
      </c>
      <c r="B1824" s="12" t="str">
        <f>HYPERLINK("https://twitter.com/sedaerbas","@sedaerbas")</f>
        <v>@sedaerbas</v>
      </c>
      <c r="C1824" s="7" t="s">
        <v>13135</v>
      </c>
      <c r="D1824" s="7" t="s">
        <v>13136</v>
      </c>
      <c r="E1824" s="12" t="str">
        <f>HYPERLINK("https://twitter.com/sedaerbas/status/1181926792476725249","1181926792476725249")</f>
        <v>1181926792476725249</v>
      </c>
      <c r="F1824" s="8"/>
      <c r="G1824" s="7"/>
      <c r="H1824" s="8"/>
      <c r="I1824" s="15">
        <v>1</v>
      </c>
      <c r="J1824" s="15">
        <v>3</v>
      </c>
      <c r="K1824" s="12" t="str">
        <f>HYPERLINK("http://twitter.com/download/iphone","Twitter for iPhone")</f>
        <v>Twitter for iPhone</v>
      </c>
      <c r="L1824" s="16">
        <v>80</v>
      </c>
      <c r="M1824" s="16">
        <v>68</v>
      </c>
      <c r="N1824" s="16">
        <v>0</v>
      </c>
      <c r="O1824" s="17"/>
      <c r="P1824" s="18">
        <v>43436.436053240745</v>
      </c>
      <c r="Q1824" s="7"/>
      <c r="R1824" s="7" t="s">
        <v>13137</v>
      </c>
      <c r="S1824" s="7"/>
      <c r="T1824" s="8"/>
      <c r="U1824" s="19" t="str">
        <f>HYPERLINK("https://pbs.twimg.com/profile_images/1176970835573313536/O4lkjnvy.jpg","View")</f>
        <v>View</v>
      </c>
      <c r="V1824" s="8"/>
      <c r="W1824" s="8"/>
      <c r="X1824" s="8"/>
      <c r="Y1824" s="8"/>
      <c r="Z1824" s="8"/>
    </row>
    <row r="1825" spans="1:26" ht="12.75">
      <c r="A1825" s="11">
        <v>43747.276388888888</v>
      </c>
      <c r="B1825" s="12" t="str">
        <f>HYPERLINK("https://twitter.com/kadirtopal61","@kadirtopal61")</f>
        <v>@kadirtopal61</v>
      </c>
      <c r="C1825" s="7" t="s">
        <v>13143</v>
      </c>
      <c r="D1825" s="7" t="s">
        <v>13144</v>
      </c>
      <c r="E1825" s="12" t="str">
        <f>HYPERLINK("https://twitter.com/kadirtopal61/status/1181926788802502656","1181926788802502656")</f>
        <v>1181926788802502656</v>
      </c>
      <c r="F1825" s="8"/>
      <c r="G1825" s="14" t="s">
        <v>13145</v>
      </c>
      <c r="H1825" s="8"/>
      <c r="I1825" s="15">
        <v>0</v>
      </c>
      <c r="J1825" s="15">
        <v>0</v>
      </c>
      <c r="K1825" s="12" t="str">
        <f>HYPERLINK("http://twitter.com/download/android","Twitter for Android")</f>
        <v>Twitter for Android</v>
      </c>
      <c r="L1825" s="16">
        <v>36</v>
      </c>
      <c r="M1825" s="16">
        <v>50</v>
      </c>
      <c r="N1825" s="16">
        <v>0</v>
      </c>
      <c r="O1825" s="17"/>
      <c r="P1825" s="18">
        <v>42679.160312499997</v>
      </c>
      <c r="Q1825" s="7"/>
      <c r="R1825" s="7"/>
      <c r="S1825" s="7"/>
      <c r="T1825" s="8"/>
      <c r="U1825" s="20" t="s">
        <v>354</v>
      </c>
      <c r="V1825" s="8"/>
      <c r="W1825" s="8"/>
      <c r="X1825" s="8"/>
      <c r="Y1825" s="8"/>
      <c r="Z1825" s="8"/>
    </row>
    <row r="1826" spans="1:26" ht="12.75">
      <c r="A1826" s="11">
        <v>43747.276354166665</v>
      </c>
      <c r="B1826" s="12" t="str">
        <f>HYPERLINK("https://twitter.com/10EmreDogan","@10EmreDogan")</f>
        <v>@10EmreDogan</v>
      </c>
      <c r="C1826" s="7" t="s">
        <v>13154</v>
      </c>
      <c r="D1826" s="7" t="s">
        <v>13155</v>
      </c>
      <c r="E1826" s="12" t="str">
        <f>HYPERLINK("https://twitter.com/10EmreDogan/status/1181926775779143680","1181926775779143680")</f>
        <v>1181926775779143680</v>
      </c>
      <c r="F1826" s="8"/>
      <c r="G1826" s="14" t="s">
        <v>13156</v>
      </c>
      <c r="H1826" s="8"/>
      <c r="I1826" s="15">
        <v>0</v>
      </c>
      <c r="J1826" s="15">
        <v>2</v>
      </c>
      <c r="K1826" s="12" t="str">
        <f>HYPERLINK("http://twitter.com/download/android","Twitter for Android")</f>
        <v>Twitter for Android</v>
      </c>
      <c r="L1826" s="16">
        <v>665</v>
      </c>
      <c r="M1826" s="16">
        <v>965</v>
      </c>
      <c r="N1826" s="16">
        <v>4</v>
      </c>
      <c r="O1826" s="17"/>
      <c r="P1826" s="18">
        <v>42538.593969907408</v>
      </c>
      <c r="Q1826" s="7" t="s">
        <v>13157</v>
      </c>
      <c r="R1826" s="7" t="s">
        <v>13158</v>
      </c>
      <c r="S1826" s="14" t="s">
        <v>13159</v>
      </c>
      <c r="T1826" s="8"/>
      <c r="U1826" s="19" t="str">
        <f>HYPERLINK("https://pbs.twimg.com/profile_images/1161039771025727488/wCh7X2yv.jpg","View")</f>
        <v>View</v>
      </c>
      <c r="V1826" s="8"/>
      <c r="W1826" s="8"/>
      <c r="X1826" s="8"/>
      <c r="Y1826" s="8"/>
      <c r="Z1826" s="8"/>
    </row>
    <row r="1827" spans="1:26" ht="12.75">
      <c r="A1827" s="11">
        <v>43747.276354166665</v>
      </c>
      <c r="B1827" s="12" t="str">
        <f>HYPERLINK("https://twitter.com/aymanjama8","@aymanjama8")</f>
        <v>@aymanjama8</v>
      </c>
      <c r="C1827" s="7" t="s">
        <v>13160</v>
      </c>
      <c r="D1827" s="7" t="s">
        <v>13161</v>
      </c>
      <c r="E1827" s="12" t="str">
        <f>HYPERLINK("https://twitter.com/aymanjama8/status/1181926775732891649","1181926775732891649")</f>
        <v>1181926775732891649</v>
      </c>
      <c r="F1827" s="8"/>
      <c r="G1827" s="14" t="s">
        <v>13162</v>
      </c>
      <c r="H1827" s="8"/>
      <c r="I1827" s="15">
        <v>1</v>
      </c>
      <c r="J1827" s="15">
        <v>5</v>
      </c>
      <c r="K1827" s="12" t="str">
        <f>HYPERLINK("http://twitter.com/download/iphone","Twitter for iPhone")</f>
        <v>Twitter for iPhone</v>
      </c>
      <c r="L1827" s="16">
        <v>2493</v>
      </c>
      <c r="M1827" s="16">
        <v>4176</v>
      </c>
      <c r="N1827" s="16">
        <v>21</v>
      </c>
      <c r="O1827" s="17"/>
      <c r="P1827" s="18">
        <v>41940.512418981481</v>
      </c>
      <c r="Q1827" s="7" t="s">
        <v>13163</v>
      </c>
      <c r="R1827" s="7" t="s">
        <v>13164</v>
      </c>
      <c r="S1827" s="14" t="s">
        <v>13165</v>
      </c>
      <c r="T1827" s="8"/>
      <c r="U1827" s="19" t="str">
        <f>HYPERLINK("https://pbs.twimg.com/profile_images/1178697992477368321/kWBD01YG.jpg","View")</f>
        <v>View</v>
      </c>
      <c r="V1827" s="8"/>
      <c r="W1827" s="8"/>
      <c r="X1827" s="8"/>
      <c r="Y1827" s="8"/>
      <c r="Z1827" s="8"/>
    </row>
    <row r="1828" spans="1:26" ht="12.75">
      <c r="A1828" s="11">
        <v>43747.276307870372</v>
      </c>
      <c r="B1828" s="12" t="str">
        <f>HYPERLINK("https://twitter.com/emregulhan61","@emregulhan61")</f>
        <v>@emregulhan61</v>
      </c>
      <c r="C1828" s="7" t="s">
        <v>13166</v>
      </c>
      <c r="D1828" s="7" t="s">
        <v>13167</v>
      </c>
      <c r="E1828" s="12" t="str">
        <f>HYPERLINK("https://twitter.com/emregulhan61/status/1181926761849905154","1181926761849905154")</f>
        <v>1181926761849905154</v>
      </c>
      <c r="F1828" s="8"/>
      <c r="G1828" s="14" t="s">
        <v>13168</v>
      </c>
      <c r="H1828" s="8"/>
      <c r="I1828" s="15">
        <v>0</v>
      </c>
      <c r="J1828" s="15">
        <v>2</v>
      </c>
      <c r="K1828" s="12" t="str">
        <f>HYPERLINK("https://mobile.twitter.com","Twitter Web App")</f>
        <v>Twitter Web App</v>
      </c>
      <c r="L1828" s="16">
        <v>28</v>
      </c>
      <c r="M1828" s="16">
        <v>194</v>
      </c>
      <c r="N1828" s="16">
        <v>0</v>
      </c>
      <c r="O1828" s="17"/>
      <c r="P1828" s="18">
        <v>42970.704016203701</v>
      </c>
      <c r="Q1828" s="7"/>
      <c r="R1828" s="7" t="s">
        <v>807</v>
      </c>
      <c r="S1828" s="7"/>
      <c r="T1828" s="8"/>
      <c r="U1828" s="19" t="str">
        <f>HYPERLINK("https://pbs.twimg.com/profile_images/1087117988694773760/X_nQtRfF.jpg","View")</f>
        <v>View</v>
      </c>
      <c r="V1828" s="8"/>
      <c r="W1828" s="8"/>
      <c r="X1828" s="8"/>
      <c r="Y1828" s="8"/>
      <c r="Z1828" s="8"/>
    </row>
    <row r="1829" spans="1:26" ht="12.75">
      <c r="A1829" s="11">
        <v>43747.276296296295</v>
      </c>
      <c r="B1829" s="12" t="str">
        <f>HYPERLINK("https://twitter.com/Flipflop1907","@Flipflop1907")</f>
        <v>@Flipflop1907</v>
      </c>
      <c r="C1829" s="7" t="s">
        <v>13171</v>
      </c>
      <c r="D1829" s="7" t="s">
        <v>13172</v>
      </c>
      <c r="E1829" s="12" t="str">
        <f>HYPERLINK("https://twitter.com/Flipflop1907/status/1181926758221783040","1181926758221783040")</f>
        <v>1181926758221783040</v>
      </c>
      <c r="F1829" s="8"/>
      <c r="G1829" s="7"/>
      <c r="H1829" s="8"/>
      <c r="I1829" s="15">
        <v>1</v>
      </c>
      <c r="J1829" s="15">
        <v>11</v>
      </c>
      <c r="K1829" s="12" t="str">
        <f>HYPERLINK("https://mobile.twitter.com","Twitter Web App")</f>
        <v>Twitter Web App</v>
      </c>
      <c r="L1829" s="16">
        <v>4510</v>
      </c>
      <c r="M1829" s="16">
        <v>3808</v>
      </c>
      <c r="N1829" s="16">
        <v>6</v>
      </c>
      <c r="O1829" s="17"/>
      <c r="P1829" s="18">
        <v>43711.973043981481</v>
      </c>
      <c r="Q1829" s="7"/>
      <c r="R1829" s="7" t="s">
        <v>13174</v>
      </c>
      <c r="S1829" s="7"/>
      <c r="T1829" s="8"/>
      <c r="U1829" s="19" t="str">
        <f>HYPERLINK("https://pbs.twimg.com/profile_images/1178952663775547392/qEtUI1JR.jpg","View")</f>
        <v>View</v>
      </c>
      <c r="V1829" s="8"/>
      <c r="W1829" s="8"/>
      <c r="X1829" s="8"/>
      <c r="Y1829" s="8"/>
      <c r="Z1829" s="8"/>
    </row>
    <row r="1830" spans="1:26" ht="12.75">
      <c r="A1830" s="11">
        <v>43747.276284722218</v>
      </c>
      <c r="B1830" s="12" t="str">
        <f>HYPERLINK("https://twitter.com/Kenan__1453","@Kenan__1453")</f>
        <v>@Kenan__1453</v>
      </c>
      <c r="C1830" s="7" t="s">
        <v>13175</v>
      </c>
      <c r="D1830" s="7" t="s">
        <v>13176</v>
      </c>
      <c r="E1830" s="12" t="str">
        <f>HYPERLINK("https://twitter.com/Kenan__1453/status/1181926751032807425","1181926751032807425")</f>
        <v>1181926751032807425</v>
      </c>
      <c r="F1830" s="8"/>
      <c r="G1830" s="15"/>
      <c r="H1830" s="8"/>
      <c r="I1830" s="15">
        <v>0</v>
      </c>
      <c r="J1830" s="15">
        <v>0</v>
      </c>
      <c r="K1830" s="12" t="str">
        <f>HYPERLINK("http://twitter.com/download/android","Twitter for Android")</f>
        <v>Twitter for Android</v>
      </c>
      <c r="L1830" s="16">
        <v>15</v>
      </c>
      <c r="M1830" s="16">
        <v>23</v>
      </c>
      <c r="N1830" s="16">
        <v>0</v>
      </c>
      <c r="O1830" s="17"/>
      <c r="P1830" s="18">
        <v>43405.523495370369</v>
      </c>
      <c r="Q1830" s="7"/>
      <c r="R1830" s="7" t="s">
        <v>13180</v>
      </c>
      <c r="S1830" s="7"/>
      <c r="T1830" s="8"/>
      <c r="U1830" s="19" t="str">
        <f>HYPERLINK("https://pbs.twimg.com/profile_images/1176041289055461377/kVHsq9EP.jpg","View")</f>
        <v>View</v>
      </c>
      <c r="V1830" s="8"/>
      <c r="W1830" s="8"/>
      <c r="X1830" s="8"/>
      <c r="Y1830" s="8"/>
      <c r="Z1830" s="8"/>
    </row>
    <row r="1831" spans="1:26" ht="12.75">
      <c r="A1831" s="11">
        <v>43747.276261574079</v>
      </c>
      <c r="B1831" s="12" t="str">
        <f>HYPERLINK("https://twitter.com/MedihaDuden","@MedihaDuden")</f>
        <v>@MedihaDuden</v>
      </c>
      <c r="C1831" s="7" t="s">
        <v>13181</v>
      </c>
      <c r="D1831" s="7" t="s">
        <v>13182</v>
      </c>
      <c r="E1831" s="12" t="str">
        <f>HYPERLINK("https://twitter.com/MedihaDuden/status/1181926745110437888","1181926745110437888")</f>
        <v>1181926745110437888</v>
      </c>
      <c r="F1831" s="14" t="s">
        <v>3207</v>
      </c>
      <c r="G1831" s="7"/>
      <c r="H1831" s="8"/>
      <c r="I1831" s="15">
        <v>0</v>
      </c>
      <c r="J1831" s="15">
        <v>1</v>
      </c>
      <c r="K1831" s="12" t="str">
        <f>HYPERLINK("http://twitter.com/download/android","Twitter for Android")</f>
        <v>Twitter for Android</v>
      </c>
      <c r="L1831" s="16">
        <v>1611</v>
      </c>
      <c r="M1831" s="16">
        <v>644</v>
      </c>
      <c r="N1831" s="16">
        <v>4</v>
      </c>
      <c r="O1831" s="17"/>
      <c r="P1831" s="18">
        <v>40982.34002314815</v>
      </c>
      <c r="Q1831" s="7" t="s">
        <v>8760</v>
      </c>
      <c r="R1831" s="7" t="s">
        <v>13186</v>
      </c>
      <c r="S1831" s="7"/>
      <c r="T1831" s="8"/>
      <c r="U1831" s="19" t="str">
        <f>HYPERLINK("https://pbs.twimg.com/profile_images/694599049383641088/PgURowzF.jpg","View")</f>
        <v>View</v>
      </c>
      <c r="V1831" s="8"/>
      <c r="W1831" s="8"/>
      <c r="X1831" s="8"/>
      <c r="Y1831" s="8"/>
      <c r="Z1831" s="8"/>
    </row>
    <row r="1832" spans="1:26" ht="12.75">
      <c r="A1832" s="11">
        <v>43747.276261574079</v>
      </c>
      <c r="B1832" s="12" t="str">
        <f>HYPERLINK("https://twitter.com/mceesur","@mceesur")</f>
        <v>@mceesur</v>
      </c>
      <c r="C1832" s="7" t="s">
        <v>13187</v>
      </c>
      <c r="D1832" s="7" t="s">
        <v>13188</v>
      </c>
      <c r="E1832" s="12" t="str">
        <f>HYPERLINK("https://twitter.com/mceesur/status/1181926743097171970","1181926743097171970")</f>
        <v>1181926743097171970</v>
      </c>
      <c r="F1832" s="8"/>
      <c r="G1832" s="15"/>
      <c r="H1832" s="8"/>
      <c r="I1832" s="15">
        <v>0</v>
      </c>
      <c r="J1832" s="15">
        <v>1</v>
      </c>
      <c r="K1832" s="12" t="str">
        <f>HYPERLINK("http://twitter.com/download/android","Twitter for Android")</f>
        <v>Twitter for Android</v>
      </c>
      <c r="L1832" s="16">
        <v>21</v>
      </c>
      <c r="M1832" s="16">
        <v>24</v>
      </c>
      <c r="N1832" s="16">
        <v>0</v>
      </c>
      <c r="O1832" s="17"/>
      <c r="P1832" s="18">
        <v>43505.265474537038</v>
      </c>
      <c r="Q1832" s="7"/>
      <c r="R1832" s="7"/>
      <c r="S1832" s="14" t="s">
        <v>13192</v>
      </c>
      <c r="T1832" s="8"/>
      <c r="U1832" s="19" t="str">
        <f>HYPERLINK("https://pbs.twimg.com/profile_images/1157557832755097601/YTDUA9f6.jpg","View")</f>
        <v>View</v>
      </c>
      <c r="V1832" s="8"/>
      <c r="W1832" s="8"/>
      <c r="X1832" s="8"/>
      <c r="Y1832" s="8"/>
      <c r="Z1832" s="8"/>
    </row>
    <row r="1833" spans="1:26" ht="12.75">
      <c r="A1833" s="11">
        <v>43747.276261574079</v>
      </c>
      <c r="B1833" s="12" t="str">
        <f>HYPERLINK("https://twitter.com/Azizkidir","@Azizkidir")</f>
        <v>@Azizkidir</v>
      </c>
      <c r="C1833" s="7" t="s">
        <v>10401</v>
      </c>
      <c r="D1833" s="7" t="s">
        <v>13196</v>
      </c>
      <c r="E1833" s="12" t="str">
        <f>HYPERLINK("https://twitter.com/Azizkidir/status/1181926743042596866","1181926743042596866")</f>
        <v>1181926743042596866</v>
      </c>
      <c r="F1833" s="8"/>
      <c r="G1833" s="15"/>
      <c r="H1833" s="8"/>
      <c r="I1833" s="15">
        <v>0</v>
      </c>
      <c r="J1833" s="15">
        <v>0</v>
      </c>
      <c r="K1833" s="12" t="str">
        <f>HYPERLINK("http://twitter.com/download/iphone","Twitter for iPhone")</f>
        <v>Twitter for iPhone</v>
      </c>
      <c r="L1833" s="16">
        <v>71</v>
      </c>
      <c r="M1833" s="16">
        <v>297</v>
      </c>
      <c r="N1833" s="16">
        <v>0</v>
      </c>
      <c r="O1833" s="17"/>
      <c r="P1833" s="18">
        <v>40265.181979166664</v>
      </c>
      <c r="Q1833" s="7" t="s">
        <v>12326</v>
      </c>
      <c r="R1833" s="7" t="s">
        <v>13198</v>
      </c>
      <c r="S1833" s="15"/>
      <c r="T1833" s="8"/>
      <c r="U1833" s="19" t="str">
        <f>HYPERLINK("https://pbs.twimg.com/profile_images/666580688808886272/x-QMfIXL.jpg","View")</f>
        <v>View</v>
      </c>
      <c r="V1833" s="8"/>
      <c r="W1833" s="8"/>
      <c r="X1833" s="8"/>
      <c r="Y1833" s="8"/>
      <c r="Z1833" s="8"/>
    </row>
    <row r="1834" spans="1:26" ht="12.75">
      <c r="A1834" s="11">
        <v>43747.276261574079</v>
      </c>
      <c r="B1834" s="12" t="str">
        <f>HYPERLINK("https://twitter.com/CelalBOSTANCI1","@CelalBOSTANCI1")</f>
        <v>@CelalBOSTANCI1</v>
      </c>
      <c r="C1834" s="7" t="s">
        <v>13201</v>
      </c>
      <c r="D1834" s="7" t="s">
        <v>13202</v>
      </c>
      <c r="E1834" s="12" t="str">
        <f>HYPERLINK("https://twitter.com/CelalBOSTANCI1/status/1181926741809479680","1181926741809479680")</f>
        <v>1181926741809479680</v>
      </c>
      <c r="F1834" s="8"/>
      <c r="G1834" s="7"/>
      <c r="H1834" s="8"/>
      <c r="I1834" s="15">
        <v>0</v>
      </c>
      <c r="J1834" s="15">
        <v>1</v>
      </c>
      <c r="K1834" s="12" t="str">
        <f>HYPERLINK("http://twitter.com/download/android","Twitter for Android")</f>
        <v>Twitter for Android</v>
      </c>
      <c r="L1834" s="16">
        <v>35</v>
      </c>
      <c r="M1834" s="16">
        <v>83</v>
      </c>
      <c r="N1834" s="16">
        <v>0</v>
      </c>
      <c r="O1834" s="17"/>
      <c r="P1834" s="18">
        <v>43101.543680555551</v>
      </c>
      <c r="Q1834" s="7" t="s">
        <v>10095</v>
      </c>
      <c r="R1834" s="7" t="s">
        <v>5603</v>
      </c>
      <c r="S1834" s="15"/>
      <c r="T1834" s="8"/>
      <c r="U1834" s="19" t="str">
        <f>HYPERLINK("https://pbs.twimg.com/profile_images/1180566845159546880/K3KZ_2jX.jpg","View")</f>
        <v>View</v>
      </c>
      <c r="V1834" s="8"/>
      <c r="W1834" s="8"/>
      <c r="X1834" s="8"/>
      <c r="Y1834" s="8"/>
      <c r="Z1834" s="8"/>
    </row>
    <row r="1835" spans="1:26" ht="12.75">
      <c r="A1835" s="11">
        <v>43747.276226851856</v>
      </c>
      <c r="B1835" s="12" t="str">
        <f>HYPERLINK("https://twitter.com/sqocki","@sqocki")</f>
        <v>@sqocki</v>
      </c>
      <c r="C1835" s="7" t="s">
        <v>13209</v>
      </c>
      <c r="D1835" s="7" t="s">
        <v>13210</v>
      </c>
      <c r="E1835" s="12" t="str">
        <f>HYPERLINK("https://twitter.com/sqocki/status/1181926731516645376","1181926731516645376")</f>
        <v>1181926731516645376</v>
      </c>
      <c r="F1835" s="8"/>
      <c r="G1835" s="15"/>
      <c r="H1835" s="8"/>
      <c r="I1835" s="15">
        <v>0</v>
      </c>
      <c r="J1835" s="15">
        <v>0</v>
      </c>
      <c r="K1835" s="12" t="str">
        <f>HYPERLINK("http://twitter.com/download/android","Twitter for Android")</f>
        <v>Twitter for Android</v>
      </c>
      <c r="L1835" s="16">
        <v>99</v>
      </c>
      <c r="M1835" s="16">
        <v>110</v>
      </c>
      <c r="N1835" s="16">
        <v>0</v>
      </c>
      <c r="O1835" s="17"/>
      <c r="P1835" s="18">
        <v>43473.342199074075</v>
      </c>
      <c r="Q1835" s="7" t="s">
        <v>13211</v>
      </c>
      <c r="R1835" s="7" t="s">
        <v>807</v>
      </c>
      <c r="S1835" s="14" t="s">
        <v>13212</v>
      </c>
      <c r="T1835" s="8"/>
      <c r="U1835" s="19" t="str">
        <f>HYPERLINK("https://pbs.twimg.com/profile_images/1181124325136572416/h1CLtGiK.jpg","View")</f>
        <v>View</v>
      </c>
      <c r="V1835" s="8"/>
      <c r="W1835" s="8"/>
      <c r="X1835" s="8"/>
      <c r="Y1835" s="8"/>
      <c r="Z1835" s="8"/>
    </row>
    <row r="1836" spans="1:26" ht="12.75">
      <c r="A1836" s="11">
        <v>43747.276226851856</v>
      </c>
      <c r="B1836" s="12" t="str">
        <f>HYPERLINK("https://twitter.com/Taaarikk","@Taaarikk")</f>
        <v>@Taaarikk</v>
      </c>
      <c r="C1836" s="7" t="s">
        <v>13217</v>
      </c>
      <c r="D1836" s="7" t="s">
        <v>13219</v>
      </c>
      <c r="E1836" s="12" t="str">
        <f>HYPERLINK("https://twitter.com/Taaarikk/status/1181926729121751042","1181926729121751042")</f>
        <v>1181926729121751042</v>
      </c>
      <c r="F1836" s="8"/>
      <c r="G1836" s="14" t="s">
        <v>13220</v>
      </c>
      <c r="H1836" s="8"/>
      <c r="I1836" s="15">
        <v>0</v>
      </c>
      <c r="J1836" s="15">
        <v>1</v>
      </c>
      <c r="K1836" s="12" t="str">
        <f>HYPERLINK("http://twitter.com/download/android","Twitter for Android")</f>
        <v>Twitter for Android</v>
      </c>
      <c r="L1836" s="16">
        <v>10408</v>
      </c>
      <c r="M1836" s="16">
        <v>263</v>
      </c>
      <c r="N1836" s="16">
        <v>7</v>
      </c>
      <c r="O1836" s="17"/>
      <c r="P1836" s="18">
        <v>40334.320462962962</v>
      </c>
      <c r="Q1836" s="7" t="s">
        <v>13221</v>
      </c>
      <c r="R1836" s="7" t="s">
        <v>13222</v>
      </c>
      <c r="S1836" s="14" t="s">
        <v>13224</v>
      </c>
      <c r="T1836" s="8"/>
      <c r="U1836" s="19" t="str">
        <f>HYPERLINK("https://pbs.twimg.com/profile_images/1144002822263980034/9tZG8dPW.jpg","View")</f>
        <v>View</v>
      </c>
      <c r="V1836" s="8"/>
      <c r="W1836" s="8"/>
      <c r="X1836" s="8"/>
      <c r="Y1836" s="8"/>
      <c r="Z1836" s="8"/>
    </row>
    <row r="1837" spans="1:26" ht="12.75">
      <c r="A1837" s="11">
        <v>43747.27621527778</v>
      </c>
      <c r="B1837" s="12" t="str">
        <f>HYPERLINK("https://twitter.com/oldugibiya","@oldugibiya")</f>
        <v>@oldugibiya</v>
      </c>
      <c r="C1837" s="7" t="s">
        <v>13226</v>
      </c>
      <c r="D1837" s="7" t="s">
        <v>13227</v>
      </c>
      <c r="E1837" s="12" t="str">
        <f>HYPERLINK("https://twitter.com/oldugibiya/status/1181926727708270592","1181926727708270592")</f>
        <v>1181926727708270592</v>
      </c>
      <c r="F1837" s="8"/>
      <c r="G1837" s="15"/>
      <c r="H1837" s="8"/>
      <c r="I1837" s="15">
        <v>0</v>
      </c>
      <c r="J1837" s="15">
        <v>1</v>
      </c>
      <c r="K1837" s="12" t="str">
        <f>HYPERLINK("http://twitter.com/download/android","Twitter for Android")</f>
        <v>Twitter for Android</v>
      </c>
      <c r="L1837" s="16">
        <v>165</v>
      </c>
      <c r="M1837" s="16">
        <v>87</v>
      </c>
      <c r="N1837" s="16">
        <v>1</v>
      </c>
      <c r="O1837" s="17"/>
      <c r="P1837" s="18">
        <v>41240.354444444441</v>
      </c>
      <c r="Q1837" s="7"/>
      <c r="R1837" s="7"/>
      <c r="S1837" s="7"/>
      <c r="T1837" s="8"/>
      <c r="U1837" s="19" t="str">
        <f>HYPERLINK("https://pbs.twimg.com/profile_images/1165268756542738432/jNdOlBxS.jpg","View")</f>
        <v>View</v>
      </c>
      <c r="V1837" s="8"/>
      <c r="W1837" s="8"/>
      <c r="X1837" s="8"/>
      <c r="Y1837" s="8"/>
      <c r="Z1837" s="8"/>
    </row>
    <row r="1838" spans="1:26" ht="12.75">
      <c r="A1838" s="11">
        <v>43747.27621527778</v>
      </c>
      <c r="B1838" s="12" t="str">
        <f>HYPERLINK("https://twitter.com/batuhandkmc","@batuhandkmc")</f>
        <v>@batuhandkmc</v>
      </c>
      <c r="C1838" s="7" t="s">
        <v>13228</v>
      </c>
      <c r="D1838" s="7" t="s">
        <v>160</v>
      </c>
      <c r="E1838" s="12" t="str">
        <f>HYPERLINK("https://twitter.com/batuhandkmc/status/1181926725799862277","1181926725799862277")</f>
        <v>1181926725799862277</v>
      </c>
      <c r="F1838" s="8"/>
      <c r="G1838" s="14" t="s">
        <v>13229</v>
      </c>
      <c r="H1838" s="8"/>
      <c r="I1838" s="15">
        <v>1</v>
      </c>
      <c r="J1838" s="15">
        <v>1</v>
      </c>
      <c r="K1838" s="12" t="str">
        <f>HYPERLINK("http://twitter.com/download/iphone","Twitter for iPhone")</f>
        <v>Twitter for iPhone</v>
      </c>
      <c r="L1838" s="16">
        <v>5</v>
      </c>
      <c r="M1838" s="16">
        <v>31</v>
      </c>
      <c r="N1838" s="16">
        <v>0</v>
      </c>
      <c r="O1838" s="17"/>
      <c r="P1838" s="18">
        <v>42612.748379629629</v>
      </c>
      <c r="Q1838" s="7"/>
      <c r="R1838" s="7"/>
      <c r="S1838" s="7"/>
      <c r="T1838" s="8"/>
      <c r="U1838" s="19" t="str">
        <f>HYPERLINK("https://pbs.twimg.com/profile_images/1170446720490201100/Lh0tCn9j.jpg","View")</f>
        <v>View</v>
      </c>
      <c r="V1838" s="8"/>
      <c r="W1838" s="8"/>
      <c r="X1838" s="8"/>
      <c r="Y1838" s="8"/>
      <c r="Z1838" s="8"/>
    </row>
    <row r="1839" spans="1:26" ht="12.75">
      <c r="A1839" s="11">
        <v>43747.27621527778</v>
      </c>
      <c r="B1839" s="12" t="str">
        <f>HYPERLINK("https://twitter.com/erhandemir60841","@erhandemir60841")</f>
        <v>@erhandemir60841</v>
      </c>
      <c r="C1839" s="7" t="s">
        <v>13230</v>
      </c>
      <c r="D1839" s="7" t="s">
        <v>13231</v>
      </c>
      <c r="E1839" s="12" t="str">
        <f>HYPERLINK("https://twitter.com/erhandemir60841/status/1181926725015543809","1181926725015543809")</f>
        <v>1181926725015543809</v>
      </c>
      <c r="F1839" s="8"/>
      <c r="G1839" s="7"/>
      <c r="H1839" s="8"/>
      <c r="I1839" s="15">
        <v>0</v>
      </c>
      <c r="J1839" s="15">
        <v>0</v>
      </c>
      <c r="K1839" s="12" t="str">
        <f>HYPERLINK("http://twitter.com/download/android","Twitter for Android")</f>
        <v>Twitter for Android</v>
      </c>
      <c r="L1839" s="16">
        <v>19</v>
      </c>
      <c r="M1839" s="16">
        <v>159</v>
      </c>
      <c r="N1839" s="16">
        <v>0</v>
      </c>
      <c r="O1839" s="17"/>
      <c r="P1839" s="18">
        <v>41921.540960648148</v>
      </c>
      <c r="Q1839" s="7"/>
      <c r="R1839" s="7"/>
      <c r="S1839" s="7"/>
      <c r="T1839" s="8"/>
      <c r="U1839" s="19" t="str">
        <f>HYPERLINK("https://pbs.twimg.com/profile_images/942850738379685889/DcY-eY18.jpg","View")</f>
        <v>View</v>
      </c>
      <c r="V1839" s="8"/>
      <c r="W1839" s="8"/>
      <c r="X1839" s="8"/>
      <c r="Y1839" s="8"/>
      <c r="Z1839" s="8"/>
    </row>
    <row r="1840" spans="1:26" ht="12.75">
      <c r="A1840" s="11">
        <v>43747.276203703703</v>
      </c>
      <c r="B1840" s="12" t="str">
        <f>HYPERLINK("https://twitter.com/eyuphan_sezi","@eyuphan_sezi")</f>
        <v>@eyuphan_sezi</v>
      </c>
      <c r="C1840" s="7" t="s">
        <v>13232</v>
      </c>
      <c r="D1840" s="7" t="s">
        <v>13233</v>
      </c>
      <c r="E1840" s="12" t="str">
        <f>HYPERLINK("https://twitter.com/eyuphan_sezi/status/1181926721261592581","1181926721261592581")</f>
        <v>1181926721261592581</v>
      </c>
      <c r="F1840" s="8"/>
      <c r="G1840" s="7"/>
      <c r="H1840" s="8"/>
      <c r="I1840" s="15">
        <v>2</v>
      </c>
      <c r="J1840" s="15">
        <v>5</v>
      </c>
      <c r="K1840" s="12" t="str">
        <f>HYPERLINK("http://twitter.com/download/android","Twitter for Android")</f>
        <v>Twitter for Android</v>
      </c>
      <c r="L1840" s="16">
        <v>1491</v>
      </c>
      <c r="M1840" s="16">
        <v>1229</v>
      </c>
      <c r="N1840" s="16">
        <v>0</v>
      </c>
      <c r="O1840" s="17"/>
      <c r="P1840" s="18">
        <v>43376.332800925928</v>
      </c>
      <c r="Q1840" s="7" t="s">
        <v>313</v>
      </c>
      <c r="R1840" s="7"/>
      <c r="S1840" s="14" t="s">
        <v>13234</v>
      </c>
      <c r="T1840" s="8"/>
      <c r="U1840" s="19" t="str">
        <f>HYPERLINK("https://pbs.twimg.com/profile_images/1178610271868375040/4lW-G3HM.jpg","View")</f>
        <v>View</v>
      </c>
      <c r="V1840" s="8"/>
      <c r="W1840" s="8"/>
      <c r="X1840" s="8"/>
      <c r="Y1840" s="8"/>
      <c r="Z1840" s="8"/>
    </row>
    <row r="1841" spans="1:26" ht="12.75">
      <c r="A1841" s="11">
        <v>43747.276192129633</v>
      </c>
      <c r="B1841" s="12" t="str">
        <f>HYPERLINK("https://twitter.com/ouzbalk3","@ouzbalk3")</f>
        <v>@ouzbalk3</v>
      </c>
      <c r="C1841" s="7" t="s">
        <v>13235</v>
      </c>
      <c r="D1841" s="7" t="s">
        <v>13236</v>
      </c>
      <c r="E1841" s="12" t="str">
        <f>HYPERLINK("https://twitter.com/ouzbalk3/status/1181926717608398848","1181926717608398848")</f>
        <v>1181926717608398848</v>
      </c>
      <c r="F1841" s="8"/>
      <c r="G1841" s="7"/>
      <c r="H1841" s="8"/>
      <c r="I1841" s="15">
        <v>0</v>
      </c>
      <c r="J1841" s="15">
        <v>1</v>
      </c>
      <c r="K1841" s="12" t="str">
        <f>HYPERLINK("http://twitter.com/download/android","Twitter for Android")</f>
        <v>Twitter for Android</v>
      </c>
      <c r="L1841" s="16">
        <v>142</v>
      </c>
      <c r="M1841" s="16">
        <v>187</v>
      </c>
      <c r="N1841" s="16">
        <v>0</v>
      </c>
      <c r="O1841" s="17"/>
      <c r="P1841" s="18">
        <v>43706.08258101852</v>
      </c>
      <c r="Q1841" s="7"/>
      <c r="R1841" s="7" t="s">
        <v>13237</v>
      </c>
      <c r="S1841" s="7"/>
      <c r="T1841" s="8"/>
      <c r="U1841" s="19" t="str">
        <f>HYPERLINK("https://pbs.twimg.com/profile_images/1166999565188456448/B_-zD55c.jpg","View")</f>
        <v>View</v>
      </c>
      <c r="V1841" s="8"/>
      <c r="W1841" s="8"/>
      <c r="X1841" s="8"/>
      <c r="Y1841" s="8"/>
      <c r="Z1841" s="8"/>
    </row>
    <row r="1842" spans="1:26" ht="12.75">
      <c r="A1842" s="11">
        <v>43747.27615740741</v>
      </c>
      <c r="B1842" s="12" t="str">
        <f>HYPERLINK("https://twitter.com/yahya_vurdu","@yahya_vurdu")</f>
        <v>@yahya_vurdu</v>
      </c>
      <c r="C1842" s="7" t="s">
        <v>13238</v>
      </c>
      <c r="D1842" s="7" t="s">
        <v>13239</v>
      </c>
      <c r="E1842" s="12" t="str">
        <f>HYPERLINK("https://twitter.com/yahya_vurdu/status/1181926705394573312","1181926705394573312")</f>
        <v>1181926705394573312</v>
      </c>
      <c r="F1842" s="8"/>
      <c r="G1842" s="15"/>
      <c r="H1842" s="8"/>
      <c r="I1842" s="15">
        <v>0</v>
      </c>
      <c r="J1842" s="15">
        <v>1</v>
      </c>
      <c r="K1842" s="12" t="str">
        <f>HYPERLINK("http://twitter.com/download/android","Twitter for Android")</f>
        <v>Twitter for Android</v>
      </c>
      <c r="L1842" s="16">
        <v>115</v>
      </c>
      <c r="M1842" s="16">
        <v>145</v>
      </c>
      <c r="N1842" s="16">
        <v>0</v>
      </c>
      <c r="O1842" s="17"/>
      <c r="P1842" s="18">
        <v>42396.642534722225</v>
      </c>
      <c r="Q1842" s="7"/>
      <c r="R1842" s="7" t="s">
        <v>13240</v>
      </c>
      <c r="S1842" s="15"/>
      <c r="T1842" s="8"/>
      <c r="U1842" s="19" t="str">
        <f>HYPERLINK("https://pbs.twimg.com/profile_images/949383755210416130/8pAKDZ6T.jpg","View")</f>
        <v>View</v>
      </c>
      <c r="V1842" s="8"/>
      <c r="W1842" s="8"/>
      <c r="X1842" s="8"/>
      <c r="Y1842" s="8"/>
      <c r="Z1842" s="8"/>
    </row>
    <row r="1843" spans="1:26" ht="12.75">
      <c r="A1843" s="11">
        <v>43747.276145833333</v>
      </c>
      <c r="B1843" s="12" t="str">
        <f>HYPERLINK("https://twitter.com/LeskerSerwan","@LeskerSerwan")</f>
        <v>@LeskerSerwan</v>
      </c>
      <c r="C1843" s="7" t="s">
        <v>13241</v>
      </c>
      <c r="D1843" s="7" t="s">
        <v>13242</v>
      </c>
      <c r="E1843" s="12" t="str">
        <f>HYPERLINK("https://twitter.com/LeskerSerwan/status/1181926703381303296","1181926703381303296")</f>
        <v>1181926703381303296</v>
      </c>
      <c r="F1843" s="8"/>
      <c r="G1843" s="15"/>
      <c r="H1843" s="8"/>
      <c r="I1843" s="15">
        <v>0</v>
      </c>
      <c r="J1843" s="15">
        <v>0</v>
      </c>
      <c r="K1843" s="12" t="str">
        <f>HYPERLINK("http://twitter.com/download/iphone","Twitter for iPhone")</f>
        <v>Twitter for iPhone</v>
      </c>
      <c r="L1843" s="16">
        <v>96</v>
      </c>
      <c r="M1843" s="16">
        <v>149</v>
      </c>
      <c r="N1843" s="16">
        <v>0</v>
      </c>
      <c r="O1843" s="17"/>
      <c r="P1843" s="18">
        <v>43477.292546296296</v>
      </c>
      <c r="Q1843" s="7" t="s">
        <v>200</v>
      </c>
      <c r="R1843" s="7" t="s">
        <v>13243</v>
      </c>
      <c r="S1843" s="7"/>
      <c r="T1843" s="8"/>
      <c r="U1843" s="19" t="str">
        <f>HYPERLINK("https://pbs.twimg.com/profile_images/1085286683506028544/DrW0DcY0.jpg","View")</f>
        <v>View</v>
      </c>
      <c r="V1843" s="8"/>
      <c r="W1843" s="8"/>
      <c r="X1843" s="8"/>
      <c r="Y1843" s="8"/>
      <c r="Z1843" s="8"/>
    </row>
    <row r="1844" spans="1:26" ht="12.75">
      <c r="A1844" s="11">
        <v>43747.276145833333</v>
      </c>
      <c r="B1844" s="12" t="str">
        <f>HYPERLINK("https://twitter.com/veronston","@veronston")</f>
        <v>@veronston</v>
      </c>
      <c r="C1844" s="7" t="s">
        <v>13244</v>
      </c>
      <c r="D1844" s="7" t="s">
        <v>13245</v>
      </c>
      <c r="E1844" s="12" t="str">
        <f>HYPERLINK("https://twitter.com/veronston/status/1181926701829431296","1181926701829431296")</f>
        <v>1181926701829431296</v>
      </c>
      <c r="F1844" s="8"/>
      <c r="G1844" s="15"/>
      <c r="H1844" s="8"/>
      <c r="I1844" s="15">
        <v>0</v>
      </c>
      <c r="J1844" s="15">
        <v>0</v>
      </c>
      <c r="K1844" s="12" t="str">
        <f>HYPERLINK("http://twitter.com/download/iphone","Twitter for iPhone")</f>
        <v>Twitter for iPhone</v>
      </c>
      <c r="L1844" s="16">
        <v>7</v>
      </c>
      <c r="M1844" s="16">
        <v>18</v>
      </c>
      <c r="N1844" s="16">
        <v>0</v>
      </c>
      <c r="O1844" s="17"/>
      <c r="P1844" s="18">
        <v>43424.07640046296</v>
      </c>
      <c r="Q1844" s="7" t="s">
        <v>13246</v>
      </c>
      <c r="R1844" s="7" t="s">
        <v>13247</v>
      </c>
      <c r="S1844" s="7"/>
      <c r="T1844" s="8"/>
      <c r="U1844" s="19" t="str">
        <f>HYPERLINK("https://pbs.twimg.com/profile_images/1068485722448035840/IUSIK6fo.jpg","View")</f>
        <v>View</v>
      </c>
      <c r="V1844" s="8"/>
      <c r="W1844" s="8"/>
      <c r="X1844" s="8"/>
      <c r="Y1844" s="8"/>
      <c r="Z1844" s="8"/>
    </row>
    <row r="1845" spans="1:26" ht="12.75">
      <c r="A1845" s="11">
        <v>43747.27611111111</v>
      </c>
      <c r="B1845" s="12" t="str">
        <f>HYPERLINK("https://twitter.com/Millimuhabbet","@Millimuhabbet")</f>
        <v>@Millimuhabbet</v>
      </c>
      <c r="C1845" s="7" t="s">
        <v>13248</v>
      </c>
      <c r="D1845" s="7" t="s">
        <v>13249</v>
      </c>
      <c r="E1845" s="12" t="str">
        <f>HYPERLINK("https://twitter.com/Millimuhabbet/status/1181926687858155522","1181926687858155522")</f>
        <v>1181926687858155522</v>
      </c>
      <c r="F1845" s="8"/>
      <c r="G1845" s="7"/>
      <c r="H1845" s="8"/>
      <c r="I1845" s="15">
        <v>0</v>
      </c>
      <c r="J1845" s="15">
        <v>0</v>
      </c>
      <c r="K1845" s="12" t="str">
        <f>HYPERLINK("http://twitter.com/download/iphone","Twitter for iPhone")</f>
        <v>Twitter for iPhone</v>
      </c>
      <c r="L1845" s="16">
        <v>167</v>
      </c>
      <c r="M1845" s="16">
        <v>197</v>
      </c>
      <c r="N1845" s="16">
        <v>0</v>
      </c>
      <c r="O1845" s="20"/>
      <c r="P1845" s="18">
        <v>41734.069756944446</v>
      </c>
      <c r="Q1845" s="7"/>
      <c r="R1845" s="7" t="s">
        <v>13250</v>
      </c>
      <c r="S1845" s="15"/>
      <c r="T1845" s="8"/>
      <c r="U1845" s="19" t="str">
        <f>HYPERLINK("https://pbs.twimg.com/profile_images/1149445592093011968/rEtyuZA9.jpg","View")</f>
        <v>View</v>
      </c>
      <c r="V1845" s="8"/>
      <c r="W1845" s="8"/>
      <c r="X1845" s="8"/>
      <c r="Y1845" s="8"/>
      <c r="Z1845" s="8"/>
    </row>
    <row r="1846" spans="1:26" ht="12.75">
      <c r="A1846" s="11">
        <v>43747.276087962964</v>
      </c>
      <c r="B1846" s="12" t="str">
        <f>HYPERLINK("https://twitter.com/kalender_man","@kalender_man")</f>
        <v>@kalender_man</v>
      </c>
      <c r="C1846" s="7" t="s">
        <v>4124</v>
      </c>
      <c r="D1846" s="7" t="s">
        <v>13251</v>
      </c>
      <c r="E1846" s="12" t="str">
        <f>HYPERLINK("https://twitter.com/kalender_man/status/1181926680304242688","1181926680304242688")</f>
        <v>1181926680304242688</v>
      </c>
      <c r="F1846" s="8"/>
      <c r="G1846" s="15"/>
      <c r="H1846" s="8"/>
      <c r="I1846" s="15">
        <v>0</v>
      </c>
      <c r="J1846" s="15">
        <v>0</v>
      </c>
      <c r="K1846" s="12" t="str">
        <f>HYPERLINK("http://twitter.com/download/android","Twitter for Android")</f>
        <v>Twitter for Android</v>
      </c>
      <c r="L1846" s="16">
        <v>3</v>
      </c>
      <c r="M1846" s="16">
        <v>9</v>
      </c>
      <c r="N1846" s="16">
        <v>0</v>
      </c>
      <c r="O1846" s="17"/>
      <c r="P1846" s="18">
        <v>43372.34175925926</v>
      </c>
      <c r="Q1846" s="7"/>
      <c r="R1846" s="7"/>
      <c r="S1846" s="7"/>
      <c r="T1846" s="8"/>
      <c r="U1846" s="20" t="s">
        <v>354</v>
      </c>
      <c r="V1846" s="8"/>
      <c r="W1846" s="8"/>
      <c r="X1846" s="8"/>
      <c r="Y1846" s="8"/>
      <c r="Z1846" s="8"/>
    </row>
    <row r="1847" spans="1:26" ht="12.75">
      <c r="A1847" s="11">
        <v>43747.276076388887</v>
      </c>
      <c r="B1847" s="12" t="str">
        <f>HYPERLINK("https://twitter.com/selcuk4446","@selcuk4446")</f>
        <v>@selcuk4446</v>
      </c>
      <c r="C1847" s="7" t="s">
        <v>13252</v>
      </c>
      <c r="D1847" s="7" t="s">
        <v>13253</v>
      </c>
      <c r="E1847" s="12" t="str">
        <f>HYPERLINK("https://twitter.com/selcuk4446/status/1181926677062017024","1181926677062017024")</f>
        <v>1181926677062017024</v>
      </c>
      <c r="F1847" s="8"/>
      <c r="G1847" s="7"/>
      <c r="H1847" s="8"/>
      <c r="I1847" s="15">
        <v>0</v>
      </c>
      <c r="J1847" s="15">
        <v>0</v>
      </c>
      <c r="K1847" s="12" t="str">
        <f>HYPERLINK("http://twitter.com/download/iphone","Twitter for iPhone")</f>
        <v>Twitter for iPhone</v>
      </c>
      <c r="L1847" s="16">
        <v>26</v>
      </c>
      <c r="M1847" s="16">
        <v>101</v>
      </c>
      <c r="N1847" s="16">
        <v>0</v>
      </c>
      <c r="O1847" s="17"/>
      <c r="P1847" s="18">
        <v>40776.255578703705</v>
      </c>
      <c r="Q1847" s="7"/>
      <c r="R1847" s="7"/>
      <c r="S1847" s="7"/>
      <c r="T1847" s="8"/>
      <c r="U1847" s="19" t="str">
        <f>HYPERLINK("https://pbs.twimg.com/profile_images/715267137200324609/Gz-e2jLm.jpg","View")</f>
        <v>View</v>
      </c>
      <c r="V1847" s="8"/>
      <c r="W1847" s="8"/>
      <c r="X1847" s="8"/>
      <c r="Y1847" s="8"/>
      <c r="Z1847" s="8"/>
    </row>
    <row r="1848" spans="1:26" ht="12.75">
      <c r="A1848" s="11">
        <v>43747.276064814811</v>
      </c>
      <c r="B1848" s="12" t="str">
        <f>HYPERLINK("https://twitter.com/idrs26","@idrs26")</f>
        <v>@idrs26</v>
      </c>
      <c r="C1848" s="7" t="s">
        <v>13254</v>
      </c>
      <c r="D1848" s="7" t="s">
        <v>13255</v>
      </c>
      <c r="E1848" s="12" t="str">
        <f>HYPERLINK("https://twitter.com/idrs26/status/1181926671571652608","1181926671571652608")</f>
        <v>1181926671571652608</v>
      </c>
      <c r="F1848" s="15"/>
      <c r="G1848" s="14" t="s">
        <v>13256</v>
      </c>
      <c r="H1848" s="8"/>
      <c r="I1848" s="15">
        <v>0</v>
      </c>
      <c r="J1848" s="15">
        <v>0</v>
      </c>
      <c r="K1848" s="12" t="str">
        <f>HYPERLINK("http://twitter.com/download/iphone","Twitter for iPhone")</f>
        <v>Twitter for iPhone</v>
      </c>
      <c r="L1848" s="16">
        <v>104</v>
      </c>
      <c r="M1848" s="16">
        <v>94</v>
      </c>
      <c r="N1848" s="16">
        <v>0</v>
      </c>
      <c r="O1848" s="17"/>
      <c r="P1848" s="18">
        <v>43307.677777777775</v>
      </c>
      <c r="Q1848" s="7"/>
      <c r="R1848" s="7"/>
      <c r="S1848" s="15"/>
      <c r="T1848" s="8"/>
      <c r="U1848" s="19" t="str">
        <f>HYPERLINK("https://pbs.twimg.com/profile_images/1146349785756160000/h6Rn9kV1.jpg","View")</f>
        <v>View</v>
      </c>
      <c r="V1848" s="8"/>
      <c r="W1848" s="8"/>
      <c r="X1848" s="8"/>
      <c r="Y1848" s="8"/>
      <c r="Z1848" s="8"/>
    </row>
    <row r="1849" spans="1:26" ht="12.75">
      <c r="A1849" s="11">
        <v>43747.276053240741</v>
      </c>
      <c r="B1849" s="12" t="str">
        <f>HYPERLINK("https://twitter.com/EnesTutar25","@EnesTutar25")</f>
        <v>@EnesTutar25</v>
      </c>
      <c r="C1849" s="7" t="s">
        <v>13257</v>
      </c>
      <c r="D1849" s="7" t="s">
        <v>13258</v>
      </c>
      <c r="E1849" s="12" t="str">
        <f>HYPERLINK("https://twitter.com/EnesTutar25/status/1181926667171897344","1181926667171897344")</f>
        <v>1181926667171897344</v>
      </c>
      <c r="F1849" s="8"/>
      <c r="G1849" s="7"/>
      <c r="H1849" s="8"/>
      <c r="I1849" s="15">
        <v>0</v>
      </c>
      <c r="J1849" s="15">
        <v>2</v>
      </c>
      <c r="K1849" s="12" t="str">
        <f>HYPERLINK("https://mobile.twitter.com","Twitter Web App")</f>
        <v>Twitter Web App</v>
      </c>
      <c r="L1849" s="16">
        <v>1028</v>
      </c>
      <c r="M1849" s="16">
        <v>464</v>
      </c>
      <c r="N1849" s="16">
        <v>2</v>
      </c>
      <c r="O1849" s="17"/>
      <c r="P1849" s="18">
        <v>40526.53497685185</v>
      </c>
      <c r="Q1849" s="7" t="s">
        <v>13259</v>
      </c>
      <c r="R1849" s="7" t="s">
        <v>13260</v>
      </c>
      <c r="S1849" s="14" t="s">
        <v>13261</v>
      </c>
      <c r="T1849" s="8"/>
      <c r="U1849" s="19" t="str">
        <f>HYPERLINK("https://pbs.twimg.com/profile_images/876259951034892288/Xwl8_D99.jpg","View")</f>
        <v>View</v>
      </c>
      <c r="V1849" s="8"/>
      <c r="W1849" s="8"/>
      <c r="X1849" s="8"/>
      <c r="Y1849" s="8"/>
      <c r="Z1849" s="8"/>
    </row>
    <row r="1850" spans="1:26" ht="12.75">
      <c r="A1850" s="11">
        <v>43747.276018518518</v>
      </c>
      <c r="B1850" s="12" t="str">
        <f>HYPERLINK("https://twitter.com/BuMuhamet","@BuMuhamet")</f>
        <v>@BuMuhamet</v>
      </c>
      <c r="C1850" s="7" t="s">
        <v>13262</v>
      </c>
      <c r="D1850" s="7" t="s">
        <v>13263</v>
      </c>
      <c r="E1850" s="12" t="str">
        <f>HYPERLINK("https://twitter.com/BuMuhamet/status/1181926657537560576","1181926657537560576")</f>
        <v>1181926657537560576</v>
      </c>
      <c r="F1850" s="8"/>
      <c r="G1850" s="14" t="s">
        <v>13264</v>
      </c>
      <c r="H1850" s="8"/>
      <c r="I1850" s="15">
        <v>0</v>
      </c>
      <c r="J1850" s="15">
        <v>9</v>
      </c>
      <c r="K1850" s="12" t="str">
        <f>HYPERLINK("http://twitter.com/download/iphone","Twitter for iPhone")</f>
        <v>Twitter for iPhone</v>
      </c>
      <c r="L1850" s="16">
        <v>1769</v>
      </c>
      <c r="M1850" s="16">
        <v>386</v>
      </c>
      <c r="N1850" s="16">
        <v>4</v>
      </c>
      <c r="O1850" s="17"/>
      <c r="P1850" s="18">
        <v>41547.639409722222</v>
      </c>
      <c r="Q1850" s="7" t="s">
        <v>13265</v>
      </c>
      <c r="R1850" s="7" t="s">
        <v>13266</v>
      </c>
      <c r="S1850" s="14" t="s">
        <v>13267</v>
      </c>
      <c r="T1850" s="8"/>
      <c r="U1850" s="19" t="str">
        <f>HYPERLINK("https://pbs.twimg.com/profile_images/1139841070911676417/uqc4yVB9.jpg","View")</f>
        <v>View</v>
      </c>
      <c r="V1850" s="8"/>
      <c r="W1850" s="8"/>
      <c r="X1850" s="8"/>
      <c r="Y1850" s="8"/>
      <c r="Z1850" s="8"/>
    </row>
    <row r="1851" spans="1:26" ht="12.75">
      <c r="A1851" s="11">
        <v>43747.276018518518</v>
      </c>
      <c r="B1851" s="12" t="str">
        <f>HYPERLINK("https://twitter.com/lalicagi","@lalicagi")</f>
        <v>@lalicagi</v>
      </c>
      <c r="C1851" s="7" t="s">
        <v>13268</v>
      </c>
      <c r="D1851" s="7" t="s">
        <v>13269</v>
      </c>
      <c r="E1851" s="12" t="str">
        <f>HYPERLINK("https://twitter.com/lalicagi/status/1181926654958034944","1181926654958034944")</f>
        <v>1181926654958034944</v>
      </c>
      <c r="F1851" s="8"/>
      <c r="G1851" s="15"/>
      <c r="H1851" s="8"/>
      <c r="I1851" s="15">
        <v>0</v>
      </c>
      <c r="J1851" s="15">
        <v>0</v>
      </c>
      <c r="K1851" s="12" t="str">
        <f>HYPERLINK("http://twitter.com/download/android","Twitter for Android")</f>
        <v>Twitter for Android</v>
      </c>
      <c r="L1851" s="16">
        <v>75</v>
      </c>
      <c r="M1851" s="16">
        <v>145</v>
      </c>
      <c r="N1851" s="16">
        <v>0</v>
      </c>
      <c r="O1851" s="20"/>
      <c r="P1851" s="18">
        <v>43041.300925925927</v>
      </c>
      <c r="Q1851" s="7"/>
      <c r="R1851" s="7" t="s">
        <v>13270</v>
      </c>
      <c r="S1851" s="15"/>
      <c r="T1851" s="8"/>
      <c r="U1851" s="19" t="str">
        <f>HYPERLINK("https://pbs.twimg.com/profile_images/942332966881169409/OolNoWhP.jpg","View")</f>
        <v>View</v>
      </c>
      <c r="V1851" s="8"/>
      <c r="W1851" s="8"/>
      <c r="X1851" s="8"/>
      <c r="Y1851" s="8"/>
      <c r="Z1851" s="8"/>
    </row>
    <row r="1852" spans="1:26" ht="12.75">
      <c r="A1852" s="11">
        <v>43747.276018518518</v>
      </c>
      <c r="B1852" s="12" t="str">
        <f>HYPERLINK("https://twitter.com/Burakkiraz_","@Burakkiraz_")</f>
        <v>@Burakkiraz_</v>
      </c>
      <c r="C1852" s="7" t="s">
        <v>13271</v>
      </c>
      <c r="D1852" s="7" t="s">
        <v>13272</v>
      </c>
      <c r="E1852" s="12" t="str">
        <f>HYPERLINK("https://twitter.com/Burakkiraz_/status/1181926654182068225","1181926654182068225")</f>
        <v>1181926654182068225</v>
      </c>
      <c r="F1852" s="8"/>
      <c r="G1852" s="7"/>
      <c r="H1852" s="8"/>
      <c r="I1852" s="15">
        <v>1</v>
      </c>
      <c r="J1852" s="15">
        <v>3</v>
      </c>
      <c r="K1852" s="12" t="str">
        <f>HYPERLINK("http://twitter.com/download/android","Twitter for Android")</f>
        <v>Twitter for Android</v>
      </c>
      <c r="L1852" s="16">
        <v>157</v>
      </c>
      <c r="M1852" s="16">
        <v>274</v>
      </c>
      <c r="N1852" s="16">
        <v>0</v>
      </c>
      <c r="O1852" s="17"/>
      <c r="P1852" s="18">
        <v>42750.108124999999</v>
      </c>
      <c r="Q1852" s="7"/>
      <c r="R1852" s="7" t="s">
        <v>13273</v>
      </c>
      <c r="S1852" s="7"/>
      <c r="T1852" s="8"/>
      <c r="U1852" s="19" t="str">
        <f>HYPERLINK("https://pbs.twimg.com/profile_images/1170652147844878336/J1m7_qje.jpg","View")</f>
        <v>View</v>
      </c>
      <c r="V1852" s="8"/>
      <c r="W1852" s="8"/>
      <c r="X1852" s="8"/>
      <c r="Y1852" s="8"/>
      <c r="Z1852" s="8"/>
    </row>
    <row r="1853" spans="1:26" ht="12.75">
      <c r="A1853" s="11">
        <v>43747.276006944448</v>
      </c>
      <c r="B1853" s="12" t="str">
        <f>HYPERLINK("https://twitter.com/looosocial","@looosocial")</f>
        <v>@looosocial</v>
      </c>
      <c r="C1853" s="7" t="s">
        <v>13274</v>
      </c>
      <c r="D1853" s="7" t="s">
        <v>13275</v>
      </c>
      <c r="E1853" s="12" t="str">
        <f>HYPERLINK("https://twitter.com/looosocial/status/1181926649375461377","1181926649375461377")</f>
        <v>1181926649375461377</v>
      </c>
      <c r="F1853" s="8"/>
      <c r="G1853" s="14" t="s">
        <v>13276</v>
      </c>
      <c r="H1853" s="8"/>
      <c r="I1853" s="15">
        <v>0</v>
      </c>
      <c r="J1853" s="15">
        <v>0</v>
      </c>
      <c r="K1853" s="12" t="str">
        <f>HYPERLINK("http://twitter.com/download/android","Twitter for Android")</f>
        <v>Twitter for Android</v>
      </c>
      <c r="L1853" s="16">
        <v>845</v>
      </c>
      <c r="M1853" s="16">
        <v>887</v>
      </c>
      <c r="N1853" s="16">
        <v>1</v>
      </c>
      <c r="O1853" s="17"/>
      <c r="P1853" s="18">
        <v>40544.673888888887</v>
      </c>
      <c r="Q1853" s="7" t="s">
        <v>200</v>
      </c>
      <c r="R1853" s="7" t="s">
        <v>13277</v>
      </c>
      <c r="S1853" s="15"/>
      <c r="T1853" s="8"/>
      <c r="U1853" s="19" t="str">
        <f>HYPERLINK("https://pbs.twimg.com/profile_images/1179419178790465539/OSKppTs4.jpg","View")</f>
        <v>View</v>
      </c>
      <c r="V1853" s="8"/>
      <c r="W1853" s="8"/>
      <c r="X1853" s="8"/>
      <c r="Y1853" s="8"/>
      <c r="Z1853" s="8"/>
    </row>
    <row r="1854" spans="1:26" ht="12.75">
      <c r="A1854" s="11">
        <v>43747.275995370372</v>
      </c>
      <c r="B1854" s="12" t="str">
        <f>HYPERLINK("https://twitter.com/orenedaa","@orenedaa")</f>
        <v>@orenedaa</v>
      </c>
      <c r="C1854" s="7" t="s">
        <v>13278</v>
      </c>
      <c r="D1854" s="7" t="s">
        <v>13279</v>
      </c>
      <c r="E1854" s="12" t="str">
        <f>HYPERLINK("https://twitter.com/orenedaa/status/1181926648469426176","1181926648469426176")</f>
        <v>1181926648469426176</v>
      </c>
      <c r="F1854" s="8"/>
      <c r="G1854" s="15"/>
      <c r="H1854" s="8"/>
      <c r="I1854" s="15">
        <v>0</v>
      </c>
      <c r="J1854" s="15">
        <v>3</v>
      </c>
      <c r="K1854" s="12" t="str">
        <f>HYPERLINK("http://twitter.com/download/iphone","Twitter for iPhone")</f>
        <v>Twitter for iPhone</v>
      </c>
      <c r="L1854" s="16">
        <v>701</v>
      </c>
      <c r="M1854" s="16">
        <v>374</v>
      </c>
      <c r="N1854" s="16">
        <v>0</v>
      </c>
      <c r="O1854" s="17"/>
      <c r="P1854" s="18">
        <v>40406.148159722223</v>
      </c>
      <c r="Q1854" s="7"/>
      <c r="R1854" s="7" t="s">
        <v>13280</v>
      </c>
      <c r="S1854" s="14" t="s">
        <v>13281</v>
      </c>
      <c r="T1854" s="8"/>
      <c r="U1854" s="19" t="str">
        <f>HYPERLINK("https://pbs.twimg.com/profile_images/1130943943624019968/qYfljnru.jpg","View")</f>
        <v>View</v>
      </c>
      <c r="V1854" s="8"/>
      <c r="W1854" s="8"/>
      <c r="X1854" s="8"/>
      <c r="Y1854" s="8"/>
      <c r="Z1854" s="8"/>
    </row>
    <row r="1855" spans="1:26" ht="12.75">
      <c r="A1855" s="11">
        <v>43747.275983796295</v>
      </c>
      <c r="B1855" s="12" t="str">
        <f>HYPERLINK("https://twitter.com/emincelik_04","@emincelik_04")</f>
        <v>@emincelik_04</v>
      </c>
      <c r="C1855" s="7" t="s">
        <v>13282</v>
      </c>
      <c r="D1855" s="7" t="s">
        <v>13283</v>
      </c>
      <c r="E1855" s="12" t="str">
        <f>HYPERLINK("https://twitter.com/emincelik_04/status/1181926644715589632","1181926644715589632")</f>
        <v>1181926644715589632</v>
      </c>
      <c r="F1855" s="7"/>
      <c r="G1855" s="15"/>
      <c r="H1855" s="8"/>
      <c r="I1855" s="15">
        <v>0</v>
      </c>
      <c r="J1855" s="15">
        <v>0</v>
      </c>
      <c r="K1855" s="12" t="str">
        <f>HYPERLINK("http://twitter.com/download/android","Twitter for Android")</f>
        <v>Twitter for Android</v>
      </c>
      <c r="L1855" s="16">
        <v>123</v>
      </c>
      <c r="M1855" s="16">
        <v>310</v>
      </c>
      <c r="N1855" s="16">
        <v>0</v>
      </c>
      <c r="O1855" s="17"/>
      <c r="P1855" s="18">
        <v>41432.030960648146</v>
      </c>
      <c r="Q1855" s="7"/>
      <c r="R1855" s="7"/>
      <c r="S1855" s="7"/>
      <c r="T1855" s="8"/>
      <c r="U1855" s="19" t="str">
        <f>HYPERLINK("https://pbs.twimg.com/profile_images/1149644587532599297/5uD3Uvst.jpg","View")</f>
        <v>View</v>
      </c>
      <c r="V1855" s="8"/>
      <c r="W1855" s="8"/>
      <c r="X1855" s="8"/>
      <c r="Y1855" s="8"/>
      <c r="Z1855" s="8"/>
    </row>
    <row r="1856" spans="1:26" ht="12.75">
      <c r="A1856" s="11">
        <v>43747.275983796295</v>
      </c>
      <c r="B1856" s="12" t="str">
        <f>HYPERLINK("https://twitter.com/kalkanakif29","@kalkanakif29")</f>
        <v>@kalkanakif29</v>
      </c>
      <c r="C1856" s="7" t="s">
        <v>13284</v>
      </c>
      <c r="D1856" s="7" t="s">
        <v>13285</v>
      </c>
      <c r="E1856" s="12" t="str">
        <f>HYPERLINK("https://twitter.com/kalkanakif29/status/1181926644191236097","1181926644191236097")</f>
        <v>1181926644191236097</v>
      </c>
      <c r="F1856" s="8"/>
      <c r="G1856" s="14" t="s">
        <v>13286</v>
      </c>
      <c r="H1856" s="8"/>
      <c r="I1856" s="15">
        <v>0</v>
      </c>
      <c r="J1856" s="15">
        <v>1</v>
      </c>
      <c r="K1856" s="12" t="str">
        <f>HYPERLINK("http://twitter.com/download/android","Twitter for Android")</f>
        <v>Twitter for Android</v>
      </c>
      <c r="L1856" s="16">
        <v>35</v>
      </c>
      <c r="M1856" s="16">
        <v>201</v>
      </c>
      <c r="N1856" s="16">
        <v>0</v>
      </c>
      <c r="O1856" s="17"/>
      <c r="P1856" s="18">
        <v>43681.472002314811</v>
      </c>
      <c r="Q1856" s="7"/>
      <c r="R1856" s="7" t="s">
        <v>13287</v>
      </c>
      <c r="S1856" s="7"/>
      <c r="T1856" s="8"/>
      <c r="U1856" s="19" t="str">
        <f>HYPERLINK("https://pbs.twimg.com/profile_images/1179447110246305793/QfPx8MBJ.jpg","View")</f>
        <v>View</v>
      </c>
      <c r="V1856" s="8"/>
      <c r="W1856" s="8"/>
      <c r="X1856" s="8"/>
      <c r="Y1856" s="8"/>
      <c r="Z1856" s="8"/>
    </row>
    <row r="1857" spans="1:26" ht="12.75">
      <c r="A1857" s="11">
        <v>43747.275972222225</v>
      </c>
      <c r="B1857" s="12" t="str">
        <f>HYPERLINK("https://twitter.com/thesedahanim","@thesedahanim")</f>
        <v>@thesedahanim</v>
      </c>
      <c r="C1857" s="7" t="s">
        <v>13288</v>
      </c>
      <c r="D1857" s="7" t="s">
        <v>13289</v>
      </c>
      <c r="E1857" s="12" t="str">
        <f>HYPERLINK("https://twitter.com/thesedahanim/status/1181926640827486210","1181926640827486210")</f>
        <v>1181926640827486210</v>
      </c>
      <c r="F1857" s="8"/>
      <c r="G1857" s="7"/>
      <c r="H1857" s="8"/>
      <c r="I1857" s="15">
        <v>0</v>
      </c>
      <c r="J1857" s="15">
        <v>0</v>
      </c>
      <c r="K1857" s="12" t="str">
        <f>HYPERLINK("http://twitter.com/download/android","Twitter for Android")</f>
        <v>Twitter for Android</v>
      </c>
      <c r="L1857" s="16">
        <v>129</v>
      </c>
      <c r="M1857" s="16">
        <v>354</v>
      </c>
      <c r="N1857" s="16">
        <v>1</v>
      </c>
      <c r="O1857" s="17"/>
      <c r="P1857" s="18">
        <v>40436.639062499999</v>
      </c>
      <c r="Q1857" s="7" t="s">
        <v>13290</v>
      </c>
      <c r="R1857" s="7" t="s">
        <v>13291</v>
      </c>
      <c r="S1857" s="7"/>
      <c r="T1857" s="8"/>
      <c r="U1857" s="19" t="str">
        <f>HYPERLINK("https://pbs.twimg.com/profile_images/1151503679150854144/LFYhvE6r.jpg","View")</f>
        <v>View</v>
      </c>
      <c r="V1857" s="8"/>
      <c r="W1857" s="8"/>
      <c r="X1857" s="8"/>
      <c r="Y1857" s="8"/>
      <c r="Z1857" s="8"/>
    </row>
    <row r="1858" spans="1:26" ht="12.75">
      <c r="A1858" s="11">
        <v>43747.275972222225</v>
      </c>
      <c r="B1858" s="12" t="str">
        <f>HYPERLINK("https://twitter.com/OrtaAsyaDunyasi","@OrtaAsyaDunyasi")</f>
        <v>@OrtaAsyaDunyasi</v>
      </c>
      <c r="C1858" s="7" t="s">
        <v>13292</v>
      </c>
      <c r="D1858" s="7" t="s">
        <v>6457</v>
      </c>
      <c r="E1858" s="12" t="str">
        <f>HYPERLINK("https://twitter.com/OrtaAsyaDunyasi/status/1181926638948376578","1181926638948376578")</f>
        <v>1181926638948376578</v>
      </c>
      <c r="F1858" s="8"/>
      <c r="G1858" s="14" t="s">
        <v>13293</v>
      </c>
      <c r="H1858" s="8"/>
      <c r="I1858" s="15">
        <v>296</v>
      </c>
      <c r="J1858" s="15">
        <v>2315</v>
      </c>
      <c r="K1858" s="12" t="str">
        <f>HYPERLINK("http://twitter.com/download/iphone","Twitter for iPhone")</f>
        <v>Twitter for iPhone</v>
      </c>
      <c r="L1858" s="16">
        <v>150453</v>
      </c>
      <c r="M1858" s="16">
        <v>1</v>
      </c>
      <c r="N1858" s="16">
        <v>176</v>
      </c>
      <c r="O1858" s="17"/>
      <c r="P1858" s="18">
        <v>41902.727696759262</v>
      </c>
      <c r="Q1858" s="7" t="s">
        <v>2183</v>
      </c>
      <c r="R1858" s="7" t="s">
        <v>13294</v>
      </c>
      <c r="S1858" s="14" t="s">
        <v>13295</v>
      </c>
      <c r="T1858" s="8"/>
      <c r="U1858" s="19" t="str">
        <f>HYPERLINK("https://pbs.twimg.com/profile_images/1125230312324308994/jODWqx_l.jpg","View")</f>
        <v>View</v>
      </c>
      <c r="V1858" s="8"/>
      <c r="W1858" s="8"/>
      <c r="X1858" s="8"/>
      <c r="Y1858" s="8"/>
      <c r="Z1858" s="8"/>
    </row>
    <row r="1859" spans="1:26" ht="12.75">
      <c r="A1859" s="11">
        <v>43747.275972222225</v>
      </c>
      <c r="B1859" s="12" t="str">
        <f>HYPERLINK("https://twitter.com/yusuf__o6","@yusuf__o6")</f>
        <v>@yusuf__o6</v>
      </c>
      <c r="C1859" s="7" t="s">
        <v>13296</v>
      </c>
      <c r="D1859" s="7" t="s">
        <v>13297</v>
      </c>
      <c r="E1859" s="12" t="str">
        <f>HYPERLINK("https://twitter.com/yusuf__o6/status/1181926637736214528","1181926637736214528")</f>
        <v>1181926637736214528</v>
      </c>
      <c r="F1859" s="8"/>
      <c r="G1859" s="14" t="s">
        <v>13298</v>
      </c>
      <c r="H1859" s="8"/>
      <c r="I1859" s="15">
        <v>0</v>
      </c>
      <c r="J1859" s="15">
        <v>0</v>
      </c>
      <c r="K1859" s="12" t="str">
        <f>HYPERLINK("http://twitter.com/download/iphone","Twitter for iPhone")</f>
        <v>Twitter for iPhone</v>
      </c>
      <c r="L1859" s="16">
        <v>651</v>
      </c>
      <c r="M1859" s="16">
        <v>790</v>
      </c>
      <c r="N1859" s="16">
        <v>0</v>
      </c>
      <c r="O1859" s="17"/>
      <c r="P1859" s="18">
        <v>43285.048946759256</v>
      </c>
      <c r="Q1859" s="7" t="s">
        <v>6808</v>
      </c>
      <c r="R1859" s="7" t="s">
        <v>13299</v>
      </c>
      <c r="S1859" s="14" t="s">
        <v>13300</v>
      </c>
      <c r="T1859" s="8"/>
      <c r="U1859" s="19" t="str">
        <f>HYPERLINK("https://pbs.twimg.com/profile_images/1176835856981794817/ibtcHYKn.jpg","View")</f>
        <v>View</v>
      </c>
      <c r="V1859" s="8"/>
      <c r="W1859" s="8"/>
      <c r="X1859" s="8"/>
      <c r="Y1859" s="8"/>
      <c r="Z1859" s="8"/>
    </row>
    <row r="1860" spans="1:26" ht="12.75">
      <c r="A1860" s="11">
        <v>43747.275937500002</v>
      </c>
      <c r="B1860" s="12" t="str">
        <f>HYPERLINK("https://twitter.com/erslny","@erslny")</f>
        <v>@erslny</v>
      </c>
      <c r="C1860" s="7" t="s">
        <v>13301</v>
      </c>
      <c r="D1860" s="7" t="s">
        <v>160</v>
      </c>
      <c r="E1860" s="12" t="str">
        <f>HYPERLINK("https://twitter.com/erslny/status/1181926625971228674","1181926625971228674")</f>
        <v>1181926625971228674</v>
      </c>
      <c r="F1860" s="8"/>
      <c r="G1860" s="7"/>
      <c r="H1860" s="8"/>
      <c r="I1860" s="15">
        <v>0</v>
      </c>
      <c r="J1860" s="15">
        <v>0</v>
      </c>
      <c r="K1860" s="12" t="str">
        <f>HYPERLINK("http://twitter.com/download/android","Twitter for Android")</f>
        <v>Twitter for Android</v>
      </c>
      <c r="L1860" s="16">
        <v>8</v>
      </c>
      <c r="M1860" s="16">
        <v>49</v>
      </c>
      <c r="N1860" s="16">
        <v>0</v>
      </c>
      <c r="O1860" s="17"/>
      <c r="P1860" s="18">
        <v>43422.60869212963</v>
      </c>
      <c r="Q1860" s="7" t="s">
        <v>200</v>
      </c>
      <c r="R1860" s="7"/>
      <c r="S1860" s="15"/>
      <c r="T1860" s="8"/>
      <c r="U1860" s="19" t="str">
        <f>HYPERLINK("https://pbs.twimg.com/profile_images/1166559630107054082/4rWFZCFX.jpg","View")</f>
        <v>View</v>
      </c>
      <c r="V1860" s="8"/>
      <c r="W1860" s="8"/>
      <c r="X1860" s="8"/>
      <c r="Y1860" s="8"/>
      <c r="Z1860" s="8"/>
    </row>
    <row r="1861" spans="1:26" ht="12.75">
      <c r="A1861" s="11">
        <v>43747.275925925926</v>
      </c>
      <c r="B1861" s="12" t="str">
        <f>HYPERLINK("https://twitter.com/EmineGze2","@EmineGze2")</f>
        <v>@EmineGze2</v>
      </c>
      <c r="C1861" s="7" t="s">
        <v>13302</v>
      </c>
      <c r="D1861" s="7" t="s">
        <v>13303</v>
      </c>
      <c r="E1861" s="12" t="str">
        <f>HYPERLINK("https://twitter.com/EmineGze2/status/1181926623530115074","1181926623530115074")</f>
        <v>1181926623530115074</v>
      </c>
      <c r="F1861" s="8"/>
      <c r="G1861" s="14" t="s">
        <v>13304</v>
      </c>
      <c r="H1861" s="8"/>
      <c r="I1861" s="15">
        <v>26</v>
      </c>
      <c r="J1861" s="15">
        <v>55</v>
      </c>
      <c r="K1861" s="12" t="str">
        <f>HYPERLINK("http://twitter.com/download/android","Twitter for Android")</f>
        <v>Twitter for Android</v>
      </c>
      <c r="L1861" s="16">
        <v>32921</v>
      </c>
      <c r="M1861" s="16">
        <v>23583</v>
      </c>
      <c r="N1861" s="16">
        <v>47</v>
      </c>
      <c r="O1861" s="17"/>
      <c r="P1861" s="18">
        <v>42411.637569444443</v>
      </c>
      <c r="Q1861" s="7" t="s">
        <v>13305</v>
      </c>
      <c r="R1861" s="7" t="s">
        <v>13306</v>
      </c>
      <c r="S1861" s="15"/>
      <c r="T1861" s="8"/>
      <c r="U1861" s="19" t="str">
        <f>HYPERLINK("https://pbs.twimg.com/profile_images/1163543522089287680/HA3W9oi1.jpg","View")</f>
        <v>View</v>
      </c>
      <c r="V1861" s="8"/>
      <c r="W1861" s="8"/>
      <c r="X1861" s="8"/>
      <c r="Y1861" s="8"/>
      <c r="Z1861" s="8"/>
    </row>
    <row r="1862" spans="1:26" ht="12.75">
      <c r="A1862" s="11">
        <v>43747.275925925926</v>
      </c>
      <c r="B1862" s="12" t="str">
        <f>HYPERLINK("https://twitter.com/aaysukya","@aaysukya")</f>
        <v>@aaysukya</v>
      </c>
      <c r="C1862" s="7" t="s">
        <v>13307</v>
      </c>
      <c r="D1862" s="7" t="s">
        <v>13308</v>
      </c>
      <c r="E1862" s="12" t="str">
        <f>HYPERLINK("https://twitter.com/aaysukya/status/1181926622653550592","1181926622653550592")</f>
        <v>1181926622653550592</v>
      </c>
      <c r="F1862" s="15"/>
      <c r="G1862" s="14" t="s">
        <v>13309</v>
      </c>
      <c r="H1862" s="8"/>
      <c r="I1862" s="15">
        <v>0</v>
      </c>
      <c r="J1862" s="15">
        <v>0</v>
      </c>
      <c r="K1862" s="12" t="str">
        <f>HYPERLINK("http://twitter.com/download/iphone","Twitter for iPhone")</f>
        <v>Twitter for iPhone</v>
      </c>
      <c r="L1862" s="16">
        <v>210</v>
      </c>
      <c r="M1862" s="16">
        <v>299</v>
      </c>
      <c r="N1862" s="16">
        <v>0</v>
      </c>
      <c r="O1862" s="17"/>
      <c r="P1862" s="18">
        <v>43573.510335648149</v>
      </c>
      <c r="Q1862" s="7"/>
      <c r="R1862" s="7"/>
      <c r="S1862" s="7"/>
      <c r="T1862" s="8"/>
      <c r="U1862" s="19" t="str">
        <f>HYPERLINK("https://pbs.twimg.com/profile_images/1180174220682244096/mqHQt5QE.jpg","View")</f>
        <v>View</v>
      </c>
      <c r="V1862" s="8"/>
      <c r="W1862" s="8"/>
      <c r="X1862" s="8"/>
      <c r="Y1862" s="8"/>
      <c r="Z1862" s="8"/>
    </row>
    <row r="1863" spans="1:26" ht="12.75">
      <c r="A1863" s="11">
        <v>43747.275914351849</v>
      </c>
      <c r="B1863" s="12" t="str">
        <f>HYPERLINK("https://twitter.com/kintas_muslum","@kintas_muslum")</f>
        <v>@kintas_muslum</v>
      </c>
      <c r="C1863" s="7" t="s">
        <v>13310</v>
      </c>
      <c r="D1863" s="7" t="s">
        <v>13311</v>
      </c>
      <c r="E1863" s="12" t="str">
        <f>HYPERLINK("https://twitter.com/kintas_muslum/status/1181926617431646208","1181926617431646208")</f>
        <v>1181926617431646208</v>
      </c>
      <c r="F1863" s="8"/>
      <c r="G1863" s="15"/>
      <c r="H1863" s="8"/>
      <c r="I1863" s="15">
        <v>0</v>
      </c>
      <c r="J1863" s="15">
        <v>1</v>
      </c>
      <c r="K1863" s="12" t="str">
        <f>HYPERLINK("http://twitter.com/download/android","Twitter for Android")</f>
        <v>Twitter for Android</v>
      </c>
      <c r="L1863" s="16">
        <v>218</v>
      </c>
      <c r="M1863" s="16">
        <v>371</v>
      </c>
      <c r="N1863" s="16">
        <v>0</v>
      </c>
      <c r="O1863" s="17"/>
      <c r="P1863" s="18">
        <v>42573.216921296298</v>
      </c>
      <c r="Q1863" s="7"/>
      <c r="R1863" s="7" t="s">
        <v>13312</v>
      </c>
      <c r="S1863" s="7"/>
      <c r="T1863" s="8"/>
      <c r="U1863" s="19" t="str">
        <f>HYPERLINK("https://pbs.twimg.com/profile_images/1172209050873978881/W_Z-ILNg.jpg","View")</f>
        <v>View</v>
      </c>
      <c r="V1863" s="8"/>
      <c r="W1863" s="8"/>
      <c r="X1863" s="8"/>
      <c r="Y1863" s="8"/>
      <c r="Z1863" s="8"/>
    </row>
    <row r="1864" spans="1:26" ht="12.75">
      <c r="A1864" s="11">
        <v>43747.275902777779</v>
      </c>
      <c r="B1864" s="12" t="str">
        <f>HYPERLINK("https://twitter.com/sezginTc03","@sezginTc03")</f>
        <v>@sezginTc03</v>
      </c>
      <c r="C1864" s="7" t="s">
        <v>13313</v>
      </c>
      <c r="D1864" s="7" t="s">
        <v>13314</v>
      </c>
      <c r="E1864" s="12" t="str">
        <f>HYPERLINK("https://twitter.com/sezginTc03/status/1181926613933527040","1181926613933527040")</f>
        <v>1181926613933527040</v>
      </c>
      <c r="F1864" s="15"/>
      <c r="G1864" s="14" t="s">
        <v>13315</v>
      </c>
      <c r="H1864" s="8"/>
      <c r="I1864" s="15">
        <v>0</v>
      </c>
      <c r="J1864" s="15">
        <v>0</v>
      </c>
      <c r="K1864" s="12" t="str">
        <f>HYPERLINK("https://mobile.twitter.com","Twitter Web App")</f>
        <v>Twitter Web App</v>
      </c>
      <c r="L1864" s="16">
        <v>6</v>
      </c>
      <c r="M1864" s="16">
        <v>20</v>
      </c>
      <c r="N1864" s="16">
        <v>0</v>
      </c>
      <c r="O1864" s="17"/>
      <c r="P1864" s="18">
        <v>42238.18378472222</v>
      </c>
      <c r="Q1864" s="7"/>
      <c r="R1864" s="7"/>
      <c r="S1864" s="7"/>
      <c r="T1864" s="8"/>
      <c r="U1864" s="19" t="str">
        <f>HYPERLINK("https://pbs.twimg.com/profile_images/1175122533038940160/bzf7lSuP.jpg","View")</f>
        <v>View</v>
      </c>
      <c r="V1864" s="8"/>
      <c r="W1864" s="8"/>
      <c r="X1864" s="8"/>
      <c r="Y1864" s="8"/>
      <c r="Z1864" s="8"/>
    </row>
    <row r="1865" spans="1:26" ht="12.75">
      <c r="A1865" s="11">
        <v>43747.275902777779</v>
      </c>
      <c r="B1865" s="12" t="str">
        <f>HYPERLINK("https://twitter.com/burkzeybek","@burkzeybek")</f>
        <v>@burkzeybek</v>
      </c>
      <c r="C1865" s="7" t="s">
        <v>13316</v>
      </c>
      <c r="D1865" s="7" t="s">
        <v>13317</v>
      </c>
      <c r="E1865" s="12" t="str">
        <f>HYPERLINK("https://twitter.com/burkzeybek/status/1181926613765763073","1181926613765763073")</f>
        <v>1181926613765763073</v>
      </c>
      <c r="F1865" s="8"/>
      <c r="G1865" s="7"/>
      <c r="H1865" s="8"/>
      <c r="I1865" s="15">
        <v>2</v>
      </c>
      <c r="J1865" s="15">
        <v>12</v>
      </c>
      <c r="K1865" s="12" t="str">
        <f>HYPERLINK("http://twitter.com/download/android","Twitter for Android")</f>
        <v>Twitter for Android</v>
      </c>
      <c r="L1865" s="16">
        <v>425</v>
      </c>
      <c r="M1865" s="16">
        <v>422</v>
      </c>
      <c r="N1865" s="16">
        <v>0</v>
      </c>
      <c r="O1865" s="17"/>
      <c r="P1865" s="18">
        <v>43744.2653125</v>
      </c>
      <c r="Q1865" s="7"/>
      <c r="R1865" s="7" t="s">
        <v>13318</v>
      </c>
      <c r="S1865" s="7"/>
      <c r="T1865" s="8"/>
      <c r="U1865" s="19" t="str">
        <f>HYPERLINK("https://pbs.twimg.com/profile_images/1181589249449238528/cRWNM8C9.jpg","View")</f>
        <v>View</v>
      </c>
      <c r="V1865" s="8"/>
      <c r="W1865" s="8"/>
      <c r="X1865" s="8"/>
      <c r="Y1865" s="8"/>
      <c r="Z1865" s="8"/>
    </row>
    <row r="1866" spans="1:26" ht="12.75">
      <c r="A1866" s="11">
        <v>43747.275891203702</v>
      </c>
      <c r="B1866" s="12" t="str">
        <f>HYPERLINK("https://twitter.com/H_ibrahimselcuk","@H_ibrahimselcuk")</f>
        <v>@H_ibrahimselcuk</v>
      </c>
      <c r="C1866" s="7" t="s">
        <v>13319</v>
      </c>
      <c r="D1866" s="7" t="s">
        <v>13320</v>
      </c>
      <c r="E1866" s="12" t="str">
        <f>HYPERLINK("https://twitter.com/H_ibrahimselcuk/status/1181926609030389760","1181926609030389760")</f>
        <v>1181926609030389760</v>
      </c>
      <c r="F1866" s="8"/>
      <c r="G1866" s="14" t="s">
        <v>13321</v>
      </c>
      <c r="H1866" s="8"/>
      <c r="I1866" s="15">
        <v>0</v>
      </c>
      <c r="J1866" s="15">
        <v>4</v>
      </c>
      <c r="K1866" s="12" t="str">
        <f>HYPERLINK("http://twitter.com/download/iphone","Twitter for iPhone")</f>
        <v>Twitter for iPhone</v>
      </c>
      <c r="L1866" s="16">
        <v>2372</v>
      </c>
      <c r="M1866" s="16">
        <v>868</v>
      </c>
      <c r="N1866" s="16">
        <v>2</v>
      </c>
      <c r="O1866" s="17"/>
      <c r="P1866" s="18">
        <v>42304.055972222224</v>
      </c>
      <c r="Q1866" s="7" t="s">
        <v>241</v>
      </c>
      <c r="R1866" s="7" t="s">
        <v>13322</v>
      </c>
      <c r="S1866" s="15"/>
      <c r="T1866" s="8"/>
      <c r="U1866" s="19" t="str">
        <f>HYPERLINK("https://pbs.twimg.com/profile_images/1151402687868669953/sTPOxw8p.jpg","View")</f>
        <v>View</v>
      </c>
      <c r="V1866" s="8"/>
      <c r="W1866" s="8"/>
      <c r="X1866" s="8"/>
      <c r="Y1866" s="8"/>
      <c r="Z1866" s="8"/>
    </row>
    <row r="1867" spans="1:26" ht="12.75">
      <c r="A1867" s="11">
        <v>43747.275856481487</v>
      </c>
      <c r="B1867" s="12" t="str">
        <f>HYPERLINK("https://twitter.com/irfanaras_","@irfanaras_")</f>
        <v>@irfanaras_</v>
      </c>
      <c r="C1867" s="7" t="s">
        <v>13323</v>
      </c>
      <c r="D1867" s="7" t="s">
        <v>13324</v>
      </c>
      <c r="E1867" s="12" t="str">
        <f>HYPERLINK("https://twitter.com/irfanaras_/status/1181926598016163840","1181926598016163840")</f>
        <v>1181926598016163840</v>
      </c>
      <c r="F1867" s="8"/>
      <c r="G1867" s="14" t="s">
        <v>13325</v>
      </c>
      <c r="H1867" s="8"/>
      <c r="I1867" s="15">
        <v>0</v>
      </c>
      <c r="J1867" s="15">
        <v>0</v>
      </c>
      <c r="K1867" s="12" t="str">
        <f>HYPERLINK("http://twitter.com/download/android","Twitter for Android")</f>
        <v>Twitter for Android</v>
      </c>
      <c r="L1867" s="16">
        <v>326</v>
      </c>
      <c r="M1867" s="16">
        <v>182</v>
      </c>
      <c r="N1867" s="16">
        <v>0</v>
      </c>
      <c r="O1867" s="17"/>
      <c r="P1867" s="18">
        <v>41150.486319444448</v>
      </c>
      <c r="Q1867" s="7" t="s">
        <v>13326</v>
      </c>
      <c r="R1867" s="7" t="s">
        <v>13327</v>
      </c>
      <c r="S1867" s="7"/>
      <c r="T1867" s="8"/>
      <c r="U1867" s="19" t="str">
        <f>HYPERLINK("https://pbs.twimg.com/profile_images/1172095137004052480/bNEyYEKL.jpg","View")</f>
        <v>View</v>
      </c>
      <c r="V1867" s="8"/>
      <c r="W1867" s="8"/>
      <c r="X1867" s="8"/>
      <c r="Y1867" s="8"/>
      <c r="Z1867" s="8"/>
    </row>
    <row r="1868" spans="1:26" ht="12.75">
      <c r="A1868" s="11">
        <v>43747.275821759264</v>
      </c>
      <c r="B1868" s="12" t="str">
        <f>HYPERLINK("https://twitter.com/umitterdgn","@umitterdgn")</f>
        <v>@umitterdgn</v>
      </c>
      <c r="C1868" s="7" t="s">
        <v>13328</v>
      </c>
      <c r="D1868" s="7" t="s">
        <v>13329</v>
      </c>
      <c r="E1868" s="12" t="str">
        <f>HYPERLINK("https://twitter.com/umitterdgn/status/1181926585743675392","1181926585743675392")</f>
        <v>1181926585743675392</v>
      </c>
      <c r="F1868" s="8"/>
      <c r="G1868" s="7"/>
      <c r="H1868" s="8"/>
      <c r="I1868" s="15">
        <v>0</v>
      </c>
      <c r="J1868" s="15">
        <v>0</v>
      </c>
      <c r="K1868" s="12" t="str">
        <f>HYPERLINK("http://twitter.com/download/iphone","Twitter for iPhone")</f>
        <v>Twitter for iPhone</v>
      </c>
      <c r="L1868" s="16">
        <v>233</v>
      </c>
      <c r="M1868" s="16">
        <v>403</v>
      </c>
      <c r="N1868" s="16">
        <v>0</v>
      </c>
      <c r="O1868" s="17"/>
      <c r="P1868" s="18">
        <v>42218.264768518522</v>
      </c>
      <c r="Q1868" s="7"/>
      <c r="R1868" s="7"/>
      <c r="S1868" s="7"/>
      <c r="T1868" s="8"/>
      <c r="U1868" s="19" t="str">
        <f>HYPERLINK("https://pbs.twimg.com/profile_images/627832876105625600/n0P4p5lE.jpg","View")</f>
        <v>View</v>
      </c>
      <c r="V1868" s="8"/>
      <c r="W1868" s="8"/>
      <c r="X1868" s="8"/>
      <c r="Y1868" s="8"/>
      <c r="Z1868" s="8"/>
    </row>
    <row r="1869" spans="1:26" ht="12.75">
      <c r="A1869" s="11">
        <v>43747.27579861111</v>
      </c>
      <c r="B1869" s="12" t="str">
        <f>HYPERLINK("https://twitter.com/bedirergul61","@bedirergul61")</f>
        <v>@bedirergul61</v>
      </c>
      <c r="C1869" s="7" t="s">
        <v>13330</v>
      </c>
      <c r="D1869" s="7" t="s">
        <v>13331</v>
      </c>
      <c r="E1869" s="12" t="str">
        <f>HYPERLINK("https://twitter.com/bedirergul61/status/1181926576746827776","1181926576746827776")</f>
        <v>1181926576746827776</v>
      </c>
      <c r="F1869" s="15"/>
      <c r="G1869" s="7"/>
      <c r="H1869" s="8"/>
      <c r="I1869" s="15">
        <v>0</v>
      </c>
      <c r="J1869" s="15">
        <v>0</v>
      </c>
      <c r="K1869" s="12" t="str">
        <f>HYPERLINK("http://twitter.com/download/iphone","Twitter for iPhone")</f>
        <v>Twitter for iPhone</v>
      </c>
      <c r="L1869" s="16">
        <v>78</v>
      </c>
      <c r="M1869" s="16">
        <v>125</v>
      </c>
      <c r="N1869" s="16">
        <v>0</v>
      </c>
      <c r="O1869" s="17"/>
      <c r="P1869" s="18">
        <v>43336.615162037036</v>
      </c>
      <c r="Q1869" s="7"/>
      <c r="R1869" s="7" t="s">
        <v>13332</v>
      </c>
      <c r="S1869" s="7"/>
      <c r="T1869" s="8"/>
      <c r="U1869" s="19" t="str">
        <f>HYPERLINK("https://pbs.twimg.com/profile_images/1143436400949415942/ZMU9uk3_.jpg","View")</f>
        <v>View</v>
      </c>
      <c r="V1869" s="8"/>
      <c r="W1869" s="8"/>
      <c r="X1869" s="8"/>
      <c r="Y1869" s="8"/>
      <c r="Z1869" s="8"/>
    </row>
    <row r="1870" spans="1:26" ht="12.75">
      <c r="A1870" s="11">
        <v>43747.275787037041</v>
      </c>
      <c r="B1870" s="12" t="str">
        <f>HYPERLINK("https://twitter.com/GokhanlanD","@GokhanlanD")</f>
        <v>@GokhanlanD</v>
      </c>
      <c r="C1870" s="7" t="s">
        <v>13333</v>
      </c>
      <c r="D1870" s="7" t="s">
        <v>13334</v>
      </c>
      <c r="E1870" s="12" t="str">
        <f>HYPERLINK("https://twitter.com/GokhanlanD/status/1181926571885711366","1181926571885711366")</f>
        <v>1181926571885711366</v>
      </c>
      <c r="F1870" s="8"/>
      <c r="G1870" s="14" t="s">
        <v>13335</v>
      </c>
      <c r="H1870" s="8"/>
      <c r="I1870" s="15">
        <v>0</v>
      </c>
      <c r="J1870" s="15">
        <v>1</v>
      </c>
      <c r="K1870" s="12" t="str">
        <f>HYPERLINK("http://twitter.com/download/android","Twitter for Android")</f>
        <v>Twitter for Android</v>
      </c>
      <c r="L1870" s="16">
        <v>60</v>
      </c>
      <c r="M1870" s="16">
        <v>277</v>
      </c>
      <c r="N1870" s="16">
        <v>0</v>
      </c>
      <c r="O1870" s="17"/>
      <c r="P1870" s="18">
        <v>42249.446840277778</v>
      </c>
      <c r="Q1870" s="7" t="s">
        <v>13336</v>
      </c>
      <c r="R1870" s="7" t="s">
        <v>13337</v>
      </c>
      <c r="S1870" s="7"/>
      <c r="T1870" s="8"/>
      <c r="U1870" s="19" t="str">
        <f>HYPERLINK("https://pbs.twimg.com/profile_images/1145129198098550784/qvwVG0yR.jpg","View")</f>
        <v>View</v>
      </c>
      <c r="V1870" s="8"/>
      <c r="W1870" s="8"/>
      <c r="X1870" s="8"/>
      <c r="Y1870" s="8"/>
      <c r="Z1870" s="8"/>
    </row>
    <row r="1871" spans="1:26" ht="12.75">
      <c r="A1871" s="11">
        <v>43747.275763888887</v>
      </c>
      <c r="B1871" s="12" t="str">
        <f>HYPERLINK("https://twitter.com/muhammed2548","@muhammed2548")</f>
        <v>@muhammed2548</v>
      </c>
      <c r="C1871" s="7" t="s">
        <v>13338</v>
      </c>
      <c r="D1871" s="7" t="s">
        <v>13339</v>
      </c>
      <c r="E1871" s="12" t="str">
        <f>HYPERLINK("https://twitter.com/muhammed2548/status/1181926564361060357","1181926564361060357")</f>
        <v>1181926564361060357</v>
      </c>
      <c r="F1871" s="8"/>
      <c r="G1871" s="15"/>
      <c r="H1871" s="8"/>
      <c r="I1871" s="15">
        <v>0</v>
      </c>
      <c r="J1871" s="15">
        <v>0</v>
      </c>
      <c r="K1871" s="12" t="str">
        <f>HYPERLINK("http://twitter.com/download/iphone","Twitter for iPhone")</f>
        <v>Twitter for iPhone</v>
      </c>
      <c r="L1871" s="16">
        <v>298</v>
      </c>
      <c r="M1871" s="16">
        <v>241</v>
      </c>
      <c r="N1871" s="16">
        <v>1</v>
      </c>
      <c r="O1871" s="17"/>
      <c r="P1871" s="18">
        <v>41595.227870370371</v>
      </c>
      <c r="Q1871" s="7" t="s">
        <v>313</v>
      </c>
      <c r="R1871" s="7" t="s">
        <v>13340</v>
      </c>
      <c r="S1871" s="14" t="s">
        <v>13341</v>
      </c>
      <c r="T1871" s="8"/>
      <c r="U1871" s="19" t="str">
        <f>HYPERLINK("https://pbs.twimg.com/profile_images/1172545644826898432/lO5lnbLh.jpg","View")</f>
        <v>View</v>
      </c>
      <c r="V1871" s="8"/>
      <c r="W1871" s="8"/>
      <c r="X1871" s="8"/>
      <c r="Y1871" s="8"/>
      <c r="Z1871" s="8"/>
    </row>
    <row r="1872" spans="1:26" ht="12.75">
      <c r="A1872" s="11">
        <v>43747.275763888887</v>
      </c>
      <c r="B1872" s="12" t="str">
        <f>HYPERLINK("https://twitter.com/erkamciftci","@erkamciftci")</f>
        <v>@erkamciftci</v>
      </c>
      <c r="C1872" s="7" t="s">
        <v>13342</v>
      </c>
      <c r="D1872" s="7" t="s">
        <v>13343</v>
      </c>
      <c r="E1872" s="12" t="str">
        <f>HYPERLINK("https://twitter.com/erkamciftci/status/1181926563643842560","1181926563643842560")</f>
        <v>1181926563643842560</v>
      </c>
      <c r="F1872" s="15"/>
      <c r="G1872" s="15"/>
      <c r="H1872" s="8"/>
      <c r="I1872" s="15">
        <v>0</v>
      </c>
      <c r="J1872" s="15">
        <v>3</v>
      </c>
      <c r="K1872" s="12" t="str">
        <f>HYPERLINK("http://twitter.com/download/android","Twitter for Android")</f>
        <v>Twitter for Android</v>
      </c>
      <c r="L1872" s="16">
        <v>855</v>
      </c>
      <c r="M1872" s="16">
        <v>276</v>
      </c>
      <c r="N1872" s="16">
        <v>1</v>
      </c>
      <c r="O1872" s="17"/>
      <c r="P1872" s="18">
        <v>40772.33189814815</v>
      </c>
      <c r="Q1872" s="7" t="s">
        <v>313</v>
      </c>
      <c r="R1872" s="7"/>
      <c r="S1872" s="7"/>
      <c r="T1872" s="8"/>
      <c r="U1872" s="19" t="str">
        <f>HYPERLINK("https://pbs.twimg.com/profile_images/1090676799619715072/TBsh5Y_h.jpg","View")</f>
        <v>View</v>
      </c>
      <c r="V1872" s="8"/>
      <c r="W1872" s="8"/>
      <c r="X1872" s="8"/>
      <c r="Y1872" s="8"/>
      <c r="Z1872" s="8"/>
    </row>
    <row r="1873" spans="1:26" ht="12.75">
      <c r="A1873" s="11">
        <v>43747.275763888887</v>
      </c>
      <c r="B1873" s="12" t="str">
        <f>HYPERLINK("https://twitter.com/oavural","@oavural")</f>
        <v>@oavural</v>
      </c>
      <c r="C1873" s="7" t="s">
        <v>13344</v>
      </c>
      <c r="D1873" s="7" t="s">
        <v>13345</v>
      </c>
      <c r="E1873" s="12" t="str">
        <f>HYPERLINK("https://twitter.com/oavural/status/1181926563182497792","1181926563182497792")</f>
        <v>1181926563182497792</v>
      </c>
      <c r="F1873" s="8"/>
      <c r="G1873" s="15"/>
      <c r="H1873" s="8"/>
      <c r="I1873" s="15">
        <v>0</v>
      </c>
      <c r="J1873" s="15">
        <v>0</v>
      </c>
      <c r="K1873" s="12" t="str">
        <f>HYPERLINK("http://twitter.com/download/android","Twitter for Android")</f>
        <v>Twitter for Android</v>
      </c>
      <c r="L1873" s="16">
        <v>433</v>
      </c>
      <c r="M1873" s="16">
        <v>449</v>
      </c>
      <c r="N1873" s="16">
        <v>0</v>
      </c>
      <c r="O1873" s="17"/>
      <c r="P1873" s="18">
        <v>40996.403078703705</v>
      </c>
      <c r="Q1873" s="7" t="s">
        <v>2712</v>
      </c>
      <c r="R1873" s="7" t="s">
        <v>13346</v>
      </c>
      <c r="S1873" s="15"/>
      <c r="T1873" s="8"/>
      <c r="U1873" s="19" t="str">
        <f>HYPERLINK("https://pbs.twimg.com/profile_images/1145828565214269445/tyAUwtAD.jpg","View")</f>
        <v>View</v>
      </c>
      <c r="V1873" s="8"/>
      <c r="W1873" s="8"/>
      <c r="X1873" s="8"/>
      <c r="Y1873" s="8"/>
      <c r="Z1873" s="8"/>
    </row>
    <row r="1874" spans="1:26" ht="12.75">
      <c r="A1874" s="11">
        <v>43747.275763888887</v>
      </c>
      <c r="B1874" s="12" t="str">
        <f>HYPERLINK("https://twitter.com/zitra_zitra","@zitra_zitra")</f>
        <v>@zitra_zitra</v>
      </c>
      <c r="C1874" s="7" t="s">
        <v>13347</v>
      </c>
      <c r="D1874" s="7" t="s">
        <v>13348</v>
      </c>
      <c r="E1874" s="12" t="str">
        <f>HYPERLINK("https://twitter.com/zitra_zitra/status/1181926562016497665","1181926562016497665")</f>
        <v>1181926562016497665</v>
      </c>
      <c r="F1874" s="8"/>
      <c r="G1874" s="14" t="s">
        <v>13349</v>
      </c>
      <c r="H1874" s="8"/>
      <c r="I1874" s="15">
        <v>0</v>
      </c>
      <c r="J1874" s="15">
        <v>1</v>
      </c>
      <c r="K1874" s="12" t="str">
        <f>HYPERLINK("http://twitter.com/download/android","Twitter for Android")</f>
        <v>Twitter for Android</v>
      </c>
      <c r="L1874" s="16">
        <v>321</v>
      </c>
      <c r="M1874" s="16">
        <v>16</v>
      </c>
      <c r="N1874" s="16">
        <v>4</v>
      </c>
      <c r="O1874" s="17"/>
      <c r="P1874" s="18">
        <v>42986.072835648149</v>
      </c>
      <c r="Q1874" s="7" t="s">
        <v>13350</v>
      </c>
      <c r="R1874" s="7" t="s">
        <v>13351</v>
      </c>
      <c r="S1874" s="7"/>
      <c r="T1874" s="8"/>
      <c r="U1874" s="19" t="str">
        <f>HYPERLINK("https://pbs.twimg.com/profile_images/1144656108721704962/sK6IbAcl.jpg","View")</f>
        <v>View</v>
      </c>
      <c r="V1874" s="8"/>
      <c r="W1874" s="8"/>
      <c r="X1874" s="8"/>
      <c r="Y1874" s="8"/>
      <c r="Z1874" s="8"/>
    </row>
    <row r="1875" spans="1:26" ht="12.75">
      <c r="A1875" s="11">
        <v>43747.275752314818</v>
      </c>
      <c r="B1875" s="12" t="str">
        <f>HYPERLINK("https://twitter.com/HarunGund52","@HarunGund52")</f>
        <v>@HarunGund52</v>
      </c>
      <c r="C1875" s="7" t="s">
        <v>13352</v>
      </c>
      <c r="D1875" s="7" t="s">
        <v>160</v>
      </c>
      <c r="E1875" s="12" t="str">
        <f>HYPERLINK("https://twitter.com/HarunGund52/status/1181926560250712065","1181926560250712065")</f>
        <v>1181926560250712065</v>
      </c>
      <c r="F1875" s="8"/>
      <c r="G1875" s="7"/>
      <c r="H1875" s="8"/>
      <c r="I1875" s="15">
        <v>0</v>
      </c>
      <c r="J1875" s="15">
        <v>1</v>
      </c>
      <c r="K1875" s="12" t="str">
        <f>HYPERLINK("http://twitter.com/download/iphone","Twitter for iPhone")</f>
        <v>Twitter for iPhone</v>
      </c>
      <c r="L1875" s="16">
        <v>149</v>
      </c>
      <c r="M1875" s="16">
        <v>36</v>
      </c>
      <c r="N1875" s="16">
        <v>0</v>
      </c>
      <c r="O1875" s="17"/>
      <c r="P1875" s="18">
        <v>42825.484571759254</v>
      </c>
      <c r="Q1875" s="7" t="s">
        <v>313</v>
      </c>
      <c r="R1875" s="7" t="s">
        <v>13353</v>
      </c>
      <c r="S1875" s="14" t="s">
        <v>13354</v>
      </c>
      <c r="T1875" s="8"/>
      <c r="U1875" s="19" t="str">
        <f>HYPERLINK("https://pbs.twimg.com/profile_images/1070833526449364992/3eLeAlrJ.jpg","View")</f>
        <v>View</v>
      </c>
      <c r="V1875" s="8"/>
      <c r="W1875" s="8"/>
      <c r="X1875" s="8"/>
      <c r="Y1875" s="8"/>
      <c r="Z1875" s="8"/>
    </row>
    <row r="1876" spans="1:26" ht="12.75">
      <c r="A1876" s="11">
        <v>43747.275740740741</v>
      </c>
      <c r="B1876" s="12" t="str">
        <f>HYPERLINK("https://twitter.com/selencoskun8","@selencoskun8")</f>
        <v>@selencoskun8</v>
      </c>
      <c r="C1876" s="7" t="s">
        <v>13355</v>
      </c>
      <c r="D1876" s="7" t="s">
        <v>13356</v>
      </c>
      <c r="E1876" s="12" t="str">
        <f>HYPERLINK("https://twitter.com/selencoskun8/status/1181926556253507585","1181926556253507585")</f>
        <v>1181926556253507585</v>
      </c>
      <c r="F1876" s="8"/>
      <c r="G1876" s="7"/>
      <c r="H1876" s="8"/>
      <c r="I1876" s="15">
        <v>0</v>
      </c>
      <c r="J1876" s="15">
        <v>0</v>
      </c>
      <c r="K1876" s="12" t="str">
        <f>HYPERLINK("http://twitter.com/download/android","Twitter for Android")</f>
        <v>Twitter for Android</v>
      </c>
      <c r="L1876" s="16">
        <v>916</v>
      </c>
      <c r="M1876" s="16">
        <v>775</v>
      </c>
      <c r="N1876" s="16">
        <v>1</v>
      </c>
      <c r="O1876" s="17"/>
      <c r="P1876" s="18">
        <v>42050.684710648144</v>
      </c>
      <c r="Q1876" s="7" t="s">
        <v>80</v>
      </c>
      <c r="R1876" s="7" t="s">
        <v>13357</v>
      </c>
      <c r="S1876" s="15"/>
      <c r="T1876" s="8"/>
      <c r="U1876" s="19" t="str">
        <f>HYPERLINK("https://pbs.twimg.com/profile_images/1124130936659042306/5v9TBBwo.jpg","View")</f>
        <v>View</v>
      </c>
      <c r="V1876" s="8"/>
      <c r="W1876" s="8"/>
      <c r="X1876" s="8"/>
      <c r="Y1876" s="8"/>
      <c r="Z1876" s="8"/>
    </row>
    <row r="1877" spans="1:26" ht="12.75">
      <c r="A1877" s="11">
        <v>43747.275740740741</v>
      </c>
      <c r="B1877" s="12" t="str">
        <f>HYPERLINK("https://twitter.com/Berkanboss123","@Berkanboss123")</f>
        <v>@Berkanboss123</v>
      </c>
      <c r="C1877" s="7" t="s">
        <v>13358</v>
      </c>
      <c r="D1877" s="7" t="s">
        <v>13359</v>
      </c>
      <c r="E1877" s="12" t="str">
        <f>HYPERLINK("https://twitter.com/Berkanboss123/status/1181926553577574400","1181926553577574400")</f>
        <v>1181926553577574400</v>
      </c>
      <c r="F1877" s="15"/>
      <c r="G1877" s="14" t="s">
        <v>13360</v>
      </c>
      <c r="H1877" s="8"/>
      <c r="I1877" s="15">
        <v>0</v>
      </c>
      <c r="J1877" s="15">
        <v>0</v>
      </c>
      <c r="K1877" s="12" t="str">
        <f>HYPERLINK("http://twitter.com/download/android","Twitter for Android")</f>
        <v>Twitter for Android</v>
      </c>
      <c r="L1877" s="16">
        <v>14</v>
      </c>
      <c r="M1877" s="16">
        <v>133</v>
      </c>
      <c r="N1877" s="16">
        <v>0</v>
      </c>
      <c r="O1877" s="17"/>
      <c r="P1877" s="18">
        <v>43685.177766203706</v>
      </c>
      <c r="Q1877" s="7" t="s">
        <v>13361</v>
      </c>
      <c r="R1877" s="7" t="s">
        <v>13358</v>
      </c>
      <c r="S1877" s="7"/>
      <c r="T1877" s="8"/>
      <c r="U1877" s="19" t="str">
        <f>HYPERLINK("https://pbs.twimg.com/profile_images/1165967403341295617/07u_zMTk.jpg","View")</f>
        <v>View</v>
      </c>
      <c r="V1877" s="8"/>
      <c r="W1877" s="8"/>
      <c r="X1877" s="8"/>
      <c r="Y1877" s="8"/>
      <c r="Z1877" s="8"/>
    </row>
    <row r="1878" spans="1:26" ht="12.75">
      <c r="A1878" s="11">
        <v>43747.275729166664</v>
      </c>
      <c r="B1878" s="12" t="str">
        <f>HYPERLINK("https://twitter.com/en_alen","@en_alen")</f>
        <v>@en_alen</v>
      </c>
      <c r="C1878" s="13" t="s">
        <v>13362</v>
      </c>
      <c r="D1878" s="13" t="s">
        <v>13363</v>
      </c>
      <c r="E1878" s="12" t="str">
        <f>HYPERLINK("https://twitter.com/en_alen/status/1181926551929180162","1181926551929180162")</f>
        <v>1181926551929180162</v>
      </c>
      <c r="F1878" s="8"/>
      <c r="G1878" s="14" t="s">
        <v>13364</v>
      </c>
      <c r="H1878" s="8"/>
      <c r="I1878" s="15">
        <v>1</v>
      </c>
      <c r="J1878" s="15">
        <v>6</v>
      </c>
      <c r="K1878" s="12" t="str">
        <f>HYPERLINK("http://twitter.com/download/android","Twitter for Android")</f>
        <v>Twitter for Android</v>
      </c>
      <c r="L1878" s="16">
        <v>259</v>
      </c>
      <c r="M1878" s="16">
        <v>245</v>
      </c>
      <c r="N1878" s="16">
        <v>2</v>
      </c>
      <c r="O1878" s="17"/>
      <c r="P1878" s="18">
        <v>43743.511608796296</v>
      </c>
      <c r="Q1878" s="7"/>
      <c r="R1878" s="13" t="s">
        <v>13365</v>
      </c>
      <c r="S1878" s="7"/>
      <c r="T1878" s="8"/>
      <c r="U1878" s="19" t="str">
        <f>HYPERLINK("https://pbs.twimg.com/profile_images/1180779377921007616/M1dsxLBK.jpg","View")</f>
        <v>View</v>
      </c>
      <c r="V1878" s="8"/>
      <c r="W1878" s="8"/>
      <c r="X1878" s="8"/>
      <c r="Y1878" s="8"/>
      <c r="Z1878" s="8"/>
    </row>
    <row r="1879" spans="1:26" ht="12.75">
      <c r="A1879" s="11">
        <v>43747.275729166664</v>
      </c>
      <c r="B1879" s="12" t="str">
        <f>HYPERLINK("https://twitter.com/emreekorucu","@emreekorucu")</f>
        <v>@emreekorucu</v>
      </c>
      <c r="C1879" s="7" t="s">
        <v>13366</v>
      </c>
      <c r="D1879" s="7" t="s">
        <v>1994</v>
      </c>
      <c r="E1879" s="12" t="str">
        <f>HYPERLINK("https://twitter.com/emreekorucu/status/1181926549731336193","1181926549731336193")</f>
        <v>1181926549731336193</v>
      </c>
      <c r="F1879" s="8"/>
      <c r="G1879" s="14" t="s">
        <v>13367</v>
      </c>
      <c r="H1879" s="8"/>
      <c r="I1879" s="15">
        <v>0</v>
      </c>
      <c r="J1879" s="15">
        <v>1</v>
      </c>
      <c r="K1879" s="12" t="str">
        <f>HYPERLINK("http://twitter.com/download/iphone","Twitter for iPhone")</f>
        <v>Twitter for iPhone</v>
      </c>
      <c r="L1879" s="16">
        <v>1156</v>
      </c>
      <c r="M1879" s="16">
        <v>469</v>
      </c>
      <c r="N1879" s="16">
        <v>8</v>
      </c>
      <c r="O1879" s="17"/>
      <c r="P1879" s="18">
        <v>40154.511932870373</v>
      </c>
      <c r="Q1879" s="7" t="s">
        <v>13368</v>
      </c>
      <c r="R1879" s="7" t="s">
        <v>13369</v>
      </c>
      <c r="S1879" s="7"/>
      <c r="T1879" s="8"/>
      <c r="U1879" s="19" t="str">
        <f>HYPERLINK("https://pbs.twimg.com/profile_images/1069699741750038528/iHeiNWpr.jpg","View")</f>
        <v>View</v>
      </c>
      <c r="V1879" s="8"/>
      <c r="W1879" s="8"/>
      <c r="X1879" s="8"/>
      <c r="Y1879" s="8"/>
      <c r="Z1879" s="8"/>
    </row>
    <row r="1880" spans="1:26" ht="12.75">
      <c r="A1880" s="11">
        <v>43747.275729166664</v>
      </c>
      <c r="B1880" s="12" t="str">
        <f>HYPERLINK("https://twitter.com/FztibrahimCagri","@FztibrahimCagri")</f>
        <v>@FztibrahimCagri</v>
      </c>
      <c r="C1880" s="7" t="s">
        <v>13370</v>
      </c>
      <c r="D1880" s="7" t="s">
        <v>13371</v>
      </c>
      <c r="E1880" s="12" t="str">
        <f>HYPERLINK("https://twitter.com/FztibrahimCagri/status/1181926549244829698","1181926549244829698")</f>
        <v>1181926549244829698</v>
      </c>
      <c r="F1880" s="8"/>
      <c r="G1880" s="15"/>
      <c r="H1880" s="8"/>
      <c r="I1880" s="15">
        <v>0</v>
      </c>
      <c r="J1880" s="15">
        <v>0</v>
      </c>
      <c r="K1880" s="12" t="str">
        <f>HYPERLINK("http://twitter.com/download/android","Twitter for Android")</f>
        <v>Twitter for Android</v>
      </c>
      <c r="L1880" s="16">
        <v>55</v>
      </c>
      <c r="M1880" s="16">
        <v>140</v>
      </c>
      <c r="N1880" s="16">
        <v>0</v>
      </c>
      <c r="O1880" s="17"/>
      <c r="P1880" s="18">
        <v>43107.356134259258</v>
      </c>
      <c r="Q1880" s="7" t="s">
        <v>11017</v>
      </c>
      <c r="R1880" s="7"/>
      <c r="S1880" s="15"/>
      <c r="T1880" s="8"/>
      <c r="U1880" s="19" t="str">
        <f>HYPERLINK("https://pbs.twimg.com/profile_images/990718238806953987/ig4cJBlF.jpg","View")</f>
        <v>View</v>
      </c>
      <c r="V1880" s="8"/>
      <c r="W1880" s="8"/>
      <c r="X1880" s="8"/>
      <c r="Y1880" s="8"/>
      <c r="Z1880" s="8"/>
    </row>
    <row r="1881" spans="1:26" ht="12.75">
      <c r="A1881" s="11">
        <v>43747.275717592594</v>
      </c>
      <c r="B1881" s="12" t="str">
        <f>HYPERLINK("https://twitter.com/aishajkholic","@aishajkholic")</f>
        <v>@aishajkholic</v>
      </c>
      <c r="C1881" s="7" t="s">
        <v>13372</v>
      </c>
      <c r="D1881" s="7" t="s">
        <v>13373</v>
      </c>
      <c r="E1881" s="12" t="str">
        <f>HYPERLINK("https://twitter.com/aishajkholic/status/1181926547189571585","1181926547189571585")</f>
        <v>1181926547189571585</v>
      </c>
      <c r="F1881" s="8"/>
      <c r="G1881" s="15"/>
      <c r="H1881" s="8"/>
      <c r="I1881" s="15">
        <v>0</v>
      </c>
      <c r="J1881" s="15">
        <v>0</v>
      </c>
      <c r="K1881" s="12" t="str">
        <f>HYPERLINK("https://mobile.twitter.com","Twitter Web App")</f>
        <v>Twitter Web App</v>
      </c>
      <c r="L1881" s="16">
        <v>41</v>
      </c>
      <c r="M1881" s="16">
        <v>85</v>
      </c>
      <c r="N1881" s="16">
        <v>0</v>
      </c>
      <c r="O1881" s="17"/>
      <c r="P1881" s="18">
        <v>43601.59783564815</v>
      </c>
      <c r="Q1881" s="7"/>
      <c r="R1881" s="7" t="s">
        <v>13374</v>
      </c>
      <c r="S1881" s="7"/>
      <c r="T1881" s="8"/>
      <c r="U1881" s="19" t="str">
        <f>HYPERLINK("https://pbs.twimg.com/profile_images/1161348956112216067/U3BRZiNA.jpg","View")</f>
        <v>View</v>
      </c>
      <c r="V1881" s="8"/>
      <c r="W1881" s="8"/>
      <c r="X1881" s="8"/>
      <c r="Y1881" s="8"/>
      <c r="Z1881" s="8"/>
    </row>
    <row r="1882" spans="1:26" ht="12.75">
      <c r="A1882" s="11">
        <v>43747.275717592594</v>
      </c>
      <c r="B1882" s="12" t="str">
        <f>HYPERLINK("https://twitter.com/celalkocogluu","@celalkocogluu")</f>
        <v>@celalkocogluu</v>
      </c>
      <c r="C1882" s="7" t="s">
        <v>13375</v>
      </c>
      <c r="D1882" s="7" t="s">
        <v>13376</v>
      </c>
      <c r="E1882" s="12" t="str">
        <f>HYPERLINK("https://twitter.com/celalkocogluu/status/1181926546979917826","1181926546979917826")</f>
        <v>1181926546979917826</v>
      </c>
      <c r="F1882" s="8"/>
      <c r="G1882" s="14" t="s">
        <v>13377</v>
      </c>
      <c r="H1882" s="8"/>
      <c r="I1882" s="15">
        <v>0</v>
      </c>
      <c r="J1882" s="15">
        <v>1</v>
      </c>
      <c r="K1882" s="12" t="str">
        <f>HYPERLINK("http://twitter.com/download/iphone","Twitter for iPhone")</f>
        <v>Twitter for iPhone</v>
      </c>
      <c r="L1882" s="16">
        <v>341</v>
      </c>
      <c r="M1882" s="16">
        <v>215</v>
      </c>
      <c r="N1882" s="16">
        <v>0</v>
      </c>
      <c r="O1882" s="17"/>
      <c r="P1882" s="18">
        <v>40937.468402777777</v>
      </c>
      <c r="Q1882" s="7"/>
      <c r="R1882" s="7"/>
      <c r="S1882" s="7"/>
      <c r="T1882" s="8"/>
      <c r="U1882" s="19" t="str">
        <f>HYPERLINK("https://pbs.twimg.com/profile_images/1180949938840260611/5j15j7sf.jpg","View")</f>
        <v>View</v>
      </c>
      <c r="V1882" s="8"/>
      <c r="W1882" s="8"/>
      <c r="X1882" s="8"/>
      <c r="Y1882" s="8"/>
      <c r="Z1882" s="8"/>
    </row>
    <row r="1883" spans="1:26" ht="12.75">
      <c r="A1883" s="11">
        <v>43747.275694444441</v>
      </c>
      <c r="B1883" s="12" t="str">
        <f>HYPERLINK("https://twitter.com/Tardis62956899","@Tardis62956899")</f>
        <v>@Tardis62956899</v>
      </c>
      <c r="C1883" s="7" t="s">
        <v>13378</v>
      </c>
      <c r="D1883" s="7" t="s">
        <v>13379</v>
      </c>
      <c r="E1883" s="12" t="str">
        <f>HYPERLINK("https://twitter.com/Tardis62956899/status/1181926536536104962","1181926536536104962")</f>
        <v>1181926536536104962</v>
      </c>
      <c r="F1883" s="8"/>
      <c r="G1883" s="7"/>
      <c r="H1883" s="8"/>
      <c r="I1883" s="15">
        <v>0</v>
      </c>
      <c r="J1883" s="15">
        <v>0</v>
      </c>
      <c r="K1883" s="12" t="str">
        <f>HYPERLINK("https://mobile.twitter.com","Twitter Web App")</f>
        <v>Twitter Web App</v>
      </c>
      <c r="L1883" s="16">
        <v>26</v>
      </c>
      <c r="M1883" s="16">
        <v>67</v>
      </c>
      <c r="N1883" s="16">
        <v>0</v>
      </c>
      <c r="O1883" s="17"/>
      <c r="P1883" s="18">
        <v>42562.056446759263</v>
      </c>
      <c r="Q1883" s="7" t="s">
        <v>13380</v>
      </c>
      <c r="R1883" s="7" t="s">
        <v>13381</v>
      </c>
      <c r="S1883" s="15"/>
      <c r="T1883" s="8"/>
      <c r="U1883" s="19" t="str">
        <f>HYPERLINK("https://pbs.twimg.com/profile_images/1137432031149907968/fvmbgJR5.jpg","View")</f>
        <v>View</v>
      </c>
      <c r="V1883" s="8"/>
      <c r="W1883" s="8"/>
      <c r="X1883" s="8"/>
      <c r="Y1883" s="8"/>
      <c r="Z1883" s="8"/>
    </row>
    <row r="1884" spans="1:26" ht="12.75">
      <c r="A1884" s="11">
        <v>43747.275682870371</v>
      </c>
      <c r="B1884" s="12" t="str">
        <f>HYPERLINK("https://twitter.com/olcaysanal","@olcaysanal")</f>
        <v>@olcaysanal</v>
      </c>
      <c r="C1884" s="7" t="s">
        <v>13382</v>
      </c>
      <c r="D1884" s="7" t="s">
        <v>13383</v>
      </c>
      <c r="E1884" s="12" t="str">
        <f>HYPERLINK("https://twitter.com/olcaysanal/status/1181926535856570373","1181926535856570373")</f>
        <v>1181926535856570373</v>
      </c>
      <c r="F1884" s="8"/>
      <c r="G1884" s="7"/>
      <c r="H1884" s="8"/>
      <c r="I1884" s="15">
        <v>0</v>
      </c>
      <c r="J1884" s="15">
        <v>0</v>
      </c>
      <c r="K1884" s="12" t="str">
        <f>HYPERLINK("https://mobile.twitter.com","Twitter Web App")</f>
        <v>Twitter Web App</v>
      </c>
      <c r="L1884" s="16">
        <v>981</v>
      </c>
      <c r="M1884" s="16">
        <v>168</v>
      </c>
      <c r="N1884" s="16">
        <v>5</v>
      </c>
      <c r="O1884" s="17"/>
      <c r="P1884" s="18">
        <v>40856.581469907411</v>
      </c>
      <c r="Q1884" s="7" t="s">
        <v>8299</v>
      </c>
      <c r="R1884" s="7" t="s">
        <v>13384</v>
      </c>
      <c r="S1884" s="14" t="s">
        <v>13385</v>
      </c>
      <c r="T1884" s="8"/>
      <c r="U1884" s="19" t="str">
        <f>HYPERLINK("https://pbs.twimg.com/profile_images/1181733674741571584/iNSnqMYY.jpg","View")</f>
        <v>View</v>
      </c>
      <c r="V1884" s="8"/>
      <c r="W1884" s="8"/>
      <c r="X1884" s="8"/>
      <c r="Y1884" s="8"/>
      <c r="Z1884" s="8"/>
    </row>
    <row r="1885" spans="1:26" ht="12.75">
      <c r="A1885" s="11">
        <v>43747.275682870371</v>
      </c>
      <c r="B1885" s="12" t="str">
        <f>HYPERLINK("https://twitter.com/Sahanmhmt06","@Sahanmhmt06")</f>
        <v>@Sahanmhmt06</v>
      </c>
      <c r="C1885" s="7" t="s">
        <v>13386</v>
      </c>
      <c r="D1885" s="7" t="s">
        <v>13387</v>
      </c>
      <c r="E1885" s="12" t="str">
        <f>HYPERLINK("https://twitter.com/Sahanmhmt06/status/1181926532551495683","1181926532551495683")</f>
        <v>1181926532551495683</v>
      </c>
      <c r="F1885" s="8"/>
      <c r="G1885" s="14" t="s">
        <v>13388</v>
      </c>
      <c r="H1885" s="8"/>
      <c r="I1885" s="15">
        <v>0</v>
      </c>
      <c r="J1885" s="15">
        <v>0</v>
      </c>
      <c r="K1885" s="12" t="str">
        <f>HYPERLINK("http://twitter.com/download/android","Twitter for Android")</f>
        <v>Twitter for Android</v>
      </c>
      <c r="L1885" s="16">
        <v>53</v>
      </c>
      <c r="M1885" s="16">
        <v>200</v>
      </c>
      <c r="N1885" s="16">
        <v>0</v>
      </c>
      <c r="O1885" s="17"/>
      <c r="P1885" s="18">
        <v>42798.192766203705</v>
      </c>
      <c r="Q1885" s="7" t="s">
        <v>1150</v>
      </c>
      <c r="R1885" s="7" t="s">
        <v>13389</v>
      </c>
      <c r="S1885" s="7"/>
      <c r="T1885" s="8"/>
      <c r="U1885" s="19" t="str">
        <f>HYPERLINK("https://pbs.twimg.com/profile_images/1172583797998718976/RWdXD7dT.jpg","View")</f>
        <v>View</v>
      </c>
      <c r="V1885" s="8"/>
      <c r="W1885" s="8"/>
      <c r="X1885" s="8"/>
      <c r="Y1885" s="8"/>
      <c r="Z1885" s="8"/>
    </row>
    <row r="1886" spans="1:26" ht="12.75">
      <c r="A1886" s="11">
        <v>43747.275671296295</v>
      </c>
      <c r="B1886" s="12" t="str">
        <f>HYPERLINK("https://twitter.com/HakanTo54124949","@HakanTo54124949")</f>
        <v>@HakanTo54124949</v>
      </c>
      <c r="C1886" s="7" t="s">
        <v>13390</v>
      </c>
      <c r="D1886" s="7" t="s">
        <v>13391</v>
      </c>
      <c r="E1886" s="12" t="str">
        <f>HYPERLINK("https://twitter.com/HakanTo54124949/status/1181926530043260928","1181926530043260928")</f>
        <v>1181926530043260928</v>
      </c>
      <c r="F1886" s="14" t="s">
        <v>13392</v>
      </c>
      <c r="G1886" s="14" t="s">
        <v>13393</v>
      </c>
      <c r="H1886" s="8"/>
      <c r="I1886" s="15">
        <v>0</v>
      </c>
      <c r="J1886" s="15">
        <v>1</v>
      </c>
      <c r="K1886" s="12" t="str">
        <f>HYPERLINK("https://mobile.twitter.com","Twitter Web App")</f>
        <v>Twitter Web App</v>
      </c>
      <c r="L1886" s="16">
        <v>3</v>
      </c>
      <c r="M1886" s="16">
        <v>19</v>
      </c>
      <c r="N1886" s="16">
        <v>0</v>
      </c>
      <c r="O1886" s="17"/>
      <c r="P1886" s="18">
        <v>43586.06287037037</v>
      </c>
      <c r="Q1886" s="7" t="s">
        <v>200</v>
      </c>
      <c r="R1886" s="7" t="s">
        <v>13394</v>
      </c>
      <c r="S1886" s="7"/>
      <c r="T1886" s="8"/>
      <c r="U1886" s="19" t="str">
        <f>HYPERLINK("https://pbs.twimg.com/profile_images/1123505486656151552/pHnxp9dQ.jpg","View")</f>
        <v>View</v>
      </c>
      <c r="V1886" s="8"/>
      <c r="W1886" s="8"/>
      <c r="X1886" s="8"/>
      <c r="Y1886" s="8"/>
      <c r="Z1886" s="8"/>
    </row>
    <row r="1887" spans="1:26" ht="12.75">
      <c r="A1887" s="11">
        <v>43747.275659722218</v>
      </c>
      <c r="B1887" s="12" t="str">
        <f>HYPERLINK("https://twitter.com/ahmetkdgn","@ahmetkdgn")</f>
        <v>@ahmetkdgn</v>
      </c>
      <c r="C1887" s="7" t="s">
        <v>13395</v>
      </c>
      <c r="D1887" s="7" t="s">
        <v>13396</v>
      </c>
      <c r="E1887" s="12" t="str">
        <f>HYPERLINK("https://twitter.com/ahmetkdgn/status/1181926524590710786","1181926524590710786")</f>
        <v>1181926524590710786</v>
      </c>
      <c r="F1887" s="8"/>
      <c r="G1887" s="15"/>
      <c r="H1887" s="8"/>
      <c r="I1887" s="15">
        <v>0</v>
      </c>
      <c r="J1887" s="15">
        <v>0</v>
      </c>
      <c r="K1887" s="12" t="str">
        <f>HYPERLINK("http://twitter.com/download/iphone","Twitter for iPhone")</f>
        <v>Twitter for iPhone</v>
      </c>
      <c r="L1887" s="16">
        <v>138</v>
      </c>
      <c r="M1887" s="16">
        <v>225</v>
      </c>
      <c r="N1887" s="16">
        <v>0</v>
      </c>
      <c r="O1887" s="17"/>
      <c r="P1887" s="18">
        <v>40682.094236111108</v>
      </c>
      <c r="Q1887" s="7"/>
      <c r="R1887" s="7" t="s">
        <v>13397</v>
      </c>
      <c r="S1887" s="7"/>
      <c r="T1887" s="8"/>
      <c r="U1887" s="19" t="str">
        <f>HYPERLINK("https://pbs.twimg.com/profile_images/1152659752406663170/A3d5IWz2.jpg","View")</f>
        <v>View</v>
      </c>
      <c r="V1887" s="8"/>
      <c r="W1887" s="8"/>
      <c r="X1887" s="8"/>
      <c r="Y1887" s="8"/>
      <c r="Z1887" s="8"/>
    </row>
    <row r="1888" spans="1:26" ht="12.75">
      <c r="A1888" s="11">
        <v>43747.275636574079</v>
      </c>
      <c r="B1888" s="12" t="str">
        <f>HYPERLINK("https://twitter.com/durmudeniz","@durmudeniz")</f>
        <v>@durmudeniz</v>
      </c>
      <c r="C1888" s="7" t="s">
        <v>13398</v>
      </c>
      <c r="D1888" s="7" t="s">
        <v>3843</v>
      </c>
      <c r="E1888" s="12" t="str">
        <f>HYPERLINK("https://twitter.com/durmudeniz/status/1181926518752256000","1181926518752256000")</f>
        <v>1181926518752256000</v>
      </c>
      <c r="F1888" s="8"/>
      <c r="G1888" s="14" t="s">
        <v>13399</v>
      </c>
      <c r="H1888" s="8"/>
      <c r="I1888" s="15">
        <v>0</v>
      </c>
      <c r="J1888" s="15">
        <v>0</v>
      </c>
      <c r="K1888" s="12" t="str">
        <f>HYPERLINK("http://twitter.com/download/iphone","Twitter for iPhone")</f>
        <v>Twitter for iPhone</v>
      </c>
      <c r="L1888" s="16">
        <v>14</v>
      </c>
      <c r="M1888" s="16">
        <v>138</v>
      </c>
      <c r="N1888" s="16">
        <v>0</v>
      </c>
      <c r="O1888" s="17"/>
      <c r="P1888" s="18">
        <v>40751.932928240742</v>
      </c>
      <c r="Q1888" s="7"/>
      <c r="R1888" s="7"/>
      <c r="S1888" s="7"/>
      <c r="T1888" s="8"/>
      <c r="U1888" s="19" t="str">
        <f>HYPERLINK("https://pbs.twimg.com/profile_images/803923806112911360/y1AsNzgw.jpg","View")</f>
        <v>View</v>
      </c>
      <c r="V1888" s="8"/>
      <c r="W1888" s="8"/>
      <c r="X1888" s="8"/>
      <c r="Y1888" s="8"/>
      <c r="Z1888" s="8"/>
    </row>
    <row r="1889" spans="1:26" ht="12.75">
      <c r="A1889" s="11">
        <v>43747.275636574079</v>
      </c>
      <c r="B1889" s="12" t="str">
        <f>HYPERLINK("https://twitter.com/mbbey05","@mbbey05")</f>
        <v>@mbbey05</v>
      </c>
      <c r="C1889" s="7" t="s">
        <v>13400</v>
      </c>
      <c r="D1889" s="7" t="s">
        <v>13401</v>
      </c>
      <c r="E1889" s="12" t="str">
        <f>HYPERLINK("https://twitter.com/mbbey05/status/1181926517149974528","1181926517149974528")</f>
        <v>1181926517149974528</v>
      </c>
      <c r="F1889" s="8"/>
      <c r="G1889" s="14" t="s">
        <v>13402</v>
      </c>
      <c r="H1889" s="8"/>
      <c r="I1889" s="15">
        <v>0</v>
      </c>
      <c r="J1889" s="15">
        <v>0</v>
      </c>
      <c r="K1889" s="12" t="str">
        <f>HYPERLINK("http://twitter.com/download/android","Twitter for Android")</f>
        <v>Twitter for Android</v>
      </c>
      <c r="L1889" s="16">
        <v>29</v>
      </c>
      <c r="M1889" s="16">
        <v>153</v>
      </c>
      <c r="N1889" s="16">
        <v>0</v>
      </c>
      <c r="O1889" s="17"/>
      <c r="P1889" s="18">
        <v>41428.175555555557</v>
      </c>
      <c r="Q1889" s="7"/>
      <c r="R1889" s="7" t="s">
        <v>13403</v>
      </c>
      <c r="S1889" s="7"/>
      <c r="T1889" s="8"/>
      <c r="U1889" s="19" t="str">
        <f>HYPERLINK("https://pbs.twimg.com/profile_images/889165665390735361/b-u2Z3br.jpg","View")</f>
        <v>View</v>
      </c>
      <c r="V1889" s="8"/>
      <c r="W1889" s="8"/>
      <c r="X1889" s="8"/>
      <c r="Y1889" s="8"/>
      <c r="Z1889" s="8"/>
    </row>
    <row r="1890" spans="1:26" ht="12.75">
      <c r="A1890" s="11">
        <v>43747.275636574079</v>
      </c>
      <c r="B1890" s="12" t="str">
        <f>HYPERLINK("https://twitter.com/RJ_Ahmethan","@RJ_Ahmethan")</f>
        <v>@RJ_Ahmethan</v>
      </c>
      <c r="C1890" s="7" t="s">
        <v>13404</v>
      </c>
      <c r="D1890" s="7" t="s">
        <v>13405</v>
      </c>
      <c r="E1890" s="12" t="str">
        <f>HYPERLINK("https://twitter.com/RJ_Ahmethan/status/1181926515711365120","1181926515711365120")</f>
        <v>1181926515711365120</v>
      </c>
      <c r="F1890" s="8"/>
      <c r="G1890" s="14" t="s">
        <v>13406</v>
      </c>
      <c r="H1890" s="8"/>
      <c r="I1890" s="15">
        <v>1</v>
      </c>
      <c r="J1890" s="15">
        <v>3</v>
      </c>
      <c r="K1890" s="12" t="str">
        <f>HYPERLINK("https://mobile.twitter.com","Twitter Web App")</f>
        <v>Twitter Web App</v>
      </c>
      <c r="L1890" s="16">
        <v>1354</v>
      </c>
      <c r="M1890" s="16">
        <v>1295</v>
      </c>
      <c r="N1890" s="16">
        <v>1</v>
      </c>
      <c r="O1890" s="17"/>
      <c r="P1890" s="18">
        <v>41141.358807870369</v>
      </c>
      <c r="Q1890" s="7" t="s">
        <v>13407</v>
      </c>
      <c r="R1890" s="7" t="s">
        <v>13408</v>
      </c>
      <c r="S1890" s="7"/>
      <c r="T1890" s="8"/>
      <c r="U1890" s="19" t="str">
        <f>HYPERLINK("https://pbs.twimg.com/profile_images/1031873732283957249/6F8MkYbk.jpg","View")</f>
        <v>View</v>
      </c>
      <c r="V1890" s="8"/>
      <c r="W1890" s="8"/>
      <c r="X1890" s="8"/>
      <c r="Y1890" s="8"/>
      <c r="Z1890" s="8"/>
    </row>
    <row r="1891" spans="1:26" ht="12.75">
      <c r="A1891" s="11">
        <v>43747.275636574079</v>
      </c>
      <c r="B1891" s="12" t="str">
        <f>HYPERLINK("https://twitter.com/DagcVahap","@DagcVahap")</f>
        <v>@DagcVahap</v>
      </c>
      <c r="C1891" s="7" t="s">
        <v>13409</v>
      </c>
      <c r="D1891" s="7" t="s">
        <v>13410</v>
      </c>
      <c r="E1891" s="12" t="str">
        <f>HYPERLINK("https://twitter.com/DagcVahap/status/1181926515258380288","1181926515258380288")</f>
        <v>1181926515258380288</v>
      </c>
      <c r="F1891" s="8"/>
      <c r="G1891" s="15"/>
      <c r="H1891" s="8"/>
      <c r="I1891" s="15">
        <v>0</v>
      </c>
      <c r="J1891" s="15">
        <v>0</v>
      </c>
      <c r="K1891" s="12" t="str">
        <f>HYPERLINK("http://twitter.com/download/android","Twitter for Android")</f>
        <v>Twitter for Android</v>
      </c>
      <c r="L1891" s="16">
        <v>46</v>
      </c>
      <c r="M1891" s="16">
        <v>70</v>
      </c>
      <c r="N1891" s="16">
        <v>0</v>
      </c>
      <c r="O1891" s="17"/>
      <c r="P1891" s="18">
        <v>42620.403553240743</v>
      </c>
      <c r="Q1891" s="7" t="s">
        <v>200</v>
      </c>
      <c r="R1891" s="7" t="s">
        <v>13411</v>
      </c>
      <c r="S1891" s="7"/>
      <c r="T1891" s="8"/>
      <c r="U1891" s="19" t="str">
        <f>HYPERLINK("https://pbs.twimg.com/profile_images/1127763328204443648/MeIDutv3.jpg","View")</f>
        <v>View</v>
      </c>
      <c r="V1891" s="8"/>
      <c r="W1891" s="8"/>
      <c r="X1891" s="8"/>
      <c r="Y1891" s="8"/>
      <c r="Z1891" s="8"/>
    </row>
    <row r="1892" spans="1:26" ht="12.75">
      <c r="A1892" s="11">
        <v>43747.275613425925</v>
      </c>
      <c r="B1892" s="12" t="str">
        <f>HYPERLINK("https://twitter.com/KrbltNese","@KrbltNese")</f>
        <v>@KrbltNese</v>
      </c>
      <c r="C1892" s="7" t="s">
        <v>13412</v>
      </c>
      <c r="D1892" s="7" t="s">
        <v>13413</v>
      </c>
      <c r="E1892" s="12" t="str">
        <f>HYPERLINK("https://twitter.com/KrbltNese/status/1181926509700947968","1181926509700947968")</f>
        <v>1181926509700947968</v>
      </c>
      <c r="F1892" s="14" t="s">
        <v>9143</v>
      </c>
      <c r="G1892" s="15"/>
      <c r="H1892" s="8"/>
      <c r="I1892" s="15">
        <v>1</v>
      </c>
      <c r="J1892" s="15">
        <v>1</v>
      </c>
      <c r="K1892" s="12" t="str">
        <f>HYPERLINK("http://twitter.com/download/iphone","Twitter for iPhone")</f>
        <v>Twitter for iPhone</v>
      </c>
      <c r="L1892" s="16">
        <v>779</v>
      </c>
      <c r="M1892" s="16">
        <v>273</v>
      </c>
      <c r="N1892" s="16">
        <v>5</v>
      </c>
      <c r="O1892" s="17"/>
      <c r="P1892" s="18">
        <v>40470.278171296297</v>
      </c>
      <c r="Q1892" s="7" t="s">
        <v>13414</v>
      </c>
      <c r="R1892" s="7"/>
      <c r="S1892" s="7"/>
      <c r="T1892" s="8"/>
      <c r="U1892" s="19" t="str">
        <f>HYPERLINK("https://pbs.twimg.com/profile_images/1172454040921366529/D8atrRpi.jpg","View")</f>
        <v>View</v>
      </c>
      <c r="V1892" s="8"/>
      <c r="W1892" s="8"/>
      <c r="X1892" s="8"/>
      <c r="Y1892" s="8"/>
      <c r="Z1892" s="8"/>
    </row>
    <row r="1893" spans="1:26" ht="12.75">
      <c r="A1893" s="11">
        <v>43747.275601851856</v>
      </c>
      <c r="B1893" s="12" t="str">
        <f>HYPERLINK("https://twitter.com/hancerk1992","@hancerk1992")</f>
        <v>@hancerk1992</v>
      </c>
      <c r="C1893" s="7" t="s">
        <v>13415</v>
      </c>
      <c r="D1893" s="7" t="s">
        <v>13416</v>
      </c>
      <c r="E1893" s="12" t="str">
        <f>HYPERLINK("https://twitter.com/hancerk1992/status/1181926506060222464","1181926506060222464")</f>
        <v>1181926506060222464</v>
      </c>
      <c r="F1893" s="8"/>
      <c r="G1893" s="7"/>
      <c r="H1893" s="8"/>
      <c r="I1893" s="15">
        <v>1</v>
      </c>
      <c r="J1893" s="15">
        <v>2</v>
      </c>
      <c r="K1893" s="12" t="str">
        <f>HYPERLINK("http://twitter.com/download/android","Twitter for Android")</f>
        <v>Twitter for Android</v>
      </c>
      <c r="L1893" s="16">
        <v>2444</v>
      </c>
      <c r="M1893" s="16">
        <v>2663</v>
      </c>
      <c r="N1893" s="16">
        <v>2</v>
      </c>
      <c r="O1893" s="17"/>
      <c r="P1893" s="18">
        <v>41523.654016203705</v>
      </c>
      <c r="Q1893" s="7" t="s">
        <v>80</v>
      </c>
      <c r="R1893" s="7"/>
      <c r="S1893" s="14" t="s">
        <v>13417</v>
      </c>
      <c r="T1893" s="8"/>
      <c r="U1893" s="19" t="str">
        <f>HYPERLINK("https://pbs.twimg.com/profile_images/1179515367452004359/kLJmaTmZ.jpg","View")</f>
        <v>View</v>
      </c>
      <c r="V1893" s="8"/>
      <c r="W1893" s="8"/>
      <c r="X1893" s="8"/>
      <c r="Y1893" s="8"/>
      <c r="Z1893" s="8"/>
    </row>
    <row r="1894" spans="1:26" ht="12.75">
      <c r="A1894" s="11">
        <v>43747.275578703702</v>
      </c>
      <c r="B1894" s="12" t="str">
        <f>HYPERLINK("https://twitter.com/ELMURADO","@ELMURADO")</f>
        <v>@ELMURADO</v>
      </c>
      <c r="C1894" s="7" t="s">
        <v>13418</v>
      </c>
      <c r="D1894" s="7" t="s">
        <v>13419</v>
      </c>
      <c r="E1894" s="12" t="str">
        <f>HYPERLINK("https://twitter.com/ELMURADO/status/1181926497428398080","1181926497428398080")</f>
        <v>1181926497428398080</v>
      </c>
      <c r="F1894" s="8"/>
      <c r="G1894" s="7"/>
      <c r="H1894" s="8"/>
      <c r="I1894" s="15">
        <v>0</v>
      </c>
      <c r="J1894" s="15">
        <v>0</v>
      </c>
      <c r="K1894" s="12" t="str">
        <f>HYPERLINK("http://twitter.com/download/iphone","Twitter for iPhone")</f>
        <v>Twitter for iPhone</v>
      </c>
      <c r="L1894" s="16">
        <v>19</v>
      </c>
      <c r="M1894" s="16">
        <v>27</v>
      </c>
      <c r="N1894" s="16">
        <v>0</v>
      </c>
      <c r="O1894" s="17"/>
      <c r="P1894" s="18">
        <v>41113.162905092591</v>
      </c>
      <c r="Q1894" s="7" t="s">
        <v>2026</v>
      </c>
      <c r="R1894" s="7" t="s">
        <v>1161</v>
      </c>
      <c r="S1894" s="7"/>
      <c r="T1894" s="8"/>
      <c r="U1894" s="19" t="str">
        <f>HYPERLINK("https://pbs.twimg.com/profile_images/444107653166678018/e9_E8EKE.jpeg","View")</f>
        <v>View</v>
      </c>
      <c r="V1894" s="8"/>
      <c r="W1894" s="8"/>
      <c r="X1894" s="8"/>
      <c r="Y1894" s="8"/>
      <c r="Z1894" s="8"/>
    </row>
    <row r="1895" spans="1:26" ht="12.75">
      <c r="A1895" s="11">
        <v>43747.275567129633</v>
      </c>
      <c r="B1895" s="12" t="str">
        <f>HYPERLINK("https://twitter.com/MuzHasan2","@MuzHasan2")</f>
        <v>@MuzHasan2</v>
      </c>
      <c r="C1895" s="7" t="s">
        <v>13420</v>
      </c>
      <c r="D1895" s="7" t="s">
        <v>13421</v>
      </c>
      <c r="E1895" s="12" t="str">
        <f>HYPERLINK("https://twitter.com/MuzHasan2/status/1181926492613296129","1181926492613296129")</f>
        <v>1181926492613296129</v>
      </c>
      <c r="F1895" s="8"/>
      <c r="G1895" s="7"/>
      <c r="H1895" s="8"/>
      <c r="I1895" s="15">
        <v>0</v>
      </c>
      <c r="J1895" s="15">
        <v>1</v>
      </c>
      <c r="K1895" s="12" t="str">
        <f>HYPERLINK("http://twitter.com/download/android","Twitter for Android")</f>
        <v>Twitter for Android</v>
      </c>
      <c r="L1895" s="16">
        <v>370</v>
      </c>
      <c r="M1895" s="16">
        <v>2668</v>
      </c>
      <c r="N1895" s="16">
        <v>0</v>
      </c>
      <c r="O1895" s="17"/>
      <c r="P1895" s="18">
        <v>42664.575370370367</v>
      </c>
      <c r="Q1895" s="7" t="s">
        <v>13422</v>
      </c>
      <c r="R1895" s="7" t="s">
        <v>13423</v>
      </c>
      <c r="S1895" s="7"/>
      <c r="T1895" s="8"/>
      <c r="U1895" s="19" t="str">
        <f>HYPERLINK("https://pbs.twimg.com/profile_images/1178243634174611456/IjB9nEGx.jpg","View")</f>
        <v>View</v>
      </c>
      <c r="V1895" s="8"/>
      <c r="W1895" s="8"/>
      <c r="X1895" s="8"/>
      <c r="Y1895" s="8"/>
      <c r="Z1895" s="8"/>
    </row>
    <row r="1896" spans="1:26" ht="12.75">
      <c r="A1896" s="11">
        <v>43747.275567129633</v>
      </c>
      <c r="B1896" s="12" t="str">
        <f>HYPERLINK("https://twitter.com/SefaAkyol0102","@SefaAkyol0102")</f>
        <v>@SefaAkyol0102</v>
      </c>
      <c r="C1896" s="7" t="s">
        <v>13424</v>
      </c>
      <c r="D1896" s="7" t="s">
        <v>13425</v>
      </c>
      <c r="E1896" s="12" t="str">
        <f>HYPERLINK("https://twitter.com/SefaAkyol0102/status/1181926491057262594","1181926491057262594")</f>
        <v>1181926491057262594</v>
      </c>
      <c r="F1896" s="8"/>
      <c r="G1896" s="14" t="s">
        <v>13426</v>
      </c>
      <c r="H1896" s="8"/>
      <c r="I1896" s="15">
        <v>0</v>
      </c>
      <c r="J1896" s="15">
        <v>4</v>
      </c>
      <c r="K1896" s="12" t="str">
        <f>HYPERLINK("http://twitter.com/download/iphone","Twitter for iPhone")</f>
        <v>Twitter for iPhone</v>
      </c>
      <c r="L1896" s="16">
        <v>450</v>
      </c>
      <c r="M1896" s="16">
        <v>479</v>
      </c>
      <c r="N1896" s="16">
        <v>1</v>
      </c>
      <c r="O1896" s="17"/>
      <c r="P1896" s="18">
        <v>40494.034814814819</v>
      </c>
      <c r="Q1896" s="7" t="s">
        <v>200</v>
      </c>
      <c r="R1896" s="7" t="s">
        <v>13427</v>
      </c>
      <c r="S1896" s="7"/>
      <c r="T1896" s="8"/>
      <c r="U1896" s="19" t="str">
        <f>HYPERLINK("https://pbs.twimg.com/profile_images/1180216134903222272/zPTflaYw.jpg","View")</f>
        <v>View</v>
      </c>
      <c r="V1896" s="8"/>
      <c r="W1896" s="8"/>
      <c r="X1896" s="8"/>
      <c r="Y1896" s="8"/>
      <c r="Z1896" s="8"/>
    </row>
    <row r="1897" spans="1:26" ht="12.75">
      <c r="A1897" s="11">
        <v>43747.275567129633</v>
      </c>
      <c r="B1897" s="12" t="str">
        <f>HYPERLINK("https://twitter.com/Pars560","@Pars560")</f>
        <v>@Pars560</v>
      </c>
      <c r="C1897" s="7" t="s">
        <v>13428</v>
      </c>
      <c r="D1897" s="7" t="s">
        <v>13429</v>
      </c>
      <c r="E1897" s="12" t="str">
        <f>HYPERLINK("https://twitter.com/Pars560/status/1181926490675527681","1181926490675527681")</f>
        <v>1181926490675527681</v>
      </c>
      <c r="F1897" s="8"/>
      <c r="G1897" s="15"/>
      <c r="H1897" s="8"/>
      <c r="I1897" s="15">
        <v>0</v>
      </c>
      <c r="J1897" s="15">
        <v>2</v>
      </c>
      <c r="K1897" s="12" t="str">
        <f>HYPERLINK("http://twitter.com/download/iphone","Twitter for iPhone")</f>
        <v>Twitter for iPhone</v>
      </c>
      <c r="L1897" s="16">
        <v>2769</v>
      </c>
      <c r="M1897" s="16">
        <v>235</v>
      </c>
      <c r="N1897" s="16">
        <v>0</v>
      </c>
      <c r="O1897" s="17"/>
      <c r="P1897" s="18">
        <v>41154.070844907408</v>
      </c>
      <c r="Q1897" s="7" t="s">
        <v>13430</v>
      </c>
      <c r="R1897" s="7" t="s">
        <v>13431</v>
      </c>
      <c r="S1897" s="7"/>
      <c r="T1897" s="8"/>
      <c r="U1897" s="19" t="str">
        <f>HYPERLINK("https://pbs.twimg.com/profile_images/1147581293577809920/ZzyXpaz2.jpg","View")</f>
        <v>View</v>
      </c>
      <c r="V1897" s="8"/>
      <c r="W1897" s="8"/>
      <c r="X1897" s="8"/>
      <c r="Y1897" s="8"/>
      <c r="Z1897" s="8"/>
    </row>
    <row r="1898" spans="1:26" ht="12.75">
      <c r="A1898" s="11">
        <v>43747.275543981479</v>
      </c>
      <c r="B1898" s="12" t="str">
        <f>HYPERLINK("https://twitter.com/SamuduSergei","@SamuduSergei")</f>
        <v>@SamuduSergei</v>
      </c>
      <c r="C1898" s="7" t="s">
        <v>13432</v>
      </c>
      <c r="D1898" s="7" t="s">
        <v>13433</v>
      </c>
      <c r="E1898" s="12" t="str">
        <f>HYPERLINK("https://twitter.com/SamuduSergei/status/1181926485608796162","1181926485608796162")</f>
        <v>1181926485608796162</v>
      </c>
      <c r="F1898" s="8"/>
      <c r="G1898" s="7"/>
      <c r="H1898" s="8"/>
      <c r="I1898" s="15">
        <v>0</v>
      </c>
      <c r="J1898" s="15">
        <v>0</v>
      </c>
      <c r="K1898" s="12" t="str">
        <f>HYPERLINK("http://twitter.com/download/android","Twitter for Android")</f>
        <v>Twitter for Android</v>
      </c>
      <c r="L1898" s="16">
        <v>0</v>
      </c>
      <c r="M1898" s="16">
        <v>19</v>
      </c>
      <c r="N1898" s="16">
        <v>0</v>
      </c>
      <c r="O1898" s="17"/>
      <c r="P1898" s="18">
        <v>43745.651979166665</v>
      </c>
      <c r="Q1898" s="7"/>
      <c r="R1898" s="7"/>
      <c r="S1898" s="7"/>
      <c r="T1898" s="8"/>
      <c r="U1898" s="20" t="s">
        <v>354</v>
      </c>
      <c r="V1898" s="8"/>
      <c r="W1898" s="8"/>
      <c r="X1898" s="8"/>
      <c r="Y1898" s="8"/>
      <c r="Z1898" s="8"/>
    </row>
    <row r="1899" spans="1:26" ht="12.75">
      <c r="A1899" s="11">
        <v>43747.275543981479</v>
      </c>
      <c r="B1899" s="12" t="str">
        <f>HYPERLINK("https://twitter.com/temel_erdogan","@temel_erdogan")</f>
        <v>@temel_erdogan</v>
      </c>
      <c r="C1899" s="7" t="s">
        <v>13434</v>
      </c>
      <c r="D1899" s="7" t="s">
        <v>13435</v>
      </c>
      <c r="E1899" s="12" t="str">
        <f>HYPERLINK("https://twitter.com/temel_erdogan/status/1181926484337926144","1181926484337926144")</f>
        <v>1181926484337926144</v>
      </c>
      <c r="F1899" s="8"/>
      <c r="G1899" s="7"/>
      <c r="H1899" s="8"/>
      <c r="I1899" s="15">
        <v>0</v>
      </c>
      <c r="J1899" s="15">
        <v>0</v>
      </c>
      <c r="K1899" s="12" t="str">
        <f>HYPERLINK("http://twitter.com/download/android","Twitter for Android")</f>
        <v>Twitter for Android</v>
      </c>
      <c r="L1899" s="16">
        <v>6</v>
      </c>
      <c r="M1899" s="16">
        <v>56</v>
      </c>
      <c r="N1899" s="16">
        <v>0</v>
      </c>
      <c r="O1899" s="17"/>
      <c r="P1899" s="18">
        <v>40974.281354166669</v>
      </c>
      <c r="Q1899" s="7"/>
      <c r="R1899" s="7"/>
      <c r="S1899" s="14" t="s">
        <v>13436</v>
      </c>
      <c r="T1899" s="8"/>
      <c r="U1899" s="19" t="str">
        <f>HYPERLINK("https://pbs.twimg.com/profile_images/1107293420207460352/IPKB_DGc.jpg","View")</f>
        <v>View</v>
      </c>
      <c r="V1899" s="8"/>
      <c r="W1899" s="8"/>
      <c r="X1899" s="8"/>
      <c r="Y1899" s="8"/>
      <c r="Z1899" s="8"/>
    </row>
    <row r="1900" spans="1:26" ht="12.75">
      <c r="A1900" s="11">
        <v>43747.275543981479</v>
      </c>
      <c r="B1900" s="12" t="str">
        <f>HYPERLINK("https://twitter.com/Kafakalemm","@Kafakalemm")</f>
        <v>@Kafakalemm</v>
      </c>
      <c r="C1900" s="7" t="s">
        <v>13437</v>
      </c>
      <c r="D1900" s="7" t="s">
        <v>13438</v>
      </c>
      <c r="E1900" s="12" t="str">
        <f>HYPERLINK("https://twitter.com/Kafakalemm/status/1181926482249240576","1181926482249240576")</f>
        <v>1181926482249240576</v>
      </c>
      <c r="F1900" s="14" t="s">
        <v>13439</v>
      </c>
      <c r="G1900" s="15"/>
      <c r="H1900" s="8"/>
      <c r="I1900" s="15">
        <v>0</v>
      </c>
      <c r="J1900" s="15">
        <v>0</v>
      </c>
      <c r="K1900" s="12" t="str">
        <f>HYPERLINK("http://twitter.com/download/android","Twitter for Android")</f>
        <v>Twitter for Android</v>
      </c>
      <c r="L1900" s="16">
        <v>941</v>
      </c>
      <c r="M1900" s="16">
        <v>1490</v>
      </c>
      <c r="N1900" s="16">
        <v>0</v>
      </c>
      <c r="O1900" s="17"/>
      <c r="P1900" s="18">
        <v>43398.32231481481</v>
      </c>
      <c r="Q1900" s="7"/>
      <c r="R1900" s="7"/>
      <c r="S1900" s="14" t="s">
        <v>13440</v>
      </c>
      <c r="T1900" s="8"/>
      <c r="U1900" s="19" t="str">
        <f>HYPERLINK("https://pbs.twimg.com/profile_images/1055476100913156100/q_xrpMdD.jpg","View")</f>
        <v>View</v>
      </c>
      <c r="V1900" s="8"/>
      <c r="W1900" s="8"/>
      <c r="X1900" s="8"/>
      <c r="Y1900" s="8"/>
      <c r="Z1900" s="8"/>
    </row>
    <row r="1901" spans="1:26" ht="12.75">
      <c r="A1901" s="11">
        <v>43747.27553240741</v>
      </c>
      <c r="B1901" s="12" t="str">
        <f>HYPERLINK("https://twitter.com/hapinto2","@hapinto2")</f>
        <v>@hapinto2</v>
      </c>
      <c r="C1901" s="7" t="s">
        <v>13441</v>
      </c>
      <c r="D1901" s="7" t="s">
        <v>13442</v>
      </c>
      <c r="E1901" s="12" t="str">
        <f>HYPERLINK("https://twitter.com/hapinto2/status/1181926478289735681","1181926478289735681")</f>
        <v>1181926478289735681</v>
      </c>
      <c r="F1901" s="14" t="s">
        <v>13443</v>
      </c>
      <c r="G1901" s="14" t="s">
        <v>13444</v>
      </c>
      <c r="H1901" s="8"/>
      <c r="I1901" s="15">
        <v>1</v>
      </c>
      <c r="J1901" s="15">
        <v>1</v>
      </c>
      <c r="K1901" s="12" t="str">
        <f>HYPERLINK("https://mobile.twitter.com","Twitter Web App")</f>
        <v>Twitter Web App</v>
      </c>
      <c r="L1901" s="16">
        <v>1688</v>
      </c>
      <c r="M1901" s="16">
        <v>233</v>
      </c>
      <c r="N1901" s="16">
        <v>83</v>
      </c>
      <c r="O1901" s="17"/>
      <c r="P1901" s="18">
        <v>40868.928252314814</v>
      </c>
      <c r="Q1901" s="7" t="s">
        <v>13445</v>
      </c>
      <c r="R1901" s="7" t="s">
        <v>13446</v>
      </c>
      <c r="S1901" s="14" t="s">
        <v>13447</v>
      </c>
      <c r="T1901" s="8"/>
      <c r="U1901" s="19" t="str">
        <f>HYPERLINK("https://pbs.twimg.com/profile_images/985098764745617408/yF-grAjv.jpg","View")</f>
        <v>View</v>
      </c>
      <c r="V1901" s="8"/>
      <c r="W1901" s="8"/>
      <c r="X1901" s="8"/>
      <c r="Y1901" s="8"/>
      <c r="Z1901" s="8"/>
    </row>
    <row r="1902" spans="1:26" ht="12.75">
      <c r="A1902" s="11">
        <v>43747.27553240741</v>
      </c>
      <c r="B1902" s="12" t="str">
        <f>HYPERLINK("https://twitter.com/LAZZ_SULTAN","@LAZZ_SULTAN")</f>
        <v>@LAZZ_SULTAN</v>
      </c>
      <c r="C1902" s="7" t="s">
        <v>13448</v>
      </c>
      <c r="D1902" s="7" t="s">
        <v>13449</v>
      </c>
      <c r="E1902" s="12" t="str">
        <f>HYPERLINK("https://twitter.com/LAZZ_SULTAN/status/1181926477933232130","1181926477933232130")</f>
        <v>1181926477933232130</v>
      </c>
      <c r="F1902" s="8"/>
      <c r="G1902" s="7"/>
      <c r="H1902" s="8"/>
      <c r="I1902" s="15">
        <v>3</v>
      </c>
      <c r="J1902" s="15">
        <v>7</v>
      </c>
      <c r="K1902" s="12" t="str">
        <f>HYPERLINK("http://twitter.com/download/android","Twitter for Android")</f>
        <v>Twitter for Android</v>
      </c>
      <c r="L1902" s="16">
        <v>5717</v>
      </c>
      <c r="M1902" s="16">
        <v>5261</v>
      </c>
      <c r="N1902" s="16">
        <v>37</v>
      </c>
      <c r="O1902" s="17"/>
      <c r="P1902" s="18">
        <v>42113.037962962961</v>
      </c>
      <c r="Q1902" s="7"/>
      <c r="R1902" s="7" t="s">
        <v>13450</v>
      </c>
      <c r="S1902" s="7"/>
      <c r="T1902" s="8"/>
      <c r="U1902" s="19" t="str">
        <f>HYPERLINK("https://pbs.twimg.com/profile_images/1142221747611213826/tekRWT-9.jpg","View")</f>
        <v>View</v>
      </c>
      <c r="V1902" s="8"/>
      <c r="W1902" s="8"/>
      <c r="X1902" s="8"/>
      <c r="Y1902" s="8"/>
      <c r="Z1902" s="8"/>
    </row>
    <row r="1903" spans="1:26" ht="12.75">
      <c r="A1903" s="11">
        <v>43747.275509259256</v>
      </c>
      <c r="B1903" s="12" t="str">
        <f>HYPERLINK("https://twitter.com/16Subat_","@16Subat_")</f>
        <v>@16Subat_</v>
      </c>
      <c r="C1903" s="7" t="s">
        <v>13451</v>
      </c>
      <c r="D1903" s="7" t="s">
        <v>13452</v>
      </c>
      <c r="E1903" s="12" t="str">
        <f>HYPERLINK("https://twitter.com/16Subat_/status/1181926470387736576","1181926470387736576")</f>
        <v>1181926470387736576</v>
      </c>
      <c r="F1903" s="8"/>
      <c r="G1903" s="7"/>
      <c r="H1903" s="8"/>
      <c r="I1903" s="15">
        <v>0</v>
      </c>
      <c r="J1903" s="15">
        <v>0</v>
      </c>
      <c r="K1903" s="12" t="str">
        <f>HYPERLINK("http://twitter.com/download/android","Twitter for Android")</f>
        <v>Twitter for Android</v>
      </c>
      <c r="L1903" s="16">
        <v>21</v>
      </c>
      <c r="M1903" s="16">
        <v>328</v>
      </c>
      <c r="N1903" s="16">
        <v>0</v>
      </c>
      <c r="O1903" s="17"/>
      <c r="P1903" s="18">
        <v>43686.35119212963</v>
      </c>
      <c r="Q1903" s="7" t="s">
        <v>69</v>
      </c>
      <c r="R1903" s="7" t="s">
        <v>10265</v>
      </c>
      <c r="S1903" s="7"/>
      <c r="T1903" s="8"/>
      <c r="U1903" s="19" t="str">
        <f>HYPERLINK("https://pbs.twimg.com/profile_images/1178055494117810181/10uIWSXs.jpg","View")</f>
        <v>View</v>
      </c>
      <c r="V1903" s="8"/>
      <c r="W1903" s="8"/>
      <c r="X1903" s="8"/>
      <c r="Y1903" s="8"/>
      <c r="Z1903" s="8"/>
    </row>
    <row r="1904" spans="1:26" ht="12.75">
      <c r="A1904" s="11">
        <v>43747.275509259256</v>
      </c>
      <c r="B1904" s="12" t="str">
        <f>HYPERLINK("https://twitter.com/Dileksakar4","@Dileksakar4")</f>
        <v>@Dileksakar4</v>
      </c>
      <c r="C1904" s="7" t="s">
        <v>13453</v>
      </c>
      <c r="D1904" s="7" t="s">
        <v>13454</v>
      </c>
      <c r="E1904" s="12" t="str">
        <f>HYPERLINK("https://twitter.com/Dileksakar4/status/1181926469360082945","1181926469360082945")</f>
        <v>1181926469360082945</v>
      </c>
      <c r="F1904" s="8"/>
      <c r="G1904" s="14" t="s">
        <v>13455</v>
      </c>
      <c r="H1904" s="8"/>
      <c r="I1904" s="15">
        <v>0</v>
      </c>
      <c r="J1904" s="15">
        <v>0</v>
      </c>
      <c r="K1904" s="12" t="str">
        <f>HYPERLINK("http://twitter.com/download/iphone","Twitter for iPhone")</f>
        <v>Twitter for iPhone</v>
      </c>
      <c r="L1904" s="16">
        <v>4</v>
      </c>
      <c r="M1904" s="16">
        <v>139</v>
      </c>
      <c r="N1904" s="16">
        <v>0</v>
      </c>
      <c r="O1904" s="17"/>
      <c r="P1904" s="18">
        <v>42443.559050925927</v>
      </c>
      <c r="Q1904" s="7"/>
      <c r="R1904" s="7"/>
      <c r="S1904" s="7"/>
      <c r="T1904" s="8"/>
      <c r="U1904" s="20" t="s">
        <v>354</v>
      </c>
      <c r="V1904" s="8"/>
      <c r="W1904" s="8"/>
      <c r="X1904" s="8"/>
      <c r="Y1904" s="8"/>
      <c r="Z1904" s="8"/>
    </row>
    <row r="1905" spans="1:26" ht="12.75">
      <c r="A1905" s="11">
        <v>43747.275474537033</v>
      </c>
      <c r="B1905" s="12" t="str">
        <f>HYPERLINK("https://twitter.com/cephevatan","@cephevatan")</f>
        <v>@cephevatan</v>
      </c>
      <c r="C1905" s="7" t="s">
        <v>13456</v>
      </c>
      <c r="D1905" s="7" t="s">
        <v>13457</v>
      </c>
      <c r="E1905" s="12" t="str">
        <f>HYPERLINK("https://twitter.com/cephevatan/status/1181926459742527489","1181926459742527489")</f>
        <v>1181926459742527489</v>
      </c>
      <c r="F1905" s="14" t="s">
        <v>13458</v>
      </c>
      <c r="G1905" s="14" t="s">
        <v>13459</v>
      </c>
      <c r="H1905" s="8"/>
      <c r="I1905" s="15">
        <v>0</v>
      </c>
      <c r="J1905" s="15">
        <v>0</v>
      </c>
      <c r="K1905" s="12" t="str">
        <f>HYPERLINK("https://mobile.twitter.com","Twitter Web App")</f>
        <v>Twitter Web App</v>
      </c>
      <c r="L1905" s="16">
        <v>4944</v>
      </c>
      <c r="M1905" s="16">
        <v>4926</v>
      </c>
      <c r="N1905" s="16">
        <v>11</v>
      </c>
      <c r="O1905" s="17"/>
      <c r="P1905" s="18">
        <v>40330.440844907411</v>
      </c>
      <c r="Q1905" s="7" t="s">
        <v>13460</v>
      </c>
      <c r="R1905" s="7" t="s">
        <v>13461</v>
      </c>
      <c r="S1905" s="7"/>
      <c r="T1905" s="8"/>
      <c r="U1905" s="19" t="str">
        <f>HYPERLINK("https://pbs.twimg.com/profile_images/1129427473215700992/ANGDDkYU.jpg","View")</f>
        <v>View</v>
      </c>
      <c r="V1905" s="8"/>
      <c r="W1905" s="8"/>
      <c r="X1905" s="8"/>
      <c r="Y1905" s="8"/>
      <c r="Z1905" s="8"/>
    </row>
    <row r="1906" spans="1:26" ht="12.75">
      <c r="A1906" s="11">
        <v>43747.275474537033</v>
      </c>
      <c r="B1906" s="12" t="str">
        <f>HYPERLINK("https://twitter.com/EnesBekdemir19","@EnesBekdemir19")</f>
        <v>@EnesBekdemir19</v>
      </c>
      <c r="C1906" s="7" t="s">
        <v>6045</v>
      </c>
      <c r="D1906" s="7" t="s">
        <v>13462</v>
      </c>
      <c r="E1906" s="12" t="str">
        <f>HYPERLINK("https://twitter.com/EnesBekdemir19/status/1181926457616060417","1181926457616060417")</f>
        <v>1181926457616060417</v>
      </c>
      <c r="F1906" s="8"/>
      <c r="G1906" s="7"/>
      <c r="H1906" s="8"/>
      <c r="I1906" s="15">
        <v>0</v>
      </c>
      <c r="J1906" s="15">
        <v>0</v>
      </c>
      <c r="K1906" s="12" t="str">
        <f>HYPERLINK("http://twitter.com/download/android","Twitter for Android")</f>
        <v>Twitter for Android</v>
      </c>
      <c r="L1906" s="16">
        <v>7</v>
      </c>
      <c r="M1906" s="16">
        <v>72</v>
      </c>
      <c r="N1906" s="16">
        <v>0</v>
      </c>
      <c r="O1906" s="17"/>
      <c r="P1906" s="18">
        <v>43630.58221064815</v>
      </c>
      <c r="Q1906" s="7"/>
      <c r="R1906" s="7" t="s">
        <v>13463</v>
      </c>
      <c r="S1906" s="7"/>
      <c r="T1906" s="8"/>
      <c r="U1906" s="19" t="str">
        <f>HYPERLINK("https://pbs.twimg.com/profile_images/1143459428198494208/kgjrvwku.jpg","View")</f>
        <v>View</v>
      </c>
      <c r="V1906" s="8"/>
      <c r="W1906" s="8"/>
      <c r="X1906" s="8"/>
      <c r="Y1906" s="8"/>
      <c r="Z1906" s="8"/>
    </row>
    <row r="1907" spans="1:26" ht="12.75">
      <c r="A1907" s="11">
        <v>43747.275474537033</v>
      </c>
      <c r="B1907" s="12" t="str">
        <f>HYPERLINK("https://twitter.com/novi_terra","@novi_terra")</f>
        <v>@novi_terra</v>
      </c>
      <c r="C1907" s="7" t="s">
        <v>13464</v>
      </c>
      <c r="D1907" s="7" t="s">
        <v>13465</v>
      </c>
      <c r="E1907" s="12" t="str">
        <f>HYPERLINK("https://twitter.com/novi_terra/status/1181926457226022913","1181926457226022913")</f>
        <v>1181926457226022913</v>
      </c>
      <c r="F1907" s="8"/>
      <c r="G1907" s="7"/>
      <c r="H1907" s="8"/>
      <c r="I1907" s="15">
        <v>0</v>
      </c>
      <c r="J1907" s="15">
        <v>0</v>
      </c>
      <c r="K1907" s="12" t="str">
        <f>HYPERLINK("http://twitter.com/download/android","Twitter for Android")</f>
        <v>Twitter for Android</v>
      </c>
      <c r="L1907" s="16">
        <v>54</v>
      </c>
      <c r="M1907" s="16">
        <v>176</v>
      </c>
      <c r="N1907" s="16">
        <v>0</v>
      </c>
      <c r="O1907" s="17"/>
      <c r="P1907" s="18">
        <v>43713.363958333328</v>
      </c>
      <c r="Q1907" s="7"/>
      <c r="R1907" s="7" t="s">
        <v>13466</v>
      </c>
      <c r="S1907" s="15"/>
      <c r="T1907" s="8"/>
      <c r="U1907" s="19" t="str">
        <f>HYPERLINK("https://pbs.twimg.com/profile_images/1170317048565653505/GCf_8jPM.jpg","View")</f>
        <v>View</v>
      </c>
      <c r="V1907" s="8"/>
      <c r="W1907" s="8"/>
      <c r="X1907" s="8"/>
      <c r="Y1907" s="8"/>
      <c r="Z1907" s="8"/>
    </row>
    <row r="1908" spans="1:26" ht="12.75">
      <c r="A1908" s="11">
        <v>43747.275451388894</v>
      </c>
      <c r="B1908" s="12" t="str">
        <f>HYPERLINK("https://twitter.com/akpinar_ma","@akpinar_ma")</f>
        <v>@akpinar_ma</v>
      </c>
      <c r="C1908" s="7" t="s">
        <v>13467</v>
      </c>
      <c r="D1908" s="7" t="s">
        <v>13468</v>
      </c>
      <c r="E1908" s="12" t="str">
        <f>HYPERLINK("https://twitter.com/akpinar_ma/status/1181926451689525249","1181926451689525249")</f>
        <v>1181926451689525249</v>
      </c>
      <c r="F1908" s="8"/>
      <c r="G1908" s="14" t="s">
        <v>13469</v>
      </c>
      <c r="H1908" s="8"/>
      <c r="I1908" s="15">
        <v>0</v>
      </c>
      <c r="J1908" s="15">
        <v>0</v>
      </c>
      <c r="K1908" s="12" t="str">
        <f>HYPERLINK("http://twitter.com/download/iphone","Twitter for iPhone")</f>
        <v>Twitter for iPhone</v>
      </c>
      <c r="L1908" s="16">
        <v>67</v>
      </c>
      <c r="M1908" s="16">
        <v>377</v>
      </c>
      <c r="N1908" s="16">
        <v>0</v>
      </c>
      <c r="O1908" s="17"/>
      <c r="P1908" s="18">
        <v>43207.532858796301</v>
      </c>
      <c r="Q1908" s="7"/>
      <c r="R1908" s="7"/>
      <c r="S1908" s="7"/>
      <c r="T1908" s="8"/>
      <c r="U1908" s="19" t="str">
        <f>HYPERLINK("https://pbs.twimg.com/profile_images/1160840294356701184/1CRy2fvh.jpg","View")</f>
        <v>View</v>
      </c>
      <c r="V1908" s="8"/>
      <c r="W1908" s="8"/>
      <c r="X1908" s="8"/>
      <c r="Y1908" s="8"/>
      <c r="Z1908" s="8"/>
    </row>
    <row r="1909" spans="1:26" ht="12.75">
      <c r="A1909" s="11">
        <v>43747.27543981481</v>
      </c>
      <c r="B1909" s="12" t="str">
        <f>HYPERLINK("https://twitter.com/mustafaozlu","@mustafaozlu")</f>
        <v>@mustafaozlu</v>
      </c>
      <c r="C1909" s="7" t="s">
        <v>13470</v>
      </c>
      <c r="D1909" s="7" t="s">
        <v>13471</v>
      </c>
      <c r="E1909" s="12" t="str">
        <f>HYPERLINK("https://twitter.com/mustafaozlu/status/1181926447050452992","1181926447050452992")</f>
        <v>1181926447050452992</v>
      </c>
      <c r="F1909" s="7"/>
      <c r="G1909" s="14" t="s">
        <v>13472</v>
      </c>
      <c r="H1909" s="8"/>
      <c r="I1909" s="15">
        <v>0</v>
      </c>
      <c r="J1909" s="15">
        <v>1</v>
      </c>
      <c r="K1909" s="12" t="str">
        <f>HYPERLINK("https://mobile.twitter.com","Twitter Web App")</f>
        <v>Twitter Web App</v>
      </c>
      <c r="L1909" s="16">
        <v>484</v>
      </c>
      <c r="M1909" s="16">
        <v>669</v>
      </c>
      <c r="N1909" s="16">
        <v>11</v>
      </c>
      <c r="O1909" s="17"/>
      <c r="P1909" s="18">
        <v>40216.023888888885</v>
      </c>
      <c r="Q1909" s="7" t="s">
        <v>918</v>
      </c>
      <c r="R1909" s="7" t="s">
        <v>13473</v>
      </c>
      <c r="S1909" s="14" t="s">
        <v>13474</v>
      </c>
      <c r="T1909" s="8"/>
      <c r="U1909" s="19" t="str">
        <f>HYPERLINK("https://pbs.twimg.com/profile_images/756974377103724544/My5QDiEX.jpg","View")</f>
        <v>View</v>
      </c>
      <c r="V1909" s="8"/>
      <c r="W1909" s="8"/>
      <c r="X1909" s="8"/>
      <c r="Y1909" s="8"/>
      <c r="Z1909" s="8"/>
    </row>
    <row r="1910" spans="1:26" ht="12.75">
      <c r="A1910" s="11">
        <v>43747.275416666671</v>
      </c>
      <c r="B1910" s="12" t="str">
        <f>HYPERLINK("https://twitter.com/masrafsu","@masrafsu")</f>
        <v>@masrafsu</v>
      </c>
      <c r="C1910" s="7" t="s">
        <v>13475</v>
      </c>
      <c r="D1910" s="7" t="s">
        <v>13476</v>
      </c>
      <c r="E1910" s="12" t="str">
        <f>HYPERLINK("https://twitter.com/masrafsu/status/1181926438762696709","1181926438762696709")</f>
        <v>1181926438762696709</v>
      </c>
      <c r="F1910" s="8"/>
      <c r="G1910" s="15"/>
      <c r="H1910" s="8"/>
      <c r="I1910" s="15">
        <v>0</v>
      </c>
      <c r="J1910" s="15">
        <v>8</v>
      </c>
      <c r="K1910" s="12" t="str">
        <f>HYPERLINK("http://twitter.com/download/iphone","Twitter for iPhone")</f>
        <v>Twitter for iPhone</v>
      </c>
      <c r="L1910" s="16">
        <v>118</v>
      </c>
      <c r="M1910" s="16">
        <v>101</v>
      </c>
      <c r="N1910" s="16">
        <v>0</v>
      </c>
      <c r="O1910" s="17"/>
      <c r="P1910" s="18">
        <v>43401.091261574074</v>
      </c>
      <c r="Q1910" s="7"/>
      <c r="R1910" s="7"/>
      <c r="S1910" s="15"/>
      <c r="T1910" s="8"/>
      <c r="U1910" s="19" t="str">
        <f>HYPERLINK("https://pbs.twimg.com/profile_images/1173578128964431872/E--Fncgr.jpg","View")</f>
        <v>View</v>
      </c>
      <c r="V1910" s="8"/>
      <c r="W1910" s="8"/>
      <c r="X1910" s="8"/>
      <c r="Y1910" s="8"/>
      <c r="Z1910" s="8"/>
    </row>
    <row r="1911" spans="1:26" ht="12.75">
      <c r="A1911" s="11">
        <v>43747.275416666671</v>
      </c>
      <c r="B1911" s="12" t="str">
        <f>HYPERLINK("https://twitter.com/erenmi7","@erenmi7")</f>
        <v>@erenmi7</v>
      </c>
      <c r="C1911" s="7" t="s">
        <v>13477</v>
      </c>
      <c r="D1911" s="7" t="s">
        <v>13478</v>
      </c>
      <c r="E1911" s="12" t="str">
        <f>HYPERLINK("https://twitter.com/erenmi7/status/1181926436518711297","1181926436518711297")</f>
        <v>1181926436518711297</v>
      </c>
      <c r="F1911" s="8"/>
      <c r="G1911" s="14" t="s">
        <v>13479</v>
      </c>
      <c r="H1911" s="8"/>
      <c r="I1911" s="15">
        <v>0</v>
      </c>
      <c r="J1911" s="15">
        <v>1</v>
      </c>
      <c r="K1911" s="12" t="str">
        <f>HYPERLINK("http://twitter.com/download/android","Twitter for Android")</f>
        <v>Twitter for Android</v>
      </c>
      <c r="L1911" s="16">
        <v>1018</v>
      </c>
      <c r="M1911" s="16">
        <v>972</v>
      </c>
      <c r="N1911" s="16">
        <v>0</v>
      </c>
      <c r="O1911" s="17"/>
      <c r="P1911" s="18">
        <v>42947.560844907406</v>
      </c>
      <c r="Q1911" s="7" t="s">
        <v>69</v>
      </c>
      <c r="R1911" s="7" t="s">
        <v>13480</v>
      </c>
      <c r="S1911" s="15"/>
      <c r="T1911" s="8"/>
      <c r="U1911" s="19" t="str">
        <f>HYPERLINK("https://pbs.twimg.com/profile_images/1170374499184848896/TbIh6jas.jpg","View")</f>
        <v>View</v>
      </c>
      <c r="V1911" s="8"/>
      <c r="W1911" s="8"/>
      <c r="X1911" s="8"/>
      <c r="Y1911" s="8"/>
      <c r="Z1911" s="8"/>
    </row>
    <row r="1912" spans="1:26" ht="12.75">
      <c r="A1912" s="11">
        <v>43747.275393518517</v>
      </c>
      <c r="B1912" s="12" t="str">
        <f>HYPERLINK("https://twitter.com/turkcedsnenadam","@turkcedsnenadam")</f>
        <v>@turkcedsnenadam</v>
      </c>
      <c r="C1912" s="7" t="s">
        <v>13481</v>
      </c>
      <c r="D1912" s="7" t="s">
        <v>13482</v>
      </c>
      <c r="E1912" s="12" t="str">
        <f>HYPERLINK("https://twitter.com/turkcedsnenadam/status/1181926430034337792","1181926430034337792")</f>
        <v>1181926430034337792</v>
      </c>
      <c r="F1912" s="7"/>
      <c r="G1912" s="14" t="s">
        <v>13483</v>
      </c>
      <c r="H1912" s="8"/>
      <c r="I1912" s="15">
        <v>0</v>
      </c>
      <c r="J1912" s="15">
        <v>2</v>
      </c>
      <c r="K1912" s="12" t="str">
        <f>HYPERLINK("https://mobile.twitter.com","Twitter Web App")</f>
        <v>Twitter Web App</v>
      </c>
      <c r="L1912" s="16">
        <v>450</v>
      </c>
      <c r="M1912" s="16">
        <v>366</v>
      </c>
      <c r="N1912" s="16">
        <v>0</v>
      </c>
      <c r="O1912" s="17"/>
      <c r="P1912" s="18">
        <v>40325.563576388886</v>
      </c>
      <c r="Q1912" s="7"/>
      <c r="R1912" s="7" t="s">
        <v>13484</v>
      </c>
      <c r="S1912" s="14" t="s">
        <v>13485</v>
      </c>
      <c r="T1912" s="8"/>
      <c r="U1912" s="19" t="str">
        <f>HYPERLINK("https://pbs.twimg.com/profile_images/1143894268710391808/bvvToK7z.png","View")</f>
        <v>View</v>
      </c>
      <c r="V1912" s="8"/>
      <c r="W1912" s="8"/>
      <c r="X1912" s="8"/>
      <c r="Y1912" s="8"/>
      <c r="Z1912" s="8"/>
    </row>
    <row r="1913" spans="1:26" ht="12.75">
      <c r="A1913" s="11">
        <v>43747.275335648148</v>
      </c>
      <c r="B1913" s="12" t="str">
        <f>HYPERLINK("https://twitter.com/songlgn","@songlgn")</f>
        <v>@songlgn</v>
      </c>
      <c r="C1913" s="7" t="s">
        <v>13486</v>
      </c>
      <c r="D1913" s="7" t="s">
        <v>13487</v>
      </c>
      <c r="E1913" s="12" t="str">
        <f>HYPERLINK("https://twitter.com/songlgn/status/1181926408924389377","1181926408924389377")</f>
        <v>1181926408924389377</v>
      </c>
      <c r="F1913" s="15"/>
      <c r="G1913" s="7"/>
      <c r="H1913" s="15"/>
      <c r="I1913" s="15">
        <v>1</v>
      </c>
      <c r="J1913" s="15">
        <v>9</v>
      </c>
      <c r="K1913" s="12" t="str">
        <f>HYPERLINK("https://mobile.twitter.com","Twitter Web App")</f>
        <v>Twitter Web App</v>
      </c>
      <c r="L1913" s="16">
        <v>5099</v>
      </c>
      <c r="M1913" s="16">
        <v>3408</v>
      </c>
      <c r="N1913" s="16">
        <v>1</v>
      </c>
      <c r="O1913" s="17"/>
      <c r="P1913" s="18">
        <v>40633.062407407408</v>
      </c>
      <c r="Q1913" s="7" t="s">
        <v>13488</v>
      </c>
      <c r="R1913" s="7" t="s">
        <v>13489</v>
      </c>
      <c r="S1913" s="7"/>
      <c r="T1913" s="8"/>
      <c r="U1913" s="19" t="str">
        <f>HYPERLINK("https://pbs.twimg.com/profile_images/1151457486005780480/Z2y_p5zg.jpg","View")</f>
        <v>View</v>
      </c>
      <c r="V1913" s="8"/>
      <c r="W1913" s="8"/>
      <c r="X1913" s="8"/>
      <c r="Y1913" s="8"/>
      <c r="Z1913" s="8"/>
    </row>
    <row r="1914" spans="1:26" ht="12.75">
      <c r="A1914" s="11">
        <v>43747.275335648148</v>
      </c>
      <c r="B1914" s="12" t="str">
        <f>HYPERLINK("https://twitter.com/BeliZafercan","@BeliZafercan")</f>
        <v>@BeliZafercan</v>
      </c>
      <c r="C1914" s="7" t="s">
        <v>13490</v>
      </c>
      <c r="D1914" s="7" t="s">
        <v>13491</v>
      </c>
      <c r="E1914" s="12" t="str">
        <f>HYPERLINK("https://twitter.com/BeliZafercan/status/1181926407045300225","1181926407045300225")</f>
        <v>1181926407045300225</v>
      </c>
      <c r="F1914" s="8"/>
      <c r="G1914" s="15"/>
      <c r="H1914" s="8"/>
      <c r="I1914" s="15">
        <v>0</v>
      </c>
      <c r="J1914" s="15">
        <v>0</v>
      </c>
      <c r="K1914" s="12" t="str">
        <f>HYPERLINK("http://twitter.com","Twitter Web Client")</f>
        <v>Twitter Web Client</v>
      </c>
      <c r="L1914" s="16">
        <v>9</v>
      </c>
      <c r="M1914" s="16">
        <v>0</v>
      </c>
      <c r="N1914" s="16">
        <v>0</v>
      </c>
      <c r="O1914" s="17"/>
      <c r="P1914" s="18">
        <v>43668.862696759257</v>
      </c>
      <c r="Q1914" s="7" t="s">
        <v>13492</v>
      </c>
      <c r="R1914" s="7" t="s">
        <v>13493</v>
      </c>
      <c r="S1914" s="7"/>
      <c r="T1914" s="8"/>
      <c r="U1914" s="19" t="str">
        <f>HYPERLINK("https://pbs.twimg.com/profile_images/1153752360109449220/8dVg1HI9.jpg","View")</f>
        <v>View</v>
      </c>
      <c r="V1914" s="8"/>
      <c r="W1914" s="8"/>
      <c r="X1914" s="8"/>
      <c r="Y1914" s="8"/>
      <c r="Z1914" s="8"/>
    </row>
    <row r="1915" spans="1:26" ht="12.75">
      <c r="A1915" s="11">
        <v>43747.275312500002</v>
      </c>
      <c r="B1915" s="12" t="str">
        <f>HYPERLINK("https://twitter.com/Bilalkocak34","@Bilalkocak34")</f>
        <v>@Bilalkocak34</v>
      </c>
      <c r="C1915" s="7" t="s">
        <v>13494</v>
      </c>
      <c r="D1915" s="7" t="s">
        <v>13495</v>
      </c>
      <c r="E1915" s="12" t="str">
        <f>HYPERLINK("https://twitter.com/Bilalkocak34/status/1181926400015683586","1181926400015683586")</f>
        <v>1181926400015683586</v>
      </c>
      <c r="F1915" s="14" t="s">
        <v>13496</v>
      </c>
      <c r="G1915" s="14" t="s">
        <v>13497</v>
      </c>
      <c r="H1915" s="8"/>
      <c r="I1915" s="15">
        <v>1</v>
      </c>
      <c r="J1915" s="15">
        <v>2</v>
      </c>
      <c r="K1915" s="12" t="str">
        <f>HYPERLINK("http://twitter.com/download/iphone","Twitter for iPhone")</f>
        <v>Twitter for iPhone</v>
      </c>
      <c r="L1915" s="16">
        <v>169</v>
      </c>
      <c r="M1915" s="16">
        <v>259</v>
      </c>
      <c r="N1915" s="16">
        <v>0</v>
      </c>
      <c r="O1915" s="17"/>
      <c r="P1915" s="18">
        <v>42759.511365740742</v>
      </c>
      <c r="Q1915" s="7" t="s">
        <v>313</v>
      </c>
      <c r="R1915" s="7" t="s">
        <v>13498</v>
      </c>
      <c r="S1915" s="15"/>
      <c r="T1915" s="8"/>
      <c r="U1915" s="19" t="str">
        <f>HYPERLINK("https://pbs.twimg.com/profile_images/1180954806644543490/C1jkWR6B.jpg","View")</f>
        <v>View</v>
      </c>
      <c r="V1915" s="8"/>
      <c r="W1915" s="8"/>
      <c r="X1915" s="8"/>
      <c r="Y1915" s="8"/>
      <c r="Z1915" s="8"/>
    </row>
    <row r="1916" spans="1:26" ht="12.75">
      <c r="A1916" s="11">
        <v>43747.275300925925</v>
      </c>
      <c r="B1916" s="12" t="str">
        <f>HYPERLINK("https://twitter.com/Kendimce_ben","@Kendimce_ben")</f>
        <v>@Kendimce_ben</v>
      </c>
      <c r="C1916" s="7" t="s">
        <v>13499</v>
      </c>
      <c r="D1916" s="7" t="s">
        <v>13500</v>
      </c>
      <c r="E1916" s="12" t="str">
        <f>HYPERLINK("https://twitter.com/Kendimce_ben/status/1181926397360652288","1181926397360652288")</f>
        <v>1181926397360652288</v>
      </c>
      <c r="F1916" s="8"/>
      <c r="G1916" s="14" t="s">
        <v>13501</v>
      </c>
      <c r="H1916" s="8"/>
      <c r="I1916" s="15">
        <v>7</v>
      </c>
      <c r="J1916" s="15">
        <v>20</v>
      </c>
      <c r="K1916" s="12" t="str">
        <f>HYPERLINK("http://twitter.com/download/iphone","Twitter for iPhone")</f>
        <v>Twitter for iPhone</v>
      </c>
      <c r="L1916" s="16">
        <v>122655</v>
      </c>
      <c r="M1916" s="16">
        <v>24303</v>
      </c>
      <c r="N1916" s="16">
        <v>120</v>
      </c>
      <c r="O1916" s="17"/>
      <c r="P1916" s="18">
        <v>41673.504791666666</v>
      </c>
      <c r="Q1916" s="7"/>
      <c r="R1916" s="7" t="s">
        <v>13502</v>
      </c>
      <c r="S1916" s="7"/>
      <c r="T1916" s="8"/>
      <c r="U1916" s="19" t="str">
        <f>HYPERLINK("https://pbs.twimg.com/profile_images/1181923267252297728/wCgwCJ-N.jpg","View")</f>
        <v>View</v>
      </c>
      <c r="V1916" s="8"/>
      <c r="W1916" s="8"/>
      <c r="X1916" s="8"/>
      <c r="Y1916" s="8"/>
      <c r="Z1916" s="8"/>
    </row>
    <row r="1917" spans="1:26" ht="12.75">
      <c r="A1917" s="11">
        <v>43747.275300925925</v>
      </c>
      <c r="B1917" s="12" t="str">
        <f>HYPERLINK("https://twitter.com/Zkney25","@Zkney25")</f>
        <v>@Zkney25</v>
      </c>
      <c r="C1917" s="7" t="s">
        <v>13503</v>
      </c>
      <c r="D1917" s="7" t="s">
        <v>13504</v>
      </c>
      <c r="E1917" s="12" t="str">
        <f>HYPERLINK("https://twitter.com/Zkney25/status/1181926396396003328","1181926396396003328")</f>
        <v>1181926396396003328</v>
      </c>
      <c r="F1917" s="8"/>
      <c r="G1917" s="7"/>
      <c r="H1917" s="8"/>
      <c r="I1917" s="15">
        <v>0</v>
      </c>
      <c r="J1917" s="15">
        <v>3</v>
      </c>
      <c r="K1917" s="12" t="str">
        <f>HYPERLINK("http://twitter.com/download/iphone","Twitter for iPhone")</f>
        <v>Twitter for iPhone</v>
      </c>
      <c r="L1917" s="16">
        <v>338</v>
      </c>
      <c r="M1917" s="16">
        <v>299</v>
      </c>
      <c r="N1917" s="16">
        <v>0</v>
      </c>
      <c r="O1917" s="17"/>
      <c r="P1917" s="18">
        <v>41551.4</v>
      </c>
      <c r="Q1917" s="7"/>
      <c r="R1917" s="7" t="s">
        <v>13505</v>
      </c>
      <c r="S1917" s="14" t="s">
        <v>13506</v>
      </c>
      <c r="T1917" s="8"/>
      <c r="U1917" s="19" t="str">
        <f>HYPERLINK("https://pbs.twimg.com/profile_images/1117170234115411968/bj0MCTUb.png","View")</f>
        <v>View</v>
      </c>
      <c r="V1917" s="8"/>
      <c r="W1917" s="8"/>
      <c r="X1917" s="8"/>
      <c r="Y1917" s="8"/>
      <c r="Z1917" s="8"/>
    </row>
    <row r="1918" spans="1:26" ht="12.75">
      <c r="A1918" s="11">
        <v>43747.275300925925</v>
      </c>
      <c r="B1918" s="12" t="str">
        <f>HYPERLINK("https://twitter.com/orhanipin","@orhanipin")</f>
        <v>@orhanipin</v>
      </c>
      <c r="C1918" s="7" t="s">
        <v>13507</v>
      </c>
      <c r="D1918" s="7" t="s">
        <v>160</v>
      </c>
      <c r="E1918" s="12" t="str">
        <f>HYPERLINK("https://twitter.com/orhanipin/status/1181926395569692672","1181926395569692672")</f>
        <v>1181926395569692672</v>
      </c>
      <c r="F1918" s="8"/>
      <c r="G1918" s="15"/>
      <c r="H1918" s="8"/>
      <c r="I1918" s="15">
        <v>0</v>
      </c>
      <c r="J1918" s="15">
        <v>0</v>
      </c>
      <c r="K1918" s="12" t="str">
        <f>HYPERLINK("http://twitter.com/download/android","Twitter for Android")</f>
        <v>Twitter for Android</v>
      </c>
      <c r="L1918" s="16">
        <v>29</v>
      </c>
      <c r="M1918" s="16">
        <v>183</v>
      </c>
      <c r="N1918" s="16">
        <v>0</v>
      </c>
      <c r="O1918" s="17"/>
      <c r="P1918" s="18">
        <v>40406.188043981485</v>
      </c>
      <c r="Q1918" s="7" t="s">
        <v>3784</v>
      </c>
      <c r="R1918" s="7" t="s">
        <v>13508</v>
      </c>
      <c r="S1918" s="15"/>
      <c r="T1918" s="8"/>
      <c r="U1918" s="19" t="str">
        <f>HYPERLINK("https://pbs.twimg.com/profile_images/1062788095500804097/-cVxy2Iy.jpg","View")</f>
        <v>View</v>
      </c>
      <c r="V1918" s="8"/>
      <c r="W1918" s="8"/>
      <c r="X1918" s="8"/>
      <c r="Y1918" s="8"/>
      <c r="Z1918" s="8"/>
    </row>
    <row r="1919" spans="1:26" ht="12.75">
      <c r="A1919" s="11">
        <v>43747.275289351848</v>
      </c>
      <c r="B1919" s="12" t="str">
        <f>HYPERLINK("https://twitter.com/kavak_samed","@kavak_samed")</f>
        <v>@kavak_samed</v>
      </c>
      <c r="C1919" s="7" t="s">
        <v>13509</v>
      </c>
      <c r="D1919" s="7" t="s">
        <v>13510</v>
      </c>
      <c r="E1919" s="12" t="str">
        <f>HYPERLINK("https://twitter.com/kavak_samed/status/1181926392667226112","1181926392667226112")</f>
        <v>1181926392667226112</v>
      </c>
      <c r="F1919" s="8"/>
      <c r="G1919" s="15"/>
      <c r="H1919" s="8"/>
      <c r="I1919" s="15">
        <v>0</v>
      </c>
      <c r="J1919" s="15">
        <v>0</v>
      </c>
      <c r="K1919" s="12" t="str">
        <f>HYPERLINK("http://twitter.com/download/iphone","Twitter for iPhone")</f>
        <v>Twitter for iPhone</v>
      </c>
      <c r="L1919" s="16">
        <v>546</v>
      </c>
      <c r="M1919" s="16">
        <v>329</v>
      </c>
      <c r="N1919" s="16">
        <v>0</v>
      </c>
      <c r="O1919" s="17"/>
      <c r="P1919" s="18">
        <v>42053.455648148149</v>
      </c>
      <c r="Q1919" s="7"/>
      <c r="R1919" s="7" t="s">
        <v>13511</v>
      </c>
      <c r="S1919" s="14" t="s">
        <v>13512</v>
      </c>
      <c r="T1919" s="8"/>
      <c r="U1919" s="19" t="str">
        <f>HYPERLINK("https://pbs.twimg.com/profile_images/1025760226669158400/DpNQvY9g.jpg","View")</f>
        <v>View</v>
      </c>
      <c r="V1919" s="8"/>
      <c r="W1919" s="8"/>
      <c r="X1919" s="8"/>
      <c r="Y1919" s="8"/>
      <c r="Z1919" s="8"/>
    </row>
    <row r="1920" spans="1:26" ht="12.75">
      <c r="A1920" s="11">
        <v>43747.275277777779</v>
      </c>
      <c r="B1920" s="12" t="str">
        <f>HYPERLINK("https://twitter.com/Eyyup_270","@Eyyup_270")</f>
        <v>@Eyyup_270</v>
      </c>
      <c r="C1920" s="7" t="s">
        <v>13513</v>
      </c>
      <c r="D1920" s="7" t="s">
        <v>13514</v>
      </c>
      <c r="E1920" s="12" t="str">
        <f>HYPERLINK("https://twitter.com/Eyyup_270/status/1181926388359729153","1181926388359729153")</f>
        <v>1181926388359729153</v>
      </c>
      <c r="F1920" s="8"/>
      <c r="G1920" s="14" t="s">
        <v>13515</v>
      </c>
      <c r="H1920" s="8"/>
      <c r="I1920" s="15">
        <v>0</v>
      </c>
      <c r="J1920" s="15">
        <v>4</v>
      </c>
      <c r="K1920" s="12" t="str">
        <f>HYPERLINK("http://twitter.com/download/iphone","Twitter for iPhone")</f>
        <v>Twitter for iPhone</v>
      </c>
      <c r="L1920" s="16">
        <v>72</v>
      </c>
      <c r="M1920" s="16">
        <v>177</v>
      </c>
      <c r="N1920" s="16">
        <v>0</v>
      </c>
      <c r="O1920" s="17"/>
      <c r="P1920" s="18">
        <v>42398.067847222221</v>
      </c>
      <c r="Q1920" s="7"/>
      <c r="R1920" s="7" t="s">
        <v>13516</v>
      </c>
      <c r="S1920" s="7"/>
      <c r="T1920" s="8"/>
      <c r="U1920" s="19" t="str">
        <f>HYPERLINK("https://pbs.twimg.com/profile_images/1109712477640638464/MQJ9DMnO.jpg","View")</f>
        <v>View</v>
      </c>
      <c r="V1920" s="8"/>
      <c r="W1920" s="8"/>
      <c r="X1920" s="8"/>
      <c r="Y1920" s="8"/>
      <c r="Z1920" s="8"/>
    </row>
    <row r="1921" spans="1:26" ht="12.75">
      <c r="A1921" s="11">
        <v>43747.275266203702</v>
      </c>
      <c r="B1921" s="12" t="str">
        <f>HYPERLINK("https://twitter.com/kutaseyyah","@kutaseyyah")</f>
        <v>@kutaseyyah</v>
      </c>
      <c r="C1921" s="7" t="s">
        <v>13517</v>
      </c>
      <c r="D1921" s="7" t="s">
        <v>13518</v>
      </c>
      <c r="E1921" s="12" t="str">
        <f>HYPERLINK("https://twitter.com/kutaseyyah/status/1181926382282182662","1181926382282182662")</f>
        <v>1181926382282182662</v>
      </c>
      <c r="F1921" s="15"/>
      <c r="G1921" s="15"/>
      <c r="H1921" s="8"/>
      <c r="I1921" s="15">
        <v>0</v>
      </c>
      <c r="J1921" s="15">
        <v>4</v>
      </c>
      <c r="K1921" s="12" t="str">
        <f>HYPERLINK("http://twitter.com/download/android","Twitter for Android")</f>
        <v>Twitter for Android</v>
      </c>
      <c r="L1921" s="16">
        <v>1071</v>
      </c>
      <c r="M1921" s="16">
        <v>376</v>
      </c>
      <c r="N1921" s="16">
        <v>1</v>
      </c>
      <c r="O1921" s="20"/>
      <c r="P1921" s="18">
        <v>42552.393252314811</v>
      </c>
      <c r="Q1921" s="7" t="s">
        <v>2201</v>
      </c>
      <c r="R1921" s="7" t="s">
        <v>13519</v>
      </c>
      <c r="S1921" s="15"/>
      <c r="T1921" s="8"/>
      <c r="U1921" s="19" t="str">
        <f>HYPERLINK("https://pbs.twimg.com/profile_images/1161658323327995904/_Ewqxl8B.jpg","View")</f>
        <v>View</v>
      </c>
      <c r="V1921" s="8"/>
      <c r="W1921" s="8"/>
      <c r="X1921" s="8"/>
      <c r="Y1921" s="8"/>
      <c r="Z1921" s="8"/>
    </row>
    <row r="1922" spans="1:26" ht="12.75">
      <c r="A1922" s="11">
        <v>43747.275266203702</v>
      </c>
      <c r="B1922" s="12" t="str">
        <f>HYPERLINK("https://twitter.com/Emir_Krgz44","@Emir_Krgz44")</f>
        <v>@Emir_Krgz44</v>
      </c>
      <c r="C1922" s="7" t="s">
        <v>13520</v>
      </c>
      <c r="D1922" s="7" t="s">
        <v>13521</v>
      </c>
      <c r="E1922" s="12" t="str">
        <f>HYPERLINK("https://twitter.com/Emir_Krgz44/status/1181926381468504065","1181926381468504065")</f>
        <v>1181926381468504065</v>
      </c>
      <c r="F1922" s="8"/>
      <c r="G1922" s="14" t="s">
        <v>13522</v>
      </c>
      <c r="H1922" s="8"/>
      <c r="I1922" s="15">
        <v>0</v>
      </c>
      <c r="J1922" s="15">
        <v>1</v>
      </c>
      <c r="K1922" s="12" t="str">
        <f>HYPERLINK("http://twitter.com/download/iphone","Twitter for iPhone")</f>
        <v>Twitter for iPhone</v>
      </c>
      <c r="L1922" s="16">
        <v>1065</v>
      </c>
      <c r="M1922" s="16">
        <v>824</v>
      </c>
      <c r="N1922" s="16">
        <v>0</v>
      </c>
      <c r="O1922" s="17"/>
      <c r="P1922" s="18">
        <v>42072.358240740738</v>
      </c>
      <c r="Q1922" s="7" t="s">
        <v>313</v>
      </c>
      <c r="R1922" s="7" t="s">
        <v>13523</v>
      </c>
      <c r="S1922" s="7"/>
      <c r="T1922" s="8"/>
      <c r="U1922" s="19" t="str">
        <f>HYPERLINK("https://pbs.twimg.com/profile_images/1065297330201600001/5wmsAkQG.jpg","View")</f>
        <v>View</v>
      </c>
      <c r="V1922" s="8"/>
      <c r="W1922" s="8"/>
      <c r="X1922" s="8"/>
      <c r="Y1922" s="8"/>
      <c r="Z1922" s="8"/>
    </row>
    <row r="1923" spans="1:26" ht="12.75">
      <c r="A1923" s="11">
        <v>43747.275243055556</v>
      </c>
      <c r="B1923" s="12" t="str">
        <f>HYPERLINK("https://twitter.com/BorsaReisi","@BorsaReisi")</f>
        <v>@BorsaReisi</v>
      </c>
      <c r="C1923" s="7" t="s">
        <v>13524</v>
      </c>
      <c r="D1923" s="7" t="s">
        <v>13525</v>
      </c>
      <c r="E1923" s="12" t="str">
        <f>HYPERLINK("https://twitter.com/BorsaReisi/status/1181926374459805698","1181926374459805698")</f>
        <v>1181926374459805698</v>
      </c>
      <c r="F1923" s="8"/>
      <c r="G1923" s="15"/>
      <c r="H1923" s="8"/>
      <c r="I1923" s="15">
        <v>1</v>
      </c>
      <c r="J1923" s="15">
        <v>10</v>
      </c>
      <c r="K1923" s="12" t="str">
        <f>HYPERLINK("http://twitter.com/download/android","Twitter for Android")</f>
        <v>Twitter for Android</v>
      </c>
      <c r="L1923" s="16">
        <v>1683</v>
      </c>
      <c r="M1923" s="16">
        <v>28</v>
      </c>
      <c r="N1923" s="16">
        <v>9</v>
      </c>
      <c r="O1923" s="17"/>
      <c r="P1923" s="18">
        <v>42062.275092592594</v>
      </c>
      <c r="Q1923" s="7" t="s">
        <v>287</v>
      </c>
      <c r="R1923" s="7" t="s">
        <v>13526</v>
      </c>
      <c r="S1923" s="15"/>
      <c r="T1923" s="8"/>
      <c r="U1923" s="19" t="str">
        <f>HYPERLINK("https://pbs.twimg.com/profile_images/1173484031259959301/jOs8vRmH.jpg","View")</f>
        <v>View</v>
      </c>
      <c r="V1923" s="8"/>
      <c r="W1923" s="8"/>
      <c r="X1923" s="8"/>
      <c r="Y1923" s="8"/>
      <c r="Z1923" s="8"/>
    </row>
    <row r="1924" spans="1:26" ht="12.75">
      <c r="A1924" s="11">
        <v>43747.275231481486</v>
      </c>
      <c r="B1924" s="12" t="str">
        <f>HYPERLINK("https://twitter.com/anilcetinaalp","@anilcetinaalp")</f>
        <v>@anilcetinaalp</v>
      </c>
      <c r="C1924" s="7" t="s">
        <v>13527</v>
      </c>
      <c r="D1924" s="7" t="s">
        <v>13528</v>
      </c>
      <c r="E1924" s="12" t="str">
        <f>HYPERLINK("https://twitter.com/anilcetinaalp/status/1181926369451823110","1181926369451823110")</f>
        <v>1181926369451823110</v>
      </c>
      <c r="F1924" s="8"/>
      <c r="G1924" s="7"/>
      <c r="H1924" s="8"/>
      <c r="I1924" s="15">
        <v>0</v>
      </c>
      <c r="J1924" s="15">
        <v>3</v>
      </c>
      <c r="K1924" s="12" t="str">
        <f>HYPERLINK("http://twitter.com/download/iphone","Twitter for iPhone")</f>
        <v>Twitter for iPhone</v>
      </c>
      <c r="L1924" s="16">
        <v>306</v>
      </c>
      <c r="M1924" s="16">
        <v>304</v>
      </c>
      <c r="N1924" s="16">
        <v>0</v>
      </c>
      <c r="O1924" s="17"/>
      <c r="P1924" s="18">
        <v>41085.539409722223</v>
      </c>
      <c r="Q1924" s="7" t="s">
        <v>12072</v>
      </c>
      <c r="R1924" s="7" t="s">
        <v>13529</v>
      </c>
      <c r="S1924" s="14" t="s">
        <v>13530</v>
      </c>
      <c r="T1924" s="8"/>
      <c r="U1924" s="19" t="str">
        <f>HYPERLINK("https://pbs.twimg.com/profile_images/1126464185477550085/5yzWYJtQ.jpg","View")</f>
        <v>View</v>
      </c>
      <c r="V1924" s="8"/>
      <c r="W1924" s="8"/>
      <c r="X1924" s="8"/>
      <c r="Y1924" s="8"/>
      <c r="Z1924" s="8"/>
    </row>
    <row r="1925" spans="1:26" ht="12.75">
      <c r="A1925" s="11">
        <v>43747.275231481486</v>
      </c>
      <c r="B1925" s="12" t="str">
        <f>HYPERLINK("https://twitter.com/ceyy_nur","@ceyy_nur")</f>
        <v>@ceyy_nur</v>
      </c>
      <c r="C1925" s="7" t="s">
        <v>13531</v>
      </c>
      <c r="D1925" s="7" t="s">
        <v>13532</v>
      </c>
      <c r="E1925" s="12" t="str">
        <f>HYPERLINK("https://twitter.com/ceyy_nur/status/1181926368537387008","1181926368537387008")</f>
        <v>1181926368537387008</v>
      </c>
      <c r="F1925" s="14" t="s">
        <v>13533</v>
      </c>
      <c r="G1925" s="14" t="s">
        <v>13534</v>
      </c>
      <c r="H1925" s="8"/>
      <c r="I1925" s="15">
        <v>2</v>
      </c>
      <c r="J1925" s="15">
        <v>2</v>
      </c>
      <c r="K1925" s="12" t="str">
        <f>HYPERLINK("http://twitter.com/download/iphone","Twitter for iPhone")</f>
        <v>Twitter for iPhone</v>
      </c>
      <c r="L1925" s="16">
        <v>73</v>
      </c>
      <c r="M1925" s="16">
        <v>110</v>
      </c>
      <c r="N1925" s="16">
        <v>0</v>
      </c>
      <c r="O1925" s="17"/>
      <c r="P1925" s="18">
        <v>43460.341493055559</v>
      </c>
      <c r="Q1925" s="7"/>
      <c r="R1925" s="7" t="s">
        <v>13535</v>
      </c>
      <c r="S1925" s="7"/>
      <c r="T1925" s="8"/>
      <c r="U1925" s="19" t="str">
        <f>HYPERLINK("https://pbs.twimg.com/profile_images/1180809165322801152/eLtbQGrj.jpg","View")</f>
        <v>View</v>
      </c>
      <c r="V1925" s="8"/>
      <c r="W1925" s="8"/>
      <c r="X1925" s="8"/>
      <c r="Y1925" s="8"/>
      <c r="Z1925" s="8"/>
    </row>
    <row r="1926" spans="1:26" ht="12.75">
      <c r="A1926" s="11">
        <v>43747.275208333333</v>
      </c>
      <c r="B1926" s="12" t="str">
        <f>HYPERLINK("https://twitter.com/Ziya__1903","@Ziya__1903")</f>
        <v>@Ziya__1903</v>
      </c>
      <c r="C1926" s="7" t="s">
        <v>13536</v>
      </c>
      <c r="D1926" s="7" t="s">
        <v>13537</v>
      </c>
      <c r="E1926" s="12" t="str">
        <f>HYPERLINK("https://twitter.com/Ziya__1903/status/1181926360119414784","1181926360119414784")</f>
        <v>1181926360119414784</v>
      </c>
      <c r="F1926" s="15"/>
      <c r="G1926" s="14" t="s">
        <v>13538</v>
      </c>
      <c r="H1926" s="8"/>
      <c r="I1926" s="15">
        <v>4</v>
      </c>
      <c r="J1926" s="15">
        <v>31</v>
      </c>
      <c r="K1926" s="12" t="str">
        <f>HYPERLINK("http://twitter.com/download/android","Twitter for Android")</f>
        <v>Twitter for Android</v>
      </c>
      <c r="L1926" s="16">
        <v>6649</v>
      </c>
      <c r="M1926" s="16">
        <v>4803</v>
      </c>
      <c r="N1926" s="16">
        <v>3</v>
      </c>
      <c r="O1926" s="17"/>
      <c r="P1926" s="18">
        <v>43464.167673611111</v>
      </c>
      <c r="Q1926" s="7" t="s">
        <v>2765</v>
      </c>
      <c r="R1926" s="7" t="s">
        <v>13539</v>
      </c>
      <c r="S1926" s="7"/>
      <c r="T1926" s="8"/>
      <c r="U1926" s="19" t="str">
        <f>HYPERLINK("https://pbs.twimg.com/profile_images/1086991031650975749/lo-Sz-Uo.jpg","View")</f>
        <v>View</v>
      </c>
      <c r="V1926" s="8"/>
      <c r="W1926" s="8"/>
      <c r="X1926" s="8"/>
      <c r="Y1926" s="8"/>
      <c r="Z1926" s="8"/>
    </row>
    <row r="1927" spans="1:26" ht="12.75">
      <c r="A1927" s="11">
        <v>43747.275196759263</v>
      </c>
      <c r="B1927" s="12" t="str">
        <f>HYPERLINK("https://twitter.com/muhammedCkY","@muhammedCkY")</f>
        <v>@muhammedCkY</v>
      </c>
      <c r="C1927" s="7" t="s">
        <v>13540</v>
      </c>
      <c r="D1927" s="7" t="s">
        <v>13541</v>
      </c>
      <c r="E1927" s="12" t="str">
        <f>HYPERLINK("https://twitter.com/muhammedCkY/status/1181926359859449858","1181926359859449858")</f>
        <v>1181926359859449858</v>
      </c>
      <c r="F1927" s="8"/>
      <c r="G1927" s="15"/>
      <c r="H1927" s="8"/>
      <c r="I1927" s="15">
        <v>2</v>
      </c>
      <c r="J1927" s="15">
        <v>3</v>
      </c>
      <c r="K1927" s="12" t="str">
        <f>HYPERLINK("http://twitter.com/download/android","Twitter for Android")</f>
        <v>Twitter for Android</v>
      </c>
      <c r="L1927" s="16">
        <v>573</v>
      </c>
      <c r="M1927" s="16">
        <v>231</v>
      </c>
      <c r="N1927" s="16">
        <v>0</v>
      </c>
      <c r="O1927" s="17"/>
      <c r="P1927" s="18">
        <v>41133.678344907406</v>
      </c>
      <c r="Q1927" s="7" t="s">
        <v>13542</v>
      </c>
      <c r="R1927" s="7" t="s">
        <v>13543</v>
      </c>
      <c r="S1927" s="14" t="s">
        <v>13544</v>
      </c>
      <c r="T1927" s="8"/>
      <c r="U1927" s="19" t="str">
        <f>HYPERLINK("https://pbs.twimg.com/profile_images/1179322211221610496/mh5UmipG.jpg","View")</f>
        <v>View</v>
      </c>
      <c r="V1927" s="8"/>
      <c r="W1927" s="8"/>
      <c r="X1927" s="8"/>
      <c r="Y1927" s="8"/>
      <c r="Z1927" s="8"/>
    </row>
    <row r="1928" spans="1:26" ht="12.75">
      <c r="A1928" s="11">
        <v>43747.275196759263</v>
      </c>
      <c r="B1928" s="12" t="str">
        <f>HYPERLINK("https://twitter.com/turibasa","@turibasa")</f>
        <v>@turibasa</v>
      </c>
      <c r="C1928" s="7" t="s">
        <v>13545</v>
      </c>
      <c r="D1928" s="7" t="s">
        <v>13546</v>
      </c>
      <c r="E1928" s="12" t="str">
        <f>HYPERLINK("https://twitter.com/turibasa/status/1181926358647222272","1181926358647222272")</f>
        <v>1181926358647222272</v>
      </c>
      <c r="F1928" s="8"/>
      <c r="G1928" s="14" t="s">
        <v>13547</v>
      </c>
      <c r="H1928" s="8"/>
      <c r="I1928" s="15">
        <v>0</v>
      </c>
      <c r="J1928" s="15">
        <v>3</v>
      </c>
      <c r="K1928" s="12" t="str">
        <f>HYPERLINK("http://twitter.com/download/android","Twitter for Android")</f>
        <v>Twitter for Android</v>
      </c>
      <c r="L1928" s="16">
        <v>36</v>
      </c>
      <c r="M1928" s="16">
        <v>63</v>
      </c>
      <c r="N1928" s="16">
        <v>0</v>
      </c>
      <c r="O1928" s="17"/>
      <c r="P1928" s="18">
        <v>43274.789108796293</v>
      </c>
      <c r="Q1928" s="7"/>
      <c r="R1928" s="7" t="s">
        <v>13548</v>
      </c>
      <c r="S1928" s="7"/>
      <c r="T1928" s="8"/>
      <c r="U1928" s="19" t="str">
        <f>HYPERLINK("https://pbs.twimg.com/profile_images/1175771739424514053/uf1nA-1W.jpg","View")</f>
        <v>View</v>
      </c>
      <c r="V1928" s="8"/>
      <c r="W1928" s="8"/>
      <c r="X1928" s="8"/>
      <c r="Y1928" s="8"/>
      <c r="Z1928" s="8"/>
    </row>
    <row r="1929" spans="1:26" ht="12.75">
      <c r="A1929" s="11">
        <v>43747.275173611109</v>
      </c>
      <c r="B1929" s="12" t="str">
        <f>HYPERLINK("https://twitter.com/niyazi_gurgen","@niyazi_gurgen")</f>
        <v>@niyazi_gurgen</v>
      </c>
      <c r="C1929" s="7" t="s">
        <v>13549</v>
      </c>
      <c r="D1929" s="7" t="s">
        <v>13550</v>
      </c>
      <c r="E1929" s="12" t="str">
        <f>HYPERLINK("https://twitter.com/niyazi_gurgen/status/1181926349734326272","1181926349734326272")</f>
        <v>1181926349734326272</v>
      </c>
      <c r="F1929" s="8"/>
      <c r="G1929" s="15"/>
      <c r="H1929" s="8"/>
      <c r="I1929" s="15">
        <v>0</v>
      </c>
      <c r="J1929" s="15">
        <v>1</v>
      </c>
      <c r="K1929" s="12" t="str">
        <f>HYPERLINK("http://twitter.com/download/android","Twitter for Android")</f>
        <v>Twitter for Android</v>
      </c>
      <c r="L1929" s="16">
        <v>30</v>
      </c>
      <c r="M1929" s="16">
        <v>15</v>
      </c>
      <c r="N1929" s="16">
        <v>0</v>
      </c>
      <c r="O1929" s="17"/>
      <c r="P1929" s="18">
        <v>43737.174050925925</v>
      </c>
      <c r="Q1929" s="7" t="s">
        <v>13551</v>
      </c>
      <c r="R1929" s="7" t="s">
        <v>13552</v>
      </c>
      <c r="S1929" s="14" t="s">
        <v>13553</v>
      </c>
      <c r="T1929" s="8"/>
      <c r="U1929" s="19" t="str">
        <f>HYPERLINK("https://pbs.twimg.com/profile_images/1178265949230845955/zOUohU2a.jpg","View")</f>
        <v>View</v>
      </c>
      <c r="V1929" s="8"/>
      <c r="W1929" s="8"/>
      <c r="X1929" s="8"/>
      <c r="Y1929" s="8"/>
      <c r="Z1929" s="8"/>
    </row>
    <row r="1930" spans="1:26" ht="12.75">
      <c r="A1930" s="11">
        <v>43747.275173611109</v>
      </c>
      <c r="B1930" s="12" t="str">
        <f>HYPERLINK("https://twitter.com/okmshalit","@okmshalit")</f>
        <v>@okmshalit</v>
      </c>
      <c r="C1930" s="7" t="s">
        <v>13554</v>
      </c>
      <c r="D1930" s="7" t="s">
        <v>13555</v>
      </c>
      <c r="E1930" s="12" t="str">
        <f>HYPERLINK("https://twitter.com/okmshalit/status/1181926348991930370","1181926348991930370")</f>
        <v>1181926348991930370</v>
      </c>
      <c r="F1930" s="8"/>
      <c r="G1930" s="15"/>
      <c r="H1930" s="8"/>
      <c r="I1930" s="15">
        <v>0</v>
      </c>
      <c r="J1930" s="15">
        <v>0</v>
      </c>
      <c r="K1930" s="12" t="str">
        <f>HYPERLINK("https://mobile.twitter.com","Twitter Web App")</f>
        <v>Twitter Web App</v>
      </c>
      <c r="L1930" s="16">
        <v>104</v>
      </c>
      <c r="M1930" s="16">
        <v>122</v>
      </c>
      <c r="N1930" s="16">
        <v>2</v>
      </c>
      <c r="O1930" s="17"/>
      <c r="P1930" s="18">
        <v>41513.492476851854</v>
      </c>
      <c r="Q1930" s="7" t="s">
        <v>313</v>
      </c>
      <c r="R1930" s="7" t="s">
        <v>13556</v>
      </c>
      <c r="S1930" s="14" t="s">
        <v>13557</v>
      </c>
      <c r="T1930" s="8"/>
      <c r="U1930" s="19" t="str">
        <f>HYPERLINK("https://pbs.twimg.com/profile_images/1112747041174757376/qC0VJWGF.png","View")</f>
        <v>View</v>
      </c>
      <c r="V1930" s="8"/>
      <c r="W1930" s="8"/>
      <c r="X1930" s="8"/>
      <c r="Y1930" s="8"/>
      <c r="Z1930" s="8"/>
    </row>
    <row r="1931" spans="1:26" ht="12.75">
      <c r="A1931" s="11">
        <v>43747.27516203704</v>
      </c>
      <c r="B1931" s="12" t="str">
        <f>HYPERLINK("https://twitter.com/TahsinBal12","@TahsinBal12")</f>
        <v>@TahsinBal12</v>
      </c>
      <c r="C1931" s="7" t="s">
        <v>13558</v>
      </c>
      <c r="D1931" s="7" t="s">
        <v>13559</v>
      </c>
      <c r="E1931" s="12" t="str">
        <f>HYPERLINK("https://twitter.com/TahsinBal12/status/1181926346223755264","1181926346223755264")</f>
        <v>1181926346223755264</v>
      </c>
      <c r="F1931" s="8"/>
      <c r="G1931" s="15"/>
      <c r="H1931" s="8"/>
      <c r="I1931" s="15">
        <v>0</v>
      </c>
      <c r="J1931" s="15">
        <v>0</v>
      </c>
      <c r="K1931" s="12" t="str">
        <f>HYPERLINK("http://twitter.com/download/android","Twitter for Android")</f>
        <v>Twitter for Android</v>
      </c>
      <c r="L1931" s="16">
        <v>10</v>
      </c>
      <c r="M1931" s="16">
        <v>151</v>
      </c>
      <c r="N1931" s="16">
        <v>0</v>
      </c>
      <c r="O1931" s="17"/>
      <c r="P1931" s="18">
        <v>43746.56385416667</v>
      </c>
      <c r="Q1931" s="7"/>
      <c r="R1931" s="7" t="s">
        <v>13560</v>
      </c>
      <c r="S1931" s="7"/>
      <c r="T1931" s="8"/>
      <c r="U1931" s="19" t="str">
        <f>HYPERLINK("https://pbs.twimg.com/profile_images/1181668637637316608/Q6L-6BOj.jpg","View")</f>
        <v>View</v>
      </c>
      <c r="V1931" s="8"/>
      <c r="W1931" s="8"/>
      <c r="X1931" s="8"/>
      <c r="Y1931" s="8"/>
      <c r="Z1931" s="8"/>
    </row>
    <row r="1932" spans="1:26" ht="12.75">
      <c r="A1932" s="11">
        <v>43747.27516203704</v>
      </c>
      <c r="B1932" s="12" t="str">
        <f>HYPERLINK("https://twitter.com/_M_rY_m_","@_M_rY_m_")</f>
        <v>@_M_rY_m_</v>
      </c>
      <c r="C1932" s="7" t="s">
        <v>13561</v>
      </c>
      <c r="D1932" s="7" t="s">
        <v>13562</v>
      </c>
      <c r="E1932" s="12" t="str">
        <f>HYPERLINK("https://twitter.com/_M_rY_m_/status/1181926346164965376","1181926346164965376")</f>
        <v>1181926346164965376</v>
      </c>
      <c r="F1932" s="8"/>
      <c r="G1932" s="7"/>
      <c r="H1932" s="8"/>
      <c r="I1932" s="15">
        <v>0</v>
      </c>
      <c r="J1932" s="15">
        <v>1</v>
      </c>
      <c r="K1932" s="12" t="str">
        <f>HYPERLINK("http://twitter.com/download/android","Twitter for Android")</f>
        <v>Twitter for Android</v>
      </c>
      <c r="L1932" s="16">
        <v>1241</v>
      </c>
      <c r="M1932" s="16">
        <v>931</v>
      </c>
      <c r="N1932" s="16">
        <v>6</v>
      </c>
      <c r="O1932" s="17"/>
      <c r="P1932" s="18">
        <v>40742.309710648144</v>
      </c>
      <c r="Q1932" s="7" t="s">
        <v>13563</v>
      </c>
      <c r="R1932" s="7" t="s">
        <v>13564</v>
      </c>
      <c r="S1932" s="7"/>
      <c r="T1932" s="8"/>
      <c r="U1932" s="19" t="str">
        <f>HYPERLINK("https://pbs.twimg.com/profile_images/1164622382524510208/S63jNtzr.jpg","View")</f>
        <v>View</v>
      </c>
      <c r="V1932" s="8"/>
      <c r="W1932" s="8"/>
      <c r="X1932" s="8"/>
      <c r="Y1932" s="8"/>
      <c r="Z1932" s="8"/>
    </row>
    <row r="1933" spans="1:26" ht="12.75">
      <c r="A1933" s="11">
        <v>43747.27516203704</v>
      </c>
      <c r="B1933" s="12" t="str">
        <f>HYPERLINK("https://twitter.com/ctlll01","@ctlll01")</f>
        <v>@ctlll01</v>
      </c>
      <c r="C1933" s="7" t="s">
        <v>13565</v>
      </c>
      <c r="D1933" s="7" t="s">
        <v>13566</v>
      </c>
      <c r="E1933" s="12" t="str">
        <f>HYPERLINK("https://twitter.com/ctlll01/status/1181926343803625472","1181926343803625472")</f>
        <v>1181926343803625472</v>
      </c>
      <c r="F1933" s="8"/>
      <c r="G1933" s="7"/>
      <c r="H1933" s="8"/>
      <c r="I1933" s="15">
        <v>0</v>
      </c>
      <c r="J1933" s="15">
        <v>0</v>
      </c>
      <c r="K1933" s="12" t="str">
        <f>HYPERLINK("http://twitter.com/download/iphone","Twitter for iPhone")</f>
        <v>Twitter for iPhone</v>
      </c>
      <c r="L1933" s="16">
        <v>33</v>
      </c>
      <c r="M1933" s="16">
        <v>376</v>
      </c>
      <c r="N1933" s="16">
        <v>0</v>
      </c>
      <c r="O1933" s="17"/>
      <c r="P1933" s="18">
        <v>43647.061828703707</v>
      </c>
      <c r="Q1933" s="7"/>
      <c r="R1933" s="7" t="s">
        <v>13567</v>
      </c>
      <c r="S1933" s="15"/>
      <c r="T1933" s="8"/>
      <c r="U1933" s="19" t="str">
        <f>HYPERLINK("https://pbs.twimg.com/profile_images/1180203504633368577/ixEyHemD.jpg","View")</f>
        <v>View</v>
      </c>
      <c r="V1933" s="8"/>
      <c r="W1933" s="8"/>
      <c r="X1933" s="8"/>
      <c r="Y1933" s="8"/>
      <c r="Z1933" s="8"/>
    </row>
    <row r="1934" spans="1:26" ht="12.75">
      <c r="A1934" s="11">
        <v>43747.275150462963</v>
      </c>
      <c r="B1934" s="12" t="str">
        <f>HYPERLINK("https://twitter.com/ozandemir81","@ozandemir81")</f>
        <v>@ozandemir81</v>
      </c>
      <c r="C1934" s="7" t="s">
        <v>13568</v>
      </c>
      <c r="D1934" s="7" t="s">
        <v>13569</v>
      </c>
      <c r="E1934" s="12" t="str">
        <f>HYPERLINK("https://twitter.com/ozandemir81/status/1181926342083989504","1181926342083989504")</f>
        <v>1181926342083989504</v>
      </c>
      <c r="F1934" s="8"/>
      <c r="G1934" s="15"/>
      <c r="H1934" s="8"/>
      <c r="I1934" s="15">
        <v>0</v>
      </c>
      <c r="J1934" s="15">
        <v>0</v>
      </c>
      <c r="K1934" s="12" t="str">
        <f>HYPERLINK("http://twitter.com/download/iphone","Twitter for iPhone")</f>
        <v>Twitter for iPhone</v>
      </c>
      <c r="L1934" s="16">
        <v>74</v>
      </c>
      <c r="M1934" s="16">
        <v>86</v>
      </c>
      <c r="N1934" s="16">
        <v>0</v>
      </c>
      <c r="O1934" s="17"/>
      <c r="P1934" s="18">
        <v>42017.375613425931</v>
      </c>
      <c r="Q1934" s="7"/>
      <c r="R1934" s="7"/>
      <c r="S1934" s="7"/>
      <c r="T1934" s="8"/>
      <c r="U1934" s="19" t="str">
        <f>HYPERLINK("https://pbs.twimg.com/profile_images/1108519024391045121/c75nquy_.jpg","View")</f>
        <v>View</v>
      </c>
      <c r="V1934" s="8"/>
      <c r="W1934" s="8"/>
      <c r="X1934" s="8"/>
      <c r="Y1934" s="8"/>
      <c r="Z1934" s="8"/>
    </row>
    <row r="1935" spans="1:26" ht="12.75">
      <c r="A1935" s="11">
        <v>43747.275138888886</v>
      </c>
      <c r="B1935" s="12" t="str">
        <f>HYPERLINK("https://twitter.com/BusraKaynar","@BusraKaynar")</f>
        <v>@BusraKaynar</v>
      </c>
      <c r="C1935" s="7" t="s">
        <v>13570</v>
      </c>
      <c r="D1935" s="7" t="s">
        <v>13571</v>
      </c>
      <c r="E1935" s="12" t="str">
        <f>HYPERLINK("https://twitter.com/BusraKaynar/status/1181926335054262274","1181926335054262274")</f>
        <v>1181926335054262274</v>
      </c>
      <c r="F1935" s="14" t="s">
        <v>9143</v>
      </c>
      <c r="G1935" s="7"/>
      <c r="H1935" s="8"/>
      <c r="I1935" s="15">
        <v>2</v>
      </c>
      <c r="J1935" s="15">
        <v>0</v>
      </c>
      <c r="K1935" s="12" t="str">
        <f>HYPERLINK("http://twitter.com/download/iphone","Twitter for iPhone")</f>
        <v>Twitter for iPhone</v>
      </c>
      <c r="L1935" s="16">
        <v>137</v>
      </c>
      <c r="M1935" s="16">
        <v>237</v>
      </c>
      <c r="N1935" s="16">
        <v>0</v>
      </c>
      <c r="O1935" s="17"/>
      <c r="P1935" s="18">
        <v>40795.609918981485</v>
      </c>
      <c r="Q1935" s="7"/>
      <c r="R1935" s="7" t="s">
        <v>13572</v>
      </c>
      <c r="S1935" s="7"/>
      <c r="T1935" s="8"/>
      <c r="U1935" s="19" t="str">
        <f>HYPERLINK("https://pbs.twimg.com/profile_images/1158732472147939329/bD3YUo_-.jpg","View")</f>
        <v>View</v>
      </c>
      <c r="V1935" s="8"/>
      <c r="W1935" s="8"/>
      <c r="X1935" s="8"/>
      <c r="Y1935" s="8"/>
      <c r="Z1935" s="8"/>
    </row>
    <row r="1936" spans="1:26" ht="12.75">
      <c r="A1936" s="11">
        <v>43747.275127314817</v>
      </c>
      <c r="B1936" s="12" t="str">
        <f>HYPERLINK("https://twitter.com/gunes__ahmet","@gunes__ahmet")</f>
        <v>@gunes__ahmet</v>
      </c>
      <c r="C1936" s="7" t="s">
        <v>13573</v>
      </c>
      <c r="D1936" s="7" t="s">
        <v>13574</v>
      </c>
      <c r="E1936" s="12" t="str">
        <f>HYPERLINK("https://twitter.com/gunes__ahmet/status/1181926333108178945","1181926333108178945")</f>
        <v>1181926333108178945</v>
      </c>
      <c r="F1936" s="8"/>
      <c r="G1936" s="15"/>
      <c r="H1936" s="8"/>
      <c r="I1936" s="15">
        <v>0</v>
      </c>
      <c r="J1936" s="15">
        <v>1</v>
      </c>
      <c r="K1936" s="12" t="str">
        <f>HYPERLINK("http://twitter.com/download/iphone","Twitter for iPhone")</f>
        <v>Twitter for iPhone</v>
      </c>
      <c r="L1936" s="16">
        <v>113</v>
      </c>
      <c r="M1936" s="16">
        <v>263</v>
      </c>
      <c r="N1936" s="16">
        <v>0</v>
      </c>
      <c r="O1936" s="17"/>
      <c r="P1936" s="18">
        <v>41528.220671296294</v>
      </c>
      <c r="Q1936" s="7"/>
      <c r="R1936" s="7" t="s">
        <v>13575</v>
      </c>
      <c r="S1936" s="7"/>
      <c r="T1936" s="8"/>
      <c r="U1936" s="19" t="str">
        <f>HYPERLINK("https://pbs.twimg.com/profile_images/1158335261069238272/JWDwhlKU.jpg","View")</f>
        <v>View</v>
      </c>
      <c r="V1936" s="8"/>
      <c r="W1936" s="8"/>
      <c r="X1936" s="8"/>
      <c r="Y1936" s="8"/>
      <c r="Z1936" s="8"/>
    </row>
    <row r="1937" spans="1:26" ht="12.75">
      <c r="A1937" s="11">
        <v>43747.275104166663</v>
      </c>
      <c r="B1937" s="12" t="str">
        <f>HYPERLINK("https://twitter.com/thierryd","@thierryd")</f>
        <v>@thierryd</v>
      </c>
      <c r="C1937" s="7" t="s">
        <v>13576</v>
      </c>
      <c r="D1937" s="7" t="s">
        <v>13577</v>
      </c>
      <c r="E1937" s="12" t="str">
        <f>HYPERLINK("https://twitter.com/thierryd/status/1181926324136546307","1181926324136546307")</f>
        <v>1181926324136546307</v>
      </c>
      <c r="F1937" s="8"/>
      <c r="G1937" s="7"/>
      <c r="H1937" s="8"/>
      <c r="I1937" s="15">
        <v>6</v>
      </c>
      <c r="J1937" s="15">
        <v>3</v>
      </c>
      <c r="K1937" s="12" t="str">
        <f>HYPERLINK("https://mobile.twitter.com","Twitter Web App")</f>
        <v>Twitter Web App</v>
      </c>
      <c r="L1937" s="16">
        <v>3470</v>
      </c>
      <c r="M1937" s="16">
        <v>3500</v>
      </c>
      <c r="N1937" s="16">
        <v>154</v>
      </c>
      <c r="O1937" s="17"/>
      <c r="P1937" s="18">
        <v>39658.193969907406</v>
      </c>
      <c r="Q1937" s="7" t="s">
        <v>13578</v>
      </c>
      <c r="R1937" s="7" t="s">
        <v>13579</v>
      </c>
      <c r="S1937" s="14" t="s">
        <v>13580</v>
      </c>
      <c r="T1937" s="8"/>
      <c r="U1937" s="19" t="str">
        <f>HYPERLINK("https://pbs.twimg.com/profile_images/988472243041853441/9dqPUEK3.jpg","View")</f>
        <v>View</v>
      </c>
      <c r="V1937" s="8"/>
      <c r="W1937" s="8"/>
      <c r="X1937" s="8"/>
      <c r="Y1937" s="8"/>
      <c r="Z1937" s="8"/>
    </row>
    <row r="1938" spans="1:26" ht="12.75">
      <c r="A1938" s="11">
        <v>43747.275104166663</v>
      </c>
      <c r="B1938" s="12" t="str">
        <f>HYPERLINK("https://twitter.com/Mihriban_merent","@Mihriban_merent")</f>
        <v>@Mihriban_merent</v>
      </c>
      <c r="C1938" s="13" t="s">
        <v>13581</v>
      </c>
      <c r="D1938" s="7" t="s">
        <v>13582</v>
      </c>
      <c r="E1938" s="12" t="str">
        <f>HYPERLINK("https://twitter.com/Mihriban_merent/status/1181926322244853763","1181926322244853763")</f>
        <v>1181926322244853763</v>
      </c>
      <c r="F1938" s="8"/>
      <c r="G1938" s="15"/>
      <c r="H1938" s="8"/>
      <c r="I1938" s="15">
        <v>4</v>
      </c>
      <c r="J1938" s="15">
        <v>12</v>
      </c>
      <c r="K1938" s="12" t="str">
        <f>HYPERLINK("http://twitter.com","Twitter Web Client")</f>
        <v>Twitter Web Client</v>
      </c>
      <c r="L1938" s="16">
        <v>111581</v>
      </c>
      <c r="M1938" s="16">
        <v>33089</v>
      </c>
      <c r="N1938" s="16">
        <v>198</v>
      </c>
      <c r="O1938" s="17"/>
      <c r="P1938" s="18">
        <v>40726.296087962961</v>
      </c>
      <c r="Q1938" s="7" t="s">
        <v>13583</v>
      </c>
      <c r="R1938" s="7" t="s">
        <v>13584</v>
      </c>
      <c r="S1938" s="15"/>
      <c r="T1938" s="8"/>
      <c r="U1938" s="19" t="str">
        <f>HYPERLINK("https://pbs.twimg.com/profile_images/856620264225988608/UIgQw-rO.jpg","View")</f>
        <v>View</v>
      </c>
      <c r="V1938" s="8"/>
      <c r="W1938" s="8"/>
      <c r="X1938" s="8"/>
      <c r="Y1938" s="8"/>
      <c r="Z1938" s="8"/>
    </row>
    <row r="1939" spans="1:26" ht="12.75">
      <c r="A1939" s="11">
        <v>43747.275092592594</v>
      </c>
      <c r="B1939" s="12" t="str">
        <f>HYPERLINK("https://twitter.com/Turkotuz7","@Turkotuz7")</f>
        <v>@Turkotuz7</v>
      </c>
      <c r="C1939" s="7" t="s">
        <v>13585</v>
      </c>
      <c r="D1939" s="7" t="s">
        <v>13586</v>
      </c>
      <c r="E1939" s="12" t="str">
        <f>HYPERLINK("https://twitter.com/Turkotuz7/status/1181926318633553921","1181926318633553921")</f>
        <v>1181926318633553921</v>
      </c>
      <c r="F1939" s="8"/>
      <c r="G1939" s="15"/>
      <c r="H1939" s="8"/>
      <c r="I1939" s="15">
        <v>0</v>
      </c>
      <c r="J1939" s="15">
        <v>0</v>
      </c>
      <c r="K1939" s="12" t="str">
        <f>HYPERLINK("http://twitter.com/download/android","Twitter for Android")</f>
        <v>Twitter for Android</v>
      </c>
      <c r="L1939" s="16">
        <v>754</v>
      </c>
      <c r="M1939" s="16">
        <v>1093</v>
      </c>
      <c r="N1939" s="16">
        <v>1</v>
      </c>
      <c r="O1939" s="17"/>
      <c r="P1939" s="18">
        <v>40461.493379629632</v>
      </c>
      <c r="Q1939" s="7" t="s">
        <v>313</v>
      </c>
      <c r="R1939" s="7" t="s">
        <v>13587</v>
      </c>
      <c r="S1939" s="15"/>
      <c r="T1939" s="8"/>
      <c r="U1939" s="19" t="str">
        <f>HYPERLINK("https://pbs.twimg.com/profile_images/1134587175683665922/ZZp3YfEe.jpg","View")</f>
        <v>View</v>
      </c>
      <c r="V1939" s="8"/>
      <c r="W1939" s="8"/>
      <c r="X1939" s="8"/>
      <c r="Y1939" s="8"/>
      <c r="Z1939" s="8"/>
    </row>
    <row r="1940" spans="1:26" ht="12.75">
      <c r="A1940" s="11">
        <v>43747.275081018517</v>
      </c>
      <c r="B1940" s="12" t="str">
        <f>HYPERLINK("https://twitter.com/betulbes","@betulbes")</f>
        <v>@betulbes</v>
      </c>
      <c r="C1940" s="7" t="s">
        <v>13588</v>
      </c>
      <c r="D1940" s="7" t="s">
        <v>13589</v>
      </c>
      <c r="E1940" s="12" t="str">
        <f>HYPERLINK("https://twitter.com/betulbes/status/1181926316360306690","1181926316360306690")</f>
        <v>1181926316360306690</v>
      </c>
      <c r="F1940" s="8"/>
      <c r="G1940" s="14" t="s">
        <v>13590</v>
      </c>
      <c r="H1940" s="8"/>
      <c r="I1940" s="15">
        <v>0</v>
      </c>
      <c r="J1940" s="15">
        <v>1</v>
      </c>
      <c r="K1940" s="12" t="str">
        <f>HYPERLINK("http://twitter.com/download/android","Twitter for Android")</f>
        <v>Twitter for Android</v>
      </c>
      <c r="L1940" s="16">
        <v>536</v>
      </c>
      <c r="M1940" s="16">
        <v>177</v>
      </c>
      <c r="N1940" s="16">
        <v>1</v>
      </c>
      <c r="O1940" s="17"/>
      <c r="P1940" s="18">
        <v>42077.621192129634</v>
      </c>
      <c r="Q1940" s="7" t="s">
        <v>200</v>
      </c>
      <c r="R1940" s="7" t="s">
        <v>13591</v>
      </c>
      <c r="S1940" s="15"/>
      <c r="T1940" s="8"/>
      <c r="U1940" s="19" t="str">
        <f>HYPERLINK("https://pbs.twimg.com/profile_images/1134269693848670214/WsRRwrun.jpg","View")</f>
        <v>View</v>
      </c>
      <c r="V1940" s="8"/>
      <c r="W1940" s="8"/>
      <c r="X1940" s="8"/>
      <c r="Y1940" s="8"/>
      <c r="Z1940" s="8"/>
    </row>
    <row r="1941" spans="1:26" ht="12.75">
      <c r="A1941" s="11">
        <v>43747.275081018517</v>
      </c>
      <c r="B1941" s="12" t="str">
        <f>HYPERLINK("https://twitter.com/meltemiiks","@meltemiiks")</f>
        <v>@meltemiiks</v>
      </c>
      <c r="C1941" s="7" t="s">
        <v>13592</v>
      </c>
      <c r="D1941" s="7" t="s">
        <v>13593</v>
      </c>
      <c r="E1941" s="12" t="str">
        <f>HYPERLINK("https://twitter.com/meltemiiks/status/1181926314208563203","1181926314208563203")</f>
        <v>1181926314208563203</v>
      </c>
      <c r="F1941" s="14" t="s">
        <v>3207</v>
      </c>
      <c r="G1941" s="15"/>
      <c r="H1941" s="8"/>
      <c r="I1941" s="15">
        <v>0</v>
      </c>
      <c r="J1941" s="15">
        <v>0</v>
      </c>
      <c r="K1941" s="12" t="str">
        <f>HYPERLINK("http://twitter.com/download/android","Twitter for Android")</f>
        <v>Twitter for Android</v>
      </c>
      <c r="L1941" s="16">
        <v>163</v>
      </c>
      <c r="M1941" s="16">
        <v>47</v>
      </c>
      <c r="N1941" s="16">
        <v>0</v>
      </c>
      <c r="O1941" s="17"/>
      <c r="P1941" s="18">
        <v>43019.405497685184</v>
      </c>
      <c r="Q1941" s="7"/>
      <c r="R1941" s="15" t="s">
        <v>13594</v>
      </c>
      <c r="S1941" s="7"/>
      <c r="T1941" s="8"/>
      <c r="U1941" s="19" t="str">
        <f>HYPERLINK("https://pbs.twimg.com/profile_images/955204568408903688/NK59ekyD.jpg","View")</f>
        <v>View</v>
      </c>
      <c r="V1941" s="8"/>
      <c r="W1941" s="8"/>
      <c r="X1941" s="8"/>
      <c r="Y1941" s="8"/>
      <c r="Z1941" s="8"/>
    </row>
    <row r="1942" spans="1:26" ht="12.75">
      <c r="A1942" s="11">
        <v>43747.275081018517</v>
      </c>
      <c r="B1942" s="12" t="str">
        <f>HYPERLINK("https://twitter.com/mambish","@mambish")</f>
        <v>@mambish</v>
      </c>
      <c r="C1942" s="7" t="s">
        <v>13595</v>
      </c>
      <c r="D1942" s="7" t="s">
        <v>13596</v>
      </c>
      <c r="E1942" s="12" t="str">
        <f>HYPERLINK("https://twitter.com/mambish/status/1181926314112102400","1181926314112102400")</f>
        <v>1181926314112102400</v>
      </c>
      <c r="F1942" s="8"/>
      <c r="G1942" s="15"/>
      <c r="H1942" s="8"/>
      <c r="I1942" s="15">
        <v>0</v>
      </c>
      <c r="J1942" s="15">
        <v>0</v>
      </c>
      <c r="K1942" s="12" t="str">
        <f>HYPERLINK("http://twitter.com/download/android","Twitter for Android")</f>
        <v>Twitter for Android</v>
      </c>
      <c r="L1942" s="16">
        <v>22</v>
      </c>
      <c r="M1942" s="16">
        <v>368</v>
      </c>
      <c r="N1942" s="16">
        <v>0</v>
      </c>
      <c r="O1942" s="17"/>
      <c r="P1942" s="18">
        <v>39987.23646990741</v>
      </c>
      <c r="Q1942" s="7" t="s">
        <v>13597</v>
      </c>
      <c r="R1942" s="7" t="s">
        <v>13598</v>
      </c>
      <c r="S1942" s="7"/>
      <c r="T1942" s="8"/>
      <c r="U1942" s="19" t="str">
        <f>HYPERLINK("https://pbs.twimg.com/profile_images/586993451/ralph.bmp","View")</f>
        <v>View</v>
      </c>
      <c r="V1942" s="8"/>
      <c r="W1942" s="8"/>
      <c r="X1942" s="8"/>
      <c r="Y1942" s="8"/>
      <c r="Z1942" s="8"/>
    </row>
    <row r="1943" spans="1:26" ht="12.75">
      <c r="A1943" s="11">
        <v>43747.27506944444</v>
      </c>
      <c r="B1943" s="12" t="str">
        <f>HYPERLINK("https://twitter.com/ekrem_imamoglu6","@ekrem_imamoglu6")</f>
        <v>@ekrem_imamoglu6</v>
      </c>
      <c r="C1943" s="7" t="s">
        <v>13599</v>
      </c>
      <c r="D1943" s="7" t="s">
        <v>13600</v>
      </c>
      <c r="E1943" s="12" t="str">
        <f>HYPERLINK("https://twitter.com/ekrem_imamoglu6/status/1181926313076150272","1181926313076150272")</f>
        <v>1181926313076150272</v>
      </c>
      <c r="F1943" s="8"/>
      <c r="G1943" s="14" t="s">
        <v>13601</v>
      </c>
      <c r="H1943" s="8"/>
      <c r="I1943" s="15">
        <v>0</v>
      </c>
      <c r="J1943" s="15">
        <v>1</v>
      </c>
      <c r="K1943" s="12" t="str">
        <f>HYPERLINK("http://twitter.com/download/android","Twitter for Android")</f>
        <v>Twitter for Android</v>
      </c>
      <c r="L1943" s="16">
        <v>9</v>
      </c>
      <c r="M1943" s="16">
        <v>66</v>
      </c>
      <c r="N1943" s="16">
        <v>0</v>
      </c>
      <c r="O1943" s="17"/>
      <c r="P1943" s="18">
        <v>43431.599733796298</v>
      </c>
      <c r="Q1943" s="7" t="s">
        <v>13602</v>
      </c>
      <c r="R1943" s="7"/>
      <c r="S1943" s="7"/>
      <c r="T1943" s="8"/>
      <c r="U1943" s="19" t="str">
        <f>HYPERLINK("https://pbs.twimg.com/profile_images/1146543771707936773/PTxSipvE.jpg","View")</f>
        <v>View</v>
      </c>
      <c r="V1943" s="8"/>
      <c r="W1943" s="8"/>
      <c r="X1943" s="8"/>
      <c r="Y1943" s="8"/>
      <c r="Z1943" s="8"/>
    </row>
    <row r="1944" spans="1:26" ht="12.75">
      <c r="A1944" s="11">
        <v>43747.275057870371</v>
      </c>
      <c r="B1944" s="12" t="str">
        <f>HYPERLINK("https://twitter.com/Gkbr011","@Gkbr011")</f>
        <v>@Gkbr011</v>
      </c>
      <c r="C1944" s="7" t="s">
        <v>13603</v>
      </c>
      <c r="D1944" s="7" t="s">
        <v>13604</v>
      </c>
      <c r="E1944" s="12" t="str">
        <f>HYPERLINK("https://twitter.com/Gkbr011/status/1181926307191558150","1181926307191558150")</f>
        <v>1181926307191558150</v>
      </c>
      <c r="F1944" s="8"/>
      <c r="G1944" s="15"/>
      <c r="H1944" s="8"/>
      <c r="I1944" s="15">
        <v>0</v>
      </c>
      <c r="J1944" s="15">
        <v>1</v>
      </c>
      <c r="K1944" s="12" t="str">
        <f>HYPERLINK("http://twitter.com/download/android","Twitter for Android")</f>
        <v>Twitter for Android</v>
      </c>
      <c r="L1944" s="16">
        <v>3</v>
      </c>
      <c r="M1944" s="16">
        <v>19</v>
      </c>
      <c r="N1944" s="16">
        <v>0</v>
      </c>
      <c r="O1944" s="17"/>
      <c r="P1944" s="18">
        <v>43740.845416666663</v>
      </c>
      <c r="Q1944" s="7"/>
      <c r="R1944" s="7" t="s">
        <v>13605</v>
      </c>
      <c r="S1944" s="7"/>
      <c r="T1944" s="8"/>
      <c r="U1944" s="19" t="str">
        <f>HYPERLINK("https://pbs.twimg.com/profile_images/1181400945453867009/edjwLpnV.jpg","View")</f>
        <v>View</v>
      </c>
      <c r="V1944" s="8"/>
      <c r="W1944" s="8"/>
      <c r="X1944" s="8"/>
      <c r="Y1944" s="8"/>
      <c r="Z1944" s="8"/>
    </row>
    <row r="1945" spans="1:26" ht="12.75">
      <c r="A1945" s="11">
        <v>43747.275057870371</v>
      </c>
      <c r="B1945" s="12" t="str">
        <f>HYPERLINK("https://twitter.com/ssenkardes","@ssenkardes")</f>
        <v>@ssenkardes</v>
      </c>
      <c r="C1945" s="7" t="s">
        <v>13606</v>
      </c>
      <c r="D1945" s="7" t="s">
        <v>13607</v>
      </c>
      <c r="E1945" s="12" t="str">
        <f>HYPERLINK("https://twitter.com/ssenkardes/status/1181926306000318464","1181926306000318464")</f>
        <v>1181926306000318464</v>
      </c>
      <c r="F1945" s="8"/>
      <c r="G1945" s="7"/>
      <c r="H1945" s="8"/>
      <c r="I1945" s="15">
        <v>0</v>
      </c>
      <c r="J1945" s="15">
        <v>2</v>
      </c>
      <c r="K1945" s="12" t="str">
        <f>HYPERLINK("https://mobile.twitter.com","Twitter Web App")</f>
        <v>Twitter Web App</v>
      </c>
      <c r="L1945" s="16">
        <v>30</v>
      </c>
      <c r="M1945" s="16">
        <v>64</v>
      </c>
      <c r="N1945" s="16">
        <v>0</v>
      </c>
      <c r="O1945" s="17"/>
      <c r="P1945" s="18">
        <v>40779.146550925929</v>
      </c>
      <c r="Q1945" s="7" t="s">
        <v>4449</v>
      </c>
      <c r="R1945" s="7" t="s">
        <v>13608</v>
      </c>
      <c r="S1945" s="7"/>
      <c r="T1945" s="8"/>
      <c r="U1945" s="19" t="str">
        <f>HYPERLINK("https://pbs.twimg.com/profile_images/1576693092/29756_389427482833_585722833_3869133_1435251_n.jpg","View")</f>
        <v>View</v>
      </c>
      <c r="V1945" s="8"/>
      <c r="W1945" s="8"/>
      <c r="X1945" s="8"/>
      <c r="Y1945" s="8"/>
      <c r="Z1945" s="8"/>
    </row>
    <row r="1946" spans="1:26" ht="12.75">
      <c r="A1946" s="11">
        <v>43747.275046296301</v>
      </c>
      <c r="B1946" s="12" t="str">
        <f>HYPERLINK("https://twitter.com/Genc_politikaci","@Genc_politikaci")</f>
        <v>@Genc_politikaci</v>
      </c>
      <c r="C1946" s="7" t="s">
        <v>13609</v>
      </c>
      <c r="D1946" s="7" t="s">
        <v>13610</v>
      </c>
      <c r="E1946" s="12" t="str">
        <f>HYPERLINK("https://twitter.com/Genc_politikaci/status/1181926304909856771","1181926304909856771")</f>
        <v>1181926304909856771</v>
      </c>
      <c r="F1946" s="8"/>
      <c r="G1946" s="14" t="s">
        <v>13611</v>
      </c>
      <c r="H1946" s="8"/>
      <c r="I1946" s="15">
        <v>0</v>
      </c>
      <c r="J1946" s="15">
        <v>0</v>
      </c>
      <c r="K1946" s="12" t="str">
        <f>HYPERLINK("http://twitter.com/download/iphone","Twitter for iPhone")</f>
        <v>Twitter for iPhone</v>
      </c>
      <c r="L1946" s="16">
        <v>24</v>
      </c>
      <c r="M1946" s="16">
        <v>162</v>
      </c>
      <c r="N1946" s="16">
        <v>0</v>
      </c>
      <c r="O1946" s="17"/>
      <c r="P1946" s="18">
        <v>43072.105462962965</v>
      </c>
      <c r="Q1946" s="7" t="s">
        <v>80</v>
      </c>
      <c r="R1946" s="7" t="s">
        <v>13612</v>
      </c>
      <c r="S1946" s="7"/>
      <c r="T1946" s="8"/>
      <c r="U1946" s="19" t="str">
        <f>HYPERLINK("https://pbs.twimg.com/profile_images/982688134038261762/T3P2jM8L.jpg","View")</f>
        <v>View</v>
      </c>
      <c r="V1946" s="8"/>
      <c r="W1946" s="8"/>
      <c r="X1946" s="8"/>
      <c r="Y1946" s="8"/>
      <c r="Z1946" s="8"/>
    </row>
    <row r="1947" spans="1:26" ht="12.75">
      <c r="A1947" s="11">
        <v>43747.275034722217</v>
      </c>
      <c r="B1947" s="12" t="str">
        <f>HYPERLINK("https://twitter.com/busroull","@busroull")</f>
        <v>@busroull</v>
      </c>
      <c r="C1947" s="7" t="s">
        <v>7563</v>
      </c>
      <c r="D1947" s="7" t="s">
        <v>13613</v>
      </c>
      <c r="E1947" s="12" t="str">
        <f>HYPERLINK("https://twitter.com/busroull/status/1181926300996509696","1181926300996509696")</f>
        <v>1181926300996509696</v>
      </c>
      <c r="F1947" s="8"/>
      <c r="G1947" s="14" t="s">
        <v>13614</v>
      </c>
      <c r="H1947" s="8"/>
      <c r="I1947" s="15">
        <v>0</v>
      </c>
      <c r="J1947" s="15">
        <v>2</v>
      </c>
      <c r="K1947" s="12" t="str">
        <f>HYPERLINK("http://twitter.com/download/android","Twitter for Android")</f>
        <v>Twitter for Android</v>
      </c>
      <c r="L1947" s="16">
        <v>152</v>
      </c>
      <c r="M1947" s="16">
        <v>86</v>
      </c>
      <c r="N1947" s="16">
        <v>1</v>
      </c>
      <c r="O1947" s="17"/>
      <c r="P1947" s="18">
        <v>41098.214097222226</v>
      </c>
      <c r="Q1947" s="7" t="s">
        <v>13615</v>
      </c>
      <c r="R1947" s="7" t="s">
        <v>13616</v>
      </c>
      <c r="S1947" s="7"/>
      <c r="T1947" s="8"/>
      <c r="U1947" s="19" t="str">
        <f>HYPERLINK("https://pbs.twimg.com/profile_images/1151450780538474497/rxZauIQQ.jpg","View")</f>
        <v>View</v>
      </c>
      <c r="V1947" s="8"/>
      <c r="W1947" s="8"/>
      <c r="X1947" s="8"/>
      <c r="Y1947" s="8"/>
      <c r="Z1947" s="8"/>
    </row>
    <row r="1948" spans="1:26" ht="12.75">
      <c r="A1948" s="11">
        <v>43747.275034722217</v>
      </c>
      <c r="B1948" s="12" t="str">
        <f>HYPERLINK("https://twitter.com/7falkao7","@7falkao7")</f>
        <v>@7falkao7</v>
      </c>
      <c r="C1948" s="7" t="s">
        <v>13617</v>
      </c>
      <c r="D1948" s="7" t="s">
        <v>13618</v>
      </c>
      <c r="E1948" s="12" t="str">
        <f>HYPERLINK("https://twitter.com/7falkao7/status/1181926300870680578","1181926300870680578")</f>
        <v>1181926300870680578</v>
      </c>
      <c r="F1948" s="8"/>
      <c r="G1948" s="14" t="s">
        <v>13619</v>
      </c>
      <c r="H1948" s="8"/>
      <c r="I1948" s="15">
        <v>0</v>
      </c>
      <c r="J1948" s="15">
        <v>0</v>
      </c>
      <c r="K1948" s="12" t="str">
        <f>HYPERLINK("http://twitter.com/download/iphone","Twitter for iPhone")</f>
        <v>Twitter for iPhone</v>
      </c>
      <c r="L1948" s="16">
        <v>0</v>
      </c>
      <c r="M1948" s="16">
        <v>0</v>
      </c>
      <c r="N1948" s="16">
        <v>0</v>
      </c>
      <c r="O1948" s="17"/>
      <c r="P1948" s="18">
        <v>43747.239537037036</v>
      </c>
      <c r="Q1948" s="7"/>
      <c r="R1948" s="7"/>
      <c r="S1948" s="7"/>
      <c r="T1948" s="8"/>
      <c r="U1948" s="20" t="s">
        <v>354</v>
      </c>
      <c r="V1948" s="8"/>
      <c r="W1948" s="8"/>
      <c r="X1948" s="8"/>
      <c r="Y1948" s="8"/>
      <c r="Z1948" s="8"/>
    </row>
    <row r="1949" spans="1:26" ht="12.75">
      <c r="A1949" s="11">
        <v>43747.275034722217</v>
      </c>
      <c r="B1949" s="12" t="str">
        <f>HYPERLINK("https://twitter.com/muhammetulug","@muhammetulug")</f>
        <v>@muhammetulug</v>
      </c>
      <c r="C1949" s="7" t="s">
        <v>13620</v>
      </c>
      <c r="D1949" s="7" t="s">
        <v>13621</v>
      </c>
      <c r="E1949" s="12" t="str">
        <f>HYPERLINK("https://twitter.com/muhammetulug/status/1181926298232356870","1181926298232356870")</f>
        <v>1181926298232356870</v>
      </c>
      <c r="F1949" s="8"/>
      <c r="G1949" s="14" t="s">
        <v>13622</v>
      </c>
      <c r="H1949" s="8"/>
      <c r="I1949" s="15">
        <v>0</v>
      </c>
      <c r="J1949" s="15">
        <v>1</v>
      </c>
      <c r="K1949" s="12" t="str">
        <f>HYPERLINK("http://twitter.com/download/android","Twitter for Android")</f>
        <v>Twitter for Android</v>
      </c>
      <c r="L1949" s="16">
        <v>208</v>
      </c>
      <c r="M1949" s="16">
        <v>493</v>
      </c>
      <c r="N1949" s="16">
        <v>0</v>
      </c>
      <c r="O1949" s="17"/>
      <c r="P1949" s="18">
        <v>40528.524525462963</v>
      </c>
      <c r="Q1949" s="7"/>
      <c r="R1949" s="7"/>
      <c r="S1949" s="7"/>
      <c r="T1949" s="8"/>
      <c r="U1949" s="19" t="str">
        <f>HYPERLINK("https://pbs.twimg.com/profile_images/1154823778834223106/2BpKSXo1.jpg","View")</f>
        <v>View</v>
      </c>
      <c r="V1949" s="8"/>
      <c r="W1949" s="8"/>
      <c r="X1949" s="8"/>
      <c r="Y1949" s="8"/>
      <c r="Z1949" s="8"/>
    </row>
    <row r="1950" spans="1:26" ht="12.75">
      <c r="A1950" s="11">
        <v>43747.275034722217</v>
      </c>
      <c r="B1950" s="12" t="str">
        <f>HYPERLINK("https://twitter.com/Tunahanyldzhn","@Tunahanyldzhn")</f>
        <v>@Tunahanyldzhn</v>
      </c>
      <c r="C1950" s="7" t="s">
        <v>13623</v>
      </c>
      <c r="D1950" s="7" t="s">
        <v>8826</v>
      </c>
      <c r="E1950" s="12" t="str">
        <f>HYPERLINK("https://twitter.com/Tunahanyldzhn/status/1181926298215686146","1181926298215686146")</f>
        <v>1181926298215686146</v>
      </c>
      <c r="F1950" s="8"/>
      <c r="G1950" s="14" t="s">
        <v>13624</v>
      </c>
      <c r="H1950" s="8"/>
      <c r="I1950" s="15">
        <v>1</v>
      </c>
      <c r="J1950" s="15">
        <v>2</v>
      </c>
      <c r="K1950" s="12" t="str">
        <f>HYPERLINK("http://twitter.com/download/iphone","Twitter for iPhone")</f>
        <v>Twitter for iPhone</v>
      </c>
      <c r="L1950" s="16">
        <v>17</v>
      </c>
      <c r="M1950" s="16">
        <v>119</v>
      </c>
      <c r="N1950" s="16">
        <v>0</v>
      </c>
      <c r="O1950" s="17"/>
      <c r="P1950" s="18">
        <v>43569.009039351848</v>
      </c>
      <c r="Q1950" s="7"/>
      <c r="R1950" s="7"/>
      <c r="S1950" s="7"/>
      <c r="T1950" s="8"/>
      <c r="U1950" s="19" t="str">
        <f>HYPERLINK("https://pbs.twimg.com/profile_images/1118086077401772032/1v6-TYKO.jpg","View")</f>
        <v>View</v>
      </c>
      <c r="V1950" s="8"/>
      <c r="W1950" s="8"/>
      <c r="X1950" s="8"/>
      <c r="Y1950" s="8"/>
      <c r="Z1950" s="8"/>
    </row>
    <row r="1951" spans="1:26" ht="12.75">
      <c r="A1951" s="11">
        <v>43747.275034722217</v>
      </c>
      <c r="B1951" s="12" t="str">
        <f>HYPERLINK("https://twitter.com/sadeceyaziyorr","@sadeceyaziyorr")</f>
        <v>@sadeceyaziyorr</v>
      </c>
      <c r="C1951" s="7" t="s">
        <v>13625</v>
      </c>
      <c r="D1951" s="7" t="s">
        <v>13626</v>
      </c>
      <c r="E1951" s="12" t="str">
        <f>HYPERLINK("https://twitter.com/sadeceyaziyorr/status/1181926297792065541","1181926297792065541")</f>
        <v>1181926297792065541</v>
      </c>
      <c r="F1951" s="8" t="s">
        <v>13627</v>
      </c>
      <c r="G1951" s="14" t="s">
        <v>13628</v>
      </c>
      <c r="H1951" s="8"/>
      <c r="I1951" s="15">
        <v>1</v>
      </c>
      <c r="J1951" s="15">
        <v>0</v>
      </c>
      <c r="K1951" s="12" t="str">
        <f>HYPERLINK("https://mobile.twitter.com","Twitter Web App")</f>
        <v>Twitter Web App</v>
      </c>
      <c r="L1951" s="16">
        <v>13</v>
      </c>
      <c r="M1951" s="16">
        <v>25</v>
      </c>
      <c r="N1951" s="16">
        <v>0</v>
      </c>
      <c r="O1951" s="17"/>
      <c r="P1951" s="18">
        <v>43482.21707175926</v>
      </c>
      <c r="Q1951" s="7"/>
      <c r="R1951" s="7" t="s">
        <v>13629</v>
      </c>
      <c r="S1951" s="15"/>
      <c r="T1951" s="8"/>
      <c r="U1951" s="19" t="str">
        <f>HYPERLINK("https://pbs.twimg.com/profile_images/1096865167525273600/-34IjOma.jpg","View")</f>
        <v>View</v>
      </c>
      <c r="V1951" s="8"/>
      <c r="W1951" s="8"/>
      <c r="X1951" s="8"/>
      <c r="Y1951" s="8"/>
      <c r="Z1951" s="8"/>
    </row>
    <row r="1952" spans="1:26" ht="12.75">
      <c r="A1952" s="11">
        <v>43747.275023148148</v>
      </c>
      <c r="B1952" s="12" t="str">
        <f>HYPERLINK("https://twitter.com/BurakErgin59","@BurakErgin59")</f>
        <v>@BurakErgin59</v>
      </c>
      <c r="C1952" s="7" t="s">
        <v>13630</v>
      </c>
      <c r="D1952" s="7" t="s">
        <v>13631</v>
      </c>
      <c r="E1952" s="12" t="str">
        <f>HYPERLINK("https://twitter.com/BurakErgin59/status/1181926296760266753","1181926296760266753")</f>
        <v>1181926296760266753</v>
      </c>
      <c r="F1952" s="8"/>
      <c r="G1952" s="15"/>
      <c r="H1952" s="8"/>
      <c r="I1952" s="15">
        <v>0</v>
      </c>
      <c r="J1952" s="15">
        <v>1</v>
      </c>
      <c r="K1952" s="12" t="str">
        <f>HYPERLINK("http://twitter.com/download/iphone","Twitter for iPhone")</f>
        <v>Twitter for iPhone</v>
      </c>
      <c r="L1952" s="16">
        <v>230</v>
      </c>
      <c r="M1952" s="16">
        <v>403</v>
      </c>
      <c r="N1952" s="16">
        <v>1</v>
      </c>
      <c r="O1952" s="17"/>
      <c r="P1952" s="18">
        <v>41356.341550925928</v>
      </c>
      <c r="Q1952" s="7" t="s">
        <v>13632</v>
      </c>
      <c r="R1952" s="7" t="s">
        <v>13633</v>
      </c>
      <c r="S1952" s="7"/>
      <c r="T1952" s="8"/>
      <c r="U1952" s="19" t="str">
        <f>HYPERLINK("https://pbs.twimg.com/profile_images/1136306563331739648/h1VNW52J.jpg","View")</f>
        <v>View</v>
      </c>
      <c r="V1952" s="8"/>
      <c r="W1952" s="8"/>
      <c r="X1952" s="8"/>
      <c r="Y1952" s="8"/>
      <c r="Z1952" s="8"/>
    </row>
    <row r="1953" spans="1:26" ht="12.75">
      <c r="A1953" s="11">
        <v>43747.274976851855</v>
      </c>
      <c r="B1953" s="12" t="str">
        <f>HYPERLINK("https://twitter.com/geldikleri","@geldikleri")</f>
        <v>@geldikleri</v>
      </c>
      <c r="C1953" s="7" t="s">
        <v>13634</v>
      </c>
      <c r="D1953" s="7" t="s">
        <v>13635</v>
      </c>
      <c r="E1953" s="12" t="str">
        <f>HYPERLINK("https://twitter.com/geldikleri/status/1181926279005782019","1181926279005782019")</f>
        <v>1181926279005782019</v>
      </c>
      <c r="F1953" s="8"/>
      <c r="G1953" s="7"/>
      <c r="H1953" s="8"/>
      <c r="I1953" s="15">
        <v>0</v>
      </c>
      <c r="J1953" s="15">
        <v>1</v>
      </c>
      <c r="K1953" s="12" t="str">
        <f>HYPERLINK("https://mobile.twitter.com","Twitter Web App")</f>
        <v>Twitter Web App</v>
      </c>
      <c r="L1953" s="16">
        <v>102</v>
      </c>
      <c r="M1953" s="16">
        <v>276</v>
      </c>
      <c r="N1953" s="16">
        <v>0</v>
      </c>
      <c r="O1953" s="17"/>
      <c r="P1953" s="18">
        <v>43713.149953703702</v>
      </c>
      <c r="Q1953" s="7"/>
      <c r="R1953" s="7" t="s">
        <v>13636</v>
      </c>
      <c r="S1953" s="7"/>
      <c r="T1953" s="8"/>
      <c r="U1953" s="19" t="str">
        <f>HYPERLINK("https://pbs.twimg.com/profile_images/1169561695842443265/NJPZpE7M.jpg","View")</f>
        <v>View</v>
      </c>
      <c r="V1953" s="8"/>
      <c r="W1953" s="8"/>
      <c r="X1953" s="8"/>
      <c r="Y1953" s="8"/>
      <c r="Z1953" s="8"/>
    </row>
    <row r="1954" spans="1:26" ht="12.75">
      <c r="A1954" s="11">
        <v>43747.274965277778</v>
      </c>
      <c r="B1954" s="12" t="str">
        <f>HYPERLINK("https://twitter.com/Ramazan20300986","@Ramazan20300986")</f>
        <v>@Ramazan20300986</v>
      </c>
      <c r="C1954" s="7" t="s">
        <v>13637</v>
      </c>
      <c r="D1954" s="7" t="s">
        <v>13638</v>
      </c>
      <c r="E1954" s="12" t="str">
        <f>HYPERLINK("https://twitter.com/Ramazan20300986/status/1181926274119471104","1181926274119471104")</f>
        <v>1181926274119471104</v>
      </c>
      <c r="F1954" s="15"/>
      <c r="G1954" s="7"/>
      <c r="H1954" s="8"/>
      <c r="I1954" s="15">
        <v>0</v>
      </c>
      <c r="J1954" s="15">
        <v>0</v>
      </c>
      <c r="K1954" s="12" t="str">
        <f>HYPERLINK("http://twitter.com/download/android","Twitter for Android")</f>
        <v>Twitter for Android</v>
      </c>
      <c r="L1954" s="16">
        <v>493</v>
      </c>
      <c r="M1954" s="16">
        <v>538</v>
      </c>
      <c r="N1954" s="16">
        <v>0</v>
      </c>
      <c r="O1954" s="17"/>
      <c r="P1954" s="18">
        <v>43074.361122685186</v>
      </c>
      <c r="Q1954" s="7"/>
      <c r="R1954" s="7"/>
      <c r="S1954" s="7"/>
      <c r="T1954" s="8"/>
      <c r="U1954" s="19" t="str">
        <f>HYPERLINK("https://pbs.twimg.com/profile_images/998330355747717120/jZUdCN2X.jpg","View")</f>
        <v>View</v>
      </c>
      <c r="V1954" s="8"/>
      <c r="W1954" s="8"/>
      <c r="X1954" s="8"/>
      <c r="Y1954" s="8"/>
      <c r="Z1954" s="8"/>
    </row>
    <row r="1955" spans="1:26" ht="12.75">
      <c r="A1955" s="11">
        <v>43747.274942129632</v>
      </c>
      <c r="B1955" s="12" t="str">
        <f>HYPERLINK("https://twitter.com/Efeaky1453","@Efeaky1453")</f>
        <v>@Efeaky1453</v>
      </c>
      <c r="C1955" s="7" t="s">
        <v>13639</v>
      </c>
      <c r="D1955" s="7" t="s">
        <v>13640</v>
      </c>
      <c r="E1955" s="12" t="str">
        <f>HYPERLINK("https://twitter.com/Efeaky1453/status/1181926266901057541","1181926266901057541")</f>
        <v>1181926266901057541</v>
      </c>
      <c r="F1955" s="8"/>
      <c r="G1955" s="14" t="s">
        <v>13641</v>
      </c>
      <c r="H1955" s="8"/>
      <c r="I1955" s="15">
        <v>0</v>
      </c>
      <c r="J1955" s="15">
        <v>1</v>
      </c>
      <c r="K1955" s="12" t="str">
        <f>HYPERLINK("http://twitter.com/download/android","Twitter for Android")</f>
        <v>Twitter for Android</v>
      </c>
      <c r="L1955" s="16">
        <v>53</v>
      </c>
      <c r="M1955" s="16">
        <v>46</v>
      </c>
      <c r="N1955" s="16">
        <v>0</v>
      </c>
      <c r="O1955" s="17"/>
      <c r="P1955" s="18">
        <v>43139.09856481482</v>
      </c>
      <c r="Q1955" s="7" t="s">
        <v>13642</v>
      </c>
      <c r="R1955" s="7" t="s">
        <v>13643</v>
      </c>
      <c r="S1955" s="14" t="s">
        <v>13644</v>
      </c>
      <c r="T1955" s="8"/>
      <c r="U1955" s="19" t="str">
        <f>HYPERLINK("https://pbs.twimg.com/profile_images/1128495826618191872/OYLpVocV.jpg","View")</f>
        <v>View</v>
      </c>
      <c r="V1955" s="8"/>
      <c r="W1955" s="8"/>
      <c r="X1955" s="8"/>
      <c r="Y1955" s="8"/>
      <c r="Z1955" s="8"/>
    </row>
    <row r="1956" spans="1:26" ht="12.75">
      <c r="A1956" s="11">
        <v>43747.274942129632</v>
      </c>
      <c r="B1956" s="12" t="str">
        <f>HYPERLINK("https://twitter.com/Kemal_San01","@Kemal_San01")</f>
        <v>@Kemal_San01</v>
      </c>
      <c r="C1956" s="7" t="s">
        <v>13645</v>
      </c>
      <c r="D1956" s="7" t="s">
        <v>13646</v>
      </c>
      <c r="E1956" s="12" t="str">
        <f>HYPERLINK("https://twitter.com/Kemal_San01/status/1181926263583363073","1181926263583363073")</f>
        <v>1181926263583363073</v>
      </c>
      <c r="F1956" s="8"/>
      <c r="G1956" s="14" t="s">
        <v>13647</v>
      </c>
      <c r="H1956" s="8"/>
      <c r="I1956" s="15">
        <v>1</v>
      </c>
      <c r="J1956" s="15">
        <v>14</v>
      </c>
      <c r="K1956" s="12" t="str">
        <f>HYPERLINK("http://twitter.com/download/iphone","Twitter for iPhone")</f>
        <v>Twitter for iPhone</v>
      </c>
      <c r="L1956" s="16">
        <v>28</v>
      </c>
      <c r="M1956" s="16">
        <v>44</v>
      </c>
      <c r="N1956" s="16">
        <v>0</v>
      </c>
      <c r="O1956" s="17"/>
      <c r="P1956" s="18">
        <v>42635.496493055558</v>
      </c>
      <c r="Q1956" s="7" t="s">
        <v>2201</v>
      </c>
      <c r="R1956" s="7" t="s">
        <v>13648</v>
      </c>
      <c r="S1956" s="7"/>
      <c r="T1956" s="8"/>
      <c r="U1956" s="19" t="str">
        <f>HYPERLINK("https://pbs.twimg.com/profile_images/966067814976118785/HxTQDW4z.jpg","View")</f>
        <v>View</v>
      </c>
      <c r="V1956" s="8"/>
      <c r="W1956" s="8"/>
      <c r="X1956" s="8"/>
      <c r="Y1956" s="8"/>
      <c r="Z1956" s="8"/>
    </row>
    <row r="1957" spans="1:26" ht="12.75">
      <c r="A1957" s="11">
        <v>43747.274930555555</v>
      </c>
      <c r="B1957" s="12" t="str">
        <f>HYPERLINK("https://twitter.com/AyeGl84996153","@AyeGl84996153")</f>
        <v>@AyeGl84996153</v>
      </c>
      <c r="C1957" s="7" t="s">
        <v>13649</v>
      </c>
      <c r="D1957" s="7" t="s">
        <v>13650</v>
      </c>
      <c r="E1957" s="12" t="str">
        <f>HYPERLINK("https://twitter.com/AyeGl84996153/status/1181926263117811712","1181926263117811712")</f>
        <v>1181926263117811712</v>
      </c>
      <c r="F1957" s="8"/>
      <c r="G1957" s="15"/>
      <c r="H1957" s="8"/>
      <c r="I1957" s="15">
        <v>0</v>
      </c>
      <c r="J1957" s="15">
        <v>1</v>
      </c>
      <c r="K1957" s="12" t="str">
        <f>HYPERLINK("http://twitter.com/download/android","Twitter for Android")</f>
        <v>Twitter for Android</v>
      </c>
      <c r="L1957" s="16">
        <v>105</v>
      </c>
      <c r="M1957" s="16">
        <v>124</v>
      </c>
      <c r="N1957" s="16">
        <v>2</v>
      </c>
      <c r="O1957" s="17"/>
      <c r="P1957" s="18">
        <v>42637.114918981482</v>
      </c>
      <c r="Q1957" s="7"/>
      <c r="R1957" s="7" t="s">
        <v>13651</v>
      </c>
      <c r="S1957" s="15"/>
      <c r="T1957" s="8"/>
      <c r="U1957" s="19" t="str">
        <f>HYPERLINK("https://pbs.twimg.com/profile_images/1148571248756236288/gSB1iSRW.jpg","View")</f>
        <v>View</v>
      </c>
      <c r="V1957" s="8"/>
      <c r="W1957" s="8"/>
      <c r="X1957" s="8"/>
      <c r="Y1957" s="8"/>
      <c r="Z1957" s="8"/>
    </row>
    <row r="1958" spans="1:26" ht="12.75">
      <c r="A1958" s="11">
        <v>43747.274930555555</v>
      </c>
      <c r="B1958" s="12" t="str">
        <f>HYPERLINK("https://twitter.com/baleyadah","@baleyadah")</f>
        <v>@baleyadah</v>
      </c>
      <c r="C1958" s="7" t="s">
        <v>13652</v>
      </c>
      <c r="D1958" s="7" t="s">
        <v>13653</v>
      </c>
      <c r="E1958" s="12" t="str">
        <f>HYPERLINK("https://twitter.com/baleyadah/status/1181926261477826561","1181926261477826561")</f>
        <v>1181926261477826561</v>
      </c>
      <c r="F1958" s="8"/>
      <c r="G1958" s="15"/>
      <c r="H1958" s="8"/>
      <c r="I1958" s="15">
        <v>2</v>
      </c>
      <c r="J1958" s="15">
        <v>7</v>
      </c>
      <c r="K1958" s="12" t="str">
        <f>HYPERLINK("http://twitter.com/download/iphone","Twitter for iPhone")</f>
        <v>Twitter for iPhone</v>
      </c>
      <c r="L1958" s="16">
        <v>3178</v>
      </c>
      <c r="M1958" s="16">
        <v>1608</v>
      </c>
      <c r="N1958" s="16">
        <v>13</v>
      </c>
      <c r="O1958" s="17"/>
      <c r="P1958" s="18">
        <v>40390.102881944447</v>
      </c>
      <c r="Q1958" s="7" t="s">
        <v>13654</v>
      </c>
      <c r="R1958" s="7" t="s">
        <v>13655</v>
      </c>
      <c r="S1958" s="14" t="s">
        <v>13656</v>
      </c>
      <c r="T1958" s="8"/>
      <c r="U1958" s="19" t="str">
        <f>HYPERLINK("https://pbs.twimg.com/profile_images/1174319071367708673/aDMlLuPC.jpg","View")</f>
        <v>View</v>
      </c>
      <c r="V1958" s="8"/>
      <c r="W1958" s="8"/>
      <c r="X1958" s="8"/>
      <c r="Y1958" s="8"/>
      <c r="Z1958" s="8"/>
    </row>
    <row r="1959" spans="1:26" ht="12.75">
      <c r="A1959" s="11">
        <v>43747.274918981479</v>
      </c>
      <c r="B1959" s="12" t="str">
        <f>HYPERLINK("https://twitter.com/Engin60276853","@Engin60276853")</f>
        <v>@Engin60276853</v>
      </c>
      <c r="C1959" s="7" t="s">
        <v>13657</v>
      </c>
      <c r="D1959" s="7" t="s">
        <v>13658</v>
      </c>
      <c r="E1959" s="12" t="str">
        <f>HYPERLINK("https://twitter.com/Engin60276853/status/1181926257824587777","1181926257824587777")</f>
        <v>1181926257824587777</v>
      </c>
      <c r="F1959" s="14" t="s">
        <v>9107</v>
      </c>
      <c r="G1959" s="15"/>
      <c r="H1959" s="8"/>
      <c r="I1959" s="15">
        <v>0</v>
      </c>
      <c r="J1959" s="15">
        <v>1</v>
      </c>
      <c r="K1959" s="12" t="str">
        <f>HYPERLINK("http://twitter.com/download/android","Twitter for Android")</f>
        <v>Twitter for Android</v>
      </c>
      <c r="L1959" s="16">
        <v>143</v>
      </c>
      <c r="M1959" s="16">
        <v>286</v>
      </c>
      <c r="N1959" s="16">
        <v>0</v>
      </c>
      <c r="O1959" s="17"/>
      <c r="P1959" s="18">
        <v>43696.308437500003</v>
      </c>
      <c r="Q1959" s="7" t="s">
        <v>313</v>
      </c>
      <c r="R1959" s="7" t="s">
        <v>13659</v>
      </c>
      <c r="S1959" s="7"/>
      <c r="T1959" s="8"/>
      <c r="U1959" s="19" t="str">
        <f>HYPERLINK("https://pbs.twimg.com/profile_images/1166254561146941441/sII0g-RB.jpg","View")</f>
        <v>View</v>
      </c>
      <c r="V1959" s="8"/>
      <c r="W1959" s="8"/>
      <c r="X1959" s="8"/>
      <c r="Y1959" s="8"/>
      <c r="Z1959" s="8"/>
    </row>
    <row r="1960" spans="1:26" ht="12.75">
      <c r="A1960" s="11">
        <v>43747.274918981479</v>
      </c>
      <c r="B1960" s="12" t="str">
        <f>HYPERLINK("https://twitter.com/payizayazi","@payizayazi")</f>
        <v>@payizayazi</v>
      </c>
      <c r="C1960" s="7" t="s">
        <v>13660</v>
      </c>
      <c r="D1960" s="7" t="s">
        <v>13661</v>
      </c>
      <c r="E1960" s="12" t="str">
        <f>HYPERLINK("https://twitter.com/payizayazi/status/1181926256268500992","1181926256268500992")</f>
        <v>1181926256268500992</v>
      </c>
      <c r="F1960" s="8"/>
      <c r="G1960" s="14" t="s">
        <v>13662</v>
      </c>
      <c r="H1960" s="8"/>
      <c r="I1960" s="15">
        <v>0</v>
      </c>
      <c r="J1960" s="15">
        <v>1</v>
      </c>
      <c r="K1960" s="12" t="str">
        <f>HYPERLINK("http://twitter.com/download/iphone","Twitter for iPhone")</f>
        <v>Twitter for iPhone</v>
      </c>
      <c r="L1960" s="16">
        <v>251</v>
      </c>
      <c r="M1960" s="16">
        <v>199</v>
      </c>
      <c r="N1960" s="16">
        <v>0</v>
      </c>
      <c r="O1960" s="17"/>
      <c r="P1960" s="18">
        <v>43652.407187500001</v>
      </c>
      <c r="Q1960" s="7" t="s">
        <v>576</v>
      </c>
      <c r="R1960" s="7" t="s">
        <v>13663</v>
      </c>
      <c r="S1960" s="7"/>
      <c r="T1960" s="8"/>
      <c r="U1960" s="19" t="str">
        <f>HYPERLINK("https://pbs.twimg.com/profile_images/1180967494711939073/rUdXg93S.jpg","View")</f>
        <v>View</v>
      </c>
      <c r="V1960" s="8"/>
      <c r="W1960" s="8"/>
      <c r="X1960" s="8"/>
      <c r="Y1960" s="8"/>
      <c r="Z1960" s="8"/>
    </row>
    <row r="1961" spans="1:26" ht="12.75">
      <c r="A1961" s="11">
        <v>43747.274918981479</v>
      </c>
      <c r="B1961" s="12" t="str">
        <f>HYPERLINK("https://twitter.com/mhmmdsdgcr","@mhmmdsdgcr")</f>
        <v>@mhmmdsdgcr</v>
      </c>
      <c r="C1961" s="7" t="s">
        <v>13664</v>
      </c>
      <c r="D1961" s="7" t="s">
        <v>13665</v>
      </c>
      <c r="E1961" s="12" t="str">
        <f>HYPERLINK("https://twitter.com/mhmmdsdgcr/status/1181926255412817921","1181926255412817921")</f>
        <v>1181926255412817921</v>
      </c>
      <c r="F1961" s="8"/>
      <c r="G1961" s="15"/>
      <c r="H1961" s="8"/>
      <c r="I1961" s="15">
        <v>0</v>
      </c>
      <c r="J1961" s="15">
        <v>1</v>
      </c>
      <c r="K1961" s="12" t="str">
        <f>HYPERLINK("http://twitter.com/download/android","Twitter for Android")</f>
        <v>Twitter for Android</v>
      </c>
      <c r="L1961" s="16">
        <v>42</v>
      </c>
      <c r="M1961" s="16">
        <v>91</v>
      </c>
      <c r="N1961" s="16">
        <v>0</v>
      </c>
      <c r="O1961" s="17"/>
      <c r="P1961" s="18">
        <v>40447.164722222224</v>
      </c>
      <c r="Q1961" s="7" t="s">
        <v>313</v>
      </c>
      <c r="R1961" s="7" t="s">
        <v>13666</v>
      </c>
      <c r="S1961" s="15"/>
      <c r="T1961" s="8"/>
      <c r="U1961" s="19" t="str">
        <f>HYPERLINK("https://pbs.twimg.com/profile_images/1153022956907446272/qohpjjNl.jpg","View")</f>
        <v>View</v>
      </c>
      <c r="V1961" s="8"/>
      <c r="W1961" s="8"/>
      <c r="X1961" s="8"/>
      <c r="Y1961" s="8"/>
      <c r="Z1961" s="8"/>
    </row>
    <row r="1962" spans="1:26" ht="12.75">
      <c r="A1962" s="11">
        <v>43747.274907407409</v>
      </c>
      <c r="B1962" s="12" t="str">
        <f>HYPERLINK("https://twitter.com/bysecox","@bysecox")</f>
        <v>@bysecox</v>
      </c>
      <c r="C1962" s="7" t="s">
        <v>13667</v>
      </c>
      <c r="D1962" s="7" t="s">
        <v>13111</v>
      </c>
      <c r="E1962" s="12" t="str">
        <f>HYPERLINK("https://twitter.com/bysecox/status/1181926254162919425","1181926254162919425")</f>
        <v>1181926254162919425</v>
      </c>
      <c r="F1962" s="8"/>
      <c r="G1962" s="14" t="s">
        <v>13668</v>
      </c>
      <c r="H1962" s="8"/>
      <c r="I1962" s="15">
        <v>0</v>
      </c>
      <c r="J1962" s="15">
        <v>0</v>
      </c>
      <c r="K1962" s="12" t="str">
        <f>HYPERLINK("http://twitter.com/download/android","Twitter for Android")</f>
        <v>Twitter for Android</v>
      </c>
      <c r="L1962" s="16">
        <v>177</v>
      </c>
      <c r="M1962" s="16">
        <v>938</v>
      </c>
      <c r="N1962" s="16">
        <v>0</v>
      </c>
      <c r="O1962" s="17"/>
      <c r="P1962" s="18">
        <v>40224.48673611111</v>
      </c>
      <c r="Q1962" s="7" t="s">
        <v>13669</v>
      </c>
      <c r="R1962" s="7" t="s">
        <v>13670</v>
      </c>
      <c r="S1962" s="7"/>
      <c r="T1962" s="8"/>
      <c r="U1962" s="19" t="str">
        <f>HYPERLINK("https://pbs.twimg.com/profile_images/1101103101912715266/rGh1kUsQ.jpg","View")</f>
        <v>View</v>
      </c>
      <c r="V1962" s="8"/>
      <c r="W1962" s="8"/>
      <c r="X1962" s="8"/>
      <c r="Y1962" s="8"/>
      <c r="Z1962" s="8"/>
    </row>
    <row r="1963" spans="1:26" ht="12.75">
      <c r="A1963" s="11">
        <v>43747.274907407409</v>
      </c>
      <c r="B1963" s="12" t="str">
        <f>HYPERLINK("https://twitter.com/Krstalprnefl","@Krstalprnefl")</f>
        <v>@Krstalprnefl</v>
      </c>
      <c r="C1963" s="7" t="s">
        <v>13671</v>
      </c>
      <c r="D1963" s="7" t="s">
        <v>13672</v>
      </c>
      <c r="E1963" s="12" t="str">
        <f>HYPERLINK("https://twitter.com/Krstalprnefl/status/1181926253068193792","1181926253068193792")</f>
        <v>1181926253068193792</v>
      </c>
      <c r="F1963" s="8"/>
      <c r="G1963" s="14" t="s">
        <v>13673</v>
      </c>
      <c r="H1963" s="8"/>
      <c r="I1963" s="15">
        <v>1</v>
      </c>
      <c r="J1963" s="15">
        <v>0</v>
      </c>
      <c r="K1963" s="12" t="str">
        <f>HYPERLINK("http://twitter.com/download/android","Twitter for Android")</f>
        <v>Twitter for Android</v>
      </c>
      <c r="L1963" s="16">
        <v>5</v>
      </c>
      <c r="M1963" s="16">
        <v>8</v>
      </c>
      <c r="N1963" s="16">
        <v>0</v>
      </c>
      <c r="O1963" s="17"/>
      <c r="P1963" s="18">
        <v>43481.08293981482</v>
      </c>
      <c r="Q1963" s="7"/>
      <c r="R1963" s="7" t="s">
        <v>13674</v>
      </c>
      <c r="S1963" s="7"/>
      <c r="T1963" s="8"/>
      <c r="U1963" s="19" t="str">
        <f>HYPERLINK("https://pbs.twimg.com/profile_images/1085478081169707008/caKEtuOz.jpg","View")</f>
        <v>View</v>
      </c>
      <c r="V1963" s="8"/>
      <c r="W1963" s="8"/>
      <c r="X1963" s="8"/>
      <c r="Y1963" s="8"/>
      <c r="Z1963" s="8"/>
    </row>
    <row r="1964" spans="1:26" ht="12.75">
      <c r="A1964" s="11">
        <v>43747.274895833332</v>
      </c>
      <c r="B1964" s="12" t="str">
        <f>HYPERLINK("https://twitter.com/fatmdgr","@fatmdgr")</f>
        <v>@fatmdgr</v>
      </c>
      <c r="C1964" s="7" t="s">
        <v>13675</v>
      </c>
      <c r="D1964" s="7" t="s">
        <v>13676</v>
      </c>
      <c r="E1964" s="12" t="str">
        <f>HYPERLINK("https://twitter.com/fatmdgr/status/1181926247217221632","1181926247217221632")</f>
        <v>1181926247217221632</v>
      </c>
      <c r="F1964" s="8"/>
      <c r="G1964" s="15"/>
      <c r="H1964" s="8"/>
      <c r="I1964" s="15">
        <v>0</v>
      </c>
      <c r="J1964" s="15">
        <v>3</v>
      </c>
      <c r="K1964" s="12" t="str">
        <f>HYPERLINK("http://twitter.com/download/android","Twitter for Android")</f>
        <v>Twitter for Android</v>
      </c>
      <c r="L1964" s="16">
        <v>176</v>
      </c>
      <c r="M1964" s="16">
        <v>153</v>
      </c>
      <c r="N1964" s="16">
        <v>0</v>
      </c>
      <c r="O1964" s="17"/>
      <c r="P1964" s="18">
        <v>41944.137881944444</v>
      </c>
      <c r="Q1964" s="7"/>
      <c r="R1964" s="7" t="s">
        <v>8412</v>
      </c>
      <c r="S1964" s="14" t="s">
        <v>13677</v>
      </c>
      <c r="T1964" s="8"/>
      <c r="U1964" s="19" t="str">
        <f>HYPERLINK("https://pbs.twimg.com/profile_images/1045797848929980420/tYVh5NHf.jpg","View")</f>
        <v>View</v>
      </c>
      <c r="V1964" s="8"/>
      <c r="W1964" s="8"/>
      <c r="X1964" s="8"/>
      <c r="Y1964" s="8"/>
      <c r="Z1964" s="8"/>
    </row>
    <row r="1965" spans="1:26" ht="12.75">
      <c r="A1965" s="11">
        <v>43747.274884259255</v>
      </c>
      <c r="B1965" s="12" t="str">
        <f>HYPERLINK("https://twitter.com/cagriergun","@cagriergun")</f>
        <v>@cagriergun</v>
      </c>
      <c r="C1965" s="7" t="s">
        <v>13678</v>
      </c>
      <c r="D1965" s="7" t="s">
        <v>13679</v>
      </c>
      <c r="E1965" s="12" t="str">
        <f>HYPERLINK("https://twitter.com/cagriergun/status/1181926245547855873","1181926245547855873")</f>
        <v>1181926245547855873</v>
      </c>
      <c r="F1965" s="8"/>
      <c r="G1965" s="14" t="s">
        <v>13680</v>
      </c>
      <c r="H1965" s="8"/>
      <c r="I1965" s="15">
        <v>1</v>
      </c>
      <c r="J1965" s="15">
        <v>1</v>
      </c>
      <c r="K1965" s="12" t="str">
        <f>HYPERLINK("https://mobile.twitter.com","Twitter Web App")</f>
        <v>Twitter Web App</v>
      </c>
      <c r="L1965" s="16">
        <v>11</v>
      </c>
      <c r="M1965" s="16">
        <v>63</v>
      </c>
      <c r="N1965" s="16">
        <v>0</v>
      </c>
      <c r="O1965" s="17"/>
      <c r="P1965" s="18">
        <v>43276.58216435185</v>
      </c>
      <c r="Q1965" s="7"/>
      <c r="R1965" s="7" t="s">
        <v>13681</v>
      </c>
      <c r="S1965" s="7"/>
      <c r="T1965" s="8"/>
      <c r="U1965" s="19" t="str">
        <f>HYPERLINK("https://pbs.twimg.com/profile_images/1142833376220590083/mDr-xP98.jpg","View")</f>
        <v>View</v>
      </c>
      <c r="V1965" s="8"/>
      <c r="W1965" s="8"/>
      <c r="X1965" s="8"/>
      <c r="Y1965" s="8"/>
      <c r="Z1965" s="8"/>
    </row>
    <row r="1966" spans="1:26" ht="12.75">
      <c r="A1966" s="11">
        <v>43747.274872685186</v>
      </c>
      <c r="B1966" s="12" t="str">
        <f>HYPERLINK("https://twitter.com/MhmTkN10","@MhmTkN10")</f>
        <v>@MhmTkN10</v>
      </c>
      <c r="C1966" s="7" t="s">
        <v>13682</v>
      </c>
      <c r="D1966" s="7" t="s">
        <v>13683</v>
      </c>
      <c r="E1966" s="12" t="str">
        <f>HYPERLINK("https://twitter.com/MhmTkN10/status/1181926240216895488","1181926240216895488")</f>
        <v>1181926240216895488</v>
      </c>
      <c r="F1966" s="8"/>
      <c r="G1966" s="15"/>
      <c r="H1966" s="8"/>
      <c r="I1966" s="15">
        <v>0</v>
      </c>
      <c r="J1966" s="15">
        <v>0</v>
      </c>
      <c r="K1966" s="12" t="str">
        <f>HYPERLINK("http://twitter.com/download/android","Twitter for Android")</f>
        <v>Twitter for Android</v>
      </c>
      <c r="L1966" s="16">
        <v>57</v>
      </c>
      <c r="M1966" s="16">
        <v>246</v>
      </c>
      <c r="N1966" s="16">
        <v>0</v>
      </c>
      <c r="O1966" s="17"/>
      <c r="P1966" s="18">
        <v>40860.333900462967</v>
      </c>
      <c r="Q1966" s="7" t="s">
        <v>2026</v>
      </c>
      <c r="R1966" s="7"/>
      <c r="S1966" s="7"/>
      <c r="T1966" s="8"/>
      <c r="U1966" s="19" t="str">
        <f>HYPERLINK("https://pbs.twimg.com/profile_images/1091061634213339137/rPDuvv48.jpg","View")</f>
        <v>View</v>
      </c>
      <c r="V1966" s="8"/>
      <c r="W1966" s="8"/>
      <c r="X1966" s="8"/>
      <c r="Y1966" s="8"/>
      <c r="Z1966" s="8"/>
    </row>
    <row r="1967" spans="1:26" ht="12.75">
      <c r="A1967" s="11">
        <v>43747.274872685186</v>
      </c>
      <c r="B1967" s="12" t="str">
        <f>HYPERLINK("https://twitter.com/umitefegs","@umitefegs")</f>
        <v>@umitefegs</v>
      </c>
      <c r="C1967" s="7" t="s">
        <v>13684</v>
      </c>
      <c r="D1967" s="7" t="s">
        <v>13685</v>
      </c>
      <c r="E1967" s="12" t="str">
        <f>HYPERLINK("https://twitter.com/umitefegs/status/1181926239679979524","1181926239679979524")</f>
        <v>1181926239679979524</v>
      </c>
      <c r="F1967" s="8"/>
      <c r="G1967" s="15"/>
      <c r="H1967" s="8"/>
      <c r="I1967" s="15">
        <v>1</v>
      </c>
      <c r="J1967" s="15">
        <v>1</v>
      </c>
      <c r="K1967" s="12" t="str">
        <f>HYPERLINK("http://twitter.com/download/android","Twitter for Android")</f>
        <v>Twitter for Android</v>
      </c>
      <c r="L1967" s="16">
        <v>82</v>
      </c>
      <c r="M1967" s="16">
        <v>79</v>
      </c>
      <c r="N1967" s="16">
        <v>1</v>
      </c>
      <c r="O1967" s="17"/>
      <c r="P1967" s="18">
        <v>40776.251377314817</v>
      </c>
      <c r="Q1967" s="7"/>
      <c r="R1967" s="7" t="s">
        <v>13686</v>
      </c>
      <c r="S1967" s="7"/>
      <c r="T1967" s="8"/>
      <c r="U1967" s="19" t="str">
        <f>HYPERLINK("https://pbs.twimg.com/profile_images/540171017197744129/xSuhdvgG.jpeg","View")</f>
        <v>View</v>
      </c>
      <c r="V1967" s="8"/>
      <c r="W1967" s="8"/>
      <c r="X1967" s="8"/>
      <c r="Y1967" s="8"/>
      <c r="Z1967" s="8"/>
    </row>
    <row r="1968" spans="1:26" ht="12.75">
      <c r="A1968" s="11">
        <v>43747.274861111116</v>
      </c>
      <c r="B1968" s="12" t="str">
        <f>HYPERLINK("https://twitter.com/e_duman_","@e_duman_")</f>
        <v>@e_duman_</v>
      </c>
      <c r="C1968" s="7" t="s">
        <v>13687</v>
      </c>
      <c r="D1968" s="7" t="s">
        <v>13688</v>
      </c>
      <c r="E1968" s="12" t="str">
        <f>HYPERLINK("https://twitter.com/e_duman_/status/1181926237142487040","1181926237142487040")</f>
        <v>1181926237142487040</v>
      </c>
      <c r="F1968" s="8"/>
      <c r="G1968" s="14" t="s">
        <v>13689</v>
      </c>
      <c r="H1968" s="8"/>
      <c r="I1968" s="15">
        <v>1</v>
      </c>
      <c r="J1968" s="15">
        <v>0</v>
      </c>
      <c r="K1968" s="12" t="str">
        <f>HYPERLINK("http://twitter.com/download/android","Twitter for Android")</f>
        <v>Twitter for Android</v>
      </c>
      <c r="L1968" s="16">
        <v>22</v>
      </c>
      <c r="M1968" s="16">
        <v>40</v>
      </c>
      <c r="N1968" s="16">
        <v>0</v>
      </c>
      <c r="O1968" s="17"/>
      <c r="P1968" s="18">
        <v>43115.104999999996</v>
      </c>
      <c r="Q1968" s="7"/>
      <c r="R1968" s="7"/>
      <c r="S1968" s="15"/>
      <c r="T1968" s="8"/>
      <c r="U1968" s="19" t="str">
        <f>HYPERLINK("https://pbs.twimg.com/profile_images/1132340964977270793/BK7qfaF5.jpg","View")</f>
        <v>View</v>
      </c>
      <c r="V1968" s="8"/>
      <c r="W1968" s="8"/>
      <c r="X1968" s="8"/>
      <c r="Y1968" s="8"/>
      <c r="Z1968" s="8"/>
    </row>
    <row r="1969" spans="1:26" ht="12.75">
      <c r="A1969" s="11">
        <v>43747.274849537032</v>
      </c>
      <c r="B1969" s="12" t="str">
        <f>HYPERLINK("https://twitter.com/GULCINBOZKURT01","@GULCINBOZKURT01")</f>
        <v>@GULCINBOZKURT01</v>
      </c>
      <c r="C1969" s="7" t="s">
        <v>13690</v>
      </c>
      <c r="D1969" s="7" t="s">
        <v>13691</v>
      </c>
      <c r="E1969" s="12" t="str">
        <f>HYPERLINK("https://twitter.com/GULCINBOZKURT01/status/1181926231543025665","1181926231543025665")</f>
        <v>1181926231543025665</v>
      </c>
      <c r="F1969" s="8"/>
      <c r="G1969" s="7"/>
      <c r="H1969" s="8"/>
      <c r="I1969" s="15">
        <v>0</v>
      </c>
      <c r="J1969" s="15">
        <v>9</v>
      </c>
      <c r="K1969" s="12" t="str">
        <f>HYPERLINK("http://twitter.com/download/android","Twitter for Android")</f>
        <v>Twitter for Android</v>
      </c>
      <c r="L1969" s="16">
        <v>481</v>
      </c>
      <c r="M1969" s="16">
        <v>564</v>
      </c>
      <c r="N1969" s="16">
        <v>0</v>
      </c>
      <c r="O1969" s="17"/>
      <c r="P1969" s="18">
        <v>42903.470462962963</v>
      </c>
      <c r="Q1969" s="7"/>
      <c r="R1969" s="7"/>
      <c r="S1969" s="7"/>
      <c r="T1969" s="8"/>
      <c r="U1969" s="19" t="str">
        <f>HYPERLINK("https://pbs.twimg.com/profile_images/1104666923227406337/yFp8TbVl.jpg","View")</f>
        <v>View</v>
      </c>
      <c r="V1969" s="8"/>
      <c r="W1969" s="8"/>
      <c r="X1969" s="8"/>
      <c r="Y1969" s="8"/>
      <c r="Z1969" s="8"/>
    </row>
    <row r="1970" spans="1:26" ht="12.75">
      <c r="A1970" s="11">
        <v>43747.274826388893</v>
      </c>
      <c r="B1970" s="12" t="str">
        <f>HYPERLINK("https://twitter.com/fatihkulaksiz71","@fatihkulaksiz71")</f>
        <v>@fatihkulaksiz71</v>
      </c>
      <c r="C1970" s="7" t="s">
        <v>13692</v>
      </c>
      <c r="D1970" s="7" t="s">
        <v>13693</v>
      </c>
      <c r="E1970" s="12" t="str">
        <f>HYPERLINK("https://twitter.com/fatihkulaksiz71/status/1181926223523524608","1181926223523524608")</f>
        <v>1181926223523524608</v>
      </c>
      <c r="F1970" s="8"/>
      <c r="G1970" s="7"/>
      <c r="H1970" s="8"/>
      <c r="I1970" s="15">
        <v>0</v>
      </c>
      <c r="J1970" s="15">
        <v>0</v>
      </c>
      <c r="K1970" s="12" t="str">
        <f>HYPERLINK("http://twitter.com","Twitter Web Client")</f>
        <v>Twitter Web Client</v>
      </c>
      <c r="L1970" s="16">
        <v>10</v>
      </c>
      <c r="M1970" s="16">
        <v>0</v>
      </c>
      <c r="N1970" s="16">
        <v>0</v>
      </c>
      <c r="O1970" s="17"/>
      <c r="P1970" s="18">
        <v>43597.221412037034</v>
      </c>
      <c r="Q1970" s="7" t="s">
        <v>1489</v>
      </c>
      <c r="R1970" s="7" t="s">
        <v>13694</v>
      </c>
      <c r="S1970" s="7"/>
      <c r="T1970" s="8"/>
      <c r="U1970" s="19" t="str">
        <f>HYPERLINK("https://pbs.twimg.com/profile_images/1130843576999432194/mSstoqdm.jpg","View")</f>
        <v>View</v>
      </c>
      <c r="V1970" s="8"/>
      <c r="W1970" s="8"/>
      <c r="X1970" s="8"/>
      <c r="Y1970" s="8"/>
      <c r="Z1970" s="8"/>
    </row>
    <row r="1971" spans="1:26" ht="12.75">
      <c r="A1971" s="11">
        <v>43747.274826388893</v>
      </c>
      <c r="B1971" s="12" t="str">
        <f>HYPERLINK("https://twitter.com/muhammetbalta61","@muhammetbalta61")</f>
        <v>@muhammetbalta61</v>
      </c>
      <c r="C1971" s="7" t="s">
        <v>13695</v>
      </c>
      <c r="D1971" s="7" t="s">
        <v>12239</v>
      </c>
      <c r="E1971" s="12" t="str">
        <f>HYPERLINK("https://twitter.com/muhammetbalta61/status/1181926221900328961","1181926221900328961")</f>
        <v>1181926221900328961</v>
      </c>
      <c r="F1971" s="8"/>
      <c r="G1971" s="15"/>
      <c r="H1971" s="8"/>
      <c r="I1971" s="15">
        <v>4</v>
      </c>
      <c r="J1971" s="15">
        <v>9</v>
      </c>
      <c r="K1971" s="12" t="str">
        <f>HYPERLINK("http://twitter.com/download/android","Twitter for Android")</f>
        <v>Twitter for Android</v>
      </c>
      <c r="L1971" s="16">
        <v>29007</v>
      </c>
      <c r="M1971" s="16">
        <v>819</v>
      </c>
      <c r="N1971" s="16">
        <v>51</v>
      </c>
      <c r="O1971" s="17" t="s">
        <v>984</v>
      </c>
      <c r="P1971" s="18">
        <v>41033.618692129632</v>
      </c>
      <c r="Q1971" s="7" t="s">
        <v>200</v>
      </c>
      <c r="R1971" s="7" t="s">
        <v>13696</v>
      </c>
      <c r="S1971" s="14" t="s">
        <v>13697</v>
      </c>
      <c r="T1971" s="8"/>
      <c r="U1971" s="19" t="str">
        <f>HYPERLINK("https://pbs.twimg.com/profile_images/1151555853243338757/X54oFIrC.jpg","View")</f>
        <v>View</v>
      </c>
      <c r="V1971" s="8"/>
      <c r="W1971" s="8"/>
      <c r="X1971" s="8"/>
      <c r="Y1971" s="8"/>
      <c r="Z1971" s="8"/>
    </row>
    <row r="1972" spans="1:26" ht="12.75">
      <c r="A1972" s="11">
        <v>43747.274826388893</v>
      </c>
      <c r="B1972" s="12" t="str">
        <f>HYPERLINK("https://twitter.com/gun_2023","@gun_2023")</f>
        <v>@gun_2023</v>
      </c>
      <c r="C1972" s="7" t="s">
        <v>13698</v>
      </c>
      <c r="D1972" s="7" t="s">
        <v>13699</v>
      </c>
      <c r="E1972" s="12" t="str">
        <f>HYPERLINK("https://twitter.com/gun_2023/status/1181926221879349248","1181926221879349248")</f>
        <v>1181926221879349248</v>
      </c>
      <c r="F1972" s="8"/>
      <c r="G1972" s="14" t="s">
        <v>13700</v>
      </c>
      <c r="H1972" s="8"/>
      <c r="I1972" s="15">
        <v>0</v>
      </c>
      <c r="J1972" s="15">
        <v>4</v>
      </c>
      <c r="K1972" s="12" t="str">
        <f>HYPERLINK("http://twitter.com/download/android","Twitter for Android")</f>
        <v>Twitter for Android</v>
      </c>
      <c r="L1972" s="16">
        <v>531</v>
      </c>
      <c r="M1972" s="16">
        <v>215</v>
      </c>
      <c r="N1972" s="16">
        <v>1</v>
      </c>
      <c r="O1972" s="17"/>
      <c r="P1972" s="18">
        <v>42629.427337962959</v>
      </c>
      <c r="Q1972" s="7" t="s">
        <v>5418</v>
      </c>
      <c r="R1972" s="7" t="s">
        <v>13701</v>
      </c>
      <c r="S1972" s="7"/>
      <c r="T1972" s="8"/>
      <c r="U1972" s="19" t="str">
        <f>HYPERLINK("https://pbs.twimg.com/profile_images/1177210371330981889/hcQNVRUs.jpg","View")</f>
        <v>View</v>
      </c>
      <c r="V1972" s="8"/>
      <c r="W1972" s="8"/>
      <c r="X1972" s="8"/>
      <c r="Y1972" s="8"/>
      <c r="Z1972" s="8"/>
    </row>
    <row r="1973" spans="1:26" ht="12.75">
      <c r="A1973" s="11">
        <v>43747.274814814809</v>
      </c>
      <c r="B1973" s="12" t="str">
        <f>HYPERLINK("https://twitter.com/berracakar","@berracakar")</f>
        <v>@berracakar</v>
      </c>
      <c r="C1973" s="7" t="s">
        <v>13702</v>
      </c>
      <c r="D1973" s="7" t="s">
        <v>13703</v>
      </c>
      <c r="E1973" s="12" t="str">
        <f>HYPERLINK("https://twitter.com/berracakar/status/1181926221111844864","1181926221111844864")</f>
        <v>1181926221111844864</v>
      </c>
      <c r="F1973" s="8"/>
      <c r="G1973" s="14" t="s">
        <v>13704</v>
      </c>
      <c r="H1973" s="8"/>
      <c r="I1973" s="15">
        <v>0</v>
      </c>
      <c r="J1973" s="15">
        <v>4</v>
      </c>
      <c r="K1973" s="12" t="str">
        <f>HYPERLINK("https://mobile.twitter.com","Twitter Web App")</f>
        <v>Twitter Web App</v>
      </c>
      <c r="L1973" s="16">
        <v>832</v>
      </c>
      <c r="M1973" s="16">
        <v>163</v>
      </c>
      <c r="N1973" s="16">
        <v>4</v>
      </c>
      <c r="O1973" s="17"/>
      <c r="P1973" s="18">
        <v>40899.974733796298</v>
      </c>
      <c r="Q1973" s="7" t="s">
        <v>13705</v>
      </c>
      <c r="R1973" s="7" t="s">
        <v>13706</v>
      </c>
      <c r="S1973" s="7"/>
      <c r="T1973" s="8"/>
      <c r="U1973" s="19" t="str">
        <f>HYPERLINK("https://pbs.twimg.com/profile_images/1168288651027107840/6Xdlj8CO.jpg","View")</f>
        <v>View</v>
      </c>
      <c r="V1973" s="8"/>
      <c r="W1973" s="8"/>
      <c r="X1973" s="8"/>
      <c r="Y1973" s="8"/>
      <c r="Z1973" s="8"/>
    </row>
    <row r="1974" spans="1:26" ht="12.75">
      <c r="A1974" s="11">
        <v>43747.274814814809</v>
      </c>
      <c r="B1974" s="12" t="str">
        <f>HYPERLINK("https://twitter.com/BeyzaDuru9","@BeyzaDuru9")</f>
        <v>@BeyzaDuru9</v>
      </c>
      <c r="C1974" s="7" t="s">
        <v>13707</v>
      </c>
      <c r="D1974" s="7" t="s">
        <v>13708</v>
      </c>
      <c r="E1974" s="12" t="str">
        <f>HYPERLINK("https://twitter.com/BeyzaDuru9/status/1181926221103423488","1181926221103423488")</f>
        <v>1181926221103423488</v>
      </c>
      <c r="F1974" s="8"/>
      <c r="G1974" s="7"/>
      <c r="H1974" s="8"/>
      <c r="I1974" s="15">
        <v>0</v>
      </c>
      <c r="J1974" s="15">
        <v>0</v>
      </c>
      <c r="K1974" s="12" t="str">
        <f>HYPERLINK("http://twitter.com/download/android","Twitter for Android")</f>
        <v>Twitter for Android</v>
      </c>
      <c r="L1974" s="16">
        <v>81</v>
      </c>
      <c r="M1974" s="16">
        <v>98</v>
      </c>
      <c r="N1974" s="16">
        <v>0</v>
      </c>
      <c r="O1974" s="17"/>
      <c r="P1974" s="18">
        <v>42225.311608796299</v>
      </c>
      <c r="Q1974" s="7" t="s">
        <v>12649</v>
      </c>
      <c r="R1974" s="7" t="s">
        <v>13709</v>
      </c>
      <c r="S1974" s="14" t="s">
        <v>13710</v>
      </c>
      <c r="T1974" s="8"/>
      <c r="U1974" s="19" t="str">
        <f>HYPERLINK("https://pbs.twimg.com/profile_images/1139662427170250752/gT_0kgfT.jpg","View")</f>
        <v>View</v>
      </c>
      <c r="V1974" s="8"/>
      <c r="W1974" s="8"/>
      <c r="X1974" s="8"/>
      <c r="Y1974" s="8"/>
      <c r="Z1974" s="8"/>
    </row>
    <row r="1975" spans="1:26" ht="12.75">
      <c r="A1975" s="11">
        <v>43747.274814814809</v>
      </c>
      <c r="B1975" s="12" t="str">
        <f>HYPERLINK("https://twitter.com/udogukankurt","@udogukankurt")</f>
        <v>@udogukankurt</v>
      </c>
      <c r="C1975" s="7" t="s">
        <v>13711</v>
      </c>
      <c r="D1975" s="7" t="s">
        <v>13712</v>
      </c>
      <c r="E1975" s="12" t="str">
        <f>HYPERLINK("https://twitter.com/udogukankurt/status/1181926219039809536","1181926219039809536")</f>
        <v>1181926219039809536</v>
      </c>
      <c r="F1975" s="15"/>
      <c r="G1975" s="14" t="s">
        <v>13713</v>
      </c>
      <c r="H1975" s="8"/>
      <c r="I1975" s="15">
        <v>0</v>
      </c>
      <c r="J1975" s="15">
        <v>4</v>
      </c>
      <c r="K1975" s="12" t="str">
        <f>HYPERLINK("http://twitter.com/download/android","Twitter for Android")</f>
        <v>Twitter for Android</v>
      </c>
      <c r="L1975" s="16">
        <v>185</v>
      </c>
      <c r="M1975" s="16">
        <v>207</v>
      </c>
      <c r="N1975" s="16">
        <v>2</v>
      </c>
      <c r="O1975" s="17"/>
      <c r="P1975" s="18">
        <v>41349.301736111112</v>
      </c>
      <c r="Q1975" s="7" t="s">
        <v>13714</v>
      </c>
      <c r="R1975" s="7" t="s">
        <v>13715</v>
      </c>
      <c r="S1975" s="14" t="s">
        <v>13716</v>
      </c>
      <c r="T1975" s="8"/>
      <c r="U1975" s="19" t="str">
        <f>HYPERLINK("https://pbs.twimg.com/profile_images/1102133236883439616/nJINzJtH.jpg","View")</f>
        <v>View</v>
      </c>
      <c r="V1975" s="8"/>
      <c r="W1975" s="8"/>
      <c r="X1975" s="8"/>
      <c r="Y1975" s="8"/>
      <c r="Z1975" s="8"/>
    </row>
    <row r="1976" spans="1:26" ht="12.75">
      <c r="A1976" s="11">
        <v>43747.274814814809</v>
      </c>
      <c r="B1976" s="12" t="str">
        <f>HYPERLINK("https://twitter.com/_KARTAL10","@_KARTAL10")</f>
        <v>@_KARTAL10</v>
      </c>
      <c r="C1976" s="7" t="s">
        <v>13717</v>
      </c>
      <c r="D1976" s="7" t="s">
        <v>13718</v>
      </c>
      <c r="E1976" s="12" t="str">
        <f>HYPERLINK("https://twitter.com/_KARTAL10/status/1181926218628767745","1181926218628767745")</f>
        <v>1181926218628767745</v>
      </c>
      <c r="F1976" s="8"/>
      <c r="G1976" s="14" t="s">
        <v>13719</v>
      </c>
      <c r="H1976" s="8"/>
      <c r="I1976" s="15">
        <v>0</v>
      </c>
      <c r="J1976" s="15">
        <v>0</v>
      </c>
      <c r="K1976" s="12" t="str">
        <f>HYPERLINK("http://twitter.com/download/android","Twitter for Android")</f>
        <v>Twitter for Android</v>
      </c>
      <c r="L1976" s="16">
        <v>755</v>
      </c>
      <c r="M1976" s="16">
        <v>823</v>
      </c>
      <c r="N1976" s="16">
        <v>1</v>
      </c>
      <c r="O1976" s="17"/>
      <c r="P1976" s="18">
        <v>41224.332233796296</v>
      </c>
      <c r="Q1976" s="7" t="s">
        <v>13720</v>
      </c>
      <c r="R1976" s="7" t="s">
        <v>13721</v>
      </c>
      <c r="S1976" s="7"/>
      <c r="T1976" s="8"/>
      <c r="U1976" s="19" t="str">
        <f>HYPERLINK("https://pbs.twimg.com/profile_images/677831079479214084/_QMmwz1H.jpg","View")</f>
        <v>View</v>
      </c>
      <c r="V1976" s="8"/>
      <c r="W1976" s="8"/>
      <c r="X1976" s="8"/>
      <c r="Y1976" s="8"/>
      <c r="Z1976" s="8"/>
    </row>
    <row r="1977" spans="1:26" ht="12.75">
      <c r="A1977" s="11">
        <v>43747.27479166667</v>
      </c>
      <c r="B1977" s="12" t="str">
        <f>HYPERLINK("https://twitter.com/ozdemirmustafaa","@ozdemirmustafaa")</f>
        <v>@ozdemirmustafaa</v>
      </c>
      <c r="C1977" s="7" t="s">
        <v>13722</v>
      </c>
      <c r="D1977" s="7" t="s">
        <v>13723</v>
      </c>
      <c r="E1977" s="12" t="str">
        <f>HYPERLINK("https://twitter.com/ozdemirmustafaa/status/1181926211943124992","1181926211943124992")</f>
        <v>1181926211943124992</v>
      </c>
      <c r="F1977" s="8"/>
      <c r="G1977" s="7"/>
      <c r="H1977" s="8"/>
      <c r="I1977" s="15">
        <v>0</v>
      </c>
      <c r="J1977" s="15">
        <v>1</v>
      </c>
      <c r="K1977" s="12" t="str">
        <f>HYPERLINK("http://twitter.com/download/iphone","Twitter for iPhone")</f>
        <v>Twitter for iPhone</v>
      </c>
      <c r="L1977" s="16">
        <v>237</v>
      </c>
      <c r="M1977" s="16">
        <v>975</v>
      </c>
      <c r="N1977" s="16">
        <v>0</v>
      </c>
      <c r="O1977" s="17"/>
      <c r="P1977" s="18">
        <v>40711.226111111115</v>
      </c>
      <c r="Q1977" s="7" t="s">
        <v>13724</v>
      </c>
      <c r="R1977" s="7"/>
      <c r="S1977" s="7"/>
      <c r="T1977" s="8"/>
      <c r="U1977" s="19" t="str">
        <f>HYPERLINK("https://pbs.twimg.com/profile_images/1162908739566997504/CDZH-EvL.jpg","View")</f>
        <v>View</v>
      </c>
      <c r="V1977" s="8"/>
      <c r="W1977" s="8"/>
      <c r="X1977" s="8"/>
      <c r="Y1977" s="8"/>
      <c r="Z1977" s="8"/>
    </row>
    <row r="1978" spans="1:26" ht="12.75">
      <c r="A1978" s="11">
        <v>43747.240358796298</v>
      </c>
      <c r="B1978" s="12" t="str">
        <f>HYPERLINK("https://twitter.com/CalikogluSedat","@CalikogluSedat")</f>
        <v>@CalikogluSedat</v>
      </c>
      <c r="C1978" s="7" t="s">
        <v>13725</v>
      </c>
      <c r="D1978" s="7" t="s">
        <v>13726</v>
      </c>
      <c r="E1978" s="12" t="str">
        <f>HYPERLINK("https://twitter.com/CalikogluSedat/status/1181913731145572352","1181913731145572352")</f>
        <v>1181913731145572352</v>
      </c>
      <c r="F1978" s="8"/>
      <c r="G1978" s="15"/>
      <c r="H1978" s="8"/>
      <c r="I1978" s="15">
        <v>0</v>
      </c>
      <c r="J1978" s="15">
        <v>0</v>
      </c>
      <c r="K1978" s="12" t="str">
        <f>HYPERLINK("http://twitter.com","Twitter Web Client")</f>
        <v>Twitter Web Client</v>
      </c>
      <c r="L1978" s="16">
        <v>3</v>
      </c>
      <c r="M1978" s="16">
        <v>0</v>
      </c>
      <c r="N1978" s="16">
        <v>0</v>
      </c>
      <c r="O1978" s="17"/>
      <c r="P1978" s="18">
        <v>43668.998171296298</v>
      </c>
      <c r="Q1978" s="7" t="s">
        <v>13727</v>
      </c>
      <c r="R1978" s="7" t="s">
        <v>13728</v>
      </c>
      <c r="S1978" s="7"/>
      <c r="T1978" s="8"/>
      <c r="U1978" s="19" t="str">
        <f>HYPERLINK("https://pbs.twimg.com/profile_images/1154291706965168129/gN8vpFFC.jpg","View")</f>
        <v>View</v>
      </c>
      <c r="V1978" s="8"/>
      <c r="W1978" s="8"/>
      <c r="X1978" s="8"/>
      <c r="Y1978" s="8"/>
      <c r="Z1978" s="8"/>
    </row>
    <row r="1979" spans="1:26" ht="12.75">
      <c r="A1979" s="11">
        <v>43747.240312499998</v>
      </c>
      <c r="B1979" s="12" t="str">
        <f>HYPERLINK("https://twitter.com/eliiftopuz","@eliiftopuz")</f>
        <v>@eliiftopuz</v>
      </c>
      <c r="C1979" s="7" t="s">
        <v>13729</v>
      </c>
      <c r="D1979" s="7" t="s">
        <v>13730</v>
      </c>
      <c r="E1979" s="12" t="str">
        <f>HYPERLINK("https://twitter.com/eliiftopuz/status/1181913716599775233","1181913716599775233")</f>
        <v>1181913716599775233</v>
      </c>
      <c r="F1979" s="15"/>
      <c r="G1979" s="7"/>
      <c r="H1979" s="8"/>
      <c r="I1979" s="15">
        <v>0</v>
      </c>
      <c r="J1979" s="15">
        <v>0</v>
      </c>
      <c r="K1979" s="12" t="str">
        <f>HYPERLINK("http://twitter.com/download/iphone","Twitter for iPhone")</f>
        <v>Twitter for iPhone</v>
      </c>
      <c r="L1979" s="16">
        <v>236</v>
      </c>
      <c r="M1979" s="16">
        <v>97</v>
      </c>
      <c r="N1979" s="16">
        <v>0</v>
      </c>
      <c r="O1979" s="17"/>
      <c r="P1979" s="18">
        <v>42534.750763888893</v>
      </c>
      <c r="Q1979" s="7"/>
      <c r="R1979" s="7"/>
      <c r="S1979" s="14" t="s">
        <v>13731</v>
      </c>
      <c r="T1979" s="8"/>
      <c r="U1979" s="19" t="str">
        <f>HYPERLINK("https://pbs.twimg.com/profile_images/1171405176508506113/4BlQP6zI.jpg","View")</f>
        <v>View</v>
      </c>
      <c r="V1979" s="8"/>
      <c r="W1979" s="8"/>
      <c r="X1979" s="8"/>
      <c r="Y1979" s="8"/>
      <c r="Z1979" s="8"/>
    </row>
    <row r="1980" spans="1:26" ht="12.75">
      <c r="A1980" s="11">
        <v>43747.240266203706</v>
      </c>
      <c r="B1980" s="12" t="str">
        <f>HYPERLINK("https://twitter.com/blt661","@blt661")</f>
        <v>@blt661</v>
      </c>
      <c r="C1980" s="7" t="s">
        <v>6539</v>
      </c>
      <c r="D1980" s="7" t="s">
        <v>13732</v>
      </c>
      <c r="E1980" s="12" t="str">
        <f>HYPERLINK("https://twitter.com/blt661/status/1181913698396442624","1181913698396442624")</f>
        <v>1181913698396442624</v>
      </c>
      <c r="F1980" s="8"/>
      <c r="G1980" s="15"/>
      <c r="H1980" s="8"/>
      <c r="I1980" s="15">
        <v>0</v>
      </c>
      <c r="J1980" s="15">
        <v>0</v>
      </c>
      <c r="K1980" s="12" t="str">
        <f>HYPERLINK("https://mobile.twitter.com","Twitter Web App")</f>
        <v>Twitter Web App</v>
      </c>
      <c r="L1980" s="16">
        <v>769</v>
      </c>
      <c r="M1980" s="16">
        <v>851</v>
      </c>
      <c r="N1980" s="16">
        <v>0</v>
      </c>
      <c r="O1980" s="17"/>
      <c r="P1980" s="18">
        <v>41066.182557870372</v>
      </c>
      <c r="Q1980" s="7"/>
      <c r="R1980" s="7" t="s">
        <v>13733</v>
      </c>
      <c r="S1980" s="7"/>
      <c r="T1980" s="8"/>
      <c r="U1980" s="19" t="str">
        <f>HYPERLINK("https://pbs.twimg.com/profile_images/1164286091966504960/wzNX-Eij.jpg","View")</f>
        <v>View</v>
      </c>
      <c r="V1980" s="8"/>
      <c r="W1980" s="8"/>
      <c r="X1980" s="8"/>
      <c r="Y1980" s="8"/>
      <c r="Z1980" s="8"/>
    </row>
    <row r="1981" spans="1:26" ht="12.75">
      <c r="A1981" s="11">
        <v>43747.240266203706</v>
      </c>
      <c r="B1981" s="12" t="str">
        <f>HYPERLINK("https://twitter.com/gizlivealeni","@gizlivealeni")</f>
        <v>@gizlivealeni</v>
      </c>
      <c r="C1981" s="7" t="s">
        <v>13734</v>
      </c>
      <c r="D1981" s="7" t="s">
        <v>13735</v>
      </c>
      <c r="E1981" s="12" t="str">
        <f>HYPERLINK("https://twitter.com/gizlivealeni/status/1181913697805094912","1181913697805094912")</f>
        <v>1181913697805094912</v>
      </c>
      <c r="F1981" s="8"/>
      <c r="G1981" s="15"/>
      <c r="H1981" s="8"/>
      <c r="I1981" s="15">
        <v>0</v>
      </c>
      <c r="J1981" s="15">
        <v>0</v>
      </c>
      <c r="K1981" s="12" t="str">
        <f>HYPERLINK("http://twitter.com/download/iphone","Twitter for iPhone")</f>
        <v>Twitter for iPhone</v>
      </c>
      <c r="L1981" s="16">
        <v>4</v>
      </c>
      <c r="M1981" s="16">
        <v>43</v>
      </c>
      <c r="N1981" s="16">
        <v>0</v>
      </c>
      <c r="O1981" s="17"/>
      <c r="P1981" s="18">
        <v>42369.536527777775</v>
      </c>
      <c r="Q1981" s="7"/>
      <c r="R1981" s="7"/>
      <c r="S1981" s="7"/>
      <c r="T1981" s="8"/>
      <c r="U1981" s="19" t="str">
        <f>HYPERLINK("https://pbs.twimg.com/profile_images/937422270796062720/t_8Xx2Bm.jpg","View")</f>
        <v>View</v>
      </c>
      <c r="V1981" s="8"/>
      <c r="W1981" s="8"/>
      <c r="X1981" s="8"/>
      <c r="Y1981" s="8"/>
      <c r="Z1981" s="8"/>
    </row>
    <row r="1982" spans="1:26" ht="12.75">
      <c r="A1982" s="11">
        <v>43747.240219907406</v>
      </c>
      <c r="B1982" s="12" t="str">
        <f>HYPERLINK("https://twitter.com/pskpat2023","@pskpat2023")</f>
        <v>@pskpat2023</v>
      </c>
      <c r="C1982" s="7" t="s">
        <v>13736</v>
      </c>
      <c r="D1982" s="7" t="s">
        <v>13737</v>
      </c>
      <c r="E1982" s="12" t="str">
        <f>HYPERLINK("https://twitter.com/pskpat2023/status/1181913683343167489","1181913683343167489")</f>
        <v>1181913683343167489</v>
      </c>
      <c r="F1982" s="8"/>
      <c r="G1982" s="15"/>
      <c r="H1982" s="8"/>
      <c r="I1982" s="15">
        <v>0</v>
      </c>
      <c r="J1982" s="15">
        <v>0</v>
      </c>
      <c r="K1982" s="12" t="str">
        <f>HYPERLINK("https://mobile.twitter.com","Twitter Web App")</f>
        <v>Twitter Web App</v>
      </c>
      <c r="L1982" s="16">
        <v>3238</v>
      </c>
      <c r="M1982" s="16">
        <v>3125</v>
      </c>
      <c r="N1982" s="16">
        <v>2</v>
      </c>
      <c r="O1982" s="17"/>
      <c r="P1982" s="18">
        <v>41373.375127314815</v>
      </c>
      <c r="Q1982" s="7" t="s">
        <v>13738</v>
      </c>
      <c r="R1982" s="7" t="s">
        <v>13739</v>
      </c>
      <c r="S1982" s="7"/>
      <c r="T1982" s="8"/>
      <c r="U1982" s="19" t="str">
        <f>HYPERLINK("https://pbs.twimg.com/profile_images/1181897727233417216/KAgIwXC4.jpg","View")</f>
        <v>View</v>
      </c>
      <c r="V1982" s="8"/>
      <c r="W1982" s="8"/>
      <c r="X1982" s="8"/>
      <c r="Y1982" s="8"/>
      <c r="Z1982" s="8"/>
    </row>
    <row r="1983" spans="1:26" ht="12.75">
      <c r="A1983" s="11">
        <v>43747.240127314813</v>
      </c>
      <c r="B1983" s="12" t="str">
        <f>HYPERLINK("https://twitter.com/PAKkaSIPAHI","@PAKkaSIPAHI")</f>
        <v>@PAKkaSIPAHI</v>
      </c>
      <c r="C1983" s="7" t="s">
        <v>13740</v>
      </c>
      <c r="D1983" s="7" t="s">
        <v>13741</v>
      </c>
      <c r="E1983" s="12" t="str">
        <f>HYPERLINK("https://twitter.com/PAKkaSIPAHI/status/1181913648677171200","1181913648677171200")</f>
        <v>1181913648677171200</v>
      </c>
      <c r="F1983" s="8"/>
      <c r="G1983" s="7"/>
      <c r="H1983" s="8"/>
      <c r="I1983" s="15">
        <v>0</v>
      </c>
      <c r="J1983" s="15">
        <v>0</v>
      </c>
      <c r="K1983" s="12" t="str">
        <f>HYPERLINK("http://twitter.com/download/iphone","Twitter for iPhone")</f>
        <v>Twitter for iPhone</v>
      </c>
      <c r="L1983" s="16">
        <v>218</v>
      </c>
      <c r="M1983" s="16">
        <v>661</v>
      </c>
      <c r="N1983" s="16">
        <v>1</v>
      </c>
      <c r="O1983" s="17"/>
      <c r="P1983" s="18">
        <v>43622.197847222225</v>
      </c>
      <c r="Q1983" s="7" t="s">
        <v>1461</v>
      </c>
      <c r="R1983" s="7" t="s">
        <v>13742</v>
      </c>
      <c r="S1983" s="14" t="s">
        <v>13743</v>
      </c>
      <c r="T1983" s="8"/>
      <c r="U1983" s="19" t="str">
        <f>HYPERLINK("https://pbs.twimg.com/profile_images/1180408687334178822/St9HXuej.jpg","View")</f>
        <v>View</v>
      </c>
      <c r="V1983" s="8"/>
      <c r="W1983" s="8"/>
      <c r="X1983" s="8"/>
      <c r="Y1983" s="8"/>
      <c r="Z1983" s="8"/>
    </row>
    <row r="1984" spans="1:26" ht="12.75">
      <c r="A1984" s="11">
        <v>43747.239918981482</v>
      </c>
      <c r="B1984" s="12" t="str">
        <f>HYPERLINK("https://twitter.com/Salih_Ilker","@Salih_Ilker")</f>
        <v>@Salih_Ilker</v>
      </c>
      <c r="C1984" s="7" t="s">
        <v>13744</v>
      </c>
      <c r="D1984" s="7" t="s">
        <v>13745</v>
      </c>
      <c r="E1984" s="12" t="str">
        <f>HYPERLINK("https://twitter.com/Salih_Ilker/status/1181913572047310849","1181913572047310849")</f>
        <v>1181913572047310849</v>
      </c>
      <c r="F1984" s="8"/>
      <c r="G1984" s="7"/>
      <c r="H1984" s="8"/>
      <c r="I1984" s="15">
        <v>0</v>
      </c>
      <c r="J1984" s="15">
        <v>1</v>
      </c>
      <c r="K1984" s="12" t="str">
        <f>HYPERLINK("http://twitter.com/download/iphone","Twitter for iPhone")</f>
        <v>Twitter for iPhone</v>
      </c>
      <c r="L1984" s="16">
        <v>6503</v>
      </c>
      <c r="M1984" s="16">
        <v>853</v>
      </c>
      <c r="N1984" s="16">
        <v>30</v>
      </c>
      <c r="O1984" s="17"/>
      <c r="P1984" s="18">
        <v>40766.258761574078</v>
      </c>
      <c r="Q1984" s="7"/>
      <c r="R1984" s="7" t="s">
        <v>13746</v>
      </c>
      <c r="S1984" s="15"/>
      <c r="T1984" s="8"/>
      <c r="U1984" s="19" t="str">
        <f>HYPERLINK("https://pbs.twimg.com/profile_images/1148251241027387393/DY9IKzrF.png","View")</f>
        <v>View</v>
      </c>
      <c r="V1984" s="8"/>
      <c r="W1984" s="8"/>
      <c r="X1984" s="8"/>
      <c r="Y1984" s="8"/>
      <c r="Z1984" s="8"/>
    </row>
    <row r="1985" spans="1:26" ht="12.75">
      <c r="A1985" s="11">
        <v>43747.239756944444</v>
      </c>
      <c r="B1985" s="12" t="str">
        <f>HYPERLINK("https://twitter.com/Maynak94377682","@Maynak94377682")</f>
        <v>@Maynak94377682</v>
      </c>
      <c r="C1985" s="7" t="s">
        <v>13747</v>
      </c>
      <c r="D1985" s="7" t="s">
        <v>13748</v>
      </c>
      <c r="E1985" s="12" t="str">
        <f>HYPERLINK("https://twitter.com/Maynak94377682/status/1181913513624780801","1181913513624780801")</f>
        <v>1181913513624780801</v>
      </c>
      <c r="F1985" s="8"/>
      <c r="G1985" s="7"/>
      <c r="H1985" s="8"/>
      <c r="I1985" s="15">
        <v>0</v>
      </c>
      <c r="J1985" s="15">
        <v>0</v>
      </c>
      <c r="K1985" s="12" t="str">
        <f>HYPERLINK("http://twitter.com/download/iphone","Twitter for iPhone")</f>
        <v>Twitter for iPhone</v>
      </c>
      <c r="L1985" s="16">
        <v>103</v>
      </c>
      <c r="M1985" s="16">
        <v>46</v>
      </c>
      <c r="N1985" s="16">
        <v>0</v>
      </c>
      <c r="O1985" s="17"/>
      <c r="P1985" s="18">
        <v>43091.396354166667</v>
      </c>
      <c r="Q1985" s="7"/>
      <c r="R1985" s="7"/>
      <c r="S1985" s="7"/>
      <c r="T1985" s="8"/>
      <c r="U1985" s="19" t="str">
        <f>HYPERLINK("https://pbs.twimg.com/profile_images/1171494789088337921/52YHm2kG.jpg","View")</f>
        <v>View</v>
      </c>
      <c r="V1985" s="8"/>
      <c r="W1985" s="8"/>
      <c r="X1985" s="8"/>
      <c r="Y1985" s="8"/>
      <c r="Z1985" s="8"/>
    </row>
    <row r="1986" spans="1:26" ht="12.75">
      <c r="A1986" s="11">
        <v>43747.239733796298</v>
      </c>
      <c r="B1986" s="12" t="str">
        <f>HYPERLINK("https://twitter.com/victory3315","@victory3315")</f>
        <v>@victory3315</v>
      </c>
      <c r="C1986" s="7" t="s">
        <v>13749</v>
      </c>
      <c r="D1986" s="7" t="s">
        <v>13750</v>
      </c>
      <c r="E1986" s="12" t="str">
        <f>HYPERLINK("https://twitter.com/victory3315/status/1181913506280607744","1181913506280607744")</f>
        <v>1181913506280607744</v>
      </c>
      <c r="F1986" s="8"/>
      <c r="G1986" s="15"/>
      <c r="H1986" s="8"/>
      <c r="I1986" s="15">
        <v>0</v>
      </c>
      <c r="J1986" s="15">
        <v>0</v>
      </c>
      <c r="K1986" s="12" t="str">
        <f>HYPERLINK("http://twitter.com/download/android","Twitter for Android")</f>
        <v>Twitter for Android</v>
      </c>
      <c r="L1986" s="16">
        <v>2</v>
      </c>
      <c r="M1986" s="16">
        <v>52</v>
      </c>
      <c r="N1986" s="16">
        <v>0</v>
      </c>
      <c r="O1986" s="17"/>
      <c r="P1986" s="18">
        <v>43715.186192129629</v>
      </c>
      <c r="Q1986" s="7"/>
      <c r="R1986" s="7"/>
      <c r="S1986" s="7"/>
      <c r="T1986" s="8"/>
      <c r="U1986" s="19" t="str">
        <f>HYPERLINK("https://pbs.twimg.com/profile_images/1170298774918443009/SpyY-_38.png","View")</f>
        <v>View</v>
      </c>
      <c r="V1986" s="8"/>
      <c r="W1986" s="8"/>
      <c r="X1986" s="8"/>
      <c r="Y1986" s="8"/>
      <c r="Z1986" s="8"/>
    </row>
    <row r="1987" spans="1:26" ht="12.75">
      <c r="A1987" s="11">
        <v>43747.239629629628</v>
      </c>
      <c r="B1987" s="12" t="str">
        <f>HYPERLINK("https://twitter.com/shyguymon","@shyguymon")</f>
        <v>@shyguymon</v>
      </c>
      <c r="C1987" s="15" t="s">
        <v>13752</v>
      </c>
      <c r="D1987" s="7" t="s">
        <v>13753</v>
      </c>
      <c r="E1987" s="12" t="str">
        <f>HYPERLINK("https://twitter.com/shyguymon/status/1181913470205386758","1181913470205386758")</f>
        <v>1181913470205386758</v>
      </c>
      <c r="F1987" s="8"/>
      <c r="G1987" s="15"/>
      <c r="H1987" s="8"/>
      <c r="I1987" s="15">
        <v>0</v>
      </c>
      <c r="J1987" s="15">
        <v>0</v>
      </c>
      <c r="K1987" s="12" t="str">
        <f>HYPERLINK("https://mobile.twitter.com","Twitter Web App")</f>
        <v>Twitter Web App</v>
      </c>
      <c r="L1987" s="16">
        <v>1119</v>
      </c>
      <c r="M1987" s="16">
        <v>464</v>
      </c>
      <c r="N1987" s="16">
        <v>15</v>
      </c>
      <c r="O1987" s="17"/>
      <c r="P1987" s="18">
        <v>42184.786006944443</v>
      </c>
      <c r="Q1987" s="7" t="s">
        <v>13754</v>
      </c>
      <c r="R1987" s="7" t="s">
        <v>13755</v>
      </c>
      <c r="S1987" s="14" t="s">
        <v>13756</v>
      </c>
      <c r="T1987" s="8"/>
      <c r="U1987" s="19" t="str">
        <f>HYPERLINK("https://pbs.twimg.com/profile_images/1168170702517821440/mmubHaU7.jpg","View")</f>
        <v>View</v>
      </c>
      <c r="V1987" s="8"/>
      <c r="W1987" s="8"/>
      <c r="X1987" s="8"/>
      <c r="Y1987" s="8"/>
      <c r="Z1987" s="8"/>
    </row>
    <row r="1988" spans="1:26" ht="12.75">
      <c r="A1988" s="11">
        <v>43747.23951388889</v>
      </c>
      <c r="B1988" s="12" t="str">
        <f>HYPERLINK("https://twitter.com/EflaEminoglu","@EflaEminoglu")</f>
        <v>@EflaEminoglu</v>
      </c>
      <c r="C1988" s="7" t="s">
        <v>13757</v>
      </c>
      <c r="D1988" s="7" t="s">
        <v>13758</v>
      </c>
      <c r="E1988" s="12" t="str">
        <f>HYPERLINK("https://twitter.com/EflaEminoglu/status/1181913428765622278","1181913428765622278")</f>
        <v>1181913428765622278</v>
      </c>
      <c r="F1988" s="8"/>
      <c r="G1988" s="14" t="s">
        <v>13759</v>
      </c>
      <c r="H1988" s="8"/>
      <c r="I1988" s="15">
        <v>1</v>
      </c>
      <c r="J1988" s="15">
        <v>1</v>
      </c>
      <c r="K1988" s="12" t="str">
        <f>HYPERLINK("http://twitter.com","Twitter Web Client")</f>
        <v>Twitter Web Client</v>
      </c>
      <c r="L1988" s="16">
        <v>5</v>
      </c>
      <c r="M1988" s="16">
        <v>0</v>
      </c>
      <c r="N1988" s="16">
        <v>0</v>
      </c>
      <c r="O1988" s="17"/>
      <c r="P1988" s="18">
        <v>43683.84774305555</v>
      </c>
      <c r="Q1988" s="7" t="s">
        <v>4442</v>
      </c>
      <c r="R1988" s="7" t="s">
        <v>13760</v>
      </c>
      <c r="S1988" s="7"/>
      <c r="T1988" s="8"/>
      <c r="U1988" s="19" t="str">
        <f>HYPERLINK("https://pbs.twimg.com/profile_images/1167220410485747712/3kypktl-.jpg","View")</f>
        <v>View</v>
      </c>
      <c r="V1988" s="8"/>
      <c r="W1988" s="8"/>
      <c r="X1988" s="8"/>
      <c r="Y1988" s="8"/>
      <c r="Z1988" s="8"/>
    </row>
    <row r="1989" spans="1:26" ht="12.75">
      <c r="A1989" s="11">
        <v>43747.239398148144</v>
      </c>
      <c r="B1989" s="12" t="str">
        <f>HYPERLINK("https://twitter.com/CihanElcii","@CihanElcii")</f>
        <v>@CihanElcii</v>
      </c>
      <c r="C1989" s="7" t="s">
        <v>13761</v>
      </c>
      <c r="D1989" s="7" t="s">
        <v>13762</v>
      </c>
      <c r="E1989" s="12" t="str">
        <f>HYPERLINK("https://twitter.com/CihanElcii/status/1181913385379799045","1181913385379799045")</f>
        <v>1181913385379799045</v>
      </c>
      <c r="F1989" s="15"/>
      <c r="G1989" s="14" t="s">
        <v>13763</v>
      </c>
      <c r="H1989" s="8"/>
      <c r="I1989" s="15">
        <v>1</v>
      </c>
      <c r="J1989" s="15">
        <v>1</v>
      </c>
      <c r="K1989" s="12" t="str">
        <f>HYPERLINK("http://twitter.com/download/android","Twitter for Android")</f>
        <v>Twitter for Android</v>
      </c>
      <c r="L1989" s="16">
        <v>33</v>
      </c>
      <c r="M1989" s="16">
        <v>91</v>
      </c>
      <c r="N1989" s="16">
        <v>0</v>
      </c>
      <c r="O1989" s="17"/>
      <c r="P1989" s="18">
        <v>40203.281782407408</v>
      </c>
      <c r="Q1989" s="7" t="s">
        <v>13764</v>
      </c>
      <c r="R1989" s="7" t="s">
        <v>13765</v>
      </c>
      <c r="S1989" s="15"/>
      <c r="T1989" s="8"/>
      <c r="U1989" s="19" t="str">
        <f>HYPERLINK("https://pbs.twimg.com/profile_images/1157403817144700929/vwkNbtzo.jpg","View")</f>
        <v>View</v>
      </c>
      <c r="V1989" s="8"/>
      <c r="W1989" s="8"/>
      <c r="X1989" s="8"/>
      <c r="Y1989" s="8"/>
      <c r="Z1989" s="8"/>
    </row>
    <row r="1990" spans="1:26" ht="12.75">
      <c r="A1990" s="11">
        <v>43747.239398148144</v>
      </c>
      <c r="B1990" s="12" t="str">
        <f>HYPERLINK("https://twitter.com/Maliii_1907","@Maliii_1907")</f>
        <v>@Maliii_1907</v>
      </c>
      <c r="C1990" s="7" t="s">
        <v>13766</v>
      </c>
      <c r="D1990" s="7" t="s">
        <v>13767</v>
      </c>
      <c r="E1990" s="12" t="str">
        <f>HYPERLINK("https://twitter.com/Maliii_1907/status/1181913383538511872","1181913383538511872")</f>
        <v>1181913383538511872</v>
      </c>
      <c r="F1990" s="14" t="s">
        <v>2631</v>
      </c>
      <c r="G1990" s="14" t="s">
        <v>2632</v>
      </c>
      <c r="H1990" s="8"/>
      <c r="I1990" s="15">
        <v>1</v>
      </c>
      <c r="J1990" s="15">
        <v>2</v>
      </c>
      <c r="K1990" s="12" t="str">
        <f>HYPERLINK("http://twitter.com/download/android","Twitter for Android")</f>
        <v>Twitter for Android</v>
      </c>
      <c r="L1990" s="16">
        <v>22</v>
      </c>
      <c r="M1990" s="16">
        <v>68</v>
      </c>
      <c r="N1990" s="16">
        <v>0</v>
      </c>
      <c r="O1990" s="17"/>
      <c r="P1990" s="18">
        <v>42012.469027777777</v>
      </c>
      <c r="Q1990" s="7"/>
      <c r="R1990" s="7" t="s">
        <v>13768</v>
      </c>
      <c r="S1990" s="15"/>
      <c r="T1990" s="8"/>
      <c r="U1990" s="19" t="str">
        <f>HYPERLINK("https://pbs.twimg.com/profile_images/1181293133784473600/8INcrN0P.jpg","View")</f>
        <v>View</v>
      </c>
      <c r="V1990" s="8"/>
      <c r="W1990" s="8"/>
      <c r="X1990" s="8"/>
      <c r="Y1990" s="8"/>
      <c r="Z1990" s="8"/>
    </row>
    <row r="1991" spans="1:26" ht="12.75">
      <c r="A1991" s="11">
        <v>43747.239247685182</v>
      </c>
      <c r="B1991" s="12" t="str">
        <f>HYPERLINK("https://twitter.com/Ahmetglsn141","@Ahmetglsn141")</f>
        <v>@Ahmetglsn141</v>
      </c>
      <c r="C1991" s="7" t="s">
        <v>13769</v>
      </c>
      <c r="D1991" s="7" t="s">
        <v>13770</v>
      </c>
      <c r="E1991" s="12" t="str">
        <f>HYPERLINK("https://twitter.com/Ahmetglsn141/status/1181913329696202757","1181913329696202757")</f>
        <v>1181913329696202757</v>
      </c>
      <c r="F1991" s="8"/>
      <c r="G1991" s="7"/>
      <c r="H1991" s="8"/>
      <c r="I1991" s="15">
        <v>0</v>
      </c>
      <c r="J1991" s="15">
        <v>0</v>
      </c>
      <c r="K1991" s="12" t="str">
        <f>HYPERLINK("http://twitter.com/download/android","Twitter for Android")</f>
        <v>Twitter for Android</v>
      </c>
      <c r="L1991" s="16">
        <v>499</v>
      </c>
      <c r="M1991" s="16">
        <v>1554</v>
      </c>
      <c r="N1991" s="16">
        <v>0</v>
      </c>
      <c r="O1991" s="17"/>
      <c r="P1991" s="18">
        <v>43643.139432870375</v>
      </c>
      <c r="Q1991" s="7" t="s">
        <v>13771</v>
      </c>
      <c r="R1991" s="7" t="s">
        <v>13772</v>
      </c>
      <c r="S1991" s="7"/>
      <c r="T1991" s="8"/>
      <c r="U1991" s="19" t="str">
        <f>HYPERLINK("https://pbs.twimg.com/profile_images/1165720477182173184/n8Z2_1N4.jpg","View")</f>
        <v>View</v>
      </c>
      <c r="V1991" s="8"/>
      <c r="W1991" s="8"/>
      <c r="X1991" s="8"/>
      <c r="Y1991" s="8"/>
      <c r="Z1991" s="8"/>
    </row>
    <row r="1992" spans="1:26" ht="12.75">
      <c r="A1992" s="11">
        <v>43747.239166666666</v>
      </c>
      <c r="B1992" s="12" t="str">
        <f>HYPERLINK("https://twitter.com/Zehractinky","@Zehractinky")</f>
        <v>@Zehractinky</v>
      </c>
      <c r="C1992" s="7" t="s">
        <v>13773</v>
      </c>
      <c r="D1992" s="7" t="s">
        <v>13774</v>
      </c>
      <c r="E1992" s="12" t="str">
        <f>HYPERLINK("https://twitter.com/Zehractinky/status/1181913302902984705","1181913302902984705")</f>
        <v>1181913302902984705</v>
      </c>
      <c r="F1992" s="8"/>
      <c r="G1992" s="15"/>
      <c r="H1992" s="8"/>
      <c r="I1992" s="15">
        <v>0</v>
      </c>
      <c r="J1992" s="15">
        <v>0</v>
      </c>
      <c r="K1992" s="12" t="str">
        <f>HYPERLINK("http://twitter.com/download/android","Twitter for Android")</f>
        <v>Twitter for Android</v>
      </c>
      <c r="L1992" s="16">
        <v>273</v>
      </c>
      <c r="M1992" s="16">
        <v>320</v>
      </c>
      <c r="N1992" s="16">
        <v>0</v>
      </c>
      <c r="O1992" s="17"/>
      <c r="P1992" s="18">
        <v>43605.339039351849</v>
      </c>
      <c r="Q1992" s="7" t="s">
        <v>287</v>
      </c>
      <c r="R1992" s="7" t="s">
        <v>13775</v>
      </c>
      <c r="S1992" s="14" t="s">
        <v>13776</v>
      </c>
      <c r="T1992" s="8"/>
      <c r="U1992" s="19" t="str">
        <f>HYPERLINK("https://pbs.twimg.com/profile_images/1181133744687783936/xCO2PBCW.jpg","View")</f>
        <v>View</v>
      </c>
      <c r="V1992" s="8"/>
      <c r="W1992" s="8"/>
      <c r="X1992" s="8"/>
      <c r="Y1992" s="8"/>
      <c r="Z1992" s="8"/>
    </row>
    <row r="1993" spans="1:26" ht="12.75">
      <c r="A1993" s="11">
        <v>43747.239120370374</v>
      </c>
      <c r="B1993" s="12" t="str">
        <f>HYPERLINK("https://twitter.com/DnzERHAN","@DnzERHAN")</f>
        <v>@DnzERHAN</v>
      </c>
      <c r="C1993" s="7" t="s">
        <v>13777</v>
      </c>
      <c r="D1993" s="7" t="s">
        <v>13778</v>
      </c>
      <c r="E1993" s="12" t="str">
        <f>HYPERLINK("https://twitter.com/DnzERHAN/status/1181913284284420096","1181913284284420096")</f>
        <v>1181913284284420096</v>
      </c>
      <c r="F1993" s="8"/>
      <c r="G1993" s="14" t="s">
        <v>13779</v>
      </c>
      <c r="H1993" s="8"/>
      <c r="I1993" s="15">
        <v>0</v>
      </c>
      <c r="J1993" s="15">
        <v>0</v>
      </c>
      <c r="K1993" s="12" t="str">
        <f>HYPERLINK("http://twitter.com/download/android","Twitter for Android")</f>
        <v>Twitter for Android</v>
      </c>
      <c r="L1993" s="16">
        <v>6</v>
      </c>
      <c r="M1993" s="16">
        <v>6</v>
      </c>
      <c r="N1993" s="16">
        <v>1</v>
      </c>
      <c r="O1993" s="17"/>
      <c r="P1993" s="18">
        <v>40710.579247685186</v>
      </c>
      <c r="Q1993" s="7" t="s">
        <v>200</v>
      </c>
      <c r="R1993" s="7" t="s">
        <v>13780</v>
      </c>
      <c r="S1993" s="7"/>
      <c r="T1993" s="8"/>
      <c r="U1993" s="19" t="str">
        <f>HYPERLINK("https://pbs.twimg.com/profile_images/1181840263389556736/aNdcFlge.jpg","View")</f>
        <v>View</v>
      </c>
      <c r="V1993" s="8"/>
      <c r="W1993" s="8"/>
      <c r="X1993" s="8"/>
      <c r="Y1993" s="8"/>
      <c r="Z1993" s="8"/>
    </row>
    <row r="1994" spans="1:26" ht="12.75">
      <c r="A1994" s="11">
        <v>43747.239120370374</v>
      </c>
      <c r="B1994" s="12" t="str">
        <f>HYPERLINK("https://twitter.com/PltArzu","@PltArzu")</f>
        <v>@PltArzu</v>
      </c>
      <c r="C1994" s="7" t="s">
        <v>13781</v>
      </c>
      <c r="D1994" s="7" t="s">
        <v>13782</v>
      </c>
      <c r="E1994" s="12" t="str">
        <f>HYPERLINK("https://twitter.com/PltArzu/status/1181913283831504896","1181913283831504896")</f>
        <v>1181913283831504896</v>
      </c>
      <c r="F1994" s="8"/>
      <c r="G1994" s="7"/>
      <c r="H1994" s="8"/>
      <c r="I1994" s="15">
        <v>0</v>
      </c>
      <c r="J1994" s="15">
        <v>1</v>
      </c>
      <c r="K1994" s="12" t="str">
        <f>HYPERLINK("http://twitter.com/download/android","Twitter for Android")</f>
        <v>Twitter for Android</v>
      </c>
      <c r="L1994" s="16">
        <v>63</v>
      </c>
      <c r="M1994" s="16">
        <v>165</v>
      </c>
      <c r="N1994" s="16">
        <v>0</v>
      </c>
      <c r="O1994" s="17"/>
      <c r="P1994" s="18">
        <v>42668.930949074071</v>
      </c>
      <c r="Q1994" s="7" t="s">
        <v>80</v>
      </c>
      <c r="R1994" s="7" t="s">
        <v>13783</v>
      </c>
      <c r="S1994" s="14" t="s">
        <v>13784</v>
      </c>
      <c r="T1994" s="8"/>
      <c r="U1994" s="19" t="str">
        <f>HYPERLINK("https://pbs.twimg.com/profile_images/1155954821142216704/iYMC44TN.jpg","View")</f>
        <v>View</v>
      </c>
      <c r="V1994" s="8"/>
      <c r="W1994" s="8"/>
      <c r="X1994" s="8"/>
      <c r="Y1994" s="8"/>
      <c r="Z1994" s="8"/>
    </row>
    <row r="1995" spans="1:26" ht="12.75">
      <c r="A1995" s="11">
        <v>43747.239016203705</v>
      </c>
      <c r="B1995" s="12" t="str">
        <f>HYPERLINK("https://twitter.com/Kutsalbiberon","@Kutsalbiberon")</f>
        <v>@Kutsalbiberon</v>
      </c>
      <c r="C1995" s="7" t="s">
        <v>13785</v>
      </c>
      <c r="D1995" s="7" t="s">
        <v>13786</v>
      </c>
      <c r="E1995" s="12" t="str">
        <f>HYPERLINK("https://twitter.com/Kutsalbiberon/status/1181913245008969728","1181913245008969728")</f>
        <v>1181913245008969728</v>
      </c>
      <c r="F1995" s="8"/>
      <c r="G1995" s="7"/>
      <c r="H1995" s="8"/>
      <c r="I1995" s="15">
        <v>0</v>
      </c>
      <c r="J1995" s="15">
        <v>4</v>
      </c>
      <c r="K1995" s="12" t="str">
        <f>HYPERLINK("http://twitter.com/download/android","Twitter for Android")</f>
        <v>Twitter for Android</v>
      </c>
      <c r="L1995" s="16">
        <v>5775</v>
      </c>
      <c r="M1995" s="16">
        <v>4839</v>
      </c>
      <c r="N1995" s="16">
        <v>2</v>
      </c>
      <c r="O1995" s="17"/>
      <c r="P1995" s="18">
        <v>43602.517025462963</v>
      </c>
      <c r="Q1995" s="7" t="s">
        <v>200</v>
      </c>
      <c r="R1995" s="7" t="s">
        <v>13787</v>
      </c>
      <c r="S1995" s="7"/>
      <c r="T1995" s="8"/>
      <c r="U1995" s="19" t="str">
        <f>HYPERLINK("https://pbs.twimg.com/profile_images/1129471259786522625/cNDUQXj5.jpg","View")</f>
        <v>View</v>
      </c>
      <c r="V1995" s="8"/>
      <c r="W1995" s="8"/>
      <c r="X1995" s="8"/>
      <c r="Y1995" s="8"/>
      <c r="Z1995" s="8"/>
    </row>
    <row r="1996" spans="1:26" ht="12.75">
      <c r="A1996" s="11">
        <v>43747.238912037035</v>
      </c>
      <c r="B1996" s="12" t="str">
        <f>HYPERLINK("https://twitter.com/bukadar_derinn","@bukadar_derinn")</f>
        <v>@bukadar_derinn</v>
      </c>
      <c r="C1996" s="7" t="s">
        <v>13788</v>
      </c>
      <c r="D1996" s="7" t="s">
        <v>13789</v>
      </c>
      <c r="E1996" s="12" t="str">
        <f>HYPERLINK("https://twitter.com/bukadar_derinn/status/1181913208258469889","1181913208258469889")</f>
        <v>1181913208258469889</v>
      </c>
      <c r="F1996" s="8"/>
      <c r="G1996" s="7"/>
      <c r="H1996" s="8"/>
      <c r="I1996" s="15">
        <v>0</v>
      </c>
      <c r="J1996" s="15">
        <v>0</v>
      </c>
      <c r="K1996" s="12" t="str">
        <f>HYPERLINK("http://twitter.com/download/iphone","Twitter for iPhone")</f>
        <v>Twitter for iPhone</v>
      </c>
      <c r="L1996" s="16">
        <v>100</v>
      </c>
      <c r="M1996" s="16">
        <v>181</v>
      </c>
      <c r="N1996" s="16">
        <v>0</v>
      </c>
      <c r="O1996" s="17"/>
      <c r="P1996" s="18">
        <v>43737.365219907406</v>
      </c>
      <c r="Q1996" s="7"/>
      <c r="R1996" s="7"/>
      <c r="S1996" s="7"/>
      <c r="T1996" s="8"/>
      <c r="U1996" s="19" t="str">
        <f>HYPERLINK("https://pbs.twimg.com/profile_images/1181907825066463235/IE7IowyM.jpg","View")</f>
        <v>View</v>
      </c>
      <c r="V1996" s="8"/>
      <c r="W1996" s="8"/>
      <c r="X1996" s="8"/>
      <c r="Y1996" s="8"/>
      <c r="Z1996" s="8"/>
    </row>
    <row r="1997" spans="1:26" ht="12.75">
      <c r="A1997" s="11">
        <v>43747.238807870366</v>
      </c>
      <c r="B1997" s="12" t="str">
        <f>HYPERLINK("https://twitter.com/IKalacos","@IKalacos")</f>
        <v>@IKalacos</v>
      </c>
      <c r="C1997" s="7" t="s">
        <v>13790</v>
      </c>
      <c r="D1997" s="7" t="s">
        <v>13791</v>
      </c>
      <c r="E1997" s="12" t="str">
        <f>HYPERLINK("https://twitter.com/IKalacos/status/1181913171541581824","1181913171541581824")</f>
        <v>1181913171541581824</v>
      </c>
      <c r="F1997" s="14" t="s">
        <v>13792</v>
      </c>
      <c r="G1997" s="14" t="s">
        <v>13793</v>
      </c>
      <c r="H1997" s="8"/>
      <c r="I1997" s="15">
        <v>0</v>
      </c>
      <c r="J1997" s="15">
        <v>0</v>
      </c>
      <c r="K1997" s="12" t="str">
        <f>HYPERLINK("http://twitter.com/download/iphone","Twitter for iPhone")</f>
        <v>Twitter for iPhone</v>
      </c>
      <c r="L1997" s="16">
        <v>499</v>
      </c>
      <c r="M1997" s="16">
        <v>1044</v>
      </c>
      <c r="N1997" s="16">
        <v>0</v>
      </c>
      <c r="O1997" s="17"/>
      <c r="P1997" s="18">
        <v>41468.076817129629</v>
      </c>
      <c r="Q1997" s="7"/>
      <c r="R1997" s="7"/>
      <c r="S1997" s="15"/>
      <c r="T1997" s="8"/>
      <c r="U1997" s="19" t="str">
        <f>HYPERLINK("https://pbs.twimg.com/profile_images/1149344039747117063/XIG3o0I1.jpg","View")</f>
        <v>View</v>
      </c>
      <c r="V1997" s="8"/>
      <c r="W1997" s="8"/>
      <c r="X1997" s="8"/>
      <c r="Y1997" s="8"/>
      <c r="Z1997" s="8"/>
    </row>
    <row r="1998" spans="1:26" ht="12.75">
      <c r="A1998" s="11">
        <v>43747.238807870366</v>
      </c>
      <c r="B1998" s="12" t="str">
        <f>HYPERLINK("https://twitter.com/aslanbeyati9","@aslanbeyati9")</f>
        <v>@aslanbeyati9</v>
      </c>
      <c r="C1998" s="7" t="s">
        <v>13794</v>
      </c>
      <c r="D1998" s="7" t="s">
        <v>13795</v>
      </c>
      <c r="E1998" s="12" t="str">
        <f>HYPERLINK("https://twitter.com/aslanbeyati9/status/1181913170610462721","1181913170610462721")</f>
        <v>1181913170610462721</v>
      </c>
      <c r="F1998" s="8"/>
      <c r="G1998" s="15"/>
      <c r="H1998" s="8"/>
      <c r="I1998" s="15">
        <v>0</v>
      </c>
      <c r="J1998" s="15">
        <v>0</v>
      </c>
      <c r="K1998" s="12" t="str">
        <f>HYPERLINK("https://mobile.twitter.com","Twitter Web App")</f>
        <v>Twitter Web App</v>
      </c>
      <c r="L1998" s="16">
        <v>8307</v>
      </c>
      <c r="M1998" s="16">
        <v>4935</v>
      </c>
      <c r="N1998" s="16">
        <v>11</v>
      </c>
      <c r="O1998" s="17"/>
      <c r="P1998" s="18">
        <v>42594.094224537039</v>
      </c>
      <c r="Q1998" s="7" t="s">
        <v>313</v>
      </c>
      <c r="R1998" s="7" t="s">
        <v>13796</v>
      </c>
      <c r="S1998" s="7"/>
      <c r="T1998" s="8"/>
      <c r="U1998" s="19" t="str">
        <f>HYPERLINK("https://pbs.twimg.com/profile_images/844886132634652672/YJetWhDc.jpg","View")</f>
        <v>View</v>
      </c>
      <c r="V1998" s="8"/>
      <c r="W1998" s="8"/>
      <c r="X1998" s="8"/>
      <c r="Y1998" s="8"/>
      <c r="Z1998" s="8"/>
    </row>
    <row r="1999" spans="1:26" ht="12.75">
      <c r="A1999" s="11">
        <v>43747.238807870366</v>
      </c>
      <c r="B1999" s="12" t="str">
        <f>HYPERLINK("https://twitter.com/DDugencioglu","@DDugencioglu")</f>
        <v>@DDugencioglu</v>
      </c>
      <c r="C1999" s="7" t="s">
        <v>13797</v>
      </c>
      <c r="D1999" s="7" t="s">
        <v>13798</v>
      </c>
      <c r="E1999" s="12" t="str">
        <f>HYPERLINK("https://twitter.com/DDugencioglu/status/1181913169138204674","1181913169138204674")</f>
        <v>1181913169138204674</v>
      </c>
      <c r="F1999" s="8"/>
      <c r="G1999" s="15"/>
      <c r="H1999" s="8"/>
      <c r="I1999" s="15">
        <v>0</v>
      </c>
      <c r="J1999" s="15">
        <v>0</v>
      </c>
      <c r="K1999" s="12" t="str">
        <f>HYPERLINK("http://twitter.com","Twitter Web Client")</f>
        <v>Twitter Web Client</v>
      </c>
      <c r="L1999" s="16">
        <v>3</v>
      </c>
      <c r="M1999" s="16">
        <v>0</v>
      </c>
      <c r="N1999" s="16">
        <v>0</v>
      </c>
      <c r="O1999" s="17"/>
      <c r="P1999" s="18">
        <v>43668.988159722227</v>
      </c>
      <c r="Q1999" s="7" t="s">
        <v>1850</v>
      </c>
      <c r="R1999" s="7" t="s">
        <v>13799</v>
      </c>
      <c r="S1999" s="15"/>
      <c r="T1999" s="8"/>
      <c r="U1999" s="19" t="str">
        <f>HYPERLINK("https://pbs.twimg.com/profile_images/1153756285181005831/gqkx4WFt.jpg","View")</f>
        <v>View</v>
      </c>
      <c r="V1999" s="8"/>
      <c r="W1999" s="8"/>
      <c r="X1999" s="8"/>
      <c r="Y1999" s="8"/>
      <c r="Z1999" s="8"/>
    </row>
    <row r="2000" spans="1:26" ht="12.75">
      <c r="A2000" s="11">
        <v>43747.238692129627</v>
      </c>
      <c r="B2000" s="12" t="str">
        <f>HYPERLINK("https://twitter.com/CihanArslan58","@CihanArslan58")</f>
        <v>@CihanArslan58</v>
      </c>
      <c r="C2000" s="7" t="s">
        <v>13800</v>
      </c>
      <c r="D2000" s="7" t="s">
        <v>160</v>
      </c>
      <c r="E2000" s="12" t="str">
        <f>HYPERLINK("https://twitter.com/CihanArslan58/status/1181913127509725184","1181913127509725184")</f>
        <v>1181913127509725184</v>
      </c>
      <c r="F2000" s="8"/>
      <c r="G2000" s="14" t="s">
        <v>13801</v>
      </c>
      <c r="H2000" s="8"/>
      <c r="I2000" s="15">
        <v>0</v>
      </c>
      <c r="J2000" s="15">
        <v>0</v>
      </c>
      <c r="K2000" s="12" t="str">
        <f>HYPERLINK("http://twitter.com/download/android","Twitter for Android")</f>
        <v>Twitter for Android</v>
      </c>
      <c r="L2000" s="16">
        <v>116</v>
      </c>
      <c r="M2000" s="16">
        <v>680</v>
      </c>
      <c r="N2000" s="16">
        <v>0</v>
      </c>
      <c r="O2000" s="17"/>
      <c r="P2000" s="18">
        <v>40704.414710648147</v>
      </c>
      <c r="Q2000" s="7" t="s">
        <v>576</v>
      </c>
      <c r="R2000" s="7" t="s">
        <v>13802</v>
      </c>
      <c r="S2000" s="15"/>
      <c r="T2000" s="8"/>
      <c r="U2000" s="19" t="str">
        <f>HYPERLINK("https://pbs.twimg.com/profile_images/955574955571384320/ZGBZtltq.jpg","View")</f>
        <v>View</v>
      </c>
      <c r="V2000" s="8"/>
      <c r="W2000" s="8"/>
      <c r="X2000" s="8"/>
      <c r="Y2000" s="8"/>
      <c r="Z2000" s="8"/>
    </row>
    <row r="2001" spans="1:26" ht="12.75">
      <c r="A2001" s="11">
        <v>43747.238680555558</v>
      </c>
      <c r="B2001" s="12" t="str">
        <f>HYPERLINK("https://twitter.com/SAyvacioglu","@SAyvacioglu")</f>
        <v>@SAyvacioglu</v>
      </c>
      <c r="C2001" s="7" t="s">
        <v>13803</v>
      </c>
      <c r="D2001" s="7" t="s">
        <v>13804</v>
      </c>
      <c r="E2001" s="12" t="str">
        <f>HYPERLINK("https://twitter.com/SAyvacioglu/status/1181913126024990722","1181913126024990722")</f>
        <v>1181913126024990722</v>
      </c>
      <c r="F2001" s="14" t="s">
        <v>13805</v>
      </c>
      <c r="G2001" s="15"/>
      <c r="H2001" s="8"/>
      <c r="I2001" s="15">
        <v>0</v>
      </c>
      <c r="J2001" s="15">
        <v>0</v>
      </c>
      <c r="K2001" s="12" t="str">
        <f>HYPERLINK("http://twitter.com/download/android","Twitter for Android")</f>
        <v>Twitter for Android</v>
      </c>
      <c r="L2001" s="16">
        <v>11</v>
      </c>
      <c r="M2001" s="16">
        <v>54</v>
      </c>
      <c r="N2001" s="16">
        <v>0</v>
      </c>
      <c r="O2001" s="20"/>
      <c r="P2001" s="18">
        <v>43583.240567129629</v>
      </c>
      <c r="Q2001" s="7"/>
      <c r="R2001" s="7" t="s">
        <v>13806</v>
      </c>
      <c r="S2001" s="15"/>
      <c r="T2001" s="8"/>
      <c r="U2001" s="19" t="str">
        <f>HYPERLINK("https://pbs.twimg.com/profile_images/1122482527703269376/3Qa7a28g.jpg","View")</f>
        <v>View</v>
      </c>
      <c r="V2001" s="8"/>
      <c r="W2001" s="8"/>
      <c r="X2001" s="8"/>
      <c r="Y2001" s="8"/>
      <c r="Z2001" s="8"/>
    </row>
    <row r="2002" spans="1:26" ht="12.75">
      <c r="A2002" s="11">
        <v>43747.23846064815</v>
      </c>
      <c r="B2002" s="12" t="str">
        <f>HYPERLINK("https://twitter.com/Mehmetsahin6301","@Mehmetsahin6301")</f>
        <v>@Mehmetsahin6301</v>
      </c>
      <c r="C2002" s="7" t="s">
        <v>13807</v>
      </c>
      <c r="D2002" s="7" t="s">
        <v>13808</v>
      </c>
      <c r="E2002" s="12" t="str">
        <f>HYPERLINK("https://twitter.com/Mehmetsahin6301/status/1181913044282232837","1181913044282232837")</f>
        <v>1181913044282232837</v>
      </c>
      <c r="F2002" s="8"/>
      <c r="G2002" s="7"/>
      <c r="H2002" s="8"/>
      <c r="I2002" s="15">
        <v>1</v>
      </c>
      <c r="J2002" s="15">
        <v>8</v>
      </c>
      <c r="K2002" s="12" t="str">
        <f>HYPERLINK("https://mobile.twitter.com","Twitter Web App")</f>
        <v>Twitter Web App</v>
      </c>
      <c r="L2002" s="16">
        <v>21028</v>
      </c>
      <c r="M2002" s="16">
        <v>22800</v>
      </c>
      <c r="N2002" s="16">
        <v>5</v>
      </c>
      <c r="O2002" s="17"/>
      <c r="P2002" s="18">
        <v>42193.83829861111</v>
      </c>
      <c r="Q2002" s="7" t="s">
        <v>2201</v>
      </c>
      <c r="R2002" s="7" t="s">
        <v>13809</v>
      </c>
      <c r="S2002" s="14" t="s">
        <v>13810</v>
      </c>
      <c r="T2002" s="8"/>
      <c r="U2002" s="19" t="str">
        <f>HYPERLINK("https://pbs.twimg.com/profile_images/1179822775734870016/07QvhWxC.jpg","View")</f>
        <v>View</v>
      </c>
      <c r="V2002" s="8"/>
      <c r="W2002" s="8"/>
      <c r="X2002" s="8"/>
      <c r="Y2002" s="8"/>
      <c r="Z2002" s="8"/>
    </row>
    <row r="2003" spans="1:26" ht="12.75">
      <c r="A2003" s="11">
        <v>43747.238333333335</v>
      </c>
      <c r="B2003" s="12" t="str">
        <f>HYPERLINK("https://twitter.com/Birisi5103","@Birisi5103")</f>
        <v>@Birisi5103</v>
      </c>
      <c r="C2003" s="7" t="s">
        <v>13811</v>
      </c>
      <c r="D2003" s="7" t="s">
        <v>13812</v>
      </c>
      <c r="E2003" s="12" t="str">
        <f>HYPERLINK("https://twitter.com/Birisi5103/status/1181912999998738434","1181912999998738434")</f>
        <v>1181912999998738434</v>
      </c>
      <c r="F2003" s="8"/>
      <c r="G2003" s="7"/>
      <c r="H2003" s="8"/>
      <c r="I2003" s="15">
        <v>0</v>
      </c>
      <c r="J2003" s="15">
        <v>0</v>
      </c>
      <c r="K2003" s="12" t="str">
        <f>HYPERLINK("http://twitter.com/download/android","Twitter for Android")</f>
        <v>Twitter for Android</v>
      </c>
      <c r="L2003" s="16">
        <v>0</v>
      </c>
      <c r="M2003" s="16">
        <v>13</v>
      </c>
      <c r="N2003" s="16">
        <v>0</v>
      </c>
      <c r="O2003" s="17"/>
      <c r="P2003" s="18">
        <v>42397.085763888885</v>
      </c>
      <c r="Q2003" s="7"/>
      <c r="R2003" s="7" t="s">
        <v>13813</v>
      </c>
      <c r="S2003" s="7"/>
      <c r="T2003" s="8"/>
      <c r="U2003" s="19" t="str">
        <f>HYPERLINK("https://pbs.twimg.com/profile_images/1011623895697448960/ZoejptAn.jpg","View")</f>
        <v>View</v>
      </c>
      <c r="V2003" s="8"/>
      <c r="W2003" s="8"/>
      <c r="X2003" s="8"/>
      <c r="Y2003" s="8"/>
      <c r="Z2003" s="8"/>
    </row>
    <row r="2004" spans="1:26" ht="12.75">
      <c r="A2004" s="11">
        <v>43747.23809027778</v>
      </c>
      <c r="B2004" s="12" t="str">
        <f>HYPERLINK("https://twitter.com/B_FatihDogan58","@B_FatihDogan58")</f>
        <v>@B_FatihDogan58</v>
      </c>
      <c r="C2004" s="7" t="s">
        <v>13814</v>
      </c>
      <c r="D2004" s="7" t="s">
        <v>160</v>
      </c>
      <c r="E2004" s="12" t="str">
        <f>HYPERLINK("https://twitter.com/B_FatihDogan58/status/1181912912237142023","1181912912237142023")</f>
        <v>1181912912237142023</v>
      </c>
      <c r="F2004" s="8"/>
      <c r="G2004" s="14" t="s">
        <v>13815</v>
      </c>
      <c r="H2004" s="8"/>
      <c r="I2004" s="15">
        <v>0</v>
      </c>
      <c r="J2004" s="15">
        <v>0</v>
      </c>
      <c r="K2004" s="12" t="str">
        <f>HYPERLINK("http://twitter.com/download/iphone","Twitter for iPhone")</f>
        <v>Twitter for iPhone</v>
      </c>
      <c r="L2004" s="16">
        <v>30</v>
      </c>
      <c r="M2004" s="16">
        <v>52</v>
      </c>
      <c r="N2004" s="16">
        <v>0</v>
      </c>
      <c r="O2004" s="17"/>
      <c r="P2004" s="18">
        <v>43444.468333333338</v>
      </c>
      <c r="Q2004" s="7" t="s">
        <v>5678</v>
      </c>
      <c r="R2004" s="7" t="s">
        <v>13816</v>
      </c>
      <c r="S2004" s="7"/>
      <c r="T2004" s="8"/>
      <c r="U2004" s="19" t="str">
        <f>HYPERLINK("https://pbs.twimg.com/profile_images/1165303598433144833/09vzsFTK.jpg","View")</f>
        <v>View</v>
      </c>
      <c r="V2004" s="8"/>
      <c r="W2004" s="8"/>
      <c r="X2004" s="8"/>
      <c r="Y2004" s="8"/>
      <c r="Z2004" s="8"/>
    </row>
    <row r="2005" spans="1:26" ht="12.75">
      <c r="A2005" s="11">
        <v>43747.237905092596</v>
      </c>
      <c r="B2005" s="12" t="str">
        <f>HYPERLINK("https://twitter.com/tmysncr","@tmysncr")</f>
        <v>@tmysncr</v>
      </c>
      <c r="C2005" s="7" t="s">
        <v>13817</v>
      </c>
      <c r="D2005" s="7" t="s">
        <v>13818</v>
      </c>
      <c r="E2005" s="12" t="str">
        <f>HYPERLINK("https://twitter.com/tmysncr/status/1181912842418708485","1181912842418708485")</f>
        <v>1181912842418708485</v>
      </c>
      <c r="F2005" s="8"/>
      <c r="G2005" s="15"/>
      <c r="H2005" s="8"/>
      <c r="I2005" s="15">
        <v>0</v>
      </c>
      <c r="J2005" s="15">
        <v>1</v>
      </c>
      <c r="K2005" s="12" t="str">
        <f>HYPERLINK("http://twitter.com/download/iphone","Twitter for iPhone")</f>
        <v>Twitter for iPhone</v>
      </c>
      <c r="L2005" s="16">
        <v>517</v>
      </c>
      <c r="M2005" s="16">
        <v>255</v>
      </c>
      <c r="N2005" s="16">
        <v>4</v>
      </c>
      <c r="O2005" s="17"/>
      <c r="P2005" s="18">
        <v>43178.132962962962</v>
      </c>
      <c r="Q2005" s="7"/>
      <c r="R2005" s="7" t="s">
        <v>13819</v>
      </c>
      <c r="S2005" s="7"/>
      <c r="T2005" s="8"/>
      <c r="U2005" s="19" t="str">
        <f>HYPERLINK("https://pbs.twimg.com/profile_images/1181261502575198208/KDqdMMHQ.jpg","View")</f>
        <v>View</v>
      </c>
      <c r="V2005" s="8"/>
      <c r="W2005" s="8"/>
      <c r="X2005" s="8"/>
      <c r="Y2005" s="8"/>
      <c r="Z2005" s="8"/>
    </row>
    <row r="2006" spans="1:26" ht="12.75">
      <c r="A2006" s="11">
        <v>43747.237858796296</v>
      </c>
      <c r="B2006" s="12" t="str">
        <f>HYPERLINK("https://twitter.com/EnnurSengor","@EnnurSengor")</f>
        <v>@EnnurSengor</v>
      </c>
      <c r="C2006" s="7" t="s">
        <v>13820</v>
      </c>
      <c r="D2006" s="7" t="s">
        <v>13821</v>
      </c>
      <c r="E2006" s="12" t="str">
        <f>HYPERLINK("https://twitter.com/EnnurSengor/status/1181912828577554432","1181912828577554432")</f>
        <v>1181912828577554432</v>
      </c>
      <c r="F2006" s="8"/>
      <c r="G2006" s="7"/>
      <c r="H2006" s="8"/>
      <c r="I2006" s="15">
        <v>0</v>
      </c>
      <c r="J2006" s="15">
        <v>0</v>
      </c>
      <c r="K2006" s="12" t="str">
        <f>HYPERLINK("http://twitter.com","Twitter Web Client")</f>
        <v>Twitter Web Client</v>
      </c>
      <c r="L2006" s="16">
        <v>3</v>
      </c>
      <c r="M2006" s="16">
        <v>0</v>
      </c>
      <c r="N2006" s="16">
        <v>0</v>
      </c>
      <c r="O2006" s="17"/>
      <c r="P2006" s="18">
        <v>43669.027638888889</v>
      </c>
      <c r="Q2006" s="7" t="s">
        <v>10108</v>
      </c>
      <c r="R2006" s="13" t="s">
        <v>13822</v>
      </c>
      <c r="S2006" s="7"/>
      <c r="T2006" s="8"/>
      <c r="U2006" s="19" t="str">
        <f>HYPERLINK("https://pbs.twimg.com/profile_images/1154292887590514688/LPNCuqN2.png","View")</f>
        <v>View</v>
      </c>
      <c r="V2006" s="8"/>
      <c r="W2006" s="8"/>
      <c r="X2006" s="8"/>
      <c r="Y2006" s="8"/>
      <c r="Z2006" s="8"/>
    </row>
    <row r="2007" spans="1:26" ht="12.75">
      <c r="A2007" s="11">
        <v>43747.237800925926</v>
      </c>
      <c r="B2007" s="12" t="str">
        <f>HYPERLINK("https://twitter.com/mmbakirkaya","@mmbakirkaya")</f>
        <v>@mmbakirkaya</v>
      </c>
      <c r="C2007" s="7" t="s">
        <v>13823</v>
      </c>
      <c r="D2007" s="7" t="s">
        <v>160</v>
      </c>
      <c r="E2007" s="12" t="str">
        <f>HYPERLINK("https://twitter.com/mmbakirkaya/status/1181912804464435200","1181912804464435200")</f>
        <v>1181912804464435200</v>
      </c>
      <c r="F2007" s="8"/>
      <c r="G2007" s="15"/>
      <c r="H2007" s="8"/>
      <c r="I2007" s="15">
        <v>0</v>
      </c>
      <c r="J2007" s="15">
        <v>0</v>
      </c>
      <c r="K2007" s="12" t="str">
        <f>HYPERLINK("https://mobile.twitter.com","Twitter Web App")</f>
        <v>Twitter Web App</v>
      </c>
      <c r="L2007" s="16">
        <v>91</v>
      </c>
      <c r="M2007" s="16">
        <v>105</v>
      </c>
      <c r="N2007" s="16">
        <v>0</v>
      </c>
      <c r="O2007" s="17"/>
      <c r="P2007" s="18">
        <v>41566.267048611109</v>
      </c>
      <c r="Q2007" s="7"/>
      <c r="R2007" s="7" t="s">
        <v>13824</v>
      </c>
      <c r="S2007" s="7"/>
      <c r="T2007" s="8"/>
      <c r="U2007" s="19" t="str">
        <f>HYPERLINK("https://pbs.twimg.com/profile_images/941794112570880000/T2QoVTn2.jpg","View")</f>
        <v>View</v>
      </c>
      <c r="V2007" s="8"/>
      <c r="W2007" s="8"/>
      <c r="X2007" s="8"/>
      <c r="Y2007" s="8"/>
      <c r="Z2007" s="8"/>
    </row>
    <row r="2008" spans="1:26" ht="12.75">
      <c r="A2008" s="11">
        <v>43747.237789351857</v>
      </c>
      <c r="B2008" s="12" t="str">
        <f>HYPERLINK("https://twitter.com/hmzbsrn","@hmzbsrn")</f>
        <v>@hmzbsrn</v>
      </c>
      <c r="C2008" s="7" t="s">
        <v>13825</v>
      </c>
      <c r="D2008" s="7" t="s">
        <v>13826</v>
      </c>
      <c r="E2008" s="12" t="str">
        <f>HYPERLINK("https://twitter.com/hmzbsrn/status/1181912801637539841","1181912801637539841")</f>
        <v>1181912801637539841</v>
      </c>
      <c r="F2008" s="8"/>
      <c r="G2008" s="14" t="s">
        <v>13827</v>
      </c>
      <c r="H2008" s="8"/>
      <c r="I2008" s="15">
        <v>1</v>
      </c>
      <c r="J2008" s="15">
        <v>1</v>
      </c>
      <c r="K2008" s="12" t="str">
        <f>HYPERLINK("http://twitter.com/download/android","Twitter for Android")</f>
        <v>Twitter for Android</v>
      </c>
      <c r="L2008" s="16">
        <v>580</v>
      </c>
      <c r="M2008" s="16">
        <v>195</v>
      </c>
      <c r="N2008" s="16">
        <v>0</v>
      </c>
      <c r="O2008" s="17"/>
      <c r="P2008" s="18">
        <v>43477.383611111116</v>
      </c>
      <c r="Q2008" s="7" t="s">
        <v>13828</v>
      </c>
      <c r="R2008" s="7" t="s">
        <v>13829</v>
      </c>
      <c r="S2008" s="7"/>
      <c r="T2008" s="8"/>
      <c r="U2008" s="19" t="str">
        <f>HYPERLINK("https://pbs.twimg.com/profile_images/1158839194766237696/SfKN7yDR.jpg","View")</f>
        <v>View</v>
      </c>
      <c r="V2008" s="8"/>
      <c r="W2008" s="8"/>
      <c r="X2008" s="8"/>
      <c r="Y2008" s="8"/>
      <c r="Z2008" s="8"/>
    </row>
    <row r="2009" spans="1:26" ht="12.75">
      <c r="A2009" s="11">
        <v>43747.23773148148</v>
      </c>
      <c r="B2009" s="12" t="str">
        <f>HYPERLINK("https://twitter.com/fikrihur1453","@fikrihur1453")</f>
        <v>@fikrihur1453</v>
      </c>
      <c r="C2009" s="7" t="s">
        <v>13830</v>
      </c>
      <c r="D2009" s="7" t="s">
        <v>13831</v>
      </c>
      <c r="E2009" s="12" t="str">
        <f>HYPERLINK("https://twitter.com/fikrihur1453/status/1181912781420924928","1181912781420924928")</f>
        <v>1181912781420924928</v>
      </c>
      <c r="F2009" s="8"/>
      <c r="G2009" s="15"/>
      <c r="H2009" s="8"/>
      <c r="I2009" s="15">
        <v>0</v>
      </c>
      <c r="J2009" s="15">
        <v>1</v>
      </c>
      <c r="K2009" s="12" t="str">
        <f>HYPERLINK("http://twitter.com/download/android","Twitter for Android")</f>
        <v>Twitter for Android</v>
      </c>
      <c r="L2009" s="16">
        <v>5081</v>
      </c>
      <c r="M2009" s="16">
        <v>5401</v>
      </c>
      <c r="N2009" s="16">
        <v>3</v>
      </c>
      <c r="O2009" s="17"/>
      <c r="P2009" s="18">
        <v>42346.682592592595</v>
      </c>
      <c r="Q2009" s="7" t="s">
        <v>69</v>
      </c>
      <c r="R2009" s="7" t="s">
        <v>13832</v>
      </c>
      <c r="S2009" s="7"/>
      <c r="T2009" s="8"/>
      <c r="U2009" s="19" t="str">
        <f>HYPERLINK("https://pbs.twimg.com/profile_images/887304329815875584/jXffyvsu.jpg","View")</f>
        <v>View</v>
      </c>
      <c r="V2009" s="8"/>
      <c r="W2009" s="8"/>
      <c r="X2009" s="8"/>
      <c r="Y2009" s="8"/>
      <c r="Z2009" s="8"/>
    </row>
    <row r="2010" spans="1:26" ht="12.75">
      <c r="A2010" s="11">
        <v>43747.237708333334</v>
      </c>
      <c r="B2010" s="12" t="str">
        <f>HYPERLINK("https://twitter.com/aksan_caner","@aksan_caner")</f>
        <v>@aksan_caner</v>
      </c>
      <c r="C2010" s="7" t="s">
        <v>13833</v>
      </c>
      <c r="D2010" s="7" t="s">
        <v>13834</v>
      </c>
      <c r="E2010" s="12" t="str">
        <f>HYPERLINK("https://twitter.com/aksan_caner/status/1181912772927528960","1181912772927528960")</f>
        <v>1181912772927528960</v>
      </c>
      <c r="F2010" s="8"/>
      <c r="G2010" s="7"/>
      <c r="H2010" s="8"/>
      <c r="I2010" s="15">
        <v>0</v>
      </c>
      <c r="J2010" s="15">
        <v>0</v>
      </c>
      <c r="K2010" s="12" t="str">
        <f>HYPERLINK("https://mobile.twitter.com","Twitter Web App")</f>
        <v>Twitter Web App</v>
      </c>
      <c r="L2010" s="16">
        <v>7</v>
      </c>
      <c r="M2010" s="16">
        <v>66</v>
      </c>
      <c r="N2010" s="16">
        <v>0</v>
      </c>
      <c r="O2010" s="17"/>
      <c r="P2010" s="18">
        <v>43445.930671296301</v>
      </c>
      <c r="Q2010" s="7"/>
      <c r="R2010" s="7"/>
      <c r="S2010" s="7"/>
      <c r="T2010" s="8"/>
      <c r="U2010" s="19" t="str">
        <f>HYPERLINK("https://pbs.twimg.com/profile_images/1088469593214124033/aWR0zFb2.jpg","View")</f>
        <v>View</v>
      </c>
      <c r="V2010" s="8"/>
      <c r="W2010" s="8"/>
      <c r="X2010" s="8"/>
      <c r="Y2010" s="8"/>
      <c r="Z2010" s="8"/>
    </row>
    <row r="2011" spans="1:26" ht="12.75">
      <c r="A2011" s="11">
        <v>43747.237662037034</v>
      </c>
      <c r="B2011" s="12" t="str">
        <f>HYPERLINK("https://twitter.com/medyaveri","@medyaveri")</f>
        <v>@medyaveri</v>
      </c>
      <c r="C2011" s="7" t="s">
        <v>13835</v>
      </c>
      <c r="D2011" s="7" t="s">
        <v>13836</v>
      </c>
      <c r="E2011" s="12" t="str">
        <f>HYPERLINK("https://twitter.com/medyaveri/status/1181912756456427520","1181912756456427520")</f>
        <v>1181912756456427520</v>
      </c>
      <c r="F2011" s="14" t="s">
        <v>13837</v>
      </c>
      <c r="G2011" s="15"/>
      <c r="H2011" s="8"/>
      <c r="I2011" s="15">
        <v>0</v>
      </c>
      <c r="J2011" s="15">
        <v>0</v>
      </c>
      <c r="K2011" s="12" t="str">
        <f>HYPERLINK("http://twitter.com","Twitter Web Client")</f>
        <v>Twitter Web Client</v>
      </c>
      <c r="L2011" s="16">
        <v>402244</v>
      </c>
      <c r="M2011" s="16">
        <v>226969</v>
      </c>
      <c r="N2011" s="16">
        <v>305</v>
      </c>
      <c r="O2011" s="17"/>
      <c r="P2011" s="18">
        <v>40893.451956018514</v>
      </c>
      <c r="Q2011" s="7" t="s">
        <v>200</v>
      </c>
      <c r="R2011" s="7" t="s">
        <v>13838</v>
      </c>
      <c r="S2011" s="14" t="s">
        <v>13839</v>
      </c>
      <c r="T2011" s="8"/>
      <c r="U2011" s="19" t="str">
        <f>HYPERLINK("https://pbs.twimg.com/profile_images/1151868544612786176/jW_RN3WL.png","View")</f>
        <v>View</v>
      </c>
      <c r="V2011" s="8"/>
      <c r="W2011" s="8"/>
      <c r="X2011" s="8"/>
      <c r="Y2011" s="8"/>
      <c r="Z2011" s="8"/>
    </row>
    <row r="2012" spans="1:26" ht="12.75">
      <c r="A2012" s="11">
        <v>43747.237615740742</v>
      </c>
      <c r="B2012" s="12" t="str">
        <f>HYPERLINK("https://twitter.com/selinatlgn","@selinatlgn")</f>
        <v>@selinatlgn</v>
      </c>
      <c r="C2012" s="7" t="s">
        <v>13840</v>
      </c>
      <c r="D2012" s="7" t="s">
        <v>13841</v>
      </c>
      <c r="E2012" s="12" t="str">
        <f>HYPERLINK("https://twitter.com/selinatlgn/status/1181912738467078144","1181912738467078144")</f>
        <v>1181912738467078144</v>
      </c>
      <c r="F2012" s="8"/>
      <c r="G2012" s="14" t="s">
        <v>13842</v>
      </c>
      <c r="H2012" s="8"/>
      <c r="I2012" s="15">
        <v>0</v>
      </c>
      <c r="J2012" s="15">
        <v>3</v>
      </c>
      <c r="K2012" s="12" t="str">
        <f>HYPERLINK("http://twitter.com/download/iphone","Twitter for iPhone")</f>
        <v>Twitter for iPhone</v>
      </c>
      <c r="L2012" s="16">
        <v>304</v>
      </c>
      <c r="M2012" s="16">
        <v>272</v>
      </c>
      <c r="N2012" s="16">
        <v>0</v>
      </c>
      <c r="O2012" s="17"/>
      <c r="P2012" s="18">
        <v>43319.951990740738</v>
      </c>
      <c r="Q2012" s="7" t="s">
        <v>80</v>
      </c>
      <c r="R2012" s="7" t="s">
        <v>13843</v>
      </c>
      <c r="S2012" s="14" t="s">
        <v>13844</v>
      </c>
      <c r="T2012" s="8"/>
      <c r="U2012" s="19" t="str">
        <f>HYPERLINK("https://pbs.twimg.com/profile_images/1170375297188945920/lVQnTbSr.jpg","View")</f>
        <v>View</v>
      </c>
      <c r="V2012" s="8"/>
      <c r="W2012" s="8"/>
      <c r="X2012" s="8"/>
      <c r="Y2012" s="8"/>
      <c r="Z2012" s="8"/>
    </row>
    <row r="2013" spans="1:26" ht="12.75">
      <c r="A2013" s="11">
        <v>43747.237557870365</v>
      </c>
      <c r="B2013" s="12" t="str">
        <f>HYPERLINK("https://twitter.com/elciimm","@elciimm")</f>
        <v>@elciimm</v>
      </c>
      <c r="C2013" s="7" t="s">
        <v>13845</v>
      </c>
      <c r="D2013" s="7" t="s">
        <v>13846</v>
      </c>
      <c r="E2013" s="12" t="str">
        <f>HYPERLINK("https://twitter.com/elciimm/status/1181912717717835783","1181912717717835783")</f>
        <v>1181912717717835783</v>
      </c>
      <c r="F2013" s="7"/>
      <c r="G2013" s="7"/>
      <c r="H2013" s="8"/>
      <c r="I2013" s="15">
        <v>0</v>
      </c>
      <c r="J2013" s="15">
        <v>1</v>
      </c>
      <c r="K2013" s="12" t="str">
        <f>HYPERLINK("http://twitter.com/download/android","Twitter for Android")</f>
        <v>Twitter for Android</v>
      </c>
      <c r="L2013" s="16">
        <v>37</v>
      </c>
      <c r="M2013" s="16">
        <v>74</v>
      </c>
      <c r="N2013" s="16">
        <v>0</v>
      </c>
      <c r="O2013" s="17"/>
      <c r="P2013" s="18">
        <v>42143.551030092596</v>
      </c>
      <c r="Q2013" s="7" t="s">
        <v>13847</v>
      </c>
      <c r="R2013" s="7" t="s">
        <v>13848</v>
      </c>
      <c r="S2013" s="7"/>
      <c r="T2013" s="8"/>
      <c r="U2013" s="19" t="str">
        <f>HYPERLINK("https://pbs.twimg.com/profile_images/801901429472579585/UItXsUvS.jpg","View")</f>
        <v>View</v>
      </c>
      <c r="V2013" s="8"/>
      <c r="W2013" s="8"/>
      <c r="X2013" s="8"/>
      <c r="Y2013" s="8"/>
      <c r="Z2013" s="8"/>
    </row>
    <row r="2014" spans="1:26" ht="12.75">
      <c r="A2014" s="11">
        <v>43747.237534722226</v>
      </c>
      <c r="B2014" s="12" t="str">
        <f>HYPERLINK("https://twitter.com/huseyincann5","@huseyincann5")</f>
        <v>@huseyincann5</v>
      </c>
      <c r="C2014" s="7" t="s">
        <v>13849</v>
      </c>
      <c r="D2014" s="7" t="s">
        <v>13850</v>
      </c>
      <c r="E2014" s="12" t="str">
        <f>HYPERLINK("https://twitter.com/huseyincann5/status/1181912710512087040","1181912710512087040")</f>
        <v>1181912710512087040</v>
      </c>
      <c r="F2014" s="8"/>
      <c r="G2014" s="14" t="s">
        <v>13851</v>
      </c>
      <c r="H2014" s="8"/>
      <c r="I2014" s="15">
        <v>0</v>
      </c>
      <c r="J2014" s="15">
        <v>1</v>
      </c>
      <c r="K2014" s="12" t="str">
        <f>HYPERLINK("http://twitter.com/download/android","Twitter for Android")</f>
        <v>Twitter for Android</v>
      </c>
      <c r="L2014" s="16">
        <v>245</v>
      </c>
      <c r="M2014" s="16">
        <v>1218</v>
      </c>
      <c r="N2014" s="16">
        <v>0</v>
      </c>
      <c r="O2014" s="17"/>
      <c r="P2014" s="18">
        <v>42946.425543981481</v>
      </c>
      <c r="Q2014" s="7" t="s">
        <v>1850</v>
      </c>
      <c r="R2014" s="7"/>
      <c r="S2014" s="7"/>
      <c r="T2014" s="8"/>
      <c r="U2014" s="19" t="str">
        <f>HYPERLINK("https://pbs.twimg.com/profile_images/1055845054856728576/ewKhRMuu.jpg","View")</f>
        <v>View</v>
      </c>
      <c r="V2014" s="8"/>
      <c r="W2014" s="8"/>
      <c r="X2014" s="8"/>
      <c r="Y2014" s="8"/>
      <c r="Z2014" s="8"/>
    </row>
    <row r="2015" spans="1:26" ht="12.75">
      <c r="A2015" s="11">
        <v>43747.23741898148</v>
      </c>
      <c r="B2015" s="12" t="str">
        <f>HYPERLINK("https://twitter.com/Aslanmyy","@Aslanmyy")</f>
        <v>@Aslanmyy</v>
      </c>
      <c r="C2015" s="7" t="s">
        <v>13852</v>
      </c>
      <c r="D2015" s="7" t="s">
        <v>13853</v>
      </c>
      <c r="E2015" s="12" t="str">
        <f>HYPERLINK("https://twitter.com/Aslanmyy/status/1181912668459999233","1181912668459999233")</f>
        <v>1181912668459999233</v>
      </c>
      <c r="F2015" s="8" t="s">
        <v>13854</v>
      </c>
      <c r="G2015" s="15"/>
      <c r="H2015" s="8"/>
      <c r="I2015" s="15">
        <v>0</v>
      </c>
      <c r="J2015" s="15">
        <v>0</v>
      </c>
      <c r="K2015" s="12" t="str">
        <f>HYPERLINK("http://twitter.com/download/android","Twitter for Android")</f>
        <v>Twitter for Android</v>
      </c>
      <c r="L2015" s="16">
        <v>1765</v>
      </c>
      <c r="M2015" s="16">
        <v>1887</v>
      </c>
      <c r="N2015" s="16">
        <v>0</v>
      </c>
      <c r="O2015" s="17"/>
      <c r="P2015" s="18">
        <v>42605.251944444448</v>
      </c>
      <c r="Q2015" s="7"/>
      <c r="R2015" s="7" t="s">
        <v>13855</v>
      </c>
      <c r="S2015" s="14" t="s">
        <v>13856</v>
      </c>
      <c r="T2015" s="8"/>
      <c r="U2015" s="19" t="str">
        <f>HYPERLINK("https://pbs.twimg.com/profile_images/1125464016871096320/DiUza6bb.jpg","View")</f>
        <v>View</v>
      </c>
      <c r="V2015" s="8"/>
      <c r="W2015" s="8"/>
      <c r="X2015" s="8"/>
      <c r="Y2015" s="8"/>
      <c r="Z2015" s="8"/>
    </row>
    <row r="2016" spans="1:26" ht="12.75">
      <c r="A2016" s="11">
        <v>43747.237291666665</v>
      </c>
      <c r="B2016" s="12" t="str">
        <f>HYPERLINK("https://twitter.com/inamarica","@inamarica")</f>
        <v>@inamarica</v>
      </c>
      <c r="C2016" s="7" t="s">
        <v>4124</v>
      </c>
      <c r="D2016" s="13" t="s">
        <v>13857</v>
      </c>
      <c r="E2016" s="12" t="str">
        <f>HYPERLINK("https://twitter.com/inamarica/status/1181912622796595200","1181912622796595200")</f>
        <v>1181912622796595200</v>
      </c>
      <c r="F2016" s="8"/>
      <c r="G2016" s="7"/>
      <c r="H2016" s="8"/>
      <c r="I2016" s="15">
        <v>0</v>
      </c>
      <c r="J2016" s="15">
        <v>1</v>
      </c>
      <c r="K2016" s="12" t="str">
        <f>HYPERLINK("http://twitter.com/download/android","Twitter for Android")</f>
        <v>Twitter for Android</v>
      </c>
      <c r="L2016" s="16">
        <v>63</v>
      </c>
      <c r="M2016" s="16">
        <v>521</v>
      </c>
      <c r="N2016" s="16">
        <v>0</v>
      </c>
      <c r="O2016" s="17"/>
      <c r="P2016" s="18">
        <v>43287.461736111116</v>
      </c>
      <c r="Q2016" s="7" t="s">
        <v>13615</v>
      </c>
      <c r="R2016" s="7"/>
      <c r="S2016" s="7"/>
      <c r="T2016" s="8"/>
      <c r="U2016" s="19" t="str">
        <f>HYPERLINK("https://pbs.twimg.com/profile_images/1178731037637128197/dXkfSO3O.jpg","View")</f>
        <v>View</v>
      </c>
      <c r="V2016" s="8"/>
      <c r="W2016" s="8"/>
      <c r="X2016" s="8"/>
      <c r="Y2016" s="8"/>
      <c r="Z2016" s="8"/>
    </row>
    <row r="2017" spans="1:26" ht="12.75">
      <c r="A2017" s="11">
        <v>43747.237141203703</v>
      </c>
      <c r="B2017" s="12" t="str">
        <f>HYPERLINK("https://twitter.com/hayallerinde01","@hayallerinde01")</f>
        <v>@hayallerinde01</v>
      </c>
      <c r="C2017" s="7" t="s">
        <v>13858</v>
      </c>
      <c r="D2017" s="7" t="s">
        <v>13859</v>
      </c>
      <c r="E2017" s="12" t="str">
        <f>HYPERLINK("https://twitter.com/hayallerinde01/status/1181912565473042432","1181912565473042432")</f>
        <v>1181912565473042432</v>
      </c>
      <c r="F2017" s="8"/>
      <c r="G2017" s="7"/>
      <c r="H2017" s="8"/>
      <c r="I2017" s="15">
        <v>0</v>
      </c>
      <c r="J2017" s="15">
        <v>2</v>
      </c>
      <c r="K2017" s="12" t="str">
        <f>HYPERLINK("http://twitter.com/download/android","Twitter for Android")</f>
        <v>Twitter for Android</v>
      </c>
      <c r="L2017" s="16">
        <v>2181</v>
      </c>
      <c r="M2017" s="16">
        <v>3691</v>
      </c>
      <c r="N2017" s="16">
        <v>0</v>
      </c>
      <c r="O2017" s="17"/>
      <c r="P2017" s="18">
        <v>43398.948842592596</v>
      </c>
      <c r="Q2017" s="7" t="s">
        <v>13860</v>
      </c>
      <c r="R2017" s="7" t="s">
        <v>13861</v>
      </c>
      <c r="S2017" s="14" t="s">
        <v>13862</v>
      </c>
      <c r="T2017" s="8"/>
      <c r="U2017" s="19" t="str">
        <f>HYPERLINK("https://pbs.twimg.com/profile_images/1140175094565736448/XXqHX8J5.jpg","View")</f>
        <v>View</v>
      </c>
      <c r="V2017" s="8"/>
      <c r="W2017" s="8"/>
      <c r="X2017" s="8"/>
      <c r="Y2017" s="8"/>
      <c r="Z2017" s="8"/>
    </row>
    <row r="2018" spans="1:26" ht="12.75">
      <c r="A2018" s="11">
        <v>43747.237118055556</v>
      </c>
      <c r="B2018" s="12" t="str">
        <f>HYPERLINK("https://twitter.com/tonyuukuk","@tonyuukuk")</f>
        <v>@tonyuukuk</v>
      </c>
      <c r="C2018" s="7" t="s">
        <v>13863</v>
      </c>
      <c r="D2018" s="7" t="s">
        <v>13864</v>
      </c>
      <c r="E2018" s="12" t="str">
        <f>HYPERLINK("https://twitter.com/tonyuukuk/status/1181912559865217026","1181912559865217026")</f>
        <v>1181912559865217026</v>
      </c>
      <c r="F2018" s="8"/>
      <c r="G2018" s="14" t="s">
        <v>13865</v>
      </c>
      <c r="H2018" s="8"/>
      <c r="I2018" s="15">
        <v>4</v>
      </c>
      <c r="J2018" s="15">
        <v>13</v>
      </c>
      <c r="K2018" s="12" t="str">
        <f>HYPERLINK("http://twitter.com/download/android","Twitter for Android")</f>
        <v>Twitter for Android</v>
      </c>
      <c r="L2018" s="16">
        <v>7559</v>
      </c>
      <c r="M2018" s="16">
        <v>60</v>
      </c>
      <c r="N2018" s="16">
        <v>14</v>
      </c>
      <c r="O2018" s="17"/>
      <c r="P2018" s="18">
        <v>40887.158321759256</v>
      </c>
      <c r="Q2018" s="7" t="s">
        <v>13866</v>
      </c>
      <c r="R2018" s="7" t="s">
        <v>13867</v>
      </c>
      <c r="S2018" s="7"/>
      <c r="T2018" s="8"/>
      <c r="U2018" s="19" t="str">
        <f>HYPERLINK("https://pbs.twimg.com/profile_images/887899864016838656/REBgX9sy.jpg","View")</f>
        <v>View</v>
      </c>
      <c r="V2018" s="8"/>
      <c r="W2018" s="8"/>
      <c r="X2018" s="8"/>
      <c r="Y2018" s="8"/>
      <c r="Z2018" s="8"/>
    </row>
    <row r="2019" spans="1:26" ht="12.75">
      <c r="A2019" s="11">
        <v>43747.23709490741</v>
      </c>
      <c r="B2019" s="12" t="str">
        <f>HYPERLINK("https://twitter.com/UygarGoktug","@UygarGoktug")</f>
        <v>@UygarGoktug</v>
      </c>
      <c r="C2019" s="7" t="s">
        <v>13868</v>
      </c>
      <c r="D2019" s="7" t="s">
        <v>13869</v>
      </c>
      <c r="E2019" s="12" t="str">
        <f>HYPERLINK("https://twitter.com/UygarGoktug/status/1181912550792994816","1181912550792994816")</f>
        <v>1181912550792994816</v>
      </c>
      <c r="F2019" s="8"/>
      <c r="G2019" s="14" t="s">
        <v>13870</v>
      </c>
      <c r="H2019" s="8"/>
      <c r="I2019" s="15">
        <v>0</v>
      </c>
      <c r="J2019" s="15">
        <v>2</v>
      </c>
      <c r="K2019" s="12" t="str">
        <f>HYPERLINK("http://twitter.com/download/iphone","Twitter for iPhone")</f>
        <v>Twitter for iPhone</v>
      </c>
      <c r="L2019" s="16">
        <v>807</v>
      </c>
      <c r="M2019" s="16">
        <v>815</v>
      </c>
      <c r="N2019" s="16">
        <v>2</v>
      </c>
      <c r="O2019" s="17"/>
      <c r="P2019" s="18">
        <v>43329.173206018517</v>
      </c>
      <c r="Q2019" s="7" t="s">
        <v>13871</v>
      </c>
      <c r="R2019" s="7" t="s">
        <v>13872</v>
      </c>
      <c r="S2019" s="14" t="s">
        <v>5017</v>
      </c>
      <c r="T2019" s="8"/>
      <c r="U2019" s="19" t="str">
        <f>HYPERLINK("https://pbs.twimg.com/profile_images/1114928395043975174/rEGAdqHr.jpg","View")</f>
        <v>View</v>
      </c>
      <c r="V2019" s="8"/>
      <c r="W2019" s="8"/>
      <c r="X2019" s="8"/>
      <c r="Y2019" s="8"/>
      <c r="Z2019" s="8"/>
    </row>
    <row r="2020" spans="1:26" ht="12.75">
      <c r="A2020" s="11">
        <v>43747.237025462964</v>
      </c>
      <c r="B2020" s="12" t="str">
        <f>HYPERLINK("https://twitter.com/bymediatik","@bymediatik")</f>
        <v>@bymediatik</v>
      </c>
      <c r="C2020" s="7" t="s">
        <v>13873</v>
      </c>
      <c r="D2020" s="7" t="s">
        <v>13874</v>
      </c>
      <c r="E2020" s="12" t="str">
        <f>HYPERLINK("https://twitter.com/bymediatik/status/1181912525266411520","1181912525266411520")</f>
        <v>1181912525266411520</v>
      </c>
      <c r="F2020" s="8"/>
      <c r="G2020" s="15"/>
      <c r="H2020" s="8"/>
      <c r="I2020" s="15">
        <v>0</v>
      </c>
      <c r="J2020" s="15">
        <v>1</v>
      </c>
      <c r="K2020" s="12" t="str">
        <f>HYPERLINK("http://twitter.com/download/android","Twitter for Android")</f>
        <v>Twitter for Android</v>
      </c>
      <c r="L2020" s="16">
        <v>3137</v>
      </c>
      <c r="M2020" s="16">
        <v>2962</v>
      </c>
      <c r="N2020" s="16">
        <v>4</v>
      </c>
      <c r="O2020" s="17"/>
      <c r="P2020" s="18">
        <v>40937.883298611108</v>
      </c>
      <c r="Q2020" s="7" t="s">
        <v>200</v>
      </c>
      <c r="R2020" s="7" t="s">
        <v>13875</v>
      </c>
      <c r="S2020" s="14" t="s">
        <v>13876</v>
      </c>
      <c r="T2020" s="8"/>
      <c r="U2020" s="19" t="str">
        <f>HYPERLINK("https://pbs.twimg.com/profile_images/1178957006851497984/DbcOHgjy.jpg","View")</f>
        <v>View</v>
      </c>
      <c r="V2020" s="8"/>
      <c r="W2020" s="8"/>
      <c r="X2020" s="8"/>
      <c r="Y2020" s="8"/>
      <c r="Z2020" s="8"/>
    </row>
    <row r="2021" spans="1:26" ht="12.75">
      <c r="A2021" s="11">
        <v>43747.236932870372</v>
      </c>
      <c r="B2021" s="12" t="str">
        <f>HYPERLINK("https://twitter.com/ahmetktrnc","@ahmetktrnc")</f>
        <v>@ahmetktrnc</v>
      </c>
      <c r="C2021" s="7" t="s">
        <v>13877</v>
      </c>
      <c r="D2021" s="7" t="s">
        <v>13878</v>
      </c>
      <c r="E2021" s="12" t="str">
        <f>HYPERLINK("https://twitter.com/ahmetktrnc/status/1181912492517347328","1181912492517347328")</f>
        <v>1181912492517347328</v>
      </c>
      <c r="F2021" s="8"/>
      <c r="G2021" s="14" t="s">
        <v>13879</v>
      </c>
      <c r="H2021" s="8"/>
      <c r="I2021" s="15">
        <v>0</v>
      </c>
      <c r="J2021" s="15">
        <v>1</v>
      </c>
      <c r="K2021" s="12" t="str">
        <f>HYPERLINK("http://twitter.com/download/android","Twitter for Android")</f>
        <v>Twitter for Android</v>
      </c>
      <c r="L2021" s="16">
        <v>205</v>
      </c>
      <c r="M2021" s="16">
        <v>268</v>
      </c>
      <c r="N2021" s="16">
        <v>0</v>
      </c>
      <c r="O2021" s="17"/>
      <c r="P2021" s="18">
        <v>43716.431087962963</v>
      </c>
      <c r="Q2021" s="7"/>
      <c r="R2021" s="7" t="s">
        <v>13880</v>
      </c>
      <c r="S2021" s="7"/>
      <c r="T2021" s="8"/>
      <c r="U2021" s="19" t="str">
        <f>HYPERLINK("https://pbs.twimg.com/profile_images/1180969863038341120/Sf9iiwDd.jpg","View")</f>
        <v>View</v>
      </c>
      <c r="V2021" s="8"/>
      <c r="W2021" s="8"/>
      <c r="X2021" s="8"/>
      <c r="Y2021" s="8"/>
      <c r="Z2021" s="8"/>
    </row>
    <row r="2022" spans="1:26" ht="12.75">
      <c r="A2022" s="11">
        <v>43747.236909722225</v>
      </c>
      <c r="B2022" s="12" t="str">
        <f>HYPERLINK("https://twitter.com/JeyJayOkocha","@JeyJayOkocha")</f>
        <v>@JeyJayOkocha</v>
      </c>
      <c r="C2022" s="7" t="s">
        <v>13881</v>
      </c>
      <c r="D2022" s="7" t="s">
        <v>13882</v>
      </c>
      <c r="E2022" s="12" t="str">
        <f>HYPERLINK("https://twitter.com/JeyJayOkocha/status/1181912482740391937","1181912482740391937")</f>
        <v>1181912482740391937</v>
      </c>
      <c r="F2022" s="8"/>
      <c r="G2022" s="14" t="s">
        <v>13883</v>
      </c>
      <c r="H2022" s="8"/>
      <c r="I2022" s="15">
        <v>0</v>
      </c>
      <c r="J2022" s="15">
        <v>1</v>
      </c>
      <c r="K2022" s="12" t="str">
        <f>HYPERLINK("http://twitter.com/download/iphone","Twitter for iPhone")</f>
        <v>Twitter for iPhone</v>
      </c>
      <c r="L2022" s="16">
        <v>4043</v>
      </c>
      <c r="M2022" s="16">
        <v>4057</v>
      </c>
      <c r="N2022" s="16">
        <v>1</v>
      </c>
      <c r="O2022" s="17"/>
      <c r="P2022" s="18">
        <v>41461.448368055557</v>
      </c>
      <c r="Q2022" s="7" t="s">
        <v>13884</v>
      </c>
      <c r="R2022" s="7" t="s">
        <v>13885</v>
      </c>
      <c r="S2022" s="7"/>
      <c r="T2022" s="8"/>
      <c r="U2022" s="19" t="str">
        <f>HYPERLINK("https://pbs.twimg.com/profile_images/1176624454438412293/z46elSfv.jpg","View")</f>
        <v>View</v>
      </c>
      <c r="V2022" s="8"/>
      <c r="W2022" s="8"/>
      <c r="X2022" s="8"/>
      <c r="Y2022" s="8"/>
      <c r="Z2022" s="8"/>
    </row>
    <row r="2023" spans="1:26" ht="12.75">
      <c r="A2023" s="11">
        <v>43747.236898148149</v>
      </c>
      <c r="B2023" s="12" t="str">
        <f>HYPERLINK("https://twitter.com/zodex3458","@zodex3458")</f>
        <v>@zodex3458</v>
      </c>
      <c r="C2023" s="13" t="s">
        <v>13886</v>
      </c>
      <c r="D2023" s="7" t="s">
        <v>13887</v>
      </c>
      <c r="E2023" s="12" t="str">
        <f>HYPERLINK("https://twitter.com/zodex3458/status/1181912478822866944","1181912478822866944")</f>
        <v>1181912478822866944</v>
      </c>
      <c r="F2023" s="8"/>
      <c r="G2023" s="15"/>
      <c r="H2023" s="8"/>
      <c r="I2023" s="15">
        <v>3</v>
      </c>
      <c r="J2023" s="15">
        <v>13</v>
      </c>
      <c r="K2023" s="12" t="str">
        <f>HYPERLINK("http://twitter.com/download/android","Twitter for Android")</f>
        <v>Twitter for Android</v>
      </c>
      <c r="L2023" s="16">
        <v>10156</v>
      </c>
      <c r="M2023" s="16">
        <v>10066</v>
      </c>
      <c r="N2023" s="16">
        <v>5</v>
      </c>
      <c r="O2023" s="17"/>
      <c r="P2023" s="18">
        <v>41633.515879629631</v>
      </c>
      <c r="Q2023" s="7" t="s">
        <v>13888</v>
      </c>
      <c r="R2023" s="7" t="s">
        <v>13889</v>
      </c>
      <c r="S2023" s="7"/>
      <c r="T2023" s="8"/>
      <c r="U2023" s="19" t="str">
        <f>HYPERLINK("https://pbs.twimg.com/profile_images/1148950621103493121/dL338WuC.jpg","View")</f>
        <v>View</v>
      </c>
      <c r="V2023" s="8"/>
      <c r="W2023" s="8"/>
      <c r="X2023" s="8"/>
      <c r="Y2023" s="8"/>
      <c r="Z2023" s="8"/>
    </row>
    <row r="2024" spans="1:26" ht="12.75">
      <c r="A2024" s="11">
        <v>43747.236770833333</v>
      </c>
      <c r="B2024" s="12" t="str">
        <f>HYPERLINK("https://twitter.com/delifistek","@delifistek")</f>
        <v>@delifistek</v>
      </c>
      <c r="C2024" s="7" t="s">
        <v>13890</v>
      </c>
      <c r="D2024" s="7" t="s">
        <v>160</v>
      </c>
      <c r="E2024" s="12" t="str">
        <f>HYPERLINK("https://twitter.com/delifistek/status/1181912434384220160","1181912434384220160")</f>
        <v>1181912434384220160</v>
      </c>
      <c r="F2024" s="8"/>
      <c r="G2024" s="14" t="s">
        <v>13891</v>
      </c>
      <c r="H2024" s="8"/>
      <c r="I2024" s="15">
        <v>0</v>
      </c>
      <c r="J2024" s="15">
        <v>1</v>
      </c>
      <c r="K2024" s="12" t="str">
        <f>HYPERLINK("http://twitter.com/download/android","Twitter for Android")</f>
        <v>Twitter for Android</v>
      </c>
      <c r="L2024" s="16">
        <v>5</v>
      </c>
      <c r="M2024" s="16">
        <v>20</v>
      </c>
      <c r="N2024" s="16">
        <v>0</v>
      </c>
      <c r="O2024" s="17"/>
      <c r="P2024" s="18">
        <v>43719.548981481479</v>
      </c>
      <c r="Q2024" s="7" t="s">
        <v>13892</v>
      </c>
      <c r="R2024" s="7"/>
      <c r="S2024" s="7"/>
      <c r="T2024" s="8"/>
      <c r="U2024" s="19" t="str">
        <f>HYPERLINK("https://pbs.twimg.com/profile_images/1171881136303349764/AQFef1rH.jpg","View")</f>
        <v>View</v>
      </c>
      <c r="V2024" s="8"/>
      <c r="W2024" s="8"/>
      <c r="X2024" s="8"/>
      <c r="Y2024" s="8"/>
      <c r="Z2024" s="8"/>
    </row>
    <row r="2025" spans="1:26" ht="12.75">
      <c r="A2025" s="11">
        <v>43747.23673611111</v>
      </c>
      <c r="B2025" s="12" t="str">
        <f>HYPERLINK("https://twitter.com/HsnSancaktar","@HsnSancaktar")</f>
        <v>@HsnSancaktar</v>
      </c>
      <c r="C2025" s="13" t="s">
        <v>13893</v>
      </c>
      <c r="D2025" s="7" t="s">
        <v>13894</v>
      </c>
      <c r="E2025" s="12" t="str">
        <f>HYPERLINK("https://twitter.com/HsnSancaktar/status/1181912420807331840","1181912420807331840")</f>
        <v>1181912420807331840</v>
      </c>
      <c r="F2025" s="8"/>
      <c r="G2025" s="14" t="s">
        <v>13895</v>
      </c>
      <c r="H2025" s="8"/>
      <c r="I2025" s="15">
        <v>0</v>
      </c>
      <c r="J2025" s="15">
        <v>1</v>
      </c>
      <c r="K2025" s="12" t="str">
        <f>HYPERLINK("http://twitter.com/download/android","Twitter for Android")</f>
        <v>Twitter for Android</v>
      </c>
      <c r="L2025" s="16">
        <v>1042</v>
      </c>
      <c r="M2025" s="16">
        <v>2221</v>
      </c>
      <c r="N2025" s="16">
        <v>0</v>
      </c>
      <c r="O2025" s="17"/>
      <c r="P2025" s="18">
        <v>41691.052314814813</v>
      </c>
      <c r="Q2025" s="7"/>
      <c r="R2025" s="7" t="s">
        <v>13896</v>
      </c>
      <c r="S2025" s="7"/>
      <c r="T2025" s="8"/>
      <c r="U2025" s="19" t="str">
        <f>HYPERLINK("https://pbs.twimg.com/profile_images/1181911975749705728/nSfSGBXj.jpg","View")</f>
        <v>View</v>
      </c>
      <c r="V2025" s="8"/>
      <c r="W2025" s="8"/>
      <c r="X2025" s="8"/>
      <c r="Y2025" s="8"/>
      <c r="Z2025" s="8"/>
    </row>
    <row r="2026" spans="1:26" ht="12.75">
      <c r="A2026" s="11">
        <v>43747.236678240741</v>
      </c>
      <c r="B2026" s="12" t="str">
        <f>HYPERLINK("https://twitter.com/yasariyekonusk1","@yasariyekonusk1")</f>
        <v>@yasariyekonusk1</v>
      </c>
      <c r="C2026" s="7" t="s">
        <v>13897</v>
      </c>
      <c r="D2026" s="7" t="s">
        <v>13898</v>
      </c>
      <c r="E2026" s="12" t="str">
        <f>HYPERLINK("https://twitter.com/yasariyekonusk1/status/1181912400792100864","1181912400792100864")</f>
        <v>1181912400792100864</v>
      </c>
      <c r="F2026" s="8"/>
      <c r="G2026" s="14" t="s">
        <v>13899</v>
      </c>
      <c r="H2026" s="8"/>
      <c r="I2026" s="15">
        <v>0</v>
      </c>
      <c r="J2026" s="15">
        <v>1</v>
      </c>
      <c r="K2026" s="12" t="str">
        <f>HYPERLINK("http://twitter.com","Twitter Web Client")</f>
        <v>Twitter Web Client</v>
      </c>
      <c r="L2026" s="16">
        <v>9</v>
      </c>
      <c r="M2026" s="16">
        <v>0</v>
      </c>
      <c r="N2026" s="16">
        <v>0</v>
      </c>
      <c r="O2026" s="17"/>
      <c r="P2026" s="18">
        <v>43683.83666666667</v>
      </c>
      <c r="Q2026" s="7" t="s">
        <v>5984</v>
      </c>
      <c r="R2026" s="7" t="s">
        <v>13900</v>
      </c>
      <c r="S2026" s="7"/>
      <c r="T2026" s="8"/>
      <c r="U2026" s="19" t="str">
        <f>HYPERLINK("https://pbs.twimg.com/profile_images/1167219581494149120/tpGdGUDa.jpg","View")</f>
        <v>View</v>
      </c>
      <c r="V2026" s="8"/>
      <c r="W2026" s="8"/>
      <c r="X2026" s="8"/>
      <c r="Y2026" s="8"/>
      <c r="Z2026" s="8"/>
    </row>
    <row r="2027" spans="1:26" ht="12.75">
      <c r="A2027" s="11">
        <v>43747.236643518518</v>
      </c>
      <c r="B2027" s="12" t="str">
        <f>HYPERLINK("https://twitter.com/baruthangokturk","@baruthangokturk")</f>
        <v>@baruthangokturk</v>
      </c>
      <c r="C2027" s="7" t="s">
        <v>13901</v>
      </c>
      <c r="D2027" s="7" t="s">
        <v>160</v>
      </c>
      <c r="E2027" s="12" t="str">
        <f>HYPERLINK("https://twitter.com/baruthangokturk/status/1181912386611171329","1181912386611171329")</f>
        <v>1181912386611171329</v>
      </c>
      <c r="F2027" s="8"/>
      <c r="G2027" s="14" t="s">
        <v>13902</v>
      </c>
      <c r="H2027" s="8"/>
      <c r="I2027" s="15">
        <v>0</v>
      </c>
      <c r="J2027" s="15">
        <v>1</v>
      </c>
      <c r="K2027" s="12" t="str">
        <f>HYPERLINK("https://mobile.twitter.com","Twitter Web App")</f>
        <v>Twitter Web App</v>
      </c>
      <c r="L2027" s="16">
        <v>263</v>
      </c>
      <c r="M2027" s="16">
        <v>442</v>
      </c>
      <c r="N2027" s="16">
        <v>2</v>
      </c>
      <c r="O2027" s="17"/>
      <c r="P2027" s="18">
        <v>42214.494988425926</v>
      </c>
      <c r="Q2027" s="7"/>
      <c r="R2027" s="7"/>
      <c r="S2027" s="15"/>
      <c r="T2027" s="8"/>
      <c r="U2027" s="19" t="str">
        <f>HYPERLINK("https://pbs.twimg.com/profile_images/886922412767535104/Qw2YsuN3.jpg","View")</f>
        <v>View</v>
      </c>
      <c r="V2027" s="8"/>
      <c r="W2027" s="8"/>
      <c r="X2027" s="8"/>
      <c r="Y2027" s="8"/>
      <c r="Z2027" s="8"/>
    </row>
    <row r="2028" spans="1:26" ht="12.75">
      <c r="A2028" s="11">
        <v>43747.236574074079</v>
      </c>
      <c r="B2028" s="12" t="str">
        <f>HYPERLINK("https://twitter.com/05aktar","@05aktar")</f>
        <v>@05aktar</v>
      </c>
      <c r="C2028" s="7" t="s">
        <v>13903</v>
      </c>
      <c r="D2028" s="7" t="s">
        <v>13904</v>
      </c>
      <c r="E2028" s="12" t="str">
        <f>HYPERLINK("https://twitter.com/05aktar/status/1181912361327828993","1181912361327828993")</f>
        <v>1181912361327828993</v>
      </c>
      <c r="F2028" s="8"/>
      <c r="G2028" s="15"/>
      <c r="H2028" s="8"/>
      <c r="I2028" s="15">
        <v>0</v>
      </c>
      <c r="J2028" s="15">
        <v>1</v>
      </c>
      <c r="K2028" s="12" t="str">
        <f>HYPERLINK("http://twitter.com/download/android","Twitter for Android")</f>
        <v>Twitter for Android</v>
      </c>
      <c r="L2028" s="16">
        <v>4925</v>
      </c>
      <c r="M2028" s="16">
        <v>4869</v>
      </c>
      <c r="N2028" s="16">
        <v>12</v>
      </c>
      <c r="O2028" s="17"/>
      <c r="P2028" s="18">
        <v>41523.322893518518</v>
      </c>
      <c r="Q2028" s="7"/>
      <c r="R2028" s="7" t="s">
        <v>13905</v>
      </c>
      <c r="S2028" s="7"/>
      <c r="T2028" s="8"/>
      <c r="U2028" s="19" t="str">
        <f>HYPERLINK("https://pbs.twimg.com/profile_images/929328160008753154/Mpdatl63.jpg","View")</f>
        <v>View</v>
      </c>
      <c r="V2028" s="8"/>
      <c r="W2028" s="8"/>
      <c r="X2028" s="8"/>
      <c r="Y2028" s="8"/>
      <c r="Z2028" s="8"/>
    </row>
    <row r="2029" spans="1:26" ht="12.75">
      <c r="A2029" s="11">
        <v>43747.236550925925</v>
      </c>
      <c r="B2029" s="12" t="str">
        <f>HYPERLINK("https://twitter.com/REmreOFLAZ","@REmreOFLAZ")</f>
        <v>@REmreOFLAZ</v>
      </c>
      <c r="C2029" s="7" t="s">
        <v>13906</v>
      </c>
      <c r="D2029" s="7" t="s">
        <v>13907</v>
      </c>
      <c r="E2029" s="12" t="str">
        <f>HYPERLINK("https://twitter.com/REmreOFLAZ/status/1181912353748729861","1181912353748729861")</f>
        <v>1181912353748729861</v>
      </c>
      <c r="F2029" s="14" t="s">
        <v>13908</v>
      </c>
      <c r="G2029" s="14" t="s">
        <v>13909</v>
      </c>
      <c r="H2029" s="8"/>
      <c r="I2029" s="15">
        <v>1</v>
      </c>
      <c r="J2029" s="15">
        <v>3</v>
      </c>
      <c r="K2029" s="12" t="str">
        <f>HYPERLINK("http://twitter.com/download/android","Twitter for Android")</f>
        <v>Twitter for Android</v>
      </c>
      <c r="L2029" s="16">
        <v>515</v>
      </c>
      <c r="M2029" s="16">
        <v>444</v>
      </c>
      <c r="N2029" s="16">
        <v>0</v>
      </c>
      <c r="O2029" s="17"/>
      <c r="P2029" s="18">
        <v>42994.280300925922</v>
      </c>
      <c r="Q2029" s="7" t="s">
        <v>2881</v>
      </c>
      <c r="R2029" s="7" t="s">
        <v>13910</v>
      </c>
      <c r="S2029" s="15"/>
      <c r="T2029" s="8"/>
      <c r="U2029" s="19" t="str">
        <f>HYPERLINK("https://pbs.twimg.com/profile_images/1174740471404535808/xTDhJjxG.jpg","View")</f>
        <v>View</v>
      </c>
      <c r="V2029" s="8"/>
      <c r="W2029" s="8"/>
      <c r="X2029" s="8"/>
      <c r="Y2029" s="8"/>
      <c r="Z2029" s="8"/>
    </row>
    <row r="2030" spans="1:26" ht="12.75">
      <c r="A2030" s="11">
        <v>43747.236527777779</v>
      </c>
      <c r="B2030" s="12" t="str">
        <f>HYPERLINK("https://twitter.com/AliKema85962982","@AliKema85962982")</f>
        <v>@AliKema85962982</v>
      </c>
      <c r="C2030" s="7" t="s">
        <v>13911</v>
      </c>
      <c r="D2030" s="7" t="s">
        <v>13912</v>
      </c>
      <c r="E2030" s="12" t="str">
        <f>HYPERLINK("https://twitter.com/AliKema85962982/status/1181912345305583616","1181912345305583616")</f>
        <v>1181912345305583616</v>
      </c>
      <c r="F2030" s="8"/>
      <c r="G2030" s="7"/>
      <c r="H2030" s="8"/>
      <c r="I2030" s="15">
        <v>0</v>
      </c>
      <c r="J2030" s="15">
        <v>0</v>
      </c>
      <c r="K2030" s="12" t="str">
        <f>HYPERLINK("http://twitter.com/download/android","Twitter for Android")</f>
        <v>Twitter for Android</v>
      </c>
      <c r="L2030" s="16">
        <v>154</v>
      </c>
      <c r="M2030" s="16">
        <v>224</v>
      </c>
      <c r="N2030" s="16">
        <v>0</v>
      </c>
      <c r="O2030" s="17"/>
      <c r="P2030" s="18">
        <v>43691.516562500001</v>
      </c>
      <c r="Q2030" s="7"/>
      <c r="R2030" s="7"/>
      <c r="S2030" s="7"/>
      <c r="T2030" s="8"/>
      <c r="U2030" s="19" t="str">
        <f>HYPERLINK("https://pbs.twimg.com/profile_images/1161724273108639744/ARB5Fisa.jpg","View")</f>
        <v>View</v>
      </c>
      <c r="V2030" s="8"/>
      <c r="W2030" s="8"/>
      <c r="X2030" s="8"/>
      <c r="Y2030" s="8"/>
      <c r="Z2030" s="8"/>
    </row>
    <row r="2031" spans="1:26" ht="12.75">
      <c r="A2031" s="11">
        <v>43747.236504629633</v>
      </c>
      <c r="B2031" s="12" t="str">
        <f>HYPERLINK("https://twitter.com/ogz_mst","@ogz_mst")</f>
        <v>@ogz_mst</v>
      </c>
      <c r="C2031" s="7" t="s">
        <v>13913</v>
      </c>
      <c r="D2031" s="7" t="s">
        <v>13914</v>
      </c>
      <c r="E2031" s="12" t="str">
        <f>HYPERLINK("https://twitter.com/ogz_mst/status/1181912338301108224","1181912338301108224")</f>
        <v>1181912338301108224</v>
      </c>
      <c r="F2031" s="8"/>
      <c r="G2031" s="15"/>
      <c r="H2031" s="8"/>
      <c r="I2031" s="15">
        <v>0</v>
      </c>
      <c r="J2031" s="15">
        <v>1</v>
      </c>
      <c r="K2031" s="12" t="str">
        <f>HYPERLINK("http://twitter.com/download/iphone","Twitter for iPhone")</f>
        <v>Twitter for iPhone</v>
      </c>
      <c r="L2031" s="16">
        <v>198</v>
      </c>
      <c r="M2031" s="16">
        <v>44</v>
      </c>
      <c r="N2031" s="16">
        <v>0</v>
      </c>
      <c r="O2031" s="17"/>
      <c r="P2031" s="18">
        <v>40482.336099537039</v>
      </c>
      <c r="Q2031" s="7"/>
      <c r="R2031" s="7" t="s">
        <v>13915</v>
      </c>
      <c r="S2031" s="7"/>
      <c r="T2031" s="8"/>
      <c r="U2031" s="19" t="str">
        <f>HYPERLINK("https://pbs.twimg.com/profile_images/1161880998738575360/kOiSEKvA.jpg","View")</f>
        <v>View</v>
      </c>
      <c r="V2031" s="8"/>
      <c r="W2031" s="8"/>
      <c r="X2031" s="8"/>
      <c r="Y2031" s="8"/>
      <c r="Z2031" s="8"/>
    </row>
    <row r="2032" spans="1:26" ht="12.75">
      <c r="A2032" s="11">
        <v>43747.236412037033</v>
      </c>
      <c r="B2032" s="12" t="str">
        <f>HYPERLINK("https://twitter.com/BademliDogan","@BademliDogan")</f>
        <v>@BademliDogan</v>
      </c>
      <c r="C2032" s="7" t="s">
        <v>13916</v>
      </c>
      <c r="D2032" s="7" t="s">
        <v>13917</v>
      </c>
      <c r="E2032" s="12" t="str">
        <f>HYPERLINK("https://twitter.com/BademliDogan/status/1181912303995936768","1181912303995936768")</f>
        <v>1181912303995936768</v>
      </c>
      <c r="F2032" s="15"/>
      <c r="G2032" s="14" t="s">
        <v>13918</v>
      </c>
      <c r="H2032" s="8"/>
      <c r="I2032" s="15">
        <v>0</v>
      </c>
      <c r="J2032" s="15">
        <v>0</v>
      </c>
      <c r="K2032" s="12" t="str">
        <f>HYPERLINK("https://mobile.twitter.com","Twitter Web App")</f>
        <v>Twitter Web App</v>
      </c>
      <c r="L2032" s="16">
        <v>1440</v>
      </c>
      <c r="M2032" s="16">
        <v>1182</v>
      </c>
      <c r="N2032" s="16">
        <v>6</v>
      </c>
      <c r="O2032" s="17"/>
      <c r="P2032" s="18">
        <v>40742.043703703705</v>
      </c>
      <c r="Q2032" s="7" t="s">
        <v>13919</v>
      </c>
      <c r="R2032" s="7" t="s">
        <v>13920</v>
      </c>
      <c r="S2032" s="14" t="s">
        <v>13921</v>
      </c>
      <c r="T2032" s="8"/>
      <c r="U2032" s="19" t="str">
        <f>HYPERLINK("https://pbs.twimg.com/profile_images/1160447990911442945/CNnYHpOq.jpg","View")</f>
        <v>View</v>
      </c>
      <c r="V2032" s="8"/>
      <c r="W2032" s="8"/>
      <c r="X2032" s="8"/>
      <c r="Y2032" s="8"/>
      <c r="Z2032" s="8"/>
    </row>
    <row r="2033" spans="1:26" ht="12.75">
      <c r="A2033" s="11">
        <v>43747.236319444448</v>
      </c>
      <c r="B2033" s="12" t="str">
        <f>HYPERLINK("https://twitter.com/emrreyazicii","@emrreyazicii")</f>
        <v>@emrreyazicii</v>
      </c>
      <c r="C2033" s="7" t="s">
        <v>13922</v>
      </c>
      <c r="D2033" s="7" t="s">
        <v>13923</v>
      </c>
      <c r="E2033" s="12" t="str">
        <f>HYPERLINK("https://twitter.com/emrreyazicii/status/1181912268780511232","1181912268780511232")</f>
        <v>1181912268780511232</v>
      </c>
      <c r="F2033" s="8"/>
      <c r="G2033" s="14" t="s">
        <v>13924</v>
      </c>
      <c r="H2033" s="8"/>
      <c r="I2033" s="15">
        <v>0</v>
      </c>
      <c r="J2033" s="15">
        <v>1</v>
      </c>
      <c r="K2033" s="12" t="str">
        <f>HYPERLINK("http://twitter.com/download/iphone","Twitter for iPhone")</f>
        <v>Twitter for iPhone</v>
      </c>
      <c r="L2033" s="16">
        <v>1506</v>
      </c>
      <c r="M2033" s="16">
        <v>2504</v>
      </c>
      <c r="N2033" s="16">
        <v>0</v>
      </c>
      <c r="O2033" s="17"/>
      <c r="P2033" s="18">
        <v>41745.140914351854</v>
      </c>
      <c r="Q2033" s="7" t="s">
        <v>313</v>
      </c>
      <c r="R2033" s="7" t="s">
        <v>13925</v>
      </c>
      <c r="S2033" s="14" t="s">
        <v>13926</v>
      </c>
      <c r="T2033" s="8"/>
      <c r="U2033" s="19" t="str">
        <f>HYPERLINK("https://pbs.twimg.com/profile_images/1176234597035716610/QkTi8hGj.jpg","View")</f>
        <v>View</v>
      </c>
      <c r="V2033" s="8"/>
      <c r="W2033" s="8"/>
      <c r="X2033" s="8"/>
      <c r="Y2033" s="8"/>
      <c r="Z2033" s="8"/>
    </row>
    <row r="2034" spans="1:26" ht="12.75">
      <c r="A2034" s="11">
        <v>43747.236203703702</v>
      </c>
      <c r="B2034" s="12" t="str">
        <f>HYPERLINK("https://twitter.com/aekkeshis","@aekkeshis")</f>
        <v>@aekkeshis</v>
      </c>
      <c r="C2034" s="7" t="s">
        <v>13927</v>
      </c>
      <c r="D2034" s="7" t="s">
        <v>13928</v>
      </c>
      <c r="E2034" s="12" t="str">
        <f>HYPERLINK("https://twitter.com/aekkeshis/status/1181912226648776704","1181912226648776704")</f>
        <v>1181912226648776704</v>
      </c>
      <c r="F2034" s="8"/>
      <c r="G2034" s="7"/>
      <c r="H2034" s="8"/>
      <c r="I2034" s="15">
        <v>0</v>
      </c>
      <c r="J2034" s="15">
        <v>0</v>
      </c>
      <c r="K2034" s="12" t="str">
        <f>HYPERLINK("http://twitter.com/download/iphone","Twitter for iPhone")</f>
        <v>Twitter for iPhone</v>
      </c>
      <c r="L2034" s="16">
        <v>175</v>
      </c>
      <c r="M2034" s="16">
        <v>275</v>
      </c>
      <c r="N2034" s="16">
        <v>9</v>
      </c>
      <c r="O2034" s="17"/>
      <c r="P2034" s="18">
        <v>41037.262743055559</v>
      </c>
      <c r="Q2034" s="7"/>
      <c r="R2034" s="7"/>
      <c r="S2034" s="7"/>
      <c r="T2034" s="8"/>
      <c r="U2034" s="19" t="str">
        <f>HYPERLINK("https://pbs.twimg.com/profile_images/3410751876/70557b921be50553d7a32d9aac4de84a.jpeg","View")</f>
        <v>View</v>
      </c>
      <c r="V2034" s="8"/>
      <c r="W2034" s="8"/>
      <c r="X2034" s="8"/>
      <c r="Y2034" s="8"/>
      <c r="Z2034" s="8"/>
    </row>
    <row r="2035" spans="1:26" ht="12.75">
      <c r="A2035" s="11">
        <v>43747.236180555556</v>
      </c>
      <c r="B2035" s="12" t="str">
        <f>HYPERLINK("https://twitter.com/NedrinOzak","@NedrinOzak")</f>
        <v>@NedrinOzak</v>
      </c>
      <c r="C2035" s="7" t="s">
        <v>13929</v>
      </c>
      <c r="D2035" s="7" t="s">
        <v>13930</v>
      </c>
      <c r="E2035" s="12" t="str">
        <f>HYPERLINK("https://twitter.com/NedrinOzak/status/1181912218943807490","1181912218943807490")</f>
        <v>1181912218943807490</v>
      </c>
      <c r="F2035" s="8"/>
      <c r="G2035" s="15"/>
      <c r="H2035" s="8"/>
      <c r="I2035" s="15">
        <v>0</v>
      </c>
      <c r="J2035" s="15">
        <v>0</v>
      </c>
      <c r="K2035" s="12" t="str">
        <f>HYPERLINK("http://twitter.com","Twitter Web Client")</f>
        <v>Twitter Web Client</v>
      </c>
      <c r="L2035" s="16">
        <v>2</v>
      </c>
      <c r="M2035" s="16">
        <v>0</v>
      </c>
      <c r="N2035" s="16">
        <v>0</v>
      </c>
      <c r="O2035" s="17"/>
      <c r="P2035" s="18">
        <v>43669.000185185185</v>
      </c>
      <c r="Q2035" s="7" t="s">
        <v>4807</v>
      </c>
      <c r="R2035" s="7" t="s">
        <v>13931</v>
      </c>
      <c r="S2035" s="7"/>
      <c r="T2035" s="8"/>
      <c r="U2035" s="19" t="str">
        <f>HYPERLINK("https://pbs.twimg.com/profile_images/1154291841048727552/P6b1SJCB.jpg","View")</f>
        <v>View</v>
      </c>
      <c r="V2035" s="8"/>
      <c r="W2035" s="8"/>
      <c r="X2035" s="8"/>
      <c r="Y2035" s="8"/>
      <c r="Z2035" s="8"/>
    </row>
    <row r="2036" spans="1:26" ht="12.75">
      <c r="A2036" s="11">
        <v>43747.236157407402</v>
      </c>
      <c r="B2036" s="12" t="str">
        <f>HYPERLINK("https://twitter.com/ilkkursungazete","@ilkkursungazete")</f>
        <v>@ilkkursungazete</v>
      </c>
      <c r="C2036" s="7" t="s">
        <v>13932</v>
      </c>
      <c r="D2036" s="7" t="s">
        <v>160</v>
      </c>
      <c r="E2036" s="12" t="str">
        <f>HYPERLINK("https://twitter.com/ilkkursungazete/status/1181912208575516672","1181912208575516672")</f>
        <v>1181912208575516672</v>
      </c>
      <c r="F2036" s="8"/>
      <c r="G2036" s="14" t="s">
        <v>13933</v>
      </c>
      <c r="H2036" s="8"/>
      <c r="I2036" s="15">
        <v>3</v>
      </c>
      <c r="J2036" s="15">
        <v>8</v>
      </c>
      <c r="K2036" s="12" t="str">
        <f>HYPERLINK("https://mobile.twitter.com","Twitter Web App")</f>
        <v>Twitter Web App</v>
      </c>
      <c r="L2036" s="16">
        <v>12182</v>
      </c>
      <c r="M2036" s="16">
        <v>10728</v>
      </c>
      <c r="N2036" s="16">
        <v>54</v>
      </c>
      <c r="O2036" s="17"/>
      <c r="P2036" s="18">
        <v>41233.147743055553</v>
      </c>
      <c r="Q2036" s="7" t="s">
        <v>200</v>
      </c>
      <c r="R2036" s="7" t="s">
        <v>13934</v>
      </c>
      <c r="S2036" s="14" t="s">
        <v>13935</v>
      </c>
      <c r="T2036" s="8"/>
      <c r="U2036" s="19" t="str">
        <f>HYPERLINK("https://pbs.twimg.com/profile_images/466699416523399169/4cRvApMb.png","View")</f>
        <v>View</v>
      </c>
      <c r="V2036" s="8"/>
      <c r="W2036" s="8"/>
      <c r="X2036" s="8"/>
      <c r="Y2036" s="8"/>
      <c r="Z2036" s="8"/>
    </row>
    <row r="2037" spans="1:26" ht="12.75">
      <c r="A2037" s="11">
        <v>43747.236087962963</v>
      </c>
      <c r="B2037" s="12" t="str">
        <f>HYPERLINK("https://twitter.com/bhtttb","@bhtttb")</f>
        <v>@bhtttb</v>
      </c>
      <c r="C2037" s="7" t="s">
        <v>13936</v>
      </c>
      <c r="D2037" s="7" t="s">
        <v>13937</v>
      </c>
      <c r="E2037" s="12" t="str">
        <f>HYPERLINK("https://twitter.com/bhtttb/status/1181912184135340032","1181912184135340032")</f>
        <v>1181912184135340032</v>
      </c>
      <c r="F2037" s="8"/>
      <c r="G2037" s="7"/>
      <c r="H2037" s="8"/>
      <c r="I2037" s="15">
        <v>0</v>
      </c>
      <c r="J2037" s="15">
        <v>0</v>
      </c>
      <c r="K2037" s="12" t="str">
        <f>HYPERLINK("http://twitter.com/download/android","Twitter for Android")</f>
        <v>Twitter for Android</v>
      </c>
      <c r="L2037" s="16">
        <v>114</v>
      </c>
      <c r="M2037" s="16">
        <v>164</v>
      </c>
      <c r="N2037" s="16">
        <v>0</v>
      </c>
      <c r="O2037" s="17"/>
      <c r="P2037" s="18">
        <v>41427.566944444443</v>
      </c>
      <c r="Q2037" s="7"/>
      <c r="R2037" s="7"/>
      <c r="S2037" s="15"/>
      <c r="T2037" s="8"/>
      <c r="U2037" s="19" t="str">
        <f>HYPERLINK("https://pbs.twimg.com/profile_images/1159263497982754816/1s-53WVj.jpg","View")</f>
        <v>View</v>
      </c>
      <c r="V2037" s="8"/>
      <c r="W2037" s="8"/>
      <c r="X2037" s="8"/>
      <c r="Y2037" s="8"/>
      <c r="Z2037" s="8"/>
    </row>
    <row r="2038" spans="1:26" ht="12.75">
      <c r="A2038" s="11">
        <v>43747.236064814817</v>
      </c>
      <c r="B2038" s="12" t="str">
        <f>HYPERLINK("https://twitter.com/ertu_536","@ertu_536")</f>
        <v>@ertu_536</v>
      </c>
      <c r="C2038" s="7" t="s">
        <v>13938</v>
      </c>
      <c r="D2038" s="7" t="s">
        <v>13939</v>
      </c>
      <c r="E2038" s="12" t="str">
        <f>HYPERLINK("https://twitter.com/ertu_536/status/1181912176128167936","1181912176128167936")</f>
        <v>1181912176128167936</v>
      </c>
      <c r="F2038" s="8"/>
      <c r="G2038" s="14" t="s">
        <v>13940</v>
      </c>
      <c r="H2038" s="8"/>
      <c r="I2038" s="15">
        <v>0</v>
      </c>
      <c r="J2038" s="15">
        <v>0</v>
      </c>
      <c r="K2038" s="12" t="str">
        <f>HYPERLINK("http://twitter.com/download/iphone","Twitter for iPhone")</f>
        <v>Twitter for iPhone</v>
      </c>
      <c r="L2038" s="16">
        <v>112</v>
      </c>
      <c r="M2038" s="16">
        <v>72</v>
      </c>
      <c r="N2038" s="16">
        <v>0</v>
      </c>
      <c r="O2038" s="17"/>
      <c r="P2038" s="18">
        <v>42054.530694444446</v>
      </c>
      <c r="Q2038" s="7" t="s">
        <v>13941</v>
      </c>
      <c r="R2038" s="7" t="s">
        <v>13942</v>
      </c>
      <c r="S2038" s="7"/>
      <c r="T2038" s="8"/>
      <c r="U2038" s="19" t="str">
        <f>HYPERLINK("https://pbs.twimg.com/profile_images/1173225970544840704/_zeBznae.jpg","View")</f>
        <v>View</v>
      </c>
      <c r="V2038" s="8"/>
      <c r="W2038" s="8"/>
      <c r="X2038" s="8"/>
      <c r="Y2038" s="8"/>
      <c r="Z2038" s="8"/>
    </row>
    <row r="2039" spans="1:26" ht="12.75">
      <c r="A2039" s="11">
        <v>43747.23600694444</v>
      </c>
      <c r="B2039" s="12" t="str">
        <f>HYPERLINK("https://twitter.com/profiterolTR","@profiterolTR")</f>
        <v>@profiterolTR</v>
      </c>
      <c r="C2039" s="7" t="s">
        <v>13943</v>
      </c>
      <c r="D2039" s="7" t="s">
        <v>13944</v>
      </c>
      <c r="E2039" s="12" t="str">
        <f>HYPERLINK("https://twitter.com/profiterolTR/status/1181912155500744705","1181912155500744705")</f>
        <v>1181912155500744705</v>
      </c>
      <c r="F2039" s="8"/>
      <c r="G2039" s="14" t="s">
        <v>13945</v>
      </c>
      <c r="H2039" s="8"/>
      <c r="I2039" s="15">
        <v>0</v>
      </c>
      <c r="J2039" s="15">
        <v>0</v>
      </c>
      <c r="K2039" s="12" t="str">
        <f>HYPERLINK("http://twitter.com/download/android","Twitter for Android")</f>
        <v>Twitter for Android</v>
      </c>
      <c r="L2039" s="16">
        <v>167</v>
      </c>
      <c r="M2039" s="16">
        <v>148</v>
      </c>
      <c r="N2039" s="16">
        <v>0</v>
      </c>
      <c r="O2039" s="17"/>
      <c r="P2039" s="18">
        <v>40055.582071759258</v>
      </c>
      <c r="Q2039" s="7" t="s">
        <v>13946</v>
      </c>
      <c r="R2039" s="7" t="s">
        <v>13947</v>
      </c>
      <c r="S2039" s="7"/>
      <c r="T2039" s="8"/>
      <c r="U2039" s="19" t="str">
        <f>HYPERLINK("https://pbs.twimg.com/profile_images/1138519379157688320/9j3Y0zUQ.jpg","View")</f>
        <v>View</v>
      </c>
      <c r="V2039" s="8"/>
      <c r="W2039" s="8"/>
      <c r="X2039" s="8"/>
      <c r="Y2039" s="8"/>
      <c r="Z2039" s="8"/>
    </row>
    <row r="2040" spans="1:26" ht="12.75">
      <c r="A2040" s="11">
        <v>43747.235983796301</v>
      </c>
      <c r="B2040" s="12" t="str">
        <f>HYPERLINK("https://twitter.com/ArkCan","@ArkCan")</f>
        <v>@ArkCan</v>
      </c>
      <c r="C2040" s="7" t="s">
        <v>13948</v>
      </c>
      <c r="D2040" s="7" t="s">
        <v>13949</v>
      </c>
      <c r="E2040" s="12" t="str">
        <f>HYPERLINK("https://twitter.com/ArkCan/status/1181912147351261192","1181912147351261192")</f>
        <v>1181912147351261192</v>
      </c>
      <c r="F2040" s="8"/>
      <c r="G2040" s="7"/>
      <c r="H2040" s="8"/>
      <c r="I2040" s="15">
        <v>0</v>
      </c>
      <c r="J2040" s="15">
        <v>0</v>
      </c>
      <c r="K2040" s="12" t="str">
        <f>HYPERLINK("http://twitter.com/download/android","Twitter for Android")</f>
        <v>Twitter for Android</v>
      </c>
      <c r="L2040" s="16">
        <v>262</v>
      </c>
      <c r="M2040" s="16">
        <v>273</v>
      </c>
      <c r="N2040" s="16">
        <v>0</v>
      </c>
      <c r="O2040" s="17"/>
      <c r="P2040" s="18">
        <v>43639.264143518521</v>
      </c>
      <c r="Q2040" s="7"/>
      <c r="R2040" s="7" t="s">
        <v>13950</v>
      </c>
      <c r="S2040" s="7"/>
      <c r="T2040" s="8"/>
      <c r="U2040" s="19" t="str">
        <f>HYPERLINK("https://pbs.twimg.com/profile_images/1142828685160058882/VJBghtEu.jpg","View")</f>
        <v>View</v>
      </c>
      <c r="V2040" s="8"/>
      <c r="W2040" s="8"/>
      <c r="X2040" s="8"/>
      <c r="Y2040" s="8"/>
      <c r="Z2040" s="8"/>
    </row>
    <row r="2041" spans="1:26" ht="12.75">
      <c r="A2041" s="11">
        <v>43747.235983796301</v>
      </c>
      <c r="B2041" s="12" t="str">
        <f>HYPERLINK("https://twitter.com/AmazingKulliye","@AmazingKulliye")</f>
        <v>@AmazingKulliye</v>
      </c>
      <c r="C2041" s="7" t="s">
        <v>13951</v>
      </c>
      <c r="D2041" s="7" t="s">
        <v>13952</v>
      </c>
      <c r="E2041" s="12" t="str">
        <f>HYPERLINK("https://twitter.com/AmazingKulliye/status/1181912146487205894","1181912146487205894")</f>
        <v>1181912146487205894</v>
      </c>
      <c r="F2041" s="8"/>
      <c r="G2041" s="14" t="s">
        <v>13953</v>
      </c>
      <c r="H2041" s="8"/>
      <c r="I2041" s="15">
        <v>0</v>
      </c>
      <c r="J2041" s="15">
        <v>1</v>
      </c>
      <c r="K2041" s="12" t="str">
        <f>HYPERLINK("https://mobile.twitter.com","Twitter Web App")</f>
        <v>Twitter Web App</v>
      </c>
      <c r="L2041" s="16">
        <v>1</v>
      </c>
      <c r="M2041" s="16">
        <v>118</v>
      </c>
      <c r="N2041" s="16">
        <v>0</v>
      </c>
      <c r="O2041" s="17"/>
      <c r="P2041" s="18">
        <v>43405.157453703709</v>
      </c>
      <c r="Q2041" s="7"/>
      <c r="R2041" s="7"/>
      <c r="S2041" s="7"/>
      <c r="T2041" s="8"/>
      <c r="U2041" s="19" t="str">
        <f>HYPERLINK("https://pbs.twimg.com/profile_images/1120732709251371009/Rzva6eyO.jpg","View")</f>
        <v>View</v>
      </c>
      <c r="V2041" s="8"/>
      <c r="W2041" s="8"/>
      <c r="X2041" s="8"/>
      <c r="Y2041" s="8"/>
      <c r="Z2041" s="8"/>
    </row>
    <row r="2042" spans="1:26" ht="12.75">
      <c r="A2042" s="11">
        <v>43747.235949074078</v>
      </c>
      <c r="B2042" s="12" t="str">
        <f>HYPERLINK("https://twitter.com/iislmysf","@iislmysf")</f>
        <v>@iislmysf</v>
      </c>
      <c r="C2042" s="7" t="s">
        <v>13954</v>
      </c>
      <c r="D2042" s="7" t="s">
        <v>13955</v>
      </c>
      <c r="E2042" s="12" t="str">
        <f>HYPERLINK("https://twitter.com/iislmysf/status/1181912136358023169","1181912136358023169")</f>
        <v>1181912136358023169</v>
      </c>
      <c r="F2042" s="8"/>
      <c r="G2042" s="15"/>
      <c r="H2042" s="8"/>
      <c r="I2042" s="15">
        <v>0</v>
      </c>
      <c r="J2042" s="15">
        <v>0</v>
      </c>
      <c r="K2042" s="12" t="str">
        <f>HYPERLINK("http://twitter.com/download/iphone","Twitter for iPhone")</f>
        <v>Twitter for iPhone</v>
      </c>
      <c r="L2042" s="16">
        <v>90</v>
      </c>
      <c r="M2042" s="16">
        <v>206</v>
      </c>
      <c r="N2042" s="16">
        <v>0</v>
      </c>
      <c r="O2042" s="17"/>
      <c r="P2042" s="18">
        <v>43715.34983796296</v>
      </c>
      <c r="Q2042" s="7" t="s">
        <v>13956</v>
      </c>
      <c r="R2042" s="7" t="s">
        <v>13957</v>
      </c>
      <c r="S2042" s="14" t="s">
        <v>13958</v>
      </c>
      <c r="T2042" s="8"/>
      <c r="U2042" s="19" t="str">
        <f>HYPERLINK("https://pbs.twimg.com/profile_images/1176541078318669824/qCG7jOYr.jpg","View")</f>
        <v>View</v>
      </c>
      <c r="V2042" s="8"/>
      <c r="W2042" s="8"/>
      <c r="X2042" s="8"/>
      <c r="Y2042" s="8"/>
      <c r="Z2042" s="8"/>
    </row>
    <row r="2043" spans="1:26" ht="12.75">
      <c r="A2043" s="11">
        <v>43747.235810185186</v>
      </c>
      <c r="B2043" s="12" t="str">
        <f>HYPERLINK("https://twitter.com/yakup1811","@yakup1811")</f>
        <v>@yakup1811</v>
      </c>
      <c r="C2043" s="7" t="s">
        <v>13959</v>
      </c>
      <c r="D2043" s="7" t="s">
        <v>13960</v>
      </c>
      <c r="E2043" s="12" t="str">
        <f>HYPERLINK("https://twitter.com/yakup1811/status/1181912086420606976","1181912086420606976")</f>
        <v>1181912086420606976</v>
      </c>
      <c r="F2043" s="8"/>
      <c r="G2043" s="15"/>
      <c r="H2043" s="8"/>
      <c r="I2043" s="15">
        <v>0</v>
      </c>
      <c r="J2043" s="15">
        <v>1</v>
      </c>
      <c r="K2043" s="12" t="str">
        <f>HYPERLINK("http://twitter.com/download/android","Twitter for Android")</f>
        <v>Twitter for Android</v>
      </c>
      <c r="L2043" s="16">
        <v>92</v>
      </c>
      <c r="M2043" s="16">
        <v>175</v>
      </c>
      <c r="N2043" s="16">
        <v>0</v>
      </c>
      <c r="O2043" s="17"/>
      <c r="P2043" s="18">
        <v>41532.232766203706</v>
      </c>
      <c r="Q2043" s="7"/>
      <c r="R2043" s="7"/>
      <c r="S2043" s="7"/>
      <c r="T2043" s="8"/>
      <c r="U2043" s="19" t="str">
        <f>HYPERLINK("https://pbs.twimg.com/profile_images/378800000519374497/04b869791ebe06580a0213cd9e50964f.jpeg","View")</f>
        <v>View</v>
      </c>
      <c r="V2043" s="8"/>
      <c r="W2043" s="8"/>
      <c r="X2043" s="8"/>
      <c r="Y2043" s="8"/>
      <c r="Z2043" s="8"/>
    </row>
    <row r="2044" spans="1:26" ht="12.75">
      <c r="A2044" s="11">
        <v>43747.23572916667</v>
      </c>
      <c r="B2044" s="12" t="str">
        <f>HYPERLINK("https://twitter.com/Ens__U","@Ens__U")</f>
        <v>@Ens__U</v>
      </c>
      <c r="C2044" s="7" t="s">
        <v>13961</v>
      </c>
      <c r="D2044" s="7" t="s">
        <v>13962</v>
      </c>
      <c r="E2044" s="12" t="str">
        <f>HYPERLINK("https://twitter.com/Ens__U/status/1181912056951443461","1181912056951443461")</f>
        <v>1181912056951443461</v>
      </c>
      <c r="F2044" s="8"/>
      <c r="G2044" s="7"/>
      <c r="H2044" s="8"/>
      <c r="I2044" s="15">
        <v>0</v>
      </c>
      <c r="J2044" s="15">
        <v>1</v>
      </c>
      <c r="K2044" s="12" t="str">
        <f>HYPERLINK("http://twitter.com/download/android","Twitter for Android")</f>
        <v>Twitter for Android</v>
      </c>
      <c r="L2044" s="16">
        <v>5</v>
      </c>
      <c r="M2044" s="16">
        <v>79</v>
      </c>
      <c r="N2044" s="16">
        <v>0</v>
      </c>
      <c r="O2044" s="17"/>
      <c r="P2044" s="18">
        <v>42435.653287037036</v>
      </c>
      <c r="Q2044" s="7" t="s">
        <v>13963</v>
      </c>
      <c r="R2044" s="7" t="s">
        <v>13964</v>
      </c>
      <c r="S2044" s="7"/>
      <c r="T2044" s="8"/>
      <c r="U2044" s="19" t="str">
        <f>HYPERLINK("https://pbs.twimg.com/profile_images/1135795116302655488/Yuoa4pIw.jpg","View")</f>
        <v>View</v>
      </c>
      <c r="V2044" s="8"/>
      <c r="W2044" s="8"/>
      <c r="X2044" s="8"/>
      <c r="Y2044" s="8"/>
      <c r="Z2044" s="8"/>
    </row>
    <row r="2045" spans="1:26" ht="12.75">
      <c r="A2045" s="11">
        <v>43747.235497685186</v>
      </c>
      <c r="B2045" s="12" t="str">
        <f>HYPERLINK("https://twitter.com/OztokerGoksu","@OztokerGoksu")</f>
        <v>@OztokerGoksu</v>
      </c>
      <c r="C2045" s="7" t="s">
        <v>13965</v>
      </c>
      <c r="D2045" s="7" t="s">
        <v>13966</v>
      </c>
      <c r="E2045" s="12" t="str">
        <f>HYPERLINK("https://twitter.com/OztokerGoksu/status/1181911969571446784","1181911969571446784")</f>
        <v>1181911969571446784</v>
      </c>
      <c r="F2045" s="8"/>
      <c r="G2045" s="15"/>
      <c r="H2045" s="8"/>
      <c r="I2045" s="15">
        <v>0</v>
      </c>
      <c r="J2045" s="15">
        <v>1</v>
      </c>
      <c r="K2045" s="12" t="str">
        <f>HYPERLINK("http://twitter.com","Twitter Web Client")</f>
        <v>Twitter Web Client</v>
      </c>
      <c r="L2045" s="16">
        <v>12</v>
      </c>
      <c r="M2045" s="16">
        <v>0</v>
      </c>
      <c r="N2045" s="16">
        <v>0</v>
      </c>
      <c r="O2045" s="17"/>
      <c r="P2045" s="18">
        <v>43683.864571759259</v>
      </c>
      <c r="Q2045" s="7" t="s">
        <v>13967</v>
      </c>
      <c r="R2045" s="7" t="s">
        <v>13968</v>
      </c>
      <c r="S2045" s="7"/>
      <c r="T2045" s="8"/>
      <c r="U2045" s="19" t="str">
        <f>HYPERLINK("https://pbs.twimg.com/profile_images/1167222004673581056/ngyR7jnQ.jpg","View")</f>
        <v>View</v>
      </c>
      <c r="V2045" s="8"/>
      <c r="W2045" s="8"/>
      <c r="X2045" s="8"/>
      <c r="Y2045" s="8"/>
      <c r="Z2045" s="8"/>
    </row>
    <row r="2046" spans="1:26" ht="12.75">
      <c r="A2046" s="11">
        <v>43747.235439814816</v>
      </c>
      <c r="B2046" s="12" t="str">
        <f>HYPERLINK("https://twitter.com/gelenbeliadam","@gelenbeliadam")</f>
        <v>@gelenbeliadam</v>
      </c>
      <c r="C2046" s="7" t="s">
        <v>13969</v>
      </c>
      <c r="D2046" s="7" t="s">
        <v>13970</v>
      </c>
      <c r="E2046" s="12" t="str">
        <f>HYPERLINK("https://twitter.com/gelenbeliadam/status/1181911950017667072","1181911950017667072")</f>
        <v>1181911950017667072</v>
      </c>
      <c r="F2046" s="8"/>
      <c r="G2046" s="15"/>
      <c r="H2046" s="8"/>
      <c r="I2046" s="15">
        <v>0</v>
      </c>
      <c r="J2046" s="15">
        <v>1</v>
      </c>
      <c r="K2046" s="12" t="str">
        <f>HYPERLINK("http://twitter.com/download/android","Twitter for Android")</f>
        <v>Twitter for Android</v>
      </c>
      <c r="L2046" s="16">
        <v>766</v>
      </c>
      <c r="M2046" s="16">
        <v>384</v>
      </c>
      <c r="N2046" s="16">
        <v>1</v>
      </c>
      <c r="O2046" s="17"/>
      <c r="P2046" s="18">
        <v>41001.465983796297</v>
      </c>
      <c r="Q2046" s="7"/>
      <c r="R2046" s="7" t="s">
        <v>13971</v>
      </c>
      <c r="S2046" s="7"/>
      <c r="T2046" s="8"/>
      <c r="U2046" s="19" t="str">
        <f>HYPERLINK("https://pbs.twimg.com/profile_images/1033056369698582533/NxkBPvFc.jpg","View")</f>
        <v>View</v>
      </c>
      <c r="V2046" s="8"/>
      <c r="W2046" s="8"/>
      <c r="X2046" s="8"/>
      <c r="Y2046" s="8"/>
      <c r="Z2046" s="8"/>
    </row>
    <row r="2047" spans="1:26" ht="12.75">
      <c r="A2047" s="11">
        <v>43747.235405092593</v>
      </c>
      <c r="B2047" s="12" t="str">
        <f>HYPERLINK("https://twitter.com/furkanatmc","@furkanatmc")</f>
        <v>@furkanatmc</v>
      </c>
      <c r="C2047" s="7" t="s">
        <v>13972</v>
      </c>
      <c r="D2047" s="7" t="s">
        <v>13973</v>
      </c>
      <c r="E2047" s="12" t="str">
        <f>HYPERLINK("https://twitter.com/furkanatmc/status/1181911938151923712","1181911938151923712")</f>
        <v>1181911938151923712</v>
      </c>
      <c r="F2047" s="8"/>
      <c r="G2047" s="14" t="s">
        <v>13974</v>
      </c>
      <c r="H2047" s="8"/>
      <c r="I2047" s="15">
        <v>0</v>
      </c>
      <c r="J2047" s="15">
        <v>4</v>
      </c>
      <c r="K2047" s="12" t="str">
        <f>HYPERLINK("https://mobile.twitter.com","Twitter Web App")</f>
        <v>Twitter Web App</v>
      </c>
      <c r="L2047" s="16">
        <v>474</v>
      </c>
      <c r="M2047" s="16">
        <v>206</v>
      </c>
      <c r="N2047" s="16">
        <v>0</v>
      </c>
      <c r="O2047" s="17"/>
      <c r="P2047" s="18">
        <v>41123.751030092593</v>
      </c>
      <c r="Q2047" s="7" t="s">
        <v>4449</v>
      </c>
      <c r="R2047" s="7" t="s">
        <v>13975</v>
      </c>
      <c r="S2047" s="14" t="s">
        <v>13976</v>
      </c>
      <c r="T2047" s="8"/>
      <c r="U2047" s="19" t="str">
        <f>HYPERLINK("https://pbs.twimg.com/profile_images/784758204282658816/fhg_0_Tr.jpg","View")</f>
        <v>View</v>
      </c>
      <c r="V2047" s="8"/>
      <c r="W2047" s="8"/>
      <c r="X2047" s="8"/>
      <c r="Y2047" s="8"/>
      <c r="Z2047" s="8"/>
    </row>
    <row r="2048" spans="1:26" ht="12.75">
      <c r="A2048" s="11">
        <v>43747.23537037037</v>
      </c>
      <c r="B2048" s="12" t="str">
        <f>HYPERLINK("https://twitter.com/vrlugurr","@vrlugurr")</f>
        <v>@vrlugurr</v>
      </c>
      <c r="C2048" s="7" t="s">
        <v>13977</v>
      </c>
      <c r="D2048" s="7" t="s">
        <v>13978</v>
      </c>
      <c r="E2048" s="12" t="str">
        <f>HYPERLINK("https://twitter.com/vrlugurr/status/1181911927322238976","1181911927322238976")</f>
        <v>1181911927322238976</v>
      </c>
      <c r="F2048" s="8"/>
      <c r="G2048" s="15"/>
      <c r="H2048" s="8"/>
      <c r="I2048" s="15">
        <v>0</v>
      </c>
      <c r="J2048" s="15">
        <v>0</v>
      </c>
      <c r="K2048" s="12" t="str">
        <f>HYPERLINK("http://twitter.com/download/iphone","Twitter for iPhone")</f>
        <v>Twitter for iPhone</v>
      </c>
      <c r="L2048" s="16">
        <v>38</v>
      </c>
      <c r="M2048" s="16">
        <v>52</v>
      </c>
      <c r="N2048" s="16">
        <v>0</v>
      </c>
      <c r="O2048" s="17"/>
      <c r="P2048" s="18">
        <v>43556.499039351853</v>
      </c>
      <c r="Q2048" s="7" t="s">
        <v>69</v>
      </c>
      <c r="R2048" s="7" t="s">
        <v>13979</v>
      </c>
      <c r="S2048" s="15"/>
      <c r="T2048" s="8"/>
      <c r="U2048" s="19" t="str">
        <f>HYPERLINK("https://pbs.twimg.com/profile_images/1112791829949415424/OqsnmRAQ.jpg","View")</f>
        <v>View</v>
      </c>
      <c r="V2048" s="8"/>
      <c r="W2048" s="8"/>
      <c r="X2048" s="8"/>
      <c r="Y2048" s="8"/>
      <c r="Z2048" s="8"/>
    </row>
    <row r="2049" spans="1:26" ht="12.75">
      <c r="A2049" s="11">
        <v>43747.23537037037</v>
      </c>
      <c r="B2049" s="12" t="str">
        <f>HYPERLINK("https://twitter.com/DiplomatikYANIT","@DiplomatikYANIT")</f>
        <v>@DiplomatikYANIT</v>
      </c>
      <c r="C2049" s="7" t="s">
        <v>13980</v>
      </c>
      <c r="D2049" s="7" t="s">
        <v>13981</v>
      </c>
      <c r="E2049" s="12" t="str">
        <f>HYPERLINK("https://twitter.com/DiplomatikYANIT/status/1181911923538956288","1181911923538956288")</f>
        <v>1181911923538956288</v>
      </c>
      <c r="F2049" s="8"/>
      <c r="G2049" s="15"/>
      <c r="H2049" s="8"/>
      <c r="I2049" s="15">
        <v>0</v>
      </c>
      <c r="J2049" s="15">
        <v>0</v>
      </c>
      <c r="K2049" s="12" t="str">
        <f>HYPERLINK("http://twitter.com/download/android","Twitter for Android")</f>
        <v>Twitter for Android</v>
      </c>
      <c r="L2049" s="16">
        <v>37</v>
      </c>
      <c r="M2049" s="16">
        <v>109</v>
      </c>
      <c r="N2049" s="16">
        <v>0</v>
      </c>
      <c r="O2049" s="17"/>
      <c r="P2049" s="18">
        <v>42643.137569444443</v>
      </c>
      <c r="Q2049" s="7" t="s">
        <v>1066</v>
      </c>
      <c r="R2049" s="7"/>
      <c r="S2049" s="7"/>
      <c r="T2049" s="8"/>
      <c r="U2049" s="19" t="str">
        <f>HYPERLINK("https://pbs.twimg.com/profile_images/1155695598923866112/2-Lv-GCl.jpg","View")</f>
        <v>View</v>
      </c>
      <c r="V2049" s="8"/>
      <c r="W2049" s="8"/>
      <c r="X2049" s="8"/>
      <c r="Y2049" s="8"/>
      <c r="Z2049" s="8"/>
    </row>
    <row r="2050" spans="1:26" ht="12.75">
      <c r="A2050" s="11">
        <v>43747.235358796301</v>
      </c>
      <c r="B2050" s="12" t="str">
        <f>HYPERLINK("https://twitter.com/BulutBey79","@BulutBey79")</f>
        <v>@BulutBey79</v>
      </c>
      <c r="C2050" s="7" t="s">
        <v>13982</v>
      </c>
      <c r="D2050" s="7" t="s">
        <v>160</v>
      </c>
      <c r="E2050" s="12" t="str">
        <f>HYPERLINK("https://twitter.com/BulutBey79/status/1181911922758836224","1181911922758836224")</f>
        <v>1181911922758836224</v>
      </c>
      <c r="F2050" s="8"/>
      <c r="G2050" s="14" t="s">
        <v>13983</v>
      </c>
      <c r="H2050" s="8"/>
      <c r="I2050" s="15">
        <v>0</v>
      </c>
      <c r="J2050" s="15">
        <v>0</v>
      </c>
      <c r="K2050" s="12" t="str">
        <f>HYPERLINK("http://twitter.com/download/android","Twitter for Android")</f>
        <v>Twitter for Android</v>
      </c>
      <c r="L2050" s="16">
        <v>1478</v>
      </c>
      <c r="M2050" s="16">
        <v>1636</v>
      </c>
      <c r="N2050" s="16">
        <v>15</v>
      </c>
      <c r="O2050" s="17"/>
      <c r="P2050" s="18">
        <v>40667.414826388893</v>
      </c>
      <c r="Q2050" s="7" t="s">
        <v>13984</v>
      </c>
      <c r="R2050" s="7" t="s">
        <v>13985</v>
      </c>
      <c r="S2050" s="14" t="s">
        <v>13986</v>
      </c>
      <c r="T2050" s="8"/>
      <c r="U2050" s="19" t="str">
        <f>HYPERLINK("https://pbs.twimg.com/profile_images/1152200338344206336/BEyXpdtw.jpg","View")</f>
        <v>View</v>
      </c>
      <c r="V2050" s="8"/>
      <c r="W2050" s="8"/>
      <c r="X2050" s="8"/>
      <c r="Y2050" s="8"/>
      <c r="Z2050" s="8"/>
    </row>
    <row r="2051" spans="1:26" ht="12.75">
      <c r="A2051" s="11">
        <v>43747.235312500001</v>
      </c>
      <c r="B2051" s="12" t="str">
        <f>HYPERLINK("https://twitter.com/mehmetyelolu5","@mehmetyelolu5")</f>
        <v>@mehmetyelolu5</v>
      </c>
      <c r="C2051" s="7" t="s">
        <v>13987</v>
      </c>
      <c r="D2051" s="7" t="s">
        <v>160</v>
      </c>
      <c r="E2051" s="12" t="str">
        <f>HYPERLINK("https://twitter.com/mehmetyelolu5/status/1181911904492630016","1181911904492630016")</f>
        <v>1181911904492630016</v>
      </c>
      <c r="F2051" s="8"/>
      <c r="G2051" s="14" t="s">
        <v>13988</v>
      </c>
      <c r="H2051" s="8"/>
      <c r="I2051" s="15">
        <v>0</v>
      </c>
      <c r="J2051" s="15">
        <v>0</v>
      </c>
      <c r="K2051" s="12" t="str">
        <f>HYPERLINK("http://twitter.com/download/iphone","Twitter for iPhone")</f>
        <v>Twitter for iPhone</v>
      </c>
      <c r="L2051" s="16">
        <v>16</v>
      </c>
      <c r="M2051" s="16">
        <v>41</v>
      </c>
      <c r="N2051" s="16">
        <v>0</v>
      </c>
      <c r="O2051" s="17"/>
      <c r="P2051" s="18">
        <v>43642.385706018518</v>
      </c>
      <c r="Q2051" s="7"/>
      <c r="R2051" s="7" t="s">
        <v>13989</v>
      </c>
      <c r="S2051" s="7"/>
      <c r="T2051" s="8"/>
      <c r="U2051" s="19" t="str">
        <f>HYPERLINK("https://pbs.twimg.com/profile_images/1143916281214750721/uuMpZ5oj.jpg","View")</f>
        <v>View</v>
      </c>
      <c r="V2051" s="8"/>
      <c r="W2051" s="8"/>
      <c r="X2051" s="8"/>
      <c r="Y2051" s="8"/>
      <c r="Z2051" s="8"/>
    </row>
    <row r="2052" spans="1:26" ht="12.75">
      <c r="A2052" s="11">
        <v>43747.235231481478</v>
      </c>
      <c r="B2052" s="12" t="str">
        <f>HYPERLINK("https://twitter.com/HarmantepeSukru","@HarmantepeSukru")</f>
        <v>@HarmantepeSukru</v>
      </c>
      <c r="C2052" s="7" t="s">
        <v>13990</v>
      </c>
      <c r="D2052" s="7" t="s">
        <v>13991</v>
      </c>
      <c r="E2052" s="12" t="str">
        <f>HYPERLINK("https://twitter.com/HarmantepeSukru/status/1181911873412837376","1181911873412837376")</f>
        <v>1181911873412837376</v>
      </c>
      <c r="F2052" s="8"/>
      <c r="G2052" s="14" t="s">
        <v>13992</v>
      </c>
      <c r="H2052" s="8"/>
      <c r="I2052" s="15">
        <v>0</v>
      </c>
      <c r="J2052" s="15">
        <v>1</v>
      </c>
      <c r="K2052" s="12" t="str">
        <f>HYPERLINK("http://twitter.com/download/iphone","Twitter for iPhone")</f>
        <v>Twitter for iPhone</v>
      </c>
      <c r="L2052" s="16">
        <v>144</v>
      </c>
      <c r="M2052" s="16">
        <v>943</v>
      </c>
      <c r="N2052" s="16">
        <v>0</v>
      </c>
      <c r="O2052" s="17"/>
      <c r="P2052" s="18">
        <v>42252.619039351848</v>
      </c>
      <c r="Q2052" s="7" t="s">
        <v>313</v>
      </c>
      <c r="R2052" s="7"/>
      <c r="S2052" s="7"/>
      <c r="T2052" s="8"/>
      <c r="U2052" s="19" t="str">
        <f>HYPERLINK("https://pbs.twimg.com/profile_images/785912650299543553/ULW1wJm1.jpg","View")</f>
        <v>View</v>
      </c>
      <c r="V2052" s="8"/>
      <c r="W2052" s="8"/>
      <c r="X2052" s="8"/>
      <c r="Y2052" s="8"/>
      <c r="Z2052" s="8"/>
    </row>
    <row r="2053" spans="1:26" ht="12.75">
      <c r="A2053" s="11">
        <v>43747.235185185185</v>
      </c>
      <c r="B2053" s="12" t="str">
        <f>HYPERLINK("https://twitter.com/IrfanWarya","@IrfanWarya")</f>
        <v>@IrfanWarya</v>
      </c>
      <c r="C2053" s="7" t="s">
        <v>13993</v>
      </c>
      <c r="D2053" s="7" t="s">
        <v>13994</v>
      </c>
      <c r="E2053" s="12" t="str">
        <f>HYPERLINK("https://twitter.com/IrfanWarya/status/1181911860074942465","1181911860074942465")</f>
        <v>1181911860074942465</v>
      </c>
      <c r="F2053" s="14" t="s">
        <v>13995</v>
      </c>
      <c r="G2053" s="14" t="s">
        <v>13996</v>
      </c>
      <c r="H2053" s="8"/>
      <c r="I2053" s="15">
        <v>0</v>
      </c>
      <c r="J2053" s="15">
        <v>2</v>
      </c>
      <c r="K2053" s="12" t="str">
        <f>HYPERLINK("https://mobile.twitter.com","Twitter Web App")</f>
        <v>Twitter Web App</v>
      </c>
      <c r="L2053" s="16">
        <v>5</v>
      </c>
      <c r="M2053" s="16">
        <v>83</v>
      </c>
      <c r="N2053" s="16">
        <v>0</v>
      </c>
      <c r="O2053" s="17"/>
      <c r="P2053" s="18">
        <v>43531.021562499998</v>
      </c>
      <c r="Q2053" s="7"/>
      <c r="R2053" s="7" t="s">
        <v>13997</v>
      </c>
      <c r="S2053" s="7"/>
      <c r="T2053" s="8"/>
      <c r="U2053" s="19" t="str">
        <f>HYPERLINK("https://pbs.twimg.com/profile_images/1103600881348632576/il1rjobg.png","View")</f>
        <v>View</v>
      </c>
      <c r="V2053" s="8"/>
      <c r="W2053" s="8"/>
      <c r="X2053" s="8"/>
      <c r="Y2053" s="8"/>
      <c r="Z2053" s="8"/>
    </row>
    <row r="2054" spans="1:26" ht="12.75">
      <c r="A2054" s="11">
        <v>43747.235185185185</v>
      </c>
      <c r="B2054" s="12" t="str">
        <f>HYPERLINK("https://twitter.com/NumanLeventolu","@NumanLeventolu")</f>
        <v>@NumanLeventolu</v>
      </c>
      <c r="C2054" s="7" t="s">
        <v>13998</v>
      </c>
      <c r="D2054" s="7" t="s">
        <v>13999</v>
      </c>
      <c r="E2054" s="12" t="str">
        <f>HYPERLINK("https://twitter.com/NumanLeventolu/status/1181911856723763200","1181911856723763200")</f>
        <v>1181911856723763200</v>
      </c>
      <c r="F2054" s="8"/>
      <c r="G2054" s="14" t="s">
        <v>14000</v>
      </c>
      <c r="H2054" s="8"/>
      <c r="I2054" s="15">
        <v>0</v>
      </c>
      <c r="J2054" s="15">
        <v>1</v>
      </c>
      <c r="K2054" s="12" t="str">
        <f>HYPERLINK("http://twitter.com/download/android","Twitter for Android")</f>
        <v>Twitter for Android</v>
      </c>
      <c r="L2054" s="16">
        <v>73</v>
      </c>
      <c r="M2054" s="16">
        <v>49</v>
      </c>
      <c r="N2054" s="16">
        <v>0</v>
      </c>
      <c r="O2054" s="17"/>
      <c r="P2054" s="18">
        <v>41443.444745370369</v>
      </c>
      <c r="Q2054" s="7" t="s">
        <v>14001</v>
      </c>
      <c r="R2054" s="7" t="s">
        <v>14002</v>
      </c>
      <c r="S2054" s="7"/>
      <c r="T2054" s="8"/>
      <c r="U2054" s="19" t="str">
        <f>HYPERLINK("https://pbs.twimg.com/profile_images/1113213121420828672/LwXRVGt1.jpg","View")</f>
        <v>View</v>
      </c>
      <c r="V2054" s="8"/>
      <c r="W2054" s="8"/>
      <c r="X2054" s="8"/>
      <c r="Y2054" s="8"/>
      <c r="Z2054" s="8"/>
    </row>
    <row r="2055" spans="1:26" ht="12.75">
      <c r="A2055" s="11">
        <v>43747.235127314816</v>
      </c>
      <c r="B2055" s="12" t="str">
        <f>HYPERLINK("https://twitter.com/vantefortaetae","@vantefortaetae")</f>
        <v>@vantefortaetae</v>
      </c>
      <c r="C2055" s="7" t="s">
        <v>14003</v>
      </c>
      <c r="D2055" s="7" t="s">
        <v>14004</v>
      </c>
      <c r="E2055" s="12" t="str">
        <f>HYPERLINK("https://twitter.com/vantefortaetae/status/1181911837635469315","1181911837635469315")</f>
        <v>1181911837635469315</v>
      </c>
      <c r="F2055" s="8"/>
      <c r="G2055" s="15"/>
      <c r="H2055" s="8"/>
      <c r="I2055" s="15">
        <v>0</v>
      </c>
      <c r="J2055" s="15">
        <v>5</v>
      </c>
      <c r="K2055" s="12" t="str">
        <f>HYPERLINK("http://twitter.com/download/android","Twitter for Android")</f>
        <v>Twitter for Android</v>
      </c>
      <c r="L2055" s="16">
        <v>6717</v>
      </c>
      <c r="M2055" s="16">
        <v>2948</v>
      </c>
      <c r="N2055" s="16">
        <v>19</v>
      </c>
      <c r="O2055" s="17"/>
      <c r="P2055" s="18">
        <v>42167.501030092593</v>
      </c>
      <c r="Q2055" s="7" t="s">
        <v>14005</v>
      </c>
      <c r="R2055" s="7" t="s">
        <v>14006</v>
      </c>
      <c r="S2055" s="7"/>
      <c r="T2055" s="8"/>
      <c r="U2055" s="19" t="str">
        <f>HYPERLINK("https://pbs.twimg.com/profile_images/1167079883828277248/GFhCMHpr.jpg","View")</f>
        <v>View</v>
      </c>
      <c r="V2055" s="8"/>
      <c r="W2055" s="8"/>
      <c r="X2055" s="8"/>
      <c r="Y2055" s="8"/>
      <c r="Z2055" s="8"/>
    </row>
    <row r="2056" spans="1:26" ht="12.75">
      <c r="A2056" s="11">
        <v>43747.235081018516</v>
      </c>
      <c r="B2056" s="12" t="str">
        <f>HYPERLINK("https://twitter.com/aycamaggi3","@aycamaggi3")</f>
        <v>@aycamaggi3</v>
      </c>
      <c r="C2056" s="7" t="s">
        <v>14007</v>
      </c>
      <c r="D2056" s="7" t="s">
        <v>14008</v>
      </c>
      <c r="E2056" s="12" t="str">
        <f>HYPERLINK("https://twitter.com/aycamaggi3/status/1181911820510085121","1181911820510085121")</f>
        <v>1181911820510085121</v>
      </c>
      <c r="F2056" s="8"/>
      <c r="G2056" s="14" t="s">
        <v>14009</v>
      </c>
      <c r="H2056" s="8"/>
      <c r="I2056" s="15">
        <v>0</v>
      </c>
      <c r="J2056" s="15">
        <v>1</v>
      </c>
      <c r="K2056" s="12" t="str">
        <f>HYPERLINK("http://twitter.com","Twitter Web Client")</f>
        <v>Twitter Web Client</v>
      </c>
      <c r="L2056" s="16">
        <v>6</v>
      </c>
      <c r="M2056" s="16">
        <v>0</v>
      </c>
      <c r="N2056" s="16">
        <v>0</v>
      </c>
      <c r="O2056" s="17"/>
      <c r="P2056" s="18">
        <v>43703.280833333338</v>
      </c>
      <c r="Q2056" s="7" t="s">
        <v>14010</v>
      </c>
      <c r="R2056" s="7" t="s">
        <v>14011</v>
      </c>
      <c r="S2056" s="7"/>
      <c r="T2056" s="8"/>
      <c r="U2056" s="19" t="str">
        <f>HYPERLINK("https://pbs.twimg.com/profile_images/1166786302827778048/rmh9CImY.jpg","View")</f>
        <v>View</v>
      </c>
      <c r="V2056" s="8"/>
      <c r="W2056" s="8"/>
      <c r="X2056" s="8"/>
      <c r="Y2056" s="8"/>
      <c r="Z2056" s="8"/>
    </row>
    <row r="2057" spans="1:26" ht="12.75">
      <c r="A2057" s="11">
        <v>43747.235034722224</v>
      </c>
      <c r="B2057" s="12" t="str">
        <f>HYPERLINK("https://twitter.com/brahim38667994","@brahim38667994")</f>
        <v>@brahim38667994</v>
      </c>
      <c r="C2057" s="7" t="s">
        <v>9982</v>
      </c>
      <c r="D2057" s="7" t="s">
        <v>14012</v>
      </c>
      <c r="E2057" s="12" t="str">
        <f>HYPERLINK("https://twitter.com/brahim38667994/status/1181911803787452419","1181911803787452419")</f>
        <v>1181911803787452419</v>
      </c>
      <c r="F2057" s="8"/>
      <c r="G2057" s="15"/>
      <c r="H2057" s="8"/>
      <c r="I2057" s="15">
        <v>0</v>
      </c>
      <c r="J2057" s="15">
        <v>1</v>
      </c>
      <c r="K2057" s="12" t="str">
        <f>HYPERLINK("http://twitter.com/download/android","Twitter for Android")</f>
        <v>Twitter for Android</v>
      </c>
      <c r="L2057" s="16">
        <v>94</v>
      </c>
      <c r="M2057" s="16">
        <v>381</v>
      </c>
      <c r="N2057" s="16">
        <v>0</v>
      </c>
      <c r="O2057" s="17"/>
      <c r="P2057" s="18">
        <v>43747.033263888894</v>
      </c>
      <c r="Q2057" s="7"/>
      <c r="R2057" s="7" t="s">
        <v>14013</v>
      </c>
      <c r="S2057" s="15"/>
      <c r="T2057" s="8"/>
      <c r="U2057" s="19" t="str">
        <f>HYPERLINK("https://pbs.twimg.com/profile_images/1181839456040620033/KC1Dxil5.jpg","View")</f>
        <v>View</v>
      </c>
      <c r="V2057" s="8"/>
      <c r="W2057" s="8"/>
      <c r="X2057" s="8"/>
      <c r="Y2057" s="8"/>
      <c r="Z2057" s="8"/>
    </row>
    <row r="2058" spans="1:26" ht="12.75">
      <c r="A2058" s="11">
        <v>43747.234930555554</v>
      </c>
      <c r="B2058" s="12" t="str">
        <f>HYPERLINK("https://twitter.com/VShtin","@VShtin")</f>
        <v>@VShtin</v>
      </c>
      <c r="C2058" s="7" t="s">
        <v>14014</v>
      </c>
      <c r="D2058" s="7" t="s">
        <v>14015</v>
      </c>
      <c r="E2058" s="12" t="str">
        <f>HYPERLINK("https://twitter.com/VShtin/status/1181911765220806656","1181911765220806656")</f>
        <v>1181911765220806656</v>
      </c>
      <c r="F2058" s="8"/>
      <c r="G2058" s="14" t="s">
        <v>14016</v>
      </c>
      <c r="H2058" s="8"/>
      <c r="I2058" s="15">
        <v>0</v>
      </c>
      <c r="J2058" s="15">
        <v>0</v>
      </c>
      <c r="K2058" s="12" t="str">
        <f>HYPERLINK("http://twitter.com/download/android","Twitter for Android")</f>
        <v>Twitter for Android</v>
      </c>
      <c r="L2058" s="16">
        <v>18</v>
      </c>
      <c r="M2058" s="16">
        <v>6</v>
      </c>
      <c r="N2058" s="16">
        <v>0</v>
      </c>
      <c r="O2058" s="17"/>
      <c r="P2058" s="18">
        <v>41586.099456018521</v>
      </c>
      <c r="Q2058" s="7" t="s">
        <v>14017</v>
      </c>
      <c r="R2058" s="7"/>
      <c r="S2058" s="7"/>
      <c r="T2058" s="8"/>
      <c r="U2058" s="19" t="str">
        <f>HYPERLINK("https://pbs.twimg.com/profile_images/1178331211892166656/PrUFyvUX.jpg","View")</f>
        <v>View</v>
      </c>
      <c r="V2058" s="8"/>
      <c r="W2058" s="8"/>
      <c r="X2058" s="8"/>
      <c r="Y2058" s="8"/>
      <c r="Z2058" s="8"/>
    </row>
    <row r="2059" spans="1:26" ht="12.75">
      <c r="A2059" s="11">
        <v>43747.234814814816</v>
      </c>
      <c r="B2059" s="12" t="str">
        <f>HYPERLINK("https://twitter.com/karatasoglu13","@karatasoglu13")</f>
        <v>@karatasoglu13</v>
      </c>
      <c r="C2059" s="7" t="s">
        <v>14018</v>
      </c>
      <c r="D2059" s="7" t="s">
        <v>14019</v>
      </c>
      <c r="E2059" s="12" t="str">
        <f>HYPERLINK("https://twitter.com/karatasoglu13/status/1181911725349769222","1181911725349769222")</f>
        <v>1181911725349769222</v>
      </c>
      <c r="F2059" s="8"/>
      <c r="G2059" s="7"/>
      <c r="H2059" s="8"/>
      <c r="I2059" s="15">
        <v>0</v>
      </c>
      <c r="J2059" s="15">
        <v>1</v>
      </c>
      <c r="K2059" s="12" t="str">
        <f>HYPERLINK("http://twitter.com/download/android","Twitter for Android")</f>
        <v>Twitter for Android</v>
      </c>
      <c r="L2059" s="16">
        <v>673</v>
      </c>
      <c r="M2059" s="16">
        <v>594</v>
      </c>
      <c r="N2059" s="16">
        <v>3</v>
      </c>
      <c r="O2059" s="17"/>
      <c r="P2059" s="18">
        <v>42621.305937500001</v>
      </c>
      <c r="Q2059" s="7" t="s">
        <v>200</v>
      </c>
      <c r="R2059" s="7" t="s">
        <v>14020</v>
      </c>
      <c r="S2059" s="7"/>
      <c r="T2059" s="8"/>
      <c r="U2059" s="19" t="str">
        <f>HYPERLINK("https://pbs.twimg.com/profile_images/978202154027704320/2OgZYjMZ.jpg","View")</f>
        <v>View</v>
      </c>
      <c r="V2059" s="8"/>
      <c r="W2059" s="8"/>
      <c r="X2059" s="8"/>
      <c r="Y2059" s="8"/>
      <c r="Z2059" s="8"/>
    </row>
    <row r="2060" spans="1:26" ht="12.75">
      <c r="A2060" s="11">
        <v>43747.234803240739</v>
      </c>
      <c r="B2060" s="12" t="str">
        <f>HYPERLINK("https://twitter.com/Cnn_706","@Cnn_706")</f>
        <v>@Cnn_706</v>
      </c>
      <c r="C2060" s="7" t="s">
        <v>14021</v>
      </c>
      <c r="D2060" s="7" t="s">
        <v>14022</v>
      </c>
      <c r="E2060" s="12" t="str">
        <f>HYPERLINK("https://twitter.com/Cnn_706/status/1181911719783870465","1181911719783870465")</f>
        <v>1181911719783870465</v>
      </c>
      <c r="F2060" s="8"/>
      <c r="G2060" s="14" t="s">
        <v>14023</v>
      </c>
      <c r="H2060" s="8"/>
      <c r="I2060" s="15">
        <v>2</v>
      </c>
      <c r="J2060" s="15">
        <v>5</v>
      </c>
      <c r="K2060" s="12" t="str">
        <f>HYPERLINK("http://twitter.com/download/android","Twitter for Android")</f>
        <v>Twitter for Android</v>
      </c>
      <c r="L2060" s="16">
        <v>19076</v>
      </c>
      <c r="M2060" s="16">
        <v>10648</v>
      </c>
      <c r="N2060" s="16">
        <v>34</v>
      </c>
      <c r="O2060" s="17"/>
      <c r="P2060" s="18">
        <v>41241.445231481484</v>
      </c>
      <c r="Q2060" s="7" t="s">
        <v>14024</v>
      </c>
      <c r="R2060" s="7" t="s">
        <v>14025</v>
      </c>
      <c r="S2060" s="7"/>
      <c r="T2060" s="8"/>
      <c r="U2060" s="19" t="str">
        <f>HYPERLINK("https://pbs.twimg.com/profile_images/1178057163668955137/jb0dMhg8.jpg","View")</f>
        <v>View</v>
      </c>
      <c r="V2060" s="8"/>
      <c r="W2060" s="8"/>
      <c r="X2060" s="8"/>
      <c r="Y2060" s="8"/>
      <c r="Z2060" s="8"/>
    </row>
    <row r="2061" spans="1:26" ht="12.75">
      <c r="A2061" s="11">
        <v>43747.234629629631</v>
      </c>
      <c r="B2061" s="12" t="str">
        <f>HYPERLINK("https://twitter.com/TurgAir","@TurgAir")</f>
        <v>@TurgAir</v>
      </c>
      <c r="C2061" s="7" t="s">
        <v>14026</v>
      </c>
      <c r="D2061" s="7" t="s">
        <v>14027</v>
      </c>
      <c r="E2061" s="12" t="str">
        <f>HYPERLINK("https://twitter.com/TurgAir/status/1181911656395395074","1181911656395395074")</f>
        <v>1181911656395395074</v>
      </c>
      <c r="F2061" s="8"/>
      <c r="G2061" s="14" t="s">
        <v>14028</v>
      </c>
      <c r="H2061" s="8"/>
      <c r="I2061" s="15">
        <v>2</v>
      </c>
      <c r="J2061" s="15">
        <v>1</v>
      </c>
      <c r="K2061" s="12" t="str">
        <f>HYPERLINK("http://twitter.com/download/android","Twitter for Android")</f>
        <v>Twitter for Android</v>
      </c>
      <c r="L2061" s="16">
        <v>4595</v>
      </c>
      <c r="M2061" s="16">
        <v>377</v>
      </c>
      <c r="N2061" s="16">
        <v>21</v>
      </c>
      <c r="O2061" s="17"/>
      <c r="P2061" s="18">
        <v>41492.659224537041</v>
      </c>
      <c r="Q2061" s="7"/>
      <c r="R2061" s="7" t="s">
        <v>14029</v>
      </c>
      <c r="S2061" s="15"/>
      <c r="T2061" s="8"/>
      <c r="U2061" s="19" t="str">
        <f>HYPERLINK("https://pbs.twimg.com/profile_images/1174356469988433920/TP4wUrU1.jpg","View")</f>
        <v>View</v>
      </c>
      <c r="V2061" s="8"/>
      <c r="W2061" s="8"/>
      <c r="X2061" s="8"/>
      <c r="Y2061" s="8"/>
      <c r="Z2061" s="8"/>
    </row>
    <row r="2062" spans="1:26" ht="12.75">
      <c r="A2062" s="11">
        <v>43747.234479166669</v>
      </c>
      <c r="B2062" s="12" t="str">
        <f>HYPERLINK("https://twitter.com/28_onur","@28_onur")</f>
        <v>@28_onur</v>
      </c>
      <c r="C2062" s="7" t="s">
        <v>14030</v>
      </c>
      <c r="D2062" s="7" t="s">
        <v>14031</v>
      </c>
      <c r="E2062" s="12" t="str">
        <f>HYPERLINK("https://twitter.com/28_onur/status/1181911600292384768","1181911600292384768")</f>
        <v>1181911600292384768</v>
      </c>
      <c r="F2062" s="8"/>
      <c r="G2062" s="15"/>
      <c r="H2062" s="8"/>
      <c r="I2062" s="15">
        <v>0</v>
      </c>
      <c r="J2062" s="15">
        <v>1</v>
      </c>
      <c r="K2062" s="12" t="str">
        <f>HYPERLINK("https://mobile.twitter.com","Twitter Web App")</f>
        <v>Twitter Web App</v>
      </c>
      <c r="L2062" s="16">
        <v>1544</v>
      </c>
      <c r="M2062" s="16">
        <v>1579</v>
      </c>
      <c r="N2062" s="16">
        <v>1</v>
      </c>
      <c r="O2062" s="17"/>
      <c r="P2062" s="18">
        <v>40692.2887037037</v>
      </c>
      <c r="Q2062" s="7" t="s">
        <v>14032</v>
      </c>
      <c r="R2062" s="7" t="s">
        <v>14033</v>
      </c>
      <c r="S2062" s="15"/>
      <c r="T2062" s="8"/>
      <c r="U2062" s="19" t="str">
        <f>HYPERLINK("https://pbs.twimg.com/profile_images/1030495542281940993/ds0xCpzA.jpg","View")</f>
        <v>View</v>
      </c>
      <c r="V2062" s="8"/>
      <c r="W2062" s="8"/>
      <c r="X2062" s="8"/>
      <c r="Y2062" s="8"/>
      <c r="Z2062" s="8"/>
    </row>
    <row r="2063" spans="1:26" ht="12.75">
      <c r="A2063" s="11">
        <v>43747.23438657407</v>
      </c>
      <c r="B2063" s="12" t="str">
        <f>HYPERLINK("https://twitter.com/Yunus53300670","@Yunus53300670")</f>
        <v>@Yunus53300670</v>
      </c>
      <c r="C2063" s="7" t="s">
        <v>14034</v>
      </c>
      <c r="D2063" s="7" t="s">
        <v>14035</v>
      </c>
      <c r="E2063" s="12" t="str">
        <f>HYPERLINK("https://twitter.com/Yunus53300670/status/1181911567748812801","1181911567748812801")</f>
        <v>1181911567748812801</v>
      </c>
      <c r="F2063" s="8"/>
      <c r="G2063" s="14" t="s">
        <v>14036</v>
      </c>
      <c r="H2063" s="8"/>
      <c r="I2063" s="15">
        <v>0</v>
      </c>
      <c r="J2063" s="15">
        <v>1</v>
      </c>
      <c r="K2063" s="12" t="str">
        <f>HYPERLINK("http://twitter.com/download/android","Twitter for Android")</f>
        <v>Twitter for Android</v>
      </c>
      <c r="L2063" s="16">
        <v>28</v>
      </c>
      <c r="M2063" s="16">
        <v>62</v>
      </c>
      <c r="N2063" s="16">
        <v>0</v>
      </c>
      <c r="O2063" s="17"/>
      <c r="P2063" s="18">
        <v>43415.322546296295</v>
      </c>
      <c r="Q2063" s="7"/>
      <c r="R2063" s="7" t="s">
        <v>14037</v>
      </c>
      <c r="S2063" s="7"/>
      <c r="T2063" s="8"/>
      <c r="U2063" s="19" t="str">
        <f>HYPERLINK("https://pbs.twimg.com/profile_images/1104298029174190085/_wtlgBUg.jpg","View")</f>
        <v>View</v>
      </c>
      <c r="V2063" s="8"/>
      <c r="W2063" s="8"/>
      <c r="X2063" s="8"/>
      <c r="Y2063" s="8"/>
      <c r="Z2063" s="8"/>
    </row>
    <row r="2064" spans="1:26" ht="12.75">
      <c r="A2064" s="11">
        <v>43747.23436342593</v>
      </c>
      <c r="B2064" s="12" t="str">
        <f>HYPERLINK("https://twitter.com/Sontc30755914","@Sontc30755914")</f>
        <v>@Sontc30755914</v>
      </c>
      <c r="C2064" s="7" t="s">
        <v>14038</v>
      </c>
      <c r="D2064" s="7" t="s">
        <v>14039</v>
      </c>
      <c r="E2064" s="12" t="str">
        <f>HYPERLINK("https://twitter.com/Sontc30755914/status/1181911560740114433","1181911560740114433")</f>
        <v>1181911560740114433</v>
      </c>
      <c r="F2064" s="8"/>
      <c r="G2064" s="7"/>
      <c r="H2064" s="8"/>
      <c r="I2064" s="15">
        <v>0</v>
      </c>
      <c r="J2064" s="15">
        <v>1</v>
      </c>
      <c r="K2064" s="12" t="str">
        <f>HYPERLINK("http://twitter.com","Twitter Web Client")</f>
        <v>Twitter Web Client</v>
      </c>
      <c r="L2064" s="16">
        <v>0</v>
      </c>
      <c r="M2064" s="16">
        <v>0</v>
      </c>
      <c r="N2064" s="16">
        <v>0</v>
      </c>
      <c r="O2064" s="17"/>
      <c r="P2064" s="18">
        <v>43728.241296296299</v>
      </c>
      <c r="Q2064" s="7"/>
      <c r="R2064" s="7" t="s">
        <v>14040</v>
      </c>
      <c r="S2064" s="7"/>
      <c r="T2064" s="8"/>
      <c r="U2064" s="19" t="str">
        <f>HYPERLINK("https://pbs.twimg.com/profile_images/1175029366054621184/e3weJjxp.jpg","View")</f>
        <v>View</v>
      </c>
      <c r="V2064" s="8"/>
      <c r="W2064" s="8"/>
      <c r="X2064" s="8"/>
      <c r="Y2064" s="8"/>
      <c r="Z2064" s="8"/>
    </row>
    <row r="2065" spans="1:26" ht="12.75">
      <c r="A2065" s="11">
        <v>43747.234293981484</v>
      </c>
      <c r="B2065" s="12" t="str">
        <f>HYPERLINK("https://twitter.com/ismaillornky","@ismaillornky")</f>
        <v>@ismaillornky</v>
      </c>
      <c r="C2065" s="7" t="s">
        <v>14041</v>
      </c>
      <c r="D2065" s="7" t="s">
        <v>14042</v>
      </c>
      <c r="E2065" s="12" t="str">
        <f>HYPERLINK("https://twitter.com/ismaillornky/status/1181911535981121536","1181911535981121536")</f>
        <v>1181911535981121536</v>
      </c>
      <c r="F2065" s="8"/>
      <c r="G2065" s="14" t="s">
        <v>14043</v>
      </c>
      <c r="H2065" s="8"/>
      <c r="I2065" s="15">
        <v>0</v>
      </c>
      <c r="J2065" s="15">
        <v>1</v>
      </c>
      <c r="K2065" s="12" t="str">
        <f>HYPERLINK("http://twitter.com/download/android","Twitter for Android")</f>
        <v>Twitter for Android</v>
      </c>
      <c r="L2065" s="16">
        <v>56</v>
      </c>
      <c r="M2065" s="16">
        <v>257</v>
      </c>
      <c r="N2065" s="16">
        <v>0</v>
      </c>
      <c r="O2065" s="17"/>
      <c r="P2065" s="18">
        <v>43654.541759259257</v>
      </c>
      <c r="Q2065" s="7" t="s">
        <v>6778</v>
      </c>
      <c r="R2065" s="7" t="s">
        <v>14044</v>
      </c>
      <c r="S2065" s="7"/>
      <c r="T2065" s="8"/>
      <c r="U2065" s="19" t="str">
        <f>HYPERLINK("https://pbs.twimg.com/profile_images/1148483625207418880/hkk2OcP5.jpg","View")</f>
        <v>View</v>
      </c>
      <c r="V2065" s="8"/>
      <c r="W2065" s="8"/>
      <c r="X2065" s="8"/>
      <c r="Y2065" s="8"/>
      <c r="Z2065" s="8"/>
    </row>
    <row r="2066" spans="1:26" ht="12.75">
      <c r="A2066" s="11">
        <v>43747.234259259261</v>
      </c>
      <c r="B2066" s="12" t="str">
        <f>HYPERLINK("https://twitter.com/TcUmitAydin","@TcUmitAydin")</f>
        <v>@TcUmitAydin</v>
      </c>
      <c r="C2066" s="7" t="s">
        <v>14045</v>
      </c>
      <c r="D2066" s="7" t="s">
        <v>14046</v>
      </c>
      <c r="E2066" s="12" t="str">
        <f>HYPERLINK("https://twitter.com/TcUmitAydin/status/1181911521150066688","1181911521150066688")</f>
        <v>1181911521150066688</v>
      </c>
      <c r="F2066" s="8"/>
      <c r="G2066" s="14" t="s">
        <v>14047</v>
      </c>
      <c r="H2066" s="8"/>
      <c r="I2066" s="15">
        <v>3</v>
      </c>
      <c r="J2066" s="15">
        <v>13</v>
      </c>
      <c r="K2066" s="12" t="str">
        <f>HYPERLINK("http://twitter.com/download/iphone","Twitter for iPhone")</f>
        <v>Twitter for iPhone</v>
      </c>
      <c r="L2066" s="16">
        <v>61506</v>
      </c>
      <c r="M2066" s="16">
        <v>22493</v>
      </c>
      <c r="N2066" s="16">
        <v>18</v>
      </c>
      <c r="O2066" s="17"/>
      <c r="P2066" s="18">
        <v>40599.446400462963</v>
      </c>
      <c r="Q2066" s="7" t="s">
        <v>1111</v>
      </c>
      <c r="R2066" s="7" t="s">
        <v>14048</v>
      </c>
      <c r="S2066" s="14" t="s">
        <v>14049</v>
      </c>
      <c r="T2066" s="8"/>
      <c r="U2066" s="19" t="str">
        <f>HYPERLINK("https://pbs.twimg.com/profile_images/1179830427101605891/3moIXSBg.jpg","View")</f>
        <v>View</v>
      </c>
      <c r="V2066" s="8"/>
      <c r="W2066" s="8"/>
      <c r="X2066" s="8"/>
      <c r="Y2066" s="8"/>
      <c r="Z2066" s="8"/>
    </row>
    <row r="2067" spans="1:26" ht="12.75">
      <c r="A2067" s="11">
        <v>43747.234236111108</v>
      </c>
      <c r="B2067" s="12" t="str">
        <f>HYPERLINK("https://twitter.com/GokteYerde","@GokteYerde")</f>
        <v>@GokteYerde</v>
      </c>
      <c r="C2067" s="7" t="s">
        <v>14050</v>
      </c>
      <c r="D2067" s="7" t="s">
        <v>160</v>
      </c>
      <c r="E2067" s="12" t="str">
        <f>HYPERLINK("https://twitter.com/GokteYerde/status/1181911516007845889","1181911516007845889")</f>
        <v>1181911516007845889</v>
      </c>
      <c r="F2067" s="14" t="s">
        <v>14051</v>
      </c>
      <c r="G2067" s="7"/>
      <c r="H2067" s="8"/>
      <c r="I2067" s="15">
        <v>0</v>
      </c>
      <c r="J2067" s="15">
        <v>0</v>
      </c>
      <c r="K2067" s="12" t="str">
        <f>HYPERLINK("https://mobile.twitter.com","Twitter Web App")</f>
        <v>Twitter Web App</v>
      </c>
      <c r="L2067" s="16">
        <v>1</v>
      </c>
      <c r="M2067" s="16">
        <v>55</v>
      </c>
      <c r="N2067" s="16">
        <v>0</v>
      </c>
      <c r="O2067" s="17"/>
      <c r="P2067" s="18">
        <v>43747.11383101852</v>
      </c>
      <c r="Q2067" s="7"/>
      <c r="R2067" s="7"/>
      <c r="S2067" s="7"/>
      <c r="T2067" s="8"/>
      <c r="U2067" s="19" t="str">
        <f>HYPERLINK("https://pbs.twimg.com/profile_images/1181867921640955905/RoaVjmNj.jpg","View")</f>
        <v>View</v>
      </c>
      <c r="V2067" s="8"/>
      <c r="W2067" s="8"/>
      <c r="X2067" s="8"/>
      <c r="Y2067" s="8"/>
      <c r="Z2067" s="8"/>
    </row>
    <row r="2068" spans="1:26" ht="12.75">
      <c r="A2068" s="11">
        <v>43747.234178240746</v>
      </c>
      <c r="B2068" s="12" t="str">
        <f>HYPERLINK("https://twitter.com/erenakcayim","@erenakcayim")</f>
        <v>@erenakcayim</v>
      </c>
      <c r="C2068" s="7" t="s">
        <v>6768</v>
      </c>
      <c r="D2068" s="7" t="s">
        <v>14052</v>
      </c>
      <c r="E2068" s="12" t="str">
        <f>HYPERLINK("https://twitter.com/erenakcayim/status/1181911493241118721","1181911493241118721")</f>
        <v>1181911493241118721</v>
      </c>
      <c r="F2068" s="8"/>
      <c r="G2068" s="7"/>
      <c r="H2068" s="8"/>
      <c r="I2068" s="15">
        <v>0</v>
      </c>
      <c r="J2068" s="15">
        <v>0</v>
      </c>
      <c r="K2068" s="12" t="str">
        <f>HYPERLINK("http://twitter.com/download/android","Twitter for Android")</f>
        <v>Twitter for Android</v>
      </c>
      <c r="L2068" s="16">
        <v>47</v>
      </c>
      <c r="M2068" s="16">
        <v>95</v>
      </c>
      <c r="N2068" s="16">
        <v>0</v>
      </c>
      <c r="O2068" s="17"/>
      <c r="P2068" s="18">
        <v>42045.543009259258</v>
      </c>
      <c r="Q2068" s="7" t="s">
        <v>14053</v>
      </c>
      <c r="R2068" s="7" t="s">
        <v>14054</v>
      </c>
      <c r="S2068" s="14" t="s">
        <v>14055</v>
      </c>
      <c r="T2068" s="8"/>
      <c r="U2068" s="19" t="str">
        <f>HYPERLINK("https://pbs.twimg.com/profile_images/1179956679284264960/v01Tbel8.jpg","View")</f>
        <v>View</v>
      </c>
      <c r="V2068" s="8"/>
      <c r="W2068" s="8"/>
      <c r="X2068" s="8"/>
      <c r="Y2068" s="8"/>
      <c r="Z2068" s="8"/>
    </row>
    <row r="2069" spans="1:26" ht="12.75">
      <c r="A2069" s="11">
        <v>43747.234120370369</v>
      </c>
      <c r="B2069" s="12" t="str">
        <f>HYPERLINK("https://twitter.com/kasimsek","@kasimsek")</f>
        <v>@kasimsek</v>
      </c>
      <c r="C2069" s="7" t="s">
        <v>14056</v>
      </c>
      <c r="D2069" s="7" t="s">
        <v>14057</v>
      </c>
      <c r="E2069" s="12" t="str">
        <f>HYPERLINK("https://twitter.com/kasimsek/status/1181911472324132864","1181911472324132864")</f>
        <v>1181911472324132864</v>
      </c>
      <c r="F2069" s="8"/>
      <c r="G2069" s="15"/>
      <c r="H2069" s="8"/>
      <c r="I2069" s="15">
        <v>0</v>
      </c>
      <c r="J2069" s="15">
        <v>0</v>
      </c>
      <c r="K2069" s="12" t="str">
        <f>HYPERLINK("http://twitter.com/download/android","Twitter for Android")</f>
        <v>Twitter for Android</v>
      </c>
      <c r="L2069" s="16">
        <v>60</v>
      </c>
      <c r="M2069" s="16">
        <v>167</v>
      </c>
      <c r="N2069" s="16">
        <v>0</v>
      </c>
      <c r="O2069" s="17"/>
      <c r="P2069" s="18">
        <v>40236.923055555555</v>
      </c>
      <c r="Q2069" s="7" t="s">
        <v>14058</v>
      </c>
      <c r="R2069" s="7" t="s">
        <v>14059</v>
      </c>
      <c r="S2069" s="14" t="s">
        <v>8179</v>
      </c>
      <c r="T2069" s="8"/>
      <c r="U2069" s="19" t="str">
        <f>HYPERLINK("https://pbs.twimg.com/profile_images/912309163883159553/Nyg1wqwS.jpg","View")</f>
        <v>View</v>
      </c>
      <c r="V2069" s="8"/>
      <c r="W2069" s="8"/>
      <c r="X2069" s="8"/>
      <c r="Y2069" s="8"/>
      <c r="Z2069" s="8"/>
    </row>
    <row r="2070" spans="1:26" ht="12.75">
      <c r="A2070" s="11">
        <v>43747.2340625</v>
      </c>
      <c r="B2070" s="12" t="str">
        <f>HYPERLINK("https://twitter.com/701Turk","@701Turk")</f>
        <v>@701Turk</v>
      </c>
      <c r="C2070" s="7" t="s">
        <v>14060</v>
      </c>
      <c r="D2070" s="7" t="s">
        <v>14061</v>
      </c>
      <c r="E2070" s="12" t="str">
        <f>HYPERLINK("https://twitter.com/701Turk/status/1181911452782923776","1181911452782923776")</f>
        <v>1181911452782923776</v>
      </c>
      <c r="F2070" s="8"/>
      <c r="G2070" s="14" t="s">
        <v>14062</v>
      </c>
      <c r="H2070" s="8"/>
      <c r="I2070" s="15">
        <v>0</v>
      </c>
      <c r="J2070" s="15">
        <v>1</v>
      </c>
      <c r="K2070" s="12" t="str">
        <f>HYPERLINK("http://twitter.com/download/android","Twitter for Android")</f>
        <v>Twitter for Android</v>
      </c>
      <c r="L2070" s="16">
        <v>849</v>
      </c>
      <c r="M2070" s="16">
        <v>659</v>
      </c>
      <c r="N2070" s="16">
        <v>2</v>
      </c>
      <c r="O2070" s="17"/>
      <c r="P2070" s="18">
        <v>43404.070185185185</v>
      </c>
      <c r="Q2070" s="7"/>
      <c r="R2070" s="7" t="s">
        <v>14063</v>
      </c>
      <c r="S2070" s="7"/>
      <c r="T2070" s="8"/>
      <c r="U2070" s="19" t="str">
        <f>HYPERLINK("https://pbs.twimg.com/profile_images/1145031598422790145/cUaUqN-Q.jpg","View")</f>
        <v>View</v>
      </c>
      <c r="V2070" s="8"/>
      <c r="W2070" s="8"/>
      <c r="X2070" s="8"/>
      <c r="Y2070" s="8"/>
      <c r="Z2070" s="8"/>
    </row>
    <row r="2071" spans="1:26" ht="12.75">
      <c r="A2071" s="11">
        <v>43747.233888888892</v>
      </c>
      <c r="B2071" s="12" t="str">
        <f>HYPERLINK("https://twitter.com/istanbulsende","@istanbulsende")</f>
        <v>@istanbulsende</v>
      </c>
      <c r="C2071" s="7" t="s">
        <v>576</v>
      </c>
      <c r="D2071" s="7" t="s">
        <v>14064</v>
      </c>
      <c r="E2071" s="12" t="str">
        <f>HYPERLINK("https://twitter.com/istanbulsende/status/1181911390384263168","1181911390384263168")</f>
        <v>1181911390384263168</v>
      </c>
      <c r="F2071" s="8"/>
      <c r="G2071" s="14" t="s">
        <v>14065</v>
      </c>
      <c r="H2071" s="8"/>
      <c r="I2071" s="15">
        <v>0</v>
      </c>
      <c r="J2071" s="15">
        <v>2</v>
      </c>
      <c r="K2071" s="12" t="str">
        <f>HYPERLINK("http://twitter.com/download/android","Twitter for Android")</f>
        <v>Twitter for Android</v>
      </c>
      <c r="L2071" s="16">
        <v>12</v>
      </c>
      <c r="M2071" s="16">
        <v>42</v>
      </c>
      <c r="N2071" s="16">
        <v>0</v>
      </c>
      <c r="O2071" s="17"/>
      <c r="P2071" s="18">
        <v>43722.213888888888</v>
      </c>
      <c r="Q2071" s="7"/>
      <c r="R2071" s="7"/>
      <c r="S2071" s="15"/>
      <c r="T2071" s="8"/>
      <c r="U2071" s="19" t="str">
        <f>HYPERLINK("https://pbs.twimg.com/profile_images/1181638033961099266/eqZ07KAw.jpg","View")</f>
        <v>View</v>
      </c>
      <c r="V2071" s="8"/>
      <c r="W2071" s="8"/>
      <c r="X2071" s="8"/>
      <c r="Y2071" s="8"/>
      <c r="Z2071" s="8"/>
    </row>
    <row r="2072" spans="1:26" ht="12.75">
      <c r="A2072" s="11">
        <v>43747.233854166669</v>
      </c>
      <c r="B2072" s="12" t="str">
        <f>HYPERLINK("https://twitter.com/evyemekleri_","@evyemekleri_")</f>
        <v>@evyemekleri_</v>
      </c>
      <c r="C2072" s="7" t="s">
        <v>14066</v>
      </c>
      <c r="D2072" s="7" t="s">
        <v>14067</v>
      </c>
      <c r="E2072" s="12" t="str">
        <f>HYPERLINK("https://twitter.com/evyemekleri_/status/1181911377046364160","1181911377046364160")</f>
        <v>1181911377046364160</v>
      </c>
      <c r="F2072" s="14" t="s">
        <v>14068</v>
      </c>
      <c r="G2072" s="15"/>
      <c r="H2072" s="8"/>
      <c r="I2072" s="15">
        <v>0</v>
      </c>
      <c r="J2072" s="15">
        <v>0</v>
      </c>
      <c r="K2072" s="12" t="str">
        <f>HYPERLINK("http://twitter.com/download/iphone","Twitter for iPhone")</f>
        <v>Twitter for iPhone</v>
      </c>
      <c r="L2072" s="16">
        <v>527</v>
      </c>
      <c r="M2072" s="16">
        <v>549</v>
      </c>
      <c r="N2072" s="16">
        <v>2</v>
      </c>
      <c r="O2072" s="17"/>
      <c r="P2072" s="18">
        <v>42250.410532407404</v>
      </c>
      <c r="Q2072" s="7"/>
      <c r="R2072" s="7"/>
      <c r="S2072" s="14" t="s">
        <v>14069</v>
      </c>
      <c r="T2072" s="8"/>
      <c r="U2072" s="19" t="str">
        <f>HYPERLINK("https://pbs.twimg.com/profile_images/884756107436191745/f77WPZhE.jpg","View")</f>
        <v>View</v>
      </c>
      <c r="V2072" s="8"/>
      <c r="W2072" s="8"/>
      <c r="X2072" s="8"/>
      <c r="Y2072" s="8"/>
      <c r="Z2072" s="8"/>
    </row>
    <row r="2073" spans="1:26" ht="12.75">
      <c r="A2073" s="11">
        <v>43747.233854166669</v>
      </c>
      <c r="B2073" s="12" t="str">
        <f>HYPERLINK("https://twitter.com/avmakyildiz06","@avmakyildiz06")</f>
        <v>@avmakyildiz06</v>
      </c>
      <c r="C2073" s="7" t="s">
        <v>14070</v>
      </c>
      <c r="D2073" s="7" t="s">
        <v>14071</v>
      </c>
      <c r="E2073" s="12" t="str">
        <f>HYPERLINK("https://twitter.com/avmakyildiz06/status/1181911375699947520","1181911375699947520")</f>
        <v>1181911375699947520</v>
      </c>
      <c r="F2073" s="8"/>
      <c r="G2073" s="15"/>
      <c r="H2073" s="8"/>
      <c r="I2073" s="15">
        <v>0</v>
      </c>
      <c r="J2073" s="15">
        <v>0</v>
      </c>
      <c r="K2073" s="12" t="str">
        <f>HYPERLINK("http://twitter.com/download/iphone","Twitter for iPhone")</f>
        <v>Twitter for iPhone</v>
      </c>
      <c r="L2073" s="16">
        <v>7</v>
      </c>
      <c r="M2073" s="16">
        <v>49</v>
      </c>
      <c r="N2073" s="16">
        <v>0</v>
      </c>
      <c r="O2073" s="17"/>
      <c r="P2073" s="18">
        <v>43746.348379629635</v>
      </c>
      <c r="Q2073" s="7"/>
      <c r="R2073" s="7"/>
      <c r="S2073" s="7"/>
      <c r="T2073" s="8"/>
      <c r="U2073" s="19" t="str">
        <f>HYPERLINK("https://pbs.twimg.com/profile_images/1181590596215070720/owNMDxfT.jpg","View")</f>
        <v>View</v>
      </c>
      <c r="V2073" s="8"/>
      <c r="W2073" s="8"/>
      <c r="X2073" s="8"/>
      <c r="Y2073" s="8"/>
      <c r="Z2073" s="8"/>
    </row>
    <row r="2074" spans="1:26" ht="12.75">
      <c r="A2074" s="11">
        <v>43747.233761574069</v>
      </c>
      <c r="B2074" s="12" t="str">
        <f>HYPERLINK("https://twitter.com/ConneeConehead1","@ConneeConehead1")</f>
        <v>@ConneeConehead1</v>
      </c>
      <c r="C2074" s="7" t="s">
        <v>14072</v>
      </c>
      <c r="D2074" s="7" t="s">
        <v>14073</v>
      </c>
      <c r="E2074" s="12" t="str">
        <f>HYPERLINK("https://twitter.com/ConneeConehead1/status/1181911341470244864","1181911341470244864")</f>
        <v>1181911341470244864</v>
      </c>
      <c r="F2074" s="14" t="s">
        <v>14074</v>
      </c>
      <c r="G2074" s="7"/>
      <c r="H2074" s="8"/>
      <c r="I2074" s="15">
        <v>0</v>
      </c>
      <c r="J2074" s="15">
        <v>2</v>
      </c>
      <c r="K2074" s="12" t="str">
        <f>HYPERLINK("https://mobile.twitter.com","Twitter Web App")</f>
        <v>Twitter Web App</v>
      </c>
      <c r="L2074" s="16">
        <v>3589</v>
      </c>
      <c r="M2074" s="16">
        <v>5001</v>
      </c>
      <c r="N2074" s="16">
        <v>2</v>
      </c>
      <c r="O2074" s="17"/>
      <c r="P2074" s="18">
        <v>41988.601435185185</v>
      </c>
      <c r="Q2074" s="7" t="s">
        <v>14075</v>
      </c>
      <c r="R2074" s="7" t="s">
        <v>14076</v>
      </c>
      <c r="S2074" s="14" t="s">
        <v>14077</v>
      </c>
      <c r="T2074" s="8"/>
      <c r="U2074" s="19" t="str">
        <f>HYPERLINK("https://pbs.twimg.com/profile_images/1140217349137678337/fwocFe1T.png","View")</f>
        <v>View</v>
      </c>
      <c r="V2074" s="8"/>
      <c r="W2074" s="8"/>
      <c r="X2074" s="8"/>
      <c r="Y2074" s="8"/>
      <c r="Z2074" s="8"/>
    </row>
    <row r="2075" spans="1:26" ht="12.75">
      <c r="A2075" s="11">
        <v>43747.233749999999</v>
      </c>
      <c r="B2075" s="12" t="str">
        <f>HYPERLINK("https://twitter.com/YavuzSu32301589","@YavuzSu32301589")</f>
        <v>@YavuzSu32301589</v>
      </c>
      <c r="C2075" s="7" t="s">
        <v>14078</v>
      </c>
      <c r="D2075" s="7" t="s">
        <v>14079</v>
      </c>
      <c r="E2075" s="12" t="str">
        <f>HYPERLINK("https://twitter.com/YavuzSu32301589/status/1181911339742171136","1181911339742171136")</f>
        <v>1181911339742171136</v>
      </c>
      <c r="F2075" s="8"/>
      <c r="G2075" s="14" t="s">
        <v>14080</v>
      </c>
      <c r="H2075" s="8"/>
      <c r="I2075" s="15">
        <v>0</v>
      </c>
      <c r="J2075" s="15">
        <v>0</v>
      </c>
      <c r="K2075" s="12" t="str">
        <f>HYPERLINK("http://twitter.com/download/android","Twitter for Android")</f>
        <v>Twitter for Android</v>
      </c>
      <c r="L2075" s="16">
        <v>43</v>
      </c>
      <c r="M2075" s="16">
        <v>117</v>
      </c>
      <c r="N2075" s="16">
        <v>0</v>
      </c>
      <c r="O2075" s="17"/>
      <c r="P2075" s="18">
        <v>43746.386759259258</v>
      </c>
      <c r="Q2075" s="7"/>
      <c r="R2075" s="7" t="s">
        <v>14081</v>
      </c>
      <c r="S2075" s="7"/>
      <c r="T2075" s="8"/>
      <c r="U2075" s="19" t="str">
        <f>HYPERLINK("https://pbs.twimg.com/profile_images/1181776135186735104/adnS4x29.jpg","View")</f>
        <v>View</v>
      </c>
      <c r="V2075" s="8"/>
      <c r="W2075" s="8"/>
      <c r="X2075" s="8"/>
      <c r="Y2075" s="8"/>
      <c r="Z2075" s="8"/>
    </row>
    <row r="2076" spans="1:26" ht="12.75">
      <c r="A2076" s="11">
        <v>43747.233622685184</v>
      </c>
      <c r="B2076" s="12" t="str">
        <f>HYPERLINK("https://twitter.com/ucubelersirki5","@ucubelersirki5")</f>
        <v>@ucubelersirki5</v>
      </c>
      <c r="C2076" s="7" t="s">
        <v>14082</v>
      </c>
      <c r="D2076" s="7" t="s">
        <v>14083</v>
      </c>
      <c r="E2076" s="12" t="str">
        <f>HYPERLINK("https://twitter.com/ucubelersirki5/status/1181911291167956992","1181911291167956992")</f>
        <v>1181911291167956992</v>
      </c>
      <c r="F2076" s="8"/>
      <c r="G2076" s="14" t="s">
        <v>14084</v>
      </c>
      <c r="H2076" s="8"/>
      <c r="I2076" s="15">
        <v>4</v>
      </c>
      <c r="J2076" s="15">
        <v>11</v>
      </c>
      <c r="K2076" s="12" t="str">
        <f>HYPERLINK("https://mobile.twitter.com","Twitter Web App")</f>
        <v>Twitter Web App</v>
      </c>
      <c r="L2076" s="16">
        <v>874</v>
      </c>
      <c r="M2076" s="16">
        <v>958</v>
      </c>
      <c r="N2076" s="16">
        <v>1</v>
      </c>
      <c r="O2076" s="17"/>
      <c r="P2076" s="18">
        <v>43544.450520833328</v>
      </c>
      <c r="Q2076" s="7"/>
      <c r="R2076" s="7"/>
      <c r="S2076" s="7"/>
      <c r="T2076" s="8"/>
      <c r="U2076" s="19" t="str">
        <f>HYPERLINK("https://pbs.twimg.com/profile_images/1148878797850251265/1PtjX2SF.jpg","View")</f>
        <v>View</v>
      </c>
      <c r="V2076" s="8"/>
      <c r="W2076" s="8"/>
      <c r="X2076" s="8"/>
      <c r="Y2076" s="8"/>
      <c r="Z2076" s="8"/>
    </row>
    <row r="2077" spans="1:26" ht="12.75">
      <c r="A2077" s="11">
        <v>43747.233576388884</v>
      </c>
      <c r="B2077" s="12" t="str">
        <f>HYPERLINK("https://twitter.com/Sertan_Birol","@Sertan_Birol")</f>
        <v>@Sertan_Birol</v>
      </c>
      <c r="C2077" s="7" t="s">
        <v>14085</v>
      </c>
      <c r="D2077" s="7" t="s">
        <v>14086</v>
      </c>
      <c r="E2077" s="12" t="str">
        <f>HYPERLINK("https://twitter.com/Sertan_Birol/status/1181911273912651776","1181911273912651776")</f>
        <v>1181911273912651776</v>
      </c>
      <c r="F2077" s="8"/>
      <c r="G2077" s="15"/>
      <c r="H2077" s="8"/>
      <c r="I2077" s="15">
        <v>0</v>
      </c>
      <c r="J2077" s="15">
        <v>2</v>
      </c>
      <c r="K2077" s="12" t="str">
        <f>HYPERLINK("http://twitter.com/download/android","Twitter for Android")</f>
        <v>Twitter for Android</v>
      </c>
      <c r="L2077" s="16">
        <v>2605</v>
      </c>
      <c r="M2077" s="16">
        <v>2841</v>
      </c>
      <c r="N2077" s="16">
        <v>2</v>
      </c>
      <c r="O2077" s="17"/>
      <c r="P2077" s="18">
        <v>40328.693981481483</v>
      </c>
      <c r="Q2077" s="7"/>
      <c r="R2077" s="7" t="s">
        <v>14087</v>
      </c>
      <c r="S2077" s="15"/>
      <c r="T2077" s="8"/>
      <c r="U2077" s="19" t="str">
        <f>HYPERLINK("https://pbs.twimg.com/profile_images/1151278658906202112/uaVZKGXJ.jpg","View")</f>
        <v>View</v>
      </c>
      <c r="V2077" s="8"/>
      <c r="W2077" s="8"/>
      <c r="X2077" s="8"/>
      <c r="Y2077" s="8"/>
      <c r="Z2077" s="8"/>
    </row>
    <row r="2078" spans="1:26" ht="12.75">
      <c r="A2078" s="11">
        <v>43747.233483796299</v>
      </c>
      <c r="B2078" s="12" t="str">
        <f>HYPERLINK("https://twitter.com/erenficii","@erenficii")</f>
        <v>@erenficii</v>
      </c>
      <c r="C2078" s="7" t="s">
        <v>14088</v>
      </c>
      <c r="D2078" s="7" t="s">
        <v>160</v>
      </c>
      <c r="E2078" s="12" t="str">
        <f>HYPERLINK("https://twitter.com/erenficii/status/1181911242337857536","1181911242337857536")</f>
        <v>1181911242337857536</v>
      </c>
      <c r="F2078" s="8"/>
      <c r="G2078" s="7"/>
      <c r="H2078" s="8"/>
      <c r="I2078" s="15">
        <v>0</v>
      </c>
      <c r="J2078" s="15">
        <v>0</v>
      </c>
      <c r="K2078" s="12" t="str">
        <f>HYPERLINK("http://twitter.com/download/iphone","Twitter for iPhone")</f>
        <v>Twitter for iPhone</v>
      </c>
      <c r="L2078" s="16">
        <v>15</v>
      </c>
      <c r="M2078" s="16">
        <v>39</v>
      </c>
      <c r="N2078" s="16">
        <v>0</v>
      </c>
      <c r="O2078" s="17"/>
      <c r="P2078" s="18">
        <v>43441.147361111114</v>
      </c>
      <c r="Q2078" s="7"/>
      <c r="R2078" s="7"/>
      <c r="S2078" s="15"/>
      <c r="T2078" s="8"/>
      <c r="U2078" s="19" t="str">
        <f>HYPERLINK("https://pbs.twimg.com/profile_images/1071131161559269378/lSheTlxH.jpg","View")</f>
        <v>View</v>
      </c>
      <c r="V2078" s="8"/>
      <c r="W2078" s="8"/>
      <c r="X2078" s="8"/>
      <c r="Y2078" s="8"/>
      <c r="Z2078" s="8"/>
    </row>
    <row r="2079" spans="1:26" ht="12.75">
      <c r="A2079" s="11">
        <v>43747.233414351853</v>
      </c>
      <c r="B2079" s="12" t="str">
        <f>HYPERLINK("https://twitter.com/erdogan__reis","@erdogan__reis")</f>
        <v>@erdogan__reis</v>
      </c>
      <c r="C2079" s="7" t="s">
        <v>14089</v>
      </c>
      <c r="D2079" s="7" t="s">
        <v>14090</v>
      </c>
      <c r="E2079" s="12" t="str">
        <f>HYPERLINK("https://twitter.com/erdogan__reis/status/1181911217520160768","1181911217520160768")</f>
        <v>1181911217520160768</v>
      </c>
      <c r="F2079" s="8"/>
      <c r="G2079" s="14" t="s">
        <v>14091</v>
      </c>
      <c r="H2079" s="8"/>
      <c r="I2079" s="15">
        <v>1</v>
      </c>
      <c r="J2079" s="15">
        <v>3</v>
      </c>
      <c r="K2079" s="12" t="str">
        <f>HYPERLINK("http://twitter.com/download/iphone","Twitter for iPhone")</f>
        <v>Twitter for iPhone</v>
      </c>
      <c r="L2079" s="16">
        <v>3916</v>
      </c>
      <c r="M2079" s="16">
        <v>3</v>
      </c>
      <c r="N2079" s="16">
        <v>1</v>
      </c>
      <c r="O2079" s="17"/>
      <c r="P2079" s="18">
        <v>43054.274456018524</v>
      </c>
      <c r="Q2079" s="7"/>
      <c r="R2079" s="7" t="s">
        <v>14092</v>
      </c>
      <c r="S2079" s="7"/>
      <c r="T2079" s="8"/>
      <c r="U2079" s="19" t="str">
        <f>HYPERLINK("https://pbs.twimg.com/profile_images/1148109072354480128/mcw8sxyk.jpg","View")</f>
        <v>View</v>
      </c>
      <c r="V2079" s="8"/>
      <c r="W2079" s="8"/>
      <c r="X2079" s="8"/>
      <c r="Y2079" s="8"/>
      <c r="Z2079" s="8"/>
    </row>
    <row r="2080" spans="1:26" ht="12.75">
      <c r="A2080" s="11">
        <v>43747.233275462961</v>
      </c>
      <c r="B2080" s="12" t="str">
        <f>HYPERLINK("https://twitter.com/neobatlamyus","@neobatlamyus")</f>
        <v>@neobatlamyus</v>
      </c>
      <c r="C2080" s="7" t="s">
        <v>14093</v>
      </c>
      <c r="D2080" s="7" t="s">
        <v>14094</v>
      </c>
      <c r="E2080" s="12" t="str">
        <f>HYPERLINK("https://twitter.com/neobatlamyus/status/1181911165380780034","1181911165380780034")</f>
        <v>1181911165380780034</v>
      </c>
      <c r="F2080" s="8"/>
      <c r="G2080" s="14" t="s">
        <v>14095</v>
      </c>
      <c r="H2080" s="8"/>
      <c r="I2080" s="15">
        <v>0</v>
      </c>
      <c r="J2080" s="15">
        <v>0</v>
      </c>
      <c r="K2080" s="12" t="str">
        <f>HYPERLINK("https://mobile.twitter.com","Twitter Web App")</f>
        <v>Twitter Web App</v>
      </c>
      <c r="L2080" s="16">
        <v>240</v>
      </c>
      <c r="M2080" s="16">
        <v>250</v>
      </c>
      <c r="N2080" s="16">
        <v>0</v>
      </c>
      <c r="O2080" s="17"/>
      <c r="P2080" s="18">
        <v>40741.168645833335</v>
      </c>
      <c r="Q2080" s="7" t="s">
        <v>14096</v>
      </c>
      <c r="R2080" s="7" t="s">
        <v>14097</v>
      </c>
      <c r="S2080" s="7"/>
      <c r="T2080" s="8"/>
      <c r="U2080" s="19" t="str">
        <f>HYPERLINK("https://pbs.twimg.com/profile_images/1124339496600920069/VcrHt_yY.jpg","View")</f>
        <v>View</v>
      </c>
      <c r="V2080" s="8"/>
      <c r="W2080" s="8"/>
      <c r="X2080" s="8"/>
      <c r="Y2080" s="8"/>
      <c r="Z2080" s="8"/>
    </row>
    <row r="2081" spans="1:26" ht="12.75">
      <c r="A2081" s="11">
        <v>43747.233229166668</v>
      </c>
      <c r="B2081" s="12" t="str">
        <f>HYPERLINK("https://twitter.com/EsterDee55","@EsterDee55")</f>
        <v>@EsterDee55</v>
      </c>
      <c r="C2081" s="7" t="s">
        <v>14098</v>
      </c>
      <c r="D2081" s="7" t="s">
        <v>14099</v>
      </c>
      <c r="E2081" s="12" t="str">
        <f>HYPERLINK("https://twitter.com/EsterDee55/status/1181911151103348741","1181911151103348741")</f>
        <v>1181911151103348741</v>
      </c>
      <c r="F2081" s="8"/>
      <c r="G2081" s="7"/>
      <c r="H2081" s="8"/>
      <c r="I2081" s="15">
        <v>0</v>
      </c>
      <c r="J2081" s="15">
        <v>1</v>
      </c>
      <c r="K2081" s="12" t="str">
        <f>HYPERLINK("http://twitter.com/download/android","Twitter for Android")</f>
        <v>Twitter for Android</v>
      </c>
      <c r="L2081" s="16">
        <v>4131</v>
      </c>
      <c r="M2081" s="16">
        <v>3908</v>
      </c>
      <c r="N2081" s="16">
        <v>3</v>
      </c>
      <c r="O2081" s="17"/>
      <c r="P2081" s="18">
        <v>41427.616377314815</v>
      </c>
      <c r="Q2081" s="7"/>
      <c r="R2081" s="7" t="s">
        <v>14100</v>
      </c>
      <c r="S2081" s="7"/>
      <c r="T2081" s="8"/>
      <c r="U2081" s="19" t="str">
        <f>HYPERLINK("https://pbs.twimg.com/profile_images/1150997224966500352/VgL4AAGV.jpg","View")</f>
        <v>View</v>
      </c>
      <c r="V2081" s="8"/>
      <c r="W2081" s="8"/>
      <c r="X2081" s="8"/>
      <c r="Y2081" s="8"/>
      <c r="Z2081" s="8"/>
    </row>
    <row r="2082" spans="1:26" ht="12.75">
      <c r="A2082" s="11">
        <v>43747.233194444445</v>
      </c>
      <c r="B2082" s="12" t="str">
        <f>HYPERLINK("https://twitter.com/HocaYuksel","@HocaYuksel")</f>
        <v>@HocaYuksel</v>
      </c>
      <c r="C2082" s="7" t="s">
        <v>14101</v>
      </c>
      <c r="D2082" s="7" t="s">
        <v>14102</v>
      </c>
      <c r="E2082" s="12" t="str">
        <f>HYPERLINK("https://twitter.com/HocaYuksel/status/1181911134733029377","1181911134733029377")</f>
        <v>1181911134733029377</v>
      </c>
      <c r="F2082" s="8"/>
      <c r="G2082" s="7"/>
      <c r="H2082" s="8"/>
      <c r="I2082" s="15">
        <v>0</v>
      </c>
      <c r="J2082" s="15">
        <v>1</v>
      </c>
      <c r="K2082" s="12" t="str">
        <f>HYPERLINK("https://mobile.twitter.com","Twitter Web App")</f>
        <v>Twitter Web App</v>
      </c>
      <c r="L2082" s="16">
        <v>13</v>
      </c>
      <c r="M2082" s="16">
        <v>69</v>
      </c>
      <c r="N2082" s="16">
        <v>0</v>
      </c>
      <c r="O2082" s="17"/>
      <c r="P2082" s="18">
        <v>43747.007881944446</v>
      </c>
      <c r="Q2082" s="7"/>
      <c r="R2082" s="7"/>
      <c r="S2082" s="15"/>
      <c r="T2082" s="8"/>
      <c r="U2082" s="20" t="s">
        <v>354</v>
      </c>
      <c r="V2082" s="8"/>
      <c r="W2082" s="8"/>
      <c r="X2082" s="8"/>
      <c r="Y2082" s="8"/>
      <c r="Z2082" s="8"/>
    </row>
    <row r="2083" spans="1:26" ht="12.75">
      <c r="A2083" s="11">
        <v>43747.233101851853</v>
      </c>
      <c r="B2083" s="12" t="str">
        <f>HYPERLINK("https://twitter.com/rumeysaseviinc","@rumeysaseviinc")</f>
        <v>@rumeysaseviinc</v>
      </c>
      <c r="C2083" s="7" t="s">
        <v>14103</v>
      </c>
      <c r="D2083" s="7" t="s">
        <v>14104</v>
      </c>
      <c r="E2083" s="12" t="str">
        <f>HYPERLINK("https://twitter.com/rumeysaseviinc/status/1181911101421821953","1181911101421821953")</f>
        <v>1181911101421821953</v>
      </c>
      <c r="F2083" s="8"/>
      <c r="G2083" s="15"/>
      <c r="H2083" s="8"/>
      <c r="I2083" s="15">
        <v>0</v>
      </c>
      <c r="J2083" s="15">
        <v>0</v>
      </c>
      <c r="K2083" s="12" t="str">
        <f>HYPERLINK("http://twitter.com/download/iphone","Twitter for iPhone")</f>
        <v>Twitter for iPhone</v>
      </c>
      <c r="L2083" s="16">
        <v>50</v>
      </c>
      <c r="M2083" s="16">
        <v>94</v>
      </c>
      <c r="N2083" s="16">
        <v>0</v>
      </c>
      <c r="O2083" s="17"/>
      <c r="P2083" s="18">
        <v>43705.635462962964</v>
      </c>
      <c r="Q2083" s="7" t="s">
        <v>69</v>
      </c>
      <c r="R2083" s="7" t="s">
        <v>14105</v>
      </c>
      <c r="S2083" s="14" t="s">
        <v>14106</v>
      </c>
      <c r="T2083" s="8"/>
      <c r="U2083" s="19" t="str">
        <f>HYPERLINK("https://pbs.twimg.com/profile_images/1176618490507223041/bdC27Ri4.jpg","View")</f>
        <v>View</v>
      </c>
      <c r="V2083" s="8"/>
      <c r="W2083" s="8"/>
      <c r="X2083" s="8"/>
      <c r="Y2083" s="8"/>
      <c r="Z2083" s="8"/>
    </row>
    <row r="2084" spans="1:26" ht="12.75">
      <c r="A2084" s="11">
        <v>43747.23302083333</v>
      </c>
      <c r="B2084" s="12" t="str">
        <f>HYPERLINK("https://twitter.com/israfilyalcin19","@israfilyalcin19")</f>
        <v>@israfilyalcin19</v>
      </c>
      <c r="C2084" s="7" t="s">
        <v>14107</v>
      </c>
      <c r="D2084" s="7" t="s">
        <v>14108</v>
      </c>
      <c r="E2084" s="12" t="str">
        <f>HYPERLINK("https://twitter.com/israfilyalcin19/status/1181911075358425088","1181911075358425088")</f>
        <v>1181911075358425088</v>
      </c>
      <c r="F2084" s="8"/>
      <c r="G2084" s="14" t="s">
        <v>14109</v>
      </c>
      <c r="H2084" s="8"/>
      <c r="I2084" s="15">
        <v>0</v>
      </c>
      <c r="J2084" s="15">
        <v>3</v>
      </c>
      <c r="K2084" s="12" t="str">
        <f>HYPERLINK("http://twitter.com/download/android","Twitter for Android")</f>
        <v>Twitter for Android</v>
      </c>
      <c r="L2084" s="16">
        <v>297</v>
      </c>
      <c r="M2084" s="16">
        <v>576</v>
      </c>
      <c r="N2084" s="16">
        <v>0</v>
      </c>
      <c r="O2084" s="17"/>
      <c r="P2084" s="18">
        <v>42209.134664351848</v>
      </c>
      <c r="Q2084" s="7" t="s">
        <v>14110</v>
      </c>
      <c r="R2084" s="7" t="s">
        <v>14111</v>
      </c>
      <c r="S2084" s="7"/>
      <c r="T2084" s="8"/>
      <c r="U2084" s="19" t="str">
        <f>HYPERLINK("https://pbs.twimg.com/profile_images/669621791296503808/5fQo2VRT.jpg","View")</f>
        <v>View</v>
      </c>
      <c r="V2084" s="8"/>
      <c r="W2084" s="8"/>
      <c r="X2084" s="8"/>
      <c r="Y2084" s="8"/>
      <c r="Z2084" s="8"/>
    </row>
    <row r="2085" spans="1:26" ht="12.75">
      <c r="A2085" s="11">
        <v>43747.232974537037</v>
      </c>
      <c r="B2085" s="12" t="str">
        <f>HYPERLINK("https://twitter.com/mbugrahankilic","@mbugrahankilic")</f>
        <v>@mbugrahankilic</v>
      </c>
      <c r="C2085" s="7" t="s">
        <v>14112</v>
      </c>
      <c r="D2085" s="7" t="s">
        <v>14113</v>
      </c>
      <c r="E2085" s="12" t="str">
        <f>HYPERLINK("https://twitter.com/mbugrahankilic/status/1181911056358219779","1181911056358219779")</f>
        <v>1181911056358219779</v>
      </c>
      <c r="F2085" s="8"/>
      <c r="G2085" s="14" t="s">
        <v>14114</v>
      </c>
      <c r="H2085" s="8"/>
      <c r="I2085" s="15">
        <v>0</v>
      </c>
      <c r="J2085" s="15">
        <v>0</v>
      </c>
      <c r="K2085" s="12" t="str">
        <f>HYPERLINK("http://twitter.com/download/android","Twitter for Android")</f>
        <v>Twitter for Android</v>
      </c>
      <c r="L2085" s="16">
        <v>278</v>
      </c>
      <c r="M2085" s="16">
        <v>93</v>
      </c>
      <c r="N2085" s="16">
        <v>4</v>
      </c>
      <c r="O2085" s="17"/>
      <c r="P2085" s="18">
        <v>41389.337175925924</v>
      </c>
      <c r="Q2085" s="7" t="s">
        <v>14115</v>
      </c>
      <c r="R2085" s="7" t="s">
        <v>14116</v>
      </c>
      <c r="S2085" s="14" t="s">
        <v>14117</v>
      </c>
      <c r="T2085" s="8"/>
      <c r="U2085" s="19" t="str">
        <f>HYPERLINK("https://pbs.twimg.com/profile_images/705835869559791616/Sqs94LgT.jpg","View")</f>
        <v>View</v>
      </c>
      <c r="V2085" s="8"/>
      <c r="W2085" s="8"/>
      <c r="X2085" s="8"/>
      <c r="Y2085" s="8"/>
      <c r="Z2085" s="8"/>
    </row>
    <row r="2086" spans="1:26" ht="12.75">
      <c r="A2086" s="11">
        <v>43747.232928240745</v>
      </c>
      <c r="B2086" s="12" t="str">
        <f>HYPERLINK("https://twitter.com/erdurak_aysenaz","@erdurak_aysenaz")</f>
        <v>@erdurak_aysenaz</v>
      </c>
      <c r="C2086" s="7" t="s">
        <v>14118</v>
      </c>
      <c r="D2086" s="21" t="s">
        <v>14119</v>
      </c>
      <c r="E2086" s="12" t="str">
        <f>HYPERLINK("https://twitter.com/erdurak_aysenaz/status/1181911039484542976","1181911039484542976")</f>
        <v>1181911039484542976</v>
      </c>
      <c r="F2086" s="8"/>
      <c r="G2086" s="14" t="s">
        <v>14120</v>
      </c>
      <c r="H2086" s="8"/>
      <c r="I2086" s="15">
        <v>0</v>
      </c>
      <c r="J2086" s="15">
        <v>0</v>
      </c>
      <c r="K2086" s="12" t="str">
        <f>HYPERLINK("http://twitter.com","Twitter Web Client")</f>
        <v>Twitter Web Client</v>
      </c>
      <c r="L2086" s="16">
        <v>14</v>
      </c>
      <c r="M2086" s="16">
        <v>0</v>
      </c>
      <c r="N2086" s="16">
        <v>0</v>
      </c>
      <c r="O2086" s="17"/>
      <c r="P2086" s="18">
        <v>43661.064976851849</v>
      </c>
      <c r="Q2086" s="7"/>
      <c r="R2086" s="7"/>
      <c r="S2086" s="15"/>
      <c r="T2086" s="8"/>
      <c r="U2086" s="20" t="s">
        <v>354</v>
      </c>
      <c r="V2086" s="8"/>
      <c r="W2086" s="8"/>
      <c r="X2086" s="8"/>
      <c r="Y2086" s="8"/>
      <c r="Z2086" s="8"/>
    </row>
    <row r="2087" spans="1:26" ht="12.75">
      <c r="A2087" s="11">
        <v>43747.232835648145</v>
      </c>
      <c r="B2087" s="12" t="str">
        <f>HYPERLINK("https://twitter.com/gulbahar_goktas","@gulbahar_goktas")</f>
        <v>@gulbahar_goktas</v>
      </c>
      <c r="C2087" s="7" t="s">
        <v>14121</v>
      </c>
      <c r="D2087" s="7" t="s">
        <v>9019</v>
      </c>
      <c r="E2087" s="12" t="str">
        <f>HYPERLINK("https://twitter.com/gulbahar_goktas/status/1181911004625670146","1181911004625670146")</f>
        <v>1181911004625670146</v>
      </c>
      <c r="F2087" s="8"/>
      <c r="G2087" s="15"/>
      <c r="H2087" s="8"/>
      <c r="I2087" s="15">
        <v>0</v>
      </c>
      <c r="J2087" s="15">
        <v>0</v>
      </c>
      <c r="K2087" s="12" t="str">
        <f>HYPERLINK("http://twitter.com/download/android","Twitter for Android")</f>
        <v>Twitter for Android</v>
      </c>
      <c r="L2087" s="16">
        <v>9</v>
      </c>
      <c r="M2087" s="16">
        <v>13</v>
      </c>
      <c r="N2087" s="16">
        <v>0</v>
      </c>
      <c r="O2087" s="17"/>
      <c r="P2087" s="18">
        <v>43651.602488425924</v>
      </c>
      <c r="Q2087" s="7"/>
      <c r="R2087" s="7"/>
      <c r="S2087" s="7"/>
      <c r="T2087" s="8"/>
      <c r="U2087" s="19" t="str">
        <f>HYPERLINK("https://pbs.twimg.com/profile_images/1163797421631135744/EDu-CuCf.jpg","View")</f>
        <v>View</v>
      </c>
      <c r="V2087" s="8"/>
      <c r="W2087" s="8"/>
      <c r="X2087" s="8"/>
      <c r="Y2087" s="8"/>
      <c r="Z2087" s="8"/>
    </row>
    <row r="2088" spans="1:26" ht="12.75">
      <c r="A2088" s="11">
        <v>43747.232766203699</v>
      </c>
      <c r="B2088" s="12" t="str">
        <f>HYPERLINK("https://twitter.com/tearsofanubis","@tearsofanubis")</f>
        <v>@tearsofanubis</v>
      </c>
      <c r="C2088" s="7" t="s">
        <v>14122</v>
      </c>
      <c r="D2088" s="7" t="s">
        <v>14123</v>
      </c>
      <c r="E2088" s="12" t="str">
        <f>HYPERLINK("https://twitter.com/tearsofanubis/status/1181910981246627840","1181910981246627840")</f>
        <v>1181910981246627840</v>
      </c>
      <c r="F2088" s="8"/>
      <c r="G2088" s="15"/>
      <c r="H2088" s="8"/>
      <c r="I2088" s="15">
        <v>0</v>
      </c>
      <c r="J2088" s="15">
        <v>0</v>
      </c>
      <c r="K2088" s="12" t="str">
        <f>HYPERLINK("http://twitter.com/download/android","Twitter for Android")</f>
        <v>Twitter for Android</v>
      </c>
      <c r="L2088" s="16">
        <v>13</v>
      </c>
      <c r="M2088" s="16">
        <v>49</v>
      </c>
      <c r="N2088" s="16">
        <v>0</v>
      </c>
      <c r="O2088" s="17"/>
      <c r="P2088" s="18">
        <v>43491.27548611111</v>
      </c>
      <c r="Q2088" s="7"/>
      <c r="R2088" s="7" t="s">
        <v>14124</v>
      </c>
      <c r="S2088" s="7"/>
      <c r="T2088" s="8"/>
      <c r="U2088" s="19" t="str">
        <f>HYPERLINK("https://pbs.twimg.com/profile_images/1114225841855246336/Fz1M3BxT.jpg","View")</f>
        <v>View</v>
      </c>
      <c r="V2088" s="8"/>
      <c r="W2088" s="8"/>
      <c r="X2088" s="8"/>
      <c r="Y2088" s="8"/>
      <c r="Z2088" s="8"/>
    </row>
    <row r="2089" spans="1:26" ht="12.75">
      <c r="A2089" s="11">
        <v>43747.23274305556</v>
      </c>
      <c r="B2089" s="12" t="str">
        <f>HYPERLINK("https://twitter.com/06muhtesem06","@06muhtesem06")</f>
        <v>@06muhtesem06</v>
      </c>
      <c r="C2089" s="7" t="s">
        <v>14125</v>
      </c>
      <c r="D2089" s="7" t="s">
        <v>14126</v>
      </c>
      <c r="E2089" s="12" t="str">
        <f>HYPERLINK("https://twitter.com/06muhtesem06/status/1181910972165959681","1181910972165959681")</f>
        <v>1181910972165959681</v>
      </c>
      <c r="F2089" s="8"/>
      <c r="G2089" s="15"/>
      <c r="H2089" s="8"/>
      <c r="I2089" s="15">
        <v>5</v>
      </c>
      <c r="J2089" s="15">
        <v>15</v>
      </c>
      <c r="K2089" s="12" t="str">
        <f>HYPERLINK("https://mobile.twitter.com","Twitter Web App")</f>
        <v>Twitter Web App</v>
      </c>
      <c r="L2089" s="16">
        <v>7186</v>
      </c>
      <c r="M2089" s="16">
        <v>4602</v>
      </c>
      <c r="N2089" s="16">
        <v>13</v>
      </c>
      <c r="O2089" s="17"/>
      <c r="P2089" s="18">
        <v>42455.749826388885</v>
      </c>
      <c r="Q2089" s="7"/>
      <c r="R2089" s="7" t="s">
        <v>14127</v>
      </c>
      <c r="S2089" s="14" t="s">
        <v>14128</v>
      </c>
      <c r="T2089" s="8"/>
      <c r="U2089" s="19" t="str">
        <f>HYPERLINK("https://pbs.twimg.com/profile_images/1136074783181934592/o5uk3qvo.png","View")</f>
        <v>View</v>
      </c>
      <c r="V2089" s="8"/>
      <c r="W2089" s="8"/>
      <c r="X2089" s="8"/>
      <c r="Y2089" s="8"/>
      <c r="Z2089" s="8"/>
    </row>
    <row r="2090" spans="1:26" ht="12.75">
      <c r="A2090" s="11">
        <v>43747.232719907406</v>
      </c>
      <c r="B2090" s="12" t="str">
        <f>HYPERLINK("https://twitter.com/_fenerbahceli06","@_fenerbahceli06")</f>
        <v>@_fenerbahceli06</v>
      </c>
      <c r="C2090" s="7" t="s">
        <v>14129</v>
      </c>
      <c r="D2090" s="7" t="s">
        <v>14130</v>
      </c>
      <c r="E2090" s="12" t="str">
        <f>HYPERLINK("https://twitter.com/_fenerbahceli06/status/1181910964440047617","1181910964440047617")</f>
        <v>1181910964440047617</v>
      </c>
      <c r="F2090" s="8"/>
      <c r="G2090" s="14" t="s">
        <v>14131</v>
      </c>
      <c r="H2090" s="8"/>
      <c r="I2090" s="15">
        <v>0</v>
      </c>
      <c r="J2090" s="15">
        <v>0</v>
      </c>
      <c r="K2090" s="12" t="str">
        <f>HYPERLINK("http://twitter.com/download/iphone","Twitter for iPhone")</f>
        <v>Twitter for iPhone</v>
      </c>
      <c r="L2090" s="16">
        <v>497</v>
      </c>
      <c r="M2090" s="16">
        <v>476</v>
      </c>
      <c r="N2090" s="16">
        <v>3</v>
      </c>
      <c r="O2090" s="17"/>
      <c r="P2090" s="18">
        <v>40783.173495370371</v>
      </c>
      <c r="Q2090" s="7" t="s">
        <v>287</v>
      </c>
      <c r="R2090" s="7" t="s">
        <v>14132</v>
      </c>
      <c r="S2090" s="14" t="s">
        <v>14133</v>
      </c>
      <c r="T2090" s="8"/>
      <c r="U2090" s="19" t="str">
        <f>HYPERLINK("https://pbs.twimg.com/profile_images/1011222614046658561/2O7ZOUWV.jpg","View")</f>
        <v>View</v>
      </c>
      <c r="V2090" s="8"/>
      <c r="W2090" s="8"/>
      <c r="X2090" s="8"/>
      <c r="Y2090" s="8"/>
      <c r="Z2090" s="8"/>
    </row>
    <row r="2091" spans="1:26" ht="12.75">
      <c r="A2091" s="11">
        <v>43747.232465277775</v>
      </c>
      <c r="B2091" s="12" t="str">
        <f>HYPERLINK("https://twitter.com/olgn035","@olgn035")</f>
        <v>@olgn035</v>
      </c>
      <c r="C2091" s="7" t="s">
        <v>14134</v>
      </c>
      <c r="D2091" s="7" t="s">
        <v>14135</v>
      </c>
      <c r="E2091" s="12" t="str">
        <f>HYPERLINK("https://twitter.com/olgn035/status/1181910873360740353","1181910873360740353")</f>
        <v>1181910873360740353</v>
      </c>
      <c r="F2091" s="15"/>
      <c r="G2091" s="15"/>
      <c r="H2091" s="8"/>
      <c r="I2091" s="15">
        <v>0</v>
      </c>
      <c r="J2091" s="15">
        <v>1</v>
      </c>
      <c r="K2091" s="12" t="str">
        <f>HYPERLINK("http://twitter.com/download/android","Twitter for Android")</f>
        <v>Twitter for Android</v>
      </c>
      <c r="L2091" s="16">
        <v>324</v>
      </c>
      <c r="M2091" s="16">
        <v>333</v>
      </c>
      <c r="N2091" s="16">
        <v>1</v>
      </c>
      <c r="O2091" s="20"/>
      <c r="P2091" s="18">
        <v>41203.551782407405</v>
      </c>
      <c r="Q2091" s="7" t="s">
        <v>80</v>
      </c>
      <c r="R2091" s="7" t="s">
        <v>14136</v>
      </c>
      <c r="S2091" s="15"/>
      <c r="T2091" s="8"/>
      <c r="U2091" s="19" t="str">
        <f>HYPERLINK("https://pbs.twimg.com/profile_images/1179507074268618757/e5Y7O7D-.jpg","View")</f>
        <v>View</v>
      </c>
      <c r="V2091" s="8"/>
      <c r="W2091" s="8"/>
      <c r="X2091" s="8"/>
      <c r="Y2091" s="8"/>
      <c r="Z2091" s="8"/>
    </row>
    <row r="2092" spans="1:26" ht="12.75">
      <c r="A2092" s="11">
        <v>43747.232233796298</v>
      </c>
      <c r="B2092" s="12" t="str">
        <f>HYPERLINK("https://twitter.com/MustafAczmendi","@MustafAczmendi")</f>
        <v>@MustafAczmendi</v>
      </c>
      <c r="C2092" s="7" t="s">
        <v>14137</v>
      </c>
      <c r="D2092" s="7" t="s">
        <v>14138</v>
      </c>
      <c r="E2092" s="12" t="str">
        <f>HYPERLINK("https://twitter.com/MustafAczmendi/status/1181910790464528384","1181910790464528384")</f>
        <v>1181910790464528384</v>
      </c>
      <c r="F2092" s="14" t="s">
        <v>14139</v>
      </c>
      <c r="G2092" s="14" t="s">
        <v>14140</v>
      </c>
      <c r="H2092" s="8"/>
      <c r="I2092" s="15">
        <v>1</v>
      </c>
      <c r="J2092" s="15">
        <v>1</v>
      </c>
      <c r="K2092" s="12" t="str">
        <f>HYPERLINK("https://mobile.twitter.com","Twitter Web App")</f>
        <v>Twitter Web App</v>
      </c>
      <c r="L2092" s="16">
        <v>3139</v>
      </c>
      <c r="M2092" s="16">
        <v>3092</v>
      </c>
      <c r="N2092" s="16">
        <v>0</v>
      </c>
      <c r="O2092" s="17"/>
      <c r="P2092" s="18">
        <v>43179.103217592594</v>
      </c>
      <c r="Q2092" s="13" t="s">
        <v>313</v>
      </c>
      <c r="R2092" s="7" t="s">
        <v>14141</v>
      </c>
      <c r="S2092" s="7" t="s">
        <v>14142</v>
      </c>
      <c r="T2092" s="8"/>
      <c r="U2092" s="19" t="str">
        <f>HYPERLINK("https://pbs.twimg.com/profile_images/1165922807684960257/rZ3MaAbv.jpg","View")</f>
        <v>View</v>
      </c>
      <c r="V2092" s="8"/>
      <c r="W2092" s="8"/>
      <c r="X2092" s="8"/>
      <c r="Y2092" s="8"/>
      <c r="Z2092" s="8"/>
    </row>
    <row r="2093" spans="1:26" ht="12.75">
      <c r="A2093" s="11">
        <v>43747.232222222221</v>
      </c>
      <c r="B2093" s="12" t="str">
        <f>HYPERLINK("https://twitter.com/isimsoy68764960","@isimsoy68764960")</f>
        <v>@isimsoy68764960</v>
      </c>
      <c r="C2093" s="7" t="s">
        <v>14143</v>
      </c>
      <c r="D2093" s="7" t="s">
        <v>14144</v>
      </c>
      <c r="E2093" s="12" t="str">
        <f>HYPERLINK("https://twitter.com/isimsoy68764960/status/1181910784034689024","1181910784034689024")</f>
        <v>1181910784034689024</v>
      </c>
      <c r="F2093" s="8"/>
      <c r="G2093" s="14" t="s">
        <v>14145</v>
      </c>
      <c r="H2093" s="8"/>
      <c r="I2093" s="15">
        <v>0</v>
      </c>
      <c r="J2093" s="15">
        <v>0</v>
      </c>
      <c r="K2093" s="12" t="str">
        <f>HYPERLINK("http://twitter.com","Twitter Web Client")</f>
        <v>Twitter Web Client</v>
      </c>
      <c r="L2093" s="16">
        <v>5</v>
      </c>
      <c r="M2093" s="16">
        <v>0</v>
      </c>
      <c r="N2093" s="16">
        <v>0</v>
      </c>
      <c r="O2093" s="17"/>
      <c r="P2093" s="18">
        <v>43600.434872685189</v>
      </c>
      <c r="Q2093" s="7" t="s">
        <v>5418</v>
      </c>
      <c r="R2093" s="7" t="s">
        <v>14146</v>
      </c>
      <c r="S2093" s="7"/>
      <c r="T2093" s="8"/>
      <c r="U2093" s="19" t="str">
        <f>HYPERLINK("https://pbs.twimg.com/profile_images/1130845239277572099/YSnRRHpq.jpg","View")</f>
        <v>View</v>
      </c>
      <c r="V2093" s="8"/>
      <c r="W2093" s="8"/>
      <c r="X2093" s="8"/>
      <c r="Y2093" s="8"/>
      <c r="Z2093" s="8"/>
    </row>
    <row r="2094" spans="1:26" ht="12.75">
      <c r="A2094" s="11">
        <v>43747.232210648144</v>
      </c>
      <c r="B2094" s="12" t="str">
        <f>HYPERLINK("https://twitter.com/jagmaxx06","@jagmaxx06")</f>
        <v>@jagmaxx06</v>
      </c>
      <c r="C2094" s="7" t="s">
        <v>14147</v>
      </c>
      <c r="D2094" s="7" t="s">
        <v>14148</v>
      </c>
      <c r="E2094" s="12" t="str">
        <f>HYPERLINK("https://twitter.com/jagmaxx06/status/1181910781878779904","1181910781878779904")</f>
        <v>1181910781878779904</v>
      </c>
      <c r="F2094" s="8"/>
      <c r="G2094" s="14" t="s">
        <v>14149</v>
      </c>
      <c r="H2094" s="8"/>
      <c r="I2094" s="15">
        <v>0</v>
      </c>
      <c r="J2094" s="15">
        <v>1</v>
      </c>
      <c r="K2094" s="12" t="str">
        <f>HYPERLINK("http://twitter.com/download/android","Twitter for Android")</f>
        <v>Twitter for Android</v>
      </c>
      <c r="L2094" s="16">
        <v>27</v>
      </c>
      <c r="M2094" s="16">
        <v>94</v>
      </c>
      <c r="N2094" s="16">
        <v>0</v>
      </c>
      <c r="O2094" s="17"/>
      <c r="P2094" s="18">
        <v>42035.213680555556</v>
      </c>
      <c r="Q2094" s="7"/>
      <c r="R2094" s="7"/>
      <c r="S2094" s="7"/>
      <c r="T2094" s="8"/>
      <c r="U2094" s="19" t="str">
        <f>HYPERLINK("https://pbs.twimg.com/profile_images/609434266863333377/1rs64sCb.jpg","View")</f>
        <v>View</v>
      </c>
      <c r="V2094" s="8"/>
      <c r="W2094" s="8"/>
      <c r="X2094" s="8"/>
      <c r="Y2094" s="8"/>
      <c r="Z2094" s="8"/>
    </row>
    <row r="2095" spans="1:26" ht="12.75">
      <c r="A2095" s="11">
        <v>43747.232152777782</v>
      </c>
      <c r="B2095" s="12" t="str">
        <f>HYPERLINK("https://twitter.com/DnenAda20851579","@DnenAda20851579")</f>
        <v>@DnenAda20851579</v>
      </c>
      <c r="C2095" s="7" t="s">
        <v>14150</v>
      </c>
      <c r="D2095" s="7" t="s">
        <v>160</v>
      </c>
      <c r="E2095" s="12" t="str">
        <f>HYPERLINK("https://twitter.com/DnenAda20851579/status/1181910761142149120","1181910761142149120")</f>
        <v>1181910761142149120</v>
      </c>
      <c r="F2095" s="8"/>
      <c r="G2095" s="14" t="s">
        <v>14151</v>
      </c>
      <c r="H2095" s="8"/>
      <c r="I2095" s="15">
        <v>0</v>
      </c>
      <c r="J2095" s="15">
        <v>0</v>
      </c>
      <c r="K2095" s="12" t="str">
        <f>HYPERLINK("http://twitter.com/download/android","Twitter for Android")</f>
        <v>Twitter for Android</v>
      </c>
      <c r="L2095" s="16">
        <v>3</v>
      </c>
      <c r="M2095" s="16">
        <v>108</v>
      </c>
      <c r="N2095" s="16">
        <v>0</v>
      </c>
      <c r="O2095" s="17"/>
      <c r="P2095" s="18">
        <v>43739.068125000005</v>
      </c>
      <c r="Q2095" s="7"/>
      <c r="R2095" s="7" t="s">
        <v>14152</v>
      </c>
      <c r="S2095" s="7"/>
      <c r="T2095" s="8"/>
      <c r="U2095" s="19" t="str">
        <f>HYPERLINK("https://pbs.twimg.com/profile_images/1178952768612118528/TLAwWMNp.jpg","View")</f>
        <v>View</v>
      </c>
      <c r="V2095" s="8"/>
      <c r="W2095" s="8"/>
      <c r="X2095" s="8"/>
      <c r="Y2095" s="8"/>
      <c r="Z2095" s="8"/>
    </row>
    <row r="2096" spans="1:26" ht="12.75">
      <c r="A2096" s="11">
        <v>43747.232025462959</v>
      </c>
      <c r="B2096" s="12" t="str">
        <f>HYPERLINK("https://twitter.com/MustafaYasar","@MustafaYasar")</f>
        <v>@MustafaYasar</v>
      </c>
      <c r="C2096" s="7" t="s">
        <v>14153</v>
      </c>
      <c r="D2096" s="7" t="s">
        <v>14154</v>
      </c>
      <c r="E2096" s="12" t="str">
        <f>HYPERLINK("https://twitter.com/MustafaYasar/status/1181910711104102400","1181910711104102400")</f>
        <v>1181910711104102400</v>
      </c>
      <c r="F2096" s="8"/>
      <c r="G2096" s="7"/>
      <c r="H2096" s="8"/>
      <c r="I2096" s="15">
        <v>0</v>
      </c>
      <c r="J2096" s="15">
        <v>2</v>
      </c>
      <c r="K2096" s="12" t="str">
        <f>HYPERLINK("https://mobile.twitter.com","Twitter Web App")</f>
        <v>Twitter Web App</v>
      </c>
      <c r="L2096" s="16">
        <v>1036</v>
      </c>
      <c r="M2096" s="16">
        <v>288</v>
      </c>
      <c r="N2096" s="16">
        <v>4</v>
      </c>
      <c r="O2096" s="17"/>
      <c r="P2096" s="18">
        <v>39938.296493055554</v>
      </c>
      <c r="Q2096" s="7" t="s">
        <v>576</v>
      </c>
      <c r="R2096" s="13" t="s">
        <v>14155</v>
      </c>
      <c r="S2096" s="14" t="s">
        <v>14156</v>
      </c>
      <c r="T2096" s="8"/>
      <c r="U2096" s="19" t="str">
        <f>HYPERLINK("https://pbs.twimg.com/profile_images/906211944809541632/MqJ8TwQy.jpg","View")</f>
        <v>View</v>
      </c>
      <c r="V2096" s="8"/>
      <c r="W2096" s="8"/>
      <c r="X2096" s="8"/>
      <c r="Y2096" s="8"/>
      <c r="Z2096" s="8"/>
    </row>
    <row r="2097" spans="1:26" ht="12.75">
      <c r="A2097" s="11">
        <v>43747.231921296298</v>
      </c>
      <c r="B2097" s="12" t="str">
        <f>HYPERLINK("https://twitter.com/cagdasbudak89","@cagdasbudak89")</f>
        <v>@cagdasbudak89</v>
      </c>
      <c r="C2097" s="7" t="s">
        <v>14157</v>
      </c>
      <c r="D2097" s="7" t="s">
        <v>14158</v>
      </c>
      <c r="E2097" s="12" t="str">
        <f>HYPERLINK("https://twitter.com/cagdasbudak89/status/1181910675267997696","1181910675267997696")</f>
        <v>1181910675267997696</v>
      </c>
      <c r="F2097" s="8"/>
      <c r="G2097" s="14" t="s">
        <v>14159</v>
      </c>
      <c r="H2097" s="8"/>
      <c r="I2097" s="15">
        <v>0</v>
      </c>
      <c r="J2097" s="15">
        <v>4</v>
      </c>
      <c r="K2097" s="12" t="str">
        <f>HYPERLINK("http://twitter.com/download/iphone","Twitter for iPhone")</f>
        <v>Twitter for iPhone</v>
      </c>
      <c r="L2097" s="16">
        <v>470</v>
      </c>
      <c r="M2097" s="16">
        <v>315</v>
      </c>
      <c r="N2097" s="16">
        <v>2</v>
      </c>
      <c r="O2097" s="17"/>
      <c r="P2097" s="18">
        <v>41444.605844907404</v>
      </c>
      <c r="Q2097" s="7" t="s">
        <v>2225</v>
      </c>
      <c r="R2097" s="7" t="s">
        <v>14160</v>
      </c>
      <c r="S2097" s="7"/>
      <c r="T2097" s="8"/>
      <c r="U2097" s="19" t="str">
        <f>HYPERLINK("https://pbs.twimg.com/profile_images/1148326919550767104/TrTAqnnd.jpg","View")</f>
        <v>View</v>
      </c>
      <c r="V2097" s="8"/>
      <c r="W2097" s="8"/>
      <c r="X2097" s="8"/>
      <c r="Y2097" s="8"/>
      <c r="Z2097" s="8"/>
    </row>
    <row r="2098" spans="1:26" ht="12.75">
      <c r="A2098" s="11">
        <v>43747.231874999998</v>
      </c>
      <c r="B2098" s="12" t="str">
        <f>HYPERLINK("https://twitter.com/mstfckcmc","@mstfckcmc")</f>
        <v>@mstfckcmc</v>
      </c>
      <c r="C2098" s="7" t="s">
        <v>14161</v>
      </c>
      <c r="D2098" s="7" t="s">
        <v>9019</v>
      </c>
      <c r="E2098" s="12" t="str">
        <f>HYPERLINK("https://twitter.com/mstfckcmc/status/1181910659807797248","1181910659807797248")</f>
        <v>1181910659807797248</v>
      </c>
      <c r="F2098" s="8"/>
      <c r="G2098" s="7"/>
      <c r="H2098" s="8"/>
      <c r="I2098" s="15">
        <v>0</v>
      </c>
      <c r="J2098" s="15">
        <v>0</v>
      </c>
      <c r="K2098" s="12" t="str">
        <f>HYPERLINK("http://twitter.com/download/android","Twitter for Android")</f>
        <v>Twitter for Android</v>
      </c>
      <c r="L2098" s="16">
        <v>176</v>
      </c>
      <c r="M2098" s="16">
        <v>340</v>
      </c>
      <c r="N2098" s="16">
        <v>0</v>
      </c>
      <c r="O2098" s="17"/>
      <c r="P2098" s="18">
        <v>41742.204085648147</v>
      </c>
      <c r="Q2098" s="7" t="s">
        <v>685</v>
      </c>
      <c r="R2098" s="7"/>
      <c r="S2098" s="15"/>
      <c r="T2098" s="8"/>
      <c r="U2098" s="19" t="str">
        <f>HYPERLINK("https://pbs.twimg.com/profile_images/1003470734491045888/sVjDXRSY.jpg","View")</f>
        <v>View</v>
      </c>
      <c r="V2098" s="8"/>
      <c r="W2098" s="8"/>
      <c r="X2098" s="8"/>
      <c r="Y2098" s="8"/>
      <c r="Z2098" s="8"/>
    </row>
    <row r="2099" spans="1:26" ht="12.75">
      <c r="A2099" s="11">
        <v>43747.231874999998</v>
      </c>
      <c r="B2099" s="12" t="str">
        <f>HYPERLINK("https://twitter.com/UmayKatun39","@UmayKatun39")</f>
        <v>@UmayKatun39</v>
      </c>
      <c r="C2099" s="7" t="s">
        <v>14162</v>
      </c>
      <c r="D2099" s="7" t="s">
        <v>14163</v>
      </c>
      <c r="E2099" s="12" t="str">
        <f>HYPERLINK("https://twitter.com/UmayKatun39/status/1181910658251706369","1181910658251706369")</f>
        <v>1181910658251706369</v>
      </c>
      <c r="F2099" s="8"/>
      <c r="G2099" s="15"/>
      <c r="H2099" s="8"/>
      <c r="I2099" s="15">
        <v>0</v>
      </c>
      <c r="J2099" s="15">
        <v>1</v>
      </c>
      <c r="K2099" s="12" t="str">
        <f>HYPERLINK("https://mobile.twitter.com","Twitter Web App")</f>
        <v>Twitter Web App</v>
      </c>
      <c r="L2099" s="16">
        <v>270</v>
      </c>
      <c r="M2099" s="16">
        <v>244</v>
      </c>
      <c r="N2099" s="16">
        <v>0</v>
      </c>
      <c r="O2099" s="17"/>
      <c r="P2099" s="18">
        <v>43665.081388888888</v>
      </c>
      <c r="Q2099" s="7"/>
      <c r="R2099" s="7" t="s">
        <v>14164</v>
      </c>
      <c r="S2099" s="7"/>
      <c r="T2099" s="8"/>
      <c r="U2099" s="19" t="str">
        <f>HYPERLINK("https://pbs.twimg.com/profile_images/1152491761949978625/9M7QY7W6.jpg","View")</f>
        <v>View</v>
      </c>
      <c r="V2099" s="8"/>
      <c r="W2099" s="8"/>
      <c r="X2099" s="8"/>
      <c r="Y2099" s="8"/>
      <c r="Z2099" s="8"/>
    </row>
    <row r="2100" spans="1:26" ht="12.75">
      <c r="A2100" s="11">
        <v>43747.231793981482</v>
      </c>
      <c r="B2100" s="12" t="str">
        <f>HYPERLINK("https://twitter.com/paul_atreides14","@paul_atreides14")</f>
        <v>@paul_atreides14</v>
      </c>
      <c r="C2100" s="7" t="s">
        <v>14165</v>
      </c>
      <c r="D2100" s="7" t="s">
        <v>14166</v>
      </c>
      <c r="E2100" s="12" t="str">
        <f>HYPERLINK("https://twitter.com/paul_atreides14/status/1181910628555988993","1181910628555988993")</f>
        <v>1181910628555988993</v>
      </c>
      <c r="F2100" s="8"/>
      <c r="G2100" s="15"/>
      <c r="H2100" s="8"/>
      <c r="I2100" s="15">
        <v>0</v>
      </c>
      <c r="J2100" s="15">
        <v>1</v>
      </c>
      <c r="K2100" s="12" t="str">
        <f>HYPERLINK("https://mobile.twitter.com","Twitter Web App")</f>
        <v>Twitter Web App</v>
      </c>
      <c r="L2100" s="16">
        <v>1966</v>
      </c>
      <c r="M2100" s="16">
        <v>1972</v>
      </c>
      <c r="N2100" s="16">
        <v>2</v>
      </c>
      <c r="O2100" s="17"/>
      <c r="P2100" s="18">
        <v>43158.171365740738</v>
      </c>
      <c r="Q2100" s="7" t="s">
        <v>287</v>
      </c>
      <c r="R2100" s="7" t="s">
        <v>14167</v>
      </c>
      <c r="S2100" s="15"/>
      <c r="T2100" s="8"/>
      <c r="U2100" s="19" t="str">
        <f>HYPERLINK("https://pbs.twimg.com/profile_images/1013057119921278976/b1s3VEPl.jpg","View")</f>
        <v>View</v>
      </c>
      <c r="V2100" s="8"/>
      <c r="W2100" s="8"/>
      <c r="X2100" s="8"/>
      <c r="Y2100" s="8"/>
      <c r="Z2100" s="8"/>
    </row>
    <row r="2101" spans="1:26" ht="12.75">
      <c r="A2101" s="11">
        <v>43747.231724537036</v>
      </c>
      <c r="B2101" s="12" t="str">
        <f>HYPERLINK("https://twitter.com/mkanber","@mkanber")</f>
        <v>@mkanber</v>
      </c>
      <c r="C2101" s="7" t="s">
        <v>14168</v>
      </c>
      <c r="D2101" s="7" t="s">
        <v>160</v>
      </c>
      <c r="E2101" s="12" t="str">
        <f>HYPERLINK("https://twitter.com/mkanber/status/1181910603683827712","1181910603683827712")</f>
        <v>1181910603683827712</v>
      </c>
      <c r="F2101" s="8"/>
      <c r="G2101" s="15"/>
      <c r="H2101" s="8"/>
      <c r="I2101" s="15">
        <v>0</v>
      </c>
      <c r="J2101" s="15">
        <v>1</v>
      </c>
      <c r="K2101" s="12" t="str">
        <f>HYPERLINK("http://twitter.com/download/android","Twitter for Android")</f>
        <v>Twitter for Android</v>
      </c>
      <c r="L2101" s="16">
        <v>250</v>
      </c>
      <c r="M2101" s="16">
        <v>1333</v>
      </c>
      <c r="N2101" s="16">
        <v>1</v>
      </c>
      <c r="O2101" s="17"/>
      <c r="P2101" s="18">
        <v>40186.02270833333</v>
      </c>
      <c r="Q2101" s="7" t="s">
        <v>14169</v>
      </c>
      <c r="R2101" s="7" t="s">
        <v>14170</v>
      </c>
      <c r="S2101" s="7"/>
      <c r="T2101" s="8"/>
      <c r="U2101" s="19" t="str">
        <f>HYPERLINK("https://pbs.twimg.com/profile_images/963938498674855941/-EAWlyCl.jpg","View")</f>
        <v>View</v>
      </c>
      <c r="V2101" s="8"/>
      <c r="W2101" s="8"/>
      <c r="X2101" s="8"/>
      <c r="Y2101" s="8"/>
      <c r="Z2101" s="8"/>
    </row>
    <row r="2102" spans="1:26" ht="12.75">
      <c r="A2102" s="11">
        <v>43747.231666666667</v>
      </c>
      <c r="B2102" s="12" t="str">
        <f>HYPERLINK("https://twitter.com/YnrlDnrlMkrnTbg","@YnrlDnrlMkrnTbg")</f>
        <v>@YnrlDnrlMkrnTbg</v>
      </c>
      <c r="C2102" s="7" t="s">
        <v>14171</v>
      </c>
      <c r="D2102" s="7" t="s">
        <v>9777</v>
      </c>
      <c r="E2102" s="12" t="str">
        <f>HYPERLINK("https://twitter.com/YnrlDnrlMkrnTbg/status/1181910581936377856","1181910581936377856")</f>
        <v>1181910581936377856</v>
      </c>
      <c r="F2102" s="8"/>
      <c r="G2102" s="15"/>
      <c r="H2102" s="8"/>
      <c r="I2102" s="15">
        <v>0</v>
      </c>
      <c r="J2102" s="15">
        <v>0</v>
      </c>
      <c r="K2102" s="12" t="str">
        <f>HYPERLINK("http://twitter.com/download/android","Twitter for Android")</f>
        <v>Twitter for Android</v>
      </c>
      <c r="L2102" s="16">
        <v>141</v>
      </c>
      <c r="M2102" s="16">
        <v>165</v>
      </c>
      <c r="N2102" s="16">
        <v>0</v>
      </c>
      <c r="O2102" s="17"/>
      <c r="P2102" s="18">
        <v>41479.366076388891</v>
      </c>
      <c r="Q2102" s="7"/>
      <c r="R2102" s="7"/>
      <c r="S2102" s="7"/>
      <c r="T2102" s="8"/>
      <c r="U2102" s="19" t="str">
        <f>HYPERLINK("https://pbs.twimg.com/profile_images/1162128065805410307/rhlhlll1.jpg","View")</f>
        <v>View</v>
      </c>
      <c r="V2102" s="8"/>
      <c r="W2102" s="8"/>
      <c r="X2102" s="8"/>
      <c r="Y2102" s="8"/>
      <c r="Z2102" s="8"/>
    </row>
    <row r="2103" spans="1:26" ht="12.75">
      <c r="A2103" s="11">
        <v>43747.23165509259</v>
      </c>
      <c r="B2103" s="12" t="str">
        <f>HYPERLINK("https://twitter.com/minecelkk","@minecelkk")</f>
        <v>@minecelkk</v>
      </c>
      <c r="C2103" s="7" t="s">
        <v>14172</v>
      </c>
      <c r="D2103" s="7" t="s">
        <v>14173</v>
      </c>
      <c r="E2103" s="12" t="str">
        <f>HYPERLINK("https://twitter.com/minecelkk/status/1181910578832531458","1181910578832531458")</f>
        <v>1181910578832531458</v>
      </c>
      <c r="F2103" s="8"/>
      <c r="G2103" s="14" t="s">
        <v>14174</v>
      </c>
      <c r="H2103" s="8"/>
      <c r="I2103" s="15">
        <v>0</v>
      </c>
      <c r="J2103" s="15">
        <v>2</v>
      </c>
      <c r="K2103" s="12" t="str">
        <f>HYPERLINK("http://twitter.com/download/iphone","Twitter for iPhone")</f>
        <v>Twitter for iPhone</v>
      </c>
      <c r="L2103" s="16">
        <v>5863</v>
      </c>
      <c r="M2103" s="16">
        <v>5226</v>
      </c>
      <c r="N2103" s="16">
        <v>0</v>
      </c>
      <c r="O2103" s="17"/>
      <c r="P2103" s="18">
        <v>43173.015115740738</v>
      </c>
      <c r="Q2103" s="7"/>
      <c r="R2103" s="7" t="s">
        <v>14175</v>
      </c>
      <c r="S2103" s="7"/>
      <c r="T2103" s="8"/>
      <c r="U2103" s="19" t="str">
        <f>HYPERLINK("https://pbs.twimg.com/profile_images/1158694235350228992/CLbaKq5Z.jpg","View")</f>
        <v>View</v>
      </c>
      <c r="V2103" s="8"/>
      <c r="W2103" s="8"/>
      <c r="X2103" s="8"/>
      <c r="Y2103" s="8"/>
      <c r="Z2103" s="8"/>
    </row>
    <row r="2104" spans="1:26" ht="12.75">
      <c r="A2104" s="11">
        <v>43747.231585648144</v>
      </c>
      <c r="B2104" s="12" t="str">
        <f>HYPERLINK("https://twitter.com/frknhc","@frknhc")</f>
        <v>@frknhc</v>
      </c>
      <c r="C2104" s="7" t="s">
        <v>14176</v>
      </c>
      <c r="D2104" s="7" t="s">
        <v>14177</v>
      </c>
      <c r="E2104" s="12" t="str">
        <f>HYPERLINK("https://twitter.com/frknhc/status/1181910553066921984","1181910553066921984")</f>
        <v>1181910553066921984</v>
      </c>
      <c r="F2104" s="15"/>
      <c r="G2104" s="15"/>
      <c r="H2104" s="8"/>
      <c r="I2104" s="15">
        <v>2</v>
      </c>
      <c r="J2104" s="15">
        <v>9</v>
      </c>
      <c r="K2104" s="12" t="str">
        <f>HYPERLINK("http://twitter.com/download/android","Twitter for Android")</f>
        <v>Twitter for Android</v>
      </c>
      <c r="L2104" s="16">
        <v>21811</v>
      </c>
      <c r="M2104" s="16">
        <v>20338</v>
      </c>
      <c r="N2104" s="16">
        <v>19</v>
      </c>
      <c r="O2104" s="17"/>
      <c r="P2104" s="18">
        <v>41023.592314814814</v>
      </c>
      <c r="Q2104" s="7"/>
      <c r="R2104" s="7"/>
      <c r="S2104" s="7"/>
      <c r="T2104" s="8"/>
      <c r="U2104" s="19" t="str">
        <f>HYPERLINK("https://pbs.twimg.com/profile_images/1168249887579869184/eQ48_O6I.jpg","View")</f>
        <v>View</v>
      </c>
      <c r="V2104" s="8"/>
      <c r="W2104" s="8"/>
      <c r="X2104" s="8"/>
      <c r="Y2104" s="8"/>
      <c r="Z2104" s="8"/>
    </row>
    <row r="2105" spans="1:26" ht="12.75">
      <c r="A2105" s="11">
        <v>43747.231388888889</v>
      </c>
      <c r="B2105" s="12" t="str">
        <f>HYPERLINK("https://twitter.com/DolayKadim","@DolayKadim")</f>
        <v>@DolayKadim</v>
      </c>
      <c r="C2105" s="7" t="s">
        <v>14178</v>
      </c>
      <c r="D2105" s="7" t="s">
        <v>14179</v>
      </c>
      <c r="E2105" s="12" t="str">
        <f>HYPERLINK("https://twitter.com/DolayKadim/status/1181910483856691200","1181910483856691200")</f>
        <v>1181910483856691200</v>
      </c>
      <c r="F2105" s="8"/>
      <c r="G2105" s="15"/>
      <c r="H2105" s="8"/>
      <c r="I2105" s="15">
        <v>0</v>
      </c>
      <c r="J2105" s="15">
        <v>1</v>
      </c>
      <c r="K2105" s="12" t="str">
        <f>HYPERLINK("http://twitter.com","Twitter Web Client")</f>
        <v>Twitter Web Client</v>
      </c>
      <c r="L2105" s="16">
        <v>3</v>
      </c>
      <c r="M2105" s="16">
        <v>0</v>
      </c>
      <c r="N2105" s="16">
        <v>0</v>
      </c>
      <c r="O2105" s="17"/>
      <c r="P2105" s="18">
        <v>43675.120127314818</v>
      </c>
      <c r="Q2105" s="7" t="s">
        <v>1193</v>
      </c>
      <c r="R2105" s="7" t="s">
        <v>14180</v>
      </c>
      <c r="S2105" s="7"/>
      <c r="T2105" s="8"/>
      <c r="U2105" s="19" t="str">
        <f>HYPERLINK("https://pbs.twimg.com/profile_images/1158840885532078080/NL4R0P77.jpg","View")</f>
        <v>View</v>
      </c>
      <c r="V2105" s="8"/>
      <c r="W2105" s="8"/>
      <c r="X2105" s="8"/>
      <c r="Y2105" s="8"/>
      <c r="Z2105" s="8"/>
    </row>
    <row r="2106" spans="1:26" ht="12.75">
      <c r="A2106" s="11">
        <v>43747.231365740736</v>
      </c>
      <c r="B2106" s="12" t="str">
        <f>HYPERLINK("https://twitter.com/MuharremGLMEZ2","@MuharremGLMEZ2")</f>
        <v>@MuharremGLMEZ2</v>
      </c>
      <c r="C2106" s="7" t="s">
        <v>14181</v>
      </c>
      <c r="D2106" s="7" t="s">
        <v>14182</v>
      </c>
      <c r="E2106" s="12" t="str">
        <f>HYPERLINK("https://twitter.com/MuharremGLMEZ2/status/1181910472477552640","1181910472477552640")</f>
        <v>1181910472477552640</v>
      </c>
      <c r="F2106" s="8"/>
      <c r="G2106" s="7"/>
      <c r="H2106" s="8"/>
      <c r="I2106" s="15">
        <v>0</v>
      </c>
      <c r="J2106" s="15">
        <v>0</v>
      </c>
      <c r="K2106" s="12" t="str">
        <f>HYPERLINK("http://twitter.com/download/android","Twitter for Android")</f>
        <v>Twitter for Android</v>
      </c>
      <c r="L2106" s="16">
        <v>16</v>
      </c>
      <c r="M2106" s="16">
        <v>109</v>
      </c>
      <c r="N2106" s="16">
        <v>0</v>
      </c>
      <c r="O2106" s="17"/>
      <c r="P2106" s="18">
        <v>43258.434131944443</v>
      </c>
      <c r="Q2106" s="7"/>
      <c r="R2106" s="7"/>
      <c r="S2106" s="7"/>
      <c r="T2106" s="8"/>
      <c r="U2106" s="19" t="str">
        <f>HYPERLINK("https://pbs.twimg.com/profile_images/1004778935450787840/484BMS7h.jpg","View")</f>
        <v>View</v>
      </c>
      <c r="V2106" s="8"/>
      <c r="W2106" s="8"/>
      <c r="X2106" s="8"/>
      <c r="Y2106" s="8"/>
      <c r="Z2106" s="8"/>
    </row>
    <row r="2107" spans="1:26" ht="12.75">
      <c r="A2107" s="11">
        <v>43747.231342592597</v>
      </c>
      <c r="B2107" s="12" t="str">
        <f>HYPERLINK("https://twitter.com/keyblvds","@keyblvds")</f>
        <v>@keyblvds</v>
      </c>
      <c r="C2107" s="7" t="s">
        <v>14183</v>
      </c>
      <c r="D2107" s="7" t="s">
        <v>14184</v>
      </c>
      <c r="E2107" s="12" t="str">
        <f>HYPERLINK("https://twitter.com/keyblvds/status/1181910465275977728","1181910465275977728")</f>
        <v>1181910465275977728</v>
      </c>
      <c r="F2107" s="14" t="s">
        <v>14185</v>
      </c>
      <c r="G2107" s="7"/>
      <c r="H2107" s="8"/>
      <c r="I2107" s="15">
        <v>0</v>
      </c>
      <c r="J2107" s="15">
        <v>0</v>
      </c>
      <c r="K2107" s="12" t="str">
        <f>HYPERLINK("https://mobile.twitter.com","Twitter Web App")</f>
        <v>Twitter Web App</v>
      </c>
      <c r="L2107" s="16">
        <v>627</v>
      </c>
      <c r="M2107" s="16">
        <v>1687</v>
      </c>
      <c r="N2107" s="16">
        <v>0</v>
      </c>
      <c r="O2107" s="17"/>
      <c r="P2107" s="18">
        <v>39961.592777777776</v>
      </c>
      <c r="Q2107" s="7"/>
      <c r="R2107" s="7" t="s">
        <v>14186</v>
      </c>
      <c r="S2107" s="7"/>
      <c r="T2107" s="8"/>
      <c r="U2107" s="19" t="str">
        <f>HYPERLINK("https://pbs.twimg.com/profile_images/913079334721683456/hrlc8hy1.jpg","View")</f>
        <v>View</v>
      </c>
      <c r="V2107" s="8"/>
      <c r="W2107" s="8"/>
      <c r="X2107" s="8"/>
      <c r="Y2107" s="8"/>
      <c r="Z2107" s="8"/>
    </row>
    <row r="2108" spans="1:26" ht="12.75">
      <c r="A2108" s="11">
        <v>43747.231203703705</v>
      </c>
      <c r="B2108" s="12" t="str">
        <f>HYPERLINK("https://twitter.com/bilgisefinet","@bilgisefinet")</f>
        <v>@bilgisefinet</v>
      </c>
      <c r="C2108" s="7" t="s">
        <v>14187</v>
      </c>
      <c r="D2108" s="7" t="s">
        <v>14188</v>
      </c>
      <c r="E2108" s="12" t="str">
        <f>HYPERLINK("https://twitter.com/bilgisefinet/status/1181910414734630913","1181910414734630913")</f>
        <v>1181910414734630913</v>
      </c>
      <c r="F2108" s="14" t="s">
        <v>14189</v>
      </c>
      <c r="G2108" s="15"/>
      <c r="H2108" s="8"/>
      <c r="I2108" s="15">
        <v>0</v>
      </c>
      <c r="J2108" s="15">
        <v>3</v>
      </c>
      <c r="K2108" s="12" t="str">
        <f>HYPERLINK("https://mobile.twitter.com","Twitter Web App")</f>
        <v>Twitter Web App</v>
      </c>
      <c r="L2108" s="16">
        <v>1290</v>
      </c>
      <c r="M2108" s="16">
        <v>1072</v>
      </c>
      <c r="N2108" s="16">
        <v>0</v>
      </c>
      <c r="O2108" s="17"/>
      <c r="P2108" s="18">
        <v>43710.671782407408</v>
      </c>
      <c r="Q2108" s="7" t="s">
        <v>200</v>
      </c>
      <c r="R2108" s="7" t="s">
        <v>14190</v>
      </c>
      <c r="S2108" s="14" t="s">
        <v>14191</v>
      </c>
      <c r="T2108" s="8"/>
      <c r="U2108" s="19" t="str">
        <f>HYPERLINK("https://pbs.twimg.com/profile_images/1168661775459454980/3HYdkggY.png","View")</f>
        <v>View</v>
      </c>
      <c r="V2108" s="8"/>
      <c r="W2108" s="8"/>
      <c r="X2108" s="8"/>
      <c r="Y2108" s="8"/>
      <c r="Z2108" s="8"/>
    </row>
    <row r="2109" spans="1:26" ht="12.75">
      <c r="A2109" s="11">
        <v>43747.231168981481</v>
      </c>
      <c r="B2109" s="12" t="str">
        <f>HYPERLINK("https://twitter.com/mkulunk","@mkulunk")</f>
        <v>@mkulunk</v>
      </c>
      <c r="C2109" s="7" t="s">
        <v>14192</v>
      </c>
      <c r="D2109" s="7" t="s">
        <v>14086</v>
      </c>
      <c r="E2109" s="12" t="str">
        <f>HYPERLINK("https://twitter.com/mkulunk/status/1181910404290764803","1181910404290764803")</f>
        <v>1181910404290764803</v>
      </c>
      <c r="F2109" s="8"/>
      <c r="G2109" s="15"/>
      <c r="H2109" s="8"/>
      <c r="I2109" s="15">
        <v>118</v>
      </c>
      <c r="J2109" s="15">
        <v>328</v>
      </c>
      <c r="K2109" s="12" t="str">
        <f>HYPERLINK("http://twitter.com/download/iphone","Twitter for iPhone")</f>
        <v>Twitter for iPhone</v>
      </c>
      <c r="L2109" s="16">
        <v>328599</v>
      </c>
      <c r="M2109" s="16">
        <v>1560</v>
      </c>
      <c r="N2109" s="16">
        <v>451</v>
      </c>
      <c r="O2109" s="17" t="s">
        <v>984</v>
      </c>
      <c r="P2109" s="18">
        <v>41366.010381944448</v>
      </c>
      <c r="Q2109" s="7" t="s">
        <v>313</v>
      </c>
      <c r="R2109" s="7"/>
      <c r="S2109" s="14" t="s">
        <v>14193</v>
      </c>
      <c r="T2109" s="8"/>
      <c r="U2109" s="19" t="str">
        <f>HYPERLINK("https://pbs.twimg.com/profile_images/1148572293527932928/c5v7gXOk.jpg","View")</f>
        <v>View</v>
      </c>
      <c r="V2109" s="8"/>
      <c r="W2109" s="8"/>
      <c r="X2109" s="8"/>
      <c r="Y2109" s="8"/>
      <c r="Z2109" s="8"/>
    </row>
    <row r="2110" spans="1:26" ht="12.75">
      <c r="A2110" s="11">
        <v>43747.231157407412</v>
      </c>
      <c r="B2110" s="12" t="str">
        <f>HYPERLINK("https://twitter.com/antbilgi","@antbilgi")</f>
        <v>@antbilgi</v>
      </c>
      <c r="C2110" s="7" t="s">
        <v>14194</v>
      </c>
      <c r="D2110" s="7" t="s">
        <v>14195</v>
      </c>
      <c r="E2110" s="12" t="str">
        <f>HYPERLINK("https://twitter.com/antbilgi/status/1181910398766911488","1181910398766911488")</f>
        <v>1181910398766911488</v>
      </c>
      <c r="F2110" s="14" t="s">
        <v>14196</v>
      </c>
      <c r="G2110" s="7"/>
      <c r="H2110" s="8"/>
      <c r="I2110" s="15">
        <v>0</v>
      </c>
      <c r="J2110" s="15">
        <v>2</v>
      </c>
      <c r="K2110" s="12" t="str">
        <f>HYPERLINK("http://twitter.com/download/iphone","Twitter for iPhone")</f>
        <v>Twitter for iPhone</v>
      </c>
      <c r="L2110" s="16">
        <v>2092</v>
      </c>
      <c r="M2110" s="16">
        <v>4384</v>
      </c>
      <c r="N2110" s="16">
        <v>0</v>
      </c>
      <c r="O2110" s="17"/>
      <c r="P2110" s="18">
        <v>43518.209675925929</v>
      </c>
      <c r="Q2110" s="7"/>
      <c r="R2110" s="7" t="s">
        <v>14197</v>
      </c>
      <c r="S2110" s="7"/>
      <c r="T2110" s="8"/>
      <c r="U2110" s="19" t="str">
        <f>HYPERLINK("https://pbs.twimg.com/profile_images/1134102577153544194/DV2Hoahh.jpg","View")</f>
        <v>View</v>
      </c>
      <c r="V2110" s="8"/>
      <c r="W2110" s="8"/>
      <c r="X2110" s="8"/>
      <c r="Y2110" s="8"/>
      <c r="Z2110" s="8"/>
    </row>
    <row r="2111" spans="1:26" ht="12.75">
      <c r="A2111" s="11">
        <v>43747.231122685189</v>
      </c>
      <c r="B2111" s="12" t="str">
        <f>HYPERLINK("https://twitter.com/kupeli_kaan","@kupeli_kaan")</f>
        <v>@kupeli_kaan</v>
      </c>
      <c r="C2111" s="7" t="s">
        <v>14198</v>
      </c>
      <c r="D2111" s="7" t="s">
        <v>14199</v>
      </c>
      <c r="E2111" s="12" t="str">
        <f>HYPERLINK("https://twitter.com/kupeli_kaan/status/1181910387463278592","1181910387463278592")</f>
        <v>1181910387463278592</v>
      </c>
      <c r="F2111" s="8"/>
      <c r="G2111" s="15"/>
      <c r="H2111" s="8"/>
      <c r="I2111" s="15">
        <v>0</v>
      </c>
      <c r="J2111" s="15">
        <v>0</v>
      </c>
      <c r="K2111" s="12" t="str">
        <f>HYPERLINK("http://twitter.com/download/iphone","Twitter for iPhone")</f>
        <v>Twitter for iPhone</v>
      </c>
      <c r="L2111" s="16">
        <v>67</v>
      </c>
      <c r="M2111" s="16">
        <v>65</v>
      </c>
      <c r="N2111" s="16">
        <v>0</v>
      </c>
      <c r="O2111" s="17"/>
      <c r="P2111" s="18">
        <v>43277.321597222224</v>
      </c>
      <c r="Q2111" s="7" t="s">
        <v>898</v>
      </c>
      <c r="R2111" s="7" t="s">
        <v>14200</v>
      </c>
      <c r="S2111" s="7"/>
      <c r="T2111" s="8"/>
      <c r="U2111" s="19" t="str">
        <f>HYPERLINK("https://pbs.twimg.com/profile_images/1011622609048522752/Sg_I4KN3.jpg","View")</f>
        <v>View</v>
      </c>
      <c r="V2111" s="8"/>
      <c r="W2111" s="8"/>
      <c r="X2111" s="8"/>
      <c r="Y2111" s="8"/>
      <c r="Z2111" s="8"/>
    </row>
    <row r="2112" spans="1:26" ht="12.75">
      <c r="A2112" s="11">
        <v>43747.231087962966</v>
      </c>
      <c r="B2112" s="12" t="str">
        <f>HYPERLINK("https://twitter.com/kadiryalnz55","@kadiryalnz55")</f>
        <v>@kadiryalnz55</v>
      </c>
      <c r="C2112" s="7" t="s">
        <v>14201</v>
      </c>
      <c r="D2112" s="7" t="s">
        <v>14202</v>
      </c>
      <c r="E2112" s="12" t="str">
        <f>HYPERLINK("https://twitter.com/kadiryalnz55/status/1181910372619636736","1181910372619636736")</f>
        <v>1181910372619636736</v>
      </c>
      <c r="F2112" s="8"/>
      <c r="G2112" s="14" t="s">
        <v>14203</v>
      </c>
      <c r="H2112" s="8"/>
      <c r="I2112" s="15">
        <v>0</v>
      </c>
      <c r="J2112" s="15">
        <v>0</v>
      </c>
      <c r="K2112" s="12" t="str">
        <f>HYPERLINK("http://twitter.com/download/iphone","Twitter for iPhone")</f>
        <v>Twitter for iPhone</v>
      </c>
      <c r="L2112" s="16">
        <v>636</v>
      </c>
      <c r="M2112" s="16">
        <v>1116</v>
      </c>
      <c r="N2112" s="16">
        <v>0</v>
      </c>
      <c r="O2112" s="17"/>
      <c r="P2112" s="18">
        <v>40660.00917824074</v>
      </c>
      <c r="Q2112" s="7"/>
      <c r="R2112" s="7"/>
      <c r="S2112" s="7"/>
      <c r="T2112" s="8"/>
      <c r="U2112" s="19" t="str">
        <f>HYPERLINK("https://pbs.twimg.com/profile_images/566130961340186624/yFalRyNN.jpeg","View")</f>
        <v>View</v>
      </c>
      <c r="V2112" s="8"/>
      <c r="W2112" s="8"/>
      <c r="X2112" s="8"/>
      <c r="Y2112" s="8"/>
      <c r="Z2112" s="8"/>
    </row>
    <row r="2113" spans="1:26" ht="12.75">
      <c r="A2113" s="11">
        <v>43747.231076388889</v>
      </c>
      <c r="B2113" s="12" t="str">
        <f>HYPERLINK("https://twitter.com/CasmBakr","@CasmBakr")</f>
        <v>@CasmBakr</v>
      </c>
      <c r="C2113" s="7" t="s">
        <v>14204</v>
      </c>
      <c r="D2113" s="7" t="s">
        <v>160</v>
      </c>
      <c r="E2113" s="12" t="str">
        <f>HYPERLINK("https://twitter.com/CasmBakr/status/1181910367229923328","1181910367229923328")</f>
        <v>1181910367229923328</v>
      </c>
      <c r="F2113" s="8"/>
      <c r="G2113" s="14" t="s">
        <v>14205</v>
      </c>
      <c r="H2113" s="8"/>
      <c r="I2113" s="15">
        <v>0</v>
      </c>
      <c r="J2113" s="15">
        <v>1</v>
      </c>
      <c r="K2113" s="12" t="str">
        <f>HYPERLINK("http://twitter.com/download/android","Twitter for Android")</f>
        <v>Twitter for Android</v>
      </c>
      <c r="L2113" s="16">
        <v>47</v>
      </c>
      <c r="M2113" s="16">
        <v>41</v>
      </c>
      <c r="N2113" s="16">
        <v>0</v>
      </c>
      <c r="O2113" s="17"/>
      <c r="P2113" s="18">
        <v>41490.599224537036</v>
      </c>
      <c r="Q2113" s="7"/>
      <c r="R2113" s="7" t="s">
        <v>14206</v>
      </c>
      <c r="S2113" s="7"/>
      <c r="T2113" s="8"/>
      <c r="U2113" s="19" t="str">
        <f>HYPERLINK("https://pbs.twimg.com/profile_images/1158782618437136385/zlYiJvEZ.jpg","View")</f>
        <v>View</v>
      </c>
      <c r="V2113" s="8"/>
      <c r="W2113" s="8"/>
      <c r="X2113" s="8"/>
      <c r="Y2113" s="8"/>
      <c r="Z2113" s="8"/>
    </row>
    <row r="2114" spans="1:26" ht="12.75">
      <c r="A2114" s="11">
        <v>43747.231030092589</v>
      </c>
      <c r="B2114" s="12" t="str">
        <f>HYPERLINK("https://twitter.com/_albyrk","@_albyrk")</f>
        <v>@_albyrk</v>
      </c>
      <c r="C2114" s="7" t="s">
        <v>14207</v>
      </c>
      <c r="D2114" s="7" t="s">
        <v>14208</v>
      </c>
      <c r="E2114" s="12" t="str">
        <f>HYPERLINK("https://twitter.com/_albyrk/status/1181910353158066177","1181910353158066177")</f>
        <v>1181910353158066177</v>
      </c>
      <c r="F2114" s="8"/>
      <c r="G2114" s="14" t="s">
        <v>14209</v>
      </c>
      <c r="H2114" s="8"/>
      <c r="I2114" s="15">
        <v>1</v>
      </c>
      <c r="J2114" s="15">
        <v>3</v>
      </c>
      <c r="K2114" s="12" t="str">
        <f>HYPERLINK("http://twitter.com/download/android","Twitter for Android")</f>
        <v>Twitter for Android</v>
      </c>
      <c r="L2114" s="16">
        <v>1323</v>
      </c>
      <c r="M2114" s="16">
        <v>42</v>
      </c>
      <c r="N2114" s="16">
        <v>6</v>
      </c>
      <c r="O2114" s="17"/>
      <c r="P2114" s="18">
        <v>40760.694756944446</v>
      </c>
      <c r="Q2114" s="7" t="s">
        <v>2013</v>
      </c>
      <c r="R2114" s="7" t="s">
        <v>14210</v>
      </c>
      <c r="S2114" s="7"/>
      <c r="T2114" s="8"/>
      <c r="U2114" s="19" t="str">
        <f>HYPERLINK("https://pbs.twimg.com/profile_images/1181671220045111297/XomokuRn.jpg","View")</f>
        <v>View</v>
      </c>
      <c r="V2114" s="8"/>
      <c r="W2114" s="8"/>
      <c r="X2114" s="8"/>
      <c r="Y2114" s="8"/>
      <c r="Z2114" s="8"/>
    </row>
    <row r="2115" spans="1:26" ht="12.75">
      <c r="A2115" s="11">
        <v>43747.230914351851</v>
      </c>
      <c r="B2115" s="12" t="str">
        <f>HYPERLINK("https://twitter.com/ronay_alanbay","@ronay_alanbay")</f>
        <v>@ronay_alanbay</v>
      </c>
      <c r="C2115" s="7" t="s">
        <v>14211</v>
      </c>
      <c r="D2115" s="7" t="s">
        <v>14212</v>
      </c>
      <c r="E2115" s="12" t="str">
        <f>HYPERLINK("https://twitter.com/ronay_alanbay/status/1181910309898014720","1181910309898014720")</f>
        <v>1181910309898014720</v>
      </c>
      <c r="F2115" s="8"/>
      <c r="G2115" s="7"/>
      <c r="H2115" s="8"/>
      <c r="I2115" s="15">
        <v>0</v>
      </c>
      <c r="J2115" s="15">
        <v>0</v>
      </c>
      <c r="K2115" s="12" t="str">
        <f>HYPERLINK("http://twitter.com","Twitter Web Client")</f>
        <v>Twitter Web Client</v>
      </c>
      <c r="L2115" s="16">
        <v>13</v>
      </c>
      <c r="M2115" s="16">
        <v>0</v>
      </c>
      <c r="N2115" s="16">
        <v>0</v>
      </c>
      <c r="O2115" s="17"/>
      <c r="P2115" s="18">
        <v>43703.295648148152</v>
      </c>
      <c r="Q2115" s="7" t="s">
        <v>6929</v>
      </c>
      <c r="R2115" s="7" t="s">
        <v>14213</v>
      </c>
      <c r="S2115" s="7"/>
      <c r="T2115" s="8"/>
      <c r="U2115" s="19" t="str">
        <f>HYPERLINK("https://pbs.twimg.com/profile_images/1166786703643881473/bkL7tkgK.jpg","View")</f>
        <v>View</v>
      </c>
      <c r="V2115" s="8"/>
      <c r="W2115" s="8"/>
      <c r="X2115" s="8"/>
      <c r="Y2115" s="8"/>
      <c r="Z2115" s="8"/>
    </row>
    <row r="2116" spans="1:26" ht="12.75">
      <c r="A2116" s="11">
        <v>43747.230844907404</v>
      </c>
      <c r="B2116" s="12" t="str">
        <f>HYPERLINK("https://twitter.com/OralBiber","@OralBiber")</f>
        <v>@OralBiber</v>
      </c>
      <c r="C2116" s="7" t="s">
        <v>14214</v>
      </c>
      <c r="D2116" s="7" t="s">
        <v>14215</v>
      </c>
      <c r="E2116" s="12" t="str">
        <f>HYPERLINK("https://twitter.com/OralBiber/status/1181910284585357312","1181910284585357312")</f>
        <v>1181910284585357312</v>
      </c>
      <c r="F2116" s="8"/>
      <c r="G2116" s="15"/>
      <c r="H2116" s="8"/>
      <c r="I2116" s="15">
        <v>0</v>
      </c>
      <c r="J2116" s="15">
        <v>0</v>
      </c>
      <c r="K2116" s="12" t="str">
        <f>HYPERLINK("http://twitter.com/download/iphone","Twitter for iPhone")</f>
        <v>Twitter for iPhone</v>
      </c>
      <c r="L2116" s="16">
        <v>2082</v>
      </c>
      <c r="M2116" s="16">
        <v>1538</v>
      </c>
      <c r="N2116" s="16">
        <v>4</v>
      </c>
      <c r="O2116" s="17"/>
      <c r="P2116" s="18">
        <v>42393.479803240742</v>
      </c>
      <c r="Q2116" s="7" t="s">
        <v>14216</v>
      </c>
      <c r="R2116" s="7" t="s">
        <v>14217</v>
      </c>
      <c r="S2116" s="14" t="s">
        <v>14218</v>
      </c>
      <c r="T2116" s="8"/>
      <c r="U2116" s="19" t="str">
        <f>HYPERLINK("https://pbs.twimg.com/profile_images/1165888330250235904/iuWQGIzW.jpg","View")</f>
        <v>View</v>
      </c>
      <c r="V2116" s="8"/>
      <c r="W2116" s="8"/>
      <c r="X2116" s="8"/>
      <c r="Y2116" s="8"/>
      <c r="Z2116" s="8"/>
    </row>
    <row r="2117" spans="1:26" ht="12.75">
      <c r="A2117" s="11">
        <v>43747.23064814815</v>
      </c>
      <c r="B2117" s="12" t="str">
        <f>HYPERLINK("https://twitter.com/efraimaciksoz","@efraimaciksoz")</f>
        <v>@efraimaciksoz</v>
      </c>
      <c r="C2117" s="7" t="s">
        <v>14219</v>
      </c>
      <c r="D2117" s="7" t="s">
        <v>14220</v>
      </c>
      <c r="E2117" s="12" t="str">
        <f>HYPERLINK("https://twitter.com/efraimaciksoz/status/1181910215438012416","1181910215438012416")</f>
        <v>1181910215438012416</v>
      </c>
      <c r="F2117" s="8"/>
      <c r="G2117" s="15"/>
      <c r="H2117" s="8"/>
      <c r="I2117" s="15">
        <v>0</v>
      </c>
      <c r="J2117" s="15">
        <v>1</v>
      </c>
      <c r="K2117" s="12" t="str">
        <f>HYPERLINK("https://mobile.twitter.com","Twitter Web App")</f>
        <v>Twitter Web App</v>
      </c>
      <c r="L2117" s="16">
        <v>535</v>
      </c>
      <c r="M2117" s="16">
        <v>2703</v>
      </c>
      <c r="N2117" s="16">
        <v>0</v>
      </c>
      <c r="O2117" s="17"/>
      <c r="P2117" s="18">
        <v>40329.649328703701</v>
      </c>
      <c r="Q2117" s="7" t="s">
        <v>4895</v>
      </c>
      <c r="R2117" s="7" t="s">
        <v>14221</v>
      </c>
      <c r="S2117" s="7"/>
      <c r="T2117" s="8"/>
      <c r="U2117" s="19" t="str">
        <f>HYPERLINK("https://pbs.twimg.com/profile_images/1019999245879955458/BhBc43x7.jpg","View")</f>
        <v>View</v>
      </c>
      <c r="V2117" s="8"/>
      <c r="W2117" s="8"/>
      <c r="X2117" s="8"/>
      <c r="Y2117" s="8"/>
      <c r="Z2117" s="8"/>
    </row>
    <row r="2118" spans="1:26" ht="12.75">
      <c r="A2118" s="11">
        <v>43747.230624999997</v>
      </c>
      <c r="B2118" s="12" t="str">
        <f>HYPERLINK("https://twitter.com/vicivediveni","@vicivediveni")</f>
        <v>@vicivediveni</v>
      </c>
      <c r="C2118" s="7" t="s">
        <v>14222</v>
      </c>
      <c r="D2118" s="7" t="s">
        <v>14223</v>
      </c>
      <c r="E2118" s="12" t="str">
        <f>HYPERLINK("https://twitter.com/vicivediveni/status/1181910207296872449","1181910207296872449")</f>
        <v>1181910207296872449</v>
      </c>
      <c r="F2118" s="8"/>
      <c r="G2118" s="15"/>
      <c r="H2118" s="8"/>
      <c r="I2118" s="15">
        <v>0</v>
      </c>
      <c r="J2118" s="15">
        <v>0</v>
      </c>
      <c r="K2118" s="12" t="str">
        <f>HYPERLINK("http://twitter.com/download/android","Twitter for Android")</f>
        <v>Twitter for Android</v>
      </c>
      <c r="L2118" s="16">
        <v>5</v>
      </c>
      <c r="M2118" s="16">
        <v>26</v>
      </c>
      <c r="N2118" s="16">
        <v>0</v>
      </c>
      <c r="O2118" s="17"/>
      <c r="P2118" s="18">
        <v>43694.580254629633</v>
      </c>
      <c r="Q2118" s="7"/>
      <c r="R2118" s="7" t="s">
        <v>14224</v>
      </c>
      <c r="S2118" s="7"/>
      <c r="T2118" s="8"/>
      <c r="U2118" s="19" t="str">
        <f>HYPERLINK("https://pbs.twimg.com/profile_images/1178988158714818560/saeHnVnc.jpg","View")</f>
        <v>View</v>
      </c>
      <c r="V2118" s="8"/>
      <c r="W2118" s="8"/>
      <c r="X2118" s="8"/>
      <c r="Y2118" s="8"/>
      <c r="Z2118" s="8"/>
    </row>
    <row r="2119" spans="1:26" ht="12.75">
      <c r="A2119" s="11">
        <v>43747.230624999997</v>
      </c>
      <c r="B2119" s="12" t="str">
        <f>HYPERLINK("https://twitter.com/DoganSahinbas","@DoganSahinbas")</f>
        <v>@DoganSahinbas</v>
      </c>
      <c r="C2119" s="7" t="s">
        <v>14225</v>
      </c>
      <c r="D2119" s="7" t="s">
        <v>14226</v>
      </c>
      <c r="E2119" s="12" t="str">
        <f>HYPERLINK("https://twitter.com/DoganSahinbas/status/1181910205728219137","1181910205728219137")</f>
        <v>1181910205728219137</v>
      </c>
      <c r="F2119" s="8"/>
      <c r="G2119" s="14" t="s">
        <v>14227</v>
      </c>
      <c r="H2119" s="8"/>
      <c r="I2119" s="15">
        <v>0</v>
      </c>
      <c r="J2119" s="15">
        <v>0</v>
      </c>
      <c r="K2119" s="12" t="str">
        <f>HYPERLINK("http://twitter.com/download/android","Twitter for Android")</f>
        <v>Twitter for Android</v>
      </c>
      <c r="L2119" s="16">
        <v>2</v>
      </c>
      <c r="M2119" s="16">
        <v>3</v>
      </c>
      <c r="N2119" s="16">
        <v>0</v>
      </c>
      <c r="O2119" s="17"/>
      <c r="P2119" s="18">
        <v>43693.298171296294</v>
      </c>
      <c r="Q2119" s="7"/>
      <c r="R2119" s="7" t="s">
        <v>14228</v>
      </c>
      <c r="S2119" s="7"/>
      <c r="T2119" s="8"/>
      <c r="U2119" s="19" t="str">
        <f>HYPERLINK("https://pbs.twimg.com/profile_images/1162365972784852992/bd-q84Ca.jpg","View")</f>
        <v>View</v>
      </c>
      <c r="V2119" s="8"/>
      <c r="W2119" s="8"/>
      <c r="X2119" s="8"/>
      <c r="Y2119" s="8"/>
      <c r="Z2119" s="8"/>
    </row>
    <row r="2120" spans="1:26" ht="12.75">
      <c r="A2120" s="11">
        <v>43747.23055555555</v>
      </c>
      <c r="B2120" s="12" t="str">
        <f>HYPERLINK("https://twitter.com/ondercansiz","@ondercansiz")</f>
        <v>@ondercansiz</v>
      </c>
      <c r="C2120" s="7" t="s">
        <v>14229</v>
      </c>
      <c r="D2120" s="7" t="s">
        <v>160</v>
      </c>
      <c r="E2120" s="12" t="str">
        <f>HYPERLINK("https://twitter.com/ondercansiz/status/1181910182445629440","1181910182445629440")</f>
        <v>1181910182445629440</v>
      </c>
      <c r="F2120" s="8"/>
      <c r="G2120" s="14" t="s">
        <v>14230</v>
      </c>
      <c r="H2120" s="8"/>
      <c r="I2120" s="15">
        <v>0</v>
      </c>
      <c r="J2120" s="15">
        <v>0</v>
      </c>
      <c r="K2120" s="12" t="str">
        <f>HYPERLINK("http://twitter.com/download/android","Twitter for Android")</f>
        <v>Twitter for Android</v>
      </c>
      <c r="L2120" s="16">
        <v>70</v>
      </c>
      <c r="M2120" s="16">
        <v>262</v>
      </c>
      <c r="N2120" s="16">
        <v>0</v>
      </c>
      <c r="O2120" s="17"/>
      <c r="P2120" s="18">
        <v>42613.307268518518</v>
      </c>
      <c r="Q2120" s="7" t="s">
        <v>14231</v>
      </c>
      <c r="R2120" s="7" t="s">
        <v>14232</v>
      </c>
      <c r="S2120" s="7"/>
      <c r="T2120" s="8"/>
      <c r="U2120" s="19" t="str">
        <f>HYPERLINK("https://pbs.twimg.com/profile_images/1111797752780996608/nWE4jpci.jpg","View")</f>
        <v>View</v>
      </c>
      <c r="V2120" s="8"/>
      <c r="W2120" s="8"/>
      <c r="X2120" s="8"/>
      <c r="Y2120" s="8"/>
      <c r="Z2120" s="8"/>
    </row>
    <row r="2121" spans="1:26" ht="12.75">
      <c r="A2121" s="11">
        <v>43747.230532407411</v>
      </c>
      <c r="B2121" s="12" t="str">
        <f>HYPERLINK("https://twitter.com/Tahir_Kemal1908","@Tahir_Kemal1908")</f>
        <v>@Tahir_Kemal1908</v>
      </c>
      <c r="C2121" s="7" t="s">
        <v>14235</v>
      </c>
      <c r="D2121" s="7" t="s">
        <v>14236</v>
      </c>
      <c r="E2121" s="12" t="str">
        <f>HYPERLINK("https://twitter.com/Tahir_Kemal1908/status/1181910173515952130","1181910173515952130")</f>
        <v>1181910173515952130</v>
      </c>
      <c r="F2121" s="8"/>
      <c r="G2121" s="14" t="s">
        <v>14237</v>
      </c>
      <c r="H2121" s="8"/>
      <c r="I2121" s="15">
        <v>0</v>
      </c>
      <c r="J2121" s="15">
        <v>0</v>
      </c>
      <c r="K2121" s="12" t="str">
        <f>HYPERLINK("http://twitter.com/download/android","Twitter for Android")</f>
        <v>Twitter for Android</v>
      </c>
      <c r="L2121" s="16">
        <v>47</v>
      </c>
      <c r="M2121" s="16">
        <v>258</v>
      </c>
      <c r="N2121" s="16">
        <v>0</v>
      </c>
      <c r="O2121" s="17"/>
      <c r="P2121" s="18">
        <v>43209.61142361111</v>
      </c>
      <c r="Q2121" s="7"/>
      <c r="R2121" s="7"/>
      <c r="S2121" s="7"/>
      <c r="T2121" s="8"/>
      <c r="U2121" s="19" t="str">
        <f>HYPERLINK("https://pbs.twimg.com/profile_images/987085770879102976/UdzDYimn.jpg","View")</f>
        <v>View</v>
      </c>
      <c r="V2121" s="8"/>
      <c r="W2121" s="8"/>
      <c r="X2121" s="8"/>
      <c r="Y2121" s="8"/>
      <c r="Z2121" s="8"/>
    </row>
    <row r="2122" spans="1:26" ht="12.75">
      <c r="A2122" s="11">
        <v>43747.230405092589</v>
      </c>
      <c r="B2122" s="12" t="str">
        <f>HYPERLINK("https://twitter.com/emrealnk","@emrealnk")</f>
        <v>@emrealnk</v>
      </c>
      <c r="C2122" s="7" t="s">
        <v>14238</v>
      </c>
      <c r="D2122" s="7" t="s">
        <v>14239</v>
      </c>
      <c r="E2122" s="12" t="str">
        <f>HYPERLINK("https://twitter.com/emrealnk/status/1181910127298977792","1181910127298977792")</f>
        <v>1181910127298977792</v>
      </c>
      <c r="F2122" s="8"/>
      <c r="G2122" s="14" t="s">
        <v>14240</v>
      </c>
      <c r="H2122" s="8"/>
      <c r="I2122" s="15">
        <v>0</v>
      </c>
      <c r="J2122" s="15">
        <v>0</v>
      </c>
      <c r="K2122" s="12" t="str">
        <f>HYPERLINK("http://twitter.com/download/iphone","Twitter for iPhone")</f>
        <v>Twitter for iPhone</v>
      </c>
      <c r="L2122" s="16">
        <v>654</v>
      </c>
      <c r="M2122" s="16">
        <v>49</v>
      </c>
      <c r="N2122" s="16">
        <v>0</v>
      </c>
      <c r="O2122" s="17"/>
      <c r="P2122" s="18">
        <v>41788.335694444446</v>
      </c>
      <c r="Q2122" s="7" t="s">
        <v>313</v>
      </c>
      <c r="R2122" s="7" t="s">
        <v>14241</v>
      </c>
      <c r="S2122" s="15"/>
      <c r="T2122" s="8"/>
      <c r="U2122" s="19" t="str">
        <f>HYPERLINK("https://pbs.twimg.com/profile_images/1168368378240741376/txMcA5fX.jpg","View")</f>
        <v>View</v>
      </c>
      <c r="V2122" s="8"/>
      <c r="W2122" s="8"/>
      <c r="X2122" s="8"/>
      <c r="Y2122" s="8"/>
      <c r="Z2122" s="8"/>
    </row>
    <row r="2123" spans="1:26" ht="12.75">
      <c r="A2123" s="11">
        <v>43747.230393518519</v>
      </c>
      <c r="B2123" s="12" t="str">
        <f>HYPERLINK("https://twitter.com/Ersztvk","@Ersztvk")</f>
        <v>@Ersztvk</v>
      </c>
      <c r="C2123" s="7" t="s">
        <v>14242</v>
      </c>
      <c r="D2123" s="7" t="s">
        <v>14243</v>
      </c>
      <c r="E2123" s="12" t="str">
        <f>HYPERLINK("https://twitter.com/Ersztvk/status/1181910120256671745","1181910120256671745")</f>
        <v>1181910120256671745</v>
      </c>
      <c r="F2123" s="8"/>
      <c r="G2123" s="7"/>
      <c r="H2123" s="8"/>
      <c r="I2123" s="15">
        <v>0</v>
      </c>
      <c r="J2123" s="15">
        <v>0</v>
      </c>
      <c r="K2123" s="12" t="str">
        <f>HYPERLINK("https://mobile.twitter.com","Twitter Web App")</f>
        <v>Twitter Web App</v>
      </c>
      <c r="L2123" s="16">
        <v>14</v>
      </c>
      <c r="M2123" s="16">
        <v>62</v>
      </c>
      <c r="N2123" s="16">
        <v>0</v>
      </c>
      <c r="O2123" s="17"/>
      <c r="P2123" s="18">
        <v>41390.553090277775</v>
      </c>
      <c r="Q2123" s="7"/>
      <c r="R2123" s="7"/>
      <c r="S2123" s="7"/>
      <c r="T2123" s="8"/>
      <c r="U2123" s="19" t="str">
        <f>HYPERLINK("https://pbs.twimg.com/profile_images/905872551297122304/0rCWtEi4.jpg","View")</f>
        <v>View</v>
      </c>
      <c r="V2123" s="8"/>
      <c r="W2123" s="8"/>
      <c r="X2123" s="8"/>
      <c r="Y2123" s="8"/>
      <c r="Z2123" s="8"/>
    </row>
    <row r="2124" spans="1:26" ht="12.75">
      <c r="A2124" s="11">
        <v>43747.23038194445</v>
      </c>
      <c r="B2124" s="12" t="str">
        <f>HYPERLINK("https://twitter.com/KCobantasi","@KCobantasi")</f>
        <v>@KCobantasi</v>
      </c>
      <c r="C2124" s="7" t="s">
        <v>14244</v>
      </c>
      <c r="D2124" s="7" t="s">
        <v>14245</v>
      </c>
      <c r="E2124" s="12" t="str">
        <f>HYPERLINK("https://twitter.com/KCobantasi/status/1181910116125286401","1181910116125286401")</f>
        <v>1181910116125286401</v>
      </c>
      <c r="F2124" s="8"/>
      <c r="G2124" s="7"/>
      <c r="H2124" s="8"/>
      <c r="I2124" s="15">
        <v>0</v>
      </c>
      <c r="J2124" s="15">
        <v>0</v>
      </c>
      <c r="K2124" s="12" t="str">
        <f>HYPERLINK("http://twitter.com","Twitter Web Client")</f>
        <v>Twitter Web Client</v>
      </c>
      <c r="L2124" s="16">
        <v>13</v>
      </c>
      <c r="M2124" s="16">
        <v>0</v>
      </c>
      <c r="N2124" s="16">
        <v>0</v>
      </c>
      <c r="O2124" s="17"/>
      <c r="P2124" s="18">
        <v>43668.850520833337</v>
      </c>
      <c r="Q2124" s="7" t="s">
        <v>10095</v>
      </c>
      <c r="R2124" s="7" t="s">
        <v>14246</v>
      </c>
      <c r="S2124" s="15"/>
      <c r="T2124" s="8"/>
      <c r="U2124" s="19" t="str">
        <f>HYPERLINK("https://pbs.twimg.com/profile_images/1153751348351049729/I9MjOy_Q.jpg","View")</f>
        <v>View</v>
      </c>
      <c r="V2124" s="8"/>
      <c r="W2124" s="8"/>
      <c r="X2124" s="8"/>
      <c r="Y2124" s="8"/>
      <c r="Z2124" s="8"/>
    </row>
    <row r="2125" spans="1:26" ht="12.75">
      <c r="A2125" s="11">
        <v>43747.230266203704</v>
      </c>
      <c r="B2125" s="12" t="str">
        <f>HYPERLINK("https://twitter.com/OktayGkmen7","@OktayGkmen7")</f>
        <v>@OktayGkmen7</v>
      </c>
      <c r="C2125" s="7" t="s">
        <v>14247</v>
      </c>
      <c r="D2125" s="7" t="s">
        <v>14248</v>
      </c>
      <c r="E2125" s="12" t="str">
        <f>HYPERLINK("https://twitter.com/OktayGkmen7/status/1181910073523736578","1181910073523736578")</f>
        <v>1181910073523736578</v>
      </c>
      <c r="F2125" s="8"/>
      <c r="G2125" s="7"/>
      <c r="H2125" s="8"/>
      <c r="I2125" s="15">
        <v>0</v>
      </c>
      <c r="J2125" s="15">
        <v>0</v>
      </c>
      <c r="K2125" s="12" t="str">
        <f>HYPERLINK("http://twitter.com/download/android","Twitter for Android")</f>
        <v>Twitter for Android</v>
      </c>
      <c r="L2125" s="16">
        <v>19</v>
      </c>
      <c r="M2125" s="16">
        <v>56</v>
      </c>
      <c r="N2125" s="16">
        <v>0</v>
      </c>
      <c r="O2125" s="17"/>
      <c r="P2125" s="18">
        <v>43283.082083333335</v>
      </c>
      <c r="Q2125" s="7" t="s">
        <v>1461</v>
      </c>
      <c r="R2125" s="7" t="s">
        <v>14249</v>
      </c>
      <c r="S2125" s="7"/>
      <c r="T2125" s="8"/>
      <c r="U2125" s="19" t="str">
        <f>HYPERLINK("https://pbs.twimg.com/profile_images/1076793178588631042/mkQ3w9Wl.jpg","View")</f>
        <v>View</v>
      </c>
      <c r="V2125" s="8"/>
      <c r="W2125" s="8"/>
      <c r="X2125" s="8"/>
      <c r="Y2125" s="8"/>
      <c r="Z2125" s="8"/>
    </row>
    <row r="2126" spans="1:26" ht="12.75">
      <c r="A2126" s="11">
        <v>43747.230243055557</v>
      </c>
      <c r="B2126" s="12" t="str">
        <f>HYPERLINK("https://twitter.com/mrtyvn","@mrtyvn")</f>
        <v>@mrtyvn</v>
      </c>
      <c r="C2126" s="7" t="s">
        <v>14250</v>
      </c>
      <c r="D2126" s="7" t="s">
        <v>14251</v>
      </c>
      <c r="E2126" s="12" t="str">
        <f>HYPERLINK("https://twitter.com/mrtyvn/status/1181910068515803137","1181910068515803137")</f>
        <v>1181910068515803137</v>
      </c>
      <c r="F2126" s="8"/>
      <c r="G2126" s="14" t="s">
        <v>14252</v>
      </c>
      <c r="H2126" s="8"/>
      <c r="I2126" s="15">
        <v>0</v>
      </c>
      <c r="J2126" s="15">
        <v>0</v>
      </c>
      <c r="K2126" s="12" t="str">
        <f>HYPERLINK("https://mobile.twitter.com","Twitter Web App")</f>
        <v>Twitter Web App</v>
      </c>
      <c r="L2126" s="16">
        <v>643</v>
      </c>
      <c r="M2126" s="16">
        <v>406</v>
      </c>
      <c r="N2126" s="16">
        <v>4</v>
      </c>
      <c r="O2126" s="17"/>
      <c r="P2126" s="18">
        <v>40505.594004629631</v>
      </c>
      <c r="Q2126" s="7" t="s">
        <v>576</v>
      </c>
      <c r="R2126" s="7" t="s">
        <v>14253</v>
      </c>
      <c r="S2126" s="15"/>
      <c r="T2126" s="8"/>
      <c r="U2126" s="19" t="str">
        <f>HYPERLINK("https://pbs.twimg.com/profile_images/841539565689155584/z6qNyKLp.jpg","View")</f>
        <v>View</v>
      </c>
      <c r="V2126" s="8"/>
      <c r="W2126" s="8"/>
      <c r="X2126" s="8"/>
      <c r="Y2126" s="8"/>
      <c r="Z2126" s="8"/>
    </row>
    <row r="2127" spans="1:26" ht="12.75">
      <c r="A2127" s="11">
        <v>43747.230208333334</v>
      </c>
      <c r="B2127" s="12" t="str">
        <f>HYPERLINK("https://twitter.com/oguzhanyaylim","@oguzhanyaylim")</f>
        <v>@oguzhanyaylim</v>
      </c>
      <c r="C2127" s="7" t="s">
        <v>14254</v>
      </c>
      <c r="D2127" s="7" t="s">
        <v>14255</v>
      </c>
      <c r="E2127" s="12" t="str">
        <f>HYPERLINK("https://twitter.com/oguzhanyaylim/status/1181910056494874624","1181910056494874624")</f>
        <v>1181910056494874624</v>
      </c>
      <c r="F2127" s="15"/>
      <c r="G2127" s="15"/>
      <c r="H2127" s="8"/>
      <c r="I2127" s="15">
        <v>0</v>
      </c>
      <c r="J2127" s="15">
        <v>1</v>
      </c>
      <c r="K2127" s="12" t="str">
        <f>HYPERLINK("http://twitter.com/download/android","Twitter for Android")</f>
        <v>Twitter for Android</v>
      </c>
      <c r="L2127" s="16">
        <v>3232</v>
      </c>
      <c r="M2127" s="16">
        <v>904</v>
      </c>
      <c r="N2127" s="16">
        <v>0</v>
      </c>
      <c r="O2127" s="17"/>
      <c r="P2127" s="18">
        <v>43092.249756944446</v>
      </c>
      <c r="Q2127" s="7" t="s">
        <v>287</v>
      </c>
      <c r="R2127" s="7" t="s">
        <v>14256</v>
      </c>
      <c r="S2127" s="15"/>
      <c r="T2127" s="8"/>
      <c r="U2127" s="19" t="str">
        <f>HYPERLINK("https://pbs.twimg.com/profile_images/1179433484219289600/THHfOB72.jpg","View")</f>
        <v>View</v>
      </c>
      <c r="V2127" s="8"/>
      <c r="W2127" s="8"/>
      <c r="X2127" s="8"/>
      <c r="Y2127" s="8"/>
      <c r="Z2127" s="8"/>
    </row>
    <row r="2128" spans="1:26" ht="12.75">
      <c r="A2128" s="11">
        <v>43747.230069444442</v>
      </c>
      <c r="B2128" s="12" t="str">
        <f>HYPERLINK("https://twitter.com/HazarKarakoy","@HazarKarakoy")</f>
        <v>@HazarKarakoy</v>
      </c>
      <c r="C2128" s="7" t="s">
        <v>14257</v>
      </c>
      <c r="D2128" s="7" t="s">
        <v>14258</v>
      </c>
      <c r="E2128" s="12" t="str">
        <f>HYPERLINK("https://twitter.com/HazarKarakoy/status/1181910006259732480","1181910006259732480")</f>
        <v>1181910006259732480</v>
      </c>
      <c r="F2128" s="15"/>
      <c r="G2128" s="7"/>
      <c r="H2128" s="8"/>
      <c r="I2128" s="15">
        <v>0</v>
      </c>
      <c r="J2128" s="15">
        <v>0</v>
      </c>
      <c r="K2128" s="12" t="str">
        <f>HYPERLINK("https://mobile.twitter.com","Twitter Web App")</f>
        <v>Twitter Web App</v>
      </c>
      <c r="L2128" s="16">
        <v>1454</v>
      </c>
      <c r="M2128" s="16">
        <v>89</v>
      </c>
      <c r="N2128" s="16">
        <v>0</v>
      </c>
      <c r="O2128" s="17"/>
      <c r="P2128" s="18">
        <v>40475.970868055556</v>
      </c>
      <c r="Q2128" s="7" t="s">
        <v>4645</v>
      </c>
      <c r="R2128" s="7" t="s">
        <v>14259</v>
      </c>
      <c r="S2128" s="14" t="s">
        <v>14260</v>
      </c>
      <c r="T2128" s="8"/>
      <c r="U2128" s="19" t="str">
        <f>HYPERLINK("https://pbs.twimg.com/profile_images/1047524191447240704/Xp5uafHc.jpg","View")</f>
        <v>View</v>
      </c>
      <c r="V2128" s="8"/>
      <c r="W2128" s="8"/>
      <c r="X2128" s="8"/>
      <c r="Y2128" s="8"/>
      <c r="Z2128" s="8"/>
    </row>
    <row r="2129" spans="1:26" ht="12.75">
      <c r="A2129" s="11">
        <v>43747.230057870373</v>
      </c>
      <c r="B2129" s="12" t="str">
        <f>HYPERLINK("https://twitter.com/smail_yasar","@smail_yasar")</f>
        <v>@smail_yasar</v>
      </c>
      <c r="C2129" s="7" t="s">
        <v>14261</v>
      </c>
      <c r="D2129" s="7" t="s">
        <v>14262</v>
      </c>
      <c r="E2129" s="12" t="str">
        <f>HYPERLINK("https://twitter.com/smail_yasar/status/1181910000781934604","1181910000781934604")</f>
        <v>1181910000781934604</v>
      </c>
      <c r="F2129" s="8"/>
      <c r="G2129" s="15"/>
      <c r="H2129" s="8"/>
      <c r="I2129" s="15">
        <v>0</v>
      </c>
      <c r="J2129" s="15">
        <v>1</v>
      </c>
      <c r="K2129" s="12" t="str">
        <f>HYPERLINK("http://twitter.com/download/iphone","Twitter for iPhone")</f>
        <v>Twitter for iPhone</v>
      </c>
      <c r="L2129" s="16">
        <v>541</v>
      </c>
      <c r="M2129" s="16">
        <v>746</v>
      </c>
      <c r="N2129" s="16">
        <v>0</v>
      </c>
      <c r="O2129" s="17"/>
      <c r="P2129" s="18">
        <v>42274.466319444444</v>
      </c>
      <c r="Q2129" s="7"/>
      <c r="R2129" s="7"/>
      <c r="S2129" s="7"/>
      <c r="T2129" s="8"/>
      <c r="U2129" s="19" t="str">
        <f>HYPERLINK("https://pbs.twimg.com/profile_images/1125409587195207680/vayFRplt.jpg","View")</f>
        <v>View</v>
      </c>
      <c r="V2129" s="8"/>
      <c r="W2129" s="8"/>
      <c r="X2129" s="8"/>
      <c r="Y2129" s="8"/>
      <c r="Z2129" s="8"/>
    </row>
    <row r="2130" spans="1:26" ht="12.75">
      <c r="A2130" s="11">
        <v>43747.230034722219</v>
      </c>
      <c r="B2130" s="12" t="str">
        <f>HYPERLINK("https://twitter.com/aSSS1in","@aSSS1in")</f>
        <v>@aSSS1in</v>
      </c>
      <c r="C2130" s="7" t="s">
        <v>14263</v>
      </c>
      <c r="D2130" s="7" t="s">
        <v>14264</v>
      </c>
      <c r="E2130" s="12" t="str">
        <f>HYPERLINK("https://twitter.com/aSSS1in/status/1181909991877464064","1181909991877464064")</f>
        <v>1181909991877464064</v>
      </c>
      <c r="F2130" s="8"/>
      <c r="G2130" s="7"/>
      <c r="H2130" s="8"/>
      <c r="I2130" s="15">
        <v>0</v>
      </c>
      <c r="J2130" s="15">
        <v>0</v>
      </c>
      <c r="K2130" s="12" t="str">
        <f>HYPERLINK("http://twitter.com/download/android","Twitter for Android")</f>
        <v>Twitter for Android</v>
      </c>
      <c r="L2130" s="16">
        <v>3</v>
      </c>
      <c r="M2130" s="16">
        <v>3</v>
      </c>
      <c r="N2130" s="16">
        <v>0</v>
      </c>
      <c r="O2130" s="17"/>
      <c r="P2130" s="18">
        <v>43739.550717592589</v>
      </c>
      <c r="Q2130" s="7"/>
      <c r="R2130" s="7"/>
      <c r="S2130" s="15"/>
      <c r="T2130" s="8"/>
      <c r="U2130" s="19" t="str">
        <f>HYPERLINK("https://pbs.twimg.com/profile_images/1179127845123215363/buYMqvBj.jpg","View")</f>
        <v>View</v>
      </c>
      <c r="V2130" s="8"/>
      <c r="W2130" s="8"/>
      <c r="X2130" s="8"/>
      <c r="Y2130" s="8"/>
      <c r="Z2130" s="8"/>
    </row>
    <row r="2131" spans="1:26" ht="12.75">
      <c r="A2131" s="11">
        <v>43747.230023148149</v>
      </c>
      <c r="B2131" s="12" t="str">
        <f>HYPERLINK("https://twitter.com/frkn_yrdm","@frkn_yrdm")</f>
        <v>@frkn_yrdm</v>
      </c>
      <c r="C2131" s="7" t="s">
        <v>14265</v>
      </c>
      <c r="D2131" s="7" t="s">
        <v>14266</v>
      </c>
      <c r="E2131" s="12" t="str">
        <f>HYPERLINK("https://twitter.com/frkn_yrdm/status/1181909985674051584","1181909985674051584")</f>
        <v>1181909985674051584</v>
      </c>
      <c r="F2131" s="8"/>
      <c r="G2131" s="14" t="s">
        <v>14267</v>
      </c>
      <c r="H2131" s="8"/>
      <c r="I2131" s="15">
        <v>2</v>
      </c>
      <c r="J2131" s="15">
        <v>3</v>
      </c>
      <c r="K2131" s="12" t="str">
        <f>HYPERLINK("http://twitter.com/download/android","Twitter for Android")</f>
        <v>Twitter for Android</v>
      </c>
      <c r="L2131" s="16">
        <v>32</v>
      </c>
      <c r="M2131" s="16">
        <v>32</v>
      </c>
      <c r="N2131" s="16">
        <v>0</v>
      </c>
      <c r="O2131" s="17"/>
      <c r="P2131" s="18">
        <v>42542.212210648147</v>
      </c>
      <c r="Q2131" s="7" t="s">
        <v>200</v>
      </c>
      <c r="R2131" s="7" t="s">
        <v>14268</v>
      </c>
      <c r="S2131" s="7"/>
      <c r="T2131" s="8"/>
      <c r="U2131" s="19" t="str">
        <f>HYPERLINK("https://pbs.twimg.com/profile_images/1172850697043423232/oMY_vVHy.jpg","View")</f>
        <v>View</v>
      </c>
      <c r="V2131" s="8"/>
      <c r="W2131" s="8"/>
      <c r="X2131" s="8"/>
      <c r="Y2131" s="8"/>
      <c r="Z2131" s="8"/>
    </row>
    <row r="2132" spans="1:26" ht="12.75">
      <c r="A2132" s="11">
        <v>43747.230011574073</v>
      </c>
      <c r="B2132" s="12" t="str">
        <f>HYPERLINK("https://twitter.com/MehmetMermutlu","@MehmetMermutlu")</f>
        <v>@MehmetMermutlu</v>
      </c>
      <c r="C2132" s="7" t="s">
        <v>14269</v>
      </c>
      <c r="D2132" s="7" t="s">
        <v>14270</v>
      </c>
      <c r="E2132" s="12" t="str">
        <f>HYPERLINK("https://twitter.com/MehmetMermutlu/status/1181909985174937601","1181909985174937601")</f>
        <v>1181909985174937601</v>
      </c>
      <c r="F2132" s="8"/>
      <c r="G2132" s="15"/>
      <c r="H2132" s="8"/>
      <c r="I2132" s="15">
        <v>0</v>
      </c>
      <c r="J2132" s="15">
        <v>2</v>
      </c>
      <c r="K2132" s="12" t="str">
        <f>HYPERLINK("http://twitter.com/download/iphone","Twitter for iPhone")</f>
        <v>Twitter for iPhone</v>
      </c>
      <c r="L2132" s="16">
        <v>488</v>
      </c>
      <c r="M2132" s="16">
        <v>438</v>
      </c>
      <c r="N2132" s="16">
        <v>0</v>
      </c>
      <c r="O2132" s="17"/>
      <c r="P2132" s="18">
        <v>43198.573171296295</v>
      </c>
      <c r="Q2132" s="7" t="s">
        <v>313</v>
      </c>
      <c r="R2132" s="7" t="s">
        <v>14271</v>
      </c>
      <c r="S2132" s="14" t="s">
        <v>14272</v>
      </c>
      <c r="T2132" s="8"/>
      <c r="U2132" s="19" t="str">
        <f>HYPERLINK("https://pbs.twimg.com/profile_images/1177604618009939968/ucyJVUbn.jpg","View")</f>
        <v>View</v>
      </c>
      <c r="V2132" s="8"/>
      <c r="W2132" s="8"/>
      <c r="X2132" s="8"/>
      <c r="Y2132" s="8"/>
      <c r="Z2132" s="8"/>
    </row>
    <row r="2133" spans="1:26" ht="12.75">
      <c r="A2133" s="11">
        <v>43747.230011574073</v>
      </c>
      <c r="B2133" s="12" t="str">
        <f>HYPERLINK("https://twitter.com/iKaanKusaksiz","@iKaanKusaksiz")</f>
        <v>@iKaanKusaksiz</v>
      </c>
      <c r="C2133" s="7" t="s">
        <v>14273</v>
      </c>
      <c r="D2133" s="7" t="s">
        <v>14274</v>
      </c>
      <c r="E2133" s="12" t="str">
        <f>HYPERLINK("https://twitter.com/iKaanKusaksiz/status/1181909982490611717","1181909982490611717")</f>
        <v>1181909982490611717</v>
      </c>
      <c r="F2133" s="8"/>
      <c r="G2133" s="14" t="s">
        <v>14275</v>
      </c>
      <c r="H2133" s="8"/>
      <c r="I2133" s="15">
        <v>0</v>
      </c>
      <c r="J2133" s="15">
        <v>1</v>
      </c>
      <c r="K2133" s="12" t="str">
        <f>HYPERLINK("http://twitter.com/download/iphone","Twitter for iPhone")</f>
        <v>Twitter for iPhone</v>
      </c>
      <c r="L2133" s="16">
        <v>15</v>
      </c>
      <c r="M2133" s="16">
        <v>54</v>
      </c>
      <c r="N2133" s="16">
        <v>0</v>
      </c>
      <c r="O2133" s="17"/>
      <c r="P2133" s="18">
        <v>42506.48572916667</v>
      </c>
      <c r="Q2133" s="7" t="s">
        <v>69</v>
      </c>
      <c r="R2133" s="7" t="s">
        <v>14276</v>
      </c>
      <c r="S2133" s="14" t="s">
        <v>14277</v>
      </c>
      <c r="T2133" s="8"/>
      <c r="U2133" s="19" t="str">
        <f>HYPERLINK("https://pbs.twimg.com/profile_images/1132648063498096640/-mb4mhCT.jpg","View")</f>
        <v>View</v>
      </c>
      <c r="V2133" s="8"/>
      <c r="W2133" s="8"/>
      <c r="X2133" s="8"/>
      <c r="Y2133" s="8"/>
      <c r="Z2133" s="8"/>
    </row>
    <row r="2134" spans="1:26" ht="12.75">
      <c r="A2134" s="11">
        <v>43747.229942129634</v>
      </c>
      <c r="B2134" s="12" t="str">
        <f>HYPERLINK("https://twitter.com/KjaerAga","@KjaerAga")</f>
        <v>@KjaerAga</v>
      </c>
      <c r="C2134" s="7" t="s">
        <v>14278</v>
      </c>
      <c r="D2134" s="7" t="s">
        <v>14279</v>
      </c>
      <c r="E2134" s="12" t="str">
        <f>HYPERLINK("https://twitter.com/KjaerAga/status/1181909956683059200","1181909956683059200")</f>
        <v>1181909956683059200</v>
      </c>
      <c r="F2134" s="15"/>
      <c r="G2134" s="14" t="s">
        <v>14280</v>
      </c>
      <c r="H2134" s="8"/>
      <c r="I2134" s="15">
        <v>0</v>
      </c>
      <c r="J2134" s="15">
        <v>0</v>
      </c>
      <c r="K2134" s="12" t="str">
        <f>HYPERLINK("http://twitter.com/download/iphone","Twitter for iPhone")</f>
        <v>Twitter for iPhone</v>
      </c>
      <c r="L2134" s="16">
        <v>915</v>
      </c>
      <c r="M2134" s="16">
        <v>405</v>
      </c>
      <c r="N2134" s="16">
        <v>10</v>
      </c>
      <c r="O2134" s="17"/>
      <c r="P2134" s="18">
        <v>42433.390879629631</v>
      </c>
      <c r="Q2134" s="7" t="s">
        <v>14281</v>
      </c>
      <c r="R2134" s="7" t="s">
        <v>14282</v>
      </c>
      <c r="S2134" s="15"/>
      <c r="T2134" s="8"/>
      <c r="U2134" s="19" t="str">
        <f>HYPERLINK("https://pbs.twimg.com/profile_images/1179972892974616578/Nb-rBcXN.jpg","View")</f>
        <v>View</v>
      </c>
      <c r="V2134" s="8"/>
      <c r="W2134" s="8"/>
      <c r="X2134" s="8"/>
      <c r="Y2134" s="8"/>
      <c r="Z2134" s="8"/>
    </row>
    <row r="2135" spans="1:26" ht="12.75">
      <c r="A2135" s="11">
        <v>43747.229895833334</v>
      </c>
      <c r="B2135" s="12" t="str">
        <f>HYPERLINK("https://twitter.com/yanar_sevcan","@yanar_sevcan")</f>
        <v>@yanar_sevcan</v>
      </c>
      <c r="C2135" s="7" t="s">
        <v>14283</v>
      </c>
      <c r="D2135" s="7" t="s">
        <v>14284</v>
      </c>
      <c r="E2135" s="12" t="str">
        <f>HYPERLINK("https://twitter.com/yanar_sevcan/status/1181909943420702722","1181909943420702722")</f>
        <v>1181909943420702722</v>
      </c>
      <c r="F2135" s="8"/>
      <c r="G2135" s="14" t="s">
        <v>14285</v>
      </c>
      <c r="H2135" s="8"/>
      <c r="I2135" s="15">
        <v>0</v>
      </c>
      <c r="J2135" s="15">
        <v>0</v>
      </c>
      <c r="K2135" s="12" t="str">
        <f>HYPERLINK("http://twitter.com","Twitter Web Client")</f>
        <v>Twitter Web Client</v>
      </c>
      <c r="L2135" s="16">
        <v>3</v>
      </c>
      <c r="M2135" s="16">
        <v>0</v>
      </c>
      <c r="N2135" s="16">
        <v>0</v>
      </c>
      <c r="O2135" s="17"/>
      <c r="P2135" s="18">
        <v>43683.882152777776</v>
      </c>
      <c r="Q2135" s="7" t="s">
        <v>1408</v>
      </c>
      <c r="R2135" s="7" t="s">
        <v>14286</v>
      </c>
      <c r="S2135" s="7"/>
      <c r="T2135" s="8"/>
      <c r="U2135" s="19" t="str">
        <f>HYPERLINK("https://pbs.twimg.com/profile_images/1167223665227964416/Z0-k7SHj.jpg","View")</f>
        <v>View</v>
      </c>
      <c r="V2135" s="8"/>
      <c r="W2135" s="8"/>
      <c r="X2135" s="8"/>
      <c r="Y2135" s="8"/>
      <c r="Z2135" s="8"/>
    </row>
    <row r="2136" spans="1:26" ht="12.75">
      <c r="A2136" s="11">
        <v>43747.229895833334</v>
      </c>
      <c r="B2136" s="12" t="str">
        <f>HYPERLINK("https://twitter.com/fatihvskamil","@fatihvskamil")</f>
        <v>@fatihvskamil</v>
      </c>
      <c r="C2136" s="7" t="s">
        <v>14287</v>
      </c>
      <c r="D2136" s="7" t="s">
        <v>14288</v>
      </c>
      <c r="E2136" s="12" t="str">
        <f>HYPERLINK("https://twitter.com/fatihvskamil/status/1181909940031705088","1181909940031705088")</f>
        <v>1181909940031705088</v>
      </c>
      <c r="F2136" s="8"/>
      <c r="G2136" s="14" t="s">
        <v>14289</v>
      </c>
      <c r="H2136" s="8"/>
      <c r="I2136" s="15">
        <v>0</v>
      </c>
      <c r="J2136" s="15">
        <v>0</v>
      </c>
      <c r="K2136" s="12" t="str">
        <f>HYPERLINK("http://twitter.com/download/android","Twitter for Android")</f>
        <v>Twitter for Android</v>
      </c>
      <c r="L2136" s="16">
        <v>33</v>
      </c>
      <c r="M2136" s="16">
        <v>80</v>
      </c>
      <c r="N2136" s="16">
        <v>0</v>
      </c>
      <c r="O2136" s="17"/>
      <c r="P2136" s="18">
        <v>42080.493171296301</v>
      </c>
      <c r="Q2136" s="7"/>
      <c r="R2136" s="7"/>
      <c r="S2136" s="7"/>
      <c r="T2136" s="8"/>
      <c r="U2136" s="19" t="str">
        <f>HYPERLINK("https://pbs.twimg.com/profile_images/1144364004569227264/DA7eoKVh.jpg","View")</f>
        <v>View</v>
      </c>
      <c r="V2136" s="8"/>
      <c r="W2136" s="8"/>
      <c r="X2136" s="8"/>
      <c r="Y2136" s="8"/>
      <c r="Z2136" s="8"/>
    </row>
    <row r="2137" spans="1:26" ht="12.75">
      <c r="A2137" s="11">
        <v>43747.229756944449</v>
      </c>
      <c r="B2137" s="12" t="str">
        <f>HYPERLINK("https://twitter.com/robinamcaAwp","@robinamcaAwp")</f>
        <v>@robinamcaAwp</v>
      </c>
      <c r="C2137" s="7" t="s">
        <v>14290</v>
      </c>
      <c r="D2137" s="7" t="s">
        <v>160</v>
      </c>
      <c r="E2137" s="12" t="str">
        <f>HYPERLINK("https://twitter.com/robinamcaAwp/status/1181909891067318274","1181909891067318274")</f>
        <v>1181909891067318274</v>
      </c>
      <c r="F2137" s="8"/>
      <c r="G2137" s="15"/>
      <c r="H2137" s="8"/>
      <c r="I2137" s="15">
        <v>0</v>
      </c>
      <c r="J2137" s="15">
        <v>0</v>
      </c>
      <c r="K2137" s="12" t="str">
        <f>HYPERLINK("http://twitter.com/download/iphone","Twitter for iPhone")</f>
        <v>Twitter for iPhone</v>
      </c>
      <c r="L2137" s="16">
        <v>43</v>
      </c>
      <c r="M2137" s="16">
        <v>80</v>
      </c>
      <c r="N2137" s="16">
        <v>0</v>
      </c>
      <c r="O2137" s="17"/>
      <c r="P2137" s="18">
        <v>43543.593622685185</v>
      </c>
      <c r="Q2137" s="7" t="s">
        <v>7949</v>
      </c>
      <c r="R2137" s="7" t="s">
        <v>14291</v>
      </c>
      <c r="S2137" s="15"/>
      <c r="T2137" s="8"/>
      <c r="U2137" s="19" t="str">
        <f>HYPERLINK("https://pbs.twimg.com/profile_images/1179013848424177666/9E34jlBk.jpg","View")</f>
        <v>View</v>
      </c>
      <c r="V2137" s="8"/>
      <c r="W2137" s="8"/>
      <c r="X2137" s="8"/>
      <c r="Y2137" s="8"/>
      <c r="Z2137" s="8"/>
    </row>
    <row r="2138" spans="1:26" ht="12.75">
      <c r="A2138" s="11">
        <v>43747.229745370365</v>
      </c>
      <c r="B2138" s="12" t="str">
        <f>HYPERLINK("https://twitter.com/BozbiyikIsmail","@BozbiyikIsmail")</f>
        <v>@BozbiyikIsmail</v>
      </c>
      <c r="C2138" s="7" t="s">
        <v>14292</v>
      </c>
      <c r="D2138" s="13" t="s">
        <v>14293</v>
      </c>
      <c r="E2138" s="12" t="str">
        <f>HYPERLINK("https://twitter.com/BozbiyikIsmail/status/1181909888710168578","1181909888710168578")</f>
        <v>1181909888710168578</v>
      </c>
      <c r="F2138" s="8"/>
      <c r="G2138" s="14" t="s">
        <v>14294</v>
      </c>
      <c r="H2138" s="8"/>
      <c r="I2138" s="15">
        <v>0</v>
      </c>
      <c r="J2138" s="15">
        <v>0</v>
      </c>
      <c r="K2138" s="12" t="str">
        <f>HYPERLINK("http://twitter.com/download/android","Twitter for Android")</f>
        <v>Twitter for Android</v>
      </c>
      <c r="L2138" s="16">
        <v>33</v>
      </c>
      <c r="M2138" s="16">
        <v>58</v>
      </c>
      <c r="N2138" s="16">
        <v>0</v>
      </c>
      <c r="O2138" s="17"/>
      <c r="P2138" s="18">
        <v>43518.553645833337</v>
      </c>
      <c r="Q2138" s="7"/>
      <c r="R2138" s="13"/>
      <c r="S2138" s="15"/>
      <c r="T2138" s="8"/>
      <c r="U2138" s="19" t="str">
        <f>HYPERLINK("https://pbs.twimg.com/profile_images/1099056672394407936/Sv0U5Rjb.jpg","View")</f>
        <v>View</v>
      </c>
      <c r="V2138" s="8"/>
      <c r="W2138" s="8"/>
      <c r="X2138" s="8"/>
      <c r="Y2138" s="8"/>
      <c r="Z2138" s="8"/>
    </row>
    <row r="2139" spans="1:26" ht="12.75">
      <c r="A2139" s="11">
        <v>43747.229571759264</v>
      </c>
      <c r="B2139" s="12" t="str">
        <f>HYPERLINK("https://twitter.com/ibrahim_igci","@ibrahim_igci")</f>
        <v>@ibrahim_igci</v>
      </c>
      <c r="C2139" s="7" t="s">
        <v>14295</v>
      </c>
      <c r="D2139" s="7" t="s">
        <v>14258</v>
      </c>
      <c r="E2139" s="12" t="str">
        <f>HYPERLINK("https://twitter.com/ibrahim_igci/status/1181909824138862592","1181909824138862592")</f>
        <v>1181909824138862592</v>
      </c>
      <c r="F2139" s="8"/>
      <c r="G2139" s="14" t="s">
        <v>14296</v>
      </c>
      <c r="H2139" s="8"/>
      <c r="I2139" s="15">
        <v>0</v>
      </c>
      <c r="J2139" s="15">
        <v>0</v>
      </c>
      <c r="K2139" s="12" t="str">
        <f>HYPERLINK("http://twitter.com/download/android","Twitter for Android")</f>
        <v>Twitter for Android</v>
      </c>
      <c r="L2139" s="16">
        <v>36</v>
      </c>
      <c r="M2139" s="16">
        <v>132</v>
      </c>
      <c r="N2139" s="16">
        <v>0</v>
      </c>
      <c r="O2139" s="17"/>
      <c r="P2139" s="18">
        <v>42725.068194444444</v>
      </c>
      <c r="Q2139" s="7"/>
      <c r="R2139" s="7" t="s">
        <v>14297</v>
      </c>
      <c r="S2139" s="7"/>
      <c r="T2139" s="8"/>
      <c r="U2139" s="19" t="str">
        <f>HYPERLINK("https://pbs.twimg.com/profile_images/1095630296584720384/E3mrz83F.jpg","View")</f>
        <v>View</v>
      </c>
      <c r="V2139" s="8"/>
      <c r="W2139" s="8"/>
      <c r="X2139" s="8"/>
      <c r="Y2139" s="8"/>
      <c r="Z2139" s="8"/>
    </row>
    <row r="2140" spans="1:26" ht="12.75">
      <c r="A2140" s="11">
        <v>43747.229502314818</v>
      </c>
      <c r="B2140" s="12" t="str">
        <f>HYPERLINK("https://twitter.com/reiscisezo","@reiscisezo")</f>
        <v>@reiscisezo</v>
      </c>
      <c r="C2140" s="7" t="s">
        <v>14298</v>
      </c>
      <c r="D2140" s="7" t="s">
        <v>14299</v>
      </c>
      <c r="E2140" s="12" t="str">
        <f>HYPERLINK("https://twitter.com/reiscisezo/status/1181909800738787328","1181909800738787328")</f>
        <v>1181909800738787328</v>
      </c>
      <c r="F2140" s="8"/>
      <c r="G2140" s="7"/>
      <c r="H2140" s="8"/>
      <c r="I2140" s="15">
        <v>0</v>
      </c>
      <c r="J2140" s="15">
        <v>0</v>
      </c>
      <c r="K2140" s="12" t="str">
        <f>HYPERLINK("https://mobile.twitter.com","Twitter Web App")</f>
        <v>Twitter Web App</v>
      </c>
      <c r="L2140" s="16">
        <v>7374</v>
      </c>
      <c r="M2140" s="16">
        <v>4958</v>
      </c>
      <c r="N2140" s="16">
        <v>16</v>
      </c>
      <c r="O2140" s="17"/>
      <c r="P2140" s="18">
        <v>42013.011307870373</v>
      </c>
      <c r="Q2140" s="7">
        <v>63</v>
      </c>
      <c r="R2140" s="7" t="s">
        <v>14300</v>
      </c>
      <c r="S2140" s="7"/>
      <c r="T2140" s="8"/>
      <c r="U2140" s="19" t="str">
        <f>HYPERLINK("https://pbs.twimg.com/profile_images/1068043697751760896/fbYVWCnO.jpg","View")</f>
        <v>View</v>
      </c>
      <c r="V2140" s="8"/>
      <c r="W2140" s="8"/>
      <c r="X2140" s="8"/>
      <c r="Y2140" s="8"/>
      <c r="Z2140" s="8"/>
    </row>
    <row r="2141" spans="1:26" ht="12.75">
      <c r="A2141" s="11">
        <v>43747.229386574079</v>
      </c>
      <c r="B2141" s="12" t="str">
        <f>HYPERLINK("https://twitter.com/TC_BildisKemal","@TC_BildisKemal")</f>
        <v>@TC_BildisKemal</v>
      </c>
      <c r="C2141" s="7" t="s">
        <v>14301</v>
      </c>
      <c r="D2141" s="7" t="s">
        <v>14302</v>
      </c>
      <c r="E2141" s="12" t="str">
        <f>HYPERLINK("https://twitter.com/TC_BildisKemal/status/1181909756442791937","1181909756442791937")</f>
        <v>1181909756442791937</v>
      </c>
      <c r="F2141" s="8" t="s">
        <v>14303</v>
      </c>
      <c r="G2141" s="14" t="s">
        <v>14304</v>
      </c>
      <c r="H2141" s="8"/>
      <c r="I2141" s="15">
        <v>1</v>
      </c>
      <c r="J2141" s="15">
        <v>1</v>
      </c>
      <c r="K2141" s="12" t="str">
        <f>HYPERLINK("https://mobile.twitter.com","Twitter Web App")</f>
        <v>Twitter Web App</v>
      </c>
      <c r="L2141" s="16">
        <v>15210</v>
      </c>
      <c r="M2141" s="16">
        <v>10971</v>
      </c>
      <c r="N2141" s="16">
        <v>8</v>
      </c>
      <c r="O2141" s="17"/>
      <c r="P2141" s="18">
        <v>42577.340543981481</v>
      </c>
      <c r="Q2141" s="7"/>
      <c r="R2141" s="7" t="s">
        <v>14305</v>
      </c>
      <c r="S2141" s="14" t="s">
        <v>8179</v>
      </c>
      <c r="T2141" s="8"/>
      <c r="U2141" s="19" t="str">
        <f>HYPERLINK("https://pbs.twimg.com/profile_images/1038108934836576256/XZwBAJVK.jpg","View")</f>
        <v>View</v>
      </c>
      <c r="V2141" s="8"/>
      <c r="W2141" s="8"/>
      <c r="X2141" s="8"/>
      <c r="Y2141" s="8"/>
      <c r="Z2141" s="8"/>
    </row>
    <row r="2142" spans="1:26" ht="12.75">
      <c r="A2142" s="11">
        <v>43747.229259259257</v>
      </c>
      <c r="B2142" s="12" t="str">
        <f>HYPERLINK("https://twitter.com/NsrnelsN","@NsrnelsN")</f>
        <v>@NsrnelsN</v>
      </c>
      <c r="C2142" s="7" t="s">
        <v>14306</v>
      </c>
      <c r="D2142" s="7" t="s">
        <v>14307</v>
      </c>
      <c r="E2142" s="12" t="str">
        <f>HYPERLINK("https://twitter.com/NsrnelsN/status/1181909712008351751","1181909712008351751")</f>
        <v>1181909712008351751</v>
      </c>
      <c r="F2142" s="8" t="s">
        <v>14308</v>
      </c>
      <c r="G2142" s="15"/>
      <c r="H2142" s="8"/>
      <c r="I2142" s="15">
        <v>0</v>
      </c>
      <c r="J2142" s="15">
        <v>0</v>
      </c>
      <c r="K2142" s="12" t="str">
        <f>HYPERLINK("http://twitter.com/download/android","Twitter for Android")</f>
        <v>Twitter for Android</v>
      </c>
      <c r="L2142" s="16">
        <v>117</v>
      </c>
      <c r="M2142" s="16">
        <v>267</v>
      </c>
      <c r="N2142" s="16">
        <v>0</v>
      </c>
      <c r="O2142" s="17"/>
      <c r="P2142" s="18">
        <v>40800.369733796295</v>
      </c>
      <c r="Q2142" s="7" t="s">
        <v>860</v>
      </c>
      <c r="R2142" s="7" t="s">
        <v>14309</v>
      </c>
      <c r="S2142" s="15"/>
      <c r="T2142" s="8"/>
      <c r="U2142" s="19" t="str">
        <f>HYPERLINK("https://pbs.twimg.com/profile_images/1158116918374686721/vV3nuPoC.jpg","View")</f>
        <v>View</v>
      </c>
      <c r="V2142" s="8"/>
      <c r="W2142" s="8"/>
      <c r="X2142" s="8"/>
      <c r="Y2142" s="8"/>
      <c r="Z2142" s="8"/>
    </row>
    <row r="2143" spans="1:26" ht="12.75">
      <c r="A2143" s="11">
        <v>43747.229155092587</v>
      </c>
      <c r="B2143" s="12" t="str">
        <f>HYPERLINK("https://twitter.com/gmay_umut","@gmay_umut")</f>
        <v>@gmay_umut</v>
      </c>
      <c r="C2143" s="7" t="s">
        <v>14310</v>
      </c>
      <c r="D2143" s="7" t="s">
        <v>14311</v>
      </c>
      <c r="E2143" s="12" t="str">
        <f>HYPERLINK("https://twitter.com/gmay_umut/status/1181909671873056768","1181909671873056768")</f>
        <v>1181909671873056768</v>
      </c>
      <c r="F2143" s="8"/>
      <c r="G2143" s="14" t="s">
        <v>14312</v>
      </c>
      <c r="H2143" s="8"/>
      <c r="I2143" s="15">
        <v>0</v>
      </c>
      <c r="J2143" s="15">
        <v>1</v>
      </c>
      <c r="K2143" s="12" t="str">
        <f>HYPERLINK("http://twitter.com","Twitter Web Client")</f>
        <v>Twitter Web Client</v>
      </c>
      <c r="L2143" s="16">
        <v>14</v>
      </c>
      <c r="M2143" s="16">
        <v>0</v>
      </c>
      <c r="N2143" s="16">
        <v>0</v>
      </c>
      <c r="O2143" s="17"/>
      <c r="P2143" s="18">
        <v>43595.3596412037</v>
      </c>
      <c r="Q2143" s="7" t="s">
        <v>2350</v>
      </c>
      <c r="R2143" s="7" t="s">
        <v>14313</v>
      </c>
      <c r="S2143" s="7"/>
      <c r="T2143" s="8"/>
      <c r="U2143" s="19" t="str">
        <f>HYPERLINK("https://pbs.twimg.com/profile_images/1130844275527147528/cq3rruhW.jpg","View")</f>
        <v>View</v>
      </c>
      <c r="V2143" s="8"/>
      <c r="W2143" s="8"/>
      <c r="X2143" s="8"/>
      <c r="Y2143" s="8"/>
      <c r="Z2143" s="8"/>
    </row>
    <row r="2144" spans="1:26" ht="12.75">
      <c r="A2144" s="11">
        <v>43747.229027777779</v>
      </c>
      <c r="B2144" s="12" t="str">
        <f>HYPERLINK("https://twitter.com/DerenYayla1","@DerenYayla1")</f>
        <v>@DerenYayla1</v>
      </c>
      <c r="C2144" s="7" t="s">
        <v>14314</v>
      </c>
      <c r="D2144" s="7" t="s">
        <v>160</v>
      </c>
      <c r="E2144" s="12" t="str">
        <f>HYPERLINK("https://twitter.com/DerenYayla1/status/1181909626289377280","1181909626289377280")</f>
        <v>1181909626289377280</v>
      </c>
      <c r="F2144" s="8"/>
      <c r="G2144" s="14" t="s">
        <v>14315</v>
      </c>
      <c r="H2144" s="8"/>
      <c r="I2144" s="15">
        <v>0</v>
      </c>
      <c r="J2144" s="15">
        <v>0</v>
      </c>
      <c r="K2144" s="12" t="str">
        <f>HYPERLINK("http://twitter.com/download/android","Twitter for Android")</f>
        <v>Twitter for Android</v>
      </c>
      <c r="L2144" s="16">
        <v>13</v>
      </c>
      <c r="M2144" s="16">
        <v>16</v>
      </c>
      <c r="N2144" s="16">
        <v>0</v>
      </c>
      <c r="O2144" s="17"/>
      <c r="P2144" s="18">
        <v>43157.295231481483</v>
      </c>
      <c r="Q2144" s="7"/>
      <c r="R2144" s="7"/>
      <c r="S2144" s="7"/>
      <c r="T2144" s="8"/>
      <c r="U2144" s="19" t="str">
        <f>HYPERLINK("https://pbs.twimg.com/profile_images/1181327478406569984/_SfL0GXO.jpg","View")</f>
        <v>View</v>
      </c>
      <c r="V2144" s="8"/>
      <c r="W2144" s="8"/>
      <c r="X2144" s="8"/>
      <c r="Y2144" s="8"/>
      <c r="Z2144" s="8"/>
    </row>
    <row r="2145" spans="1:26" ht="12.75">
      <c r="A2145" s="11">
        <v>43747.228946759264</v>
      </c>
      <c r="B2145" s="12" t="str">
        <f>HYPERLINK("https://twitter.com/goncakapucu","@goncakapucu")</f>
        <v>@goncakapucu</v>
      </c>
      <c r="C2145" s="7" t="s">
        <v>14316</v>
      </c>
      <c r="D2145" s="7" t="s">
        <v>14317</v>
      </c>
      <c r="E2145" s="12" t="str">
        <f>HYPERLINK("https://twitter.com/goncakapucu/status/1181909598850228228","1181909598850228228")</f>
        <v>1181909598850228228</v>
      </c>
      <c r="F2145" s="8"/>
      <c r="G2145" s="7"/>
      <c r="H2145" s="8"/>
      <c r="I2145" s="15">
        <v>0</v>
      </c>
      <c r="J2145" s="15">
        <v>0</v>
      </c>
      <c r="K2145" s="12" t="str">
        <f>HYPERLINK("http://twitter.com/download/android","Twitter for Android")</f>
        <v>Twitter for Android</v>
      </c>
      <c r="L2145" s="16">
        <v>29</v>
      </c>
      <c r="M2145" s="16">
        <v>120</v>
      </c>
      <c r="N2145" s="16">
        <v>0</v>
      </c>
      <c r="O2145" s="17"/>
      <c r="P2145" s="18">
        <v>41519.435497685183</v>
      </c>
      <c r="Q2145" s="7"/>
      <c r="R2145" s="7" t="s">
        <v>14318</v>
      </c>
      <c r="S2145" s="15"/>
      <c r="T2145" s="8"/>
      <c r="U2145" s="19" t="str">
        <f>HYPERLINK("https://pbs.twimg.com/profile_images/994672039930810370/-sgH-q18.jpg","View")</f>
        <v>View</v>
      </c>
      <c r="V2145" s="8"/>
      <c r="W2145" s="8"/>
      <c r="X2145" s="8"/>
      <c r="Y2145" s="8"/>
      <c r="Z2145" s="8"/>
    </row>
    <row r="2146" spans="1:26" ht="12.75">
      <c r="A2146" s="11">
        <v>43747.22892361111</v>
      </c>
      <c r="B2146" s="12" t="str">
        <f>HYPERLINK("https://twitter.com/tayyibenurtknnn","@tayyibenurtknnn")</f>
        <v>@tayyibenurtknnn</v>
      </c>
      <c r="C2146" s="7" t="s">
        <v>14319</v>
      </c>
      <c r="D2146" s="7" t="s">
        <v>14320</v>
      </c>
      <c r="E2146" s="12" t="str">
        <f>HYPERLINK("https://twitter.com/tayyibenurtknnn/status/1181909588343508994","1181909588343508994")</f>
        <v>1181909588343508994</v>
      </c>
      <c r="F2146" s="8"/>
      <c r="G2146" s="7"/>
      <c r="H2146" s="8"/>
      <c r="I2146" s="15">
        <v>0</v>
      </c>
      <c r="J2146" s="15">
        <v>2</v>
      </c>
      <c r="K2146" s="12" t="str">
        <f>HYPERLINK("http://twitter.com/download/android","Twitter for Android")</f>
        <v>Twitter for Android</v>
      </c>
      <c r="L2146" s="16">
        <v>709</v>
      </c>
      <c r="M2146" s="16">
        <v>229</v>
      </c>
      <c r="N2146" s="16">
        <v>0</v>
      </c>
      <c r="O2146" s="17"/>
      <c r="P2146" s="18">
        <v>43494.577210648145</v>
      </c>
      <c r="Q2146" s="7" t="s">
        <v>14321</v>
      </c>
      <c r="R2146" s="7" t="s">
        <v>14322</v>
      </c>
      <c r="S2146" s="7"/>
      <c r="T2146" s="8"/>
      <c r="U2146" s="19" t="str">
        <f>HYPERLINK("https://pbs.twimg.com/profile_images/1180644901761011712/HYAB_Y-z.jpg","View")</f>
        <v>View</v>
      </c>
      <c r="V2146" s="8"/>
      <c r="W2146" s="8"/>
      <c r="X2146" s="8"/>
      <c r="Y2146" s="8"/>
      <c r="Z2146" s="8"/>
    </row>
    <row r="2147" spans="1:26" ht="12.75">
      <c r="A2147" s="11">
        <v>43747.228831018518</v>
      </c>
      <c r="B2147" s="12" t="str">
        <f>HYPERLINK("https://twitter.com/rabis4574","@rabis4574")</f>
        <v>@rabis4574</v>
      </c>
      <c r="C2147" s="7" t="s">
        <v>14323</v>
      </c>
      <c r="D2147" s="7" t="s">
        <v>14324</v>
      </c>
      <c r="E2147" s="12" t="str">
        <f>HYPERLINK("https://twitter.com/rabis4574/status/1181909555057500160","1181909555057500160")</f>
        <v>1181909555057500160</v>
      </c>
      <c r="F2147" s="8"/>
      <c r="G2147" s="14" t="s">
        <v>14325</v>
      </c>
      <c r="H2147" s="8"/>
      <c r="I2147" s="15">
        <v>1</v>
      </c>
      <c r="J2147" s="15">
        <v>2</v>
      </c>
      <c r="K2147" s="12" t="str">
        <f>HYPERLINK("http://twitter.com/download/android","Twitter for Android")</f>
        <v>Twitter for Android</v>
      </c>
      <c r="L2147" s="16">
        <v>1178</v>
      </c>
      <c r="M2147" s="16">
        <v>1157</v>
      </c>
      <c r="N2147" s="16">
        <v>0</v>
      </c>
      <c r="O2147" s="17"/>
      <c r="P2147" s="18">
        <v>43234.530914351853</v>
      </c>
      <c r="Q2147" s="7"/>
      <c r="R2147" s="7" t="s">
        <v>14326</v>
      </c>
      <c r="S2147" s="7"/>
      <c r="T2147" s="8"/>
      <c r="U2147" s="19" t="str">
        <f>HYPERLINK("https://pbs.twimg.com/profile_images/1168544690733498368/fYU6OhV-.jpg","View")</f>
        <v>View</v>
      </c>
      <c r="V2147" s="8"/>
      <c r="W2147" s="8"/>
      <c r="X2147" s="8"/>
      <c r="Y2147" s="8"/>
      <c r="Z2147" s="8"/>
    </row>
    <row r="2148" spans="1:26" ht="12.75">
      <c r="A2148" s="11">
        <v>43747.228680555556</v>
      </c>
      <c r="B2148" s="12" t="str">
        <f>HYPERLINK("https://twitter.com/Enibull1","@Enibull1")</f>
        <v>@Enibull1</v>
      </c>
      <c r="C2148" s="7" t="s">
        <v>14327</v>
      </c>
      <c r="D2148" s="7" t="s">
        <v>14328</v>
      </c>
      <c r="E2148" s="12" t="str">
        <f>HYPERLINK("https://twitter.com/Enibull1/status/1181909499180994560","1181909499180994560")</f>
        <v>1181909499180994560</v>
      </c>
      <c r="F2148" s="14" t="s">
        <v>14329</v>
      </c>
      <c r="G2148" s="15"/>
      <c r="H2148" s="8"/>
      <c r="I2148" s="15">
        <v>0</v>
      </c>
      <c r="J2148" s="15">
        <v>0</v>
      </c>
      <c r="K2148" s="12" t="str">
        <f>HYPERLINK("http://twitter.com/download/android","Twitter for Android")</f>
        <v>Twitter for Android</v>
      </c>
      <c r="L2148" s="16">
        <v>47</v>
      </c>
      <c r="M2148" s="16">
        <v>119</v>
      </c>
      <c r="N2148" s="16">
        <v>0</v>
      </c>
      <c r="O2148" s="17"/>
      <c r="P2148" s="18">
        <v>43746.649004629631</v>
      </c>
      <c r="Q2148" s="7"/>
      <c r="R2148" s="14" t="s">
        <v>14330</v>
      </c>
      <c r="S2148" s="7"/>
      <c r="T2148" s="8"/>
      <c r="U2148" s="19" t="str">
        <f>HYPERLINK("https://pbs.twimg.com/profile_images/1181699819099832320/DyKmedT4.jpg","View")</f>
        <v>View</v>
      </c>
      <c r="V2148" s="8"/>
      <c r="W2148" s="8"/>
      <c r="X2148" s="8"/>
      <c r="Y2148" s="8"/>
      <c r="Z2148" s="8"/>
    </row>
    <row r="2149" spans="1:26" ht="12.75">
      <c r="A2149" s="11">
        <v>43747.228599537033</v>
      </c>
      <c r="B2149" s="12" t="str">
        <f>HYPERLINK("https://twitter.com/gokhankhrman","@gokhankhrman")</f>
        <v>@gokhankhrman</v>
      </c>
      <c r="C2149" s="7" t="s">
        <v>14331</v>
      </c>
      <c r="D2149" s="7" t="s">
        <v>14332</v>
      </c>
      <c r="E2149" s="12" t="str">
        <f>HYPERLINK("https://twitter.com/gokhankhrman/status/1181909473096605696","1181909473096605696")</f>
        <v>1181909473096605696</v>
      </c>
      <c r="F2149" s="8"/>
      <c r="G2149" s="14" t="s">
        <v>14333</v>
      </c>
      <c r="H2149" s="8"/>
      <c r="I2149" s="15">
        <v>1</v>
      </c>
      <c r="J2149" s="15">
        <v>1</v>
      </c>
      <c r="K2149" s="12" t="str">
        <f>HYPERLINK("http://twitter.com/download/iphone","Twitter for iPhone")</f>
        <v>Twitter for iPhone</v>
      </c>
      <c r="L2149" s="16">
        <v>2812</v>
      </c>
      <c r="M2149" s="16">
        <v>2095</v>
      </c>
      <c r="N2149" s="16">
        <v>1</v>
      </c>
      <c r="O2149" s="17"/>
      <c r="P2149" s="18">
        <v>43603.109594907408</v>
      </c>
      <c r="Q2149" s="7"/>
      <c r="R2149" s="7" t="s">
        <v>14334</v>
      </c>
      <c r="S2149" s="7"/>
      <c r="T2149" s="8"/>
      <c r="U2149" s="19" t="str">
        <f>HYPERLINK("https://pbs.twimg.com/profile_images/1181758364172345344/rK88I529.jpg","View")</f>
        <v>View</v>
      </c>
      <c r="V2149" s="8"/>
      <c r="W2149" s="8"/>
      <c r="X2149" s="8"/>
      <c r="Y2149" s="8"/>
      <c r="Z2149" s="8"/>
    </row>
    <row r="2150" spans="1:26" ht="12.75">
      <c r="A2150" s="11">
        <v>43747.22856481481</v>
      </c>
      <c r="B2150" s="12" t="str">
        <f>HYPERLINK("https://twitter.com/xparaklietosx","@xparaklietosx")</f>
        <v>@xparaklietosx</v>
      </c>
      <c r="C2150" s="7" t="s">
        <v>14335</v>
      </c>
      <c r="D2150" s="7" t="s">
        <v>14336</v>
      </c>
      <c r="E2150" s="12" t="str">
        <f>HYPERLINK("https://twitter.com/xparaklietosx/status/1181909459708366850","1181909459708366850")</f>
        <v>1181909459708366850</v>
      </c>
      <c r="F2150" s="8"/>
      <c r="G2150" s="15"/>
      <c r="H2150" s="8"/>
      <c r="I2150" s="15">
        <v>0</v>
      </c>
      <c r="J2150" s="15">
        <v>0</v>
      </c>
      <c r="K2150" s="12" t="str">
        <f>HYPERLINK("http://twitter.com/download/iphone","Twitter for iPhone")</f>
        <v>Twitter for iPhone</v>
      </c>
      <c r="L2150" s="16">
        <v>3508</v>
      </c>
      <c r="M2150" s="16">
        <v>3653</v>
      </c>
      <c r="N2150" s="16">
        <v>11</v>
      </c>
      <c r="O2150" s="17"/>
      <c r="P2150" s="18">
        <v>41486.782199074078</v>
      </c>
      <c r="Q2150" s="7"/>
      <c r="R2150" s="7" t="s">
        <v>14337</v>
      </c>
      <c r="S2150" s="15"/>
      <c r="T2150" s="8"/>
      <c r="U2150" s="19" t="str">
        <f>HYPERLINK("https://pbs.twimg.com/profile_images/671428358052429824/XV4qxZN-.jpg","View")</f>
        <v>View</v>
      </c>
      <c r="V2150" s="8"/>
      <c r="W2150" s="8"/>
      <c r="X2150" s="8"/>
      <c r="Y2150" s="8"/>
      <c r="Z2150" s="8"/>
    </row>
    <row r="2151" spans="1:26" ht="12.75">
      <c r="A2151" s="11">
        <v>43747.228518518517</v>
      </c>
      <c r="B2151" s="12" t="str">
        <f>HYPERLINK("https://twitter.com/elif_ozr","@elif_ozr")</f>
        <v>@elif_ozr</v>
      </c>
      <c r="C2151" s="7" t="s">
        <v>14338</v>
      </c>
      <c r="D2151" s="7" t="s">
        <v>14339</v>
      </c>
      <c r="E2151" s="12" t="str">
        <f>HYPERLINK("https://twitter.com/elif_ozr/status/1181909442335510535","1181909442335510535")</f>
        <v>1181909442335510535</v>
      </c>
      <c r="F2151" s="8"/>
      <c r="G2151" s="14" t="s">
        <v>14340</v>
      </c>
      <c r="H2151" s="8"/>
      <c r="I2151" s="15">
        <v>0</v>
      </c>
      <c r="J2151" s="15">
        <v>0</v>
      </c>
      <c r="K2151" s="12" t="str">
        <f>HYPERLINK("http://twitter.com/download/android","Twitter for Android")</f>
        <v>Twitter for Android</v>
      </c>
      <c r="L2151" s="16">
        <v>83</v>
      </c>
      <c r="M2151" s="16">
        <v>46</v>
      </c>
      <c r="N2151" s="16">
        <v>0</v>
      </c>
      <c r="O2151" s="17"/>
      <c r="P2151" s="18">
        <v>41024.373541666668</v>
      </c>
      <c r="Q2151" s="7"/>
      <c r="R2151" s="7"/>
      <c r="S2151" s="7"/>
      <c r="T2151" s="8"/>
      <c r="U2151" s="19" t="str">
        <f>HYPERLINK("https://pbs.twimg.com/profile_images/1181370474045026305/33fbPN8g.jpg","View")</f>
        <v>View</v>
      </c>
      <c r="V2151" s="8"/>
      <c r="W2151" s="8"/>
      <c r="X2151" s="8"/>
      <c r="Y2151" s="8"/>
      <c r="Z2151" s="8"/>
    </row>
    <row r="2152" spans="1:26" ht="12.75">
      <c r="A2152" s="11">
        <v>43747.228483796294</v>
      </c>
      <c r="B2152" s="12" t="str">
        <f>HYPERLINK("https://twitter.com/altay_bayraktar","@altay_bayraktar")</f>
        <v>@altay_bayraktar</v>
      </c>
      <c r="C2152" s="7" t="s">
        <v>14341</v>
      </c>
      <c r="D2152" s="7" t="s">
        <v>160</v>
      </c>
      <c r="E2152" s="12" t="str">
        <f>HYPERLINK("https://twitter.com/altay_bayraktar/status/1181909431321272322","1181909431321272322")</f>
        <v>1181909431321272322</v>
      </c>
      <c r="F2152" s="8"/>
      <c r="G2152" s="14" t="s">
        <v>14342</v>
      </c>
      <c r="H2152" s="8"/>
      <c r="I2152" s="15">
        <v>0</v>
      </c>
      <c r="J2152" s="15">
        <v>0</v>
      </c>
      <c r="K2152" s="12" t="str">
        <f>HYPERLINK("https://mobile.twitter.com","Twitter Web App")</f>
        <v>Twitter Web App</v>
      </c>
      <c r="L2152" s="16">
        <v>5</v>
      </c>
      <c r="M2152" s="16">
        <v>95</v>
      </c>
      <c r="N2152" s="16">
        <v>0</v>
      </c>
      <c r="O2152" s="17"/>
      <c r="P2152" s="18">
        <v>43173.527349537035</v>
      </c>
      <c r="Q2152" s="7" t="s">
        <v>14343</v>
      </c>
      <c r="R2152" s="7" t="s">
        <v>14344</v>
      </c>
      <c r="S2152" s="7"/>
      <c r="T2152" s="8"/>
      <c r="U2152" s="19" t="str">
        <f>HYPERLINK("https://pbs.twimg.com/profile_images/1093451417128497152/vz0s4xu8.jpg","View")</f>
        <v>View</v>
      </c>
      <c r="V2152" s="8"/>
      <c r="W2152" s="8"/>
      <c r="X2152" s="8"/>
      <c r="Y2152" s="8"/>
      <c r="Z2152" s="8"/>
    </row>
    <row r="2153" spans="1:26" ht="12.75">
      <c r="A2153" s="11">
        <v>43747.228460648148</v>
      </c>
      <c r="B2153" s="12" t="str">
        <f>HYPERLINK("https://twitter.com/A_Hatabay","@A_Hatabay")</f>
        <v>@A_Hatabay</v>
      </c>
      <c r="C2153" s="15" t="s">
        <v>14345</v>
      </c>
      <c r="D2153" s="7" t="s">
        <v>14346</v>
      </c>
      <c r="E2153" s="12" t="str">
        <f>HYPERLINK("https://twitter.com/A_Hatabay/status/1181909423117209602","1181909423117209602")</f>
        <v>1181909423117209602</v>
      </c>
      <c r="F2153" s="15"/>
      <c r="G2153" s="15"/>
      <c r="H2153" s="8"/>
      <c r="I2153" s="15">
        <v>0</v>
      </c>
      <c r="J2153" s="15">
        <v>0</v>
      </c>
      <c r="K2153" s="12" t="str">
        <f>HYPERLINK("http://twitter.com/download/iphone","Twitter for iPhone")</f>
        <v>Twitter for iPhone</v>
      </c>
      <c r="L2153" s="16">
        <v>237</v>
      </c>
      <c r="M2153" s="16">
        <v>75</v>
      </c>
      <c r="N2153" s="16">
        <v>0</v>
      </c>
      <c r="O2153" s="17"/>
      <c r="P2153" s="18">
        <v>40872.553715277776</v>
      </c>
      <c r="Q2153" s="7" t="s">
        <v>14347</v>
      </c>
      <c r="R2153" s="7" t="s">
        <v>14348</v>
      </c>
      <c r="S2153" s="15"/>
      <c r="T2153" s="8"/>
      <c r="U2153" s="19" t="str">
        <f>HYPERLINK("https://pbs.twimg.com/profile_images/1154501717171552257/fF-VI854.jpg","View")</f>
        <v>View</v>
      </c>
      <c r="V2153" s="8"/>
      <c r="W2153" s="8"/>
      <c r="X2153" s="8"/>
      <c r="Y2153" s="8"/>
      <c r="Z2153" s="8"/>
    </row>
    <row r="2154" spans="1:26" ht="12.75">
      <c r="A2154" s="11">
        <v>43747.228402777779</v>
      </c>
      <c r="B2154" s="12" t="str">
        <f>HYPERLINK("https://twitter.com/buglemnur_arap","@buglemnur_arap")</f>
        <v>@buglemnur_arap</v>
      </c>
      <c r="C2154" s="7" t="s">
        <v>14349</v>
      </c>
      <c r="D2154" s="7" t="s">
        <v>14350</v>
      </c>
      <c r="E2154" s="12" t="str">
        <f>HYPERLINK("https://twitter.com/buglemnur_arap/status/1181909401889837056","1181909401889837056")</f>
        <v>1181909401889837056</v>
      </c>
      <c r="F2154" s="8"/>
      <c r="G2154" s="14" t="s">
        <v>14351</v>
      </c>
      <c r="H2154" s="8"/>
      <c r="I2154" s="15">
        <v>0</v>
      </c>
      <c r="J2154" s="15">
        <v>0</v>
      </c>
      <c r="K2154" s="12" t="str">
        <f>HYPERLINK("http://twitter.com","Twitter Web Client")</f>
        <v>Twitter Web Client</v>
      </c>
      <c r="L2154" s="16">
        <v>3</v>
      </c>
      <c r="M2154" s="16">
        <v>0</v>
      </c>
      <c r="N2154" s="16">
        <v>0</v>
      </c>
      <c r="O2154" s="17"/>
      <c r="P2154" s="18">
        <v>43703.838761574079</v>
      </c>
      <c r="Q2154" s="7" t="s">
        <v>13892</v>
      </c>
      <c r="R2154" s="7" t="s">
        <v>14352</v>
      </c>
      <c r="S2154" s="7"/>
      <c r="T2154" s="8"/>
      <c r="U2154" s="19" t="str">
        <f>HYPERLINK("https://pbs.twimg.com/profile_images/1166788662190891010/deQFhhu1.jpg","View")</f>
        <v>View</v>
      </c>
      <c r="V2154" s="8"/>
      <c r="W2154" s="8"/>
      <c r="X2154" s="8"/>
      <c r="Y2154" s="8"/>
      <c r="Z2154" s="8"/>
    </row>
    <row r="2155" spans="1:26" ht="12.75">
      <c r="A2155" s="11">
        <v>43747.228321759263</v>
      </c>
      <c r="B2155" s="12" t="str">
        <f>HYPERLINK("https://twitter.com/gammonizer","@gammonizer")</f>
        <v>@gammonizer</v>
      </c>
      <c r="C2155" s="7" t="s">
        <v>14353</v>
      </c>
      <c r="D2155" s="7" t="s">
        <v>14354</v>
      </c>
      <c r="E2155" s="12" t="str">
        <f>HYPERLINK("https://twitter.com/gammonizer/status/1181909370541678593","1181909370541678593")</f>
        <v>1181909370541678593</v>
      </c>
      <c r="F2155" s="8"/>
      <c r="G2155" s="14" t="s">
        <v>14355</v>
      </c>
      <c r="H2155" s="8"/>
      <c r="I2155" s="15">
        <v>0</v>
      </c>
      <c r="J2155" s="15">
        <v>1</v>
      </c>
      <c r="K2155" s="12" t="str">
        <f>HYPERLINK("http://twitter.com/download/iphone","Twitter for iPhone")</f>
        <v>Twitter for iPhone</v>
      </c>
      <c r="L2155" s="16">
        <v>937</v>
      </c>
      <c r="M2155" s="16">
        <v>644</v>
      </c>
      <c r="N2155" s="16">
        <v>0</v>
      </c>
      <c r="O2155" s="17"/>
      <c r="P2155" s="18">
        <v>43420.571250000001</v>
      </c>
      <c r="Q2155" s="7" t="s">
        <v>14356</v>
      </c>
      <c r="R2155" s="7" t="s">
        <v>14357</v>
      </c>
      <c r="S2155" s="7"/>
      <c r="T2155" s="8"/>
      <c r="U2155" s="19" t="str">
        <f>HYPERLINK("https://pbs.twimg.com/profile_images/1162449477569060865/rAftU9O4.jpg","View")</f>
        <v>View</v>
      </c>
      <c r="V2155" s="8"/>
      <c r="W2155" s="8"/>
      <c r="X2155" s="8"/>
      <c r="Y2155" s="8"/>
      <c r="Z2155" s="8"/>
    </row>
    <row r="2156" spans="1:26" ht="12.75">
      <c r="A2156" s="11">
        <v>43747.22828703704</v>
      </c>
      <c r="B2156" s="12" t="str">
        <f>HYPERLINK("https://twitter.com/nebellimiran","@nebellimiran")</f>
        <v>@nebellimiran</v>
      </c>
      <c r="C2156" s="7" t="s">
        <v>14358</v>
      </c>
      <c r="D2156" s="7" t="s">
        <v>14359</v>
      </c>
      <c r="E2156" s="12" t="str">
        <f>HYPERLINK("https://twitter.com/nebellimiran/status/1181909359653216256","1181909359653216256")</f>
        <v>1181909359653216256</v>
      </c>
      <c r="F2156" s="8"/>
      <c r="G2156" s="15"/>
      <c r="H2156" s="8"/>
      <c r="I2156" s="15">
        <v>0</v>
      </c>
      <c r="J2156" s="15">
        <v>1</v>
      </c>
      <c r="K2156" s="12" t="str">
        <f>HYPERLINK("http://twitter.com/download/android","Twitter for Android")</f>
        <v>Twitter for Android</v>
      </c>
      <c r="L2156" s="16">
        <v>195</v>
      </c>
      <c r="M2156" s="16">
        <v>128</v>
      </c>
      <c r="N2156" s="16">
        <v>0</v>
      </c>
      <c r="O2156" s="17"/>
      <c r="P2156" s="18">
        <v>43604.34412037037</v>
      </c>
      <c r="Q2156" s="7" t="s">
        <v>14360</v>
      </c>
      <c r="R2156" s="7" t="s">
        <v>14361</v>
      </c>
      <c r="S2156" s="14" t="s">
        <v>14362</v>
      </c>
      <c r="T2156" s="8"/>
      <c r="U2156" s="19" t="str">
        <f>HYPERLINK("https://pbs.twimg.com/profile_images/1160262254522224645/E3GGFjtW.jpg","View")</f>
        <v>View</v>
      </c>
      <c r="V2156" s="8"/>
      <c r="W2156" s="8"/>
      <c r="X2156" s="8"/>
      <c r="Y2156" s="8"/>
      <c r="Z2156" s="8"/>
    </row>
    <row r="2157" spans="1:26" ht="12.75">
      <c r="A2157" s="11">
        <v>43747.228252314817</v>
      </c>
      <c r="B2157" s="12" t="str">
        <f>HYPERLINK("https://twitter.com/KarakeciliOzkan","@KarakeciliOzkan")</f>
        <v>@KarakeciliOzkan</v>
      </c>
      <c r="C2157" s="7" t="s">
        <v>14363</v>
      </c>
      <c r="D2157" s="7" t="s">
        <v>14364</v>
      </c>
      <c r="E2157" s="12" t="str">
        <f>HYPERLINK("https://twitter.com/KarakeciliOzkan/status/1181909347368161280","1181909347368161280")</f>
        <v>1181909347368161280</v>
      </c>
      <c r="F2157" s="8"/>
      <c r="G2157" s="15"/>
      <c r="H2157" s="8"/>
      <c r="I2157" s="15">
        <v>0</v>
      </c>
      <c r="J2157" s="15">
        <v>1</v>
      </c>
      <c r="K2157" s="12" t="str">
        <f>HYPERLINK("http://twitter.com/download/iphone","Twitter for iPhone")</f>
        <v>Twitter for iPhone</v>
      </c>
      <c r="L2157" s="16">
        <v>0</v>
      </c>
      <c r="M2157" s="16">
        <v>4</v>
      </c>
      <c r="N2157" s="16">
        <v>0</v>
      </c>
      <c r="O2157" s="17"/>
      <c r="P2157" s="18">
        <v>43747.206967592589</v>
      </c>
      <c r="Q2157" s="7"/>
      <c r="R2157" s="7" t="s">
        <v>14365</v>
      </c>
      <c r="S2157" s="15"/>
      <c r="T2157" s="8"/>
      <c r="U2157" s="19" t="str">
        <f>HYPERLINK("https://pbs.twimg.com/profile_images/1181901793099472896/8fnRgpE1.jpg","View")</f>
        <v>View</v>
      </c>
      <c r="V2157" s="8"/>
      <c r="W2157" s="8"/>
      <c r="X2157" s="8"/>
      <c r="Y2157" s="8"/>
      <c r="Z2157" s="8"/>
    </row>
    <row r="2158" spans="1:26" ht="12.75">
      <c r="A2158" s="11">
        <v>43747.228159722217</v>
      </c>
      <c r="B2158" s="12" t="str">
        <f>HYPERLINK("https://twitter.com/Hoparu11","@Hoparu11")</f>
        <v>@Hoparu11</v>
      </c>
      <c r="C2158" s="7" t="s">
        <v>14366</v>
      </c>
      <c r="D2158" s="7" t="s">
        <v>14367</v>
      </c>
      <c r="E2158" s="12" t="str">
        <f>HYPERLINK("https://twitter.com/Hoparu11/status/1181909313650073602","1181909313650073602")</f>
        <v>1181909313650073602</v>
      </c>
      <c r="F2158" s="8"/>
      <c r="G2158" s="7"/>
      <c r="H2158" s="8"/>
      <c r="I2158" s="15">
        <v>0</v>
      </c>
      <c r="J2158" s="15">
        <v>0</v>
      </c>
      <c r="K2158" s="12" t="str">
        <f>HYPERLINK("http://twitter.com/download/android","Twitter for Android")</f>
        <v>Twitter for Android</v>
      </c>
      <c r="L2158" s="16">
        <v>12</v>
      </c>
      <c r="M2158" s="16">
        <v>88</v>
      </c>
      <c r="N2158" s="16">
        <v>0</v>
      </c>
      <c r="O2158" s="17"/>
      <c r="P2158" s="18">
        <v>42456.602314814816</v>
      </c>
      <c r="Q2158" s="7" t="s">
        <v>313</v>
      </c>
      <c r="R2158" s="7" t="s">
        <v>14368</v>
      </c>
      <c r="S2158" s="7"/>
      <c r="T2158" s="8"/>
      <c r="U2158" s="19" t="str">
        <f>HYPERLINK("https://pbs.twimg.com/profile_images/1181888843869499392/1ZPmakKt.jpg","View")</f>
        <v>View</v>
      </c>
      <c r="V2158" s="8"/>
      <c r="W2158" s="8"/>
      <c r="X2158" s="8"/>
      <c r="Y2158" s="8"/>
      <c r="Z2158" s="8"/>
    </row>
    <row r="2159" spans="1:26" ht="12.75">
      <c r="A2159" s="11">
        <v>43747.227696759262</v>
      </c>
      <c r="B2159" s="12" t="str">
        <f>HYPERLINK("https://twitter.com/faikisc","@faikisc")</f>
        <v>@faikisc</v>
      </c>
      <c r="C2159" s="7" t="s">
        <v>14369</v>
      </c>
      <c r="D2159" s="7" t="s">
        <v>14370</v>
      </c>
      <c r="E2159" s="12" t="str">
        <f>HYPERLINK("https://twitter.com/faikisc/status/1181909146511298560","1181909146511298560")</f>
        <v>1181909146511298560</v>
      </c>
      <c r="F2159" s="8"/>
      <c r="G2159" s="7"/>
      <c r="H2159" s="8"/>
      <c r="I2159" s="15">
        <v>0</v>
      </c>
      <c r="J2159" s="15">
        <v>0</v>
      </c>
      <c r="K2159" s="12" t="str">
        <f>HYPERLINK("http://twitter.com/download/iphone","Twitter for iPhone")</f>
        <v>Twitter for iPhone</v>
      </c>
      <c r="L2159" s="16">
        <v>226</v>
      </c>
      <c r="M2159" s="16">
        <v>1276</v>
      </c>
      <c r="N2159" s="16">
        <v>0</v>
      </c>
      <c r="O2159" s="17"/>
      <c r="P2159" s="18">
        <v>41423.68209490741</v>
      </c>
      <c r="Q2159" s="7"/>
      <c r="R2159" s="7" t="s">
        <v>14371</v>
      </c>
      <c r="S2159" s="7"/>
      <c r="T2159" s="8"/>
      <c r="U2159" s="19" t="str">
        <f>HYPERLINK("https://pbs.twimg.com/profile_images/3729394054/30492d07ed2e38b8f804bb24036720f6.jpeg","View")</f>
        <v>View</v>
      </c>
      <c r="V2159" s="8"/>
      <c r="W2159" s="8"/>
      <c r="X2159" s="8"/>
      <c r="Y2159" s="8"/>
      <c r="Z2159" s="8"/>
    </row>
    <row r="2160" spans="1:26" ht="12.75">
      <c r="A2160" s="11">
        <v>43747.227696759262</v>
      </c>
      <c r="B2160" s="12" t="str">
        <f>HYPERLINK("https://twitter.com/pervin_somer","@pervin_somer")</f>
        <v>@pervin_somer</v>
      </c>
      <c r="C2160" s="7" t="s">
        <v>14372</v>
      </c>
      <c r="D2160" s="7" t="s">
        <v>14373</v>
      </c>
      <c r="E2160" s="12" t="str">
        <f>HYPERLINK("https://twitter.com/pervin_somer/status/1181909144992747520","1181909144992747520")</f>
        <v>1181909144992747520</v>
      </c>
      <c r="F2160" s="8"/>
      <c r="G2160" s="7"/>
      <c r="H2160" s="8"/>
      <c r="I2160" s="15">
        <v>0</v>
      </c>
      <c r="J2160" s="15">
        <v>0</v>
      </c>
      <c r="K2160" s="12" t="str">
        <f>HYPERLINK("http://twitter.com","Twitter Web Client")</f>
        <v>Twitter Web Client</v>
      </c>
      <c r="L2160" s="16">
        <v>14</v>
      </c>
      <c r="M2160" s="16">
        <v>0</v>
      </c>
      <c r="N2160" s="16">
        <v>0</v>
      </c>
      <c r="O2160" s="17"/>
      <c r="P2160" s="18">
        <v>43704.498877314814</v>
      </c>
      <c r="Q2160" s="7" t="s">
        <v>1150</v>
      </c>
      <c r="R2160" s="7" t="s">
        <v>14374</v>
      </c>
      <c r="S2160" s="7"/>
      <c r="T2160" s="8"/>
      <c r="U2160" s="19" t="str">
        <f>HYPERLINK("https://pbs.twimg.com/profile_images/1167224094183645187/hsf_yLDJ.jpg","View")</f>
        <v>View</v>
      </c>
      <c r="V2160" s="8"/>
      <c r="W2160" s="8"/>
      <c r="X2160" s="8"/>
      <c r="Y2160" s="8"/>
      <c r="Z2160" s="8"/>
    </row>
    <row r="2161" spans="1:26" ht="12.75">
      <c r="A2161" s="11">
        <v>43747.227673611109</v>
      </c>
      <c r="B2161" s="12" t="str">
        <f>HYPERLINK("https://twitter.com/BulentBlay","@BulentBlay")</f>
        <v>@BulentBlay</v>
      </c>
      <c r="C2161" s="7" t="s">
        <v>14375</v>
      </c>
      <c r="D2161" s="7" t="s">
        <v>14376</v>
      </c>
      <c r="E2161" s="12" t="str">
        <f>HYPERLINK("https://twitter.com/BulentBlay/status/1181909136671477763","1181909136671477763")</f>
        <v>1181909136671477763</v>
      </c>
      <c r="F2161" s="8"/>
      <c r="G2161" s="14" t="s">
        <v>14377</v>
      </c>
      <c r="H2161" s="8"/>
      <c r="I2161" s="15">
        <v>0</v>
      </c>
      <c r="J2161" s="15">
        <v>0</v>
      </c>
      <c r="K2161" s="12" t="str">
        <f>HYPERLINK("https://mobile.twitter.com","Twitter Web App")</f>
        <v>Twitter Web App</v>
      </c>
      <c r="L2161" s="16">
        <v>9</v>
      </c>
      <c r="M2161" s="16">
        <v>14</v>
      </c>
      <c r="N2161" s="16">
        <v>0</v>
      </c>
      <c r="O2161" s="17"/>
      <c r="P2161" s="18">
        <v>42384.354594907403</v>
      </c>
      <c r="Q2161" s="7"/>
      <c r="R2161" s="7"/>
      <c r="S2161" s="7"/>
      <c r="T2161" s="8"/>
      <c r="U2161" s="19" t="str">
        <f>HYPERLINK("https://pbs.twimg.com/profile_images/829822111250259968/MVScAG8E.jpg","View")</f>
        <v>View</v>
      </c>
      <c r="V2161" s="8"/>
      <c r="W2161" s="8"/>
      <c r="X2161" s="8"/>
      <c r="Y2161" s="8"/>
      <c r="Z2161" s="8"/>
    </row>
    <row r="2162" spans="1:26" ht="12.75">
      <c r="A2162" s="11">
        <v>43747.227627314816</v>
      </c>
      <c r="B2162" s="12" t="str">
        <f>HYPERLINK("https://twitter.com/nessenerr","@nessenerr")</f>
        <v>@nessenerr</v>
      </c>
      <c r="C2162" s="7" t="s">
        <v>14378</v>
      </c>
      <c r="D2162" s="7" t="s">
        <v>14379</v>
      </c>
      <c r="E2162" s="12" t="str">
        <f>HYPERLINK("https://twitter.com/nessenerr/status/1181909119000829952","1181909119000829952")</f>
        <v>1181909119000829952</v>
      </c>
      <c r="F2162" s="8"/>
      <c r="G2162" s="14" t="s">
        <v>14380</v>
      </c>
      <c r="H2162" s="8"/>
      <c r="I2162" s="15">
        <v>3</v>
      </c>
      <c r="J2162" s="15">
        <v>9</v>
      </c>
      <c r="K2162" s="12" t="str">
        <f>HYPERLINK("http://twitter.com/download/android","Twitter for Android")</f>
        <v>Twitter for Android</v>
      </c>
      <c r="L2162" s="16">
        <v>7010</v>
      </c>
      <c r="M2162" s="16">
        <v>4646</v>
      </c>
      <c r="N2162" s="16">
        <v>11</v>
      </c>
      <c r="O2162" s="17"/>
      <c r="P2162" s="18">
        <v>41502.567731481482</v>
      </c>
      <c r="Q2162" s="7" t="s">
        <v>313</v>
      </c>
      <c r="R2162" s="7" t="s">
        <v>14381</v>
      </c>
      <c r="S2162" s="15"/>
      <c r="T2162" s="8"/>
      <c r="U2162" s="19" t="str">
        <f>HYPERLINK("https://pbs.twimg.com/profile_images/1010973779378475009/RK2yUjg3.jpg","View")</f>
        <v>View</v>
      </c>
      <c r="V2162" s="8"/>
      <c r="W2162" s="8"/>
      <c r="X2162" s="8"/>
      <c r="Y2162" s="8"/>
      <c r="Z2162" s="8"/>
    </row>
    <row r="2163" spans="1:26" ht="12.75">
      <c r="A2163" s="11">
        <v>43747.227592592593</v>
      </c>
      <c r="B2163" s="12" t="str">
        <f>HYPERLINK("https://twitter.com/jhhhhhjjjjkkk","@jhhhhhjjjjkkk")</f>
        <v>@jhhhhhjjjjkkk</v>
      </c>
      <c r="C2163" s="7" t="s">
        <v>14382</v>
      </c>
      <c r="D2163" s="7" t="s">
        <v>14383</v>
      </c>
      <c r="E2163" s="12" t="str">
        <f>HYPERLINK("https://twitter.com/jhhhhhjjjjkkk/status/1181909107344850944","1181909107344850944")</f>
        <v>1181909107344850944</v>
      </c>
      <c r="F2163" s="8"/>
      <c r="G2163" s="7"/>
      <c r="H2163" s="8"/>
      <c r="I2163" s="15">
        <v>0</v>
      </c>
      <c r="J2163" s="15">
        <v>0</v>
      </c>
      <c r="K2163" s="12" t="str">
        <f>HYPERLINK("https://mobile.twitter.com","Twitter Web App")</f>
        <v>Twitter Web App</v>
      </c>
      <c r="L2163" s="16">
        <v>6</v>
      </c>
      <c r="M2163" s="16">
        <v>29</v>
      </c>
      <c r="N2163" s="16">
        <v>0</v>
      </c>
      <c r="O2163" s="17"/>
      <c r="P2163" s="18">
        <v>42097.255659722221</v>
      </c>
      <c r="Q2163" s="7" t="s">
        <v>69</v>
      </c>
      <c r="R2163" s="7"/>
      <c r="S2163" s="7"/>
      <c r="T2163" s="8"/>
      <c r="U2163" s="19" t="str">
        <f>HYPERLINK("https://pbs.twimg.com/profile_images/1116798082887372801/9rJCf71Y.jpg","View")</f>
        <v>View</v>
      </c>
      <c r="V2163" s="8"/>
      <c r="W2163" s="8"/>
      <c r="X2163" s="8"/>
      <c r="Y2163" s="8"/>
      <c r="Z2163" s="8"/>
    </row>
    <row r="2164" spans="1:26" ht="12.75">
      <c r="A2164" s="11">
        <v>43747.22756944444</v>
      </c>
      <c r="B2164" s="12" t="str">
        <f>HYPERLINK("https://twitter.com/vanwolfsvinkel","@vanwolfsvinkel")</f>
        <v>@vanwolfsvinkel</v>
      </c>
      <c r="C2164" s="7" t="s">
        <v>14384</v>
      </c>
      <c r="D2164" s="7" t="s">
        <v>14385</v>
      </c>
      <c r="E2164" s="12" t="str">
        <f>HYPERLINK("https://twitter.com/vanwolfsvinkel/status/1181909098520088577","1181909098520088577")</f>
        <v>1181909098520088577</v>
      </c>
      <c r="F2164" s="8"/>
      <c r="G2164" s="15"/>
      <c r="H2164" s="8"/>
      <c r="I2164" s="15">
        <v>0</v>
      </c>
      <c r="J2164" s="15">
        <v>0</v>
      </c>
      <c r="K2164" s="12" t="str">
        <f>HYPERLINK("https://mobile.twitter.com","Twitter Web App")</f>
        <v>Twitter Web App</v>
      </c>
      <c r="L2164" s="16">
        <v>1</v>
      </c>
      <c r="M2164" s="16">
        <v>48</v>
      </c>
      <c r="N2164" s="16">
        <v>0</v>
      </c>
      <c r="O2164" s="17"/>
      <c r="P2164" s="18">
        <v>43701.611284722225</v>
      </c>
      <c r="Q2164" s="7"/>
      <c r="R2164" s="7"/>
      <c r="S2164" s="7"/>
      <c r="T2164" s="8"/>
      <c r="U2164" s="19" t="str">
        <f>HYPERLINK("https://pbs.twimg.com/profile_images/1166001687682867201/WZNqMz35.jpg","View")</f>
        <v>View</v>
      </c>
      <c r="V2164" s="8"/>
      <c r="W2164" s="8"/>
      <c r="X2164" s="8"/>
      <c r="Y2164" s="8"/>
      <c r="Z2164" s="8"/>
    </row>
    <row r="2165" spans="1:26" ht="12.75">
      <c r="A2165" s="11">
        <v>43747.227465277778</v>
      </c>
      <c r="B2165" s="12" t="str">
        <f>HYPERLINK("https://twitter.com/MuratBo21269115","@MuratBo21269115")</f>
        <v>@MuratBo21269115</v>
      </c>
      <c r="C2165" s="7" t="s">
        <v>14386</v>
      </c>
      <c r="D2165" s="7" t="s">
        <v>14387</v>
      </c>
      <c r="E2165" s="12" t="str">
        <f>HYPERLINK("https://twitter.com/MuratBo21269115/status/1181909060771299328","1181909060771299328")</f>
        <v>1181909060771299328</v>
      </c>
      <c r="F2165" s="8"/>
      <c r="G2165" s="14" t="s">
        <v>14388</v>
      </c>
      <c r="H2165" s="8"/>
      <c r="I2165" s="15">
        <v>0</v>
      </c>
      <c r="J2165" s="15">
        <v>1</v>
      </c>
      <c r="K2165" s="12" t="str">
        <f>HYPERLINK("http://twitter.com/download/android","Twitter for Android")</f>
        <v>Twitter for Android</v>
      </c>
      <c r="L2165" s="16">
        <v>1</v>
      </c>
      <c r="M2165" s="16">
        <v>10</v>
      </c>
      <c r="N2165" s="16">
        <v>0</v>
      </c>
      <c r="O2165" s="17"/>
      <c r="P2165" s="18">
        <v>43589.48883101852</v>
      </c>
      <c r="Q2165" s="7"/>
      <c r="R2165" s="7"/>
      <c r="S2165" s="7"/>
      <c r="T2165" s="8"/>
      <c r="U2165" s="19" t="str">
        <f>HYPERLINK("https://pbs.twimg.com/profile_images/1125716727613009920/xxKIDEov.jpg","View")</f>
        <v>View</v>
      </c>
      <c r="V2165" s="8"/>
      <c r="W2165" s="8"/>
      <c r="X2165" s="8"/>
      <c r="Y2165" s="8"/>
      <c r="Z2165" s="8"/>
    </row>
    <row r="2166" spans="1:26" ht="12.75">
      <c r="A2166" s="11">
        <v>43747.227430555555</v>
      </c>
      <c r="B2166" s="12" t="str">
        <f>HYPERLINK("https://twitter.com/arslanmcemal","@arslanmcemal")</f>
        <v>@arslanmcemal</v>
      </c>
      <c r="C2166" s="7" t="s">
        <v>14389</v>
      </c>
      <c r="D2166" s="7" t="s">
        <v>14390</v>
      </c>
      <c r="E2166" s="12" t="str">
        <f>HYPERLINK("https://twitter.com/arslanmcemal/status/1181909048725315584","1181909048725315584")</f>
        <v>1181909048725315584</v>
      </c>
      <c r="F2166" s="8"/>
      <c r="G2166" s="15"/>
      <c r="H2166" s="8"/>
      <c r="I2166" s="15">
        <v>0</v>
      </c>
      <c r="J2166" s="15">
        <v>0</v>
      </c>
      <c r="K2166" s="12" t="str">
        <f>HYPERLINK("http://twitter.com/download/android","Twitter for Android")</f>
        <v>Twitter for Android</v>
      </c>
      <c r="L2166" s="16">
        <v>4952</v>
      </c>
      <c r="M2166" s="16">
        <v>4280</v>
      </c>
      <c r="N2166" s="16">
        <v>15</v>
      </c>
      <c r="O2166" s="17"/>
      <c r="P2166" s="18">
        <v>40665.017951388887</v>
      </c>
      <c r="Q2166" s="7"/>
      <c r="R2166" s="7" t="s">
        <v>14391</v>
      </c>
      <c r="S2166" s="7"/>
      <c r="T2166" s="8"/>
      <c r="U2166" s="19" t="str">
        <f>HYPERLINK("https://pbs.twimg.com/profile_images/1093122977292533762/GKYAlGyy.jpg","View")</f>
        <v>View</v>
      </c>
      <c r="V2166" s="8"/>
      <c r="W2166" s="8"/>
      <c r="X2166" s="8"/>
      <c r="Y2166" s="8"/>
      <c r="Z2166" s="8"/>
    </row>
    <row r="2167" spans="1:26" ht="12.75">
      <c r="A2167" s="11">
        <v>43747.227280092593</v>
      </c>
      <c r="B2167" s="12" t="str">
        <f>HYPERLINK("https://twitter.com/mtahmazoglu","@mtahmazoglu")</f>
        <v>@mtahmazoglu</v>
      </c>
      <c r="C2167" s="7" t="s">
        <v>14392</v>
      </c>
      <c r="D2167" s="7" t="s">
        <v>14393</v>
      </c>
      <c r="E2167" s="12" t="str">
        <f>HYPERLINK("https://twitter.com/mtahmazoglu/status/1181908991418519552","1181908991418519552")</f>
        <v>1181908991418519552</v>
      </c>
      <c r="F2167" s="8"/>
      <c r="G2167" s="14" t="s">
        <v>14394</v>
      </c>
      <c r="H2167" s="8"/>
      <c r="I2167" s="15">
        <v>3</v>
      </c>
      <c r="J2167" s="15">
        <v>12</v>
      </c>
      <c r="K2167" s="12" t="str">
        <f>HYPERLINK("http://twitter.com/download/android","Twitter for Android")</f>
        <v>Twitter for Android</v>
      </c>
      <c r="L2167" s="16">
        <v>195838</v>
      </c>
      <c r="M2167" s="16">
        <v>546</v>
      </c>
      <c r="N2167" s="16">
        <v>71</v>
      </c>
      <c r="O2167" s="17" t="s">
        <v>984</v>
      </c>
      <c r="P2167" s="18">
        <v>40759.054872685185</v>
      </c>
      <c r="Q2167" s="7" t="s">
        <v>14395</v>
      </c>
      <c r="R2167" s="7" t="s">
        <v>14396</v>
      </c>
      <c r="S2167" s="14" t="s">
        <v>14397</v>
      </c>
      <c r="T2167" s="8"/>
      <c r="U2167" s="19" t="str">
        <f>HYPERLINK("https://pbs.twimg.com/profile_images/1151363365496926208/JUaEP4fK.png","View")</f>
        <v>View</v>
      </c>
      <c r="V2167" s="8"/>
      <c r="W2167" s="8"/>
      <c r="X2167" s="8"/>
      <c r="Y2167" s="8"/>
      <c r="Z2167" s="8"/>
    </row>
    <row r="2168" spans="1:26" ht="12.75">
      <c r="A2168" s="11">
        <v>43747.22719907407</v>
      </c>
      <c r="B2168" s="12" t="str">
        <f>HYPERLINK("https://twitter.com/merve23471","@merve23471")</f>
        <v>@merve23471</v>
      </c>
      <c r="C2168" s="7" t="s">
        <v>14398</v>
      </c>
      <c r="D2168" s="7" t="s">
        <v>14399</v>
      </c>
      <c r="E2168" s="12" t="str">
        <f>HYPERLINK("https://twitter.com/merve23471/status/1181908963853504513","1181908963853504513")</f>
        <v>1181908963853504513</v>
      </c>
      <c r="F2168" s="8"/>
      <c r="G2168" s="7"/>
      <c r="H2168" s="8"/>
      <c r="I2168" s="15">
        <v>0</v>
      </c>
      <c r="J2168" s="15">
        <v>1</v>
      </c>
      <c r="K2168" s="12" t="str">
        <f>HYPERLINK("https://mobile.twitter.com","Twitter Web App")</f>
        <v>Twitter Web App</v>
      </c>
      <c r="L2168" s="16">
        <v>12</v>
      </c>
      <c r="M2168" s="16">
        <v>0</v>
      </c>
      <c r="N2168" s="16">
        <v>0</v>
      </c>
      <c r="O2168" s="17"/>
      <c r="P2168" s="18">
        <v>43745.312986111108</v>
      </c>
      <c r="Q2168" s="7"/>
      <c r="R2168" s="7" t="s">
        <v>14400</v>
      </c>
      <c r="S2168" s="7"/>
      <c r="T2168" s="8"/>
      <c r="U2168" s="19" t="str">
        <f>HYPERLINK("https://pbs.twimg.com/profile_images/1181254909192261633/4aWvTzMz.jpg","View")</f>
        <v>View</v>
      </c>
      <c r="V2168" s="8"/>
      <c r="W2168" s="8"/>
      <c r="X2168" s="8"/>
      <c r="Y2168" s="8"/>
      <c r="Z2168" s="8"/>
    </row>
    <row r="2169" spans="1:26" ht="12.75">
      <c r="A2169" s="11">
        <v>43747.227118055554</v>
      </c>
      <c r="B2169" s="12" t="str">
        <f>HYPERLINK("https://twitter.com/TurhanTun9","@TurhanTun9")</f>
        <v>@TurhanTun9</v>
      </c>
      <c r="C2169" s="7" t="s">
        <v>14401</v>
      </c>
      <c r="D2169" s="7" t="s">
        <v>160</v>
      </c>
      <c r="E2169" s="12" t="str">
        <f>HYPERLINK("https://twitter.com/TurhanTun9/status/1181908934711500801","1181908934711500801")</f>
        <v>1181908934711500801</v>
      </c>
      <c r="F2169" s="8"/>
      <c r="G2169" s="14" t="s">
        <v>14402</v>
      </c>
      <c r="H2169" s="8"/>
      <c r="I2169" s="15">
        <v>0</v>
      </c>
      <c r="J2169" s="15">
        <v>0</v>
      </c>
      <c r="K2169" s="12" t="str">
        <f>HYPERLINK("http://twitter.com/download/android","Twitter for Android")</f>
        <v>Twitter for Android</v>
      </c>
      <c r="L2169" s="16">
        <v>5</v>
      </c>
      <c r="M2169" s="16">
        <v>31</v>
      </c>
      <c r="N2169" s="16">
        <v>0</v>
      </c>
      <c r="O2169" s="17"/>
      <c r="P2169" s="18">
        <v>43708.444548611107</v>
      </c>
      <c r="Q2169" s="7"/>
      <c r="R2169" s="7" t="s">
        <v>14403</v>
      </c>
      <c r="S2169" s="7"/>
      <c r="T2169" s="8"/>
      <c r="U2169" s="19" t="str">
        <f>HYPERLINK("https://pbs.twimg.com/profile_images/1167855026007470080/e3LpYZFU.jpg","View")</f>
        <v>View</v>
      </c>
      <c r="V2169" s="8"/>
      <c r="W2169" s="8"/>
      <c r="X2169" s="8"/>
      <c r="Y2169" s="8"/>
      <c r="Z2169" s="8"/>
    </row>
    <row r="2170" spans="1:26" ht="12.75">
      <c r="A2170" s="11">
        <v>43747.227048611108</v>
      </c>
      <c r="B2170" s="12" t="str">
        <f>HYPERLINK("https://twitter.com/kocadestan","@kocadestan")</f>
        <v>@kocadestan</v>
      </c>
      <c r="C2170" s="7" t="s">
        <v>14404</v>
      </c>
      <c r="D2170" s="7" t="s">
        <v>14405</v>
      </c>
      <c r="E2170" s="12" t="str">
        <f>HYPERLINK("https://twitter.com/kocadestan/status/1181908909176606720","1181908909176606720")</f>
        <v>1181908909176606720</v>
      </c>
      <c r="F2170" s="8"/>
      <c r="G2170" s="15"/>
      <c r="H2170" s="8"/>
      <c r="I2170" s="15">
        <v>0</v>
      </c>
      <c r="J2170" s="15">
        <v>0</v>
      </c>
      <c r="K2170" s="12" t="str">
        <f>HYPERLINK("http://twitter.com/download/android","Twitter for Android")</f>
        <v>Twitter for Android</v>
      </c>
      <c r="L2170" s="16">
        <v>413</v>
      </c>
      <c r="M2170" s="16">
        <v>350</v>
      </c>
      <c r="N2170" s="16">
        <v>2</v>
      </c>
      <c r="O2170" s="17"/>
      <c r="P2170" s="18">
        <v>41463.561238425929</v>
      </c>
      <c r="Q2170" s="7" t="s">
        <v>576</v>
      </c>
      <c r="R2170" s="7" t="s">
        <v>14406</v>
      </c>
      <c r="S2170" s="14" t="s">
        <v>14407</v>
      </c>
      <c r="T2170" s="8"/>
      <c r="U2170" s="19" t="str">
        <f>HYPERLINK("https://pbs.twimg.com/profile_images/988201414026584064/g2R-bP-H.jpg","View")</f>
        <v>View</v>
      </c>
      <c r="V2170" s="8"/>
      <c r="W2170" s="8"/>
      <c r="X2170" s="8"/>
      <c r="Y2170" s="8"/>
      <c r="Z2170" s="8"/>
    </row>
    <row r="2171" spans="1:26" ht="12.75">
      <c r="A2171" s="11">
        <v>43747.227013888885</v>
      </c>
      <c r="B2171" s="12" t="str">
        <f>HYPERLINK("https://twitter.com/winclub1905","@winclub1905")</f>
        <v>@winclub1905</v>
      </c>
      <c r="C2171" s="7" t="s">
        <v>14408</v>
      </c>
      <c r="D2171" s="7" t="s">
        <v>14409</v>
      </c>
      <c r="E2171" s="12" t="str">
        <f>HYPERLINK("https://twitter.com/winclub1905/status/1181908898493718529","1181908898493718529")</f>
        <v>1181908898493718529</v>
      </c>
      <c r="F2171" s="8"/>
      <c r="G2171" s="14" t="s">
        <v>14410</v>
      </c>
      <c r="H2171" s="8"/>
      <c r="I2171" s="15">
        <v>0</v>
      </c>
      <c r="J2171" s="15">
        <v>1</v>
      </c>
      <c r="K2171" s="12" t="str">
        <f>HYPERLINK("http://twitter.com/download/android","Twitter for Android")</f>
        <v>Twitter for Android</v>
      </c>
      <c r="L2171" s="16">
        <v>337</v>
      </c>
      <c r="M2171" s="16">
        <v>605</v>
      </c>
      <c r="N2171" s="16">
        <v>0</v>
      </c>
      <c r="O2171" s="17"/>
      <c r="P2171" s="18">
        <v>43662.169374999998</v>
      </c>
      <c r="Q2171" s="7"/>
      <c r="R2171" s="7" t="s">
        <v>14411</v>
      </c>
      <c r="S2171" s="15"/>
      <c r="T2171" s="8"/>
      <c r="U2171" s="19" t="str">
        <f>HYPERLINK("https://pbs.twimg.com/profile_images/1181683739371417601/wmEXsVt1.jpg","View")</f>
        <v>View</v>
      </c>
      <c r="V2171" s="8"/>
      <c r="W2171" s="8"/>
      <c r="X2171" s="8"/>
      <c r="Y2171" s="8"/>
      <c r="Z2171" s="8"/>
    </row>
    <row r="2172" spans="1:26" ht="12.75">
      <c r="A2172" s="11">
        <v>43747.227013888885</v>
      </c>
      <c r="B2172" s="12" t="str">
        <f>HYPERLINK("https://twitter.com/canenver3","@canenver3")</f>
        <v>@canenver3</v>
      </c>
      <c r="C2172" s="7" t="s">
        <v>14412</v>
      </c>
      <c r="D2172" s="7" t="s">
        <v>14413</v>
      </c>
      <c r="E2172" s="12" t="str">
        <f>HYPERLINK("https://twitter.com/canenver3/status/1181908897692557313","1181908897692557313")</f>
        <v>1181908897692557313</v>
      </c>
      <c r="F2172" s="14" t="s">
        <v>14414</v>
      </c>
      <c r="G2172" s="7"/>
      <c r="H2172" s="8"/>
      <c r="I2172" s="15">
        <v>0</v>
      </c>
      <c r="J2172" s="15">
        <v>0</v>
      </c>
      <c r="K2172" s="12" t="str">
        <f>HYPERLINK("http://twitter.com/download/android","Twitter for Android")</f>
        <v>Twitter for Android</v>
      </c>
      <c r="L2172" s="16">
        <v>2</v>
      </c>
      <c r="M2172" s="16">
        <v>38</v>
      </c>
      <c r="N2172" s="16">
        <v>0</v>
      </c>
      <c r="O2172" s="17"/>
      <c r="P2172" s="18">
        <v>43241.265428240746</v>
      </c>
      <c r="Q2172" s="7"/>
      <c r="R2172" s="7"/>
      <c r="S2172" s="7"/>
      <c r="T2172" s="8"/>
      <c r="U2172" s="20" t="s">
        <v>354</v>
      </c>
      <c r="V2172" s="8"/>
      <c r="W2172" s="8"/>
      <c r="X2172" s="8"/>
      <c r="Y2172" s="8"/>
      <c r="Z2172" s="8"/>
    </row>
    <row r="2173" spans="1:26" ht="12.75">
      <c r="A2173" s="11">
        <v>43747.226793981477</v>
      </c>
      <c r="B2173" s="12" t="str">
        <f>HYPERLINK("https://twitter.com/atayMUHAMMEDy","@atayMUHAMMEDy")</f>
        <v>@atayMUHAMMEDy</v>
      </c>
      <c r="C2173" s="7" t="s">
        <v>14415</v>
      </c>
      <c r="D2173" s="7" t="s">
        <v>14416</v>
      </c>
      <c r="E2173" s="12" t="str">
        <f>HYPERLINK("https://twitter.com/atayMUHAMMEDy/status/1181908817145139201","1181908817145139201")</f>
        <v>1181908817145139201</v>
      </c>
      <c r="F2173" s="8"/>
      <c r="G2173" s="7"/>
      <c r="H2173" s="8"/>
      <c r="I2173" s="15">
        <v>0</v>
      </c>
      <c r="J2173" s="15">
        <v>2</v>
      </c>
      <c r="K2173" s="12" t="str">
        <f>HYPERLINK("http://twitter.com/download/android","Twitter for Android")</f>
        <v>Twitter for Android</v>
      </c>
      <c r="L2173" s="16">
        <v>870</v>
      </c>
      <c r="M2173" s="16">
        <v>82</v>
      </c>
      <c r="N2173" s="16">
        <v>2</v>
      </c>
      <c r="O2173" s="17"/>
      <c r="P2173" s="18">
        <v>41157.47038194444</v>
      </c>
      <c r="Q2173" s="7" t="s">
        <v>14417</v>
      </c>
      <c r="R2173" s="7" t="s">
        <v>14418</v>
      </c>
      <c r="S2173" s="14" t="s">
        <v>14419</v>
      </c>
      <c r="T2173" s="8"/>
      <c r="U2173" s="19" t="str">
        <f>HYPERLINK("https://pbs.twimg.com/profile_images/776427246554869760/4pUuZQwa.jpg","View")</f>
        <v>View</v>
      </c>
      <c r="V2173" s="8"/>
      <c r="W2173" s="8"/>
      <c r="X2173" s="8"/>
      <c r="Y2173" s="8"/>
      <c r="Z2173" s="8"/>
    </row>
    <row r="2174" spans="1:26" ht="12.75">
      <c r="A2174" s="11">
        <v>43747.226793981477</v>
      </c>
      <c r="B2174" s="12" t="str">
        <f>HYPERLINK("https://twitter.com/msf2027","@msf2027")</f>
        <v>@msf2027</v>
      </c>
      <c r="C2174" s="7" t="s">
        <v>14420</v>
      </c>
      <c r="D2174" s="7" t="s">
        <v>14421</v>
      </c>
      <c r="E2174" s="12" t="str">
        <f>HYPERLINK("https://twitter.com/msf2027/status/1181908816264347654","1181908816264347654")</f>
        <v>1181908816264347654</v>
      </c>
      <c r="F2174" s="14" t="s">
        <v>14422</v>
      </c>
      <c r="G2174" s="15"/>
      <c r="H2174" s="8"/>
      <c r="I2174" s="15">
        <v>0</v>
      </c>
      <c r="J2174" s="15">
        <v>0</v>
      </c>
      <c r="K2174" s="12" t="str">
        <f>HYPERLINK("https://ifttt.com","IFTTT")</f>
        <v>IFTTT</v>
      </c>
      <c r="L2174" s="16">
        <v>161</v>
      </c>
      <c r="M2174" s="16">
        <v>362</v>
      </c>
      <c r="N2174" s="16">
        <v>2</v>
      </c>
      <c r="O2174" s="20"/>
      <c r="P2174" s="18">
        <v>42999.716261574074</v>
      </c>
      <c r="Q2174" s="7"/>
      <c r="R2174" s="7" t="s">
        <v>14423</v>
      </c>
      <c r="S2174" s="15"/>
      <c r="T2174" s="8"/>
      <c r="U2174" s="19" t="str">
        <f>HYPERLINK("https://pbs.twimg.com/profile_images/949716716707336193/Z0PhIspX.jpg","View")</f>
        <v>View</v>
      </c>
      <c r="V2174" s="8"/>
      <c r="W2174" s="8"/>
      <c r="X2174" s="8"/>
      <c r="Y2174" s="8"/>
      <c r="Z2174" s="8"/>
    </row>
    <row r="2175" spans="1:26" ht="12.75">
      <c r="A2175" s="11">
        <v>43747.226770833338</v>
      </c>
      <c r="B2175" s="12" t="str">
        <f>HYPERLINK("https://twitter.com/zeyneb1979","@zeyneb1979")</f>
        <v>@zeyneb1979</v>
      </c>
      <c r="C2175" s="7" t="s">
        <v>14424</v>
      </c>
      <c r="D2175" s="7" t="s">
        <v>14425</v>
      </c>
      <c r="E2175" s="12" t="str">
        <f>HYPERLINK("https://twitter.com/zeyneb1979/status/1181908810006433793","1181908810006433793")</f>
        <v>1181908810006433793</v>
      </c>
      <c r="F2175" s="14" t="s">
        <v>2719</v>
      </c>
      <c r="G2175" s="14" t="s">
        <v>2720</v>
      </c>
      <c r="H2175" s="8"/>
      <c r="I2175" s="15">
        <v>0</v>
      </c>
      <c r="J2175" s="15">
        <v>0</v>
      </c>
      <c r="K2175" s="12" t="str">
        <f>HYPERLINK("https://mobile.twitter.com","Twitter Web App")</f>
        <v>Twitter Web App</v>
      </c>
      <c r="L2175" s="16">
        <v>285</v>
      </c>
      <c r="M2175" s="16">
        <v>129</v>
      </c>
      <c r="N2175" s="16">
        <v>1</v>
      </c>
      <c r="O2175" s="17"/>
      <c r="P2175" s="18">
        <v>40472.518888888888</v>
      </c>
      <c r="Q2175" s="7" t="s">
        <v>3373</v>
      </c>
      <c r="R2175" s="7" t="s">
        <v>14426</v>
      </c>
      <c r="S2175" s="7"/>
      <c r="T2175" s="8"/>
      <c r="U2175" s="19" t="str">
        <f>HYPERLINK("https://pbs.twimg.com/profile_images/1172253849522003970/HqHjq7JK.jpg","View")</f>
        <v>View</v>
      </c>
      <c r="V2175" s="8"/>
      <c r="W2175" s="8"/>
      <c r="X2175" s="8"/>
      <c r="Y2175" s="8"/>
      <c r="Z2175" s="8"/>
    </row>
    <row r="2176" spans="1:26" ht="12.75">
      <c r="A2176" s="11">
        <v>43747.226724537039</v>
      </c>
      <c r="B2176" s="12" t="str">
        <f>HYPERLINK("https://twitter.com/Mustafa12410596","@Mustafa12410596")</f>
        <v>@Mustafa12410596</v>
      </c>
      <c r="C2176" s="7" t="s">
        <v>14427</v>
      </c>
      <c r="D2176" s="7" t="s">
        <v>14428</v>
      </c>
      <c r="E2176" s="12" t="str">
        <f>HYPERLINK("https://twitter.com/Mustafa12410596/status/1181908791195029509","1181908791195029509")</f>
        <v>1181908791195029509</v>
      </c>
      <c r="F2176" s="14" t="s">
        <v>14429</v>
      </c>
      <c r="G2176" s="14" t="s">
        <v>14430</v>
      </c>
      <c r="H2176" s="8"/>
      <c r="I2176" s="15">
        <v>0</v>
      </c>
      <c r="J2176" s="15">
        <v>1</v>
      </c>
      <c r="K2176" s="12" t="str">
        <f>HYPERLINK("http://twitter.com/download/android","Twitter for Android")</f>
        <v>Twitter for Android</v>
      </c>
      <c r="L2176" s="16">
        <v>7</v>
      </c>
      <c r="M2176" s="16">
        <v>39</v>
      </c>
      <c r="N2176" s="16">
        <v>0</v>
      </c>
      <c r="O2176" s="17"/>
      <c r="P2176" s="18">
        <v>43710.65415509259</v>
      </c>
      <c r="Q2176" s="7"/>
      <c r="R2176" s="7" t="s">
        <v>14431</v>
      </c>
      <c r="S2176" s="7"/>
      <c r="T2176" s="8"/>
      <c r="U2176" s="19" t="str">
        <f>HYPERLINK("https://pbs.twimg.com/profile_images/1168656070828576768/EKTThmrZ.jpg","View")</f>
        <v>View</v>
      </c>
      <c r="V2176" s="8"/>
      <c r="W2176" s="8"/>
      <c r="X2176" s="8"/>
      <c r="Y2176" s="8"/>
      <c r="Z2176" s="8"/>
    </row>
    <row r="2177" spans="1:26" ht="12.75">
      <c r="A2177" s="11">
        <v>43747.226712962962</v>
      </c>
      <c r="B2177" s="12" t="str">
        <f>HYPERLINK("https://twitter.com/BulgurcuIlkcan","@BulgurcuIlkcan")</f>
        <v>@BulgurcuIlkcan</v>
      </c>
      <c r="C2177" s="7" t="s">
        <v>14432</v>
      </c>
      <c r="D2177" s="7" t="s">
        <v>14433</v>
      </c>
      <c r="E2177" s="12" t="str">
        <f>HYPERLINK("https://twitter.com/BulgurcuIlkcan/status/1181908787596316673","1181908787596316673")</f>
        <v>1181908787596316673</v>
      </c>
      <c r="F2177" s="8"/>
      <c r="G2177" s="14" t="s">
        <v>14434</v>
      </c>
      <c r="H2177" s="8"/>
      <c r="I2177" s="15">
        <v>0</v>
      </c>
      <c r="J2177" s="15">
        <v>0</v>
      </c>
      <c r="K2177" s="12" t="str">
        <f>HYPERLINK("http://twitter.com","Twitter Web Client")</f>
        <v>Twitter Web Client</v>
      </c>
      <c r="L2177" s="16">
        <v>9</v>
      </c>
      <c r="M2177" s="16">
        <v>0</v>
      </c>
      <c r="N2177" s="16">
        <v>0</v>
      </c>
      <c r="O2177" s="17"/>
      <c r="P2177" s="18">
        <v>43669.860937500001</v>
      </c>
      <c r="Q2177" s="7" t="s">
        <v>14435</v>
      </c>
      <c r="R2177" s="7" t="s">
        <v>14436</v>
      </c>
      <c r="S2177" s="15"/>
      <c r="T2177" s="8"/>
      <c r="U2177" s="19" t="str">
        <f>HYPERLINK("https://pbs.twimg.com/profile_images/1154295091760177152/GZMOBeGb.jpg","View")</f>
        <v>View</v>
      </c>
      <c r="V2177" s="8"/>
      <c r="W2177" s="8"/>
      <c r="X2177" s="8"/>
      <c r="Y2177" s="8"/>
      <c r="Z2177" s="8"/>
    </row>
    <row r="2178" spans="1:26" ht="12.75">
      <c r="A2178" s="11">
        <v>43747.226678240739</v>
      </c>
      <c r="B2178" s="12" t="str">
        <f>HYPERLINK("https://twitter.com/mbozkurt23","@mbozkurt23")</f>
        <v>@mbozkurt23</v>
      </c>
      <c r="C2178" s="7" t="s">
        <v>14437</v>
      </c>
      <c r="D2178" s="7" t="s">
        <v>14438</v>
      </c>
      <c r="E2178" s="12" t="str">
        <f>HYPERLINK("https://twitter.com/mbozkurt23/status/1181908774250061829","1181908774250061829")</f>
        <v>1181908774250061829</v>
      </c>
      <c r="F2178" s="8"/>
      <c r="G2178" s="14" t="s">
        <v>14439</v>
      </c>
      <c r="H2178" s="8"/>
      <c r="I2178" s="15">
        <v>0</v>
      </c>
      <c r="J2178" s="15">
        <v>1</v>
      </c>
      <c r="K2178" s="12" t="str">
        <f>HYPERLINK("http://twitter.com/download/android","Twitter for Android")</f>
        <v>Twitter for Android</v>
      </c>
      <c r="L2178" s="16">
        <v>36</v>
      </c>
      <c r="M2178" s="16">
        <v>220</v>
      </c>
      <c r="N2178" s="16">
        <v>0</v>
      </c>
      <c r="O2178" s="17"/>
      <c r="P2178" s="18">
        <v>41452.54751157407</v>
      </c>
      <c r="Q2178" s="7" t="s">
        <v>1392</v>
      </c>
      <c r="R2178" s="7" t="s">
        <v>14440</v>
      </c>
      <c r="S2178" s="15"/>
      <c r="T2178" s="8"/>
      <c r="U2178" s="19" t="str">
        <f>HYPERLINK("https://pbs.twimg.com/profile_images/1127922628826738688/JlrpnPE1.jpg","View")</f>
        <v>View</v>
      </c>
      <c r="V2178" s="8"/>
      <c r="W2178" s="8"/>
      <c r="X2178" s="8"/>
      <c r="Y2178" s="8"/>
      <c r="Z2178" s="8"/>
    </row>
    <row r="2179" spans="1:26" ht="12.75">
      <c r="A2179" s="11">
        <v>43747.226597222223</v>
      </c>
      <c r="B2179" s="12" t="str">
        <f>HYPERLINK("https://twitter.com/IsmailTrmn","@IsmailTrmn")</f>
        <v>@IsmailTrmn</v>
      </c>
      <c r="C2179" s="7" t="s">
        <v>14441</v>
      </c>
      <c r="D2179" s="7" t="s">
        <v>14442</v>
      </c>
      <c r="E2179" s="12" t="str">
        <f>HYPERLINK("https://twitter.com/IsmailTrmn/status/1181908748027273217","1181908748027273217")</f>
        <v>1181908748027273217</v>
      </c>
      <c r="F2179" s="8"/>
      <c r="G2179" s="15"/>
      <c r="H2179" s="8"/>
      <c r="I2179" s="15">
        <v>0</v>
      </c>
      <c r="J2179" s="15">
        <v>1</v>
      </c>
      <c r="K2179" s="12" t="str">
        <f>HYPERLINK("http://twitter.com/download/android","Twitter for Android")</f>
        <v>Twitter for Android</v>
      </c>
      <c r="L2179" s="16">
        <v>312</v>
      </c>
      <c r="M2179" s="16">
        <v>563</v>
      </c>
      <c r="N2179" s="16">
        <v>0</v>
      </c>
      <c r="O2179" s="17"/>
      <c r="P2179" s="18">
        <v>43481.451898148152</v>
      </c>
      <c r="Q2179" s="7" t="s">
        <v>313</v>
      </c>
      <c r="R2179" s="7" t="s">
        <v>14443</v>
      </c>
      <c r="S2179" s="15"/>
      <c r="T2179" s="8"/>
      <c r="U2179" s="19" t="str">
        <f>HYPERLINK("https://pbs.twimg.com/profile_images/1097465515562467329/h5lk8IFG.jpg","View")</f>
        <v>View</v>
      </c>
      <c r="V2179" s="8"/>
      <c r="W2179" s="8"/>
      <c r="X2179" s="8"/>
      <c r="Y2179" s="8"/>
      <c r="Z2179" s="8"/>
    </row>
    <row r="2180" spans="1:26" ht="12.75">
      <c r="A2180" s="11">
        <v>43747.2265625</v>
      </c>
      <c r="B2180" s="12" t="str">
        <f>HYPERLINK("https://twitter.com/PADICD","@PADICD")</f>
        <v>@PADICD</v>
      </c>
      <c r="C2180" s="7" t="s">
        <v>14444</v>
      </c>
      <c r="D2180" s="7" t="s">
        <v>14445</v>
      </c>
      <c r="E2180" s="12" t="str">
        <f>HYPERLINK("https://twitter.com/PADICD/status/1181908732478967808","1181908732478967808")</f>
        <v>1181908732478967808</v>
      </c>
      <c r="F2180" s="8"/>
      <c r="G2180" s="7"/>
      <c r="H2180" s="8"/>
      <c r="I2180" s="15">
        <v>0</v>
      </c>
      <c r="J2180" s="15">
        <v>0</v>
      </c>
      <c r="K2180" s="12" t="str">
        <f>HYPERLINK("http://twitter.com/download/android","Twitter for Android")</f>
        <v>Twitter for Android</v>
      </c>
      <c r="L2180" s="16">
        <v>369</v>
      </c>
      <c r="M2180" s="16">
        <v>127</v>
      </c>
      <c r="N2180" s="16">
        <v>4</v>
      </c>
      <c r="O2180" s="17"/>
      <c r="P2180" s="18">
        <v>39835.303530092591</v>
      </c>
      <c r="Q2180" s="7" t="s">
        <v>12708</v>
      </c>
      <c r="R2180" s="15" t="s">
        <v>14446</v>
      </c>
      <c r="S2180" s="14" t="s">
        <v>14447</v>
      </c>
      <c r="T2180" s="8"/>
      <c r="U2180" s="19" t="str">
        <f>HYPERLINK("https://pbs.twimg.com/profile_images/378800000118622023/10d7d8524fe26028f723a7df25e96688.jpeg","View")</f>
        <v>View</v>
      </c>
      <c r="V2180" s="8"/>
      <c r="W2180" s="8"/>
      <c r="X2180" s="8"/>
      <c r="Y2180" s="8"/>
      <c r="Z2180" s="8"/>
    </row>
    <row r="2181" spans="1:26" ht="12.75">
      <c r="A2181" s="11">
        <v>43747.22655092593</v>
      </c>
      <c r="B2181" s="12" t="str">
        <f>HYPERLINK("https://twitter.com/M_HuseyinVarol","@M_HuseyinVarol")</f>
        <v>@M_HuseyinVarol</v>
      </c>
      <c r="C2181" s="7" t="s">
        <v>14448</v>
      </c>
      <c r="D2181" s="7" t="s">
        <v>14449</v>
      </c>
      <c r="E2181" s="12" t="str">
        <f>HYPERLINK("https://twitter.com/M_HuseyinVarol/status/1181908728301400064","1181908728301400064")</f>
        <v>1181908728301400064</v>
      </c>
      <c r="F2181" s="15"/>
      <c r="G2181" s="14" t="s">
        <v>14450</v>
      </c>
      <c r="H2181" s="8"/>
      <c r="I2181" s="15">
        <v>0</v>
      </c>
      <c r="J2181" s="15">
        <v>0</v>
      </c>
      <c r="K2181" s="12" t="str">
        <f>HYPERLINK("http://twitter.com/download/iphone","Twitter for iPhone")</f>
        <v>Twitter for iPhone</v>
      </c>
      <c r="L2181" s="16">
        <v>24</v>
      </c>
      <c r="M2181" s="16">
        <v>85</v>
      </c>
      <c r="N2181" s="16">
        <v>0</v>
      </c>
      <c r="O2181" s="20"/>
      <c r="P2181" s="18">
        <v>43734.117268518516</v>
      </c>
      <c r="Q2181" s="7"/>
      <c r="R2181" s="7" t="s">
        <v>14451</v>
      </c>
      <c r="S2181" s="15"/>
      <c r="T2181" s="8"/>
      <c r="U2181" s="19" t="str">
        <f>HYPERLINK("https://pbs.twimg.com/profile_images/1180863197705887749/EK3kPFg0.jpg","View")</f>
        <v>View</v>
      </c>
      <c r="V2181" s="8"/>
      <c r="W2181" s="8"/>
      <c r="X2181" s="8"/>
      <c r="Y2181" s="8"/>
      <c r="Z2181" s="8"/>
    </row>
    <row r="2182" spans="1:26" ht="12.75">
      <c r="A2182" s="11">
        <v>43747.22655092593</v>
      </c>
      <c r="B2182" s="12" t="str">
        <f>HYPERLINK("https://twitter.com/hsyn54hsyn","@hsyn54hsyn")</f>
        <v>@hsyn54hsyn</v>
      </c>
      <c r="C2182" s="7" t="s">
        <v>14452</v>
      </c>
      <c r="D2182" s="7" t="s">
        <v>14453</v>
      </c>
      <c r="E2182" s="12" t="str">
        <f>HYPERLINK("https://twitter.com/hsyn54hsyn/status/1181908727521259520","1181908727521259520")</f>
        <v>1181908727521259520</v>
      </c>
      <c r="F2182" s="8"/>
      <c r="G2182" s="14" t="s">
        <v>14454</v>
      </c>
      <c r="H2182" s="8"/>
      <c r="I2182" s="15">
        <v>0</v>
      </c>
      <c r="J2182" s="15">
        <v>2</v>
      </c>
      <c r="K2182" s="12" t="str">
        <f>HYPERLINK("http://twitter.com/download/android","Twitter for Android")</f>
        <v>Twitter for Android</v>
      </c>
      <c r="L2182" s="16">
        <v>4926</v>
      </c>
      <c r="M2182" s="16">
        <v>5221</v>
      </c>
      <c r="N2182" s="16">
        <v>3</v>
      </c>
      <c r="O2182" s="17"/>
      <c r="P2182" s="18">
        <v>43269.571250000001</v>
      </c>
      <c r="Q2182" s="7" t="s">
        <v>685</v>
      </c>
      <c r="R2182" s="7" t="s">
        <v>14455</v>
      </c>
      <c r="S2182" s="7"/>
      <c r="T2182" s="8"/>
      <c r="U2182" s="19" t="str">
        <f>HYPERLINK("https://pbs.twimg.com/profile_images/1180633302463631362/xK7SUPte.jpg","View")</f>
        <v>View</v>
      </c>
      <c r="V2182" s="8"/>
      <c r="W2182" s="8"/>
      <c r="X2182" s="8"/>
      <c r="Y2182" s="8"/>
      <c r="Z2182" s="8"/>
    </row>
    <row r="2183" spans="1:26" ht="12.75">
      <c r="A2183" s="11">
        <v>43747.226458333331</v>
      </c>
      <c r="B2183" s="12" t="str">
        <f>HYPERLINK("https://twitter.com/Toprak76323474","@Toprak76323474")</f>
        <v>@Toprak76323474</v>
      </c>
      <c r="C2183" s="13" t="s">
        <v>14456</v>
      </c>
      <c r="D2183" s="7" t="s">
        <v>14457</v>
      </c>
      <c r="E2183" s="12" t="str">
        <f>HYPERLINK("https://twitter.com/Toprak76323474/status/1181908694612807685","1181908694612807685")</f>
        <v>1181908694612807685</v>
      </c>
      <c r="F2183" s="8"/>
      <c r="G2183" s="14" t="s">
        <v>14458</v>
      </c>
      <c r="H2183" s="8"/>
      <c r="I2183" s="15">
        <v>0</v>
      </c>
      <c r="J2183" s="15">
        <v>0</v>
      </c>
      <c r="K2183" s="12" t="str">
        <f>HYPERLINK("http://twitter.com/download/android","Twitter for Android")</f>
        <v>Twitter for Android</v>
      </c>
      <c r="L2183" s="16">
        <v>0</v>
      </c>
      <c r="M2183" s="16">
        <v>0</v>
      </c>
      <c r="N2183" s="16">
        <v>0</v>
      </c>
      <c r="O2183" s="17"/>
      <c r="P2183" s="18">
        <v>43726.082002314812</v>
      </c>
      <c r="Q2183" s="7"/>
      <c r="R2183" s="7"/>
      <c r="S2183" s="7"/>
      <c r="T2183" s="8"/>
      <c r="U2183" s="19" t="str">
        <f>HYPERLINK("https://pbs.twimg.com/profile_images/1174337522178154496/77HAgV_t.jpg","View")</f>
        <v>View</v>
      </c>
      <c r="V2183" s="8"/>
      <c r="W2183" s="8"/>
      <c r="X2183" s="8"/>
      <c r="Y2183" s="8"/>
      <c r="Z2183" s="8"/>
    </row>
    <row r="2184" spans="1:26" ht="12.75">
      <c r="A2184" s="11">
        <v>43747.226412037038</v>
      </c>
      <c r="B2184" s="12" t="str">
        <f>HYPERLINK("https://twitter.com/Zawxse10","@Zawxse10")</f>
        <v>@Zawxse10</v>
      </c>
      <c r="C2184" s="7" t="s">
        <v>14459</v>
      </c>
      <c r="D2184" s="7" t="s">
        <v>14460</v>
      </c>
      <c r="E2184" s="12" t="str">
        <f>HYPERLINK("https://twitter.com/Zawxse10/status/1181908677214777344","1181908677214777344")</f>
        <v>1181908677214777344</v>
      </c>
      <c r="F2184" s="8"/>
      <c r="G2184" s="14" t="s">
        <v>14461</v>
      </c>
      <c r="H2184" s="8"/>
      <c r="I2184" s="15">
        <v>0</v>
      </c>
      <c r="J2184" s="15">
        <v>0</v>
      </c>
      <c r="K2184" s="12" t="str">
        <f>HYPERLINK("https://mobile.twitter.com","Twitter Web App")</f>
        <v>Twitter Web App</v>
      </c>
      <c r="L2184" s="16">
        <v>86</v>
      </c>
      <c r="M2184" s="16">
        <v>83</v>
      </c>
      <c r="N2184" s="16">
        <v>0</v>
      </c>
      <c r="O2184" s="17"/>
      <c r="P2184" s="18">
        <v>40913.448946759258</v>
      </c>
      <c r="Q2184" s="7" t="s">
        <v>14462</v>
      </c>
      <c r="R2184" s="7" t="s">
        <v>14463</v>
      </c>
      <c r="S2184" s="7"/>
      <c r="T2184" s="8"/>
      <c r="U2184" s="19" t="str">
        <f>HYPERLINK("https://pbs.twimg.com/profile_images/941688679474585601/D1mhyvz9.jpg","View")</f>
        <v>View</v>
      </c>
      <c r="V2184" s="8"/>
      <c r="W2184" s="8"/>
      <c r="X2184" s="8"/>
      <c r="Y2184" s="8"/>
      <c r="Z2184" s="8"/>
    </row>
    <row r="2185" spans="1:26" ht="12.75">
      <c r="A2185" s="11">
        <v>43747.226388888885</v>
      </c>
      <c r="B2185" s="12" t="str">
        <f>HYPERLINK("https://twitter.com/TrTwltter994253","@TrTwltter994253")</f>
        <v>@TrTwltter994253</v>
      </c>
      <c r="C2185" s="7" t="s">
        <v>14464</v>
      </c>
      <c r="D2185" s="7" t="s">
        <v>14465</v>
      </c>
      <c r="E2185" s="12" t="str">
        <f>HYPERLINK("https://twitter.com/TrTwltter994253/status/1181908672194195458","1181908672194195458")</f>
        <v>1181908672194195458</v>
      </c>
      <c r="F2185" s="7"/>
      <c r="G2185" s="7"/>
      <c r="H2185" s="8"/>
      <c r="I2185" s="15">
        <v>0</v>
      </c>
      <c r="J2185" s="15">
        <v>0</v>
      </c>
      <c r="K2185" s="12" t="str">
        <f>HYPERLINK("http://twitter.com/download/android","Twitter for Android")</f>
        <v>Twitter for Android</v>
      </c>
      <c r="L2185" s="16">
        <v>26</v>
      </c>
      <c r="M2185" s="16">
        <v>42</v>
      </c>
      <c r="N2185" s="16">
        <v>0</v>
      </c>
      <c r="O2185" s="17"/>
      <c r="P2185" s="18">
        <v>42743.350972222222</v>
      </c>
      <c r="Q2185" s="7" t="s">
        <v>200</v>
      </c>
      <c r="R2185" s="7"/>
      <c r="S2185" s="7"/>
      <c r="T2185" s="8"/>
      <c r="U2185" s="19" t="str">
        <f>HYPERLINK("https://pbs.twimg.com/profile_images/1097071527214882816/s4Bjg1uS.jpg","View")</f>
        <v>View</v>
      </c>
      <c r="V2185" s="8"/>
      <c r="W2185" s="8"/>
      <c r="X2185" s="8"/>
      <c r="Y2185" s="8"/>
      <c r="Z2185" s="8"/>
    </row>
    <row r="2186" spans="1:26" ht="12.75">
      <c r="A2186" s="11">
        <v>43747.226377314815</v>
      </c>
      <c r="B2186" s="12" t="str">
        <f>HYPERLINK("https://twitter.com/krstdyr89","@krstdyr89")</f>
        <v>@krstdyr89</v>
      </c>
      <c r="C2186" s="7" t="s">
        <v>14466</v>
      </c>
      <c r="D2186" s="7" t="s">
        <v>14467</v>
      </c>
      <c r="E2186" s="12" t="str">
        <f>HYPERLINK("https://twitter.com/krstdyr89/status/1181908665080700928","1181908665080700928")</f>
        <v>1181908665080700928</v>
      </c>
      <c r="F2186" s="8"/>
      <c r="G2186" s="14" t="s">
        <v>14468</v>
      </c>
      <c r="H2186" s="8"/>
      <c r="I2186" s="15">
        <v>0</v>
      </c>
      <c r="J2186" s="15">
        <v>0</v>
      </c>
      <c r="K2186" s="12" t="str">
        <f>HYPERLINK("http://twitter.com/download/android","Twitter for Android")</f>
        <v>Twitter for Android</v>
      </c>
      <c r="L2186" s="16">
        <v>17</v>
      </c>
      <c r="M2186" s="16">
        <v>0</v>
      </c>
      <c r="N2186" s="16">
        <v>0</v>
      </c>
      <c r="O2186" s="17"/>
      <c r="P2186" s="18">
        <v>42401.591840277775</v>
      </c>
      <c r="Q2186" s="7"/>
      <c r="R2186" s="7"/>
      <c r="S2186" s="7"/>
      <c r="T2186" s="8"/>
      <c r="U2186" s="19" t="str">
        <f>HYPERLINK("https://pbs.twimg.com/profile_images/1181680944597651457/nUbdGwKI.jpg","View")</f>
        <v>View</v>
      </c>
      <c r="V2186" s="8"/>
      <c r="W2186" s="8"/>
      <c r="X2186" s="8"/>
      <c r="Y2186" s="8"/>
      <c r="Z2186" s="8"/>
    </row>
    <row r="2187" spans="1:26" ht="12.75">
      <c r="A2187" s="11">
        <v>43747.226365740746</v>
      </c>
      <c r="B2187" s="12" t="str">
        <f>HYPERLINK("https://twitter.com/hfzhnmm","@hfzhnmm")</f>
        <v>@hfzhnmm</v>
      </c>
      <c r="C2187" s="7" t="s">
        <v>14469</v>
      </c>
      <c r="D2187" s="7" t="s">
        <v>13999</v>
      </c>
      <c r="E2187" s="12" t="str">
        <f>HYPERLINK("https://twitter.com/hfzhnmm/status/1181908660496326658","1181908660496326658")</f>
        <v>1181908660496326658</v>
      </c>
      <c r="F2187" s="8"/>
      <c r="G2187" s="14" t="s">
        <v>14470</v>
      </c>
      <c r="H2187" s="8"/>
      <c r="I2187" s="15">
        <v>0</v>
      </c>
      <c r="J2187" s="15">
        <v>0</v>
      </c>
      <c r="K2187" s="12" t="str">
        <f>HYPERLINK("http://twitter.com/download/android","Twitter for Android")</f>
        <v>Twitter for Android</v>
      </c>
      <c r="L2187" s="16">
        <v>61</v>
      </c>
      <c r="M2187" s="16">
        <v>56</v>
      </c>
      <c r="N2187" s="16">
        <v>0</v>
      </c>
      <c r="O2187" s="17"/>
      <c r="P2187" s="18">
        <v>43320.64099537037</v>
      </c>
      <c r="Q2187" s="7"/>
      <c r="R2187" s="7" t="s">
        <v>14471</v>
      </c>
      <c r="S2187" s="7"/>
      <c r="T2187" s="8"/>
      <c r="U2187" s="19" t="str">
        <f>HYPERLINK("https://pbs.twimg.com/profile_images/1181661602459918338/V45oabL9.jpg","View")</f>
        <v>View</v>
      </c>
      <c r="V2187" s="8"/>
      <c r="W2187" s="8"/>
      <c r="X2187" s="8"/>
      <c r="Y2187" s="8"/>
      <c r="Z2187" s="8"/>
    </row>
    <row r="2188" spans="1:26" ht="12.75">
      <c r="A2188" s="11">
        <v>43747.226284722223</v>
      </c>
      <c r="B2188" s="12" t="str">
        <f>HYPERLINK("https://twitter.com/yuzatmisbir","@yuzatmisbir")</f>
        <v>@yuzatmisbir</v>
      </c>
      <c r="C2188" s="7" t="s">
        <v>14472</v>
      </c>
      <c r="D2188" s="7" t="s">
        <v>160</v>
      </c>
      <c r="E2188" s="12" t="str">
        <f>HYPERLINK("https://twitter.com/yuzatmisbir/status/1181908632998436865","1181908632998436865")</f>
        <v>1181908632998436865</v>
      </c>
      <c r="F2188" s="8"/>
      <c r="G2188" s="14" t="s">
        <v>14473</v>
      </c>
      <c r="H2188" s="8"/>
      <c r="I2188" s="15">
        <v>0</v>
      </c>
      <c r="J2188" s="15">
        <v>0</v>
      </c>
      <c r="K2188" s="12" t="str">
        <f>HYPERLINK("http://twitter.com/download/android","Twitter for Android")</f>
        <v>Twitter for Android</v>
      </c>
      <c r="L2188" s="16">
        <v>257</v>
      </c>
      <c r="M2188" s="16">
        <v>76</v>
      </c>
      <c r="N2188" s="16">
        <v>0</v>
      </c>
      <c r="O2188" s="17"/>
      <c r="P2188" s="18">
        <v>41183.631284722222</v>
      </c>
      <c r="Q2188" s="7" t="s">
        <v>14474</v>
      </c>
      <c r="R2188" s="7" t="s">
        <v>14475</v>
      </c>
      <c r="S2188" s="15"/>
      <c r="T2188" s="8"/>
      <c r="U2188" s="19" t="str">
        <f>HYPERLINK("https://pbs.twimg.com/profile_images/985826823928991744/yri6Ufek.jpg","View")</f>
        <v>View</v>
      </c>
      <c r="V2188" s="8"/>
      <c r="W2188" s="8"/>
      <c r="X2188" s="8"/>
      <c r="Y2188" s="8"/>
      <c r="Z2188" s="8"/>
    </row>
    <row r="2189" spans="1:26" ht="12.75">
      <c r="A2189" s="11">
        <v>43747.226238425923</v>
      </c>
      <c r="B2189" s="12" t="str">
        <f>HYPERLINK("https://twitter.com/DostumCener","@DostumCener")</f>
        <v>@DostumCener</v>
      </c>
      <c r="C2189" s="7" t="s">
        <v>14476</v>
      </c>
      <c r="D2189" s="7" t="s">
        <v>14477</v>
      </c>
      <c r="E2189" s="12" t="str">
        <f>HYPERLINK("https://twitter.com/DostumCener/status/1181908615671812097","1181908615671812097")</f>
        <v>1181908615671812097</v>
      </c>
      <c r="F2189" s="8"/>
      <c r="G2189" s="15"/>
      <c r="H2189" s="8"/>
      <c r="I2189" s="15">
        <v>0</v>
      </c>
      <c r="J2189" s="15">
        <v>0</v>
      </c>
      <c r="K2189" s="12" t="str">
        <f>HYPERLINK("http://twitter.com","Twitter Web Client")</f>
        <v>Twitter Web Client</v>
      </c>
      <c r="L2189" s="16">
        <v>16</v>
      </c>
      <c r="M2189" s="16">
        <v>0</v>
      </c>
      <c r="N2189" s="16">
        <v>0</v>
      </c>
      <c r="O2189" s="17"/>
      <c r="P2189" s="18">
        <v>43639.669641203705</v>
      </c>
      <c r="Q2189" s="7" t="s">
        <v>13727</v>
      </c>
      <c r="R2189" s="7" t="s">
        <v>14478</v>
      </c>
      <c r="S2189" s="15"/>
      <c r="T2189" s="8"/>
      <c r="U2189" s="19" t="str">
        <f>HYPERLINK("https://pbs.twimg.com/profile_images/1143820341015449601/uddmj6fU.jpg","View")</f>
        <v>View</v>
      </c>
      <c r="V2189" s="8"/>
      <c r="W2189" s="8"/>
      <c r="X2189" s="8"/>
      <c r="Y2189" s="8"/>
      <c r="Z2189" s="8"/>
    </row>
    <row r="2190" spans="1:26" ht="12.75">
      <c r="A2190" s="11">
        <v>43747.226226851853</v>
      </c>
      <c r="B2190" s="12" t="str">
        <f>HYPERLINK("https://twitter.com/waynes1O","@waynes1O")</f>
        <v>@waynes1O</v>
      </c>
      <c r="C2190" s="7" t="s">
        <v>14479</v>
      </c>
      <c r="D2190" s="7" t="s">
        <v>14480</v>
      </c>
      <c r="E2190" s="12" t="str">
        <f>HYPERLINK("https://twitter.com/waynes1O/status/1181908612769337344","1181908612769337344")</f>
        <v>1181908612769337344</v>
      </c>
      <c r="F2190" s="8"/>
      <c r="G2190" s="14" t="s">
        <v>14481</v>
      </c>
      <c r="H2190" s="8"/>
      <c r="I2190" s="15">
        <v>0</v>
      </c>
      <c r="J2190" s="15">
        <v>0</v>
      </c>
      <c r="K2190" s="12" t="str">
        <f>HYPERLINK("http://twitter.com/download/iphone","Twitter for iPhone")</f>
        <v>Twitter for iPhone</v>
      </c>
      <c r="L2190" s="16">
        <v>3234</v>
      </c>
      <c r="M2190" s="16">
        <v>161</v>
      </c>
      <c r="N2190" s="16">
        <v>2</v>
      </c>
      <c r="O2190" s="17"/>
      <c r="P2190" s="18">
        <v>42094.186435185184</v>
      </c>
      <c r="Q2190" s="7"/>
      <c r="R2190" s="7" t="s">
        <v>14482</v>
      </c>
      <c r="S2190" s="15"/>
      <c r="T2190" s="8"/>
      <c r="U2190" s="19" t="str">
        <f>HYPERLINK("https://pbs.twimg.com/profile_images/1157609378301784066/MmS4pkBq.jpg","View")</f>
        <v>View</v>
      </c>
      <c r="V2190" s="8"/>
      <c r="W2190" s="8"/>
      <c r="X2190" s="8"/>
      <c r="Y2190" s="8"/>
      <c r="Z2190" s="8"/>
    </row>
    <row r="2191" spans="1:26" ht="12.75">
      <c r="A2191" s="11">
        <v>43747.226226851853</v>
      </c>
      <c r="B2191" s="12" t="str">
        <f>HYPERLINK("https://twitter.com/aakin55","@aakin55")</f>
        <v>@aakin55</v>
      </c>
      <c r="C2191" s="7" t="s">
        <v>14483</v>
      </c>
      <c r="D2191" s="7" t="s">
        <v>14484</v>
      </c>
      <c r="E2191" s="12" t="str">
        <f>HYPERLINK("https://twitter.com/aakin55/status/1181908612509241345","1181908612509241345")</f>
        <v>1181908612509241345</v>
      </c>
      <c r="F2191" s="8"/>
      <c r="G2191" s="14" t="s">
        <v>14485</v>
      </c>
      <c r="H2191" s="8"/>
      <c r="I2191" s="15">
        <v>0</v>
      </c>
      <c r="J2191" s="15">
        <v>0</v>
      </c>
      <c r="K2191" s="12" t="str">
        <f>HYPERLINK("https://mobile.twitter.com","Twitter Web App")</f>
        <v>Twitter Web App</v>
      </c>
      <c r="L2191" s="16">
        <v>1143</v>
      </c>
      <c r="M2191" s="16">
        <v>956</v>
      </c>
      <c r="N2191" s="16">
        <v>0</v>
      </c>
      <c r="O2191" s="17"/>
      <c r="P2191" s="18">
        <v>40256.205358796295</v>
      </c>
      <c r="Q2191" s="7" t="s">
        <v>287</v>
      </c>
      <c r="R2191" s="7" t="s">
        <v>14486</v>
      </c>
      <c r="S2191" s="14" t="s">
        <v>14487</v>
      </c>
      <c r="T2191" s="8"/>
      <c r="U2191" s="19" t="str">
        <f>HYPERLINK("https://pbs.twimg.com/profile_images/1034493285996343296/eE87lJcK.jpg","View")</f>
        <v>View</v>
      </c>
      <c r="V2191" s="8"/>
      <c r="W2191" s="8"/>
      <c r="X2191" s="8"/>
      <c r="Y2191" s="8"/>
      <c r="Z2191" s="8"/>
    </row>
    <row r="2192" spans="1:26" ht="12.75">
      <c r="A2192" s="11">
        <v>43747.226180555561</v>
      </c>
      <c r="B2192" s="12" t="str">
        <f>HYPERLINK("https://twitter.com/kacleylimbaharr","@kacleylimbaharr")</f>
        <v>@kacleylimbaharr</v>
      </c>
      <c r="C2192" s="7" t="s">
        <v>14488</v>
      </c>
      <c r="D2192" s="7" t="s">
        <v>14489</v>
      </c>
      <c r="E2192" s="12" t="str">
        <f>HYPERLINK("https://twitter.com/kacleylimbaharr/status/1181908593043558401","1181908593043558401")</f>
        <v>1181908593043558401</v>
      </c>
      <c r="F2192" s="8"/>
      <c r="G2192" s="14" t="s">
        <v>14490</v>
      </c>
      <c r="H2192" s="8"/>
      <c r="I2192" s="15">
        <v>0</v>
      </c>
      <c r="J2192" s="15">
        <v>2</v>
      </c>
      <c r="K2192" s="12" t="str">
        <f>HYPERLINK("http://twitter.com/download/android","Twitter for Android")</f>
        <v>Twitter for Android</v>
      </c>
      <c r="L2192" s="16">
        <v>214</v>
      </c>
      <c r="M2192" s="16">
        <v>169</v>
      </c>
      <c r="N2192" s="16">
        <v>1</v>
      </c>
      <c r="O2192" s="17"/>
      <c r="P2192" s="18">
        <v>43298.176898148144</v>
      </c>
      <c r="Q2192" s="7" t="s">
        <v>14491</v>
      </c>
      <c r="R2192" s="7" t="s">
        <v>14492</v>
      </c>
      <c r="S2192" s="15"/>
      <c r="T2192" s="8"/>
      <c r="U2192" s="19" t="str">
        <f>HYPERLINK("https://pbs.twimg.com/profile_images/1181569937678241793/UAIljIQy.jpg","View")</f>
        <v>View</v>
      </c>
      <c r="V2192" s="8"/>
      <c r="W2192" s="8"/>
      <c r="X2192" s="8"/>
      <c r="Y2192" s="8"/>
      <c r="Z2192" s="8"/>
    </row>
    <row r="2193" spans="1:26" ht="12.75">
      <c r="A2193" s="11">
        <v>43747.226157407407</v>
      </c>
      <c r="B2193" s="12" t="str">
        <f>HYPERLINK("https://twitter.com/fatih1453h","@fatih1453h")</f>
        <v>@fatih1453h</v>
      </c>
      <c r="C2193" s="7" t="s">
        <v>14493</v>
      </c>
      <c r="D2193" s="7" t="s">
        <v>14494</v>
      </c>
      <c r="E2193" s="12" t="str">
        <f>HYPERLINK("https://twitter.com/fatih1453h/status/1181908587905503232","1181908587905503232")</f>
        <v>1181908587905503232</v>
      </c>
      <c r="F2193" s="8"/>
      <c r="G2193" s="7"/>
      <c r="H2193" s="8"/>
      <c r="I2193" s="15">
        <v>0</v>
      </c>
      <c r="J2193" s="15">
        <v>0</v>
      </c>
      <c r="K2193" s="12" t="str">
        <f>HYPERLINK("http://twitter.com/download/android","Twitter for Android")</f>
        <v>Twitter for Android</v>
      </c>
      <c r="L2193" s="16">
        <v>325</v>
      </c>
      <c r="M2193" s="16">
        <v>1021</v>
      </c>
      <c r="N2193" s="16">
        <v>0</v>
      </c>
      <c r="O2193" s="17"/>
      <c r="P2193" s="18">
        <v>40739.6096412037</v>
      </c>
      <c r="Q2193" s="7" t="s">
        <v>313</v>
      </c>
      <c r="R2193" s="7" t="s">
        <v>14495</v>
      </c>
      <c r="S2193" s="7"/>
      <c r="T2193" s="8"/>
      <c r="U2193" s="19" t="str">
        <f>HYPERLINK("https://pbs.twimg.com/profile_images/1166683896718811137/dRxxGNp6.jpg","View")</f>
        <v>View</v>
      </c>
      <c r="V2193" s="8"/>
      <c r="W2193" s="8"/>
      <c r="X2193" s="8"/>
      <c r="Y2193" s="8"/>
      <c r="Z2193" s="8"/>
    </row>
    <row r="2194" spans="1:26" ht="12.75">
      <c r="A2194" s="11">
        <v>43747.226157407407</v>
      </c>
      <c r="B2194" s="12" t="str">
        <f>HYPERLINK("https://twitter.com/mikaildonmez","@mikaildonmez")</f>
        <v>@mikaildonmez</v>
      </c>
      <c r="C2194" s="7" t="s">
        <v>14496</v>
      </c>
      <c r="D2194" s="7" t="s">
        <v>14497</v>
      </c>
      <c r="E2194" s="12" t="str">
        <f>HYPERLINK("https://twitter.com/mikaildonmez/status/1181908585237942274","1181908585237942274")</f>
        <v>1181908585237942274</v>
      </c>
      <c r="F2194" s="8"/>
      <c r="G2194" s="15"/>
      <c r="H2194" s="8"/>
      <c r="I2194" s="15">
        <v>0</v>
      </c>
      <c r="J2194" s="15">
        <v>0</v>
      </c>
      <c r="K2194" s="12" t="str">
        <f>HYPERLINK("https://mobile.twitter.com","Twitter Web App")</f>
        <v>Twitter Web App</v>
      </c>
      <c r="L2194" s="16">
        <v>62</v>
      </c>
      <c r="M2194" s="16">
        <v>39</v>
      </c>
      <c r="N2194" s="16">
        <v>1</v>
      </c>
      <c r="O2194" s="17"/>
      <c r="P2194" s="18">
        <v>40473.174618055556</v>
      </c>
      <c r="Q2194" s="7" t="s">
        <v>14498</v>
      </c>
      <c r="R2194" s="15"/>
      <c r="S2194" s="15"/>
      <c r="T2194" s="8"/>
      <c r="U2194" s="19" t="str">
        <f>HYPERLINK("https://pbs.twimg.com/profile_images/1150054860/1.jpg","View")</f>
        <v>View</v>
      </c>
      <c r="V2194" s="8"/>
      <c r="W2194" s="8"/>
      <c r="X2194" s="8"/>
      <c r="Y2194" s="8"/>
      <c r="Z2194" s="8"/>
    </row>
    <row r="2195" spans="1:26" ht="12.75">
      <c r="A2195" s="11">
        <v>43747.226087962961</v>
      </c>
      <c r="B2195" s="12" t="str">
        <f>HYPERLINK("https://twitter.com/MelekSarolu3","@MelekSarolu3")</f>
        <v>@MelekSarolu3</v>
      </c>
      <c r="C2195" s="7" t="s">
        <v>14499</v>
      </c>
      <c r="D2195" s="7" t="s">
        <v>160</v>
      </c>
      <c r="E2195" s="12" t="str">
        <f>HYPERLINK("https://twitter.com/MelekSarolu3/status/1181908562072739840","1181908562072739840")</f>
        <v>1181908562072739840</v>
      </c>
      <c r="F2195" s="8"/>
      <c r="G2195" s="14" t="s">
        <v>14500</v>
      </c>
      <c r="H2195" s="8"/>
      <c r="I2195" s="15">
        <v>0</v>
      </c>
      <c r="J2195" s="15">
        <v>1</v>
      </c>
      <c r="K2195" s="12" t="str">
        <f>HYPERLINK("http://twitter.com/download/android","Twitter for Android")</f>
        <v>Twitter for Android</v>
      </c>
      <c r="L2195" s="16">
        <v>5</v>
      </c>
      <c r="M2195" s="16">
        <v>27</v>
      </c>
      <c r="N2195" s="16">
        <v>0</v>
      </c>
      <c r="O2195" s="17"/>
      <c r="P2195" s="18">
        <v>43586.886655092589</v>
      </c>
      <c r="Q2195" s="7"/>
      <c r="R2195" s="7"/>
      <c r="S2195" s="7"/>
      <c r="T2195" s="8"/>
      <c r="U2195" s="19" t="str">
        <f>HYPERLINK("https://pbs.twimg.com/profile_images/1123836031487414272/tlzrm5LK.jpg","View")</f>
        <v>View</v>
      </c>
      <c r="V2195" s="8"/>
      <c r="W2195" s="8"/>
      <c r="X2195" s="8"/>
      <c r="Y2195" s="8"/>
      <c r="Z2195" s="8"/>
    </row>
    <row r="2196" spans="1:26" ht="12.75">
      <c r="A2196" s="11">
        <v>43747.226041666669</v>
      </c>
      <c r="B2196" s="12" t="str">
        <f>HYPERLINK("https://twitter.com/yasinerdemnett","@yasinerdemnett")</f>
        <v>@yasinerdemnett</v>
      </c>
      <c r="C2196" s="7" t="s">
        <v>8611</v>
      </c>
      <c r="D2196" s="7" t="s">
        <v>160</v>
      </c>
      <c r="E2196" s="12" t="str">
        <f>HYPERLINK("https://twitter.com/yasinerdemnett/status/1181908543940771841","1181908543940771841")</f>
        <v>1181908543940771841</v>
      </c>
      <c r="F2196" s="8"/>
      <c r="G2196" s="14" t="s">
        <v>14501</v>
      </c>
      <c r="H2196" s="8"/>
      <c r="I2196" s="15">
        <v>0</v>
      </c>
      <c r="J2196" s="15">
        <v>2</v>
      </c>
      <c r="K2196" s="12" t="str">
        <f>HYPERLINK("http://twitter.com/download/android","Twitter for Android")</f>
        <v>Twitter for Android</v>
      </c>
      <c r="L2196" s="16">
        <v>389</v>
      </c>
      <c r="M2196" s="16">
        <v>846</v>
      </c>
      <c r="N2196" s="16">
        <v>0</v>
      </c>
      <c r="O2196" s="17"/>
      <c r="P2196" s="18">
        <v>43705.507743055554</v>
      </c>
      <c r="Q2196" s="7"/>
      <c r="R2196" s="7"/>
      <c r="S2196" s="7"/>
      <c r="T2196" s="8"/>
      <c r="U2196" s="19" t="str">
        <f>HYPERLINK("https://pbs.twimg.com/profile_images/1179783238275010568/0faCoj33.jpg","View")</f>
        <v>View</v>
      </c>
      <c r="V2196" s="8"/>
      <c r="W2196" s="8"/>
      <c r="X2196" s="8"/>
      <c r="Y2196" s="8"/>
      <c r="Z2196" s="8"/>
    </row>
    <row r="2197" spans="1:26" ht="12.75">
      <c r="A2197" s="11">
        <v>43747.225949074069</v>
      </c>
      <c r="B2197" s="12" t="str">
        <f>HYPERLINK("https://twitter.com/ahmetcankokk","@ahmetcankokk")</f>
        <v>@ahmetcankokk</v>
      </c>
      <c r="C2197" s="7" t="s">
        <v>14502</v>
      </c>
      <c r="D2197" s="7" t="s">
        <v>14503</v>
      </c>
      <c r="E2197" s="12" t="str">
        <f>HYPERLINK("https://twitter.com/ahmetcankokk/status/1181908511426568192","1181908511426568192")</f>
        <v>1181908511426568192</v>
      </c>
      <c r="F2197" s="8"/>
      <c r="G2197" s="14" t="s">
        <v>14504</v>
      </c>
      <c r="H2197" s="8"/>
      <c r="I2197" s="15">
        <v>0</v>
      </c>
      <c r="J2197" s="15">
        <v>0</v>
      </c>
      <c r="K2197" s="12" t="str">
        <f>HYPERLINK("http://twitter.com/download/android","Twitter for Android")</f>
        <v>Twitter for Android</v>
      </c>
      <c r="L2197" s="16">
        <v>82</v>
      </c>
      <c r="M2197" s="16">
        <v>76</v>
      </c>
      <c r="N2197" s="16">
        <v>0</v>
      </c>
      <c r="O2197" s="17"/>
      <c r="P2197" s="18">
        <v>42690.346388888887</v>
      </c>
      <c r="Q2197" s="7" t="s">
        <v>14505</v>
      </c>
      <c r="R2197" s="7" t="s">
        <v>14506</v>
      </c>
      <c r="S2197" s="7"/>
      <c r="T2197" s="8"/>
      <c r="U2197" s="19" t="str">
        <f>HYPERLINK("https://pbs.twimg.com/profile_images/1133851546683416576/1KVDHHht.jpg","View")</f>
        <v>View</v>
      </c>
      <c r="V2197" s="8"/>
      <c r="W2197" s="8"/>
      <c r="X2197" s="8"/>
      <c r="Y2197" s="8"/>
      <c r="Z2197" s="8"/>
    </row>
    <row r="2198" spans="1:26" ht="12.75">
      <c r="A2198" s="11">
        <v>43747.225937499999</v>
      </c>
      <c r="B2198" s="12" t="str">
        <f>HYPERLINK("https://twitter.com/akkus1970","@akkus1970")</f>
        <v>@akkus1970</v>
      </c>
      <c r="C2198" s="7" t="s">
        <v>14507</v>
      </c>
      <c r="D2198" s="7" t="s">
        <v>14508</v>
      </c>
      <c r="E2198" s="12" t="str">
        <f>HYPERLINK("https://twitter.com/akkus1970/status/1181908506364010497","1181908506364010497")</f>
        <v>1181908506364010497</v>
      </c>
      <c r="F2198" s="8"/>
      <c r="G2198" s="7"/>
      <c r="H2198" s="8"/>
      <c r="I2198" s="15">
        <v>0</v>
      </c>
      <c r="J2198" s="15">
        <v>0</v>
      </c>
      <c r="K2198" s="12" t="str">
        <f>HYPERLINK("https://mobile.twitter.com","Twitter Web App")</f>
        <v>Twitter Web App</v>
      </c>
      <c r="L2198" s="16">
        <v>63</v>
      </c>
      <c r="M2198" s="16">
        <v>89</v>
      </c>
      <c r="N2198" s="16">
        <v>0</v>
      </c>
      <c r="O2198" s="17"/>
      <c r="P2198" s="18">
        <v>43654.024814814809</v>
      </c>
      <c r="Q2198" s="7" t="s">
        <v>14509</v>
      </c>
      <c r="R2198" s="7" t="s">
        <v>14510</v>
      </c>
      <c r="S2198" s="7"/>
      <c r="T2198" s="8"/>
      <c r="U2198" s="19" t="str">
        <f>HYPERLINK("https://pbs.twimg.com/profile_images/1148141294629339136/Q8cpTeKM.png","View")</f>
        <v>View</v>
      </c>
      <c r="V2198" s="8"/>
      <c r="W2198" s="8"/>
      <c r="X2198" s="8"/>
      <c r="Y2198" s="8"/>
      <c r="Z2198" s="8"/>
    </row>
    <row r="2199" spans="1:26" ht="12.75">
      <c r="A2199" s="11">
        <v>43747.225914351853</v>
      </c>
      <c r="B2199" s="12" t="str">
        <f>HYPERLINK("https://twitter.com/Elezan_622","@Elezan_622")</f>
        <v>@Elezan_622</v>
      </c>
      <c r="C2199" s="7" t="s">
        <v>14511</v>
      </c>
      <c r="D2199" s="7" t="s">
        <v>14512</v>
      </c>
      <c r="E2199" s="12" t="str">
        <f>HYPERLINK("https://twitter.com/Elezan_622/status/1181908498285826049","1181908498285826049")</f>
        <v>1181908498285826049</v>
      </c>
      <c r="F2199" s="8"/>
      <c r="G2199" s="14" t="s">
        <v>14513</v>
      </c>
      <c r="H2199" s="8"/>
      <c r="I2199" s="15">
        <v>0</v>
      </c>
      <c r="J2199" s="15">
        <v>6</v>
      </c>
      <c r="K2199" s="12" t="str">
        <f>HYPERLINK("http://twitter.com/download/android","Twitter for Android")</f>
        <v>Twitter for Android</v>
      </c>
      <c r="L2199" s="16">
        <v>2691</v>
      </c>
      <c r="M2199" s="16">
        <v>2769</v>
      </c>
      <c r="N2199" s="16">
        <v>1</v>
      </c>
      <c r="O2199" s="17"/>
      <c r="P2199" s="18">
        <v>43533.269537037035</v>
      </c>
      <c r="Q2199" s="7" t="s">
        <v>2050</v>
      </c>
      <c r="R2199" s="7" t="s">
        <v>14514</v>
      </c>
      <c r="S2199" s="7"/>
      <c r="T2199" s="8"/>
      <c r="U2199" s="19" t="str">
        <f>HYPERLINK("https://pbs.twimg.com/profile_images/1181539481939251200/FjappLmt.jpg","View")</f>
        <v>View</v>
      </c>
      <c r="V2199" s="8"/>
      <c r="W2199" s="8"/>
      <c r="X2199" s="8"/>
      <c r="Y2199" s="8"/>
      <c r="Z2199" s="8"/>
    </row>
    <row r="2200" spans="1:26" ht="12.75">
      <c r="A2200" s="11">
        <v>43747.22583333333</v>
      </c>
      <c r="B2200" s="12" t="str">
        <f>HYPERLINK("https://twitter.com/AntalyaLA","@AntalyaLA")</f>
        <v>@AntalyaLA</v>
      </c>
      <c r="C2200" s="7" t="s">
        <v>14515</v>
      </c>
      <c r="D2200" s="7" t="s">
        <v>14516</v>
      </c>
      <c r="E2200" s="12" t="str">
        <f>HYPERLINK("https://twitter.com/AntalyaLA/status/1181908467981926400","1181908467981926400")</f>
        <v>1181908467981926400</v>
      </c>
      <c r="F2200" s="8"/>
      <c r="G2200" s="14" t="s">
        <v>14517</v>
      </c>
      <c r="H2200" s="8"/>
      <c r="I2200" s="15">
        <v>0</v>
      </c>
      <c r="J2200" s="15">
        <v>0</v>
      </c>
      <c r="K2200" s="12" t="str">
        <f>HYPERLINK("https://mobile.twitter.com","Twitter Web App")</f>
        <v>Twitter Web App</v>
      </c>
      <c r="L2200" s="16">
        <v>2050</v>
      </c>
      <c r="M2200" s="16">
        <v>2021</v>
      </c>
      <c r="N2200" s="16">
        <v>3</v>
      </c>
      <c r="O2200" s="17"/>
      <c r="P2200" s="18">
        <v>41831.272129629629</v>
      </c>
      <c r="Q2200" s="7"/>
      <c r="R2200" s="7" t="s">
        <v>14518</v>
      </c>
      <c r="S2200" s="7"/>
      <c r="T2200" s="8"/>
      <c r="U2200" s="19" t="str">
        <f>HYPERLINK("https://pbs.twimg.com/profile_images/1170844036195917825/5G7LjAlN.jpg","View")</f>
        <v>View</v>
      </c>
      <c r="V2200" s="8"/>
      <c r="W2200" s="8"/>
      <c r="X2200" s="8"/>
      <c r="Y2200" s="8"/>
      <c r="Z2200" s="8"/>
    </row>
    <row r="2201" spans="1:26" ht="12.75">
      <c r="A2201" s="11">
        <v>43747.225821759261</v>
      </c>
      <c r="B2201" s="12" t="str">
        <f>HYPERLINK("https://twitter.com/miralayart","@miralayart")</f>
        <v>@miralayart</v>
      </c>
      <c r="C2201" s="7" t="s">
        <v>14519</v>
      </c>
      <c r="D2201" s="7" t="s">
        <v>14520</v>
      </c>
      <c r="E2201" s="12" t="str">
        <f>HYPERLINK("https://twitter.com/miralayart/status/1181908466526498816","1181908466526498816")</f>
        <v>1181908466526498816</v>
      </c>
      <c r="F2201" s="8"/>
      <c r="G2201" s="14" t="s">
        <v>14521</v>
      </c>
      <c r="H2201" s="8"/>
      <c r="I2201" s="15">
        <v>1</v>
      </c>
      <c r="J2201" s="15">
        <v>4</v>
      </c>
      <c r="K2201" s="12" t="str">
        <f>HYPERLINK("https://mobile.twitter.com","Twitter Web App")</f>
        <v>Twitter Web App</v>
      </c>
      <c r="L2201" s="16">
        <v>763</v>
      </c>
      <c r="M2201" s="16">
        <v>28</v>
      </c>
      <c r="N2201" s="16">
        <v>5</v>
      </c>
      <c r="O2201" s="17"/>
      <c r="P2201" s="18">
        <v>42243.026064814811</v>
      </c>
      <c r="Q2201" s="7"/>
      <c r="R2201" s="7"/>
      <c r="S2201" s="7"/>
      <c r="T2201" s="8"/>
      <c r="U2201" s="19" t="str">
        <f>HYPERLINK("https://pbs.twimg.com/profile_images/1160223596310126592/hVgRAEBk.jpg","View")</f>
        <v>View</v>
      </c>
      <c r="V2201" s="8"/>
      <c r="W2201" s="8"/>
      <c r="X2201" s="8"/>
      <c r="Y2201" s="8"/>
      <c r="Z2201" s="8"/>
    </row>
    <row r="2202" spans="1:26" ht="12.75">
      <c r="A2202" s="11">
        <v>43747.225821759261</v>
      </c>
      <c r="B2202" s="12" t="str">
        <f>HYPERLINK("https://twitter.com/MektebiAkaid","@MektebiAkaid")</f>
        <v>@MektebiAkaid</v>
      </c>
      <c r="C2202" s="7" t="s">
        <v>14522</v>
      </c>
      <c r="D2202" s="7" t="s">
        <v>14523</v>
      </c>
      <c r="E2202" s="12" t="str">
        <f>HYPERLINK("https://twitter.com/MektebiAkaid/status/1181908465134002176","1181908465134002176")</f>
        <v>1181908465134002176</v>
      </c>
      <c r="F2202" s="8"/>
      <c r="G2202" s="14" t="s">
        <v>14524</v>
      </c>
      <c r="H2202" s="8"/>
      <c r="I2202" s="15">
        <v>0</v>
      </c>
      <c r="J2202" s="15">
        <v>0</v>
      </c>
      <c r="K2202" s="12" t="str">
        <f>HYPERLINK("https://mobile.twitter.com","Twitter Web App")</f>
        <v>Twitter Web App</v>
      </c>
      <c r="L2202" s="16">
        <v>26</v>
      </c>
      <c r="M2202" s="16">
        <v>23</v>
      </c>
      <c r="N2202" s="16">
        <v>0</v>
      </c>
      <c r="O2202" s="17"/>
      <c r="P2202" s="18">
        <v>43717.126875000002</v>
      </c>
      <c r="Q2202" s="7"/>
      <c r="R2202" s="7" t="s">
        <v>14525</v>
      </c>
      <c r="S2202" s="15"/>
      <c r="T2202" s="8"/>
      <c r="U2202" s="19" t="str">
        <f>HYPERLINK("https://pbs.twimg.com/profile_images/1171395883562414082/Xn0M_Q_j.jpg","View")</f>
        <v>View</v>
      </c>
      <c r="V2202" s="8"/>
      <c r="W2202" s="8"/>
      <c r="X2202" s="8"/>
      <c r="Y2202" s="8"/>
      <c r="Z2202" s="8"/>
    </row>
    <row r="2203" spans="1:26" ht="12.75">
      <c r="A2203" s="11">
        <v>43747.225752314815</v>
      </c>
      <c r="B2203" s="12" t="str">
        <f>HYPERLINK("https://twitter.com/HalvaciReha","@HalvaciReha")</f>
        <v>@HalvaciReha</v>
      </c>
      <c r="C2203" s="7" t="s">
        <v>14526</v>
      </c>
      <c r="D2203" s="7" t="s">
        <v>14527</v>
      </c>
      <c r="E2203" s="12" t="str">
        <f>HYPERLINK("https://twitter.com/HalvaciReha/status/1181908439062253573","1181908439062253573")</f>
        <v>1181908439062253573</v>
      </c>
      <c r="F2203" s="8"/>
      <c r="G2203" s="14" t="s">
        <v>14528</v>
      </c>
      <c r="H2203" s="8"/>
      <c r="I2203" s="15">
        <v>0</v>
      </c>
      <c r="J2203" s="15">
        <v>0</v>
      </c>
      <c r="K2203" s="12" t="str">
        <f>HYPERLINK("http://twitter.com","Twitter Web Client")</f>
        <v>Twitter Web Client</v>
      </c>
      <c r="L2203" s="16">
        <v>23</v>
      </c>
      <c r="M2203" s="16">
        <v>0</v>
      </c>
      <c r="N2203" s="16">
        <v>0</v>
      </c>
      <c r="O2203" s="17"/>
      <c r="P2203" s="18">
        <v>43639.638182870374</v>
      </c>
      <c r="Q2203" s="7" t="s">
        <v>14529</v>
      </c>
      <c r="R2203" s="7" t="s">
        <v>14530</v>
      </c>
      <c r="S2203" s="7"/>
      <c r="T2203" s="8"/>
      <c r="U2203" s="19" t="str">
        <f>HYPERLINK("https://pbs.twimg.com/profile_images/1143819899736920064/TXoaT6q5.jpg","View")</f>
        <v>View</v>
      </c>
      <c r="V2203" s="8"/>
      <c r="W2203" s="8"/>
      <c r="X2203" s="8"/>
      <c r="Y2203" s="8"/>
      <c r="Z2203" s="8"/>
    </row>
    <row r="2204" spans="1:26" ht="12.75">
      <c r="A2204" s="11">
        <v>43747.225729166668</v>
      </c>
      <c r="B2204" s="12" t="str">
        <f>HYPERLINK("https://twitter.com/keremnsal12","@keremnsal12")</f>
        <v>@keremnsal12</v>
      </c>
      <c r="C2204" s="7" t="s">
        <v>14531</v>
      </c>
      <c r="D2204" s="7" t="s">
        <v>14532</v>
      </c>
      <c r="E2204" s="12" t="str">
        <f>HYPERLINK("https://twitter.com/keremnsal12/status/1181908432787529728","1181908432787529728")</f>
        <v>1181908432787529728</v>
      </c>
      <c r="F2204" s="15"/>
      <c r="G2204" s="7"/>
      <c r="H2204" s="8"/>
      <c r="I2204" s="15">
        <v>0</v>
      </c>
      <c r="J2204" s="15">
        <v>0</v>
      </c>
      <c r="K2204" s="12" t="str">
        <f>HYPERLINK("http://twitter.com/download/iphone","Twitter for iPhone")</f>
        <v>Twitter for iPhone</v>
      </c>
      <c r="L2204" s="16">
        <v>352</v>
      </c>
      <c r="M2204" s="16">
        <v>1431</v>
      </c>
      <c r="N2204" s="16">
        <v>0</v>
      </c>
      <c r="O2204" s="17"/>
      <c r="P2204" s="18">
        <v>43298.371319444443</v>
      </c>
      <c r="Q2204" s="7" t="s">
        <v>14533</v>
      </c>
      <c r="R2204" s="7" t="s">
        <v>14534</v>
      </c>
      <c r="S2204" s="7"/>
      <c r="T2204" s="8"/>
      <c r="U2204" s="19" t="str">
        <f>HYPERLINK("https://pbs.twimg.com/profile_images/1037216777133015040/W6Tc_gLu.jpg","View")</f>
        <v>View</v>
      </c>
      <c r="V2204" s="8"/>
      <c r="W2204" s="8"/>
      <c r="X2204" s="8"/>
      <c r="Y2204" s="8"/>
      <c r="Z2204" s="8"/>
    </row>
    <row r="2205" spans="1:26" ht="12.75">
      <c r="A2205" s="11">
        <v>43747.225682870368</v>
      </c>
      <c r="B2205" s="12" t="str">
        <f>HYPERLINK("https://twitter.com/yasinkaragol6","@yasinkaragol6")</f>
        <v>@yasinkaragol6</v>
      </c>
      <c r="C2205" s="7" t="s">
        <v>8611</v>
      </c>
      <c r="D2205" s="7" t="s">
        <v>160</v>
      </c>
      <c r="E2205" s="12" t="str">
        <f>HYPERLINK("https://twitter.com/yasinkaragol6/status/1181908414152286208","1181908414152286208")</f>
        <v>1181908414152286208</v>
      </c>
      <c r="F2205" s="8"/>
      <c r="G2205" s="7"/>
      <c r="H2205" s="8"/>
      <c r="I2205" s="15">
        <v>0</v>
      </c>
      <c r="J2205" s="15">
        <v>1</v>
      </c>
      <c r="K2205" s="12" t="str">
        <f>HYPERLINK("http://twitter.com/download/android","Twitter for Android")</f>
        <v>Twitter for Android</v>
      </c>
      <c r="L2205" s="16">
        <v>50</v>
      </c>
      <c r="M2205" s="16">
        <v>94</v>
      </c>
      <c r="N2205" s="16">
        <v>0</v>
      </c>
      <c r="O2205" s="17"/>
      <c r="P2205" s="18">
        <v>43321.642962962964</v>
      </c>
      <c r="Q2205" s="7"/>
      <c r="R2205" s="7" t="s">
        <v>14535</v>
      </c>
      <c r="S2205" s="15"/>
      <c r="T2205" s="8"/>
      <c r="U2205" s="19" t="str">
        <f>HYPERLINK("https://pbs.twimg.com/profile_images/1115385223217385473/Qm3ygLW-.jpg","View")</f>
        <v>View</v>
      </c>
      <c r="V2205" s="8"/>
      <c r="W2205" s="8"/>
      <c r="X2205" s="8"/>
      <c r="Y2205" s="8"/>
      <c r="Z2205" s="8"/>
    </row>
    <row r="2206" spans="1:26" ht="12.75">
      <c r="A2206" s="11">
        <v>43747.225601851853</v>
      </c>
      <c r="B2206" s="12" t="str">
        <f>HYPERLINK("https://twitter.com/ipsizmedya","@ipsizmedya")</f>
        <v>@ipsizmedya</v>
      </c>
      <c r="C2206" s="7" t="s">
        <v>14536</v>
      </c>
      <c r="D2206" s="7" t="s">
        <v>14537</v>
      </c>
      <c r="E2206" s="12" t="str">
        <f>HYPERLINK("https://twitter.com/ipsizmedya/status/1181908385161199616","1181908385161199616")</f>
        <v>1181908385161199616</v>
      </c>
      <c r="F2206" s="14" t="s">
        <v>14538</v>
      </c>
      <c r="G2206" s="14" t="s">
        <v>14539</v>
      </c>
      <c r="H2206" s="8"/>
      <c r="I2206" s="15">
        <v>0</v>
      </c>
      <c r="J2206" s="15">
        <v>1</v>
      </c>
      <c r="K2206" s="12" t="str">
        <f>HYPERLINK("https://mobile.twitter.com","Twitter Web App")</f>
        <v>Twitter Web App</v>
      </c>
      <c r="L2206" s="16">
        <v>7522</v>
      </c>
      <c r="M2206" s="16">
        <v>5202</v>
      </c>
      <c r="N2206" s="16">
        <v>16</v>
      </c>
      <c r="O2206" s="17"/>
      <c r="P2206" s="18">
        <v>42914.580995370372</v>
      </c>
      <c r="Q2206" s="7" t="s">
        <v>313</v>
      </c>
      <c r="R2206" s="7" t="s">
        <v>14540</v>
      </c>
      <c r="S2206" s="14" t="s">
        <v>14541</v>
      </c>
      <c r="T2206" s="8"/>
      <c r="U2206" s="19" t="str">
        <f>HYPERLINK("https://pbs.twimg.com/profile_images/1151835544130899968/uu9PmSml.png","View")</f>
        <v>View</v>
      </c>
      <c r="V2206" s="8"/>
      <c r="W2206" s="8"/>
      <c r="X2206" s="8"/>
      <c r="Y2206" s="8"/>
      <c r="Z2206" s="8"/>
    </row>
    <row r="2207" spans="1:26" ht="12.75">
      <c r="A2207" s="11">
        <v>43747.225405092591</v>
      </c>
      <c r="B2207" s="12" t="str">
        <f>HYPERLINK("https://twitter.com/06Engin34","@06Engin34")</f>
        <v>@06Engin34</v>
      </c>
      <c r="C2207" s="7" t="s">
        <v>14542</v>
      </c>
      <c r="D2207" s="7" t="s">
        <v>14543</v>
      </c>
      <c r="E2207" s="12" t="str">
        <f>HYPERLINK("https://twitter.com/06Engin34/status/1181908312117391362","1181908312117391362")</f>
        <v>1181908312117391362</v>
      </c>
      <c r="F2207" s="8"/>
      <c r="G2207" s="15"/>
      <c r="H2207" s="8"/>
      <c r="I2207" s="15">
        <v>0</v>
      </c>
      <c r="J2207" s="15">
        <v>12</v>
      </c>
      <c r="K2207" s="12" t="str">
        <f>HYPERLINK("https://mobile.twitter.com","Twitter Web App")</f>
        <v>Twitter Web App</v>
      </c>
      <c r="L2207" s="16">
        <v>43220</v>
      </c>
      <c r="M2207" s="16">
        <v>32546</v>
      </c>
      <c r="N2207" s="16">
        <v>127</v>
      </c>
      <c r="O2207" s="17"/>
      <c r="P2207" s="18">
        <v>42711.126759259263</v>
      </c>
      <c r="Q2207" s="7" t="s">
        <v>287</v>
      </c>
      <c r="R2207" s="7" t="s">
        <v>14544</v>
      </c>
      <c r="S2207" s="7"/>
      <c r="T2207" s="8"/>
      <c r="U2207" s="19" t="str">
        <f>HYPERLINK("https://pbs.twimg.com/profile_images/1062617911410470913/0s-AiojN.jpg","View")</f>
        <v>View</v>
      </c>
      <c r="V2207" s="8"/>
      <c r="W2207" s="8"/>
      <c r="X2207" s="8"/>
      <c r="Y2207" s="8"/>
      <c r="Z2207" s="8"/>
    </row>
    <row r="2208" spans="1:26" ht="12.75">
      <c r="A2208" s="11">
        <v>43747.225370370375</v>
      </c>
      <c r="B2208" s="12" t="str">
        <f>HYPERLINK("https://twitter.com/islamin_kizii","@islamin_kizii")</f>
        <v>@islamin_kizii</v>
      </c>
      <c r="C2208" s="7" t="s">
        <v>14545</v>
      </c>
      <c r="D2208" s="7" t="s">
        <v>14546</v>
      </c>
      <c r="E2208" s="12" t="str">
        <f>HYPERLINK("https://twitter.com/islamin_kizii/status/1181908301388406784","1181908301388406784")</f>
        <v>1181908301388406784</v>
      </c>
      <c r="F2208" s="8"/>
      <c r="G2208" s="15"/>
      <c r="H2208" s="8"/>
      <c r="I2208" s="15">
        <v>0</v>
      </c>
      <c r="J2208" s="15">
        <v>2</v>
      </c>
      <c r="K2208" s="12" t="str">
        <f>HYPERLINK("http://twitter.com/download/android","Twitter for Android")</f>
        <v>Twitter for Android</v>
      </c>
      <c r="L2208" s="16">
        <v>82</v>
      </c>
      <c r="M2208" s="16">
        <v>192</v>
      </c>
      <c r="N2208" s="16">
        <v>0</v>
      </c>
      <c r="O2208" s="17"/>
      <c r="P2208" s="18">
        <v>43339.49700231482</v>
      </c>
      <c r="Q2208" s="7" t="s">
        <v>13632</v>
      </c>
      <c r="R2208" s="7" t="s">
        <v>14547</v>
      </c>
      <c r="S2208" s="7"/>
      <c r="T2208" s="8"/>
      <c r="U2208" s="19" t="str">
        <f>HYPERLINK("https://pbs.twimg.com/profile_images/1181253504024928258/69dyYDaE.jpg","View")</f>
        <v>View</v>
      </c>
      <c r="V2208" s="8"/>
      <c r="W2208" s="8"/>
      <c r="X2208" s="8"/>
      <c r="Y2208" s="8"/>
      <c r="Z2208" s="8"/>
    </row>
    <row r="2209" spans="1:26" ht="12.75">
      <c r="A2209" s="11">
        <v>43747.225358796291</v>
      </c>
      <c r="B2209" s="12" t="str">
        <f>HYPERLINK("https://twitter.com/VeyselAlarslann","@VeyselAlarslann")</f>
        <v>@VeyselAlarslann</v>
      </c>
      <c r="C2209" s="7" t="s">
        <v>14548</v>
      </c>
      <c r="D2209" s="7" t="s">
        <v>14549</v>
      </c>
      <c r="E2209" s="12" t="str">
        <f>HYPERLINK("https://twitter.com/VeyselAlarslann/status/1181908296946589697","1181908296946589697")</f>
        <v>1181908296946589697</v>
      </c>
      <c r="F2209" s="8"/>
      <c r="G2209" s="14" t="s">
        <v>14550</v>
      </c>
      <c r="H2209" s="8"/>
      <c r="I2209" s="15">
        <v>0</v>
      </c>
      <c r="J2209" s="15">
        <v>0</v>
      </c>
      <c r="K2209" s="12" t="str">
        <f>HYPERLINK("http://twitter.com/download/iphone","Twitter for iPhone")</f>
        <v>Twitter for iPhone</v>
      </c>
      <c r="L2209" s="16">
        <v>191</v>
      </c>
      <c r="M2209" s="16">
        <v>255</v>
      </c>
      <c r="N2209" s="16">
        <v>0</v>
      </c>
      <c r="O2209" s="17"/>
      <c r="P2209" s="18">
        <v>43241.321967592594</v>
      </c>
      <c r="Q2209" s="7"/>
      <c r="R2209" s="7" t="s">
        <v>14551</v>
      </c>
      <c r="S2209" s="7"/>
      <c r="T2209" s="8"/>
      <c r="U2209" s="19" t="str">
        <f>HYPERLINK("https://pbs.twimg.com/profile_images/1163335572464832513/haxn65Qd.jpg","View")</f>
        <v>View</v>
      </c>
      <c r="V2209" s="8"/>
      <c r="W2209" s="8"/>
      <c r="X2209" s="8"/>
      <c r="Y2209" s="8"/>
      <c r="Z2209" s="8"/>
    </row>
    <row r="2210" spans="1:26" ht="12.75">
      <c r="A2210" s="11">
        <v>43747.225358796291</v>
      </c>
      <c r="B2210" s="12" t="str">
        <f>HYPERLINK("https://twitter.com/HikmeteDavet","@HikmeteDavet")</f>
        <v>@HikmeteDavet</v>
      </c>
      <c r="C2210" s="7" t="s">
        <v>14552</v>
      </c>
      <c r="D2210" s="7" t="s">
        <v>14553</v>
      </c>
      <c r="E2210" s="12" t="str">
        <f>HYPERLINK("https://twitter.com/HikmeteDavet/status/1181908296401395712","1181908296401395712")</f>
        <v>1181908296401395712</v>
      </c>
      <c r="F2210" s="8"/>
      <c r="G2210" s="15"/>
      <c r="H2210" s="8"/>
      <c r="I2210" s="15">
        <v>0</v>
      </c>
      <c r="J2210" s="15">
        <v>1</v>
      </c>
      <c r="K2210" s="12" t="str">
        <f>HYPERLINK("http://twitter.com/download/android","Twitter for Android")</f>
        <v>Twitter for Android</v>
      </c>
      <c r="L2210" s="16">
        <v>437</v>
      </c>
      <c r="M2210" s="16">
        <v>196</v>
      </c>
      <c r="N2210" s="16">
        <v>0</v>
      </c>
      <c r="O2210" s="17"/>
      <c r="P2210" s="18">
        <v>42991.600706018522</v>
      </c>
      <c r="Q2210" s="7"/>
      <c r="R2210" s="7" t="s">
        <v>14554</v>
      </c>
      <c r="S2210" s="14" t="s">
        <v>14555</v>
      </c>
      <c r="T2210" s="8"/>
      <c r="U2210" s="19" t="str">
        <f>HYPERLINK("https://pbs.twimg.com/profile_images/1142190773074563076/vxCLi7xf.jpg","View")</f>
        <v>View</v>
      </c>
      <c r="V2210" s="8"/>
      <c r="W2210" s="8"/>
      <c r="X2210" s="8"/>
      <c r="Y2210" s="8"/>
      <c r="Z2210" s="8"/>
    </row>
    <row r="2211" spans="1:26" ht="12.75">
      <c r="A2211" s="11">
        <v>43747.225347222222</v>
      </c>
      <c r="B2211" s="12" t="str">
        <f>HYPERLINK("https://twitter.com/iron_man32","@iron_man32")</f>
        <v>@iron_man32</v>
      </c>
      <c r="C2211" s="7" t="s">
        <v>14556</v>
      </c>
      <c r="D2211" s="7" t="s">
        <v>14557</v>
      </c>
      <c r="E2211" s="12" t="str">
        <f>HYPERLINK("https://twitter.com/iron_man32/status/1181908291342999554","1181908291342999554")</f>
        <v>1181908291342999554</v>
      </c>
      <c r="F2211" s="8"/>
      <c r="G2211" s="7"/>
      <c r="H2211" s="8"/>
      <c r="I2211" s="15">
        <v>0</v>
      </c>
      <c r="J2211" s="15">
        <v>0</v>
      </c>
      <c r="K2211" s="12" t="str">
        <f>HYPERLINK("http://twitter.com/download/android","Twitter for Android")</f>
        <v>Twitter for Android</v>
      </c>
      <c r="L2211" s="16">
        <v>290</v>
      </c>
      <c r="M2211" s="16">
        <v>344</v>
      </c>
      <c r="N2211" s="16">
        <v>0</v>
      </c>
      <c r="O2211" s="17"/>
      <c r="P2211" s="18">
        <v>40068.581307870372</v>
      </c>
      <c r="Q2211" s="7" t="s">
        <v>14558</v>
      </c>
      <c r="R2211" s="7" t="s">
        <v>14559</v>
      </c>
      <c r="S2211" s="14" t="s">
        <v>14560</v>
      </c>
      <c r="T2211" s="8"/>
      <c r="U2211" s="19" t="str">
        <f>HYPERLINK("https://pbs.twimg.com/profile_images/1150522072118042624/iZZGzLri.jpg","View")</f>
        <v>View</v>
      </c>
      <c r="V2211" s="8"/>
      <c r="W2211" s="8"/>
      <c r="X2211" s="8"/>
      <c r="Y2211" s="8"/>
      <c r="Z2211" s="8"/>
    </row>
    <row r="2212" spans="1:26" ht="12.75">
      <c r="A2212" s="11">
        <v>43747.225254629629</v>
      </c>
      <c r="B2212" s="12" t="str">
        <f>HYPERLINK("https://twitter.com/Veli2019veli","@Veli2019veli")</f>
        <v>@Veli2019veli</v>
      </c>
      <c r="C2212" s="7" t="s">
        <v>14561</v>
      </c>
      <c r="D2212" s="7" t="s">
        <v>14562</v>
      </c>
      <c r="E2212" s="12" t="str">
        <f>HYPERLINK("https://twitter.com/Veli2019veli/status/1181908259030097921","1181908259030097921")</f>
        <v>1181908259030097921</v>
      </c>
      <c r="F2212" s="8"/>
      <c r="G2212" s="14" t="s">
        <v>14563</v>
      </c>
      <c r="H2212" s="8"/>
      <c r="I2212" s="15">
        <v>0</v>
      </c>
      <c r="J2212" s="15">
        <v>0</v>
      </c>
      <c r="K2212" s="12" t="str">
        <f>HYPERLINK("http://twitter.com/download/android","Twitter for Android")</f>
        <v>Twitter for Android</v>
      </c>
      <c r="L2212" s="16">
        <v>6</v>
      </c>
      <c r="M2212" s="16">
        <v>13</v>
      </c>
      <c r="N2212" s="16">
        <v>0</v>
      </c>
      <c r="O2212" s="17"/>
      <c r="P2212" s="18">
        <v>43175.461655092593</v>
      </c>
      <c r="Q2212" s="7"/>
      <c r="R2212" s="7"/>
      <c r="S2212" s="7"/>
      <c r="T2212" s="8"/>
      <c r="U2212" s="19" t="str">
        <f>HYPERLINK("https://pbs.twimg.com/profile_images/1081962891341979648/wJIykRff.jpg","View")</f>
        <v>View</v>
      </c>
      <c r="V2212" s="8"/>
      <c r="W2212" s="8"/>
      <c r="X2212" s="8"/>
      <c r="Y2212" s="8"/>
      <c r="Z2212" s="8"/>
    </row>
    <row r="2213" spans="1:26" ht="12.75">
      <c r="A2213" s="11">
        <v>43747.22519675926</v>
      </c>
      <c r="B2213" s="12" t="str">
        <f>HYPERLINK("https://twitter.com/sosyalmedyasesi","@sosyalmedyasesi")</f>
        <v>@sosyalmedyasesi</v>
      </c>
      <c r="C2213" s="7" t="s">
        <v>14564</v>
      </c>
      <c r="D2213" s="7" t="s">
        <v>14565</v>
      </c>
      <c r="E2213" s="12" t="str">
        <f>HYPERLINK("https://twitter.com/sosyalmedyasesi/status/1181908236691283968","1181908236691283968")</f>
        <v>1181908236691283968</v>
      </c>
      <c r="F2213" s="8"/>
      <c r="G2213" s="14" t="s">
        <v>14566</v>
      </c>
      <c r="H2213" s="8"/>
      <c r="I2213" s="15">
        <v>0</v>
      </c>
      <c r="J2213" s="15">
        <v>0</v>
      </c>
      <c r="K2213" s="12" t="str">
        <f>HYPERLINK("https://mobile.twitter.com","Twitter Web App")</f>
        <v>Twitter Web App</v>
      </c>
      <c r="L2213" s="16">
        <v>120</v>
      </c>
      <c r="M2213" s="16">
        <v>369</v>
      </c>
      <c r="N2213" s="16">
        <v>2</v>
      </c>
      <c r="O2213" s="17"/>
      <c r="P2213" s="18">
        <v>40900.360173611109</v>
      </c>
      <c r="Q2213" s="7" t="s">
        <v>200</v>
      </c>
      <c r="R2213" s="7" t="s">
        <v>14567</v>
      </c>
      <c r="S2213" s="7"/>
      <c r="T2213" s="8"/>
      <c r="U2213" s="19" t="str">
        <f>HYPERLINK("https://pbs.twimg.com/profile_images/1181668194341326856/UYcLtfXc.jpg","View")</f>
        <v>View</v>
      </c>
      <c r="V2213" s="8"/>
      <c r="W2213" s="8"/>
      <c r="X2213" s="8"/>
      <c r="Y2213" s="8"/>
      <c r="Z2213" s="8"/>
    </row>
    <row r="2214" spans="1:26" ht="12.75">
      <c r="A2214" s="11">
        <v>43747.225173611107</v>
      </c>
      <c r="B2214" s="12" t="str">
        <f>HYPERLINK("https://twitter.com/8x818","@8x818")</f>
        <v>@8x818</v>
      </c>
      <c r="C2214" s="7" t="s">
        <v>14568</v>
      </c>
      <c r="D2214" s="7" t="s">
        <v>14569</v>
      </c>
      <c r="E2214" s="12" t="str">
        <f>HYPERLINK("https://twitter.com/8x818/status/1181908231356125184","1181908231356125184")</f>
        <v>1181908231356125184</v>
      </c>
      <c r="F2214" s="14" t="s">
        <v>14570</v>
      </c>
      <c r="G2214" s="15"/>
      <c r="H2214" s="8"/>
      <c r="I2214" s="15">
        <v>0</v>
      </c>
      <c r="J2214" s="15">
        <v>1</v>
      </c>
      <c r="K2214" s="12" t="str">
        <f>HYPERLINK("https://mobile.twitter.com","Twitter Web App")</f>
        <v>Twitter Web App</v>
      </c>
      <c r="L2214" s="16">
        <v>0</v>
      </c>
      <c r="M2214" s="16">
        <v>1</v>
      </c>
      <c r="N2214" s="16">
        <v>0</v>
      </c>
      <c r="O2214" s="17"/>
      <c r="P2214" s="18">
        <v>43731.317974537036</v>
      </c>
      <c r="Q2214" s="7"/>
      <c r="R2214" s="7"/>
      <c r="S2214" s="7"/>
      <c r="T2214" s="8"/>
      <c r="U2214" s="20" t="s">
        <v>354</v>
      </c>
      <c r="V2214" s="8"/>
      <c r="W2214" s="8"/>
      <c r="X2214" s="8"/>
      <c r="Y2214" s="8"/>
      <c r="Z2214" s="8"/>
    </row>
    <row r="2215" spans="1:26" ht="12.75">
      <c r="A2215" s="11">
        <v>43747.225162037037</v>
      </c>
      <c r="B2215" s="12" t="str">
        <f>HYPERLINK("https://twitter.com/qwertotto","@qwertotto")</f>
        <v>@qwertotto</v>
      </c>
      <c r="C2215" s="7" t="s">
        <v>14571</v>
      </c>
      <c r="D2215" s="7" t="s">
        <v>14572</v>
      </c>
      <c r="E2215" s="12" t="str">
        <f>HYPERLINK("https://twitter.com/qwertotto/status/1181908223894474753","1181908223894474753")</f>
        <v>1181908223894474753</v>
      </c>
      <c r="F2215" s="8"/>
      <c r="G2215" s="15"/>
      <c r="H2215" s="8"/>
      <c r="I2215" s="15">
        <v>0</v>
      </c>
      <c r="J2215" s="15">
        <v>0</v>
      </c>
      <c r="K2215" s="12" t="str">
        <f>HYPERLINK("http://twitter.com/download/android","Twitter for Android")</f>
        <v>Twitter for Android</v>
      </c>
      <c r="L2215" s="16">
        <v>246</v>
      </c>
      <c r="M2215" s="16">
        <v>525</v>
      </c>
      <c r="N2215" s="16">
        <v>0</v>
      </c>
      <c r="O2215" s="17"/>
      <c r="P2215" s="18">
        <v>43129.193449074075</v>
      </c>
      <c r="Q2215" s="7" t="s">
        <v>313</v>
      </c>
      <c r="R2215" s="7" t="s">
        <v>14573</v>
      </c>
      <c r="S2215" s="7"/>
      <c r="T2215" s="8"/>
      <c r="U2215" s="19" t="str">
        <f>HYPERLINK("https://pbs.twimg.com/profile_images/1136419370396110849/hQOR1Z6J.jpg","View")</f>
        <v>View</v>
      </c>
      <c r="V2215" s="8"/>
      <c r="W2215" s="8"/>
      <c r="X2215" s="8"/>
      <c r="Y2215" s="8"/>
      <c r="Z2215" s="8"/>
    </row>
    <row r="2216" spans="1:26" ht="12.75">
      <c r="A2216" s="11">
        <v>43747.224988425922</v>
      </c>
      <c r="B2216" s="12" t="str">
        <f>HYPERLINK("https://twitter.com/kkekom","@kkekom")</f>
        <v>@kkekom</v>
      </c>
      <c r="C2216" s="7" t="s">
        <v>14574</v>
      </c>
      <c r="D2216" s="7" t="s">
        <v>14575</v>
      </c>
      <c r="E2216" s="12" t="str">
        <f>HYPERLINK("https://twitter.com/kkekom/status/1181908162041073666","1181908162041073666")</f>
        <v>1181908162041073666</v>
      </c>
      <c r="F2216" s="8"/>
      <c r="G2216" s="15"/>
      <c r="H2216" s="8"/>
      <c r="I2216" s="15">
        <v>0</v>
      </c>
      <c r="J2216" s="15">
        <v>0</v>
      </c>
      <c r="K2216" s="12" t="str">
        <f>HYPERLINK("http://twitter.com/download/android","Twitter for Android")</f>
        <v>Twitter for Android</v>
      </c>
      <c r="L2216" s="16">
        <v>126</v>
      </c>
      <c r="M2216" s="16">
        <v>82</v>
      </c>
      <c r="N2216" s="16">
        <v>0</v>
      </c>
      <c r="O2216" s="17"/>
      <c r="P2216" s="18">
        <v>41756.984965277778</v>
      </c>
      <c r="Q2216" s="7" t="s">
        <v>12687</v>
      </c>
      <c r="R2216" s="7" t="s">
        <v>14576</v>
      </c>
      <c r="S2216" s="7"/>
      <c r="T2216" s="8"/>
      <c r="U2216" s="19" t="str">
        <f>HYPERLINK("https://pbs.twimg.com/profile_images/1125095113519173636/3zRvHUKo.jpg","View")</f>
        <v>View</v>
      </c>
      <c r="V2216" s="8"/>
      <c r="W2216" s="8"/>
      <c r="X2216" s="8"/>
      <c r="Y2216" s="8"/>
      <c r="Z2216" s="8"/>
    </row>
    <row r="2217" spans="1:26" ht="12.75">
      <c r="A2217" s="11">
        <v>43747.224895833337</v>
      </c>
      <c r="B2217" s="12" t="str">
        <f>HYPERLINK("https://twitter.com/ercanbozku3","@ercanbozku3")</f>
        <v>@ercanbozku3</v>
      </c>
      <c r="C2217" s="13" t="s">
        <v>14577</v>
      </c>
      <c r="D2217" s="7" t="s">
        <v>160</v>
      </c>
      <c r="E2217" s="12" t="str">
        <f>HYPERLINK("https://twitter.com/ercanbozku3/status/1181908128838946819","1181908128838946819")</f>
        <v>1181908128838946819</v>
      </c>
      <c r="F2217" s="8"/>
      <c r="G2217" s="7"/>
      <c r="H2217" s="8"/>
      <c r="I2217" s="15">
        <v>0</v>
      </c>
      <c r="J2217" s="15">
        <v>0</v>
      </c>
      <c r="K2217" s="12" t="str">
        <f>HYPERLINK("http://twitter.com/download/iphone","Twitter for iPhone")</f>
        <v>Twitter for iPhone</v>
      </c>
      <c r="L2217" s="16">
        <v>105</v>
      </c>
      <c r="M2217" s="16">
        <v>74</v>
      </c>
      <c r="N2217" s="16">
        <v>0</v>
      </c>
      <c r="O2217" s="17"/>
      <c r="P2217" s="18">
        <v>43228.543182870373</v>
      </c>
      <c r="Q2217" s="7" t="s">
        <v>3589</v>
      </c>
      <c r="R2217" s="7"/>
      <c r="S2217" s="15"/>
      <c r="T2217" s="8"/>
      <c r="U2217" s="19" t="str">
        <f>HYPERLINK("https://pbs.twimg.com/profile_images/993944511733796865/s7pGSUI0.jpg","View")</f>
        <v>View</v>
      </c>
      <c r="V2217" s="8"/>
      <c r="W2217" s="8"/>
      <c r="X2217" s="8"/>
      <c r="Y2217" s="8"/>
      <c r="Z2217" s="8"/>
    </row>
    <row r="2218" spans="1:26" ht="12.75">
      <c r="A2218" s="11">
        <v>43747.224872685183</v>
      </c>
      <c r="B2218" s="12" t="str">
        <f>HYPERLINK("https://twitter.com/meliharga","@meliharga")</f>
        <v>@meliharga</v>
      </c>
      <c r="C2218" s="7" t="s">
        <v>14578</v>
      </c>
      <c r="D2218" s="7" t="s">
        <v>14579</v>
      </c>
      <c r="E2218" s="12" t="str">
        <f>HYPERLINK("https://twitter.com/meliharga/status/1181908122891370498","1181908122891370498")</f>
        <v>1181908122891370498</v>
      </c>
      <c r="F2218" s="8"/>
      <c r="G2218" s="14" t="s">
        <v>14580</v>
      </c>
      <c r="H2218" s="8"/>
      <c r="I2218" s="15">
        <v>0</v>
      </c>
      <c r="J2218" s="15">
        <v>0</v>
      </c>
      <c r="K2218" s="12" t="str">
        <f>HYPERLINK("http://twitter.com/download/android","Twitter for Android")</f>
        <v>Twitter for Android</v>
      </c>
      <c r="L2218" s="16">
        <v>340</v>
      </c>
      <c r="M2218" s="16">
        <v>52</v>
      </c>
      <c r="N2218" s="16">
        <v>0</v>
      </c>
      <c r="O2218" s="17"/>
      <c r="P2218" s="18">
        <v>40750.376932870371</v>
      </c>
      <c r="Q2218" s="7" t="s">
        <v>14581</v>
      </c>
      <c r="R2218" s="7" t="s">
        <v>14582</v>
      </c>
      <c r="S2218" s="15"/>
      <c r="T2218" s="8"/>
      <c r="U2218" s="19" t="str">
        <f>HYPERLINK("https://pbs.twimg.com/profile_images/1179862036500680715/ETT8WkU5.jpg","View")</f>
        <v>View</v>
      </c>
      <c r="V2218" s="8"/>
      <c r="W2218" s="8"/>
      <c r="X2218" s="8"/>
      <c r="Y2218" s="8"/>
      <c r="Z2218" s="8"/>
    </row>
    <row r="2219" spans="1:26" ht="12.75">
      <c r="A2219" s="11">
        <v>43747.224872685183</v>
      </c>
      <c r="B2219" s="12" t="str">
        <f>HYPERLINK("https://twitter.com/darklinglord","@darklinglord")</f>
        <v>@darklinglord</v>
      </c>
      <c r="C2219" s="7" t="s">
        <v>14583</v>
      </c>
      <c r="D2219" s="7" t="s">
        <v>14584</v>
      </c>
      <c r="E2219" s="12" t="str">
        <f>HYPERLINK("https://twitter.com/darklinglord/status/1181908121419169792","1181908121419169792")</f>
        <v>1181908121419169792</v>
      </c>
      <c r="F2219" s="15"/>
      <c r="G2219" s="14" t="s">
        <v>14585</v>
      </c>
      <c r="H2219" s="8"/>
      <c r="I2219" s="15">
        <v>0</v>
      </c>
      <c r="J2219" s="15">
        <v>0</v>
      </c>
      <c r="K2219" s="12" t="str">
        <f>HYPERLINK("http://twitter.com/download/iphone","Twitter for iPhone")</f>
        <v>Twitter for iPhone</v>
      </c>
      <c r="L2219" s="16">
        <v>335</v>
      </c>
      <c r="M2219" s="16">
        <v>306</v>
      </c>
      <c r="N2219" s="16">
        <v>0</v>
      </c>
      <c r="O2219" s="17"/>
      <c r="P2219" s="18">
        <v>42949.29760416667</v>
      </c>
      <c r="Q2219" s="7" t="s">
        <v>14586</v>
      </c>
      <c r="R2219" s="7" t="s">
        <v>14587</v>
      </c>
      <c r="S2219" s="15"/>
      <c r="T2219" s="8"/>
      <c r="U2219" s="19" t="str">
        <f>HYPERLINK("https://pbs.twimg.com/profile_images/1176187329607852033/-yM77oHT.jpg","View")</f>
        <v>View</v>
      </c>
      <c r="V2219" s="8"/>
      <c r="W2219" s="8"/>
      <c r="X2219" s="8"/>
      <c r="Y2219" s="8"/>
      <c r="Z2219" s="8"/>
    </row>
    <row r="2220" spans="1:26" ht="12.75">
      <c r="A2220" s="11">
        <v>43747.224861111114</v>
      </c>
      <c r="B2220" s="12" t="str">
        <f>HYPERLINK("https://twitter.com/orangehead94","@orangehead94")</f>
        <v>@orangehead94</v>
      </c>
      <c r="C2220" s="7" t="s">
        <v>14588</v>
      </c>
      <c r="D2220" s="7" t="s">
        <v>14589</v>
      </c>
      <c r="E2220" s="12" t="str">
        <f>HYPERLINK("https://twitter.com/orangehead94/status/1181908118470615043","1181908118470615043")</f>
        <v>1181908118470615043</v>
      </c>
      <c r="F2220" s="8"/>
      <c r="G2220" s="7"/>
      <c r="H2220" s="8"/>
      <c r="I2220" s="15">
        <v>0</v>
      </c>
      <c r="J2220" s="15">
        <v>0</v>
      </c>
      <c r="K2220" s="12" t="str">
        <f>HYPERLINK("http://twitter.com/download/android","Twitter for Android")</f>
        <v>Twitter for Android</v>
      </c>
      <c r="L2220" s="16">
        <v>1917</v>
      </c>
      <c r="M2220" s="16">
        <v>1954</v>
      </c>
      <c r="N2220" s="16">
        <v>0</v>
      </c>
      <c r="O2220" s="17"/>
      <c r="P2220" s="18">
        <v>41017.279305555552</v>
      </c>
      <c r="Q2220" s="7"/>
      <c r="R2220" s="7" t="s">
        <v>14590</v>
      </c>
      <c r="S2220" s="7"/>
      <c r="T2220" s="8"/>
      <c r="U2220" s="19" t="str">
        <f>HYPERLINK("https://pbs.twimg.com/profile_images/1073895933639843840/4LgSx2kJ.jpg","View")</f>
        <v>View</v>
      </c>
      <c r="V2220" s="8"/>
      <c r="W2220" s="8"/>
      <c r="X2220" s="8"/>
      <c r="Y2220" s="8"/>
      <c r="Z2220" s="8"/>
    </row>
    <row r="2221" spans="1:26" ht="12.75">
      <c r="A2221" s="11">
        <v>43747.224768518514</v>
      </c>
      <c r="B2221" s="12" t="str">
        <f>HYPERLINK("https://twitter.com/ihsancicekli","@ihsancicekli")</f>
        <v>@ihsancicekli</v>
      </c>
      <c r="C2221" s="7" t="s">
        <v>14591</v>
      </c>
      <c r="D2221" s="7" t="s">
        <v>14592</v>
      </c>
      <c r="E2221" s="12" t="str">
        <f>HYPERLINK("https://twitter.com/ihsancicekli/status/1181908083301322752","1181908083301322752")</f>
        <v>1181908083301322752</v>
      </c>
      <c r="F2221" s="8"/>
      <c r="G2221" s="14" t="s">
        <v>14593</v>
      </c>
      <c r="H2221" s="8"/>
      <c r="I2221" s="15">
        <v>0</v>
      </c>
      <c r="J2221" s="15">
        <v>0</v>
      </c>
      <c r="K2221" s="12" t="str">
        <f>HYPERLINK("http://twitter.com/download/android","Twitter for Android")</f>
        <v>Twitter for Android</v>
      </c>
      <c r="L2221" s="16">
        <v>111</v>
      </c>
      <c r="M2221" s="16">
        <v>119</v>
      </c>
      <c r="N2221" s="16">
        <v>1</v>
      </c>
      <c r="O2221" s="17"/>
      <c r="P2221" s="18">
        <v>40167.2346412037</v>
      </c>
      <c r="Q2221" s="7" t="s">
        <v>14594</v>
      </c>
      <c r="R2221" s="7" t="s">
        <v>14595</v>
      </c>
      <c r="S2221" s="7"/>
      <c r="T2221" s="8"/>
      <c r="U2221" s="19" t="str">
        <f>HYPERLINK("https://pbs.twimg.com/profile_images/816757376405671936/JZfSBJzV.jpg","View")</f>
        <v>View</v>
      </c>
      <c r="V2221" s="8"/>
      <c r="W2221" s="8"/>
      <c r="X2221" s="8"/>
      <c r="Y2221" s="8"/>
      <c r="Z2221" s="8"/>
    </row>
    <row r="2222" spans="1:26" ht="12.75">
      <c r="A2222" s="11">
        <v>43747.224768518514</v>
      </c>
      <c r="B2222" s="12" t="str">
        <f>HYPERLINK("https://twitter.com/EremZuhra","@EremZuhra")</f>
        <v>@EremZuhra</v>
      </c>
      <c r="C2222" s="15" t="s">
        <v>14596</v>
      </c>
      <c r="D2222" s="21" t="s">
        <v>14597</v>
      </c>
      <c r="E2222" s="12" t="str">
        <f>HYPERLINK("https://twitter.com/EremZuhra/status/1181908081304838145","1181908081304838145")</f>
        <v>1181908081304838145</v>
      </c>
      <c r="F2222" s="15"/>
      <c r="G2222" s="15"/>
      <c r="H2222" s="8"/>
      <c r="I2222" s="15">
        <v>0</v>
      </c>
      <c r="J2222" s="15">
        <v>0</v>
      </c>
      <c r="K2222" s="12" t="str">
        <f>HYPERLINK("http://twitter.com","Twitter Web Client")</f>
        <v>Twitter Web Client</v>
      </c>
      <c r="L2222" s="16">
        <v>6</v>
      </c>
      <c r="M2222" s="16">
        <v>0</v>
      </c>
      <c r="N2222" s="16">
        <v>0</v>
      </c>
      <c r="O2222" s="20"/>
      <c r="P2222" s="18">
        <v>43683.836226851854</v>
      </c>
      <c r="Q2222" s="7" t="s">
        <v>13892</v>
      </c>
      <c r="R2222" s="7" t="s">
        <v>14598</v>
      </c>
      <c r="S2222" s="15"/>
      <c r="T2222" s="8"/>
      <c r="U2222" s="19" t="str">
        <f>HYPERLINK("https://pbs.twimg.com/profile_images/1167219539186257920/nYFPnHg6.jpg","View")</f>
        <v>View</v>
      </c>
      <c r="V2222" s="8"/>
      <c r="W2222" s="8"/>
      <c r="X2222" s="8"/>
      <c r="Y2222" s="8"/>
      <c r="Z2222" s="8"/>
    </row>
    <row r="2223" spans="1:26" ht="12.75">
      <c r="A2223" s="11">
        <v>43747.224641203706</v>
      </c>
      <c r="B2223" s="12" t="str">
        <f>HYPERLINK("https://twitter.com/Dost_Makinasi","@Dost_Makinasi")</f>
        <v>@Dost_Makinasi</v>
      </c>
      <c r="C2223" s="7" t="s">
        <v>14599</v>
      </c>
      <c r="D2223" s="7" t="s">
        <v>160</v>
      </c>
      <c r="E2223" s="12" t="str">
        <f>HYPERLINK("https://twitter.com/Dost_Makinasi/status/1181908037239525382","1181908037239525382")</f>
        <v>1181908037239525382</v>
      </c>
      <c r="F2223" s="8"/>
      <c r="G2223" s="14" t="s">
        <v>14600</v>
      </c>
      <c r="H2223" s="8"/>
      <c r="I2223" s="15">
        <v>0</v>
      </c>
      <c r="J2223" s="15">
        <v>0</v>
      </c>
      <c r="K2223" s="12" t="str">
        <f>HYPERLINK("https://mobile.twitter.com","Twitter Web App")</f>
        <v>Twitter Web App</v>
      </c>
      <c r="L2223" s="16">
        <v>9</v>
      </c>
      <c r="M2223" s="16">
        <v>50</v>
      </c>
      <c r="N2223" s="16">
        <v>0</v>
      </c>
      <c r="O2223" s="17"/>
      <c r="P2223" s="18">
        <v>42804.006053240737</v>
      </c>
      <c r="Q2223" s="7" t="s">
        <v>1804</v>
      </c>
      <c r="R2223" s="7" t="s">
        <v>14601</v>
      </c>
      <c r="S2223" s="7"/>
      <c r="T2223" s="8"/>
      <c r="U2223" s="19" t="str">
        <f>HYPERLINK("https://pbs.twimg.com/profile_images/840115488982151168/xPtjGqKd.jpg","View")</f>
        <v>View</v>
      </c>
      <c r="V2223" s="8"/>
      <c r="W2223" s="8"/>
      <c r="X2223" s="8"/>
      <c r="Y2223" s="8"/>
      <c r="Z2223" s="8"/>
    </row>
    <row r="2224" spans="1:26" ht="12.75">
      <c r="A2224" s="11">
        <v>43747.224594907406</v>
      </c>
      <c r="B2224" s="12" t="str">
        <f>HYPERLINK("https://twitter.com/Hayat_Yordu53","@Hayat_Yordu53")</f>
        <v>@Hayat_Yordu53</v>
      </c>
      <c r="C2224" s="7" t="s">
        <v>14602</v>
      </c>
      <c r="D2224" s="7" t="s">
        <v>14603</v>
      </c>
      <c r="E2224" s="12" t="str">
        <f>HYPERLINK("https://twitter.com/Hayat_Yordu53/status/1181908021598928896","1181908021598928896")</f>
        <v>1181908021598928896</v>
      </c>
      <c r="F2224" s="8"/>
      <c r="G2224" s="14" t="s">
        <v>14604</v>
      </c>
      <c r="H2224" s="8"/>
      <c r="I2224" s="15">
        <v>1</v>
      </c>
      <c r="J2224" s="15">
        <v>2</v>
      </c>
      <c r="K2224" s="12" t="str">
        <f>HYPERLINK("http://twitter.com/download/android","Twitter for Android")</f>
        <v>Twitter for Android</v>
      </c>
      <c r="L2224" s="16">
        <v>159</v>
      </c>
      <c r="M2224" s="16">
        <v>175</v>
      </c>
      <c r="N2224" s="16">
        <v>0</v>
      </c>
      <c r="O2224" s="17"/>
      <c r="P2224" s="18">
        <v>43737.44326388889</v>
      </c>
      <c r="Q2224" s="7" t="s">
        <v>200</v>
      </c>
      <c r="R2224" s="7" t="s">
        <v>14605</v>
      </c>
      <c r="S2224" s="7"/>
      <c r="T2224" s="8"/>
      <c r="U2224" s="19" t="str">
        <f>HYPERLINK("https://pbs.twimg.com/profile_images/1178366719318003713/0EpAVCX7.jpg","View")</f>
        <v>View</v>
      </c>
      <c r="V2224" s="8"/>
      <c r="W2224" s="8"/>
      <c r="X2224" s="8"/>
      <c r="Y2224" s="8"/>
      <c r="Z2224" s="8"/>
    </row>
    <row r="2225" spans="1:26" ht="12.75">
      <c r="A2225" s="11">
        <v>43747.224583333329</v>
      </c>
      <c r="B2225" s="12" t="str">
        <f>HYPERLINK("https://twitter.com/tardutunga","@tardutunga")</f>
        <v>@tardutunga</v>
      </c>
      <c r="C2225" s="7" t="s">
        <v>14606</v>
      </c>
      <c r="D2225" s="7" t="s">
        <v>14607</v>
      </c>
      <c r="E2225" s="12" t="str">
        <f>HYPERLINK("https://twitter.com/tardutunga/status/1181908017975058432","1181908017975058432")</f>
        <v>1181908017975058432</v>
      </c>
      <c r="F2225" s="8"/>
      <c r="G2225" s="14" t="s">
        <v>14608</v>
      </c>
      <c r="H2225" s="8"/>
      <c r="I2225" s="15">
        <v>0</v>
      </c>
      <c r="J2225" s="15">
        <v>0</v>
      </c>
      <c r="K2225" s="12" t="str">
        <f>HYPERLINK("https://mobile.twitter.com","Twitter Web App")</f>
        <v>Twitter Web App</v>
      </c>
      <c r="L2225" s="16">
        <v>8</v>
      </c>
      <c r="M2225" s="16">
        <v>43</v>
      </c>
      <c r="N2225" s="16">
        <v>0</v>
      </c>
      <c r="O2225" s="17"/>
      <c r="P2225" s="18">
        <v>43670.481666666667</v>
      </c>
      <c r="Q2225" s="7"/>
      <c r="R2225" s="7" t="s">
        <v>14609</v>
      </c>
      <c r="S2225" s="7"/>
      <c r="T2225" s="8"/>
      <c r="U2225" s="19" t="str">
        <f>HYPERLINK("https://pbs.twimg.com/profile_images/1173066198067634176/gleQR7DT.jpg","View")</f>
        <v>View</v>
      </c>
      <c r="V2225" s="8"/>
      <c r="W2225" s="8"/>
      <c r="X2225" s="8"/>
      <c r="Y2225" s="8"/>
      <c r="Z2225" s="8"/>
    </row>
    <row r="2226" spans="1:26" ht="12.75">
      <c r="A2226" s="11">
        <v>43747.22446759259</v>
      </c>
      <c r="B2226" s="12" t="str">
        <f>HYPERLINK("https://twitter.com/Eda_Nur_Erol","@Eda_Nur_Erol")</f>
        <v>@Eda_Nur_Erol</v>
      </c>
      <c r="C2226" s="7" t="s">
        <v>14610</v>
      </c>
      <c r="D2226" s="7" t="s">
        <v>14611</v>
      </c>
      <c r="E2226" s="12" t="str">
        <f>HYPERLINK("https://twitter.com/Eda_Nur_Erol/status/1181907972701769733","1181907972701769733")</f>
        <v>1181907972701769733</v>
      </c>
      <c r="F2226" s="8"/>
      <c r="G2226" s="14" t="s">
        <v>14612</v>
      </c>
      <c r="H2226" s="8"/>
      <c r="I2226" s="15">
        <v>0</v>
      </c>
      <c r="J2226" s="15">
        <v>0</v>
      </c>
      <c r="K2226" s="12" t="str">
        <f>HYPERLINK("http://twitter.com/download/iphone","Twitter for iPhone")</f>
        <v>Twitter for iPhone</v>
      </c>
      <c r="L2226" s="16">
        <v>205</v>
      </c>
      <c r="M2226" s="16">
        <v>67</v>
      </c>
      <c r="N2226" s="16">
        <v>1</v>
      </c>
      <c r="O2226" s="17"/>
      <c r="P2226" s="18">
        <v>42120.441932870366</v>
      </c>
      <c r="Q2226" s="7"/>
      <c r="R2226" s="7" t="s">
        <v>14613</v>
      </c>
      <c r="S2226" s="14" t="s">
        <v>14614</v>
      </c>
      <c r="T2226" s="8"/>
      <c r="U2226" s="19" t="str">
        <f>HYPERLINK("https://pbs.twimg.com/profile_images/1164196536009580544/Zj_puG36.jpg","View")</f>
        <v>View</v>
      </c>
      <c r="V2226" s="8"/>
      <c r="W2226" s="8"/>
      <c r="X2226" s="8"/>
      <c r="Y2226" s="8"/>
      <c r="Z2226" s="8"/>
    </row>
    <row r="2227" spans="1:26" ht="12.75">
      <c r="A2227" s="11">
        <v>43747.224432870367</v>
      </c>
      <c r="B2227" s="12" t="str">
        <f>HYPERLINK("https://twitter.com/kadir_mizrak","@kadir_mizrak")</f>
        <v>@kadir_mizrak</v>
      </c>
      <c r="C2227" s="7" t="s">
        <v>14615</v>
      </c>
      <c r="D2227" s="7" t="s">
        <v>14616</v>
      </c>
      <c r="E2227" s="12" t="str">
        <f>HYPERLINK("https://twitter.com/kadir_mizrak/status/1181907959661629440","1181907959661629440")</f>
        <v>1181907959661629440</v>
      </c>
      <c r="F2227" s="8"/>
      <c r="G2227" s="14" t="s">
        <v>14617</v>
      </c>
      <c r="H2227" s="8"/>
      <c r="I2227" s="15">
        <v>0</v>
      </c>
      <c r="J2227" s="15">
        <v>0</v>
      </c>
      <c r="K2227" s="12" t="str">
        <f>HYPERLINK("http://twitter.com/download/android","Twitter for Android")</f>
        <v>Twitter for Android</v>
      </c>
      <c r="L2227" s="16">
        <v>20</v>
      </c>
      <c r="M2227" s="16">
        <v>85</v>
      </c>
      <c r="N2227" s="16">
        <v>0</v>
      </c>
      <c r="O2227" s="17"/>
      <c r="P2227" s="18">
        <v>43217.275300925925</v>
      </c>
      <c r="Q2227" s="7" t="s">
        <v>1150</v>
      </c>
      <c r="R2227" s="7" t="s">
        <v>14618</v>
      </c>
      <c r="S2227" s="7"/>
      <c r="T2227" s="8"/>
      <c r="U2227" s="19" t="str">
        <f>HYPERLINK("https://pbs.twimg.com/profile_images/1181515242762883073/1p4G4awt.jpg","View")</f>
        <v>View</v>
      </c>
      <c r="V2227" s="8"/>
      <c r="W2227" s="8"/>
      <c r="X2227" s="8"/>
      <c r="Y2227" s="8"/>
      <c r="Z2227" s="8"/>
    </row>
    <row r="2228" spans="1:26" ht="12.75">
      <c r="A2228" s="11">
        <v>43747.224282407406</v>
      </c>
      <c r="B2228" s="12" t="str">
        <f>HYPERLINK("https://twitter.com/AytekGencer","@AytekGencer")</f>
        <v>@AytekGencer</v>
      </c>
      <c r="C2228" s="7" t="s">
        <v>14619</v>
      </c>
      <c r="D2228" s="7" t="s">
        <v>14620</v>
      </c>
      <c r="E2228" s="12" t="str">
        <f>HYPERLINK("https://twitter.com/AytekGencer/status/1181907907811643397","1181907907811643397")</f>
        <v>1181907907811643397</v>
      </c>
      <c r="F2228" s="8"/>
      <c r="G2228" s="14" t="s">
        <v>14621</v>
      </c>
      <c r="H2228" s="8"/>
      <c r="I2228" s="15">
        <v>0</v>
      </c>
      <c r="J2228" s="15">
        <v>0</v>
      </c>
      <c r="K2228" s="12" t="str">
        <f>HYPERLINK("http://twitter.com","Twitter Web Client")</f>
        <v>Twitter Web Client</v>
      </c>
      <c r="L2228" s="16">
        <v>8</v>
      </c>
      <c r="M2228" s="16">
        <v>0</v>
      </c>
      <c r="N2228" s="16">
        <v>0</v>
      </c>
      <c r="O2228" s="17"/>
      <c r="P2228" s="18">
        <v>43668.993923611109</v>
      </c>
      <c r="Q2228" s="7" t="s">
        <v>9575</v>
      </c>
      <c r="R2228" s="7" t="s">
        <v>14622</v>
      </c>
      <c r="S2228" s="15"/>
      <c r="T2228" s="8"/>
      <c r="U2228" s="19" t="str">
        <f>HYPERLINK("https://pbs.twimg.com/profile_images/1154291449032335360/5H3svqhX.jpg","View")</f>
        <v>View</v>
      </c>
      <c r="V2228" s="8"/>
      <c r="W2228" s="8"/>
      <c r="X2228" s="8"/>
      <c r="Y2228" s="8"/>
      <c r="Z2228" s="8"/>
    </row>
    <row r="2229" spans="1:26" ht="12.75">
      <c r="A2229" s="11">
        <v>43747.224189814813</v>
      </c>
      <c r="B2229" s="12" t="str">
        <f>HYPERLINK("https://twitter.com/_OrhanSarikaya","@_OrhanSarikaya")</f>
        <v>@_OrhanSarikaya</v>
      </c>
      <c r="C2229" s="7" t="s">
        <v>14623</v>
      </c>
      <c r="D2229" s="7" t="s">
        <v>14537</v>
      </c>
      <c r="E2229" s="12" t="str">
        <f>HYPERLINK("https://twitter.com/_OrhanSarikaya/status/1181907871862333440","1181907871862333440")</f>
        <v>1181907871862333440</v>
      </c>
      <c r="F2229" s="14" t="s">
        <v>14538</v>
      </c>
      <c r="G2229" s="14" t="s">
        <v>14624</v>
      </c>
      <c r="H2229" s="8"/>
      <c r="I2229" s="15">
        <v>0</v>
      </c>
      <c r="J2229" s="15">
        <v>5</v>
      </c>
      <c r="K2229" s="12" t="str">
        <f>HYPERLINK("https://mobile.twitter.com","Twitter Web App")</f>
        <v>Twitter Web App</v>
      </c>
      <c r="L2229" s="16">
        <v>44837</v>
      </c>
      <c r="M2229" s="16">
        <v>2629</v>
      </c>
      <c r="N2229" s="16">
        <v>45</v>
      </c>
      <c r="O2229" s="17"/>
      <c r="P2229" s="18">
        <v>42522.434363425928</v>
      </c>
      <c r="Q2229" s="7" t="s">
        <v>313</v>
      </c>
      <c r="R2229" s="7" t="s">
        <v>14625</v>
      </c>
      <c r="S2229" s="14" t="s">
        <v>14541</v>
      </c>
      <c r="T2229" s="8"/>
      <c r="U2229" s="19" t="str">
        <f>HYPERLINK("https://pbs.twimg.com/profile_images/1157053986748297219/1earso1U.jpg","View")</f>
        <v>View</v>
      </c>
      <c r="V2229" s="8"/>
      <c r="W2229" s="8"/>
      <c r="X2229" s="8"/>
      <c r="Y2229" s="8"/>
      <c r="Z2229" s="8"/>
    </row>
    <row r="2230" spans="1:26" ht="12.75">
      <c r="A2230" s="11">
        <v>43747.224178240736</v>
      </c>
      <c r="B2230" s="12" t="str">
        <f>HYPERLINK("https://twitter.com/mucahityagci","@mucahityagci")</f>
        <v>@mucahityagci</v>
      </c>
      <c r="C2230" s="7" t="s">
        <v>14626</v>
      </c>
      <c r="D2230" s="7" t="s">
        <v>160</v>
      </c>
      <c r="E2230" s="12" t="str">
        <f>HYPERLINK("https://twitter.com/mucahityagci/status/1181907871157641216","1181907871157641216")</f>
        <v>1181907871157641216</v>
      </c>
      <c r="F2230" s="8"/>
      <c r="G2230" s="7"/>
      <c r="H2230" s="8"/>
      <c r="I2230" s="15">
        <v>0</v>
      </c>
      <c r="J2230" s="15">
        <v>0</v>
      </c>
      <c r="K2230" s="12" t="str">
        <f>HYPERLINK("http://twitter.com/download/android","Twitter for Android")</f>
        <v>Twitter for Android</v>
      </c>
      <c r="L2230" s="16">
        <v>29</v>
      </c>
      <c r="M2230" s="16">
        <v>85</v>
      </c>
      <c r="N2230" s="16">
        <v>0</v>
      </c>
      <c r="O2230" s="17"/>
      <c r="P2230" s="18">
        <v>40251.12563657407</v>
      </c>
      <c r="Q2230" s="7" t="s">
        <v>14627</v>
      </c>
      <c r="R2230" s="7"/>
      <c r="S2230" s="7"/>
      <c r="T2230" s="8"/>
      <c r="U2230" s="19" t="str">
        <f>HYPERLINK("https://pbs.twimg.com/profile_images/900810824649932801/qTHLgiSR.jpg","View")</f>
        <v>View</v>
      </c>
      <c r="V2230" s="8"/>
      <c r="W2230" s="8"/>
      <c r="X2230" s="8"/>
      <c r="Y2230" s="8"/>
      <c r="Z2230" s="8"/>
    </row>
    <row r="2231" spans="1:26" ht="12.75">
      <c r="A2231" s="11">
        <v>43747.224120370374</v>
      </c>
      <c r="B2231" s="12" t="str">
        <f>HYPERLINK("https://twitter.com/MeTeSah06","@MeTeSah06")</f>
        <v>@MeTeSah06</v>
      </c>
      <c r="C2231" s="7" t="s">
        <v>14628</v>
      </c>
      <c r="D2231" s="7" t="s">
        <v>14629</v>
      </c>
      <c r="E2231" s="12" t="str">
        <f>HYPERLINK("https://twitter.com/MeTeSah06/status/1181907846495182849","1181907846495182849")</f>
        <v>1181907846495182849</v>
      </c>
      <c r="F2231" s="8"/>
      <c r="G2231" s="14" t="s">
        <v>14630</v>
      </c>
      <c r="H2231" s="8"/>
      <c r="I2231" s="15">
        <v>0</v>
      </c>
      <c r="J2231" s="15">
        <v>1</v>
      </c>
      <c r="K2231" s="12" t="str">
        <f>HYPERLINK("https://mobile.twitter.com","Twitter Web App")</f>
        <v>Twitter Web App</v>
      </c>
      <c r="L2231" s="16">
        <v>5752</v>
      </c>
      <c r="M2231" s="16">
        <v>5724</v>
      </c>
      <c r="N2231" s="16">
        <v>9</v>
      </c>
      <c r="O2231" s="17"/>
      <c r="P2231" s="18">
        <v>42569.168252314819</v>
      </c>
      <c r="Q2231" s="7"/>
      <c r="R2231" s="7" t="s">
        <v>14631</v>
      </c>
      <c r="S2231" s="7"/>
      <c r="T2231" s="8"/>
      <c r="U2231" s="19" t="str">
        <f>HYPERLINK("https://pbs.twimg.com/profile_images/1178886148661420032/tOTjIwpc.jpg","View")</f>
        <v>View</v>
      </c>
      <c r="V2231" s="8"/>
      <c r="W2231" s="8"/>
      <c r="X2231" s="8"/>
      <c r="Y2231" s="8"/>
      <c r="Z2231" s="8"/>
    </row>
    <row r="2232" spans="1:26" ht="12.75">
      <c r="A2232" s="11">
        <v>43747.224108796298</v>
      </c>
      <c r="B2232" s="12" t="str">
        <f>HYPERLINK("https://twitter.com/sverko11","@sverko11")</f>
        <v>@sverko11</v>
      </c>
      <c r="C2232" s="7" t="s">
        <v>14632</v>
      </c>
      <c r="D2232" s="7" t="s">
        <v>14633</v>
      </c>
      <c r="E2232" s="12" t="str">
        <f>HYPERLINK("https://twitter.com/sverko11/status/1181907845467508736","1181907845467508736")</f>
        <v>1181907845467508736</v>
      </c>
      <c r="F2232" s="14" t="s">
        <v>14634</v>
      </c>
      <c r="G2232" s="7"/>
      <c r="H2232" s="8"/>
      <c r="I2232" s="15">
        <v>0</v>
      </c>
      <c r="J2232" s="15">
        <v>1</v>
      </c>
      <c r="K2232" s="12" t="str">
        <f>HYPERLINK("https://ifttt.com","IFTTT")</f>
        <v>IFTTT</v>
      </c>
      <c r="L2232" s="16">
        <v>1</v>
      </c>
      <c r="M2232" s="16">
        <v>0</v>
      </c>
      <c r="N2232" s="16">
        <v>0</v>
      </c>
      <c r="O2232" s="17"/>
      <c r="P2232" s="18">
        <v>42010.037986111114</v>
      </c>
      <c r="Q2232" s="7"/>
      <c r="R2232" s="7"/>
      <c r="S2232" s="7"/>
      <c r="T2232" s="8"/>
      <c r="U2232" s="20" t="s">
        <v>354</v>
      </c>
      <c r="V2232" s="8"/>
      <c r="W2232" s="8"/>
      <c r="X2232" s="8"/>
      <c r="Y2232" s="8"/>
      <c r="Z2232" s="8"/>
    </row>
    <row r="2233" spans="1:26" ht="12.75">
      <c r="A2233" s="11">
        <v>43747.224074074074</v>
      </c>
      <c r="B2233" s="12" t="str">
        <f>HYPERLINK("https://twitter.com/MusaBaglan1","@MusaBaglan1")</f>
        <v>@MusaBaglan1</v>
      </c>
      <c r="C2233" s="7" t="s">
        <v>14635</v>
      </c>
      <c r="D2233" s="7" t="s">
        <v>14636</v>
      </c>
      <c r="E2233" s="12" t="str">
        <f>HYPERLINK("https://twitter.com/MusaBaglan1/status/1181907833375334400","1181907833375334400")</f>
        <v>1181907833375334400</v>
      </c>
      <c r="F2233" s="8"/>
      <c r="G2233" s="14" t="s">
        <v>14637</v>
      </c>
      <c r="H2233" s="8"/>
      <c r="I2233" s="15">
        <v>1</v>
      </c>
      <c r="J2233" s="15">
        <v>2</v>
      </c>
      <c r="K2233" s="12" t="str">
        <f>HYPERLINK("http://twitter.com/download/android","Twitter for Android")</f>
        <v>Twitter for Android</v>
      </c>
      <c r="L2233" s="16">
        <v>767</v>
      </c>
      <c r="M2233" s="16">
        <v>817</v>
      </c>
      <c r="N2233" s="16">
        <v>0</v>
      </c>
      <c r="O2233" s="17"/>
      <c r="P2233" s="18">
        <v>43051.147337962961</v>
      </c>
      <c r="Q2233" s="7" t="s">
        <v>14638</v>
      </c>
      <c r="R2233" s="7" t="s">
        <v>14639</v>
      </c>
      <c r="S2233" s="7"/>
      <c r="T2233" s="8"/>
      <c r="U2233" s="19" t="str">
        <f>HYPERLINK("https://pbs.twimg.com/profile_images/1166391914331103232/dl8OA9c1.jpg","View")</f>
        <v>View</v>
      </c>
      <c r="V2233" s="8"/>
      <c r="W2233" s="8"/>
      <c r="X2233" s="8"/>
      <c r="Y2233" s="8"/>
      <c r="Z2233" s="8"/>
    </row>
    <row r="2234" spans="1:26" ht="12.75">
      <c r="A2234" s="11">
        <v>43747.224050925928</v>
      </c>
      <c r="B2234" s="12" t="str">
        <f>HYPERLINK("https://twitter.com/tayfunng8","@tayfunng8")</f>
        <v>@tayfunng8</v>
      </c>
      <c r="C2234" s="7" t="s">
        <v>14640</v>
      </c>
      <c r="D2234" s="7" t="s">
        <v>14641</v>
      </c>
      <c r="E2234" s="12" t="str">
        <f>HYPERLINK("https://twitter.com/tayfunng8/status/1181907824101773312","1181907824101773312")</f>
        <v>1181907824101773312</v>
      </c>
      <c r="F2234" s="8"/>
      <c r="G2234" s="14" t="s">
        <v>14642</v>
      </c>
      <c r="H2234" s="8"/>
      <c r="I2234" s="15">
        <v>0</v>
      </c>
      <c r="J2234" s="15">
        <v>2</v>
      </c>
      <c r="K2234" s="12" t="str">
        <f>HYPERLINK("http://twitter.com/download/android","Twitter for Android")</f>
        <v>Twitter for Android</v>
      </c>
      <c r="L2234" s="16">
        <v>5506</v>
      </c>
      <c r="M2234" s="16">
        <v>5861</v>
      </c>
      <c r="N2234" s="16">
        <v>0</v>
      </c>
      <c r="O2234" s="17"/>
      <c r="P2234" s="18">
        <v>42786.337175925924</v>
      </c>
      <c r="Q2234" s="7"/>
      <c r="R2234" s="7" t="s">
        <v>14643</v>
      </c>
      <c r="S2234" s="7"/>
      <c r="T2234" s="8"/>
      <c r="U2234" s="19" t="str">
        <f>HYPERLINK("https://pbs.twimg.com/profile_images/1173940799710617600/uoApgKgO.jpg","View")</f>
        <v>View</v>
      </c>
      <c r="V2234" s="8"/>
      <c r="W2234" s="8"/>
      <c r="X2234" s="8"/>
      <c r="Y2234" s="8"/>
      <c r="Z2234" s="8"/>
    </row>
    <row r="2235" spans="1:26" ht="12.75">
      <c r="A2235" s="11">
        <v>43747.223993055552</v>
      </c>
      <c r="B2235" s="12" t="str">
        <f>HYPERLINK("https://twitter.com/METINKARAKAYAx","@METINKARAKAYAx")</f>
        <v>@METINKARAKAYAx</v>
      </c>
      <c r="C2235" s="7" t="s">
        <v>14644</v>
      </c>
      <c r="D2235" s="7" t="s">
        <v>14645</v>
      </c>
      <c r="E2235" s="12" t="str">
        <f>HYPERLINK("https://twitter.com/METINKARAKAYAx/status/1181907802450796545","1181907802450796545")</f>
        <v>1181907802450796545</v>
      </c>
      <c r="F2235" s="8"/>
      <c r="G2235" s="14" t="s">
        <v>14646</v>
      </c>
      <c r="H2235" s="8"/>
      <c r="I2235" s="15">
        <v>0</v>
      </c>
      <c r="J2235" s="15">
        <v>0</v>
      </c>
      <c r="K2235" s="12" t="str">
        <f>HYPERLINK("http://twitter.com/download/iphone","Twitter for iPhone")</f>
        <v>Twitter for iPhone</v>
      </c>
      <c r="L2235" s="16">
        <v>469</v>
      </c>
      <c r="M2235" s="16">
        <v>490</v>
      </c>
      <c r="N2235" s="16">
        <v>1</v>
      </c>
      <c r="O2235" s="17"/>
      <c r="P2235" s="18">
        <v>41039.624942129631</v>
      </c>
      <c r="Q2235" s="7" t="s">
        <v>313</v>
      </c>
      <c r="R2235" s="7"/>
      <c r="S2235" s="14" t="s">
        <v>14647</v>
      </c>
      <c r="T2235" s="8"/>
      <c r="U2235" s="19" t="str">
        <f>HYPERLINK("https://pbs.twimg.com/profile_images/1136652888535646208/4YgRk-NJ.jpg","View")</f>
        <v>View</v>
      </c>
      <c r="V2235" s="8"/>
      <c r="W2235" s="8"/>
      <c r="X2235" s="8"/>
      <c r="Y2235" s="8"/>
      <c r="Z2235" s="8"/>
    </row>
    <row r="2236" spans="1:26" ht="12.75">
      <c r="A2236" s="11">
        <v>43747.223900462966</v>
      </c>
      <c r="B2236" s="12" t="str">
        <f>HYPERLINK("https://twitter.com/lkerKeser4","@lkerKeser4")</f>
        <v>@lkerKeser4</v>
      </c>
      <c r="C2236" s="7" t="s">
        <v>14648</v>
      </c>
      <c r="D2236" s="7" t="s">
        <v>14649</v>
      </c>
      <c r="E2236" s="12" t="str">
        <f>HYPERLINK("https://twitter.com/lkerKeser4/status/1181907767872888832","1181907767872888832")</f>
        <v>1181907767872888832</v>
      </c>
      <c r="F2236" s="8"/>
      <c r="G2236" s="7"/>
      <c r="H2236" s="8"/>
      <c r="I2236" s="15">
        <v>0</v>
      </c>
      <c r="J2236" s="15">
        <v>0</v>
      </c>
      <c r="K2236" s="12" t="str">
        <f>HYPERLINK("http://twitter.com/download/android","Twitter for Android")</f>
        <v>Twitter for Android</v>
      </c>
      <c r="L2236" s="16">
        <v>0</v>
      </c>
      <c r="M2236" s="16">
        <v>19</v>
      </c>
      <c r="N2236" s="16">
        <v>0</v>
      </c>
      <c r="O2236" s="17"/>
      <c r="P2236" s="18">
        <v>43695.530057870375</v>
      </c>
      <c r="Q2236" s="7"/>
      <c r="R2236" s="7" t="s">
        <v>14650</v>
      </c>
      <c r="S2236" s="7"/>
      <c r="T2236" s="8"/>
      <c r="U2236" s="19" t="str">
        <f>HYPERLINK("https://pbs.twimg.com/profile_images/1163174695350521856/oJAWfqdu.jpg","View")</f>
        <v>View</v>
      </c>
      <c r="V2236" s="8"/>
      <c r="W2236" s="8"/>
      <c r="X2236" s="8"/>
      <c r="Y2236" s="8"/>
      <c r="Z2236" s="8"/>
    </row>
    <row r="2237" spans="1:26" ht="12.75">
      <c r="A2237" s="11">
        <v>43747.22388888889</v>
      </c>
      <c r="B2237" s="12" t="str">
        <f>HYPERLINK("https://twitter.com/minel_lami","@minel_lami")</f>
        <v>@minel_lami</v>
      </c>
      <c r="C2237" s="7" t="s">
        <v>14651</v>
      </c>
      <c r="D2237" s="7" t="s">
        <v>14652</v>
      </c>
      <c r="E2237" s="12" t="str">
        <f>HYPERLINK("https://twitter.com/minel_lami/status/1181907763452108802","1181907763452108802")</f>
        <v>1181907763452108802</v>
      </c>
      <c r="F2237" s="8"/>
      <c r="G2237" s="14" t="s">
        <v>14653</v>
      </c>
      <c r="H2237" s="8"/>
      <c r="I2237" s="15">
        <v>2</v>
      </c>
      <c r="J2237" s="15">
        <v>1</v>
      </c>
      <c r="K2237" s="12" t="str">
        <f>HYPERLINK("http://twitter.com/download/android","Twitter for Android")</f>
        <v>Twitter for Android</v>
      </c>
      <c r="L2237" s="16">
        <v>31822</v>
      </c>
      <c r="M2237" s="16">
        <v>13623</v>
      </c>
      <c r="N2237" s="16">
        <v>12</v>
      </c>
      <c r="O2237" s="17"/>
      <c r="P2237" s="18">
        <v>43201.167650462958</v>
      </c>
      <c r="Q2237" s="7" t="s">
        <v>14654</v>
      </c>
      <c r="R2237" s="7" t="s">
        <v>14655</v>
      </c>
      <c r="S2237" s="7"/>
      <c r="T2237" s="8"/>
      <c r="U2237" s="19" t="str">
        <f>HYPERLINK("https://pbs.twimg.com/profile_images/1155389622035333120/Gj_4fC4p.jpg","View")</f>
        <v>View</v>
      </c>
      <c r="V2237" s="8"/>
      <c r="W2237" s="8"/>
      <c r="X2237" s="8"/>
      <c r="Y2237" s="8"/>
      <c r="Z2237" s="8"/>
    </row>
    <row r="2238" spans="1:26" ht="12.75">
      <c r="A2238" s="11">
        <v>43747.223819444444</v>
      </c>
      <c r="B2238" s="12" t="str">
        <f>HYPERLINK("https://twitter.com/efe60ayhan","@efe60ayhan")</f>
        <v>@efe60ayhan</v>
      </c>
      <c r="C2238" s="7" t="s">
        <v>14656</v>
      </c>
      <c r="D2238" s="7" t="s">
        <v>14657</v>
      </c>
      <c r="E2238" s="12" t="str">
        <f>HYPERLINK("https://twitter.com/efe60ayhan/status/1181907740551237632","1181907740551237632")</f>
        <v>1181907740551237632</v>
      </c>
      <c r="F2238" s="8"/>
      <c r="G2238" s="14" t="s">
        <v>14658</v>
      </c>
      <c r="H2238" s="8"/>
      <c r="I2238" s="15">
        <v>10</v>
      </c>
      <c r="J2238" s="15">
        <v>12</v>
      </c>
      <c r="K2238" s="12" t="str">
        <f>HYPERLINK("http://twitter.com/download/android","Twitter for Android")</f>
        <v>Twitter for Android</v>
      </c>
      <c r="L2238" s="16">
        <v>20003</v>
      </c>
      <c r="M2238" s="16">
        <v>18078</v>
      </c>
      <c r="N2238" s="16">
        <v>28</v>
      </c>
      <c r="O2238" s="17"/>
      <c r="P2238" s="18">
        <v>42342.169583333336</v>
      </c>
      <c r="Q2238" s="7"/>
      <c r="R2238" s="7" t="s">
        <v>14659</v>
      </c>
      <c r="S2238" s="15"/>
      <c r="T2238" s="8"/>
      <c r="U2238" s="19" t="str">
        <f>HYPERLINK("https://pbs.twimg.com/profile_images/896253419387801600/SgPlKOXd.jpg","View")</f>
        <v>View</v>
      </c>
      <c r="V2238" s="8"/>
      <c r="W2238" s="8"/>
      <c r="X2238" s="8"/>
      <c r="Y2238" s="8"/>
      <c r="Z2238" s="8"/>
    </row>
    <row r="2239" spans="1:26" ht="12.75">
      <c r="A2239" s="11">
        <v>43747.223807870367</v>
      </c>
      <c r="B2239" s="12" t="str">
        <f>HYPERLINK("https://twitter.com/FazilDuygun","@FazilDuygun")</f>
        <v>@FazilDuygun</v>
      </c>
      <c r="C2239" s="7" t="s">
        <v>14660</v>
      </c>
      <c r="D2239" s="7" t="s">
        <v>14661</v>
      </c>
      <c r="E2239" s="12" t="str">
        <f>HYPERLINK("https://twitter.com/FazilDuygun/status/1181907734897319939","1181907734897319939")</f>
        <v>1181907734897319939</v>
      </c>
      <c r="F2239" s="7"/>
      <c r="G2239" s="14" t="s">
        <v>14662</v>
      </c>
      <c r="H2239" s="8"/>
      <c r="I2239" s="15">
        <v>4</v>
      </c>
      <c r="J2239" s="15">
        <v>4</v>
      </c>
      <c r="K2239" s="12" t="str">
        <f>HYPERLINK("https://mobile.twitter.com","Twitter Web App")</f>
        <v>Twitter Web App</v>
      </c>
      <c r="L2239" s="16">
        <v>9771</v>
      </c>
      <c r="M2239" s="16">
        <v>1843</v>
      </c>
      <c r="N2239" s="16">
        <v>28</v>
      </c>
      <c r="O2239" s="17"/>
      <c r="P2239" s="18">
        <v>43188.316469907411</v>
      </c>
      <c r="Q2239" s="7"/>
      <c r="R2239" s="7" t="s">
        <v>14663</v>
      </c>
      <c r="S2239" s="14" t="s">
        <v>14664</v>
      </c>
      <c r="T2239" s="8"/>
      <c r="U2239" s="19" t="str">
        <f>HYPERLINK("https://pbs.twimg.com/profile_images/1151963312625737736/_52K3Nl6.jpg","View")</f>
        <v>View</v>
      </c>
      <c r="V2239" s="8"/>
      <c r="W2239" s="8"/>
      <c r="X2239" s="8"/>
      <c r="Y2239" s="8"/>
      <c r="Z2239" s="8"/>
    </row>
    <row r="2240" spans="1:26" ht="12.75">
      <c r="A2240" s="11">
        <v>43747.223715277782</v>
      </c>
      <c r="B2240" s="12" t="str">
        <f>HYPERLINK("https://twitter.com/rezantahtaci450","@rezantahtaci450")</f>
        <v>@rezantahtaci450</v>
      </c>
      <c r="C2240" s="7" t="s">
        <v>14665</v>
      </c>
      <c r="D2240" s="7" t="s">
        <v>14666</v>
      </c>
      <c r="E2240" s="12" t="str">
        <f>HYPERLINK("https://twitter.com/rezantahtaci450/status/1181907703477817345","1181907703477817345")</f>
        <v>1181907703477817345</v>
      </c>
      <c r="F2240" s="8"/>
      <c r="G2240" s="14" t="s">
        <v>14667</v>
      </c>
      <c r="H2240" s="8"/>
      <c r="I2240" s="15">
        <v>0</v>
      </c>
      <c r="J2240" s="15">
        <v>0</v>
      </c>
      <c r="K2240" s="12" t="str">
        <f>HYPERLINK("http://twitter.com","Twitter Web Client")</f>
        <v>Twitter Web Client</v>
      </c>
      <c r="L2240" s="16">
        <v>21</v>
      </c>
      <c r="M2240" s="16">
        <v>0</v>
      </c>
      <c r="N2240" s="16">
        <v>0</v>
      </c>
      <c r="O2240" s="17"/>
      <c r="P2240" s="18">
        <v>43595.27034722222</v>
      </c>
      <c r="Q2240" s="7" t="s">
        <v>13956</v>
      </c>
      <c r="R2240" s="7" t="s">
        <v>14668</v>
      </c>
      <c r="S2240" s="15"/>
      <c r="T2240" s="8"/>
      <c r="U2240" s="19" t="str">
        <f>HYPERLINK("https://pbs.twimg.com/profile_images/1130844484734865410/vAL6Likw.jpg","View")</f>
        <v>View</v>
      </c>
      <c r="V2240" s="8"/>
      <c r="W2240" s="8"/>
      <c r="X2240" s="8"/>
      <c r="Y2240" s="8"/>
      <c r="Z2240" s="8"/>
    </row>
    <row r="2241" spans="1:26" ht="12.75">
      <c r="A2241" s="11">
        <v>43747.223703703705</v>
      </c>
      <c r="B2241" s="12" t="str">
        <f>HYPERLINK("https://twitter.com/B1REB1R","@B1REB1R")</f>
        <v>@B1REB1R</v>
      </c>
      <c r="C2241" s="7" t="s">
        <v>14669</v>
      </c>
      <c r="D2241" s="7" t="s">
        <v>14670</v>
      </c>
      <c r="E2241" s="12" t="str">
        <f>HYPERLINK("https://twitter.com/B1REB1R/status/1181907698759196674","1181907698759196674")</f>
        <v>1181907698759196674</v>
      </c>
      <c r="F2241" s="14" t="s">
        <v>14671</v>
      </c>
      <c r="G2241" s="7"/>
      <c r="H2241" s="8"/>
      <c r="I2241" s="15">
        <v>0</v>
      </c>
      <c r="J2241" s="15">
        <v>0</v>
      </c>
      <c r="K2241" s="12" t="str">
        <f>HYPERLINK("https://mobile.twitter.com","Twitter Web App")</f>
        <v>Twitter Web App</v>
      </c>
      <c r="L2241" s="16">
        <v>143</v>
      </c>
      <c r="M2241" s="16">
        <v>468</v>
      </c>
      <c r="N2241" s="16">
        <v>0</v>
      </c>
      <c r="O2241" s="17"/>
      <c r="P2241" s="18">
        <v>42832.666180555556</v>
      </c>
      <c r="Q2241" s="7" t="s">
        <v>313</v>
      </c>
      <c r="R2241" s="7" t="s">
        <v>14672</v>
      </c>
      <c r="S2241" s="14" t="s">
        <v>14673</v>
      </c>
      <c r="T2241" s="8"/>
      <c r="U2241" s="19" t="str">
        <f>HYPERLINK("https://pbs.twimg.com/profile_images/1158766122403082240/YK72y1Gc.jpg","View")</f>
        <v>View</v>
      </c>
      <c r="V2241" s="8"/>
      <c r="W2241" s="8"/>
      <c r="X2241" s="8"/>
      <c r="Y2241" s="8"/>
      <c r="Z2241" s="8"/>
    </row>
    <row r="2242" spans="1:26" ht="12.75">
      <c r="A2242" s="11">
        <v>43747.223703703705</v>
      </c>
      <c r="B2242" s="12" t="str">
        <f>HYPERLINK("https://twitter.com/mehmety77005349","@mehmety77005349")</f>
        <v>@mehmety77005349</v>
      </c>
      <c r="C2242" s="7" t="s">
        <v>14674</v>
      </c>
      <c r="D2242" s="7" t="s">
        <v>160</v>
      </c>
      <c r="E2242" s="12" t="str">
        <f>HYPERLINK("https://twitter.com/mehmety77005349/status/1181907697781923840","1181907697781923840")</f>
        <v>1181907697781923840</v>
      </c>
      <c r="F2242" s="8"/>
      <c r="G2242" s="14" t="s">
        <v>14675</v>
      </c>
      <c r="H2242" s="8"/>
      <c r="I2242" s="15">
        <v>0</v>
      </c>
      <c r="J2242" s="15">
        <v>0</v>
      </c>
      <c r="K2242" s="12" t="str">
        <f>HYPERLINK("http://twitter.com/download/android","Twitter for Android")</f>
        <v>Twitter for Android</v>
      </c>
      <c r="L2242" s="16">
        <v>7</v>
      </c>
      <c r="M2242" s="16">
        <v>367</v>
      </c>
      <c r="N2242" s="16">
        <v>0</v>
      </c>
      <c r="O2242" s="17"/>
      <c r="P2242" s="18">
        <v>43703.00172453704</v>
      </c>
      <c r="Q2242" s="7"/>
      <c r="R2242" s="7" t="s">
        <v>14676</v>
      </c>
      <c r="S2242" s="7"/>
      <c r="T2242" s="8"/>
      <c r="U2242" s="19" t="str">
        <f>HYPERLINK("https://pbs.twimg.com/profile_images/1173478889995284480/_skz89xJ.jpg","View")</f>
        <v>View</v>
      </c>
      <c r="V2242" s="8"/>
      <c r="W2242" s="8"/>
      <c r="X2242" s="8"/>
      <c r="Y2242" s="8"/>
      <c r="Z2242" s="8"/>
    </row>
    <row r="2243" spans="1:26" ht="12.75">
      <c r="A2243" s="11">
        <v>43747.223645833335</v>
      </c>
      <c r="B2243" s="12" t="str">
        <f>HYPERLINK("https://twitter.com/muhammedoe","@muhammedoe")</f>
        <v>@muhammedoe</v>
      </c>
      <c r="C2243" s="7" t="s">
        <v>14677</v>
      </c>
      <c r="D2243" s="7" t="s">
        <v>14678</v>
      </c>
      <c r="E2243" s="12" t="str">
        <f>HYPERLINK("https://twitter.com/muhammedoe/status/1181907678500724736","1181907678500724736")</f>
        <v>1181907678500724736</v>
      </c>
      <c r="F2243" s="8"/>
      <c r="G2243" s="15"/>
      <c r="H2243" s="8"/>
      <c r="I2243" s="15">
        <v>0</v>
      </c>
      <c r="J2243" s="15">
        <v>0</v>
      </c>
      <c r="K2243" s="12" t="str">
        <f>HYPERLINK("http://twitter.com/download/iphone","Twitter for iPhone")</f>
        <v>Twitter for iPhone</v>
      </c>
      <c r="L2243" s="16">
        <v>9</v>
      </c>
      <c r="M2243" s="16">
        <v>67</v>
      </c>
      <c r="N2243" s="16">
        <v>0</v>
      </c>
      <c r="O2243" s="17"/>
      <c r="P2243" s="18">
        <v>43559.968518518523</v>
      </c>
      <c r="Q2243" s="7" t="s">
        <v>14679</v>
      </c>
      <c r="R2243" s="7" t="s">
        <v>14680</v>
      </c>
      <c r="S2243" s="7"/>
      <c r="T2243" s="8"/>
      <c r="U2243" s="19" t="str">
        <f>HYPERLINK("https://pbs.twimg.com/profile_images/1114065862984597504/FK1zcHFK.jpg","View")</f>
        <v>View</v>
      </c>
      <c r="V2243" s="8"/>
      <c r="W2243" s="8"/>
      <c r="X2243" s="8"/>
      <c r="Y2243" s="8"/>
      <c r="Z2243" s="8"/>
    </row>
    <row r="2244" spans="1:26" ht="12.75">
      <c r="A2244" s="11">
        <v>43747.223622685182</v>
      </c>
      <c r="B2244" s="12" t="str">
        <f>HYPERLINK("https://twitter.com/no0ry_froolah12","@no0ry_froolah12")</f>
        <v>@no0ry_froolah12</v>
      </c>
      <c r="C2244" s="7" t="s">
        <v>14681</v>
      </c>
      <c r="D2244" s="7" t="s">
        <v>14682</v>
      </c>
      <c r="E2244" s="12" t="str">
        <f>HYPERLINK("https://twitter.com/no0ry_froolah12/status/1181907670099513344","1181907670099513344")</f>
        <v>1181907670099513344</v>
      </c>
      <c r="F2244" s="14" t="s">
        <v>14683</v>
      </c>
      <c r="G2244" s="15"/>
      <c r="H2244" s="8"/>
      <c r="I2244" s="15">
        <v>0</v>
      </c>
      <c r="J2244" s="15">
        <v>0</v>
      </c>
      <c r="K2244" s="12" t="str">
        <f>HYPERLINK("https://ifttt.com","IFTTT")</f>
        <v>IFTTT</v>
      </c>
      <c r="L2244" s="16">
        <v>244</v>
      </c>
      <c r="M2244" s="16">
        <v>787</v>
      </c>
      <c r="N2244" s="16">
        <v>0</v>
      </c>
      <c r="O2244" s="17"/>
      <c r="P2244" s="18">
        <v>41293.224849537037</v>
      </c>
      <c r="Q2244" s="7" t="s">
        <v>14684</v>
      </c>
      <c r="R2244" s="7" t="s">
        <v>14685</v>
      </c>
      <c r="S2244" s="7"/>
      <c r="T2244" s="8"/>
      <c r="U2244" s="19" t="str">
        <f>HYPERLINK("https://pbs.twimg.com/profile_images/3362161090/733c937416030522bc9e8bc768a4d715.jpeg","View")</f>
        <v>View</v>
      </c>
      <c r="V2244" s="8"/>
      <c r="W2244" s="8"/>
      <c r="X2244" s="8"/>
      <c r="Y2244" s="8"/>
      <c r="Z2244" s="8"/>
    </row>
    <row r="2245" spans="1:26" ht="12.75">
      <c r="A2245" s="11">
        <v>43747.223611111112</v>
      </c>
      <c r="B2245" s="12" t="str">
        <f>HYPERLINK("https://twitter.com/boseltali","@boseltali")</f>
        <v>@boseltali</v>
      </c>
      <c r="C2245" s="7" t="s">
        <v>14686</v>
      </c>
      <c r="D2245" s="7" t="s">
        <v>14687</v>
      </c>
      <c r="E2245" s="12" t="str">
        <f>HYPERLINK("https://twitter.com/boseltali/status/1181907664068108290","1181907664068108290")</f>
        <v>1181907664068108290</v>
      </c>
      <c r="F2245" s="8"/>
      <c r="G2245" s="7"/>
      <c r="H2245" s="8"/>
      <c r="I2245" s="15">
        <v>0</v>
      </c>
      <c r="J2245" s="15">
        <v>1</v>
      </c>
      <c r="K2245" s="12" t="str">
        <f>HYPERLINK("http://twitter.com/download/android","Twitter for Android")</f>
        <v>Twitter for Android</v>
      </c>
      <c r="L2245" s="16">
        <v>13</v>
      </c>
      <c r="M2245" s="16">
        <v>58</v>
      </c>
      <c r="N2245" s="16">
        <v>0</v>
      </c>
      <c r="O2245" s="17"/>
      <c r="P2245" s="18">
        <v>41126.402013888888</v>
      </c>
      <c r="Q2245" s="7" t="s">
        <v>14688</v>
      </c>
      <c r="R2245" s="7" t="s">
        <v>14689</v>
      </c>
      <c r="S2245" s="7"/>
      <c r="T2245" s="8"/>
      <c r="U2245" s="19" t="str">
        <f>HYPERLINK("https://pbs.twimg.com/profile_images/491154329920077825/ThGz2siM.jpeg","View")</f>
        <v>View</v>
      </c>
      <c r="V2245" s="8"/>
      <c r="W2245" s="8"/>
      <c r="X2245" s="8"/>
      <c r="Y2245" s="8"/>
      <c r="Z2245" s="8"/>
    </row>
    <row r="2246" spans="1:26" ht="12.75">
      <c r="A2246" s="11">
        <v>43747.223611111112</v>
      </c>
      <c r="B2246" s="12" t="str">
        <f>HYPERLINK("https://twitter.com/sadrohenzo","@sadrohenzo")</f>
        <v>@sadrohenzo</v>
      </c>
      <c r="C2246" s="7" t="s">
        <v>14690</v>
      </c>
      <c r="D2246" s="7" t="s">
        <v>14691</v>
      </c>
      <c r="E2246" s="12" t="str">
        <f>HYPERLINK("https://twitter.com/sadrohenzo/status/1181907662272958465","1181907662272958465")</f>
        <v>1181907662272958465</v>
      </c>
      <c r="F2246" s="8"/>
      <c r="G2246" s="15"/>
      <c r="H2246" s="8"/>
      <c r="I2246" s="15">
        <v>0</v>
      </c>
      <c r="J2246" s="15">
        <v>0</v>
      </c>
      <c r="K2246" s="12" t="str">
        <f>HYPERLINK("http://twitter.com/download/android","Twitter for Android")</f>
        <v>Twitter for Android</v>
      </c>
      <c r="L2246" s="16">
        <v>12</v>
      </c>
      <c r="M2246" s="16">
        <v>52</v>
      </c>
      <c r="N2246" s="16">
        <v>0</v>
      </c>
      <c r="O2246" s="17"/>
      <c r="P2246" s="18">
        <v>41923.56318287037</v>
      </c>
      <c r="Q2246" s="7"/>
      <c r="R2246" s="7" t="s">
        <v>14692</v>
      </c>
      <c r="S2246" s="7"/>
      <c r="T2246" s="8"/>
      <c r="U2246" s="19" t="str">
        <f>HYPERLINK("https://pbs.twimg.com/profile_images/1180277309498171393/G0nREfHH.jpg","View")</f>
        <v>View</v>
      </c>
      <c r="V2246" s="8"/>
      <c r="W2246" s="8"/>
      <c r="X2246" s="8"/>
      <c r="Y2246" s="8"/>
      <c r="Z2246" s="8"/>
    </row>
    <row r="2247" spans="1:26" ht="12.75">
      <c r="A2247" s="11">
        <v>43747.223553240736</v>
      </c>
      <c r="B2247" s="12" t="str">
        <f>HYPERLINK("https://twitter.com/Tayyip_Reyis","@Tayyip_Reyis")</f>
        <v>@Tayyip_Reyis</v>
      </c>
      <c r="C2247" s="7" t="s">
        <v>14693</v>
      </c>
      <c r="D2247" s="7" t="s">
        <v>14694</v>
      </c>
      <c r="E2247" s="12" t="str">
        <f>HYPERLINK("https://twitter.com/Tayyip_Reyis/status/1181907644820406275","1181907644820406275")</f>
        <v>1181907644820406275</v>
      </c>
      <c r="F2247" s="8"/>
      <c r="G2247" s="7"/>
      <c r="H2247" s="8"/>
      <c r="I2247" s="15">
        <v>0</v>
      </c>
      <c r="J2247" s="15">
        <v>0</v>
      </c>
      <c r="K2247" s="12" t="str">
        <f>HYPERLINK("http://twitter.com/download/android","Twitter for Android")</f>
        <v>Twitter for Android</v>
      </c>
      <c r="L2247" s="16">
        <v>3671</v>
      </c>
      <c r="M2247" s="16">
        <v>10</v>
      </c>
      <c r="N2247" s="16">
        <v>9</v>
      </c>
      <c r="O2247" s="17"/>
      <c r="P2247" s="18">
        <v>42959.24894675926</v>
      </c>
      <c r="Q2247" s="7"/>
      <c r="R2247" s="7" t="s">
        <v>14695</v>
      </c>
      <c r="S2247" s="7"/>
      <c r="T2247" s="8"/>
      <c r="U2247" s="19" t="str">
        <f>HYPERLINK("https://pbs.twimg.com/profile_images/1181734328990130177/2BSNkJri.jpg","View")</f>
        <v>View</v>
      </c>
      <c r="V2247" s="8"/>
      <c r="W2247" s="8"/>
      <c r="X2247" s="8"/>
      <c r="Y2247" s="8"/>
      <c r="Z2247" s="8"/>
    </row>
    <row r="2248" spans="1:26" ht="12.75">
      <c r="A2248" s="11">
        <v>43747.223483796297</v>
      </c>
      <c r="B2248" s="12" t="str">
        <f>HYPERLINK("https://twitter.com/kadinveotesicom","@kadinveotesicom")</f>
        <v>@kadinveotesicom</v>
      </c>
      <c r="C2248" s="7" t="s">
        <v>14696</v>
      </c>
      <c r="D2248" s="7" t="s">
        <v>14697</v>
      </c>
      <c r="E2248" s="12" t="str">
        <f>HYPERLINK("https://twitter.com/kadinveotesicom/status/1181907619658829828","1181907619658829828")</f>
        <v>1181907619658829828</v>
      </c>
      <c r="F2248" s="14" t="s">
        <v>14698</v>
      </c>
      <c r="G2248" s="15"/>
      <c r="H2248" s="8"/>
      <c r="I2248" s="15">
        <v>1</v>
      </c>
      <c r="J2248" s="15">
        <v>2</v>
      </c>
      <c r="K2248" s="12" t="str">
        <f>HYPERLINK("https://mobile.twitter.com","Twitter Web App")</f>
        <v>Twitter Web App</v>
      </c>
      <c r="L2248" s="16">
        <v>18</v>
      </c>
      <c r="M2248" s="16">
        <v>3</v>
      </c>
      <c r="N2248" s="16">
        <v>0</v>
      </c>
      <c r="O2248" s="17"/>
      <c r="P2248" s="18">
        <v>43592.530729166669</v>
      </c>
      <c r="Q2248" s="7" t="s">
        <v>1461</v>
      </c>
      <c r="R2248" s="7" t="s">
        <v>14699</v>
      </c>
      <c r="S2248" s="14" t="s">
        <v>14700</v>
      </c>
      <c r="T2248" s="8"/>
      <c r="U2248" s="19" t="str">
        <f>HYPERLINK("https://pbs.twimg.com/profile_images/1125849021359304705/YKOcifqU.jpg","View")</f>
        <v>View</v>
      </c>
      <c r="V2248" s="8"/>
      <c r="W2248" s="8"/>
      <c r="X2248" s="8"/>
      <c r="Y2248" s="8"/>
      <c r="Z2248" s="8"/>
    </row>
    <row r="2249" spans="1:26" ht="12.75">
      <c r="A2249" s="11">
        <v>43747.22347222222</v>
      </c>
      <c r="B2249" s="12" t="str">
        <f>HYPERLINK("https://twitter.com/Mehmet1Aslann","@Mehmet1Aslann")</f>
        <v>@Mehmet1Aslann</v>
      </c>
      <c r="C2249" s="7" t="s">
        <v>14701</v>
      </c>
      <c r="D2249" s="7" t="s">
        <v>14702</v>
      </c>
      <c r="E2249" s="12" t="str">
        <f>HYPERLINK("https://twitter.com/Mehmet1Aslann/status/1181907612268466177","1181907612268466177")</f>
        <v>1181907612268466177</v>
      </c>
      <c r="F2249" s="8"/>
      <c r="G2249" s="7"/>
      <c r="H2249" s="8"/>
      <c r="I2249" s="15">
        <v>1</v>
      </c>
      <c r="J2249" s="15">
        <v>0</v>
      </c>
      <c r="K2249" s="12" t="str">
        <f>HYPERLINK("http://twitter.com/download/iphone","Twitter for iPhone")</f>
        <v>Twitter for iPhone</v>
      </c>
      <c r="L2249" s="16">
        <v>245</v>
      </c>
      <c r="M2249" s="16">
        <v>666</v>
      </c>
      <c r="N2249" s="16">
        <v>1</v>
      </c>
      <c r="O2249" s="17"/>
      <c r="P2249" s="18">
        <v>40744.022175925929</v>
      </c>
      <c r="Q2249" s="7" t="s">
        <v>14703</v>
      </c>
      <c r="R2249" s="7" t="s">
        <v>14704</v>
      </c>
      <c r="S2249" s="7"/>
      <c r="T2249" s="8"/>
      <c r="U2249" s="19" t="str">
        <f>HYPERLINK("https://pbs.twimg.com/profile_images/1074287794229514240/fbVbLlCJ.jpg","View")</f>
        <v>View</v>
      </c>
      <c r="V2249" s="8"/>
      <c r="W2249" s="8"/>
      <c r="X2249" s="8"/>
      <c r="Y2249" s="8"/>
      <c r="Z2249" s="8"/>
    </row>
    <row r="2250" spans="1:26" ht="12.75">
      <c r="A2250" s="11">
        <v>43747.223009259258</v>
      </c>
      <c r="B2250" s="12" t="str">
        <f>HYPERLINK("https://twitter.com/ahmetyuruk35","@ahmetyuruk35")</f>
        <v>@ahmetyuruk35</v>
      </c>
      <c r="C2250" s="7" t="s">
        <v>14705</v>
      </c>
      <c r="D2250" s="7" t="s">
        <v>160</v>
      </c>
      <c r="E2250" s="12" t="str">
        <f>HYPERLINK("https://twitter.com/ahmetyuruk35/status/1181907443930030080","1181907443930030080")</f>
        <v>1181907443930030080</v>
      </c>
      <c r="F2250" s="8"/>
      <c r="G2250" s="14" t="s">
        <v>14706</v>
      </c>
      <c r="H2250" s="8"/>
      <c r="I2250" s="15">
        <v>0</v>
      </c>
      <c r="J2250" s="15">
        <v>1</v>
      </c>
      <c r="K2250" s="12" t="str">
        <f>HYPERLINK("http://twitter.com/download/iphone","Twitter for iPhone")</f>
        <v>Twitter for iPhone</v>
      </c>
      <c r="L2250" s="16">
        <v>355</v>
      </c>
      <c r="M2250" s="16">
        <v>296</v>
      </c>
      <c r="N2250" s="16">
        <v>0</v>
      </c>
      <c r="O2250" s="17"/>
      <c r="P2250" s="18">
        <v>41453.036747685182</v>
      </c>
      <c r="Q2250" s="7"/>
      <c r="R2250" s="7" t="s">
        <v>14707</v>
      </c>
      <c r="S2250" s="7"/>
      <c r="T2250" s="8"/>
      <c r="U2250" s="19" t="str">
        <f>HYPERLINK("https://pbs.twimg.com/profile_images/1005624145189761024/1Ts6PezE.jpg","View")</f>
        <v>View</v>
      </c>
      <c r="V2250" s="8"/>
      <c r="W2250" s="8"/>
      <c r="X2250" s="8"/>
      <c r="Y2250" s="8"/>
      <c r="Z2250" s="8"/>
    </row>
    <row r="2251" spans="1:26" ht="12.75">
      <c r="A2251" s="11">
        <v>43747.22284722222</v>
      </c>
      <c r="B2251" s="12" t="str">
        <f>HYPERLINK("https://twitter.com/onurpm","@onurpm")</f>
        <v>@onurpm</v>
      </c>
      <c r="C2251" s="7" t="s">
        <v>14708</v>
      </c>
      <c r="D2251" s="7" t="s">
        <v>14709</v>
      </c>
      <c r="E2251" s="12" t="str">
        <f>HYPERLINK("https://twitter.com/onurpm/status/1181907388032589824","1181907388032589824")</f>
        <v>1181907388032589824</v>
      </c>
      <c r="F2251" s="8"/>
      <c r="G2251" s="15"/>
      <c r="H2251" s="8"/>
      <c r="I2251" s="15">
        <v>0</v>
      </c>
      <c r="J2251" s="15">
        <v>2</v>
      </c>
      <c r="K2251" s="12" t="str">
        <f>HYPERLINK("https://mobile.twitter.com","Twitter Web App")</f>
        <v>Twitter Web App</v>
      </c>
      <c r="L2251" s="16">
        <v>1275</v>
      </c>
      <c r="M2251" s="16">
        <v>614</v>
      </c>
      <c r="N2251" s="16">
        <v>1</v>
      </c>
      <c r="O2251" s="17"/>
      <c r="P2251" s="18">
        <v>40575.501782407409</v>
      </c>
      <c r="Q2251" s="7" t="s">
        <v>860</v>
      </c>
      <c r="R2251" s="7" t="s">
        <v>14710</v>
      </c>
      <c r="S2251" s="14" t="s">
        <v>14711</v>
      </c>
      <c r="T2251" s="8"/>
      <c r="U2251" s="19" t="str">
        <f>HYPERLINK("https://pbs.twimg.com/profile_images/1173495040951427080/NwOI05vp.jpg","View")</f>
        <v>View</v>
      </c>
      <c r="V2251" s="8"/>
      <c r="W2251" s="8"/>
      <c r="X2251" s="8"/>
      <c r="Y2251" s="8"/>
      <c r="Z2251" s="8"/>
    </row>
    <row r="2252" spans="1:26" ht="12.75">
      <c r="A2252" s="11">
        <v>43747.22283564815</v>
      </c>
      <c r="B2252" s="12" t="str">
        <f>HYPERLINK("https://twitter.com/Onder_fb23","@Onder_fb23")</f>
        <v>@Onder_fb23</v>
      </c>
      <c r="C2252" s="7" t="s">
        <v>14712</v>
      </c>
      <c r="D2252" s="7" t="s">
        <v>14713</v>
      </c>
      <c r="E2252" s="12" t="str">
        <f>HYPERLINK("https://twitter.com/Onder_fb23/status/1181907382194118656","1181907382194118656")</f>
        <v>1181907382194118656</v>
      </c>
      <c r="F2252" s="8"/>
      <c r="G2252" s="14" t="s">
        <v>14714</v>
      </c>
      <c r="H2252" s="8"/>
      <c r="I2252" s="15">
        <v>0</v>
      </c>
      <c r="J2252" s="15">
        <v>0</v>
      </c>
      <c r="K2252" s="12" t="str">
        <f>HYPERLINK("http://twitter.com/download/android","Twitter for Android")</f>
        <v>Twitter for Android</v>
      </c>
      <c r="L2252" s="16">
        <v>700</v>
      </c>
      <c r="M2252" s="16">
        <v>1233</v>
      </c>
      <c r="N2252" s="16">
        <v>1</v>
      </c>
      <c r="O2252" s="17"/>
      <c r="P2252" s="18">
        <v>41412.160393518519</v>
      </c>
      <c r="Q2252" s="7" t="s">
        <v>576</v>
      </c>
      <c r="R2252" s="7" t="s">
        <v>14715</v>
      </c>
      <c r="S2252" s="15"/>
      <c r="T2252" s="8"/>
      <c r="U2252" s="19" t="str">
        <f>HYPERLINK("https://pbs.twimg.com/profile_images/1160433989796147206/8JFvoEF_.jpg","View")</f>
        <v>View</v>
      </c>
      <c r="V2252" s="8"/>
      <c r="W2252" s="8"/>
      <c r="X2252" s="8"/>
      <c r="Y2252" s="8"/>
      <c r="Z2252" s="8"/>
    </row>
    <row r="2253" spans="1:26" ht="12.75">
      <c r="A2253" s="11">
        <v>43747.22278935185</v>
      </c>
      <c r="B2253" s="12" t="str">
        <f>HYPERLINK("https://twitter.com/Bekiris","@Bekiris")</f>
        <v>@Bekiris</v>
      </c>
      <c r="C2253" s="7" t="s">
        <v>14716</v>
      </c>
      <c r="D2253" s="7" t="s">
        <v>14717</v>
      </c>
      <c r="E2253" s="12" t="str">
        <f>HYPERLINK("https://twitter.com/Bekiris/status/1181907367304335361","1181907367304335361")</f>
        <v>1181907367304335361</v>
      </c>
      <c r="F2253" s="8"/>
      <c r="G2253" s="7"/>
      <c r="H2253" s="8"/>
      <c r="I2253" s="15">
        <v>0</v>
      </c>
      <c r="J2253" s="15">
        <v>0</v>
      </c>
      <c r="K2253" s="12" t="str">
        <f>HYPERLINK("http://twitter.com/download/android","Twitter for Android")</f>
        <v>Twitter for Android</v>
      </c>
      <c r="L2253" s="16">
        <v>1850</v>
      </c>
      <c r="M2253" s="16">
        <v>778</v>
      </c>
      <c r="N2253" s="16">
        <v>4</v>
      </c>
      <c r="O2253" s="17"/>
      <c r="P2253" s="18">
        <v>40225.574953703705</v>
      </c>
      <c r="Q2253" s="7" t="s">
        <v>576</v>
      </c>
      <c r="R2253" s="7" t="s">
        <v>14718</v>
      </c>
      <c r="S2253" s="7"/>
      <c r="T2253" s="8"/>
      <c r="U2253" s="19" t="str">
        <f>HYPERLINK("https://pbs.twimg.com/profile_images/1170571675752161280/ybA_KX-u.jpg","View")</f>
        <v>View</v>
      </c>
      <c r="V2253" s="8"/>
      <c r="W2253" s="8"/>
      <c r="X2253" s="8"/>
      <c r="Y2253" s="8"/>
      <c r="Z2253" s="8"/>
    </row>
    <row r="2254" spans="1:26" ht="12.75">
      <c r="A2254" s="11">
        <v>43747.222592592589</v>
      </c>
      <c r="B2254" s="12" t="str">
        <f>HYPERLINK("https://twitter.com/helsinkigoa","@helsinkigoa")</f>
        <v>@helsinkigoa</v>
      </c>
      <c r="C2254" s="7" t="s">
        <v>14719</v>
      </c>
      <c r="D2254" s="7" t="s">
        <v>14720</v>
      </c>
      <c r="E2254" s="12" t="str">
        <f>HYPERLINK("https://twitter.com/helsinkigoa/status/1181907296005349377","1181907296005349377")</f>
        <v>1181907296005349377</v>
      </c>
      <c r="F2254" s="8"/>
      <c r="G2254" s="14" t="s">
        <v>14721</v>
      </c>
      <c r="H2254" s="8"/>
      <c r="I2254" s="15">
        <v>7</v>
      </c>
      <c r="J2254" s="15">
        <v>49</v>
      </c>
      <c r="K2254" s="12" t="str">
        <f>HYPERLINK("http://twitter.com/download/android","Twitter for Android")</f>
        <v>Twitter for Android</v>
      </c>
      <c r="L2254" s="16">
        <v>15652</v>
      </c>
      <c r="M2254" s="16">
        <v>14985</v>
      </c>
      <c r="N2254" s="16">
        <v>6</v>
      </c>
      <c r="O2254" s="17"/>
      <c r="P2254" s="18">
        <v>43129.34039351852</v>
      </c>
      <c r="Q2254" s="7" t="s">
        <v>80</v>
      </c>
      <c r="R2254" s="7" t="s">
        <v>14722</v>
      </c>
      <c r="S2254" s="7"/>
      <c r="T2254" s="8"/>
      <c r="U2254" s="19" t="str">
        <f>HYPERLINK("https://pbs.twimg.com/profile_images/1094307152687230982/OKxGD9Sq.jpg","View")</f>
        <v>View</v>
      </c>
      <c r="V2254" s="8"/>
      <c r="W2254" s="8"/>
      <c r="X2254" s="8"/>
      <c r="Y2254" s="8"/>
      <c r="Z2254" s="8"/>
    </row>
    <row r="2255" spans="1:26" ht="12.75">
      <c r="A2255" s="11">
        <v>43747.22256944445</v>
      </c>
      <c r="B2255" s="12" t="str">
        <f>HYPERLINK("https://twitter.com/Muharremgunes52","@Muharremgunes52")</f>
        <v>@Muharremgunes52</v>
      </c>
      <c r="C2255" s="7" t="s">
        <v>14723</v>
      </c>
      <c r="D2255" s="7" t="s">
        <v>14724</v>
      </c>
      <c r="E2255" s="12" t="str">
        <f>HYPERLINK("https://twitter.com/Muharremgunes52/status/1181907285406343168","1181907285406343168")</f>
        <v>1181907285406343168</v>
      </c>
      <c r="F2255" s="8"/>
      <c r="G2255" s="14" t="s">
        <v>14725</v>
      </c>
      <c r="H2255" s="8"/>
      <c r="I2255" s="15">
        <v>1</v>
      </c>
      <c r="J2255" s="15">
        <v>3</v>
      </c>
      <c r="K2255" s="12" t="str">
        <f>HYPERLINK("http://twitter.com/download/android","Twitter for Android")</f>
        <v>Twitter for Android</v>
      </c>
      <c r="L2255" s="16">
        <v>21028</v>
      </c>
      <c r="M2255" s="16">
        <v>4924</v>
      </c>
      <c r="N2255" s="16">
        <v>15</v>
      </c>
      <c r="O2255" s="17"/>
      <c r="P2255" s="18">
        <v>40521.382604166669</v>
      </c>
      <c r="Q2255" s="7" t="s">
        <v>14726</v>
      </c>
      <c r="R2255" s="7" t="s">
        <v>14727</v>
      </c>
      <c r="S2255" s="7"/>
      <c r="T2255" s="8"/>
      <c r="U2255" s="19" t="str">
        <f>HYPERLINK("https://pbs.twimg.com/profile_images/1151624409343545344/gwoz6fSd.jpg","View")</f>
        <v>View</v>
      </c>
      <c r="V2255" s="8"/>
      <c r="W2255" s="8"/>
      <c r="X2255" s="8"/>
      <c r="Y2255" s="8"/>
      <c r="Z2255" s="8"/>
    </row>
    <row r="2256" spans="1:26" ht="12.75">
      <c r="A2256" s="11">
        <v>43747.22246527778</v>
      </c>
      <c r="B2256" s="12" t="str">
        <f>HYPERLINK("https://twitter.com/MemetErdal","@MemetErdal")</f>
        <v>@MemetErdal</v>
      </c>
      <c r="C2256" s="7" t="s">
        <v>14728</v>
      </c>
      <c r="D2256" s="7" t="s">
        <v>14729</v>
      </c>
      <c r="E2256" s="12" t="str">
        <f>HYPERLINK("https://twitter.com/MemetErdal/status/1181907248446132225","1181907248446132225")</f>
        <v>1181907248446132225</v>
      </c>
      <c r="F2256" s="8"/>
      <c r="G2256" s="14" t="s">
        <v>14730</v>
      </c>
      <c r="H2256" s="8"/>
      <c r="I2256" s="15">
        <v>4</v>
      </c>
      <c r="J2256" s="15">
        <v>3</v>
      </c>
      <c r="K2256" s="12" t="str">
        <f>HYPERLINK("http://twitter.com/download/android","Twitter for Android")</f>
        <v>Twitter for Android</v>
      </c>
      <c r="L2256" s="16">
        <v>58</v>
      </c>
      <c r="M2256" s="16">
        <v>119</v>
      </c>
      <c r="N2256" s="16">
        <v>0</v>
      </c>
      <c r="O2256" s="17"/>
      <c r="P2256" s="18">
        <v>40677.265405092592</v>
      </c>
      <c r="Q2256" s="7" t="s">
        <v>14731</v>
      </c>
      <c r="R2256" s="7"/>
      <c r="S2256" s="7"/>
      <c r="T2256" s="8"/>
      <c r="U2256" s="19" t="str">
        <f>HYPERLINK("https://pbs.twimg.com/profile_images/1170283798170349569/CRCENCbw.jpg","View")</f>
        <v>View</v>
      </c>
      <c r="V2256" s="8"/>
      <c r="W2256" s="8"/>
      <c r="X2256" s="8"/>
      <c r="Y2256" s="8"/>
      <c r="Z2256" s="8"/>
    </row>
    <row r="2257" spans="1:26" ht="12.75">
      <c r="A2257" s="11">
        <v>43747.222418981481</v>
      </c>
      <c r="B2257" s="12" t="str">
        <f>HYPERLINK("https://twitter.com/irfanahmeterdo1","@irfanahmeterdo1")</f>
        <v>@irfanahmeterdo1</v>
      </c>
      <c r="C2257" s="7" t="s">
        <v>14732</v>
      </c>
      <c r="D2257" s="7" t="s">
        <v>160</v>
      </c>
      <c r="E2257" s="12" t="str">
        <f>HYPERLINK("https://twitter.com/irfanahmeterdo1/status/1181907230918090752","1181907230918090752")</f>
        <v>1181907230918090752</v>
      </c>
      <c r="F2257" s="8"/>
      <c r="G2257" s="15"/>
      <c r="H2257" s="8"/>
      <c r="I2257" s="15">
        <v>0</v>
      </c>
      <c r="J2257" s="15">
        <v>0</v>
      </c>
      <c r="K2257" s="12" t="str">
        <f>HYPERLINK("http://twitter.com/download/iphone","Twitter for iPhone")</f>
        <v>Twitter for iPhone</v>
      </c>
      <c r="L2257" s="16">
        <v>0</v>
      </c>
      <c r="M2257" s="16">
        <v>7</v>
      </c>
      <c r="N2257" s="16">
        <v>0</v>
      </c>
      <c r="O2257" s="17"/>
      <c r="P2257" s="18">
        <v>43685.546875</v>
      </c>
      <c r="Q2257" s="7"/>
      <c r="R2257" s="7"/>
      <c r="S2257" s="7"/>
      <c r="T2257" s="8"/>
      <c r="U2257" s="19" t="str">
        <f>HYPERLINK("https://pbs.twimg.com/profile_images/1159745914539565056/tq7sVnPh.jpg","View")</f>
        <v>View</v>
      </c>
      <c r="V2257" s="8"/>
      <c r="W2257" s="8"/>
      <c r="X2257" s="8"/>
      <c r="Y2257" s="8"/>
      <c r="Z2257" s="8"/>
    </row>
    <row r="2258" spans="1:26" ht="12.75">
      <c r="A2258" s="11">
        <v>43747.222407407404</v>
      </c>
      <c r="B2258" s="12" t="str">
        <f>HYPERLINK("https://twitter.com/ayhanelifff","@ayhanelifff")</f>
        <v>@ayhanelifff</v>
      </c>
      <c r="C2258" s="7" t="s">
        <v>14733</v>
      </c>
      <c r="D2258" s="7" t="s">
        <v>14734</v>
      </c>
      <c r="E2258" s="12" t="str">
        <f>HYPERLINK("https://twitter.com/ayhanelifff/status/1181907228439318530","1181907228439318530")</f>
        <v>1181907228439318530</v>
      </c>
      <c r="F2258" s="8"/>
      <c r="G2258" s="7"/>
      <c r="H2258" s="8"/>
      <c r="I2258" s="15">
        <v>0</v>
      </c>
      <c r="J2258" s="15">
        <v>2</v>
      </c>
      <c r="K2258" s="12" t="str">
        <f>HYPERLINK("http://twitter.com/download/iphone","Twitter for iPhone")</f>
        <v>Twitter for iPhone</v>
      </c>
      <c r="L2258" s="16">
        <v>214</v>
      </c>
      <c r="M2258" s="16">
        <v>73</v>
      </c>
      <c r="N2258" s="16">
        <v>0</v>
      </c>
      <c r="O2258" s="17"/>
      <c r="P2258" s="18">
        <v>43155.121990740736</v>
      </c>
      <c r="Q2258" s="7" t="s">
        <v>313</v>
      </c>
      <c r="R2258" s="7" t="s">
        <v>14735</v>
      </c>
      <c r="S2258" s="7"/>
      <c r="T2258" s="8"/>
      <c r="U2258" s="19" t="str">
        <f>HYPERLINK("https://pbs.twimg.com/profile_images/1084026861833912320/RwRDxHed.jpg","View")</f>
        <v>View</v>
      </c>
      <c r="V2258" s="8"/>
      <c r="W2258" s="8"/>
      <c r="X2258" s="8"/>
      <c r="Y2258" s="8"/>
      <c r="Z2258" s="8"/>
    </row>
    <row r="2259" spans="1:26" ht="12.75">
      <c r="A2259" s="11">
        <v>43747.222314814819</v>
      </c>
      <c r="B2259" s="12" t="str">
        <f>HYPERLINK("https://twitter.com/ERABUSREA","@ERABUSREA")</f>
        <v>@ERABUSREA</v>
      </c>
      <c r="C2259" s="7" t="s">
        <v>14736</v>
      </c>
      <c r="D2259" s="7" t="s">
        <v>14737</v>
      </c>
      <c r="E2259" s="12" t="str">
        <f>HYPERLINK("https://twitter.com/ERABUSREA/status/1181907193496510465","1181907193496510465")</f>
        <v>1181907193496510465</v>
      </c>
      <c r="F2259" s="8"/>
      <c r="G2259" s="7"/>
      <c r="H2259" s="8"/>
      <c r="I2259" s="15">
        <v>0</v>
      </c>
      <c r="J2259" s="15">
        <v>0</v>
      </c>
      <c r="K2259" s="12" t="str">
        <f>HYPERLINK("http://twitter.com/download/android","Twitter for Android")</f>
        <v>Twitter for Android</v>
      </c>
      <c r="L2259" s="16">
        <v>55</v>
      </c>
      <c r="M2259" s="16">
        <v>54</v>
      </c>
      <c r="N2259" s="16">
        <v>0</v>
      </c>
      <c r="O2259" s="17"/>
      <c r="P2259" s="18">
        <v>43578.122928240744</v>
      </c>
      <c r="Q2259" s="7"/>
      <c r="R2259" s="7" t="s">
        <v>14738</v>
      </c>
      <c r="S2259" s="15"/>
      <c r="T2259" s="8"/>
      <c r="U2259" s="19" t="str">
        <f>HYPERLINK("https://pbs.twimg.com/profile_images/1180453792736841728/7GCfXV0l.jpg","View")</f>
        <v>View</v>
      </c>
      <c r="V2259" s="8"/>
      <c r="W2259" s="8"/>
      <c r="X2259" s="8"/>
      <c r="Y2259" s="8"/>
      <c r="Z2259" s="8"/>
    </row>
    <row r="2260" spans="1:26" ht="12.75">
      <c r="A2260" s="11">
        <v>43747.222268518519</v>
      </c>
      <c r="B2260" s="12" t="str">
        <f>HYPERLINK("https://twitter.com/MeyraTurk","@MeyraTurk")</f>
        <v>@MeyraTurk</v>
      </c>
      <c r="C2260" s="7" t="s">
        <v>14739</v>
      </c>
      <c r="D2260" s="7" t="s">
        <v>8731</v>
      </c>
      <c r="E2260" s="12" t="str">
        <f>HYPERLINK("https://twitter.com/MeyraTurk/status/1181907175616188417","1181907175616188417")</f>
        <v>1181907175616188417</v>
      </c>
      <c r="F2260" s="8"/>
      <c r="G2260" s="14" t="s">
        <v>14740</v>
      </c>
      <c r="H2260" s="8"/>
      <c r="I2260" s="15">
        <v>0</v>
      </c>
      <c r="J2260" s="15">
        <v>2</v>
      </c>
      <c r="K2260" s="12" t="str">
        <f>HYPERLINK("http://twitter.com/download/iphone","Twitter for iPhone")</f>
        <v>Twitter for iPhone</v>
      </c>
      <c r="L2260" s="16">
        <v>559</v>
      </c>
      <c r="M2260" s="16">
        <v>643</v>
      </c>
      <c r="N2260" s="16">
        <v>0</v>
      </c>
      <c r="O2260" s="17"/>
      <c r="P2260" s="18">
        <v>42389.557453703703</v>
      </c>
      <c r="Q2260" s="7"/>
      <c r="R2260" s="7" t="s">
        <v>14741</v>
      </c>
      <c r="S2260" s="7"/>
      <c r="T2260" s="8"/>
      <c r="U2260" s="19" t="str">
        <f>HYPERLINK("https://pbs.twimg.com/profile_images/1176191178779373570/iOpFbDq5.jpg","View")</f>
        <v>View</v>
      </c>
      <c r="V2260" s="8"/>
      <c r="W2260" s="8"/>
      <c r="X2260" s="8"/>
      <c r="Y2260" s="8"/>
      <c r="Z2260" s="8"/>
    </row>
    <row r="2261" spans="1:26" ht="12.75">
      <c r="A2261" s="11">
        <v>43747.222199074073</v>
      </c>
      <c r="B2261" s="12" t="str">
        <f>HYPERLINK("https://twitter.com/kaderim09648109","@kaderim09648109")</f>
        <v>@kaderim09648109</v>
      </c>
      <c r="C2261" s="7" t="s">
        <v>14742</v>
      </c>
      <c r="D2261" s="7" t="s">
        <v>14743</v>
      </c>
      <c r="E2261" s="12" t="str">
        <f>HYPERLINK("https://twitter.com/kaderim09648109/status/1181907151712747521","1181907151712747521")</f>
        <v>1181907151712747521</v>
      </c>
      <c r="F2261" s="14" t="s">
        <v>14744</v>
      </c>
      <c r="G2261" s="14" t="s">
        <v>14745</v>
      </c>
      <c r="H2261" s="8"/>
      <c r="I2261" s="15">
        <v>0</v>
      </c>
      <c r="J2261" s="15">
        <v>0</v>
      </c>
      <c r="K2261" s="12" t="str">
        <f>HYPERLINK("http://twitter.com/download/iphone","Twitter for iPhone")</f>
        <v>Twitter for iPhone</v>
      </c>
      <c r="L2261" s="16">
        <v>200</v>
      </c>
      <c r="M2261" s="16">
        <v>193</v>
      </c>
      <c r="N2261" s="16">
        <v>0</v>
      </c>
      <c r="O2261" s="17"/>
      <c r="P2261" s="18">
        <v>43262.200312500005</v>
      </c>
      <c r="Q2261" s="7" t="s">
        <v>14746</v>
      </c>
      <c r="R2261" s="7"/>
      <c r="S2261" s="7"/>
      <c r="T2261" s="8"/>
      <c r="U2261" s="19" t="str">
        <f>HYPERLINK("https://pbs.twimg.com/profile_images/1082666196649107456/BGkmYDls.jpg","View")</f>
        <v>View</v>
      </c>
      <c r="V2261" s="8"/>
      <c r="W2261" s="8"/>
      <c r="X2261" s="8"/>
      <c r="Y2261" s="8"/>
      <c r="Z2261" s="8"/>
    </row>
    <row r="2262" spans="1:26" ht="12.75">
      <c r="A2262" s="11">
        <v>43747.222013888888</v>
      </c>
      <c r="B2262" s="12" t="str">
        <f>HYPERLINK("https://twitter.com/yenerykn","@yenerykn")</f>
        <v>@yenerykn</v>
      </c>
      <c r="C2262" s="7" t="s">
        <v>14747</v>
      </c>
      <c r="D2262" s="7" t="s">
        <v>14748</v>
      </c>
      <c r="E2262" s="12" t="str">
        <f>HYPERLINK("https://twitter.com/yenerykn/status/1181907084843061251","1181907084843061251")</f>
        <v>1181907084843061251</v>
      </c>
      <c r="F2262" s="8"/>
      <c r="G2262" s="15"/>
      <c r="H2262" s="8"/>
      <c r="I2262" s="15">
        <v>0</v>
      </c>
      <c r="J2262" s="15">
        <v>0</v>
      </c>
      <c r="K2262" s="12" t="str">
        <f>HYPERLINK("https://mobile.twitter.com","Twitter Web App")</f>
        <v>Twitter Web App</v>
      </c>
      <c r="L2262" s="16">
        <v>24</v>
      </c>
      <c r="M2262" s="16">
        <v>475</v>
      </c>
      <c r="N2262" s="16">
        <v>0</v>
      </c>
      <c r="O2262" s="17"/>
      <c r="P2262" s="18">
        <v>40711.412152777775</v>
      </c>
      <c r="Q2262" s="7"/>
      <c r="R2262" s="7"/>
      <c r="S2262" s="7"/>
      <c r="T2262" s="8"/>
      <c r="U2262" s="19" t="str">
        <f>HYPERLINK("https://pbs.twimg.com/profile_images/1400319159/tav_an.jpg","View")</f>
        <v>View</v>
      </c>
      <c r="V2262" s="8"/>
      <c r="W2262" s="8"/>
      <c r="X2262" s="8"/>
      <c r="Y2262" s="8"/>
      <c r="Z2262" s="8"/>
    </row>
    <row r="2263" spans="1:26" ht="12.75">
      <c r="A2263" s="11">
        <v>43747.221875000003</v>
      </c>
      <c r="B2263" s="12" t="str">
        <f>HYPERLINK("https://twitter.com/koroglu3535","@koroglu3535")</f>
        <v>@koroglu3535</v>
      </c>
      <c r="C2263" s="7" t="s">
        <v>14749</v>
      </c>
      <c r="D2263" s="7" t="s">
        <v>14750</v>
      </c>
      <c r="E2263" s="12" t="str">
        <f>HYPERLINK("https://twitter.com/koroglu3535/status/1181907032879910912","1181907032879910912")</f>
        <v>1181907032879910912</v>
      </c>
      <c r="F2263" s="8"/>
      <c r="G2263" s="15"/>
      <c r="H2263" s="8"/>
      <c r="I2263" s="15">
        <v>0</v>
      </c>
      <c r="J2263" s="15">
        <v>0</v>
      </c>
      <c r="K2263" s="12" t="str">
        <f>HYPERLINK("http://twitter.com/download/android","Twitter for Android")</f>
        <v>Twitter for Android</v>
      </c>
      <c r="L2263" s="16">
        <v>852</v>
      </c>
      <c r="M2263" s="16">
        <v>1177</v>
      </c>
      <c r="N2263" s="16">
        <v>2</v>
      </c>
      <c r="O2263" s="17"/>
      <c r="P2263" s="18">
        <v>41642.61409722222</v>
      </c>
      <c r="Q2263" s="7" t="s">
        <v>313</v>
      </c>
      <c r="R2263" s="7" t="s">
        <v>14751</v>
      </c>
      <c r="S2263" s="7"/>
      <c r="T2263" s="8"/>
      <c r="U2263" s="19" t="str">
        <f>HYPERLINK("https://pbs.twimg.com/profile_images/1148700913290416131/huDIf8So.jpg","View")</f>
        <v>View</v>
      </c>
      <c r="V2263" s="8"/>
      <c r="W2263" s="8"/>
      <c r="X2263" s="8"/>
      <c r="Y2263" s="8"/>
      <c r="Z2263" s="8"/>
    </row>
    <row r="2264" spans="1:26" ht="12.75">
      <c r="A2264" s="11">
        <v>43747.221863425926</v>
      </c>
      <c r="B2264" s="12" t="str">
        <f>HYPERLINK("https://twitter.com/amaguzelyazdim","@amaguzelyazdim")</f>
        <v>@amaguzelyazdim</v>
      </c>
      <c r="C2264" s="7" t="s">
        <v>14752</v>
      </c>
      <c r="D2264" s="7" t="s">
        <v>14753</v>
      </c>
      <c r="E2264" s="12" t="str">
        <f>HYPERLINK("https://twitter.com/amaguzelyazdim/status/1181907030631731205","1181907030631731205")</f>
        <v>1181907030631731205</v>
      </c>
      <c r="F2264" s="8"/>
      <c r="G2264" s="15"/>
      <c r="H2264" s="8"/>
      <c r="I2264" s="15">
        <v>0</v>
      </c>
      <c r="J2264" s="15">
        <v>0</v>
      </c>
      <c r="K2264" s="12" t="str">
        <f>HYPERLINK("https://mobile.twitter.com","Twitter Web App")</f>
        <v>Twitter Web App</v>
      </c>
      <c r="L2264" s="16">
        <v>333</v>
      </c>
      <c r="M2264" s="16">
        <v>286</v>
      </c>
      <c r="N2264" s="16">
        <v>0</v>
      </c>
      <c r="O2264" s="17"/>
      <c r="P2264" s="18">
        <v>43530.915821759263</v>
      </c>
      <c r="Q2264" s="7"/>
      <c r="R2264" s="7" t="s">
        <v>14754</v>
      </c>
      <c r="S2264" s="7"/>
      <c r="T2264" s="8"/>
      <c r="U2264" s="19" t="str">
        <f>HYPERLINK("https://pbs.twimg.com/profile_images/1131802270406983680/JFQpbeq2.png","View")</f>
        <v>View</v>
      </c>
      <c r="V2264" s="8"/>
      <c r="W2264" s="8"/>
      <c r="X2264" s="8"/>
      <c r="Y2264" s="8"/>
      <c r="Z2264" s="8"/>
    </row>
    <row r="2265" spans="1:26" ht="12.75">
      <c r="A2265" s="11">
        <v>43747.22184027778</v>
      </c>
      <c r="B2265" s="12" t="str">
        <f>HYPERLINK("https://twitter.com/serkanderee","@serkanderee")</f>
        <v>@serkanderee</v>
      </c>
      <c r="C2265" s="7" t="s">
        <v>14755</v>
      </c>
      <c r="D2265" s="7" t="s">
        <v>160</v>
      </c>
      <c r="E2265" s="12" t="str">
        <f>HYPERLINK("https://twitter.com/serkanderee/status/1181907021601398784","1181907021601398784")</f>
        <v>1181907021601398784</v>
      </c>
      <c r="F2265" s="8"/>
      <c r="G2265" s="14" t="s">
        <v>14756</v>
      </c>
      <c r="H2265" s="8"/>
      <c r="I2265" s="15">
        <v>0</v>
      </c>
      <c r="J2265" s="15">
        <v>0</v>
      </c>
      <c r="K2265" s="12" t="str">
        <f>HYPERLINK("http://twitter.com/download/android","Twitter for Android")</f>
        <v>Twitter for Android</v>
      </c>
      <c r="L2265" s="16">
        <v>218</v>
      </c>
      <c r="M2265" s="16">
        <v>223</v>
      </c>
      <c r="N2265" s="16">
        <v>0</v>
      </c>
      <c r="O2265" s="17"/>
      <c r="P2265" s="18">
        <v>40466.52407407407</v>
      </c>
      <c r="Q2265" s="7"/>
      <c r="R2265" s="7" t="s">
        <v>14757</v>
      </c>
      <c r="S2265" s="7"/>
      <c r="T2265" s="8"/>
      <c r="U2265" s="19" t="str">
        <f>HYPERLINK("https://pbs.twimg.com/profile_images/830181256939843585/fGXfI4BZ.jpg","View")</f>
        <v>View</v>
      </c>
      <c r="V2265" s="8"/>
      <c r="W2265" s="8"/>
      <c r="X2265" s="8"/>
      <c r="Y2265" s="8"/>
      <c r="Z2265" s="8"/>
    </row>
    <row r="2266" spans="1:26" ht="12.75">
      <c r="A2266" s="11">
        <v>43747.221805555557</v>
      </c>
      <c r="B2266" s="12" t="str">
        <f>HYPERLINK("https://twitter.com/SueltanELTigre","@SueltanELTigre")</f>
        <v>@SueltanELTigre</v>
      </c>
      <c r="C2266" s="7" t="s">
        <v>14758</v>
      </c>
      <c r="D2266" s="7" t="s">
        <v>14759</v>
      </c>
      <c r="E2266" s="12" t="str">
        <f>HYPERLINK("https://twitter.com/SueltanELTigre/status/1181907010574602240","1181907010574602240")</f>
        <v>1181907010574602240</v>
      </c>
      <c r="F2266" s="8"/>
      <c r="G2266" s="14" t="s">
        <v>14760</v>
      </c>
      <c r="H2266" s="8"/>
      <c r="I2266" s="15">
        <v>1</v>
      </c>
      <c r="J2266" s="15">
        <v>15</v>
      </c>
      <c r="K2266" s="12" t="str">
        <f>HYPERLINK("https://mobile.twitter.com","Twitter Web App")</f>
        <v>Twitter Web App</v>
      </c>
      <c r="L2266" s="16">
        <v>5953</v>
      </c>
      <c r="M2266" s="16">
        <v>5846</v>
      </c>
      <c r="N2266" s="16">
        <v>7</v>
      </c>
      <c r="O2266" s="17"/>
      <c r="P2266" s="18">
        <v>43710.171944444446</v>
      </c>
      <c r="Q2266" s="7" t="s">
        <v>14761</v>
      </c>
      <c r="R2266" s="7" t="s">
        <v>14762</v>
      </c>
      <c r="S2266" s="7"/>
      <c r="T2266" s="8"/>
      <c r="U2266" s="19" t="str">
        <f>HYPERLINK("https://pbs.twimg.com/profile_images/1173541311955251202/oBEUfsO8.jpg","View")</f>
        <v>View</v>
      </c>
      <c r="V2266" s="8"/>
      <c r="W2266" s="8"/>
      <c r="X2266" s="8"/>
      <c r="Y2266" s="8"/>
      <c r="Z2266" s="8"/>
    </row>
    <row r="2267" spans="1:26" ht="12.75">
      <c r="A2267" s="11">
        <v>43747.22174768518</v>
      </c>
      <c r="B2267" s="12" t="str">
        <f>HYPERLINK("https://twitter.com/herdogan1995","@herdogan1995")</f>
        <v>@herdogan1995</v>
      </c>
      <c r="C2267" s="7" t="s">
        <v>14763</v>
      </c>
      <c r="D2267" s="7" t="s">
        <v>14764</v>
      </c>
      <c r="E2267" s="12" t="str">
        <f>HYPERLINK("https://twitter.com/herdogan1995/status/1181906988692844546","1181906988692844546")</f>
        <v>1181906988692844546</v>
      </c>
      <c r="F2267" s="8"/>
      <c r="G2267" s="14" t="s">
        <v>14765</v>
      </c>
      <c r="H2267" s="8"/>
      <c r="I2267" s="15">
        <v>0</v>
      </c>
      <c r="J2267" s="15">
        <v>0</v>
      </c>
      <c r="K2267" s="12" t="str">
        <f>HYPERLINK("http://twitter.com/download/android","Twitter for Android")</f>
        <v>Twitter for Android</v>
      </c>
      <c r="L2267" s="16">
        <v>478</v>
      </c>
      <c r="M2267" s="16">
        <v>561</v>
      </c>
      <c r="N2267" s="16">
        <v>6</v>
      </c>
      <c r="O2267" s="17"/>
      <c r="P2267" s="18">
        <v>41035.202152777776</v>
      </c>
      <c r="Q2267" s="7"/>
      <c r="R2267" s="7" t="s">
        <v>14766</v>
      </c>
      <c r="S2267" s="15"/>
      <c r="T2267" s="8"/>
      <c r="U2267" s="19" t="str">
        <f>HYPERLINK("https://pbs.twimg.com/profile_images/879093242394030080/PHZ-viMX.jpg","View")</f>
        <v>View</v>
      </c>
      <c r="V2267" s="8"/>
      <c r="W2267" s="8"/>
      <c r="X2267" s="8"/>
      <c r="Y2267" s="8"/>
      <c r="Z2267" s="8"/>
    </row>
    <row r="2268" spans="1:26" ht="12.75">
      <c r="A2268" s="11">
        <v>43747.221701388888</v>
      </c>
      <c r="B2268" s="12" t="str">
        <f>HYPERLINK("https://twitter.com/Mustafa57957492","@Mustafa57957492")</f>
        <v>@Mustafa57957492</v>
      </c>
      <c r="C2268" s="7" t="s">
        <v>4769</v>
      </c>
      <c r="D2268" s="7" t="s">
        <v>14767</v>
      </c>
      <c r="E2268" s="12" t="str">
        <f>HYPERLINK("https://twitter.com/Mustafa57957492/status/1181906972020559872","1181906972020559872")</f>
        <v>1181906972020559872</v>
      </c>
      <c r="F2268" s="8"/>
      <c r="G2268" s="7"/>
      <c r="H2268" s="8"/>
      <c r="I2268" s="15">
        <v>0</v>
      </c>
      <c r="J2268" s="15">
        <v>0</v>
      </c>
      <c r="K2268" s="12" t="str">
        <f>HYPERLINK("http://twitter.com/download/android","Twitter for Android")</f>
        <v>Twitter for Android</v>
      </c>
      <c r="L2268" s="16">
        <v>3120</v>
      </c>
      <c r="M2268" s="16">
        <v>3705</v>
      </c>
      <c r="N2268" s="16">
        <v>0</v>
      </c>
      <c r="O2268" s="17"/>
      <c r="P2268" s="18">
        <v>43510.354629629626</v>
      </c>
      <c r="Q2268" s="7"/>
      <c r="R2268" s="7" t="s">
        <v>14768</v>
      </c>
      <c r="S2268" s="7"/>
      <c r="T2268" s="8"/>
      <c r="U2268" s="19" t="str">
        <f>HYPERLINK("https://pbs.twimg.com/profile_images/1155616391908745216/Y-jDU0l3.jpg","View")</f>
        <v>View</v>
      </c>
      <c r="V2268" s="8"/>
      <c r="W2268" s="8"/>
      <c r="X2268" s="8"/>
      <c r="Y2268" s="8"/>
      <c r="Z2268" s="8"/>
    </row>
    <row r="2269" spans="1:26" ht="12.75">
      <c r="A2269" s="11">
        <v>43747.221689814818</v>
      </c>
      <c r="B2269" s="12" t="str">
        <f>HYPERLINK("https://twitter.com/istanbulbeyi26","@istanbulbeyi26")</f>
        <v>@istanbulbeyi26</v>
      </c>
      <c r="C2269" s="7" t="s">
        <v>14769</v>
      </c>
      <c r="D2269" s="7" t="s">
        <v>14770</v>
      </c>
      <c r="E2269" s="12" t="str">
        <f>HYPERLINK("https://twitter.com/istanbulbeyi26/status/1181906967767453696","1181906967767453696")</f>
        <v>1181906967767453696</v>
      </c>
      <c r="F2269" s="8"/>
      <c r="G2269" s="14" t="s">
        <v>14771</v>
      </c>
      <c r="H2269" s="8"/>
      <c r="I2269" s="15">
        <v>0</v>
      </c>
      <c r="J2269" s="15">
        <v>1</v>
      </c>
      <c r="K2269" s="12" t="str">
        <f>HYPERLINK("http://twitter.com/download/android","Twitter for Android")</f>
        <v>Twitter for Android</v>
      </c>
      <c r="L2269" s="16">
        <v>2084</v>
      </c>
      <c r="M2269" s="16">
        <v>2128</v>
      </c>
      <c r="N2269" s="16">
        <v>0</v>
      </c>
      <c r="O2269" s="17"/>
      <c r="P2269" s="18">
        <v>42727.569930555561</v>
      </c>
      <c r="Q2269" s="7"/>
      <c r="R2269" s="7" t="s">
        <v>14772</v>
      </c>
      <c r="S2269" s="7"/>
      <c r="T2269" s="8"/>
      <c r="U2269" s="19" t="str">
        <f>HYPERLINK("https://pbs.twimg.com/profile_images/1150061363965898752/aMWcJQAt.jpg","View")</f>
        <v>View</v>
      </c>
      <c r="V2269" s="8"/>
      <c r="W2269" s="8"/>
      <c r="X2269" s="8"/>
      <c r="Y2269" s="8"/>
      <c r="Z2269" s="8"/>
    </row>
    <row r="2270" spans="1:26" ht="12.75">
      <c r="A2270" s="11">
        <v>43747.221493055556</v>
      </c>
      <c r="B2270" s="12" t="str">
        <f>HYPERLINK("https://twitter.com/RasitDenis","@RasitDenis")</f>
        <v>@RasitDenis</v>
      </c>
      <c r="C2270" s="7" t="s">
        <v>14773</v>
      </c>
      <c r="D2270" s="7" t="s">
        <v>14774</v>
      </c>
      <c r="E2270" s="12" t="str">
        <f>HYPERLINK("https://twitter.com/RasitDenis/status/1181906896644689920","1181906896644689920")</f>
        <v>1181906896644689920</v>
      </c>
      <c r="F2270" s="14" t="s">
        <v>14775</v>
      </c>
      <c r="G2270" s="14" t="s">
        <v>14776</v>
      </c>
      <c r="H2270" s="8"/>
      <c r="I2270" s="15">
        <v>0</v>
      </c>
      <c r="J2270" s="15">
        <v>1</v>
      </c>
      <c r="K2270" s="12" t="str">
        <f>HYPERLINK("https://mobile.twitter.com","Twitter Web App")</f>
        <v>Twitter Web App</v>
      </c>
      <c r="L2270" s="16">
        <v>2</v>
      </c>
      <c r="M2270" s="16">
        <v>16</v>
      </c>
      <c r="N2270" s="16">
        <v>0</v>
      </c>
      <c r="O2270" s="17"/>
      <c r="P2270" s="18">
        <v>42876.698113425926</v>
      </c>
      <c r="Q2270" s="7" t="s">
        <v>1850</v>
      </c>
      <c r="R2270" s="7" t="s">
        <v>14777</v>
      </c>
      <c r="S2270" s="14" t="s">
        <v>14778</v>
      </c>
      <c r="T2270" s="8"/>
      <c r="U2270" s="19" t="str">
        <f>HYPERLINK("https://pbs.twimg.com/profile_images/984535930202714117/cSJ3raoC.jpg","View")</f>
        <v>View</v>
      </c>
      <c r="V2270" s="8"/>
      <c r="W2270" s="8"/>
      <c r="X2270" s="8"/>
      <c r="Y2270" s="8"/>
      <c r="Z2270" s="8"/>
    </row>
    <row r="2271" spans="1:26" ht="12.75">
      <c r="A2271" s="11">
        <v>43747.221215277779</v>
      </c>
      <c r="B2271" s="12" t="str">
        <f>HYPERLINK("https://twitter.com/edibali34","@edibali34")</f>
        <v>@edibali34</v>
      </c>
      <c r="C2271" s="7" t="s">
        <v>2327</v>
      </c>
      <c r="D2271" s="7" t="s">
        <v>14779</v>
      </c>
      <c r="E2271" s="12" t="str">
        <f>HYPERLINK("https://twitter.com/edibali34/status/1181906795595472897","1181906795595472897")</f>
        <v>1181906795595472897</v>
      </c>
      <c r="F2271" s="8"/>
      <c r="G2271" s="14" t="s">
        <v>14780</v>
      </c>
      <c r="H2271" s="8"/>
      <c r="I2271" s="15">
        <v>0</v>
      </c>
      <c r="J2271" s="15">
        <v>0</v>
      </c>
      <c r="K2271" s="12" t="str">
        <f>HYPERLINK("http://twitter.com/download/android","Twitter for Android")</f>
        <v>Twitter for Android</v>
      </c>
      <c r="L2271" s="16">
        <v>48</v>
      </c>
      <c r="M2271" s="16">
        <v>54</v>
      </c>
      <c r="N2271" s="16">
        <v>0</v>
      </c>
      <c r="O2271" s="17"/>
      <c r="P2271" s="18">
        <v>43506.597002314811</v>
      </c>
      <c r="Q2271" s="7" t="s">
        <v>313</v>
      </c>
      <c r="R2271" s="7" t="s">
        <v>14781</v>
      </c>
      <c r="S2271" s="7"/>
      <c r="T2271" s="8"/>
      <c r="U2271" s="19" t="str">
        <f>HYPERLINK("https://pbs.twimg.com/profile_images/1151102581445447681/DeXAPxTc.jpg","View")</f>
        <v>View</v>
      </c>
      <c r="V2271" s="8"/>
      <c r="W2271" s="8"/>
      <c r="X2271" s="8"/>
      <c r="Y2271" s="8"/>
      <c r="Z2271" s="8"/>
    </row>
    <row r="2272" spans="1:26" ht="12.75">
      <c r="A2272" s="11">
        <v>43747.221215277779</v>
      </c>
      <c r="B2272" s="12" t="str">
        <f>HYPERLINK("https://twitter.com/GulayYi71139666","@GulayYi71139666")</f>
        <v>@GulayYi71139666</v>
      </c>
      <c r="C2272" s="7" t="s">
        <v>14782</v>
      </c>
      <c r="D2272" s="7" t="s">
        <v>14783</v>
      </c>
      <c r="E2272" s="12" t="str">
        <f>HYPERLINK("https://twitter.com/GulayYi71139666/status/1181906794618245120","1181906794618245120")</f>
        <v>1181906794618245120</v>
      </c>
      <c r="F2272" s="8"/>
      <c r="G2272" s="14" t="s">
        <v>14784</v>
      </c>
      <c r="H2272" s="8"/>
      <c r="I2272" s="15">
        <v>0</v>
      </c>
      <c r="J2272" s="15">
        <v>0</v>
      </c>
      <c r="K2272" s="12" t="str">
        <f>HYPERLINK("https://mobile.twitter.com","Twitter Web App")</f>
        <v>Twitter Web App</v>
      </c>
      <c r="L2272" s="16">
        <v>41</v>
      </c>
      <c r="M2272" s="16">
        <v>44</v>
      </c>
      <c r="N2272" s="16">
        <v>0</v>
      </c>
      <c r="O2272" s="17"/>
      <c r="P2272" s="18">
        <v>43715.446782407409</v>
      </c>
      <c r="Q2272" s="7"/>
      <c r="R2272" s="7"/>
      <c r="S2272" s="7"/>
      <c r="T2272" s="8"/>
      <c r="U2272" s="19" t="str">
        <f>HYPERLINK("https://pbs.twimg.com/profile_images/1181421849017815042/NAMn1O4F.jpg","View")</f>
        <v>View</v>
      </c>
      <c r="V2272" s="8"/>
      <c r="W2272" s="8"/>
      <c r="X2272" s="8"/>
      <c r="Y2272" s="8"/>
      <c r="Z2272" s="8"/>
    </row>
    <row r="2273" spans="1:26" ht="12.75">
      <c r="A2273" s="11">
        <v>43747.221122685187</v>
      </c>
      <c r="B2273" s="12" t="str">
        <f>HYPERLINK("https://twitter.com/chesto52701112","@chesto52701112")</f>
        <v>@chesto52701112</v>
      </c>
      <c r="C2273" s="7" t="s">
        <v>14785</v>
      </c>
      <c r="D2273" s="7" t="s">
        <v>160</v>
      </c>
      <c r="E2273" s="12" t="str">
        <f>HYPERLINK("https://twitter.com/chesto52701112/status/1181906762334703616","1181906762334703616")</f>
        <v>1181906762334703616</v>
      </c>
      <c r="F2273" s="8"/>
      <c r="G2273" s="14" t="s">
        <v>14786</v>
      </c>
      <c r="H2273" s="8"/>
      <c r="I2273" s="15">
        <v>0</v>
      </c>
      <c r="J2273" s="15">
        <v>0</v>
      </c>
      <c r="K2273" s="12" t="str">
        <f>HYPERLINK("https://mobile.twitter.com","Twitter Web App")</f>
        <v>Twitter Web App</v>
      </c>
      <c r="L2273" s="16">
        <v>56</v>
      </c>
      <c r="M2273" s="16">
        <v>96</v>
      </c>
      <c r="N2273" s="16">
        <v>0</v>
      </c>
      <c r="O2273" s="17"/>
      <c r="P2273" s="18">
        <v>43593.540868055556</v>
      </c>
      <c r="Q2273" s="7"/>
      <c r="R2273" s="7" t="s">
        <v>14787</v>
      </c>
      <c r="S2273" s="7"/>
      <c r="T2273" s="8"/>
      <c r="U2273" s="19" t="str">
        <f>HYPERLINK("https://pbs.twimg.com/profile_images/1135653911346470914/PTS9FKxk.jpg","View")</f>
        <v>View</v>
      </c>
      <c r="V2273" s="8"/>
      <c r="W2273" s="8"/>
      <c r="X2273" s="8"/>
      <c r="Y2273" s="8"/>
      <c r="Z2273" s="8"/>
    </row>
    <row r="2274" spans="1:26" ht="12.75">
      <c r="A2274" s="11">
        <v>43747.220995370371</v>
      </c>
      <c r="B2274" s="12" t="str">
        <f>HYPERLINK("https://twitter.com/tunch_tunch","@tunch_tunch")</f>
        <v>@tunch_tunch</v>
      </c>
      <c r="C2274" s="7" t="s">
        <v>14788</v>
      </c>
      <c r="D2274" s="7" t="s">
        <v>14789</v>
      </c>
      <c r="E2274" s="12" t="str">
        <f>HYPERLINK("https://twitter.com/tunch_tunch/status/1181906717443055616","1181906717443055616")</f>
        <v>1181906717443055616</v>
      </c>
      <c r="F2274" s="8"/>
      <c r="G2274" s="14" t="s">
        <v>14790</v>
      </c>
      <c r="H2274" s="8"/>
      <c r="I2274" s="15">
        <v>1</v>
      </c>
      <c r="J2274" s="15">
        <v>4</v>
      </c>
      <c r="K2274" s="12" t="str">
        <f>HYPERLINK("http://twitter.com/download/android","Twitter for Android")</f>
        <v>Twitter for Android</v>
      </c>
      <c r="L2274" s="16">
        <v>654</v>
      </c>
      <c r="M2274" s="16">
        <v>661</v>
      </c>
      <c r="N2274" s="16">
        <v>0</v>
      </c>
      <c r="O2274" s="17"/>
      <c r="P2274" s="18">
        <v>43368.159259259264</v>
      </c>
      <c r="Q2274" s="7"/>
      <c r="R2274" s="7" t="s">
        <v>14791</v>
      </c>
      <c r="S2274" s="7"/>
      <c r="T2274" s="8"/>
      <c r="U2274" s="19" t="str">
        <f>HYPERLINK("https://pbs.twimg.com/profile_images/1044543965880610816/36N0zhk_.jpg","View")</f>
        <v>View</v>
      </c>
      <c r="V2274" s="8"/>
      <c r="W2274" s="8"/>
      <c r="X2274" s="8"/>
      <c r="Y2274" s="8"/>
      <c r="Z2274" s="8"/>
    </row>
    <row r="2275" spans="1:26" ht="12.75">
      <c r="A2275" s="11">
        <v>43747.220972222218</v>
      </c>
      <c r="B2275" s="12" t="str">
        <f>HYPERLINK("https://twitter.com/kocaelitvcomtr","@kocaelitvcomtr")</f>
        <v>@kocaelitvcomtr</v>
      </c>
      <c r="C2275" s="7" t="s">
        <v>14792</v>
      </c>
      <c r="D2275" s="7" t="s">
        <v>14793</v>
      </c>
      <c r="E2275" s="12" t="str">
        <f>HYPERLINK("https://twitter.com/kocaelitvcomtr/status/1181906708714704896","1181906708714704896")</f>
        <v>1181906708714704896</v>
      </c>
      <c r="F2275" s="14" t="s">
        <v>14794</v>
      </c>
      <c r="G2275" s="7"/>
      <c r="H2275" s="8"/>
      <c r="I2275" s="15">
        <v>0</v>
      </c>
      <c r="J2275" s="15">
        <v>1</v>
      </c>
      <c r="K2275" s="12" t="str">
        <f>HYPERLINK("http://twitter.com","Twitter Web Client")</f>
        <v>Twitter Web Client</v>
      </c>
      <c r="L2275" s="16">
        <v>9906</v>
      </c>
      <c r="M2275" s="16">
        <v>55</v>
      </c>
      <c r="N2275" s="16">
        <v>12</v>
      </c>
      <c r="O2275" s="17"/>
      <c r="P2275" s="18">
        <v>40913.057442129633</v>
      </c>
      <c r="Q2275" s="7" t="s">
        <v>8299</v>
      </c>
      <c r="R2275" s="7" t="s">
        <v>14795</v>
      </c>
      <c r="S2275" s="14" t="s">
        <v>14796</v>
      </c>
      <c r="T2275" s="8"/>
      <c r="U2275" s="19" t="str">
        <f>HYPERLINK("https://pbs.twimg.com/profile_images/834004898303840256/EaUzcbSx.jpg","View")</f>
        <v>View</v>
      </c>
      <c r="V2275" s="8"/>
      <c r="W2275" s="8"/>
      <c r="X2275" s="8"/>
      <c r="Y2275" s="8"/>
      <c r="Z2275" s="8"/>
    </row>
    <row r="2276" spans="1:26" ht="12.75">
      <c r="A2276" s="11">
        <v>43747.220902777779</v>
      </c>
      <c r="B2276" s="12" t="str">
        <f>HYPERLINK("https://twitter.com/masor_ali34","@masor_ali34")</f>
        <v>@masor_ali34</v>
      </c>
      <c r="C2276" s="7" t="s">
        <v>14797</v>
      </c>
      <c r="D2276" s="7" t="s">
        <v>160</v>
      </c>
      <c r="E2276" s="12" t="str">
        <f>HYPERLINK("https://twitter.com/masor_ali34/status/1181906682315771904","1181906682315771904")</f>
        <v>1181906682315771904</v>
      </c>
      <c r="F2276" s="8"/>
      <c r="G2276" s="7"/>
      <c r="H2276" s="8"/>
      <c r="I2276" s="15">
        <v>0</v>
      </c>
      <c r="J2276" s="15">
        <v>0</v>
      </c>
      <c r="K2276" s="12" t="str">
        <f>HYPERLINK("https://mobile.twitter.com","Twitter Web App")</f>
        <v>Twitter Web App</v>
      </c>
      <c r="L2276" s="16">
        <v>357</v>
      </c>
      <c r="M2276" s="16">
        <v>760</v>
      </c>
      <c r="N2276" s="16">
        <v>1</v>
      </c>
      <c r="O2276" s="17"/>
      <c r="P2276" s="18">
        <v>42550.608356481476</v>
      </c>
      <c r="Q2276" s="7" t="s">
        <v>8228</v>
      </c>
      <c r="R2276" s="7" t="s">
        <v>14798</v>
      </c>
      <c r="S2276" s="7"/>
      <c r="T2276" s="8"/>
      <c r="U2276" s="19" t="str">
        <f>HYPERLINK("https://pbs.twimg.com/profile_images/1087668171564371968/YbnB2jRE.jpg","View")</f>
        <v>View</v>
      </c>
      <c r="V2276" s="8"/>
      <c r="W2276" s="8"/>
      <c r="X2276" s="8"/>
      <c r="Y2276" s="8"/>
      <c r="Z2276" s="8"/>
    </row>
    <row r="2277" spans="1:26" ht="12.75">
      <c r="A2277" s="11">
        <v>43747.220810185187</v>
      </c>
      <c r="B2277" s="12" t="str">
        <f>HYPERLINK("https://twitter.com/militaristuzm","@militaristuzm")</f>
        <v>@militaristuzm</v>
      </c>
      <c r="C2277" s="7" t="s">
        <v>14799</v>
      </c>
      <c r="D2277" s="7" t="s">
        <v>14800</v>
      </c>
      <c r="E2277" s="12" t="str">
        <f>HYPERLINK("https://twitter.com/militaristuzm/status/1181906649335975937","1181906649335975937")</f>
        <v>1181906649335975937</v>
      </c>
      <c r="F2277" s="8"/>
      <c r="G2277" s="14" t="s">
        <v>14801</v>
      </c>
      <c r="H2277" s="8"/>
      <c r="I2277" s="15">
        <v>1</v>
      </c>
      <c r="J2277" s="15">
        <v>1</v>
      </c>
      <c r="K2277" s="12" t="str">
        <f>HYPERLINK("http://twitter.com/download/android","Twitter for Android")</f>
        <v>Twitter for Android</v>
      </c>
      <c r="L2277" s="16">
        <v>23</v>
      </c>
      <c r="M2277" s="16">
        <v>64</v>
      </c>
      <c r="N2277" s="16">
        <v>0</v>
      </c>
      <c r="O2277" s="17"/>
      <c r="P2277" s="18">
        <v>43719.842615740738</v>
      </c>
      <c r="Q2277" s="7" t="s">
        <v>14802</v>
      </c>
      <c r="R2277" s="7" t="s">
        <v>14803</v>
      </c>
      <c r="S2277" s="7"/>
      <c r="T2277" s="8"/>
      <c r="U2277" s="19" t="str">
        <f>HYPERLINK("https://pbs.twimg.com/profile_images/1172970689650921478/Py1vDvFB.jpg","View")</f>
        <v>View</v>
      </c>
      <c r="V2277" s="8"/>
      <c r="W2277" s="8"/>
      <c r="X2277" s="8"/>
      <c r="Y2277" s="8"/>
      <c r="Z2277" s="8"/>
    </row>
    <row r="2278" spans="1:26" ht="12.75">
      <c r="A2278" s="11">
        <v>43747.220671296294</v>
      </c>
      <c r="B2278" s="12" t="str">
        <f>HYPERLINK("https://twitter.com/Mertnoztrk1","@Mertnoztrk1")</f>
        <v>@Mertnoztrk1</v>
      </c>
      <c r="C2278" s="7" t="s">
        <v>2540</v>
      </c>
      <c r="D2278" s="7" t="s">
        <v>14804</v>
      </c>
      <c r="E2278" s="12" t="str">
        <f>HYPERLINK("https://twitter.com/Mertnoztrk1/status/1181906596651311106","1181906596651311106")</f>
        <v>1181906596651311106</v>
      </c>
      <c r="F2278" s="15"/>
      <c r="G2278" s="14" t="s">
        <v>14805</v>
      </c>
      <c r="H2278" s="8"/>
      <c r="I2278" s="15">
        <v>0</v>
      </c>
      <c r="J2278" s="15">
        <v>2</v>
      </c>
      <c r="K2278" s="12" t="str">
        <f>HYPERLINK("http://twitter.com/download/iphone","Twitter for iPhone")</f>
        <v>Twitter for iPhone</v>
      </c>
      <c r="L2278" s="16">
        <v>23</v>
      </c>
      <c r="M2278" s="16">
        <v>96</v>
      </c>
      <c r="N2278" s="16">
        <v>0</v>
      </c>
      <c r="O2278" s="17"/>
      <c r="P2278" s="18">
        <v>43555.253483796296</v>
      </c>
      <c r="Q2278" s="7"/>
      <c r="R2278" s="7" t="s">
        <v>14806</v>
      </c>
      <c r="S2278" s="7"/>
      <c r="T2278" s="8"/>
      <c r="U2278" s="19" t="str">
        <f>HYPERLINK("https://pbs.twimg.com/profile_images/1159910347328897026/gE7sAnl-.jpg","View")</f>
        <v>View</v>
      </c>
      <c r="V2278" s="8"/>
      <c r="W2278" s="8"/>
      <c r="X2278" s="8"/>
      <c r="Y2278" s="8"/>
      <c r="Z2278" s="8"/>
    </row>
    <row r="2279" spans="1:26" ht="12.75">
      <c r="A2279" s="11">
        <v>43747.220648148148</v>
      </c>
      <c r="B2279" s="12" t="str">
        <f>HYPERLINK("https://twitter.com/serdar_34_","@serdar_34_")</f>
        <v>@serdar_34_</v>
      </c>
      <c r="C2279" s="7" t="s">
        <v>14807</v>
      </c>
      <c r="D2279" s="7" t="s">
        <v>14808</v>
      </c>
      <c r="E2279" s="12" t="str">
        <f>HYPERLINK("https://twitter.com/serdar_34_/status/1181906590145875968","1181906590145875968")</f>
        <v>1181906590145875968</v>
      </c>
      <c r="F2279" s="8"/>
      <c r="G2279" s="14" t="s">
        <v>14809</v>
      </c>
      <c r="H2279" s="8"/>
      <c r="I2279" s="15">
        <v>0</v>
      </c>
      <c r="J2279" s="15">
        <v>0</v>
      </c>
      <c r="K2279" s="12" t="str">
        <f>HYPERLINK("http://twitter.com/download/iphone","Twitter for iPhone")</f>
        <v>Twitter for iPhone</v>
      </c>
      <c r="L2279" s="16">
        <v>370</v>
      </c>
      <c r="M2279" s="16">
        <v>1117</v>
      </c>
      <c r="N2279" s="16">
        <v>2</v>
      </c>
      <c r="O2279" s="20"/>
      <c r="P2279" s="18">
        <v>40986.274930555555</v>
      </c>
      <c r="Q2279" s="7"/>
      <c r="R2279" s="7" t="s">
        <v>14810</v>
      </c>
      <c r="S2279" s="15"/>
      <c r="T2279" s="8"/>
      <c r="U2279" s="19" t="str">
        <f>HYPERLINK("https://pbs.twimg.com/profile_images/1168241102744428544/D1saqtQu.jpg","View")</f>
        <v>View</v>
      </c>
      <c r="V2279" s="8"/>
      <c r="W2279" s="8"/>
      <c r="X2279" s="8"/>
      <c r="Y2279" s="8"/>
      <c r="Z2279" s="8"/>
    </row>
    <row r="2280" spans="1:26" ht="12.75">
      <c r="A2280" s="11">
        <v>43747.220601851848</v>
      </c>
      <c r="B2280" s="12" t="str">
        <f>HYPERLINK("https://twitter.com/kuvva_i","@kuvva_i")</f>
        <v>@kuvva_i</v>
      </c>
      <c r="C2280" s="7" t="s">
        <v>14811</v>
      </c>
      <c r="D2280" s="7" t="s">
        <v>14812</v>
      </c>
      <c r="E2280" s="12" t="str">
        <f>HYPERLINK("https://twitter.com/kuvva_i/status/1181906572072620034","1181906572072620034")</f>
        <v>1181906572072620034</v>
      </c>
      <c r="F2280" s="8"/>
      <c r="G2280" s="15"/>
      <c r="H2280" s="8"/>
      <c r="I2280" s="15">
        <v>0</v>
      </c>
      <c r="J2280" s="15">
        <v>0</v>
      </c>
      <c r="K2280" s="12" t="str">
        <f>HYPERLINK("http://twitter.com/download/android","Twitter for Android")</f>
        <v>Twitter for Android</v>
      </c>
      <c r="L2280" s="16">
        <v>929</v>
      </c>
      <c r="M2280" s="16">
        <v>986</v>
      </c>
      <c r="N2280" s="16">
        <v>0</v>
      </c>
      <c r="O2280" s="17"/>
      <c r="P2280" s="18">
        <v>43515.525868055556</v>
      </c>
      <c r="Q2280" s="7"/>
      <c r="R2280" s="7" t="s">
        <v>14813</v>
      </c>
      <c r="S2280" s="7"/>
      <c r="T2280" s="8"/>
      <c r="U2280" s="19" t="str">
        <f>HYPERLINK("https://pbs.twimg.com/profile_images/1097958791033827328/z9WRYMAT.jpg","View")</f>
        <v>View</v>
      </c>
      <c r="V2280" s="8"/>
      <c r="W2280" s="8"/>
      <c r="X2280" s="8"/>
      <c r="Y2280" s="8"/>
      <c r="Z2280" s="8"/>
    </row>
    <row r="2281" spans="1:26" ht="12.75">
      <c r="A2281" s="11">
        <v>43747.220567129625</v>
      </c>
      <c r="B2281" s="12" t="str">
        <f>HYPERLINK("https://twitter.com/g_for_gulraiz","@g_for_gulraiz")</f>
        <v>@g_for_gulraiz</v>
      </c>
      <c r="C2281" s="7" t="s">
        <v>14814</v>
      </c>
      <c r="D2281" s="7" t="s">
        <v>14815</v>
      </c>
      <c r="E2281" s="12" t="str">
        <f>HYPERLINK("https://twitter.com/g_for_gulraiz/status/1181906560068571136","1181906560068571136")</f>
        <v>1181906560068571136</v>
      </c>
      <c r="F2281" s="14" t="s">
        <v>14816</v>
      </c>
      <c r="G2281" s="14" t="s">
        <v>14817</v>
      </c>
      <c r="H2281" s="8"/>
      <c r="I2281" s="15">
        <v>0</v>
      </c>
      <c r="J2281" s="15">
        <v>0</v>
      </c>
      <c r="K2281" s="12" t="str">
        <f>HYPERLINK("https://mobile.twitter.com","Twitter Web App")</f>
        <v>Twitter Web App</v>
      </c>
      <c r="L2281" s="16">
        <v>1475</v>
      </c>
      <c r="M2281" s="16">
        <v>1555</v>
      </c>
      <c r="N2281" s="16">
        <v>0</v>
      </c>
      <c r="O2281" s="17"/>
      <c r="P2281" s="18">
        <v>43703.013402777782</v>
      </c>
      <c r="Q2281" s="7" t="s">
        <v>14818</v>
      </c>
      <c r="R2281" s="7" t="s">
        <v>14819</v>
      </c>
      <c r="S2281" s="14" t="s">
        <v>14820</v>
      </c>
      <c r="T2281" s="8"/>
      <c r="U2281" s="19" t="str">
        <f>HYPERLINK("https://pbs.twimg.com/profile_images/1180378730096672768/Eo956Ll2.jpg","View")</f>
        <v>View</v>
      </c>
      <c r="V2281" s="8"/>
      <c r="W2281" s="8"/>
      <c r="X2281" s="8"/>
      <c r="Y2281" s="8"/>
      <c r="Z2281" s="8"/>
    </row>
    <row r="2282" spans="1:26" ht="12.75">
      <c r="A2282" s="11">
        <v>43747.220497685186</v>
      </c>
      <c r="B2282" s="12" t="str">
        <f>HYPERLINK("https://twitter.com/erkantagi","@erkantagi")</f>
        <v>@erkantagi</v>
      </c>
      <c r="C2282" s="7" t="s">
        <v>14821</v>
      </c>
      <c r="D2282" s="7" t="s">
        <v>14822</v>
      </c>
      <c r="E2282" s="12" t="str">
        <f>HYPERLINK("https://twitter.com/erkantagi/status/1181906533778636801","1181906533778636801")</f>
        <v>1181906533778636801</v>
      </c>
      <c r="F2282" s="8"/>
      <c r="G2282" s="7"/>
      <c r="H2282" s="8"/>
      <c r="I2282" s="15">
        <v>0</v>
      </c>
      <c r="J2282" s="15">
        <v>1</v>
      </c>
      <c r="K2282" s="12" t="str">
        <f>HYPERLINK("http://twitter.com/download/android","Twitter for Android")</f>
        <v>Twitter for Android</v>
      </c>
      <c r="L2282" s="16">
        <v>2404</v>
      </c>
      <c r="M2282" s="16">
        <v>2753</v>
      </c>
      <c r="N2282" s="16">
        <v>3</v>
      </c>
      <c r="O2282" s="17"/>
      <c r="P2282" s="18">
        <v>40777.987638888888</v>
      </c>
      <c r="Q2282" s="7" t="s">
        <v>313</v>
      </c>
      <c r="R2282" s="7" t="s">
        <v>14823</v>
      </c>
      <c r="S2282" s="7"/>
      <c r="T2282" s="8"/>
      <c r="U2282" s="19" t="str">
        <f>HYPERLINK("https://pbs.twimg.com/profile_images/988809128574373889/bY9sy3Xm.jpg","View")</f>
        <v>View</v>
      </c>
      <c r="V2282" s="8"/>
      <c r="W2282" s="8"/>
      <c r="X2282" s="8"/>
      <c r="Y2282" s="8"/>
      <c r="Z2282" s="8"/>
    </row>
    <row r="2283" spans="1:26" ht="12.75">
      <c r="A2283" s="11">
        <v>43747.220486111109</v>
      </c>
      <c r="B2283" s="12" t="str">
        <f>HYPERLINK("https://twitter.com/EnginGS54","@EnginGS54")</f>
        <v>@EnginGS54</v>
      </c>
      <c r="C2283" s="7" t="s">
        <v>14824</v>
      </c>
      <c r="D2283" s="7" t="s">
        <v>14825</v>
      </c>
      <c r="E2283" s="12" t="str">
        <f>HYPERLINK("https://twitter.com/EnginGS54/status/1181906529693384704","1181906529693384704")</f>
        <v>1181906529693384704</v>
      </c>
      <c r="F2283" s="14" t="s">
        <v>14826</v>
      </c>
      <c r="G2283" s="14" t="s">
        <v>14827</v>
      </c>
      <c r="H2283" s="8"/>
      <c r="I2283" s="15">
        <v>0</v>
      </c>
      <c r="J2283" s="15">
        <v>1</v>
      </c>
      <c r="K2283" s="12" t="str">
        <f>HYPERLINK("https://mobile.twitter.com","Twitter Web App")</f>
        <v>Twitter Web App</v>
      </c>
      <c r="L2283" s="16">
        <v>1862</v>
      </c>
      <c r="M2283" s="16">
        <v>1662</v>
      </c>
      <c r="N2283" s="16">
        <v>1</v>
      </c>
      <c r="O2283" s="17"/>
      <c r="P2283" s="18">
        <v>41263.171886574077</v>
      </c>
      <c r="Q2283" s="7" t="s">
        <v>14828</v>
      </c>
      <c r="R2283" s="7" t="s">
        <v>14829</v>
      </c>
      <c r="S2283" s="7"/>
      <c r="T2283" s="8"/>
      <c r="U2283" s="19" t="str">
        <f>HYPERLINK("https://pbs.twimg.com/profile_images/1033282928573407232/EJIAeFz-.jpg","View")</f>
        <v>View</v>
      </c>
      <c r="V2283" s="8"/>
      <c r="W2283" s="8"/>
      <c r="X2283" s="8"/>
      <c r="Y2283" s="8"/>
      <c r="Z2283" s="8"/>
    </row>
    <row r="2284" spans="1:26" ht="12.75">
      <c r="A2284" s="11">
        <v>43747.220324074078</v>
      </c>
      <c r="B2284" s="12" t="str">
        <f>HYPERLINK("https://twitter.com/Cembuyukkkeciog","@Cembuyukkkeciog")</f>
        <v>@Cembuyukkkeciog</v>
      </c>
      <c r="C2284" s="13" t="s">
        <v>14830</v>
      </c>
      <c r="D2284" s="7" t="s">
        <v>14831</v>
      </c>
      <c r="E2284" s="12" t="str">
        <f>HYPERLINK("https://twitter.com/Cembuyukkkeciog/status/1181906470788571139","1181906470788571139")</f>
        <v>1181906470788571139</v>
      </c>
      <c r="F2284" s="8"/>
      <c r="G2284" s="15"/>
      <c r="H2284" s="8"/>
      <c r="I2284" s="15">
        <v>0</v>
      </c>
      <c r="J2284" s="15">
        <v>1</v>
      </c>
      <c r="K2284" s="12" t="str">
        <f>HYPERLINK("http://twitter.com/download/android","Twitter for Android")</f>
        <v>Twitter for Android</v>
      </c>
      <c r="L2284" s="16">
        <v>159</v>
      </c>
      <c r="M2284" s="16">
        <v>552</v>
      </c>
      <c r="N2284" s="16">
        <v>0</v>
      </c>
      <c r="O2284" s="17"/>
      <c r="P2284" s="18">
        <v>42311.383668981478</v>
      </c>
      <c r="Q2284" s="7" t="s">
        <v>1150</v>
      </c>
      <c r="R2284" s="7" t="s">
        <v>14830</v>
      </c>
      <c r="S2284" s="7"/>
      <c r="T2284" s="8"/>
      <c r="U2284" s="19" t="str">
        <f>HYPERLINK("https://pbs.twimg.com/profile_images/1167164219244130306/6x5jjCWA.jpg","View")</f>
        <v>View</v>
      </c>
      <c r="V2284" s="8"/>
      <c r="W2284" s="8"/>
      <c r="X2284" s="8"/>
      <c r="Y2284" s="8"/>
      <c r="Z2284" s="8"/>
    </row>
    <row r="2285" spans="1:26" ht="12.75">
      <c r="A2285" s="11">
        <v>43747.220312500001</v>
      </c>
      <c r="B2285" s="12" t="str">
        <f>HYPERLINK("https://twitter.com/semih1788","@semih1788")</f>
        <v>@semih1788</v>
      </c>
      <c r="C2285" s="7" t="s">
        <v>14832</v>
      </c>
      <c r="D2285" s="7" t="s">
        <v>14833</v>
      </c>
      <c r="E2285" s="12" t="str">
        <f>HYPERLINK("https://twitter.com/semih1788/status/1181906467517014017","1181906467517014017")</f>
        <v>1181906467517014017</v>
      </c>
      <c r="F2285" s="8"/>
      <c r="G2285" s="14" t="s">
        <v>14834</v>
      </c>
      <c r="H2285" s="8"/>
      <c r="I2285" s="15">
        <v>0</v>
      </c>
      <c r="J2285" s="15">
        <v>2</v>
      </c>
      <c r="K2285" s="12" t="str">
        <f>HYPERLINK("http://twitter.com/download/android","Twitter for Android")</f>
        <v>Twitter for Android</v>
      </c>
      <c r="L2285" s="16">
        <v>51</v>
      </c>
      <c r="M2285" s="16">
        <v>109</v>
      </c>
      <c r="N2285" s="16">
        <v>0</v>
      </c>
      <c r="O2285" s="17"/>
      <c r="P2285" s="18">
        <v>42084.555011574077</v>
      </c>
      <c r="Q2285" s="7"/>
      <c r="R2285" s="7"/>
      <c r="S2285" s="7"/>
      <c r="T2285" s="8"/>
      <c r="U2285" s="19" t="str">
        <f>HYPERLINK("https://pbs.twimg.com/profile_images/1133445077597118464/Hgalj0OU.jpg","View")</f>
        <v>View</v>
      </c>
      <c r="V2285" s="8"/>
      <c r="W2285" s="8"/>
      <c r="X2285" s="8"/>
      <c r="Y2285" s="8"/>
      <c r="Z2285" s="8"/>
    </row>
    <row r="2286" spans="1:26" ht="12.75">
      <c r="A2286" s="11">
        <v>43747.220243055555</v>
      </c>
      <c r="B2286" s="12" t="str">
        <f>HYPERLINK("https://twitter.com/borserman","@borserman")</f>
        <v>@borserman</v>
      </c>
      <c r="C2286" s="7" t="s">
        <v>14835</v>
      </c>
      <c r="D2286" s="7" t="s">
        <v>14836</v>
      </c>
      <c r="E2286" s="12" t="str">
        <f>HYPERLINK("https://twitter.com/borserman/status/1181906444930764800","1181906444930764800")</f>
        <v>1181906444930764800</v>
      </c>
      <c r="F2286" s="14" t="s">
        <v>14837</v>
      </c>
      <c r="G2286" s="14" t="s">
        <v>14838</v>
      </c>
      <c r="H2286" s="8"/>
      <c r="I2286" s="15">
        <v>4</v>
      </c>
      <c r="J2286" s="15">
        <v>58</v>
      </c>
      <c r="K2286" s="12" t="str">
        <f>HYPERLINK("http://twitter.com/download/android","Twitter for Android")</f>
        <v>Twitter for Android</v>
      </c>
      <c r="L2286" s="16">
        <v>10271</v>
      </c>
      <c r="M2286" s="16">
        <v>40</v>
      </c>
      <c r="N2286" s="16">
        <v>81</v>
      </c>
      <c r="O2286" s="17"/>
      <c r="P2286" s="18">
        <v>43303.413275462968</v>
      </c>
      <c r="Q2286" s="7"/>
      <c r="R2286" s="7" t="s">
        <v>14839</v>
      </c>
      <c r="S2286" s="14" t="s">
        <v>14840</v>
      </c>
      <c r="T2286" s="8"/>
      <c r="U2286" s="19" t="str">
        <f>HYPERLINK("https://pbs.twimg.com/profile_images/1080950852418965505/wF2tR-bW.jpg","View")</f>
        <v>View</v>
      </c>
      <c r="V2286" s="8"/>
      <c r="W2286" s="8"/>
      <c r="X2286" s="8"/>
      <c r="Y2286" s="8"/>
      <c r="Z2286" s="8"/>
    </row>
    <row r="2287" spans="1:26" ht="12.75">
      <c r="A2287" s="11">
        <v>43747.220173611116</v>
      </c>
      <c r="B2287" s="12" t="str">
        <f>HYPERLINK("https://twitter.com/anarsistmeddah","@anarsistmeddah")</f>
        <v>@anarsistmeddah</v>
      </c>
      <c r="C2287" s="13" t="s">
        <v>14841</v>
      </c>
      <c r="D2287" s="7" t="s">
        <v>14842</v>
      </c>
      <c r="E2287" s="12" t="str">
        <f>HYPERLINK("https://twitter.com/anarsistmeddah/status/1181906419748102144","1181906419748102144")</f>
        <v>1181906419748102144</v>
      </c>
      <c r="F2287" s="8"/>
      <c r="G2287" s="15"/>
      <c r="H2287" s="8"/>
      <c r="I2287" s="15">
        <v>0</v>
      </c>
      <c r="J2287" s="15">
        <v>0</v>
      </c>
      <c r="K2287" s="12" t="str">
        <f>HYPERLINK("http://twitter.com/download/android","Twitter for Android")</f>
        <v>Twitter for Android</v>
      </c>
      <c r="L2287" s="16">
        <v>29</v>
      </c>
      <c r="M2287" s="16">
        <v>205</v>
      </c>
      <c r="N2287" s="16">
        <v>0</v>
      </c>
      <c r="O2287" s="17"/>
      <c r="P2287" s="18">
        <v>43558.251400462963</v>
      </c>
      <c r="Q2287" s="7"/>
      <c r="R2287" s="7"/>
      <c r="S2287" s="7"/>
      <c r="T2287" s="8"/>
      <c r="U2287" s="19" t="str">
        <f>HYPERLINK("https://pbs.twimg.com/profile_images/1181682834920091650/nHAYIH2H.jpg","View")</f>
        <v>View</v>
      </c>
      <c r="V2287" s="8"/>
      <c r="W2287" s="8"/>
      <c r="X2287" s="8"/>
      <c r="Y2287" s="8"/>
      <c r="Z2287" s="8"/>
    </row>
    <row r="2288" spans="1:26" ht="12.75">
      <c r="A2288" s="11">
        <v>43747.219988425924</v>
      </c>
      <c r="B2288" s="12" t="str">
        <f>HYPERLINK("https://twitter.com/TimuinOzdemir","@TimuinOzdemir")</f>
        <v>@TimuinOzdemir</v>
      </c>
      <c r="C2288" s="7" t="s">
        <v>14843</v>
      </c>
      <c r="D2288" s="7" t="s">
        <v>14844</v>
      </c>
      <c r="E2288" s="12" t="str">
        <f>HYPERLINK("https://twitter.com/TimuinOzdemir/status/1181906350953156608","1181906350953156608")</f>
        <v>1181906350953156608</v>
      </c>
      <c r="F2288" s="8"/>
      <c r="G2288" s="7"/>
      <c r="H2288" s="8"/>
      <c r="I2288" s="15">
        <v>0</v>
      </c>
      <c r="J2288" s="15">
        <v>0</v>
      </c>
      <c r="K2288" s="12" t="str">
        <f>HYPERLINK("http://twitter.com/download/android","Twitter for Android")</f>
        <v>Twitter for Android</v>
      </c>
      <c r="L2288" s="16">
        <v>5</v>
      </c>
      <c r="M2288" s="16">
        <v>41</v>
      </c>
      <c r="N2288" s="16">
        <v>0</v>
      </c>
      <c r="O2288" s="17"/>
      <c r="P2288" s="18">
        <v>41603.204826388886</v>
      </c>
      <c r="Q2288" s="7"/>
      <c r="R2288" s="7"/>
      <c r="S2288" s="7"/>
      <c r="T2288" s="8"/>
      <c r="U2288" s="19" t="str">
        <f>HYPERLINK("https://pbs.twimg.com/profile_images/378800000788640996/e92013873ba6488ad8816871f33fc19c.jpeg","View")</f>
        <v>View</v>
      </c>
      <c r="V2288" s="8"/>
      <c r="W2288" s="8"/>
      <c r="X2288" s="8"/>
      <c r="Y2288" s="8"/>
      <c r="Z2288" s="8"/>
    </row>
    <row r="2289" spans="1:26" ht="12.75">
      <c r="A2289" s="11">
        <v>43747.219930555555</v>
      </c>
      <c r="B2289" s="12" t="str">
        <f>HYPERLINK("https://twitter.com/semafln","@semafln")</f>
        <v>@semafln</v>
      </c>
      <c r="C2289" s="7" t="s">
        <v>14845</v>
      </c>
      <c r="D2289" s="13" t="s">
        <v>14846</v>
      </c>
      <c r="E2289" s="12" t="str">
        <f>HYPERLINK("https://twitter.com/semafln/status/1181906330547838976","1181906330547838976")</f>
        <v>1181906330547838976</v>
      </c>
      <c r="F2289" s="15"/>
      <c r="G2289" s="7"/>
      <c r="H2289" s="8"/>
      <c r="I2289" s="15">
        <v>1</v>
      </c>
      <c r="J2289" s="15">
        <v>7</v>
      </c>
      <c r="K2289" s="12" t="str">
        <f>HYPERLINK("http://twitter.com/download/android","Twitter for Android")</f>
        <v>Twitter for Android</v>
      </c>
      <c r="L2289" s="16">
        <v>60</v>
      </c>
      <c r="M2289" s="16">
        <v>36</v>
      </c>
      <c r="N2289" s="16">
        <v>2</v>
      </c>
      <c r="O2289" s="17"/>
      <c r="P2289" s="18">
        <v>41444.18131944444</v>
      </c>
      <c r="Q2289" s="7" t="s">
        <v>2050</v>
      </c>
      <c r="R2289" s="13" t="s">
        <v>14847</v>
      </c>
      <c r="S2289" s="14" t="s">
        <v>14848</v>
      </c>
      <c r="T2289" s="8"/>
      <c r="U2289" s="19" t="str">
        <f>HYPERLINK("https://pbs.twimg.com/profile_images/1181679285586845704/RIOud8Lf.jpg","View")</f>
        <v>View</v>
      </c>
      <c r="V2289" s="8"/>
      <c r="W2289" s="8"/>
      <c r="X2289" s="8"/>
      <c r="Y2289" s="8"/>
      <c r="Z2289" s="8"/>
    </row>
    <row r="2290" spans="1:26" ht="12.75">
      <c r="A2290" s="11">
        <v>43747.219930555555</v>
      </c>
      <c r="B2290" s="12" t="str">
        <f>HYPERLINK("https://twitter.com/kn0utz","@kn0utz")</f>
        <v>@kn0utz</v>
      </c>
      <c r="C2290" s="7" t="s">
        <v>14849</v>
      </c>
      <c r="D2290" s="7" t="s">
        <v>160</v>
      </c>
      <c r="E2290" s="12" t="str">
        <f>HYPERLINK("https://twitter.com/kn0utz/status/1181906328068984832","1181906328068984832")</f>
        <v>1181906328068984832</v>
      </c>
      <c r="F2290" s="8"/>
      <c r="G2290" s="14" t="s">
        <v>14850</v>
      </c>
      <c r="H2290" s="8"/>
      <c r="I2290" s="15">
        <v>1</v>
      </c>
      <c r="J2290" s="15">
        <v>2</v>
      </c>
      <c r="K2290" s="12" t="str">
        <f>HYPERLINK("http://twitter.com/download/iphone","Twitter for iPhone")</f>
        <v>Twitter for iPhone</v>
      </c>
      <c r="L2290" s="16">
        <v>14</v>
      </c>
      <c r="M2290" s="16">
        <v>36</v>
      </c>
      <c r="N2290" s="16">
        <v>0</v>
      </c>
      <c r="O2290" s="17"/>
      <c r="P2290" s="18">
        <v>43236.228356481486</v>
      </c>
      <c r="Q2290" s="7" t="s">
        <v>14851</v>
      </c>
      <c r="R2290" s="7" t="s">
        <v>14852</v>
      </c>
      <c r="S2290" s="7"/>
      <c r="T2290" s="8"/>
      <c r="U2290" s="19" t="str">
        <f>HYPERLINK("https://pbs.twimg.com/profile_images/1155451783902322690/ekxV17ny.jpg","View")</f>
        <v>View</v>
      </c>
      <c r="V2290" s="8"/>
      <c r="W2290" s="8"/>
      <c r="X2290" s="8"/>
      <c r="Y2290" s="8"/>
      <c r="Z2290" s="8"/>
    </row>
    <row r="2291" spans="1:26" ht="12.75">
      <c r="A2291" s="11">
        <v>43747.219907407409</v>
      </c>
      <c r="B2291" s="12" t="str">
        <f>HYPERLINK("https://twitter.com/kadir_Artut","@kadir_Artut")</f>
        <v>@kadir_Artut</v>
      </c>
      <c r="C2291" s="7" t="s">
        <v>14853</v>
      </c>
      <c r="D2291" s="7" t="s">
        <v>14854</v>
      </c>
      <c r="E2291" s="12" t="str">
        <f>HYPERLINK("https://twitter.com/kadir_Artut/status/1181906322729644032","1181906322729644032")</f>
        <v>1181906322729644032</v>
      </c>
      <c r="F2291" s="15"/>
      <c r="G2291" s="7"/>
      <c r="H2291" s="8"/>
      <c r="I2291" s="15">
        <v>0</v>
      </c>
      <c r="J2291" s="15">
        <v>0</v>
      </c>
      <c r="K2291" s="12" t="str">
        <f>HYPERLINK("http://twitter.com/download/android","Twitter for Android")</f>
        <v>Twitter for Android</v>
      </c>
      <c r="L2291" s="16">
        <v>23</v>
      </c>
      <c r="M2291" s="16">
        <v>86</v>
      </c>
      <c r="N2291" s="16">
        <v>0</v>
      </c>
      <c r="O2291" s="17"/>
      <c r="P2291" s="18">
        <v>41790.081712962965</v>
      </c>
      <c r="Q2291" s="7"/>
      <c r="R2291" s="7"/>
      <c r="S2291" s="7"/>
      <c r="T2291" s="8"/>
      <c r="U2291" s="19" t="str">
        <f>HYPERLINK("https://pbs.twimg.com/profile_images/1135661723199967233/XY22zGwa.jpg","View")</f>
        <v>View</v>
      </c>
      <c r="V2291" s="8"/>
      <c r="W2291" s="8"/>
      <c r="X2291" s="8"/>
      <c r="Y2291" s="8"/>
      <c r="Z2291" s="8"/>
    </row>
    <row r="2292" spans="1:26" ht="12.75">
      <c r="A2292" s="11">
        <v>43747.219884259262</v>
      </c>
      <c r="B2292" s="12" t="str">
        <f>HYPERLINK("https://twitter.com/sozlukteanlam","@sozlukteanlam")</f>
        <v>@sozlukteanlam</v>
      </c>
      <c r="C2292" s="7" t="s">
        <v>14855</v>
      </c>
      <c r="D2292" s="7" t="s">
        <v>14856</v>
      </c>
      <c r="E2292" s="12" t="str">
        <f>HYPERLINK("https://twitter.com/sozlukteanlam/status/1181906311782551552","1181906311782551552")</f>
        <v>1181906311782551552</v>
      </c>
      <c r="F2292" s="15"/>
      <c r="G2292" s="7"/>
      <c r="H2292" s="8"/>
      <c r="I2292" s="15">
        <v>0</v>
      </c>
      <c r="J2292" s="15">
        <v>0</v>
      </c>
      <c r="K2292" s="12" t="str">
        <f>HYPERLINK("http://twitter.com/download/android","Twitter for Android")</f>
        <v>Twitter for Android</v>
      </c>
      <c r="L2292" s="16">
        <v>7</v>
      </c>
      <c r="M2292" s="16">
        <v>2</v>
      </c>
      <c r="N2292" s="16">
        <v>0</v>
      </c>
      <c r="O2292" s="17"/>
      <c r="P2292" s="18">
        <v>43738.60092592593</v>
      </c>
      <c r="Q2292" s="7"/>
      <c r="R2292" s="7" t="s">
        <v>14857</v>
      </c>
      <c r="S2292" s="7"/>
      <c r="T2292" s="8"/>
      <c r="U2292" s="19" t="str">
        <f>HYPERLINK("https://pbs.twimg.com/profile_images/1178787136851582976/LBzuPmKf.jpg","View")</f>
        <v>View</v>
      </c>
      <c r="V2292" s="8"/>
      <c r="W2292" s="8"/>
      <c r="X2292" s="8"/>
      <c r="Y2292" s="8"/>
      <c r="Z2292" s="8"/>
    </row>
    <row r="2293" spans="1:26" ht="12.75">
      <c r="A2293" s="11">
        <v>43747.219733796301</v>
      </c>
      <c r="B2293" s="12" t="str">
        <f>HYPERLINK("https://twitter.com/buyuk_hasret","@buyuk_hasret")</f>
        <v>@buyuk_hasret</v>
      </c>
      <c r="C2293" s="7" t="s">
        <v>14858</v>
      </c>
      <c r="D2293" s="7" t="s">
        <v>14859</v>
      </c>
      <c r="E2293" s="12" t="str">
        <f>HYPERLINK("https://twitter.com/buyuk_hasret/status/1181906256866562049","1181906256866562049")</f>
        <v>1181906256866562049</v>
      </c>
      <c r="F2293" s="8"/>
      <c r="G2293" s="15"/>
      <c r="H2293" s="8"/>
      <c r="I2293" s="15">
        <v>0</v>
      </c>
      <c r="J2293" s="15">
        <v>0</v>
      </c>
      <c r="K2293" s="12" t="str">
        <f>HYPERLINK("http://twitter.com/download/android","Twitter for Android")</f>
        <v>Twitter for Android</v>
      </c>
      <c r="L2293" s="16">
        <v>92</v>
      </c>
      <c r="M2293" s="16">
        <v>319</v>
      </c>
      <c r="N2293" s="16">
        <v>0</v>
      </c>
      <c r="O2293" s="17"/>
      <c r="P2293" s="18">
        <v>42741.03769675926</v>
      </c>
      <c r="Q2293" s="7" t="s">
        <v>313</v>
      </c>
      <c r="R2293" s="7" t="s">
        <v>14860</v>
      </c>
      <c r="S2293" s="15"/>
      <c r="T2293" s="8"/>
      <c r="U2293" s="19" t="str">
        <f>HYPERLINK("https://pbs.twimg.com/profile_images/1169677681597849606/d1NBOIMt.jpg","View")</f>
        <v>View</v>
      </c>
      <c r="V2293" s="8"/>
      <c r="W2293" s="8"/>
      <c r="X2293" s="8"/>
      <c r="Y2293" s="8"/>
      <c r="Z2293" s="8"/>
    </row>
    <row r="2294" spans="1:26" ht="12.75">
      <c r="A2294" s="11">
        <v>43747.219675925924</v>
      </c>
      <c r="B2294" s="12" t="str">
        <f>HYPERLINK("https://twitter.com/gurhansad","@gurhansad")</f>
        <v>@gurhansad</v>
      </c>
      <c r="C2294" s="7" t="s">
        <v>14861</v>
      </c>
      <c r="D2294" s="7" t="s">
        <v>14862</v>
      </c>
      <c r="E2294" s="12" t="str">
        <f>HYPERLINK("https://twitter.com/gurhansad/status/1181906237832794112","1181906237832794112")</f>
        <v>1181906237832794112</v>
      </c>
      <c r="F2294" s="8"/>
      <c r="G2294" s="15"/>
      <c r="H2294" s="8"/>
      <c r="I2294" s="15">
        <v>0</v>
      </c>
      <c r="J2294" s="15">
        <v>0</v>
      </c>
      <c r="K2294" s="12" t="str">
        <f>HYPERLINK("http://twitter.com/download/android","Twitter for Android")</f>
        <v>Twitter for Android</v>
      </c>
      <c r="L2294" s="16">
        <v>64</v>
      </c>
      <c r="M2294" s="16">
        <v>94</v>
      </c>
      <c r="N2294" s="16">
        <v>0</v>
      </c>
      <c r="O2294" s="17"/>
      <c r="P2294" s="18">
        <v>42357.709386574075</v>
      </c>
      <c r="Q2294" s="7" t="s">
        <v>14863</v>
      </c>
      <c r="R2294" s="13" t="s">
        <v>14864</v>
      </c>
      <c r="S2294" s="15"/>
      <c r="T2294" s="8"/>
      <c r="U2294" s="19" t="str">
        <f>HYPERLINK("https://pbs.twimg.com/profile_images/1155493730499137537/sFIgEPkw.jpg","View")</f>
        <v>View</v>
      </c>
      <c r="V2294" s="8"/>
      <c r="W2294" s="8"/>
      <c r="X2294" s="8"/>
      <c r="Y2294" s="8"/>
      <c r="Z2294" s="8"/>
    </row>
    <row r="2295" spans="1:26" ht="12.75">
      <c r="A2295" s="11">
        <v>43747.219664351855</v>
      </c>
      <c r="B2295" s="12" t="str">
        <f>HYPERLINK("https://twitter.com/seyfiakgun","@seyfiakgun")</f>
        <v>@seyfiakgun</v>
      </c>
      <c r="C2295" s="7" t="s">
        <v>14865</v>
      </c>
      <c r="D2295" s="7" t="s">
        <v>14866</v>
      </c>
      <c r="E2295" s="12" t="str">
        <f>HYPERLINK("https://twitter.com/seyfiakgun/status/1181906234452168714","1181906234452168714")</f>
        <v>1181906234452168714</v>
      </c>
      <c r="F2295" s="15"/>
      <c r="G2295" s="14" t="s">
        <v>14867</v>
      </c>
      <c r="H2295" s="8"/>
      <c r="I2295" s="15">
        <v>0</v>
      </c>
      <c r="J2295" s="15">
        <v>0</v>
      </c>
      <c r="K2295" s="12" t="str">
        <f>HYPERLINK("http://twitter.com/download/android","Twitter for Android")</f>
        <v>Twitter for Android</v>
      </c>
      <c r="L2295" s="16">
        <v>4</v>
      </c>
      <c r="M2295" s="16">
        <v>45</v>
      </c>
      <c r="N2295" s="16">
        <v>0</v>
      </c>
      <c r="O2295" s="17"/>
      <c r="P2295" s="18">
        <v>40496.216782407406</v>
      </c>
      <c r="Q2295" s="7" t="s">
        <v>11017</v>
      </c>
      <c r="R2295" s="7"/>
      <c r="S2295" s="15"/>
      <c r="T2295" s="8"/>
      <c r="U2295" s="19" t="str">
        <f>HYPERLINK("https://pbs.twimg.com/profile_images/1154306534031134720/U7HooxKG.jpg","View")</f>
        <v>View</v>
      </c>
      <c r="V2295" s="8"/>
      <c r="W2295" s="8"/>
      <c r="X2295" s="8"/>
      <c r="Y2295" s="8"/>
      <c r="Z2295" s="8"/>
    </row>
    <row r="2296" spans="1:26" ht="12.75">
      <c r="A2296" s="11">
        <v>43747.219363425931</v>
      </c>
      <c r="B2296" s="12" t="str">
        <f>HYPERLINK("https://twitter.com/mollakevseri","@mollakevseri")</f>
        <v>@mollakevseri</v>
      </c>
      <c r="C2296" s="7" t="s">
        <v>14868</v>
      </c>
      <c r="D2296" s="7" t="s">
        <v>14869</v>
      </c>
      <c r="E2296" s="12" t="str">
        <f>HYPERLINK("https://twitter.com/mollakevseri/status/1181906123051454464","1181906123051454464")</f>
        <v>1181906123051454464</v>
      </c>
      <c r="F2296" s="8"/>
      <c r="G2296" s="14" t="s">
        <v>14870</v>
      </c>
      <c r="H2296" s="8"/>
      <c r="I2296" s="15">
        <v>0</v>
      </c>
      <c r="J2296" s="15">
        <v>1</v>
      </c>
      <c r="K2296" s="12" t="str">
        <f>HYPERLINK("http://twitter.com/download/android","Twitter for Android")</f>
        <v>Twitter for Android</v>
      </c>
      <c r="L2296" s="16">
        <v>788</v>
      </c>
      <c r="M2296" s="16">
        <v>164</v>
      </c>
      <c r="N2296" s="16">
        <v>5</v>
      </c>
      <c r="O2296" s="17"/>
      <c r="P2296" s="18">
        <v>41877.975127314814</v>
      </c>
      <c r="Q2296" s="7" t="s">
        <v>14871</v>
      </c>
      <c r="R2296" s="7" t="s">
        <v>14872</v>
      </c>
      <c r="S2296" s="7"/>
      <c r="T2296" s="8"/>
      <c r="U2296" s="19" t="str">
        <f>HYPERLINK("https://pbs.twimg.com/profile_images/1181570307884290049/eZrLP6nD.jpg","View")</f>
        <v>View</v>
      </c>
      <c r="V2296" s="8"/>
      <c r="W2296" s="8"/>
      <c r="X2296" s="8"/>
      <c r="Y2296" s="8"/>
      <c r="Z2296" s="8"/>
    </row>
    <row r="2297" spans="1:26" ht="12.75">
      <c r="A2297" s="11">
        <v>43747.219340277778</v>
      </c>
      <c r="B2297" s="12" t="str">
        <f>HYPERLINK("https://twitter.com/ilhamitprk1","@ilhamitprk1")</f>
        <v>@ilhamitprk1</v>
      </c>
      <c r="C2297" s="7" t="s">
        <v>14873</v>
      </c>
      <c r="D2297" s="7" t="s">
        <v>14874</v>
      </c>
      <c r="E2297" s="12" t="str">
        <f>HYPERLINK("https://twitter.com/ilhamitprk1/status/1181906116281851906","1181906116281851906")</f>
        <v>1181906116281851906</v>
      </c>
      <c r="F2297" s="8"/>
      <c r="G2297" s="14" t="s">
        <v>14875</v>
      </c>
      <c r="H2297" s="8"/>
      <c r="I2297" s="15">
        <v>0</v>
      </c>
      <c r="J2297" s="15">
        <v>1</v>
      </c>
      <c r="K2297" s="12" t="str">
        <f>HYPERLINK("http://twitter.com/download/android","Twitter for Android")</f>
        <v>Twitter for Android</v>
      </c>
      <c r="L2297" s="16">
        <v>35</v>
      </c>
      <c r="M2297" s="16">
        <v>130</v>
      </c>
      <c r="N2297" s="16">
        <v>0</v>
      </c>
      <c r="O2297" s="17"/>
      <c r="P2297" s="18">
        <v>43735.425509259258</v>
      </c>
      <c r="Q2297" s="7"/>
      <c r="R2297" s="7" t="s">
        <v>14876</v>
      </c>
      <c r="S2297" s="7"/>
      <c r="T2297" s="8"/>
      <c r="U2297" s="19" t="str">
        <f>HYPERLINK("https://pbs.twimg.com/profile_images/1177640437374423042/J0BfndmJ.jpg","View")</f>
        <v>View</v>
      </c>
      <c r="V2297" s="8"/>
      <c r="W2297" s="8"/>
      <c r="X2297" s="8"/>
      <c r="Y2297" s="8"/>
      <c r="Z2297" s="8"/>
    </row>
    <row r="2298" spans="1:26" ht="12.75">
      <c r="A2298" s="11">
        <v>43747.219317129631</v>
      </c>
      <c r="B2298" s="12" t="str">
        <f>HYPERLINK("https://twitter.com/MertTunceLL","@MertTunceLL")</f>
        <v>@MertTunceLL</v>
      </c>
      <c r="C2298" s="7" t="s">
        <v>14877</v>
      </c>
      <c r="D2298" s="21" t="s">
        <v>14878</v>
      </c>
      <c r="E2298" s="12" t="str">
        <f>HYPERLINK("https://twitter.com/MertTunceLL/status/1181906108136480770","1181906108136480770")</f>
        <v>1181906108136480770</v>
      </c>
      <c r="F2298" s="8"/>
      <c r="G2298" s="7"/>
      <c r="H2298" s="8"/>
      <c r="I2298" s="15">
        <v>0</v>
      </c>
      <c r="J2298" s="15">
        <v>0</v>
      </c>
      <c r="K2298" s="12" t="str">
        <f>HYPERLINK("http://twitter.com/download/android","Twitter for Android")</f>
        <v>Twitter for Android</v>
      </c>
      <c r="L2298" s="16">
        <v>42</v>
      </c>
      <c r="M2298" s="16">
        <v>163</v>
      </c>
      <c r="N2298" s="16">
        <v>0</v>
      </c>
      <c r="O2298" s="17"/>
      <c r="P2298" s="18">
        <v>40801.629166666666</v>
      </c>
      <c r="Q2298" s="7"/>
      <c r="R2298" s="7" t="s">
        <v>14879</v>
      </c>
      <c r="S2298" s="7"/>
      <c r="T2298" s="8"/>
      <c r="U2298" s="19" t="str">
        <f>HYPERLINK("https://pbs.twimg.com/profile_images/1176263809566162950/ZKzsEK_e.jpg","View")</f>
        <v>View</v>
      </c>
      <c r="V2298" s="8"/>
      <c r="W2298" s="8"/>
      <c r="X2298" s="8"/>
      <c r="Y2298" s="8"/>
      <c r="Z2298" s="8"/>
    </row>
    <row r="2299" spans="1:26" ht="12.75">
      <c r="A2299" s="11">
        <v>43747.219270833331</v>
      </c>
      <c r="B2299" s="12" t="str">
        <f>HYPERLINK("https://twitter.com/karakayahknn","@karakayahknn")</f>
        <v>@karakayahknn</v>
      </c>
      <c r="C2299" s="7" t="s">
        <v>14880</v>
      </c>
      <c r="D2299" s="7" t="s">
        <v>160</v>
      </c>
      <c r="E2299" s="12" t="str">
        <f>HYPERLINK("https://twitter.com/karakayahknn/status/1181906088976891904","1181906088976891904")</f>
        <v>1181906088976891904</v>
      </c>
      <c r="F2299" s="15"/>
      <c r="G2299" s="14" t="s">
        <v>14881</v>
      </c>
      <c r="H2299" s="8"/>
      <c r="I2299" s="15">
        <v>0</v>
      </c>
      <c r="J2299" s="15">
        <v>1</v>
      </c>
      <c r="K2299" s="12" t="str">
        <f>HYPERLINK("http://twitter.com/download/android","Twitter for Android")</f>
        <v>Twitter for Android</v>
      </c>
      <c r="L2299" s="16">
        <v>96</v>
      </c>
      <c r="M2299" s="16">
        <v>179</v>
      </c>
      <c r="N2299" s="16">
        <v>0</v>
      </c>
      <c r="O2299" s="17"/>
      <c r="P2299" s="18">
        <v>42876.103310185186</v>
      </c>
      <c r="Q2299" s="7" t="s">
        <v>1193</v>
      </c>
      <c r="R2299" s="7" t="s">
        <v>14882</v>
      </c>
      <c r="S2299" s="7"/>
      <c r="T2299" s="8"/>
      <c r="U2299" s="19" t="str">
        <f>HYPERLINK("https://pbs.twimg.com/profile_images/1178218003810471936/2i6Ndwh4.jpg","View")</f>
        <v>View</v>
      </c>
      <c r="V2299" s="8"/>
      <c r="W2299" s="8"/>
      <c r="X2299" s="8"/>
      <c r="Y2299" s="8"/>
      <c r="Z2299" s="8"/>
    </row>
    <row r="2300" spans="1:26" ht="12.75">
      <c r="A2300" s="11">
        <v>43747.219247685185</v>
      </c>
      <c r="B2300" s="12" t="str">
        <f>HYPERLINK("https://twitter.com/YafesinKILICI","@YafesinKILICI")</f>
        <v>@YafesinKILICI</v>
      </c>
      <c r="C2300" s="7" t="s">
        <v>14883</v>
      </c>
      <c r="D2300" s="7" t="s">
        <v>14884</v>
      </c>
      <c r="E2300" s="12" t="str">
        <f>HYPERLINK("https://twitter.com/YafesinKILICI/status/1181906081984978945","1181906081984978945")</f>
        <v>1181906081984978945</v>
      </c>
      <c r="F2300" s="8"/>
      <c r="G2300" s="7"/>
      <c r="H2300" s="8"/>
      <c r="I2300" s="15">
        <v>0</v>
      </c>
      <c r="J2300" s="15">
        <v>1</v>
      </c>
      <c r="K2300" s="12" t="str">
        <f>HYPERLINK("https://mobile.twitter.com","Twitter Web App")</f>
        <v>Twitter Web App</v>
      </c>
      <c r="L2300" s="16">
        <v>1258</v>
      </c>
      <c r="M2300" s="16">
        <v>968</v>
      </c>
      <c r="N2300" s="16">
        <v>1</v>
      </c>
      <c r="O2300" s="17"/>
      <c r="P2300" s="18">
        <v>42877.961747685185</v>
      </c>
      <c r="Q2300" s="7" t="s">
        <v>14885</v>
      </c>
      <c r="R2300" s="7" t="s">
        <v>14886</v>
      </c>
      <c r="S2300" s="15"/>
      <c r="T2300" s="8"/>
      <c r="U2300" s="19" t="str">
        <f>HYPERLINK("https://pbs.twimg.com/profile_images/1151398723538358272/m6z5GzdF.png","View")</f>
        <v>View</v>
      </c>
      <c r="V2300" s="8"/>
      <c r="W2300" s="8"/>
      <c r="X2300" s="8"/>
      <c r="Y2300" s="8"/>
      <c r="Z2300" s="8"/>
    </row>
    <row r="2301" spans="1:26" ht="12.75">
      <c r="A2301" s="11">
        <v>43747.219212962962</v>
      </c>
      <c r="B2301" s="12" t="str">
        <f>HYPERLINK("https://twitter.com/sumeyyebarstgn","@sumeyyebarstgn")</f>
        <v>@sumeyyebarstgn</v>
      </c>
      <c r="C2301" s="7" t="s">
        <v>14887</v>
      </c>
      <c r="D2301" s="7" t="s">
        <v>160</v>
      </c>
      <c r="E2301" s="12" t="str">
        <f>HYPERLINK("https://twitter.com/sumeyyebarstgn/status/1181906070362607616","1181906070362607616")</f>
        <v>1181906070362607616</v>
      </c>
      <c r="F2301" s="8"/>
      <c r="G2301" s="14" t="s">
        <v>14888</v>
      </c>
      <c r="H2301" s="8"/>
      <c r="I2301" s="15">
        <v>0</v>
      </c>
      <c r="J2301" s="15">
        <v>1</v>
      </c>
      <c r="K2301" s="12" t="str">
        <f>HYPERLINK("http://twitter.com/download/iphone","Twitter for iPhone")</f>
        <v>Twitter for iPhone</v>
      </c>
      <c r="L2301" s="16">
        <v>28</v>
      </c>
      <c r="M2301" s="16">
        <v>71</v>
      </c>
      <c r="N2301" s="16">
        <v>0</v>
      </c>
      <c r="O2301" s="17"/>
      <c r="P2301" s="18">
        <v>43549.358090277776</v>
      </c>
      <c r="Q2301" s="7"/>
      <c r="R2301" s="7"/>
      <c r="S2301" s="7"/>
      <c r="T2301" s="8"/>
      <c r="U2301" s="19" t="str">
        <f>HYPERLINK("https://pbs.twimg.com/profile_images/1181906743615528961/ka-4LJj6.jpg","View")</f>
        <v>View</v>
      </c>
      <c r="V2301" s="8"/>
      <c r="W2301" s="8"/>
      <c r="X2301" s="8"/>
      <c r="Y2301" s="8"/>
      <c r="Z2301" s="8"/>
    </row>
    <row r="2302" spans="1:26" ht="12.75">
      <c r="A2302" s="11">
        <v>43747.2191087963</v>
      </c>
      <c r="B2302" s="12" t="str">
        <f>HYPERLINK("https://twitter.com/Bkrozkvk","@Bkrozkvk")</f>
        <v>@Bkrozkvk</v>
      </c>
      <c r="C2302" s="7" t="s">
        <v>14889</v>
      </c>
      <c r="D2302" s="7" t="s">
        <v>14890</v>
      </c>
      <c r="E2302" s="12" t="str">
        <f>HYPERLINK("https://twitter.com/Bkrozkvk/status/1181906032903299074","1181906032903299074")</f>
        <v>1181906032903299074</v>
      </c>
      <c r="F2302" s="8"/>
      <c r="G2302" s="7"/>
      <c r="H2302" s="8"/>
      <c r="I2302" s="15">
        <v>0</v>
      </c>
      <c r="J2302" s="15">
        <v>1</v>
      </c>
      <c r="K2302" s="12" t="str">
        <f>HYPERLINK("http://twitter.com/download/iphone","Twitter for iPhone")</f>
        <v>Twitter for iPhone</v>
      </c>
      <c r="L2302" s="16">
        <v>198</v>
      </c>
      <c r="M2302" s="16">
        <v>242</v>
      </c>
      <c r="N2302" s="16">
        <v>0</v>
      </c>
      <c r="O2302" s="17"/>
      <c r="P2302" s="18">
        <v>40753.505266203705</v>
      </c>
      <c r="Q2302" s="7" t="s">
        <v>3210</v>
      </c>
      <c r="R2302" s="7" t="s">
        <v>14891</v>
      </c>
      <c r="S2302" s="7"/>
      <c r="T2302" s="8"/>
      <c r="U2302" s="19" t="str">
        <f>HYPERLINK("https://pbs.twimg.com/profile_images/1179438332532723713/ZBwQwcPZ.jpg","View")</f>
        <v>View</v>
      </c>
      <c r="V2302" s="8"/>
      <c r="W2302" s="8"/>
      <c r="X2302" s="8"/>
      <c r="Y2302" s="8"/>
      <c r="Z2302" s="8"/>
    </row>
    <row r="2303" spans="1:26" ht="12.75">
      <c r="A2303" s="11">
        <v>43747.2190625</v>
      </c>
      <c r="B2303" s="12" t="str">
        <f>HYPERLINK("https://twitter.com/hkn_15","@hkn_15")</f>
        <v>@hkn_15</v>
      </c>
      <c r="C2303" s="7" t="s">
        <v>14880</v>
      </c>
      <c r="D2303" s="7" t="s">
        <v>14892</v>
      </c>
      <c r="E2303" s="12" t="str">
        <f>HYPERLINK("https://twitter.com/hkn_15/status/1181906014469328898","1181906014469328898")</f>
        <v>1181906014469328898</v>
      </c>
      <c r="F2303" s="14" t="s">
        <v>14893</v>
      </c>
      <c r="G2303" s="14" t="s">
        <v>14894</v>
      </c>
      <c r="H2303" s="8"/>
      <c r="I2303" s="15">
        <v>0</v>
      </c>
      <c r="J2303" s="15">
        <v>1</v>
      </c>
      <c r="K2303" s="12" t="str">
        <f>HYPERLINK("http://twitter.com/download/iphone","Twitter for iPhone")</f>
        <v>Twitter for iPhone</v>
      </c>
      <c r="L2303" s="16">
        <v>1091</v>
      </c>
      <c r="M2303" s="16">
        <v>810</v>
      </c>
      <c r="N2303" s="16">
        <v>1</v>
      </c>
      <c r="O2303" s="17"/>
      <c r="P2303" s="18">
        <v>40635.099027777775</v>
      </c>
      <c r="Q2303" s="7"/>
      <c r="R2303" s="7" t="s">
        <v>14895</v>
      </c>
      <c r="S2303" s="15"/>
      <c r="T2303" s="8"/>
      <c r="U2303" s="19" t="str">
        <f>HYPERLINK("https://pbs.twimg.com/profile_images/996832636713750528/rnP8qfAC.jpg","View")</f>
        <v>View</v>
      </c>
      <c r="V2303" s="8"/>
      <c r="W2303" s="8"/>
      <c r="X2303" s="8"/>
      <c r="Y2303" s="8"/>
      <c r="Z2303" s="8"/>
    </row>
    <row r="2304" spans="1:26" ht="12.75">
      <c r="A2304" s="11">
        <v>43747.219039351854</v>
      </c>
      <c r="B2304" s="12" t="str">
        <f>HYPERLINK("https://twitter.com/pckopl","@pckopl")</f>
        <v>@pckopl</v>
      </c>
      <c r="C2304" s="7" t="s">
        <v>14896</v>
      </c>
      <c r="D2304" s="7" t="s">
        <v>14897</v>
      </c>
      <c r="E2304" s="12" t="str">
        <f>HYPERLINK("https://twitter.com/pckopl/status/1181906007280238592","1181906007280238592")</f>
        <v>1181906007280238592</v>
      </c>
      <c r="F2304" s="14" t="s">
        <v>14898</v>
      </c>
      <c r="G2304" s="7"/>
      <c r="H2304" s="8"/>
      <c r="I2304" s="15">
        <v>0</v>
      </c>
      <c r="J2304" s="15">
        <v>1</v>
      </c>
      <c r="K2304" s="12" t="str">
        <f>HYPERLINK("https://ifttt.com","IFTTT")</f>
        <v>IFTTT</v>
      </c>
      <c r="L2304" s="16">
        <v>1</v>
      </c>
      <c r="M2304" s="16">
        <v>10</v>
      </c>
      <c r="N2304" s="16">
        <v>0</v>
      </c>
      <c r="O2304" s="17"/>
      <c r="P2304" s="18">
        <v>42787.920335648145</v>
      </c>
      <c r="Q2304" s="7"/>
      <c r="R2304" s="7"/>
      <c r="S2304" s="15"/>
      <c r="T2304" s="8"/>
      <c r="U2304" s="19" t="str">
        <f>HYPERLINK("https://pbs.twimg.com/profile_images/1181533960670711808/bf0Ji2-r.jpg","View")</f>
        <v>View</v>
      </c>
      <c r="V2304" s="8"/>
      <c r="W2304" s="8"/>
      <c r="X2304" s="8"/>
      <c r="Y2304" s="8"/>
      <c r="Z2304" s="8"/>
    </row>
    <row r="2305" spans="1:26" ht="12.75">
      <c r="A2305" s="11">
        <v>43747.218969907408</v>
      </c>
      <c r="B2305" s="12" t="str">
        <f>HYPERLINK("https://twitter.com/35Belmanaydogan","@35Belmanaydogan")</f>
        <v>@35Belmanaydogan</v>
      </c>
      <c r="C2305" s="7" t="s">
        <v>14899</v>
      </c>
      <c r="D2305" s="7" t="s">
        <v>14900</v>
      </c>
      <c r="E2305" s="12" t="str">
        <f>HYPERLINK("https://twitter.com/35Belmanaydogan/status/1181905980998766592","1181905980998766592")</f>
        <v>1181905980998766592</v>
      </c>
      <c r="F2305" s="8"/>
      <c r="G2305" s="15"/>
      <c r="H2305" s="8"/>
      <c r="I2305" s="15">
        <v>0</v>
      </c>
      <c r="J2305" s="15">
        <v>0</v>
      </c>
      <c r="K2305" s="12" t="str">
        <f>HYPERLINK("http://twitter.com/download/iphone","Twitter for iPhone")</f>
        <v>Twitter for iPhone</v>
      </c>
      <c r="L2305" s="16">
        <v>632</v>
      </c>
      <c r="M2305" s="16">
        <v>686</v>
      </c>
      <c r="N2305" s="16">
        <v>0</v>
      </c>
      <c r="O2305" s="17"/>
      <c r="P2305" s="18">
        <v>41735.624606481484</v>
      </c>
      <c r="Q2305" s="7"/>
      <c r="R2305" s="7"/>
      <c r="S2305" s="7"/>
      <c r="T2305" s="8"/>
      <c r="U2305" s="19" t="str">
        <f>HYPERLINK("https://pbs.twimg.com/profile_images/1163442141818998784/SXmw0FXF.jpg","View")</f>
        <v>View</v>
      </c>
      <c r="V2305" s="8"/>
      <c r="W2305" s="8"/>
      <c r="X2305" s="8"/>
      <c r="Y2305" s="8"/>
      <c r="Z2305" s="8"/>
    </row>
    <row r="2306" spans="1:26" ht="12.75">
      <c r="A2306" s="11">
        <v>43747.218969907408</v>
      </c>
      <c r="B2306" s="12" t="str">
        <f>HYPERLINK("https://twitter.com/BarisOztell","@BarisOztell")</f>
        <v>@BarisOztell</v>
      </c>
      <c r="C2306" s="7" t="s">
        <v>14901</v>
      </c>
      <c r="D2306" s="7" t="s">
        <v>14902</v>
      </c>
      <c r="E2306" s="12" t="str">
        <f>HYPERLINK("https://twitter.com/BarisOztell/status/1181905980721942530","1181905980721942530")</f>
        <v>1181905980721942530</v>
      </c>
      <c r="F2306" s="8"/>
      <c r="G2306" s="14" t="s">
        <v>14903</v>
      </c>
      <c r="H2306" s="8"/>
      <c r="I2306" s="15">
        <v>0</v>
      </c>
      <c r="J2306" s="15">
        <v>1</v>
      </c>
      <c r="K2306" s="12" t="str">
        <f>HYPERLINK("http://twitter.com/download/iphone","Twitter for iPhone")</f>
        <v>Twitter for iPhone</v>
      </c>
      <c r="L2306" s="16">
        <v>147</v>
      </c>
      <c r="M2306" s="16">
        <v>265</v>
      </c>
      <c r="N2306" s="16">
        <v>0</v>
      </c>
      <c r="O2306" s="17"/>
      <c r="P2306" s="18">
        <v>41985.250833333332</v>
      </c>
      <c r="Q2306" s="7" t="s">
        <v>14904</v>
      </c>
      <c r="R2306" s="7" t="s">
        <v>14905</v>
      </c>
      <c r="S2306" s="14" t="s">
        <v>14906</v>
      </c>
      <c r="T2306" s="8"/>
      <c r="U2306" s="19" t="str">
        <f>HYPERLINK("https://pbs.twimg.com/profile_images/1155720860239630336/m-Ew07t7.jpg","View")</f>
        <v>View</v>
      </c>
      <c r="V2306" s="8"/>
      <c r="W2306" s="8"/>
      <c r="X2306" s="8"/>
      <c r="Y2306" s="8"/>
      <c r="Z2306" s="8"/>
    </row>
    <row r="2307" spans="1:26" ht="12.75">
      <c r="A2307" s="11">
        <v>43747.218946759254</v>
      </c>
      <c r="B2307" s="12" t="str">
        <f>HYPERLINK("https://twitter.com/aynnkatya","@aynnkatya")</f>
        <v>@aynnkatya</v>
      </c>
      <c r="C2307" s="7" t="s">
        <v>14907</v>
      </c>
      <c r="D2307" s="7" t="s">
        <v>160</v>
      </c>
      <c r="E2307" s="12" t="str">
        <f>HYPERLINK("https://twitter.com/aynnkatya/status/1181905972018794496","1181905972018794496")</f>
        <v>1181905972018794496</v>
      </c>
      <c r="F2307" s="8"/>
      <c r="G2307" s="14" t="s">
        <v>14908</v>
      </c>
      <c r="H2307" s="8"/>
      <c r="I2307" s="15">
        <v>0</v>
      </c>
      <c r="J2307" s="15">
        <v>2</v>
      </c>
      <c r="K2307" s="12" t="str">
        <f>HYPERLINK("https://mobile.twitter.com","Twitter Web App")</f>
        <v>Twitter Web App</v>
      </c>
      <c r="L2307" s="16">
        <v>1</v>
      </c>
      <c r="M2307" s="16">
        <v>27</v>
      </c>
      <c r="N2307" s="16">
        <v>0</v>
      </c>
      <c r="O2307" s="17"/>
      <c r="P2307" s="18">
        <v>43639.312662037039</v>
      </c>
      <c r="Q2307" s="7"/>
      <c r="R2307" s="7" t="s">
        <v>14909</v>
      </c>
      <c r="S2307" s="7"/>
      <c r="T2307" s="8"/>
      <c r="U2307" s="19" t="str">
        <f>HYPERLINK("https://pbs.twimg.com/profile_images/1173671825001369600/WIw1zew_.jpg","View")</f>
        <v>View</v>
      </c>
      <c r="V2307" s="8"/>
      <c r="W2307" s="8"/>
      <c r="X2307" s="8"/>
      <c r="Y2307" s="8"/>
      <c r="Z2307" s="8"/>
    </row>
    <row r="2308" spans="1:26" ht="12.75">
      <c r="A2308" s="11">
        <v>43747.21876157407</v>
      </c>
      <c r="B2308" s="12" t="str">
        <f>HYPERLINK("https://twitter.com/MFDderler","@MFDderler")</f>
        <v>@MFDderler</v>
      </c>
      <c r="C2308" s="7" t="s">
        <v>14910</v>
      </c>
      <c r="D2308" s="7" t="s">
        <v>14911</v>
      </c>
      <c r="E2308" s="12" t="str">
        <f>HYPERLINK("https://twitter.com/MFDderler/status/1181905907950784512","1181905907950784512")</f>
        <v>1181905907950784512</v>
      </c>
      <c r="F2308" s="8"/>
      <c r="G2308" s="14" t="s">
        <v>14912</v>
      </c>
      <c r="H2308" s="8"/>
      <c r="I2308" s="15">
        <v>0</v>
      </c>
      <c r="J2308" s="15">
        <v>0</v>
      </c>
      <c r="K2308" s="12" t="str">
        <f>HYPERLINK("http://twitter.com/download/iphone","Twitter for iPhone")</f>
        <v>Twitter for iPhone</v>
      </c>
      <c r="L2308" s="16">
        <v>138</v>
      </c>
      <c r="M2308" s="16">
        <v>93</v>
      </c>
      <c r="N2308" s="16">
        <v>0</v>
      </c>
      <c r="O2308" s="17"/>
      <c r="P2308" s="18">
        <v>43073.193182870367</v>
      </c>
      <c r="Q2308" s="7"/>
      <c r="R2308" s="7" t="s">
        <v>14913</v>
      </c>
      <c r="S2308" s="7"/>
      <c r="T2308" s="8"/>
      <c r="U2308" s="19" t="str">
        <f>HYPERLINK("https://pbs.twimg.com/profile_images/1106659084336541697/BzloiKPN.jpg","View")</f>
        <v>View</v>
      </c>
      <c r="V2308" s="8"/>
      <c r="W2308" s="8"/>
      <c r="X2308" s="8"/>
      <c r="Y2308" s="8"/>
      <c r="Z2308" s="8"/>
    </row>
    <row r="2309" spans="1:26" ht="12.75">
      <c r="A2309" s="11">
        <v>43747.21875</v>
      </c>
      <c r="B2309" s="12" t="str">
        <f>HYPERLINK("https://twitter.com/marlon_inceyus","@marlon_inceyus")</f>
        <v>@marlon_inceyus</v>
      </c>
      <c r="C2309" s="7" t="s">
        <v>14914</v>
      </c>
      <c r="D2309" s="7" t="s">
        <v>14915</v>
      </c>
      <c r="E2309" s="12" t="str">
        <f>HYPERLINK("https://twitter.com/marlon_inceyus/status/1181905901566992384","1181905901566992384")</f>
        <v>1181905901566992384</v>
      </c>
      <c r="F2309" s="8"/>
      <c r="G2309" s="14" t="s">
        <v>14916</v>
      </c>
      <c r="H2309" s="8"/>
      <c r="I2309" s="15">
        <v>1</v>
      </c>
      <c r="J2309" s="15">
        <v>10</v>
      </c>
      <c r="K2309" s="12" t="str">
        <f>HYPERLINK("https://mobile.twitter.com","Twitter Web App")</f>
        <v>Twitter Web App</v>
      </c>
      <c r="L2309" s="16">
        <v>3224</v>
      </c>
      <c r="M2309" s="16">
        <v>2387</v>
      </c>
      <c r="N2309" s="16">
        <v>3</v>
      </c>
      <c r="O2309" s="17"/>
      <c r="P2309" s="18">
        <v>43572.57203703704</v>
      </c>
      <c r="Q2309" s="7" t="s">
        <v>287</v>
      </c>
      <c r="R2309" s="7" t="s">
        <v>14917</v>
      </c>
      <c r="S2309" s="7"/>
      <c r="T2309" s="8"/>
      <c r="U2309" s="19" t="str">
        <f>HYPERLINK("https://pbs.twimg.com/profile_images/1179119718545928192/ZXQtMmke.jpg","View")</f>
        <v>View</v>
      </c>
      <c r="V2309" s="8"/>
      <c r="W2309" s="8"/>
      <c r="X2309" s="8"/>
      <c r="Y2309" s="8"/>
      <c r="Z2309" s="8"/>
    </row>
    <row r="2310" spans="1:26" ht="12.75">
      <c r="A2310" s="11">
        <v>43747.218668981484</v>
      </c>
      <c r="B2310" s="12" t="str">
        <f>HYPERLINK("https://twitter.com/seilayhan4","@seilayhan4")</f>
        <v>@seilayhan4</v>
      </c>
      <c r="C2310" s="7" t="s">
        <v>14918</v>
      </c>
      <c r="D2310" s="7" t="s">
        <v>14919</v>
      </c>
      <c r="E2310" s="12" t="str">
        <f>HYPERLINK("https://twitter.com/seilayhan4/status/1181905873834315776","1181905873834315776")</f>
        <v>1181905873834315776</v>
      </c>
      <c r="F2310" s="15"/>
      <c r="G2310" s="7"/>
      <c r="H2310" s="8"/>
      <c r="I2310" s="15">
        <v>0</v>
      </c>
      <c r="J2310" s="15">
        <v>1</v>
      </c>
      <c r="K2310" s="12" t="str">
        <f>HYPERLINK("https://mobile.twitter.com","Twitter Web App")</f>
        <v>Twitter Web App</v>
      </c>
      <c r="L2310" s="16">
        <v>0</v>
      </c>
      <c r="M2310" s="16">
        <v>1</v>
      </c>
      <c r="N2310" s="16">
        <v>0</v>
      </c>
      <c r="O2310" s="17"/>
      <c r="P2310" s="18">
        <v>43746.257048611107</v>
      </c>
      <c r="Q2310" s="7"/>
      <c r="R2310" s="7" t="s">
        <v>14920</v>
      </c>
      <c r="S2310" s="7"/>
      <c r="T2310" s="8"/>
      <c r="U2310" s="19" t="str">
        <f>HYPERLINK("https://pbs.twimg.com/profile_images/1181557439805702145/MLnCz5gK.jpg","View")</f>
        <v>View</v>
      </c>
      <c r="V2310" s="8"/>
      <c r="W2310" s="8"/>
      <c r="X2310" s="8"/>
      <c r="Y2310" s="8"/>
      <c r="Z2310" s="8"/>
    </row>
    <row r="2311" spans="1:26" ht="12.75">
      <c r="A2311" s="11">
        <v>43747.218657407408</v>
      </c>
      <c r="B2311" s="12" t="str">
        <f>HYPERLINK("https://twitter.com/yztbzyky","@yztbzyky")</f>
        <v>@yztbzyky</v>
      </c>
      <c r="C2311" s="7" t="s">
        <v>14921</v>
      </c>
      <c r="D2311" s="7" t="s">
        <v>14922</v>
      </c>
      <c r="E2311" s="12" t="str">
        <f>HYPERLINK("https://twitter.com/yztbzyky/status/1181905868696240129","1181905868696240129")</f>
        <v>1181905868696240129</v>
      </c>
      <c r="F2311" s="8" t="s">
        <v>14923</v>
      </c>
      <c r="G2311" s="7"/>
      <c r="H2311" s="8"/>
      <c r="I2311" s="15">
        <v>0</v>
      </c>
      <c r="J2311" s="15">
        <v>1</v>
      </c>
      <c r="K2311" s="12" t="str">
        <f>HYPERLINK("http://twitter.com/download/android","Twitter for Android")</f>
        <v>Twitter for Android</v>
      </c>
      <c r="L2311" s="16">
        <v>223</v>
      </c>
      <c r="M2311" s="16">
        <v>570</v>
      </c>
      <c r="N2311" s="16">
        <v>1</v>
      </c>
      <c r="O2311" s="17"/>
      <c r="P2311" s="18">
        <v>43597.62908564815</v>
      </c>
      <c r="Q2311" s="7"/>
      <c r="R2311" s="7" t="s">
        <v>14924</v>
      </c>
      <c r="S2311" s="15"/>
      <c r="T2311" s="8"/>
      <c r="U2311" s="19" t="str">
        <f>HYPERLINK("https://pbs.twimg.com/profile_images/1139556804629848065/gbfDTkh4.jpg","View")</f>
        <v>View</v>
      </c>
      <c r="V2311" s="8"/>
      <c r="W2311" s="8"/>
      <c r="X2311" s="8"/>
      <c r="Y2311" s="8"/>
      <c r="Z2311" s="8"/>
    </row>
    <row r="2312" spans="1:26" ht="12.75">
      <c r="A2312" s="11">
        <v>43747.218634259261</v>
      </c>
      <c r="B2312" s="12" t="str">
        <f>HYPERLINK("https://twitter.com/Onur_zr","@Onur_zr")</f>
        <v>@Onur_zr</v>
      </c>
      <c r="C2312" s="7" t="s">
        <v>14925</v>
      </c>
      <c r="D2312" s="7" t="s">
        <v>14926</v>
      </c>
      <c r="E2312" s="12" t="str">
        <f>HYPERLINK("https://twitter.com/Onur_zr/status/1181905861842739201","1181905861842739201")</f>
        <v>1181905861842739201</v>
      </c>
      <c r="F2312" s="8"/>
      <c r="G2312" s="14" t="s">
        <v>14927</v>
      </c>
      <c r="H2312" s="8"/>
      <c r="I2312" s="15">
        <v>0</v>
      </c>
      <c r="J2312" s="15">
        <v>1</v>
      </c>
      <c r="K2312" s="12" t="str">
        <f>HYPERLINK("http://twitter.com/download/iphone","Twitter for iPhone")</f>
        <v>Twitter for iPhone</v>
      </c>
      <c r="L2312" s="16">
        <v>2227</v>
      </c>
      <c r="M2312" s="16">
        <v>407</v>
      </c>
      <c r="N2312" s="16">
        <v>3</v>
      </c>
      <c r="O2312" s="17"/>
      <c r="P2312" s="18">
        <v>41228.309525462959</v>
      </c>
      <c r="Q2312" s="7" t="s">
        <v>200</v>
      </c>
      <c r="R2312" s="7" t="s">
        <v>14928</v>
      </c>
      <c r="S2312" s="14" t="s">
        <v>14929</v>
      </c>
      <c r="T2312" s="8"/>
      <c r="U2312" s="19" t="str">
        <f>HYPERLINK("https://pbs.twimg.com/profile_images/1177554894993154050/8KzbW43V.jpg","View")</f>
        <v>View</v>
      </c>
      <c r="V2312" s="8"/>
      <c r="W2312" s="8"/>
      <c r="X2312" s="8"/>
      <c r="Y2312" s="8"/>
      <c r="Z2312" s="8"/>
    </row>
    <row r="2313" spans="1:26" ht="12.75">
      <c r="A2313" s="11">
        <v>43747.218541666662</v>
      </c>
      <c r="B2313" s="12" t="str">
        <f>HYPERLINK("https://twitter.com/kobiyasam","@kobiyasam")</f>
        <v>@kobiyasam</v>
      </c>
      <c r="C2313" s="7" t="s">
        <v>14930</v>
      </c>
      <c r="D2313" s="7" t="s">
        <v>14931</v>
      </c>
      <c r="E2313" s="12" t="str">
        <f>HYPERLINK("https://twitter.com/kobiyasam/status/1181905826950373377","1181905826950373377")</f>
        <v>1181905826950373377</v>
      </c>
      <c r="F2313" s="8"/>
      <c r="G2313" s="14" t="s">
        <v>14932</v>
      </c>
      <c r="H2313" s="8"/>
      <c r="I2313" s="15">
        <v>0</v>
      </c>
      <c r="J2313" s="15">
        <v>0</v>
      </c>
      <c r="K2313" s="12" t="str">
        <f>HYPERLINK("https://mobile.twitter.com","Twitter Web App")</f>
        <v>Twitter Web App</v>
      </c>
      <c r="L2313" s="16">
        <v>148</v>
      </c>
      <c r="M2313" s="16">
        <v>101</v>
      </c>
      <c r="N2313" s="16">
        <v>1</v>
      </c>
      <c r="O2313" s="17"/>
      <c r="P2313" s="18">
        <v>43641.143414351856</v>
      </c>
      <c r="Q2313" s="7"/>
      <c r="R2313" s="7" t="s">
        <v>14933</v>
      </c>
      <c r="S2313" s="14" t="s">
        <v>14934</v>
      </c>
      <c r="T2313" s="8"/>
      <c r="U2313" s="19" t="str">
        <f>HYPERLINK("https://pbs.twimg.com/profile_images/1173898105244311553/sGm_b7ay.jpg","View")</f>
        <v>View</v>
      </c>
      <c r="V2313" s="8"/>
      <c r="W2313" s="8"/>
      <c r="X2313" s="8"/>
      <c r="Y2313" s="8"/>
      <c r="Z2313" s="8"/>
    </row>
    <row r="2314" spans="1:26" ht="12.75">
      <c r="A2314" s="11">
        <v>43747.218368055561</v>
      </c>
      <c r="B2314" s="12" t="str">
        <f>HYPERLINK("https://twitter.com/bilim101","@bilim101")</f>
        <v>@bilim101</v>
      </c>
      <c r="C2314" s="7" t="s">
        <v>14935</v>
      </c>
      <c r="D2314" s="7" t="s">
        <v>14936</v>
      </c>
      <c r="E2314" s="12" t="str">
        <f>HYPERLINK("https://twitter.com/bilim101/status/1181905765830926337","1181905765830926337")</f>
        <v>1181905765830926337</v>
      </c>
      <c r="F2314" s="8"/>
      <c r="G2314" s="14" t="s">
        <v>14937</v>
      </c>
      <c r="H2314" s="8"/>
      <c r="I2314" s="15">
        <v>0</v>
      </c>
      <c r="J2314" s="15">
        <v>0</v>
      </c>
      <c r="K2314" s="12" t="str">
        <f>HYPERLINK("https://mobile.twitter.com","Twitter Web App")</f>
        <v>Twitter Web App</v>
      </c>
      <c r="L2314" s="16">
        <v>252</v>
      </c>
      <c r="M2314" s="16">
        <v>0</v>
      </c>
      <c r="N2314" s="16">
        <v>4</v>
      </c>
      <c r="O2314" s="17"/>
      <c r="P2314" s="18">
        <v>43588.212997685187</v>
      </c>
      <c r="Q2314" s="7" t="s">
        <v>668</v>
      </c>
      <c r="R2314" s="7" t="s">
        <v>14938</v>
      </c>
      <c r="S2314" s="14" t="s">
        <v>14939</v>
      </c>
      <c r="T2314" s="8"/>
      <c r="U2314" s="19" t="str">
        <f>HYPERLINK("https://pbs.twimg.com/profile_images/1124284209848291328/AhnqvAdX.png","View")</f>
        <v>View</v>
      </c>
      <c r="V2314" s="8"/>
      <c r="W2314" s="8"/>
      <c r="X2314" s="8"/>
      <c r="Y2314" s="8"/>
      <c r="Z2314" s="8"/>
    </row>
    <row r="2315" spans="1:26" ht="12.75">
      <c r="A2315" s="11">
        <v>43747.218090277776</v>
      </c>
      <c r="B2315" s="12" t="str">
        <f>HYPERLINK("https://twitter.com/atsz11174329","@atsz11174329")</f>
        <v>@atsz11174329</v>
      </c>
      <c r="C2315" s="7" t="s">
        <v>14940</v>
      </c>
      <c r="D2315" s="7" t="s">
        <v>160</v>
      </c>
      <c r="E2315" s="12" t="str">
        <f>HYPERLINK("https://twitter.com/atsz11174329/status/1181905661141114880","1181905661141114880")</f>
        <v>1181905661141114880</v>
      </c>
      <c r="F2315" s="8"/>
      <c r="G2315" s="7"/>
      <c r="H2315" s="8"/>
      <c r="I2315" s="15">
        <v>0</v>
      </c>
      <c r="J2315" s="15">
        <v>0</v>
      </c>
      <c r="K2315" s="12" t="str">
        <f>HYPERLINK("https://mobile.twitter.com","Twitter Web App")</f>
        <v>Twitter Web App</v>
      </c>
      <c r="L2315" s="16">
        <v>0</v>
      </c>
      <c r="M2315" s="16">
        <v>33</v>
      </c>
      <c r="N2315" s="16">
        <v>0</v>
      </c>
      <c r="O2315" s="17"/>
      <c r="P2315" s="18">
        <v>43746.124699074076</v>
      </c>
      <c r="Q2315" s="7"/>
      <c r="R2315" s="7"/>
      <c r="S2315" s="7"/>
      <c r="T2315" s="8"/>
      <c r="U2315" s="20" t="s">
        <v>354</v>
      </c>
      <c r="V2315" s="8"/>
      <c r="W2315" s="8"/>
      <c r="X2315" s="8"/>
      <c r="Y2315" s="8"/>
      <c r="Z2315" s="8"/>
    </row>
    <row r="2316" spans="1:26" ht="12.75">
      <c r="A2316" s="11">
        <v>43747.217997685184</v>
      </c>
      <c r="B2316" s="12" t="str">
        <f>HYPERLINK("https://twitter.com/huallahhu1","@huallahhu1")</f>
        <v>@huallahhu1</v>
      </c>
      <c r="C2316" s="7" t="s">
        <v>14941</v>
      </c>
      <c r="D2316" s="7" t="s">
        <v>14942</v>
      </c>
      <c r="E2316" s="12" t="str">
        <f>HYPERLINK("https://twitter.com/huallahhu1/status/1181905631202156544","1181905631202156544")</f>
        <v>1181905631202156544</v>
      </c>
      <c r="F2316" s="8"/>
      <c r="G2316" s="14" t="s">
        <v>14943</v>
      </c>
      <c r="H2316" s="8"/>
      <c r="I2316" s="15">
        <v>0</v>
      </c>
      <c r="J2316" s="15">
        <v>0</v>
      </c>
      <c r="K2316" s="12" t="str">
        <f>HYPERLINK("http://twitter.com/download/android","Twitter for Android")</f>
        <v>Twitter for Android</v>
      </c>
      <c r="L2316" s="16">
        <v>55</v>
      </c>
      <c r="M2316" s="16">
        <v>122</v>
      </c>
      <c r="N2316" s="16">
        <v>0</v>
      </c>
      <c r="O2316" s="17"/>
      <c r="P2316" s="18">
        <v>43734.404513888891</v>
      </c>
      <c r="Q2316" s="7" t="s">
        <v>200</v>
      </c>
      <c r="R2316" s="7" t="s">
        <v>14944</v>
      </c>
      <c r="S2316" s="7"/>
      <c r="T2316" s="8"/>
      <c r="U2316" s="19" t="str">
        <f>HYPERLINK("https://pbs.twimg.com/profile_images/1177264346801610752/Utk5oQJ5.jpg","View")</f>
        <v>View</v>
      </c>
      <c r="V2316" s="8"/>
      <c r="W2316" s="8"/>
      <c r="X2316" s="8"/>
      <c r="Y2316" s="8"/>
      <c r="Z2316" s="8"/>
    </row>
    <row r="2317" spans="1:26" ht="12.75">
      <c r="A2317" s="11">
        <v>43747.217916666668</v>
      </c>
      <c r="B2317" s="12" t="str">
        <f>HYPERLINK("https://twitter.com/__D__Ata__","@__D__Ata__")</f>
        <v>@__D__Ata__</v>
      </c>
      <c r="C2317" s="7" t="s">
        <v>14945</v>
      </c>
      <c r="D2317" s="7" t="s">
        <v>14946</v>
      </c>
      <c r="E2317" s="12" t="str">
        <f>HYPERLINK("https://twitter.com/__D__Ata__/status/1181905602127286273","1181905602127286273")</f>
        <v>1181905602127286273</v>
      </c>
      <c r="F2317" s="8"/>
      <c r="G2317" s="14" t="s">
        <v>14947</v>
      </c>
      <c r="H2317" s="8"/>
      <c r="I2317" s="15">
        <v>0</v>
      </c>
      <c r="J2317" s="15">
        <v>0</v>
      </c>
      <c r="K2317" s="12" t="str">
        <f>HYPERLINK("http://twitter.com/download/android","Twitter for Android")</f>
        <v>Twitter for Android</v>
      </c>
      <c r="L2317" s="16">
        <v>6009</v>
      </c>
      <c r="M2317" s="16">
        <v>5041</v>
      </c>
      <c r="N2317" s="16">
        <v>16</v>
      </c>
      <c r="O2317" s="17"/>
      <c r="P2317" s="18">
        <v>40754.475034722222</v>
      </c>
      <c r="Q2317" s="7"/>
      <c r="R2317" s="7" t="s">
        <v>5454</v>
      </c>
      <c r="S2317" s="7"/>
      <c r="T2317" s="8"/>
      <c r="U2317" s="19" t="str">
        <f>HYPERLINK("https://pbs.twimg.com/profile_images/609706884543737856/4GNeRlK8.jpg","View")</f>
        <v>View</v>
      </c>
      <c r="V2317" s="8"/>
      <c r="W2317" s="8"/>
      <c r="X2317" s="8"/>
      <c r="Y2317" s="8"/>
      <c r="Z2317" s="8"/>
    </row>
    <row r="2318" spans="1:26" ht="12.75">
      <c r="A2318" s="11">
        <v>43747.217812499999</v>
      </c>
      <c r="B2318" s="12" t="str">
        <f>HYPERLINK("https://twitter.com/BilalTa07500044","@BilalTa07500044")</f>
        <v>@BilalTa07500044</v>
      </c>
      <c r="C2318" s="7" t="s">
        <v>14948</v>
      </c>
      <c r="D2318" s="7" t="s">
        <v>14949</v>
      </c>
      <c r="E2318" s="12" t="str">
        <f>HYPERLINK("https://twitter.com/BilalTa07500044/status/1181905561882894336","1181905561882894336")</f>
        <v>1181905561882894336</v>
      </c>
      <c r="F2318" s="8"/>
      <c r="G2318" s="7"/>
      <c r="H2318" s="8"/>
      <c r="I2318" s="15">
        <v>0</v>
      </c>
      <c r="J2318" s="15">
        <v>1</v>
      </c>
      <c r="K2318" s="12" t="str">
        <f>HYPERLINK("http://twitter.com/download/android","Twitter for Android")</f>
        <v>Twitter for Android</v>
      </c>
      <c r="L2318" s="16">
        <v>177</v>
      </c>
      <c r="M2318" s="16">
        <v>627</v>
      </c>
      <c r="N2318" s="16">
        <v>0</v>
      </c>
      <c r="O2318" s="17"/>
      <c r="P2318" s="18">
        <v>43571.249490740738</v>
      </c>
      <c r="Q2318" s="7"/>
      <c r="R2318" s="7" t="s">
        <v>14950</v>
      </c>
      <c r="S2318" s="7"/>
      <c r="T2318" s="8"/>
      <c r="U2318" s="19" t="str">
        <f>HYPERLINK("https://pbs.twimg.com/profile_images/1180545002939781120/a3ukAq3W.jpg","View")</f>
        <v>View</v>
      </c>
      <c r="V2318" s="8"/>
      <c r="W2318" s="8"/>
      <c r="X2318" s="8"/>
      <c r="Y2318" s="8"/>
      <c r="Z2318" s="8"/>
    </row>
    <row r="2319" spans="1:26" ht="12.75">
      <c r="A2319" s="11">
        <v>43747.217812499999</v>
      </c>
      <c r="B2319" s="12" t="str">
        <f>HYPERLINK("https://twitter.com/saftilki","@saftilki")</f>
        <v>@saftilki</v>
      </c>
      <c r="C2319" s="7" t="s">
        <v>14951</v>
      </c>
      <c r="D2319" s="7" t="s">
        <v>14952</v>
      </c>
      <c r="E2319" s="12" t="str">
        <f>HYPERLINK("https://twitter.com/saftilki/status/1181905560574316544","1181905560574316544")</f>
        <v>1181905560574316544</v>
      </c>
      <c r="F2319" s="8"/>
      <c r="G2319" s="14" t="s">
        <v>14953</v>
      </c>
      <c r="H2319" s="8"/>
      <c r="I2319" s="15">
        <v>0</v>
      </c>
      <c r="J2319" s="15">
        <v>0</v>
      </c>
      <c r="K2319" s="12" t="str">
        <f>HYPERLINK("http://twitter.com/download/android","Twitter for Android")</f>
        <v>Twitter for Android</v>
      </c>
      <c r="L2319" s="16">
        <v>758</v>
      </c>
      <c r="M2319" s="16">
        <v>305</v>
      </c>
      <c r="N2319" s="16">
        <v>2</v>
      </c>
      <c r="O2319" s="17"/>
      <c r="P2319" s="18">
        <v>40143.190810185188</v>
      </c>
      <c r="Q2319" s="7" t="s">
        <v>12649</v>
      </c>
      <c r="R2319" s="7" t="s">
        <v>14954</v>
      </c>
      <c r="S2319" s="7"/>
      <c r="T2319" s="8"/>
      <c r="U2319" s="19" t="str">
        <f>HYPERLINK("https://pbs.twimg.com/profile_images/1131462811534671872/ns1M9jQH.jpg","View")</f>
        <v>View</v>
      </c>
      <c r="V2319" s="8"/>
      <c r="W2319" s="8"/>
      <c r="X2319" s="8"/>
      <c r="Y2319" s="8"/>
      <c r="Z2319" s="8"/>
    </row>
    <row r="2320" spans="1:26" ht="12.75">
      <c r="A2320" s="11">
        <v>43747.217789351853</v>
      </c>
      <c r="B2320" s="12" t="str">
        <f>HYPERLINK("https://twitter.com/Trofr2","@Trofr2")</f>
        <v>@Trofr2</v>
      </c>
      <c r="C2320" s="7" t="s">
        <v>14955</v>
      </c>
      <c r="D2320" s="7" t="s">
        <v>14956</v>
      </c>
      <c r="E2320" s="12" t="str">
        <f>HYPERLINK("https://twitter.com/Trofr2/status/1181905553976709121","1181905553976709121")</f>
        <v>1181905553976709121</v>
      </c>
      <c r="F2320" s="8"/>
      <c r="G2320" s="14" t="s">
        <v>14957</v>
      </c>
      <c r="H2320" s="8"/>
      <c r="I2320" s="15">
        <v>1</v>
      </c>
      <c r="J2320" s="15">
        <v>1</v>
      </c>
      <c r="K2320" s="12" t="str">
        <f>HYPERLINK("http://twitter.com/download/android","Twitter for Android")</f>
        <v>Twitter for Android</v>
      </c>
      <c r="L2320" s="16">
        <v>315</v>
      </c>
      <c r="M2320" s="16">
        <v>243</v>
      </c>
      <c r="N2320" s="16">
        <v>0</v>
      </c>
      <c r="O2320" s="17"/>
      <c r="P2320" s="18">
        <v>43508.178217592591</v>
      </c>
      <c r="Q2320" s="7"/>
      <c r="R2320" s="7" t="s">
        <v>14958</v>
      </c>
      <c r="S2320" s="7"/>
      <c r="T2320" s="8"/>
      <c r="U2320" s="19" t="str">
        <f>HYPERLINK("https://pbs.twimg.com/profile_images/1180814948429172736/fMB4NzAN.jpg","View")</f>
        <v>View</v>
      </c>
      <c r="V2320" s="8"/>
      <c r="W2320" s="8"/>
      <c r="X2320" s="8"/>
      <c r="Y2320" s="8"/>
      <c r="Z2320" s="8"/>
    </row>
    <row r="2321" spans="1:26" ht="12.75">
      <c r="A2321" s="11">
        <v>43747.217777777776</v>
      </c>
      <c r="B2321" s="12" t="str">
        <f>HYPERLINK("https://twitter.com/umutceyh","@umutceyh")</f>
        <v>@umutceyh</v>
      </c>
      <c r="C2321" s="7" t="s">
        <v>14959</v>
      </c>
      <c r="D2321" s="7" t="s">
        <v>14960</v>
      </c>
      <c r="E2321" s="12" t="str">
        <f>HYPERLINK("https://twitter.com/umutceyh/status/1181905550549889024","1181905550549889024")</f>
        <v>1181905550549889024</v>
      </c>
      <c r="F2321" s="8"/>
      <c r="G2321" s="14" t="s">
        <v>14961</v>
      </c>
      <c r="H2321" s="8"/>
      <c r="I2321" s="15">
        <v>0</v>
      </c>
      <c r="J2321" s="15">
        <v>0</v>
      </c>
      <c r="K2321" s="12" t="str">
        <f>HYPERLINK("https://mobile.twitter.com","Twitter Web App")</f>
        <v>Twitter Web App</v>
      </c>
      <c r="L2321" s="16">
        <v>47</v>
      </c>
      <c r="M2321" s="16">
        <v>199</v>
      </c>
      <c r="N2321" s="16">
        <v>0</v>
      </c>
      <c r="O2321" s="17"/>
      <c r="P2321" s="18">
        <v>43312.986979166672</v>
      </c>
      <c r="Q2321" s="7"/>
      <c r="R2321" s="7" t="s">
        <v>14962</v>
      </c>
      <c r="S2321" s="7"/>
      <c r="T2321" s="8"/>
      <c r="U2321" s="19" t="str">
        <f>HYPERLINK("https://pbs.twimg.com/profile_images/1118443002127638528/5YjjJ2tt.png","View")</f>
        <v>View</v>
      </c>
      <c r="V2321" s="8"/>
      <c r="W2321" s="8"/>
      <c r="X2321" s="8"/>
      <c r="Y2321" s="8"/>
      <c r="Z2321" s="8"/>
    </row>
    <row r="2322" spans="1:26" ht="12.75">
      <c r="A2322" s="11">
        <v>43747.217731481476</v>
      </c>
      <c r="B2322" s="12" t="str">
        <f>HYPERLINK("https://twitter.com/Mesnevi60369166","@Mesnevi60369166")</f>
        <v>@Mesnevi60369166</v>
      </c>
      <c r="C2322" s="7" t="s">
        <v>14963</v>
      </c>
      <c r="D2322" s="7" t="s">
        <v>14964</v>
      </c>
      <c r="E2322" s="12" t="str">
        <f>HYPERLINK("https://twitter.com/Mesnevi60369166/status/1181905534921912320","1181905534921912320")</f>
        <v>1181905534921912320</v>
      </c>
      <c r="F2322" s="8"/>
      <c r="G2322" s="14" t="s">
        <v>14965</v>
      </c>
      <c r="H2322" s="8"/>
      <c r="I2322" s="15">
        <v>0</v>
      </c>
      <c r="J2322" s="15">
        <v>1</v>
      </c>
      <c r="K2322" s="12" t="str">
        <f>HYPERLINK("http://twitter.com/download/android","Twitter for Android")</f>
        <v>Twitter for Android</v>
      </c>
      <c r="L2322" s="16">
        <v>30</v>
      </c>
      <c r="M2322" s="16">
        <v>118</v>
      </c>
      <c r="N2322" s="16">
        <v>0</v>
      </c>
      <c r="O2322" s="17"/>
      <c r="P2322" s="18">
        <v>43559.151458333334</v>
      </c>
      <c r="Q2322" s="7" t="s">
        <v>14966</v>
      </c>
      <c r="R2322" s="7" t="s">
        <v>14967</v>
      </c>
      <c r="S2322" s="7"/>
      <c r="T2322" s="8"/>
      <c r="U2322" s="19" t="str">
        <f>HYPERLINK("https://pbs.twimg.com/profile_images/1180448896524455936/ctTmJL69.jpg","View")</f>
        <v>View</v>
      </c>
      <c r="V2322" s="8"/>
      <c r="W2322" s="8"/>
      <c r="X2322" s="8"/>
      <c r="Y2322" s="8"/>
      <c r="Z2322" s="8"/>
    </row>
    <row r="2323" spans="1:26" ht="12.75">
      <c r="A2323" s="11">
        <v>43747.217731481476</v>
      </c>
      <c r="B2323" s="12" t="str">
        <f>HYPERLINK("https://twitter.com/timuralp2023","@timuralp2023")</f>
        <v>@timuralp2023</v>
      </c>
      <c r="C2323" s="7" t="s">
        <v>14968</v>
      </c>
      <c r="D2323" s="7" t="s">
        <v>14969</v>
      </c>
      <c r="E2323" s="12" t="str">
        <f>HYPERLINK("https://twitter.com/timuralp2023/status/1181905534091481088","1181905534091481088")</f>
        <v>1181905534091481088</v>
      </c>
      <c r="F2323" s="8"/>
      <c r="G2323" s="14" t="s">
        <v>14970</v>
      </c>
      <c r="H2323" s="8"/>
      <c r="I2323" s="15">
        <v>0</v>
      </c>
      <c r="J2323" s="15">
        <v>0</v>
      </c>
      <c r="K2323" s="12" t="str">
        <f>HYPERLINK("http://twitter.com/download/iphone","Twitter for iPhone")</f>
        <v>Twitter for iPhone</v>
      </c>
      <c r="L2323" s="16">
        <v>524</v>
      </c>
      <c r="M2323" s="16">
        <v>534</v>
      </c>
      <c r="N2323" s="16">
        <v>0</v>
      </c>
      <c r="O2323" s="17"/>
      <c r="P2323" s="18">
        <v>42827.281273148154</v>
      </c>
      <c r="Q2323" s="7"/>
      <c r="R2323" s="7" t="s">
        <v>14971</v>
      </c>
      <c r="S2323" s="15"/>
      <c r="T2323" s="8"/>
      <c r="U2323" s="19" t="str">
        <f>HYPERLINK("https://pbs.twimg.com/profile_images/1168591487585738752/dThOHZqH.jpg","View")</f>
        <v>View</v>
      </c>
      <c r="V2323" s="8"/>
      <c r="W2323" s="8"/>
      <c r="X2323" s="8"/>
      <c r="Y2323" s="8"/>
      <c r="Z2323" s="8"/>
    </row>
    <row r="2324" spans="1:26" ht="12.75">
      <c r="A2324" s="11">
        <v>43747.21769675926</v>
      </c>
      <c r="B2324" s="12" t="str">
        <f>HYPERLINK("https://twitter.com/AlpTegin06","@AlpTegin06")</f>
        <v>@AlpTegin06</v>
      </c>
      <c r="C2324" s="7" t="s">
        <v>14972</v>
      </c>
      <c r="D2324" s="7" t="s">
        <v>14973</v>
      </c>
      <c r="E2324" s="12" t="str">
        <f>HYPERLINK("https://twitter.com/AlpTegin06/status/1181905520455749633","1181905520455749633")</f>
        <v>1181905520455749633</v>
      </c>
      <c r="F2324" s="8"/>
      <c r="G2324" s="7"/>
      <c r="H2324" s="8"/>
      <c r="I2324" s="15">
        <v>1</v>
      </c>
      <c r="J2324" s="15">
        <v>0</v>
      </c>
      <c r="K2324" s="12" t="str">
        <f>HYPERLINK("http://twitter.com/download/android","Twitter for Android")</f>
        <v>Twitter for Android</v>
      </c>
      <c r="L2324" s="16">
        <v>783</v>
      </c>
      <c r="M2324" s="16">
        <v>570</v>
      </c>
      <c r="N2324" s="16">
        <v>1</v>
      </c>
      <c r="O2324" s="17"/>
      <c r="P2324" s="18">
        <v>42581.20244212963</v>
      </c>
      <c r="Q2324" s="7"/>
      <c r="R2324" s="7" t="s">
        <v>14974</v>
      </c>
      <c r="S2324" s="15"/>
      <c r="T2324" s="8"/>
      <c r="U2324" s="19" t="str">
        <f>HYPERLINK("https://pbs.twimg.com/profile_images/759360849832251397/ZKSFR9Ze.jpg","View")</f>
        <v>View</v>
      </c>
      <c r="V2324" s="8"/>
      <c r="W2324" s="8"/>
      <c r="X2324" s="8"/>
      <c r="Y2324" s="8"/>
      <c r="Z2324" s="8"/>
    </row>
    <row r="2325" spans="1:26" ht="12.75">
      <c r="A2325" s="11">
        <v>43747.217662037037</v>
      </c>
      <c r="B2325" s="12" t="str">
        <f>HYPERLINK("https://twitter.com/Yengec1907","@Yengec1907")</f>
        <v>@Yengec1907</v>
      </c>
      <c r="C2325" s="7" t="s">
        <v>14975</v>
      </c>
      <c r="D2325" s="7" t="s">
        <v>14976</v>
      </c>
      <c r="E2325" s="12" t="str">
        <f>HYPERLINK("https://twitter.com/Yengec1907/status/1181905508158115840","1181905508158115840")</f>
        <v>1181905508158115840</v>
      </c>
      <c r="F2325" s="8"/>
      <c r="G2325" s="14" t="s">
        <v>14977</v>
      </c>
      <c r="H2325" s="8"/>
      <c r="I2325" s="15">
        <v>0</v>
      </c>
      <c r="J2325" s="15">
        <v>0</v>
      </c>
      <c r="K2325" s="12" t="str">
        <f>HYPERLINK("https://mobile.twitter.com","Twitter Web App")</f>
        <v>Twitter Web App</v>
      </c>
      <c r="L2325" s="16">
        <v>10070</v>
      </c>
      <c r="M2325" s="16">
        <v>8046</v>
      </c>
      <c r="N2325" s="16">
        <v>16</v>
      </c>
      <c r="O2325" s="17"/>
      <c r="P2325" s="18">
        <v>39971.291898148149</v>
      </c>
      <c r="Q2325" s="7" t="s">
        <v>14978</v>
      </c>
      <c r="R2325" s="7" t="s">
        <v>14979</v>
      </c>
      <c r="S2325" s="14" t="s">
        <v>14980</v>
      </c>
      <c r="T2325" s="8"/>
      <c r="U2325" s="19" t="str">
        <f>HYPERLINK("https://pbs.twimg.com/profile_images/1042036288076107776/iCqQEFTA.jpg","View")</f>
        <v>View</v>
      </c>
      <c r="V2325" s="8"/>
      <c r="W2325" s="8"/>
      <c r="X2325" s="8"/>
      <c r="Y2325" s="8"/>
      <c r="Z2325" s="8"/>
    </row>
    <row r="2326" spans="1:26" ht="12.75">
      <c r="A2326" s="11">
        <v>43747.217546296291</v>
      </c>
      <c r="B2326" s="12" t="str">
        <f>HYPERLINK("https://twitter.com/UnalSeymen","@UnalSeymen")</f>
        <v>@UnalSeymen</v>
      </c>
      <c r="C2326" s="7" t="s">
        <v>14981</v>
      </c>
      <c r="D2326" s="7" t="s">
        <v>14982</v>
      </c>
      <c r="E2326" s="12" t="str">
        <f>HYPERLINK("https://twitter.com/UnalSeymen/status/1181905466185715712","1181905466185715712")</f>
        <v>1181905466185715712</v>
      </c>
      <c r="F2326" s="8"/>
      <c r="G2326" s="14" t="s">
        <v>14983</v>
      </c>
      <c r="H2326" s="8"/>
      <c r="I2326" s="15">
        <v>0</v>
      </c>
      <c r="J2326" s="15">
        <v>0</v>
      </c>
      <c r="K2326" s="12" t="str">
        <f>HYPERLINK("http://twitter.com/download/iphone","Twitter for iPhone")</f>
        <v>Twitter for iPhone</v>
      </c>
      <c r="L2326" s="16">
        <v>112</v>
      </c>
      <c r="M2326" s="16">
        <v>26</v>
      </c>
      <c r="N2326" s="16">
        <v>0</v>
      </c>
      <c r="O2326" s="17"/>
      <c r="P2326" s="18">
        <v>41692.232916666668</v>
      </c>
      <c r="Q2326" s="7" t="s">
        <v>12616</v>
      </c>
      <c r="R2326" s="7"/>
      <c r="S2326" s="14" t="s">
        <v>14984</v>
      </c>
      <c r="T2326" s="8"/>
      <c r="U2326" s="19" t="str">
        <f>HYPERLINK("https://pbs.twimg.com/profile_images/1007117125377503232/ctGIZZrH.jpg","View")</f>
        <v>View</v>
      </c>
      <c r="V2326" s="8"/>
      <c r="W2326" s="8"/>
      <c r="X2326" s="8"/>
      <c r="Y2326" s="8"/>
      <c r="Z2326" s="8"/>
    </row>
    <row r="2327" spans="1:26" ht="12.75">
      <c r="A2327" s="11">
        <v>43747.217523148152</v>
      </c>
      <c r="B2327" s="12" t="str">
        <f>HYPERLINK("https://twitter.com/Osman39365934","@Osman39365934")</f>
        <v>@Osman39365934</v>
      </c>
      <c r="C2327" s="7" t="s">
        <v>4124</v>
      </c>
      <c r="D2327" s="7" t="s">
        <v>14985</v>
      </c>
      <c r="E2327" s="12" t="str">
        <f>HYPERLINK("https://twitter.com/Osman39365934/status/1181905458531115008","1181905458531115008")</f>
        <v>1181905458531115008</v>
      </c>
      <c r="F2327" s="8"/>
      <c r="G2327" s="7"/>
      <c r="H2327" s="8"/>
      <c r="I2327" s="15">
        <v>0</v>
      </c>
      <c r="J2327" s="15">
        <v>0</v>
      </c>
      <c r="K2327" s="12" t="str">
        <f>HYPERLINK("http://twitter.com/download/android","Twitter for Android")</f>
        <v>Twitter for Android</v>
      </c>
      <c r="L2327" s="16">
        <v>27</v>
      </c>
      <c r="M2327" s="16">
        <v>126</v>
      </c>
      <c r="N2327" s="16">
        <v>0</v>
      </c>
      <c r="O2327" s="17"/>
      <c r="P2327" s="18">
        <v>43398.331284722226</v>
      </c>
      <c r="Q2327" s="7"/>
      <c r="R2327" s="13"/>
      <c r="S2327" s="7"/>
      <c r="T2327" s="8"/>
      <c r="U2327" s="19" t="str">
        <f>HYPERLINK("https://pbs.twimg.com/profile_images/1055891507801141248/4ZVv34aS.jpg","View")</f>
        <v>View</v>
      </c>
      <c r="V2327" s="8"/>
      <c r="W2327" s="8"/>
      <c r="X2327" s="8"/>
      <c r="Y2327" s="8"/>
      <c r="Z2327" s="8"/>
    </row>
    <row r="2328" spans="1:26" ht="12.75">
      <c r="A2328" s="11">
        <v>43747.217488425929</v>
      </c>
      <c r="B2328" s="12" t="str">
        <f>HYPERLINK("https://twitter.com/gnerym","@gnerym")</f>
        <v>@gnerym</v>
      </c>
      <c r="C2328" s="7" t="s">
        <v>14986</v>
      </c>
      <c r="D2328" s="7" t="s">
        <v>14987</v>
      </c>
      <c r="E2328" s="12" t="str">
        <f>HYPERLINK("https://twitter.com/gnerym/status/1181905446250143744","1181905446250143744")</f>
        <v>1181905446250143744</v>
      </c>
      <c r="F2328" s="8"/>
      <c r="G2328" s="15"/>
      <c r="H2328" s="8"/>
      <c r="I2328" s="15">
        <v>0</v>
      </c>
      <c r="J2328" s="15">
        <v>0</v>
      </c>
      <c r="K2328" s="12" t="str">
        <f>HYPERLINK("http://twitter.com/download/iphone","Twitter for iPhone")</f>
        <v>Twitter for iPhone</v>
      </c>
      <c r="L2328" s="16">
        <v>914</v>
      </c>
      <c r="M2328" s="16">
        <v>578</v>
      </c>
      <c r="N2328" s="16">
        <v>1</v>
      </c>
      <c r="O2328" s="17"/>
      <c r="P2328" s="18">
        <v>40385.032071759255</v>
      </c>
      <c r="Q2328" s="7"/>
      <c r="R2328" s="7" t="s">
        <v>14988</v>
      </c>
      <c r="S2328" s="7"/>
      <c r="T2328" s="8"/>
      <c r="U2328" s="19" t="str">
        <f>HYPERLINK("https://pbs.twimg.com/profile_images/1180715545034919936/6zdjAlQn.jpg","View")</f>
        <v>View</v>
      </c>
      <c r="V2328" s="8"/>
      <c r="W2328" s="8"/>
      <c r="X2328" s="8"/>
      <c r="Y2328" s="8"/>
      <c r="Z2328" s="8"/>
    </row>
    <row r="2329" spans="1:26" ht="12.75">
      <c r="A2329" s="11">
        <v>43747.217488425929</v>
      </c>
      <c r="B2329" s="12" t="str">
        <f>HYPERLINK("https://twitter.com/haber_asker","@haber_asker")</f>
        <v>@haber_asker</v>
      </c>
      <c r="C2329" s="7" t="s">
        <v>14989</v>
      </c>
      <c r="D2329" s="7" t="s">
        <v>14990</v>
      </c>
      <c r="E2329" s="12" t="str">
        <f>HYPERLINK("https://twitter.com/haber_asker/status/1181905445826510849","1181905445826510849")</f>
        <v>1181905445826510849</v>
      </c>
      <c r="F2329" s="8"/>
      <c r="G2329" s="14" t="s">
        <v>14991</v>
      </c>
      <c r="H2329" s="8"/>
      <c r="I2329" s="15">
        <v>0</v>
      </c>
      <c r="J2329" s="15">
        <v>0</v>
      </c>
      <c r="K2329" s="12" t="str">
        <f>HYPERLINK("http://twitter.com/download/android","Twitter for Android")</f>
        <v>Twitter for Android</v>
      </c>
      <c r="L2329" s="16">
        <v>9</v>
      </c>
      <c r="M2329" s="16">
        <v>10</v>
      </c>
      <c r="N2329" s="16">
        <v>0</v>
      </c>
      <c r="O2329" s="17"/>
      <c r="P2329" s="18">
        <v>43714.513923611114</v>
      </c>
      <c r="Q2329" s="7"/>
      <c r="R2329" s="7"/>
      <c r="S2329" s="15"/>
      <c r="T2329" s="8"/>
      <c r="U2329" s="19" t="str">
        <f>HYPERLINK("https://pbs.twimg.com/profile_images/1170054647580696576/giRSfTiL.jpg","View")</f>
        <v>View</v>
      </c>
      <c r="V2329" s="8"/>
      <c r="W2329" s="8"/>
      <c r="X2329" s="8"/>
      <c r="Y2329" s="8"/>
      <c r="Z2329" s="8"/>
    </row>
    <row r="2330" spans="1:26" ht="12.75">
      <c r="A2330" s="11">
        <v>43747.217465277776</v>
      </c>
      <c r="B2330" s="12" t="str">
        <f>HYPERLINK("https://twitter.com/Seyitnizam13","@Seyitnizam13")</f>
        <v>@Seyitnizam13</v>
      </c>
      <c r="C2330" s="13" t="s">
        <v>14992</v>
      </c>
      <c r="D2330" s="7" t="s">
        <v>160</v>
      </c>
      <c r="E2330" s="12" t="str">
        <f>HYPERLINK("https://twitter.com/Seyitnizam13/status/1181905438662696960","1181905438662696960")</f>
        <v>1181905438662696960</v>
      </c>
      <c r="F2330" s="8"/>
      <c r="G2330" s="14" t="s">
        <v>14993</v>
      </c>
      <c r="H2330" s="8"/>
      <c r="I2330" s="15">
        <v>0</v>
      </c>
      <c r="J2330" s="15">
        <v>1</v>
      </c>
      <c r="K2330" s="12" t="str">
        <f>HYPERLINK("https://mobile.twitter.com","Twitter Web App")</f>
        <v>Twitter Web App</v>
      </c>
      <c r="L2330" s="16">
        <v>0</v>
      </c>
      <c r="M2330" s="16">
        <v>0</v>
      </c>
      <c r="N2330" s="16">
        <v>0</v>
      </c>
      <c r="O2330" s="17"/>
      <c r="P2330" s="18">
        <v>43664.741620370369</v>
      </c>
      <c r="Q2330" s="7"/>
      <c r="R2330" s="7"/>
      <c r="S2330" s="7"/>
      <c r="T2330" s="8"/>
      <c r="U2330" s="19" t="str">
        <f>HYPERLINK("https://pbs.twimg.com/profile_images/1181905829009788928/TjXWr8Re.jpg","View")</f>
        <v>View</v>
      </c>
      <c r="V2330" s="8"/>
      <c r="W2330" s="8"/>
      <c r="X2330" s="8"/>
      <c r="Y2330" s="8"/>
      <c r="Z2330" s="8"/>
    </row>
    <row r="2331" spans="1:26" ht="12.75">
      <c r="A2331" s="11">
        <v>43747.217314814814</v>
      </c>
      <c r="B2331" s="12" t="str">
        <f>HYPERLINK("https://twitter.com/fatih_besiktass","@fatih_besiktass")</f>
        <v>@fatih_besiktass</v>
      </c>
      <c r="C2331" s="7" t="s">
        <v>14994</v>
      </c>
      <c r="D2331" s="7" t="s">
        <v>14995</v>
      </c>
      <c r="E2331" s="12" t="str">
        <f>HYPERLINK("https://twitter.com/fatih_besiktass/status/1181905381544648705","1181905381544648705")</f>
        <v>1181905381544648705</v>
      </c>
      <c r="F2331" s="8"/>
      <c r="G2331" s="15"/>
      <c r="H2331" s="8"/>
      <c r="I2331" s="15">
        <v>0</v>
      </c>
      <c r="J2331" s="15">
        <v>0</v>
      </c>
      <c r="K2331" s="12" t="str">
        <f>HYPERLINK("http://twitter.com/download/android","Twitter for Android")</f>
        <v>Twitter for Android</v>
      </c>
      <c r="L2331" s="16">
        <v>49</v>
      </c>
      <c r="M2331" s="16">
        <v>55</v>
      </c>
      <c r="N2331" s="16">
        <v>0</v>
      </c>
      <c r="O2331" s="17"/>
      <c r="P2331" s="18">
        <v>40832.537789351853</v>
      </c>
      <c r="Q2331" s="7"/>
      <c r="R2331" s="7"/>
      <c r="S2331" s="7"/>
      <c r="T2331" s="8"/>
      <c r="U2331" s="19" t="str">
        <f>HYPERLINK("https://pbs.twimg.com/profile_images/1029115766375899137/k5tDCsR6.jpg","View")</f>
        <v>View</v>
      </c>
      <c r="V2331" s="8"/>
      <c r="W2331" s="8"/>
      <c r="X2331" s="8"/>
      <c r="Y2331" s="8"/>
      <c r="Z2331" s="8"/>
    </row>
    <row r="2332" spans="1:26" ht="12.75">
      <c r="A2332" s="11">
        <v>43747.217268518521</v>
      </c>
      <c r="B2332" s="12" t="str">
        <f>HYPERLINK("https://twitter.com/EmrehanKeles","@EmrehanKeles")</f>
        <v>@EmrehanKeles</v>
      </c>
      <c r="C2332" s="7" t="s">
        <v>14996</v>
      </c>
      <c r="D2332" s="7" t="s">
        <v>14997</v>
      </c>
      <c r="E2332" s="12" t="str">
        <f>HYPERLINK("https://twitter.com/EmrehanKeles/status/1181905365442715650","1181905365442715650")</f>
        <v>1181905365442715650</v>
      </c>
      <c r="F2332" s="8"/>
      <c r="G2332" s="14" t="s">
        <v>14998</v>
      </c>
      <c r="H2332" s="8"/>
      <c r="I2332" s="15">
        <v>0</v>
      </c>
      <c r="J2332" s="15">
        <v>2</v>
      </c>
      <c r="K2332" s="12" t="str">
        <f>HYPERLINK("http://twitter.com/download/iphone","Twitter for iPhone")</f>
        <v>Twitter for iPhone</v>
      </c>
      <c r="L2332" s="16">
        <v>1</v>
      </c>
      <c r="M2332" s="16">
        <v>0</v>
      </c>
      <c r="N2332" s="16">
        <v>0</v>
      </c>
      <c r="O2332" s="17"/>
      <c r="P2332" s="18">
        <v>43587.714155092588</v>
      </c>
      <c r="Q2332" s="7" t="s">
        <v>313</v>
      </c>
      <c r="R2332" s="7" t="s">
        <v>14999</v>
      </c>
      <c r="S2332" s="7"/>
      <c r="T2332" s="8"/>
      <c r="U2332" s="19" t="str">
        <f>HYPERLINK("https://pbs.twimg.com/profile_images/1127202041170939904/B4Dp87QE.jpg","View")</f>
        <v>View</v>
      </c>
      <c r="V2332" s="8"/>
      <c r="W2332" s="8"/>
      <c r="X2332" s="8"/>
      <c r="Y2332" s="8"/>
      <c r="Z2332" s="8"/>
    </row>
    <row r="2333" spans="1:26" ht="12.75">
      <c r="A2333" s="11">
        <v>43747.217175925922</v>
      </c>
      <c r="B2333" s="12" t="str">
        <f>HYPERLINK("https://twitter.com/cengix_han","@cengix_han")</f>
        <v>@cengix_han</v>
      </c>
      <c r="C2333" s="7" t="s">
        <v>15000</v>
      </c>
      <c r="D2333" s="7" t="s">
        <v>15001</v>
      </c>
      <c r="E2333" s="12" t="str">
        <f>HYPERLINK("https://twitter.com/cengix_han/status/1181905332592955392","1181905332592955392")</f>
        <v>1181905332592955392</v>
      </c>
      <c r="F2333" s="8"/>
      <c r="G2333" s="14" t="s">
        <v>15002</v>
      </c>
      <c r="H2333" s="8"/>
      <c r="I2333" s="15">
        <v>0</v>
      </c>
      <c r="J2333" s="15">
        <v>0</v>
      </c>
      <c r="K2333" s="12" t="str">
        <f>HYPERLINK("https://mobile.twitter.com","Twitter Web App")</f>
        <v>Twitter Web App</v>
      </c>
      <c r="L2333" s="16">
        <v>0</v>
      </c>
      <c r="M2333" s="16">
        <v>0</v>
      </c>
      <c r="N2333" s="16">
        <v>0</v>
      </c>
      <c r="O2333" s="17"/>
      <c r="P2333" s="18">
        <v>42365.568182870367</v>
      </c>
      <c r="Q2333" s="7" t="s">
        <v>15003</v>
      </c>
      <c r="R2333" s="7" t="s">
        <v>15004</v>
      </c>
      <c r="S2333" s="15"/>
      <c r="T2333" s="8"/>
      <c r="U2333" s="19" t="str">
        <f>HYPERLINK("https://pbs.twimg.com/profile_images/1180013029695610880/_iTAFl77.jpg","View")</f>
        <v>View</v>
      </c>
      <c r="V2333" s="8"/>
      <c r="W2333" s="8"/>
      <c r="X2333" s="8"/>
      <c r="Y2333" s="8"/>
      <c r="Z2333" s="8"/>
    </row>
    <row r="2334" spans="1:26" ht="12.75">
      <c r="A2334" s="11">
        <v>43747.217152777783</v>
      </c>
      <c r="B2334" s="12" t="str">
        <f>HYPERLINK("https://twitter.com/SumeyyeSoyyigit","@SumeyyeSoyyigit")</f>
        <v>@SumeyyeSoyyigit</v>
      </c>
      <c r="C2334" s="7" t="s">
        <v>7029</v>
      </c>
      <c r="D2334" s="7" t="s">
        <v>15005</v>
      </c>
      <c r="E2334" s="12" t="str">
        <f>HYPERLINK("https://twitter.com/SumeyyeSoyyigit/status/1181905324258803714","1181905324258803714")</f>
        <v>1181905324258803714</v>
      </c>
      <c r="F2334" s="8"/>
      <c r="G2334" s="15"/>
      <c r="H2334" s="8"/>
      <c r="I2334" s="15">
        <v>0</v>
      </c>
      <c r="J2334" s="15">
        <v>0</v>
      </c>
      <c r="K2334" s="12" t="str">
        <f>HYPERLINK("http://twitter.com/download/iphone","Twitter for iPhone")</f>
        <v>Twitter for iPhone</v>
      </c>
      <c r="L2334" s="16">
        <v>15</v>
      </c>
      <c r="M2334" s="16">
        <v>49</v>
      </c>
      <c r="N2334" s="16">
        <v>0</v>
      </c>
      <c r="O2334" s="17"/>
      <c r="P2334" s="18">
        <v>42624.261377314819</v>
      </c>
      <c r="Q2334" s="7" t="s">
        <v>15006</v>
      </c>
      <c r="R2334" s="7" t="s">
        <v>15007</v>
      </c>
      <c r="S2334" s="15"/>
      <c r="T2334" s="8"/>
      <c r="U2334" s="19" t="str">
        <f>HYPERLINK("https://pbs.twimg.com/profile_images/1153302843060838400/b92Rbm9B.jpg","View")</f>
        <v>View</v>
      </c>
      <c r="V2334" s="8"/>
      <c r="W2334" s="8"/>
      <c r="X2334" s="8"/>
      <c r="Y2334" s="8"/>
      <c r="Z2334" s="8"/>
    </row>
    <row r="2335" spans="1:26" ht="12.75">
      <c r="A2335" s="11">
        <v>43747.217106481483</v>
      </c>
      <c r="B2335" s="12" t="str">
        <f>HYPERLINK("https://twitter.com/SYanbakan","@SYanbakan")</f>
        <v>@SYanbakan</v>
      </c>
      <c r="C2335" s="7" t="s">
        <v>15008</v>
      </c>
      <c r="D2335" s="7" t="s">
        <v>15009</v>
      </c>
      <c r="E2335" s="12" t="str">
        <f>HYPERLINK("https://twitter.com/SYanbakan/status/1181905308291076096","1181905308291076096")</f>
        <v>1181905308291076096</v>
      </c>
      <c r="F2335" s="8"/>
      <c r="G2335" s="7"/>
      <c r="H2335" s="8"/>
      <c r="I2335" s="15">
        <v>0</v>
      </c>
      <c r="J2335" s="15">
        <v>1</v>
      </c>
      <c r="K2335" s="12" t="str">
        <f>HYPERLINK("http://twitter.com/download/iphone","Twitter for iPhone")</f>
        <v>Twitter for iPhone</v>
      </c>
      <c r="L2335" s="16">
        <v>304</v>
      </c>
      <c r="M2335" s="16">
        <v>656</v>
      </c>
      <c r="N2335" s="16">
        <v>1</v>
      </c>
      <c r="O2335" s="17"/>
      <c r="P2335" s="18">
        <v>43591.043576388889</v>
      </c>
      <c r="Q2335" s="7"/>
      <c r="R2335" s="7"/>
      <c r="S2335" s="7"/>
      <c r="T2335" s="8"/>
      <c r="U2335" s="19" t="str">
        <f>HYPERLINK("https://pbs.twimg.com/profile_images/1178285274868137984/v5Yz8OdU.jpg","View")</f>
        <v>View</v>
      </c>
      <c r="V2335" s="8"/>
      <c r="W2335" s="8"/>
      <c r="X2335" s="8"/>
      <c r="Y2335" s="8"/>
      <c r="Z2335" s="8"/>
    </row>
    <row r="2336" spans="1:26" ht="12.75">
      <c r="A2336" s="11">
        <v>43747.217048611114</v>
      </c>
      <c r="B2336" s="12" t="str">
        <f>HYPERLINK("https://twitter.com/marlanizz","@marlanizz")</f>
        <v>@marlanizz</v>
      </c>
      <c r="C2336" s="7" t="s">
        <v>15010</v>
      </c>
      <c r="D2336" s="7" t="s">
        <v>15011</v>
      </c>
      <c r="E2336" s="12" t="str">
        <f>HYPERLINK("https://twitter.com/marlanizz/status/1181905286770114561","1181905286770114561")</f>
        <v>1181905286770114561</v>
      </c>
      <c r="F2336" s="8"/>
      <c r="G2336" s="14" t="s">
        <v>15012</v>
      </c>
      <c r="H2336" s="8"/>
      <c r="I2336" s="15">
        <v>0</v>
      </c>
      <c r="J2336" s="15">
        <v>0</v>
      </c>
      <c r="K2336" s="12" t="str">
        <f>HYPERLINK("http://twitter.com/download/iphone","Twitter for iPhone")</f>
        <v>Twitter for iPhone</v>
      </c>
      <c r="L2336" s="16">
        <v>12</v>
      </c>
      <c r="M2336" s="16">
        <v>101</v>
      </c>
      <c r="N2336" s="16">
        <v>0</v>
      </c>
      <c r="O2336" s="17"/>
      <c r="P2336" s="18">
        <v>43684.325439814813</v>
      </c>
      <c r="Q2336" s="7"/>
      <c r="R2336" s="7"/>
      <c r="S2336" s="7"/>
      <c r="T2336" s="8"/>
      <c r="U2336" s="19" t="str">
        <f>HYPERLINK("https://pbs.twimg.com/profile_images/1159118667289964544/r6P9o-Zh.jpg","View")</f>
        <v>View</v>
      </c>
      <c r="V2336" s="8"/>
      <c r="W2336" s="8"/>
      <c r="X2336" s="8"/>
      <c r="Y2336" s="8"/>
      <c r="Z2336" s="8"/>
    </row>
    <row r="2337" spans="1:26" ht="12.75">
      <c r="A2337" s="11">
        <v>43747.216990740737</v>
      </c>
      <c r="B2337" s="12" t="str">
        <f>HYPERLINK("https://twitter.com/YasinDe0","@YasinDe0")</f>
        <v>@YasinDe0</v>
      </c>
      <c r="C2337" s="7" t="s">
        <v>8611</v>
      </c>
      <c r="D2337" s="7" t="s">
        <v>15013</v>
      </c>
      <c r="E2337" s="12" t="str">
        <f>HYPERLINK("https://twitter.com/YasinDe0/status/1181905263290441729","1181905263290441729")</f>
        <v>1181905263290441729</v>
      </c>
      <c r="F2337" s="8"/>
      <c r="G2337" s="14" t="s">
        <v>15014</v>
      </c>
      <c r="H2337" s="8"/>
      <c r="I2337" s="15">
        <v>0</v>
      </c>
      <c r="J2337" s="15">
        <v>0</v>
      </c>
      <c r="K2337" s="12" t="str">
        <f>HYPERLINK("http://twitter.com/download/android","Twitter for Android")</f>
        <v>Twitter for Android</v>
      </c>
      <c r="L2337" s="16">
        <v>100</v>
      </c>
      <c r="M2337" s="16">
        <v>99</v>
      </c>
      <c r="N2337" s="16">
        <v>0</v>
      </c>
      <c r="O2337" s="17"/>
      <c r="P2337" s="18">
        <v>41933.104513888888</v>
      </c>
      <c r="Q2337" s="7"/>
      <c r="R2337" s="7"/>
      <c r="S2337" s="7"/>
      <c r="T2337" s="8"/>
      <c r="U2337" s="19" t="str">
        <f>HYPERLINK("https://pbs.twimg.com/profile_images/1127150364963287040/iKptOGg1.png","View")</f>
        <v>View</v>
      </c>
      <c r="V2337" s="8"/>
      <c r="W2337" s="8"/>
      <c r="X2337" s="8"/>
      <c r="Y2337" s="8"/>
      <c r="Z2337" s="8"/>
    </row>
    <row r="2338" spans="1:26" ht="12.75">
      <c r="A2338" s="11">
        <v>43747.216967592598</v>
      </c>
      <c r="B2338" s="12" t="str">
        <f>HYPERLINK("https://twitter.com/merAkel17","@merAkel17")</f>
        <v>@merAkel17</v>
      </c>
      <c r="C2338" s="7" t="s">
        <v>15015</v>
      </c>
      <c r="D2338" s="7" t="s">
        <v>15016</v>
      </c>
      <c r="E2338" s="12" t="str">
        <f>HYPERLINK("https://twitter.com/merAkel17/status/1181905258076868608","1181905258076868608")</f>
        <v>1181905258076868608</v>
      </c>
      <c r="F2338" s="8"/>
      <c r="G2338" s="14" t="s">
        <v>15017</v>
      </c>
      <c r="H2338" s="8"/>
      <c r="I2338" s="15">
        <v>0</v>
      </c>
      <c r="J2338" s="15">
        <v>0</v>
      </c>
      <c r="K2338" s="12" t="str">
        <f>HYPERLINK("http://twitter.com/download/android","Twitter for Android")</f>
        <v>Twitter for Android</v>
      </c>
      <c r="L2338" s="16">
        <v>726</v>
      </c>
      <c r="M2338" s="16">
        <v>426</v>
      </c>
      <c r="N2338" s="16">
        <v>0</v>
      </c>
      <c r="O2338" s="17"/>
      <c r="P2338" s="18">
        <v>43663.441354166665</v>
      </c>
      <c r="Q2338" s="7"/>
      <c r="R2338" s="7" t="s">
        <v>15018</v>
      </c>
      <c r="S2338" s="15"/>
      <c r="T2338" s="8"/>
      <c r="U2338" s="19" t="str">
        <f>HYPERLINK("https://pbs.twimg.com/profile_images/1180407968942231553/6GXRaFV1.jpg","View")</f>
        <v>View</v>
      </c>
      <c r="V2338" s="8"/>
      <c r="W2338" s="8"/>
      <c r="X2338" s="8"/>
      <c r="Y2338" s="8"/>
      <c r="Z2338" s="8"/>
    </row>
    <row r="2339" spans="1:26" ht="12.75">
      <c r="A2339" s="11">
        <v>43747.216967592598</v>
      </c>
      <c r="B2339" s="12" t="str">
        <f>HYPERLINK("https://twitter.com/cindyk1020","@cindyk1020")</f>
        <v>@cindyk1020</v>
      </c>
      <c r="C2339" s="7" t="s">
        <v>15019</v>
      </c>
      <c r="D2339" s="7" t="s">
        <v>15020</v>
      </c>
      <c r="E2339" s="12" t="str">
        <f>HYPERLINK("https://twitter.com/cindyk1020/status/1181905257829408768","1181905257829408768")</f>
        <v>1181905257829408768</v>
      </c>
      <c r="F2339" s="8"/>
      <c r="G2339" s="7"/>
      <c r="H2339" s="8"/>
      <c r="I2339" s="15">
        <v>0</v>
      </c>
      <c r="J2339" s="15">
        <v>0</v>
      </c>
      <c r="K2339" s="12" t="str">
        <f>HYPERLINK("http://twitter.com/download/android","Twitter for Android")</f>
        <v>Twitter for Android</v>
      </c>
      <c r="L2339" s="16">
        <v>1317</v>
      </c>
      <c r="M2339" s="16">
        <v>2093</v>
      </c>
      <c r="N2339" s="16">
        <v>1</v>
      </c>
      <c r="O2339" s="17"/>
      <c r="P2339" s="18">
        <v>41099.394699074073</v>
      </c>
      <c r="Q2339" s="7" t="s">
        <v>15021</v>
      </c>
      <c r="R2339" s="7" t="s">
        <v>15022</v>
      </c>
      <c r="S2339" s="7"/>
      <c r="T2339" s="8"/>
      <c r="U2339" s="19" t="str">
        <f>HYPERLINK("https://pbs.twimg.com/profile_images/1154512197680320513/Agf8h2Iq.jpg","View")</f>
        <v>View</v>
      </c>
      <c r="V2339" s="8"/>
      <c r="W2339" s="8"/>
      <c r="X2339" s="8"/>
      <c r="Y2339" s="8"/>
      <c r="Z2339" s="8"/>
    </row>
    <row r="2340" spans="1:26" ht="12.75">
      <c r="A2340" s="11">
        <v>43747.216956018514</v>
      </c>
      <c r="B2340" s="12" t="str">
        <f>HYPERLINK("https://twitter.com/zencikutupayusu","@zencikutupayusu")</f>
        <v>@zencikutupayusu</v>
      </c>
      <c r="C2340" s="7" t="s">
        <v>15023</v>
      </c>
      <c r="D2340" s="7" t="s">
        <v>15024</v>
      </c>
      <c r="E2340" s="12" t="str">
        <f>HYPERLINK("https://twitter.com/zencikutupayusu/status/1181905253542875136","1181905253542875136")</f>
        <v>1181905253542875136</v>
      </c>
      <c r="F2340" s="8"/>
      <c r="G2340" s="15"/>
      <c r="H2340" s="8"/>
      <c r="I2340" s="15">
        <v>0</v>
      </c>
      <c r="J2340" s="15">
        <v>0</v>
      </c>
      <c r="K2340" s="12" t="str">
        <f>HYPERLINK("https://mobile.twitter.com","Twitter Web App")</f>
        <v>Twitter Web App</v>
      </c>
      <c r="L2340" s="16">
        <v>3</v>
      </c>
      <c r="M2340" s="16">
        <v>16</v>
      </c>
      <c r="N2340" s="16">
        <v>0</v>
      </c>
      <c r="O2340" s="17"/>
      <c r="P2340" s="18">
        <v>43559.226041666669</v>
      </c>
      <c r="Q2340" s="7"/>
      <c r="R2340" s="7"/>
      <c r="S2340" s="7"/>
      <c r="T2340" s="8"/>
      <c r="U2340" s="19" t="str">
        <f>HYPERLINK("https://pbs.twimg.com/profile_images/1121022101761269760/j6jpdu9y.png","View")</f>
        <v>View</v>
      </c>
      <c r="V2340" s="8"/>
      <c r="W2340" s="8"/>
      <c r="X2340" s="8"/>
      <c r="Y2340" s="8"/>
      <c r="Z2340" s="8"/>
    </row>
    <row r="2341" spans="1:26" ht="12.75">
      <c r="A2341" s="11">
        <v>43747.216944444444</v>
      </c>
      <c r="B2341" s="12" t="str">
        <f>HYPERLINK("https://twitter.com/Ufuk65326445","@Ufuk65326445")</f>
        <v>@Ufuk65326445</v>
      </c>
      <c r="C2341" s="7" t="s">
        <v>15025</v>
      </c>
      <c r="D2341" s="7" t="s">
        <v>15026</v>
      </c>
      <c r="E2341" s="12" t="str">
        <f>HYPERLINK("https://twitter.com/Ufuk65326445/status/1181905246202843137","1181905246202843137")</f>
        <v>1181905246202843137</v>
      </c>
      <c r="F2341" s="8"/>
      <c r="G2341" s="7"/>
      <c r="H2341" s="8"/>
      <c r="I2341" s="15">
        <v>0</v>
      </c>
      <c r="J2341" s="15">
        <v>0</v>
      </c>
      <c r="K2341" s="12" t="str">
        <f>HYPERLINK("https://mobile.twitter.com","Twitter Web App")</f>
        <v>Twitter Web App</v>
      </c>
      <c r="L2341" s="16">
        <v>33</v>
      </c>
      <c r="M2341" s="16">
        <v>247</v>
      </c>
      <c r="N2341" s="16">
        <v>0</v>
      </c>
      <c r="O2341" s="17"/>
      <c r="P2341" s="18">
        <v>43735.623032407406</v>
      </c>
      <c r="Q2341" s="7"/>
      <c r="R2341" s="7" t="s">
        <v>15027</v>
      </c>
      <c r="S2341" s="7"/>
      <c r="T2341" s="8"/>
      <c r="U2341" s="19" t="str">
        <f>HYPERLINK("https://pbs.twimg.com/profile_images/1181514955654336512/aouEkbon.jpg","View")</f>
        <v>View</v>
      </c>
      <c r="V2341" s="8"/>
      <c r="W2341" s="8"/>
      <c r="X2341" s="8"/>
      <c r="Y2341" s="8"/>
      <c r="Z2341" s="8"/>
    </row>
    <row r="2342" spans="1:26" ht="12.75">
      <c r="A2342" s="11">
        <v>43747.216909722221</v>
      </c>
      <c r="B2342" s="12" t="str">
        <f>HYPERLINK("https://twitter.com/kemalistdvrm","@kemalistdvrm")</f>
        <v>@kemalistdvrm</v>
      </c>
      <c r="C2342" s="7" t="s">
        <v>15028</v>
      </c>
      <c r="D2342" s="7" t="s">
        <v>15029</v>
      </c>
      <c r="E2342" s="12" t="str">
        <f>HYPERLINK("https://twitter.com/kemalistdvrm/status/1181905237147299840","1181905237147299840")</f>
        <v>1181905237147299840</v>
      </c>
      <c r="F2342" s="8"/>
      <c r="G2342" s="15"/>
      <c r="H2342" s="8"/>
      <c r="I2342" s="15">
        <v>0</v>
      </c>
      <c r="J2342" s="15">
        <v>0</v>
      </c>
      <c r="K2342" s="12" t="str">
        <f>HYPERLINK("http://twitter.com/download/android","Twitter for Android")</f>
        <v>Twitter for Android</v>
      </c>
      <c r="L2342" s="16">
        <v>633</v>
      </c>
      <c r="M2342" s="16">
        <v>602</v>
      </c>
      <c r="N2342" s="16">
        <v>0</v>
      </c>
      <c r="O2342" s="17"/>
      <c r="P2342" s="18">
        <v>42472.461516203708</v>
      </c>
      <c r="Q2342" s="7" t="s">
        <v>313</v>
      </c>
      <c r="R2342" s="7" t="s">
        <v>15030</v>
      </c>
      <c r="S2342" s="7"/>
      <c r="T2342" s="8"/>
      <c r="U2342" s="19" t="str">
        <f>HYPERLINK("https://pbs.twimg.com/profile_images/1178244507441213440/Uyty0Y78.jpg","View")</f>
        <v>View</v>
      </c>
      <c r="V2342" s="8"/>
      <c r="W2342" s="8"/>
      <c r="X2342" s="8"/>
      <c r="Y2342" s="8"/>
      <c r="Z2342" s="8"/>
    </row>
    <row r="2343" spans="1:26" ht="12.75">
      <c r="A2343" s="11">
        <v>43747.216886574075</v>
      </c>
      <c r="B2343" s="12" t="str">
        <f>HYPERLINK("https://twitter.com/AhmetsalihBen","@AhmetsalihBen")</f>
        <v>@AhmetsalihBen</v>
      </c>
      <c r="C2343" s="7" t="s">
        <v>15031</v>
      </c>
      <c r="D2343" s="7" t="s">
        <v>4284</v>
      </c>
      <c r="E2343" s="12" t="str">
        <f>HYPERLINK("https://twitter.com/AhmetsalihBen/status/1181905226527313920","1181905226527313920")</f>
        <v>1181905226527313920</v>
      </c>
      <c r="F2343" s="8"/>
      <c r="G2343" s="15"/>
      <c r="H2343" s="8"/>
      <c r="I2343" s="15">
        <v>0</v>
      </c>
      <c r="J2343" s="15">
        <v>0</v>
      </c>
      <c r="K2343" s="12" t="str">
        <f>HYPERLINK("http://twitter.com/download/iphone","Twitter for iPhone")</f>
        <v>Twitter for iPhone</v>
      </c>
      <c r="L2343" s="16">
        <v>47</v>
      </c>
      <c r="M2343" s="16">
        <v>126</v>
      </c>
      <c r="N2343" s="16">
        <v>0</v>
      </c>
      <c r="O2343" s="17"/>
      <c r="P2343" s="18">
        <v>41865.294930555552</v>
      </c>
      <c r="Q2343" s="7"/>
      <c r="R2343" s="7"/>
      <c r="S2343" s="7"/>
      <c r="T2343" s="8"/>
      <c r="U2343" s="19" t="str">
        <f>HYPERLINK("https://pbs.twimg.com/profile_images/1135123875170267137/H0oJzx3M.jpg","View")</f>
        <v>View</v>
      </c>
      <c r="V2343" s="8"/>
      <c r="W2343" s="8"/>
      <c r="X2343" s="8"/>
      <c r="Y2343" s="8"/>
      <c r="Z2343" s="8"/>
    </row>
    <row r="2344" spans="1:26" ht="12.75">
      <c r="A2344" s="11">
        <v>43747.216886574075</v>
      </c>
      <c r="B2344" s="12" t="str">
        <f>HYPERLINK("https://twitter.com/selcukseralp","@selcukseralp")</f>
        <v>@selcukseralp</v>
      </c>
      <c r="C2344" s="7" t="s">
        <v>15032</v>
      </c>
      <c r="D2344" s="7" t="s">
        <v>160</v>
      </c>
      <c r="E2344" s="12" t="str">
        <f>HYPERLINK("https://twitter.com/selcukseralp/status/1181905225407455234","1181905225407455234")</f>
        <v>1181905225407455234</v>
      </c>
      <c r="F2344" s="8"/>
      <c r="G2344" s="14" t="s">
        <v>15033</v>
      </c>
      <c r="H2344" s="8"/>
      <c r="I2344" s="15">
        <v>0</v>
      </c>
      <c r="J2344" s="15">
        <v>0</v>
      </c>
      <c r="K2344" s="12" t="str">
        <f>HYPERLINK("http://twitter.com/download/iphone","Twitter for iPhone")</f>
        <v>Twitter for iPhone</v>
      </c>
      <c r="L2344" s="16">
        <v>56</v>
      </c>
      <c r="M2344" s="16">
        <v>145</v>
      </c>
      <c r="N2344" s="16">
        <v>0</v>
      </c>
      <c r="O2344" s="17"/>
      <c r="P2344" s="18">
        <v>43086.450069444443</v>
      </c>
      <c r="Q2344" s="7" t="s">
        <v>252</v>
      </c>
      <c r="R2344" s="7" t="s">
        <v>15034</v>
      </c>
      <c r="S2344" s="14" t="s">
        <v>15035</v>
      </c>
      <c r="T2344" s="8"/>
      <c r="U2344" s="19" t="str">
        <f>HYPERLINK("https://pbs.twimg.com/profile_images/942468999635505152/2NQ1z72d.jpg","View")</f>
        <v>View</v>
      </c>
      <c r="V2344" s="8"/>
      <c r="W2344" s="8"/>
      <c r="X2344" s="8"/>
      <c r="Y2344" s="8"/>
      <c r="Z2344" s="8"/>
    </row>
    <row r="2345" spans="1:26" ht="12.75">
      <c r="A2345" s="11">
        <v>43747.216874999998</v>
      </c>
      <c r="B2345" s="12" t="str">
        <f>HYPERLINK("https://twitter.com/dogukannekinci","@dogukannekinci")</f>
        <v>@dogukannekinci</v>
      </c>
      <c r="C2345" s="7" t="s">
        <v>15036</v>
      </c>
      <c r="D2345" s="7" t="s">
        <v>160</v>
      </c>
      <c r="E2345" s="12" t="str">
        <f>HYPERLINK("https://twitter.com/dogukannekinci/status/1181905222031028228","1181905222031028228")</f>
        <v>1181905222031028228</v>
      </c>
      <c r="F2345" s="8"/>
      <c r="G2345" s="14" t="s">
        <v>15037</v>
      </c>
      <c r="H2345" s="8"/>
      <c r="I2345" s="15">
        <v>0</v>
      </c>
      <c r="J2345" s="15">
        <v>0</v>
      </c>
      <c r="K2345" s="12" t="str">
        <f>HYPERLINK("http://twitter.com/download/android","Twitter for Android")</f>
        <v>Twitter for Android</v>
      </c>
      <c r="L2345" s="16">
        <v>212</v>
      </c>
      <c r="M2345" s="16">
        <v>149</v>
      </c>
      <c r="N2345" s="16">
        <v>0</v>
      </c>
      <c r="O2345" s="17"/>
      <c r="P2345" s="18">
        <v>43006.436249999999</v>
      </c>
      <c r="Q2345" s="7"/>
      <c r="R2345" s="7" t="s">
        <v>15038</v>
      </c>
      <c r="S2345" s="14" t="s">
        <v>15039</v>
      </c>
      <c r="T2345" s="8"/>
      <c r="U2345" s="19" t="str">
        <f>HYPERLINK("https://pbs.twimg.com/profile_images/1166090133508112385/ZL1ZpBPy.jpg","View")</f>
        <v>View</v>
      </c>
      <c r="V2345" s="8"/>
      <c r="W2345" s="8"/>
      <c r="X2345" s="8"/>
      <c r="Y2345" s="8"/>
      <c r="Z2345" s="8"/>
    </row>
    <row r="2346" spans="1:26" ht="12.75">
      <c r="A2346" s="11">
        <v>43747.216793981483</v>
      </c>
      <c r="B2346" s="12" t="str">
        <f>HYPERLINK("https://twitter.com/yasar_papaker","@yasar_papaker")</f>
        <v>@yasar_papaker</v>
      </c>
      <c r="C2346" s="7" t="s">
        <v>15040</v>
      </c>
      <c r="D2346" s="7" t="s">
        <v>15041</v>
      </c>
      <c r="E2346" s="12" t="str">
        <f>HYPERLINK("https://twitter.com/yasar_papaker/status/1181905194159923200","1181905194159923200")</f>
        <v>1181905194159923200</v>
      </c>
      <c r="F2346" s="8"/>
      <c r="G2346" s="7"/>
      <c r="H2346" s="8"/>
      <c r="I2346" s="15">
        <v>0</v>
      </c>
      <c r="J2346" s="15">
        <v>0</v>
      </c>
      <c r="K2346" s="12" t="str">
        <f>HYPERLINK("http://twitter.com/download/android","Twitter for Android")</f>
        <v>Twitter for Android</v>
      </c>
      <c r="L2346" s="16">
        <v>241</v>
      </c>
      <c r="M2346" s="16">
        <v>863</v>
      </c>
      <c r="N2346" s="16">
        <v>0</v>
      </c>
      <c r="O2346" s="17"/>
      <c r="P2346" s="18">
        <v>40734.923368055555</v>
      </c>
      <c r="Q2346" s="7" t="s">
        <v>2712</v>
      </c>
      <c r="R2346" s="7" t="s">
        <v>15042</v>
      </c>
      <c r="S2346" s="7"/>
      <c r="T2346" s="8"/>
      <c r="U2346" s="19" t="str">
        <f>HYPERLINK("https://pbs.twimg.com/profile_images/780188053948227584/S-zLOLaZ.jpg","View")</f>
        <v>View</v>
      </c>
      <c r="V2346" s="8"/>
      <c r="W2346" s="8"/>
      <c r="X2346" s="8"/>
      <c r="Y2346" s="8"/>
      <c r="Z2346" s="8"/>
    </row>
    <row r="2347" spans="1:26" ht="12.75">
      <c r="A2347" s="11">
        <v>43747.216712962967</v>
      </c>
      <c r="B2347" s="12" t="str">
        <f>HYPERLINK("https://twitter.com/saruhan08","@saruhan08")</f>
        <v>@saruhan08</v>
      </c>
      <c r="C2347" s="7" t="s">
        <v>15043</v>
      </c>
      <c r="D2347" s="7" t="s">
        <v>15044</v>
      </c>
      <c r="E2347" s="12" t="str">
        <f>HYPERLINK("https://twitter.com/saruhan08/status/1181905164313223168","1181905164313223168")</f>
        <v>1181905164313223168</v>
      </c>
      <c r="F2347" s="8"/>
      <c r="G2347" s="7"/>
      <c r="H2347" s="8"/>
      <c r="I2347" s="15">
        <v>0</v>
      </c>
      <c r="J2347" s="15">
        <v>0</v>
      </c>
      <c r="K2347" s="12" t="str">
        <f>HYPERLINK("http://twitter.com/download/android","Twitter for Android")</f>
        <v>Twitter for Android</v>
      </c>
      <c r="L2347" s="16">
        <v>341</v>
      </c>
      <c r="M2347" s="16">
        <v>1331</v>
      </c>
      <c r="N2347" s="16">
        <v>1</v>
      </c>
      <c r="O2347" s="17"/>
      <c r="P2347" s="18">
        <v>40636.713865740741</v>
      </c>
      <c r="Q2347" s="7" t="s">
        <v>15045</v>
      </c>
      <c r="R2347" s="7" t="s">
        <v>15046</v>
      </c>
      <c r="S2347" s="7"/>
      <c r="T2347" s="8"/>
      <c r="U2347" s="19" t="str">
        <f>HYPERLINK("https://pbs.twimg.com/profile_images/1141120637995499520/HINk-Kxf.jpg","View")</f>
        <v>View</v>
      </c>
      <c r="V2347" s="8"/>
      <c r="W2347" s="8"/>
      <c r="X2347" s="8"/>
      <c r="Y2347" s="8"/>
      <c r="Z2347" s="8"/>
    </row>
    <row r="2348" spans="1:26" ht="12.75">
      <c r="A2348" s="11">
        <v>43747.216666666667</v>
      </c>
      <c r="B2348" s="12" t="str">
        <f>HYPERLINK("https://twitter.com/Ulualpagut","@Ulualpagut")</f>
        <v>@Ulualpagut</v>
      </c>
      <c r="C2348" s="7" t="s">
        <v>15047</v>
      </c>
      <c r="D2348" s="7" t="s">
        <v>7147</v>
      </c>
      <c r="E2348" s="12" t="str">
        <f>HYPERLINK("https://twitter.com/Ulualpagut/status/1181905149255671811","1181905149255671811")</f>
        <v>1181905149255671811</v>
      </c>
      <c r="F2348" s="8"/>
      <c r="G2348" s="14" t="s">
        <v>15048</v>
      </c>
      <c r="H2348" s="8"/>
      <c r="I2348" s="15">
        <v>0</v>
      </c>
      <c r="J2348" s="15">
        <v>0</v>
      </c>
      <c r="K2348" s="12" t="str">
        <f>HYPERLINK("http://twitter.com/download/iphone","Twitter for iPhone")</f>
        <v>Twitter for iPhone</v>
      </c>
      <c r="L2348" s="16">
        <v>16</v>
      </c>
      <c r="M2348" s="16">
        <v>23</v>
      </c>
      <c r="N2348" s="16">
        <v>0</v>
      </c>
      <c r="O2348" s="17"/>
      <c r="P2348" s="18">
        <v>43407.013807870375</v>
      </c>
      <c r="Q2348" s="7" t="s">
        <v>3321</v>
      </c>
      <c r="R2348" s="7"/>
      <c r="S2348" s="7"/>
      <c r="T2348" s="8"/>
      <c r="U2348" s="19" t="str">
        <f>HYPERLINK("https://pbs.twimg.com/profile_images/1058621968168218624/9EeujEk1.jpg","View")</f>
        <v>View</v>
      </c>
      <c r="V2348" s="8"/>
      <c r="W2348" s="8"/>
      <c r="X2348" s="8"/>
      <c r="Y2348" s="8"/>
      <c r="Z2348" s="8"/>
    </row>
    <row r="2349" spans="1:26" ht="12.75">
      <c r="A2349" s="11">
        <v>43747.216620370367</v>
      </c>
      <c r="B2349" s="12" t="str">
        <f>HYPERLINK("https://twitter.com/lordofdangerus","@lordofdangerus")</f>
        <v>@lordofdangerus</v>
      </c>
      <c r="C2349" s="7" t="s">
        <v>15049</v>
      </c>
      <c r="D2349" s="7" t="s">
        <v>15050</v>
      </c>
      <c r="E2349" s="12" t="str">
        <f>HYPERLINK("https://twitter.com/lordofdangerus/status/1181905132558139392","1181905132558139392")</f>
        <v>1181905132558139392</v>
      </c>
      <c r="F2349" s="8"/>
      <c r="G2349" s="7"/>
      <c r="H2349" s="8"/>
      <c r="I2349" s="15">
        <v>0</v>
      </c>
      <c r="J2349" s="15">
        <v>0</v>
      </c>
      <c r="K2349" s="12" t="str">
        <f>HYPERLINK("http://twitter.com/download/iphone","Twitter for iPhone")</f>
        <v>Twitter for iPhone</v>
      </c>
      <c r="L2349" s="16">
        <v>22</v>
      </c>
      <c r="M2349" s="16">
        <v>67</v>
      </c>
      <c r="N2349" s="16">
        <v>0</v>
      </c>
      <c r="O2349" s="17"/>
      <c r="P2349" s="18">
        <v>43706.455474537041</v>
      </c>
      <c r="Q2349" s="7" t="s">
        <v>15051</v>
      </c>
      <c r="R2349" s="7" t="s">
        <v>15052</v>
      </c>
      <c r="S2349" s="15"/>
      <c r="T2349" s="8"/>
      <c r="U2349" s="19" t="str">
        <f>HYPERLINK("https://pbs.twimg.com/profile_images/1167140037152186372/M9MI0Yar.jpg","View")</f>
        <v>View</v>
      </c>
      <c r="V2349" s="8"/>
      <c r="W2349" s="8"/>
      <c r="X2349" s="8"/>
      <c r="Y2349" s="8"/>
      <c r="Z2349" s="8"/>
    </row>
    <row r="2350" spans="1:26" ht="12.75">
      <c r="A2350" s="11">
        <v>43747.216597222221</v>
      </c>
      <c r="B2350" s="12" t="str">
        <f>HYPERLINK("https://twitter.com/zfr_ylmz_","@zfr_ylmz_")</f>
        <v>@zfr_ylmz_</v>
      </c>
      <c r="C2350" s="7" t="s">
        <v>15053</v>
      </c>
      <c r="D2350" s="7" t="s">
        <v>15054</v>
      </c>
      <c r="E2350" s="12" t="str">
        <f>HYPERLINK("https://twitter.com/zfr_ylmz_/status/1181905124136017920","1181905124136017920")</f>
        <v>1181905124136017920</v>
      </c>
      <c r="F2350" s="8"/>
      <c r="G2350" s="14" t="s">
        <v>15055</v>
      </c>
      <c r="H2350" s="8"/>
      <c r="I2350" s="15">
        <v>0</v>
      </c>
      <c r="J2350" s="15">
        <v>0</v>
      </c>
      <c r="K2350" s="12" t="str">
        <f>HYPERLINK("http://twitter.com/download/android","Twitter for Android")</f>
        <v>Twitter for Android</v>
      </c>
      <c r="L2350" s="16">
        <v>338</v>
      </c>
      <c r="M2350" s="16">
        <v>271</v>
      </c>
      <c r="N2350" s="16">
        <v>3</v>
      </c>
      <c r="O2350" s="17"/>
      <c r="P2350" s="18">
        <v>41090.181793981479</v>
      </c>
      <c r="Q2350" s="7" t="s">
        <v>15056</v>
      </c>
      <c r="R2350" s="7" t="s">
        <v>15057</v>
      </c>
      <c r="S2350" s="7"/>
      <c r="T2350" s="8"/>
      <c r="U2350" s="19" t="str">
        <f>HYPERLINK("https://pbs.twimg.com/profile_images/891741851555958784/CmS0r8ZU.jpg","View")</f>
        <v>View</v>
      </c>
      <c r="V2350" s="8"/>
      <c r="W2350" s="8"/>
      <c r="X2350" s="8"/>
      <c r="Y2350" s="8"/>
      <c r="Z2350" s="8"/>
    </row>
    <row r="2351" spans="1:26" ht="12.75">
      <c r="A2351" s="11">
        <v>43747.216597222221</v>
      </c>
      <c r="B2351" s="12" t="str">
        <f>HYPERLINK("https://twitter.com/aysardag","@aysardag")</f>
        <v>@aysardag</v>
      </c>
      <c r="C2351" s="7" t="s">
        <v>15058</v>
      </c>
      <c r="D2351" s="7" t="s">
        <v>15059</v>
      </c>
      <c r="E2351" s="12" t="str">
        <f>HYPERLINK("https://twitter.com/aysardag/status/1181905122730921985","1181905122730921985")</f>
        <v>1181905122730921985</v>
      </c>
      <c r="F2351" s="8"/>
      <c r="G2351" s="7"/>
      <c r="H2351" s="8"/>
      <c r="I2351" s="15">
        <v>0</v>
      </c>
      <c r="J2351" s="15">
        <v>1</v>
      </c>
      <c r="K2351" s="12" t="str">
        <f>HYPERLINK("http://twitter.com/download/android","Twitter for Android")</f>
        <v>Twitter for Android</v>
      </c>
      <c r="L2351" s="16">
        <v>38</v>
      </c>
      <c r="M2351" s="16">
        <v>201</v>
      </c>
      <c r="N2351" s="16">
        <v>0</v>
      </c>
      <c r="O2351" s="17"/>
      <c r="P2351" s="18">
        <v>43670.160775462966</v>
      </c>
      <c r="Q2351" s="7"/>
      <c r="R2351" s="7"/>
      <c r="S2351" s="7"/>
      <c r="T2351" s="8"/>
      <c r="U2351" s="19" t="str">
        <f>HYPERLINK("https://pbs.twimg.com/profile_images/1181492837273210881/ebWqeLyr.jpg","View")</f>
        <v>View</v>
      </c>
      <c r="V2351" s="8"/>
      <c r="W2351" s="8"/>
      <c r="X2351" s="8"/>
      <c r="Y2351" s="8"/>
      <c r="Z2351" s="8"/>
    </row>
    <row r="2352" spans="1:26" ht="12.75">
      <c r="A2352" s="11">
        <v>43747.216481481482</v>
      </c>
      <c r="B2352" s="12" t="str">
        <f>HYPERLINK("https://twitter.com/lizazeyna","@lizazeyna")</f>
        <v>@lizazeyna</v>
      </c>
      <c r="C2352" s="7" t="s">
        <v>15060</v>
      </c>
      <c r="D2352" s="7" t="s">
        <v>15061</v>
      </c>
      <c r="E2352" s="12" t="str">
        <f>HYPERLINK("https://twitter.com/lizazeyna/status/1181905080074866688","1181905080074866688")</f>
        <v>1181905080074866688</v>
      </c>
      <c r="F2352" s="8"/>
      <c r="G2352" s="15"/>
      <c r="H2352" s="8"/>
      <c r="I2352" s="15">
        <v>0</v>
      </c>
      <c r="J2352" s="15">
        <v>0</v>
      </c>
      <c r="K2352" s="12" t="str">
        <f>HYPERLINK("http://twitter.com/download/android","Twitter for Android")</f>
        <v>Twitter for Android</v>
      </c>
      <c r="L2352" s="16">
        <v>622</v>
      </c>
      <c r="M2352" s="16">
        <v>602</v>
      </c>
      <c r="N2352" s="16">
        <v>1</v>
      </c>
      <c r="O2352" s="17"/>
      <c r="P2352" s="18">
        <v>43463.245486111111</v>
      </c>
      <c r="Q2352" s="7" t="s">
        <v>200</v>
      </c>
      <c r="R2352" s="7" t="s">
        <v>15062</v>
      </c>
      <c r="S2352" s="7"/>
      <c r="T2352" s="8"/>
      <c r="U2352" s="19" t="str">
        <f>HYPERLINK("https://pbs.twimg.com/profile_images/1180917829266268160/n_scG5uT.jpg","View")</f>
        <v>View</v>
      </c>
      <c r="V2352" s="8"/>
      <c r="W2352" s="8"/>
      <c r="X2352" s="8"/>
      <c r="Y2352" s="8"/>
      <c r="Z2352" s="8"/>
    </row>
    <row r="2353" spans="1:26" ht="12.75">
      <c r="A2353" s="11">
        <v>43747.216446759259</v>
      </c>
      <c r="B2353" s="12" t="str">
        <f>HYPERLINK("https://twitter.com/rahim8760","@rahim8760")</f>
        <v>@rahim8760</v>
      </c>
      <c r="C2353" s="7" t="s">
        <v>15063</v>
      </c>
      <c r="D2353" s="7" t="s">
        <v>15064</v>
      </c>
      <c r="E2353" s="12" t="str">
        <f>HYPERLINK("https://twitter.com/rahim8760/status/1181905069433708544","1181905069433708544")</f>
        <v>1181905069433708544</v>
      </c>
      <c r="F2353" s="14" t="s">
        <v>15065</v>
      </c>
      <c r="G2353" s="7"/>
      <c r="H2353" s="8"/>
      <c r="I2353" s="15">
        <v>0</v>
      </c>
      <c r="J2353" s="15">
        <v>0</v>
      </c>
      <c r="K2353" s="12" t="str">
        <f>HYPERLINK("https://mobile.twitter.com","Twitter Web App")</f>
        <v>Twitter Web App</v>
      </c>
      <c r="L2353" s="16">
        <v>45</v>
      </c>
      <c r="M2353" s="16">
        <v>771</v>
      </c>
      <c r="N2353" s="16">
        <v>0</v>
      </c>
      <c r="O2353" s="17"/>
      <c r="P2353" s="18">
        <v>41990.733576388884</v>
      </c>
      <c r="Q2353" s="7"/>
      <c r="R2353" s="7"/>
      <c r="S2353" s="15"/>
      <c r="T2353" s="8"/>
      <c r="U2353" s="19" t="str">
        <f>HYPERLINK("https://pbs.twimg.com/profile_images/966710676226887680/sHGZpBJ5.jpg","View")</f>
        <v>View</v>
      </c>
      <c r="V2353" s="8"/>
      <c r="W2353" s="8"/>
      <c r="X2353" s="8"/>
      <c r="Y2353" s="8"/>
      <c r="Z2353" s="8"/>
    </row>
    <row r="2354" spans="1:26" ht="12.75">
      <c r="A2354" s="11">
        <v>43747.216435185182</v>
      </c>
      <c r="B2354" s="12" t="str">
        <f>HYPERLINK("https://twitter.com/ThaRealSeYda","@ThaRealSeYda")</f>
        <v>@ThaRealSeYda</v>
      </c>
      <c r="C2354" s="7" t="s">
        <v>15066</v>
      </c>
      <c r="D2354" s="7" t="s">
        <v>15067</v>
      </c>
      <c r="E2354" s="12" t="str">
        <f>HYPERLINK("https://twitter.com/ThaRealSeYda/status/1181905061460500481","1181905061460500481")</f>
        <v>1181905061460500481</v>
      </c>
      <c r="F2354" s="8"/>
      <c r="G2354" s="14" t="s">
        <v>15068</v>
      </c>
      <c r="H2354" s="8"/>
      <c r="I2354" s="15">
        <v>0</v>
      </c>
      <c r="J2354" s="15">
        <v>0</v>
      </c>
      <c r="K2354" s="12" t="str">
        <f>HYPERLINK("https://mobile.twitter.com","Twitter Web App")</f>
        <v>Twitter Web App</v>
      </c>
      <c r="L2354" s="16">
        <v>2038</v>
      </c>
      <c r="M2354" s="16">
        <v>1304</v>
      </c>
      <c r="N2354" s="16">
        <v>19</v>
      </c>
      <c r="O2354" s="17"/>
      <c r="P2354" s="18">
        <v>41263.007581018523</v>
      </c>
      <c r="Q2354" s="7" t="s">
        <v>15069</v>
      </c>
      <c r="R2354" s="7" t="s">
        <v>15070</v>
      </c>
      <c r="S2354" s="14" t="s">
        <v>15071</v>
      </c>
      <c r="T2354" s="8"/>
      <c r="U2354" s="19" t="str">
        <f>HYPERLINK("https://pbs.twimg.com/profile_images/1172437137368571905/TxK-o3Rt.jpg","View")</f>
        <v>View</v>
      </c>
      <c r="V2354" s="8"/>
      <c r="W2354" s="8"/>
      <c r="X2354" s="8"/>
      <c r="Y2354" s="8"/>
      <c r="Z2354" s="8"/>
    </row>
    <row r="2355" spans="1:26" ht="12.75">
      <c r="A2355" s="11">
        <v>43747.216331018513</v>
      </c>
      <c r="B2355" s="12" t="str">
        <f>HYPERLINK("https://twitter.com/egitim_portali","@egitim_portali")</f>
        <v>@egitim_portali</v>
      </c>
      <c r="C2355" s="7" t="s">
        <v>15072</v>
      </c>
      <c r="D2355" s="7" t="s">
        <v>15073</v>
      </c>
      <c r="E2355" s="12" t="str">
        <f>HYPERLINK("https://twitter.com/egitim_portali/status/1181905027285291008","1181905027285291008")</f>
        <v>1181905027285291008</v>
      </c>
      <c r="F2355" s="14" t="s">
        <v>15074</v>
      </c>
      <c r="G2355" s="15"/>
      <c r="H2355" s="8"/>
      <c r="I2355" s="15">
        <v>0</v>
      </c>
      <c r="J2355" s="15">
        <v>1</v>
      </c>
      <c r="K2355" s="12" t="str">
        <f>HYPERLINK("http://twitter.com/download/android","Twitter for Android")</f>
        <v>Twitter for Android</v>
      </c>
      <c r="L2355" s="16">
        <v>6637</v>
      </c>
      <c r="M2355" s="16">
        <v>0</v>
      </c>
      <c r="N2355" s="16">
        <v>0</v>
      </c>
      <c r="O2355" s="17"/>
      <c r="P2355" s="18">
        <v>43509.042199074072</v>
      </c>
      <c r="Q2355" s="7" t="s">
        <v>313</v>
      </c>
      <c r="R2355" s="7" t="s">
        <v>15075</v>
      </c>
      <c r="S2355" s="14" t="s">
        <v>15076</v>
      </c>
      <c r="T2355" s="8"/>
      <c r="U2355" s="19" t="str">
        <f>HYPERLINK("https://pbs.twimg.com/profile_images/1096335645579112448/F6cg5rY5.jpg","View")</f>
        <v>View</v>
      </c>
      <c r="V2355" s="8"/>
      <c r="W2355" s="8"/>
      <c r="X2355" s="8"/>
      <c r="Y2355" s="8"/>
      <c r="Z2355" s="8"/>
    </row>
    <row r="2356" spans="1:26" ht="12.75">
      <c r="A2356" s="11">
        <v>43747.216273148151</v>
      </c>
      <c r="B2356" s="12" t="str">
        <f>HYPERLINK("https://twitter.com/smokelanax","@smokelanax")</f>
        <v>@smokelanax</v>
      </c>
      <c r="C2356" s="7" t="s">
        <v>15077</v>
      </c>
      <c r="D2356" s="7" t="s">
        <v>15078</v>
      </c>
      <c r="E2356" s="12" t="str">
        <f>HYPERLINK("https://twitter.com/smokelanax/status/1181905006628347904","1181905006628347904")</f>
        <v>1181905006628347904</v>
      </c>
      <c r="F2356" s="8"/>
      <c r="G2356" s="14" t="s">
        <v>15079</v>
      </c>
      <c r="H2356" s="8"/>
      <c r="I2356" s="15">
        <v>0</v>
      </c>
      <c r="J2356" s="15">
        <v>0</v>
      </c>
      <c r="K2356" s="12" t="str">
        <f>HYPERLINK("http://twitter.com/download/android","Twitter for Android")</f>
        <v>Twitter for Android</v>
      </c>
      <c r="L2356" s="16">
        <v>1065</v>
      </c>
      <c r="M2356" s="16">
        <v>451</v>
      </c>
      <c r="N2356" s="16">
        <v>0</v>
      </c>
      <c r="O2356" s="17"/>
      <c r="P2356" s="18">
        <v>43340.391458333332</v>
      </c>
      <c r="Q2356" s="7" t="s">
        <v>200</v>
      </c>
      <c r="R2356" s="7" t="s">
        <v>15080</v>
      </c>
      <c r="S2356" s="7"/>
      <c r="T2356" s="8"/>
      <c r="U2356" s="19" t="str">
        <f>HYPERLINK("https://pbs.twimg.com/profile_images/1165553922330828800/GmHqNwTK.jpg","View")</f>
        <v>View</v>
      </c>
      <c r="V2356" s="8"/>
      <c r="W2356" s="8"/>
      <c r="X2356" s="8"/>
      <c r="Y2356" s="8"/>
      <c r="Z2356" s="8"/>
    </row>
    <row r="2357" spans="1:26" ht="12.75">
      <c r="A2357" s="11">
        <v>43747.216226851851</v>
      </c>
      <c r="B2357" s="12" t="str">
        <f>HYPERLINK("https://twitter.com/e_ylmaz55","@e_ylmaz55")</f>
        <v>@e_ylmaz55</v>
      </c>
      <c r="C2357" s="7" t="s">
        <v>15081</v>
      </c>
      <c r="D2357" s="7" t="s">
        <v>9777</v>
      </c>
      <c r="E2357" s="12" t="str">
        <f>HYPERLINK("https://twitter.com/e_ylmaz55/status/1181904987489787904","1181904987489787904")</f>
        <v>1181904987489787904</v>
      </c>
      <c r="F2357" s="8"/>
      <c r="G2357" s="15"/>
      <c r="H2357" s="8"/>
      <c r="I2357" s="15">
        <v>0</v>
      </c>
      <c r="J2357" s="15">
        <v>0</v>
      </c>
      <c r="K2357" s="12" t="str">
        <f>HYPERLINK("http://twitter.com/download/iphone","Twitter for iPhone")</f>
        <v>Twitter for iPhone</v>
      </c>
      <c r="L2357" s="16">
        <v>34</v>
      </c>
      <c r="M2357" s="16">
        <v>42</v>
      </c>
      <c r="N2357" s="16">
        <v>0</v>
      </c>
      <c r="O2357" s="17"/>
      <c r="P2357" s="18">
        <v>41971.611145833333</v>
      </c>
      <c r="Q2357" s="7"/>
      <c r="R2357" s="7"/>
      <c r="S2357" s="7"/>
      <c r="T2357" s="8"/>
      <c r="U2357" s="19" t="str">
        <f>HYPERLINK("https://pbs.twimg.com/profile_images/1080844292606832640/8MEbqo7W.jpg","View")</f>
        <v>View</v>
      </c>
      <c r="V2357" s="8"/>
      <c r="W2357" s="8"/>
      <c r="X2357" s="8"/>
      <c r="Y2357" s="8"/>
      <c r="Z2357" s="8"/>
    </row>
    <row r="2358" spans="1:26" ht="12.75">
      <c r="A2358" s="11">
        <v>43747.216192129628</v>
      </c>
      <c r="B2358" s="12" t="str">
        <f>HYPERLINK("https://twitter.com/POYRAZ_BEY1071","@POYRAZ_BEY1071")</f>
        <v>@POYRAZ_BEY1071</v>
      </c>
      <c r="C2358" s="7" t="s">
        <v>15082</v>
      </c>
      <c r="D2358" s="7" t="s">
        <v>15083</v>
      </c>
      <c r="E2358" s="12" t="str">
        <f>HYPERLINK("https://twitter.com/POYRAZ_BEY1071/status/1181904976559443971","1181904976559443971")</f>
        <v>1181904976559443971</v>
      </c>
      <c r="F2358" s="8"/>
      <c r="G2358" s="14" t="s">
        <v>15084</v>
      </c>
      <c r="H2358" s="8"/>
      <c r="I2358" s="15">
        <v>0</v>
      </c>
      <c r="J2358" s="15">
        <v>1</v>
      </c>
      <c r="K2358" s="12" t="str">
        <f>HYPERLINK("http://twitter.com/download/iphone","Twitter for iPhone")</f>
        <v>Twitter for iPhone</v>
      </c>
      <c r="L2358" s="16">
        <v>222</v>
      </c>
      <c r="M2358" s="16">
        <v>468</v>
      </c>
      <c r="N2358" s="16">
        <v>0</v>
      </c>
      <c r="O2358" s="17"/>
      <c r="P2358" s="18">
        <v>43732.969780092593</v>
      </c>
      <c r="Q2358" s="7"/>
      <c r="R2358" s="7" t="s">
        <v>15085</v>
      </c>
      <c r="S2358" s="7"/>
      <c r="T2358" s="8"/>
      <c r="U2358" s="19" t="str">
        <f>HYPERLINK("https://pbs.twimg.com/profile_images/1181463917626888192/4mnu4k0O.jpg","View")</f>
        <v>View</v>
      </c>
      <c r="V2358" s="8"/>
      <c r="W2358" s="8"/>
      <c r="X2358" s="8"/>
      <c r="Y2358" s="8"/>
      <c r="Z2358" s="8"/>
    </row>
    <row r="2359" spans="1:26" ht="12.75">
      <c r="A2359" s="11">
        <v>43747.216192129628</v>
      </c>
      <c r="B2359" s="12" t="str">
        <f>HYPERLINK("https://twitter.com/SerkanKuck","@SerkanKuck")</f>
        <v>@SerkanKuck</v>
      </c>
      <c r="C2359" s="7" t="s">
        <v>15086</v>
      </c>
      <c r="D2359" s="7" t="s">
        <v>15087</v>
      </c>
      <c r="E2359" s="12" t="str">
        <f>HYPERLINK("https://twitter.com/SerkanKuck/status/1181904975833772033","1181904975833772033")</f>
        <v>1181904975833772033</v>
      </c>
      <c r="F2359" s="8"/>
      <c r="G2359" s="14" t="s">
        <v>15088</v>
      </c>
      <c r="H2359" s="8"/>
      <c r="I2359" s="15">
        <v>0</v>
      </c>
      <c r="J2359" s="15">
        <v>0</v>
      </c>
      <c r="K2359" s="12" t="str">
        <f>HYPERLINK("http://twitter.com/download/android","Twitter for Android")</f>
        <v>Twitter for Android</v>
      </c>
      <c r="L2359" s="16">
        <v>896</v>
      </c>
      <c r="M2359" s="16">
        <v>1504</v>
      </c>
      <c r="N2359" s="16">
        <v>0</v>
      </c>
      <c r="O2359" s="17"/>
      <c r="P2359" s="18">
        <v>40888.431446759263</v>
      </c>
      <c r="Q2359" s="7" t="s">
        <v>576</v>
      </c>
      <c r="R2359" s="7" t="s">
        <v>15089</v>
      </c>
      <c r="S2359" s="14" t="s">
        <v>15090</v>
      </c>
      <c r="T2359" s="8"/>
      <c r="U2359" s="19" t="str">
        <f>HYPERLINK("https://pbs.twimg.com/profile_images/1099360944852029441/OmasCTZF.jpg","View")</f>
        <v>View</v>
      </c>
      <c r="V2359" s="8"/>
      <c r="W2359" s="8"/>
      <c r="X2359" s="8"/>
      <c r="Y2359" s="8"/>
      <c r="Z2359" s="8"/>
    </row>
    <row r="2360" spans="1:26" ht="12.75">
      <c r="A2360" s="11">
        <v>43747.216180555552</v>
      </c>
      <c r="B2360" s="12" t="str">
        <f>HYPERLINK("https://twitter.com/alperdmg","@alperdmg")</f>
        <v>@alperdmg</v>
      </c>
      <c r="C2360" s="7" t="s">
        <v>15091</v>
      </c>
      <c r="D2360" s="7" t="s">
        <v>15092</v>
      </c>
      <c r="E2360" s="12" t="str">
        <f>HYPERLINK("https://twitter.com/alperdmg/status/1181904970758668290","1181904970758668290")</f>
        <v>1181904970758668290</v>
      </c>
      <c r="F2360" s="14" t="s">
        <v>15093</v>
      </c>
      <c r="G2360" s="15"/>
      <c r="H2360" s="8"/>
      <c r="I2360" s="15">
        <v>0</v>
      </c>
      <c r="J2360" s="15">
        <v>0</v>
      </c>
      <c r="K2360" s="12" t="str">
        <f>HYPERLINK("https://mobile.twitter.com","Twitter Web App")</f>
        <v>Twitter Web App</v>
      </c>
      <c r="L2360" s="16">
        <v>9370</v>
      </c>
      <c r="M2360" s="16">
        <v>7988</v>
      </c>
      <c r="N2360" s="16">
        <v>5</v>
      </c>
      <c r="O2360" s="17"/>
      <c r="P2360" s="18">
        <v>40736.586759259255</v>
      </c>
      <c r="Q2360" s="7"/>
      <c r="R2360" s="7" t="s">
        <v>15094</v>
      </c>
      <c r="S2360" s="7"/>
      <c r="T2360" s="8"/>
      <c r="U2360" s="19" t="str">
        <f>HYPERLINK("https://pbs.twimg.com/profile_images/1171897991415980032/1YsnIBZE.jpg","View")</f>
        <v>View</v>
      </c>
      <c r="V2360" s="8"/>
      <c r="W2360" s="8"/>
      <c r="X2360" s="8"/>
      <c r="Y2360" s="8"/>
      <c r="Z2360" s="8"/>
    </row>
    <row r="2361" spans="1:26" ht="12.75">
      <c r="A2361" s="11">
        <v>43747.21607638889</v>
      </c>
      <c r="B2361" s="12" t="str">
        <f>HYPERLINK("https://twitter.com/Hatchbackiniz","@Hatchbackiniz")</f>
        <v>@Hatchbackiniz</v>
      </c>
      <c r="C2361" s="7" t="s">
        <v>15095</v>
      </c>
      <c r="D2361" s="7" t="s">
        <v>160</v>
      </c>
      <c r="E2361" s="12" t="str">
        <f>HYPERLINK("https://twitter.com/Hatchbackiniz/status/1181904935161651200","1181904935161651200")</f>
        <v>1181904935161651200</v>
      </c>
      <c r="F2361" s="15"/>
      <c r="G2361" s="14" t="s">
        <v>15096</v>
      </c>
      <c r="H2361" s="8"/>
      <c r="I2361" s="15">
        <v>0</v>
      </c>
      <c r="J2361" s="15">
        <v>0</v>
      </c>
      <c r="K2361" s="12" t="str">
        <f>HYPERLINK("http://twitter.com/download/iphone","Twitter for iPhone")</f>
        <v>Twitter for iPhone</v>
      </c>
      <c r="L2361" s="16">
        <v>43</v>
      </c>
      <c r="M2361" s="16">
        <v>39</v>
      </c>
      <c r="N2361" s="16">
        <v>0</v>
      </c>
      <c r="O2361" s="17"/>
      <c r="P2361" s="18">
        <v>43629.655370370368</v>
      </c>
      <c r="Q2361" s="7" t="s">
        <v>13095</v>
      </c>
      <c r="R2361" s="7" t="s">
        <v>15097</v>
      </c>
      <c r="S2361" s="14" t="s">
        <v>15098</v>
      </c>
      <c r="T2361" s="8"/>
      <c r="U2361" s="19" t="str">
        <f>HYPERLINK("https://pbs.twimg.com/profile_images/1180696147708567552/M_UGfOpT.jpg","View")</f>
        <v>View</v>
      </c>
      <c r="V2361" s="8"/>
      <c r="W2361" s="8"/>
      <c r="X2361" s="8"/>
      <c r="Y2361" s="8"/>
      <c r="Z2361" s="8"/>
    </row>
    <row r="2362" spans="1:26" ht="12.75">
      <c r="A2362" s="11">
        <v>43747.216064814813</v>
      </c>
      <c r="B2362" s="12" t="str">
        <f>HYPERLINK("https://twitter.com/mrhrajubd","@mrhrajubd")</f>
        <v>@mrhrajubd</v>
      </c>
      <c r="C2362" s="7" t="s">
        <v>15099</v>
      </c>
      <c r="D2362" s="13" t="s">
        <v>15100</v>
      </c>
      <c r="E2362" s="12" t="str">
        <f>HYPERLINK("https://twitter.com/mrhrajubd/status/1181904929495158784","1181904929495158784")</f>
        <v>1181904929495158784</v>
      </c>
      <c r="F2362" s="14" t="s">
        <v>15101</v>
      </c>
      <c r="G2362" s="14" t="s">
        <v>15102</v>
      </c>
      <c r="H2362" s="8"/>
      <c r="I2362" s="15">
        <v>0</v>
      </c>
      <c r="J2362" s="15">
        <v>1</v>
      </c>
      <c r="K2362" s="12" t="str">
        <f>HYPERLINK("https://mobile.twitter.com","Twitter Web App")</f>
        <v>Twitter Web App</v>
      </c>
      <c r="L2362" s="16">
        <v>16</v>
      </c>
      <c r="M2362" s="16">
        <v>179</v>
      </c>
      <c r="N2362" s="16">
        <v>0</v>
      </c>
      <c r="O2362" s="17"/>
      <c r="P2362" s="18">
        <v>43724.268391203703</v>
      </c>
      <c r="Q2362" s="7" t="s">
        <v>15103</v>
      </c>
      <c r="R2362" s="13" t="s">
        <v>15104</v>
      </c>
      <c r="S2362" s="14" t="s">
        <v>15105</v>
      </c>
      <c r="T2362" s="8"/>
      <c r="U2362" s="19" t="str">
        <f>HYPERLINK("https://pbs.twimg.com/profile_images/1175363871755735042/Aq5TFvmp.jpg","View")</f>
        <v>View</v>
      </c>
      <c r="V2362" s="8"/>
      <c r="W2362" s="8"/>
      <c r="X2362" s="8"/>
      <c r="Y2362" s="8"/>
      <c r="Z2362" s="8"/>
    </row>
    <row r="2363" spans="1:26" ht="12.75">
      <c r="A2363" s="11">
        <v>43747.21601851852</v>
      </c>
      <c r="B2363" s="12" t="str">
        <f>HYPERLINK("https://twitter.com/ilkaycebeci91","@ilkaycebeci91")</f>
        <v>@ilkaycebeci91</v>
      </c>
      <c r="C2363" s="7" t="s">
        <v>15106</v>
      </c>
      <c r="D2363" s="7" t="s">
        <v>15107</v>
      </c>
      <c r="E2363" s="12" t="str">
        <f>HYPERLINK("https://twitter.com/ilkaycebeci91/status/1181904910394298368","1181904910394298368")</f>
        <v>1181904910394298368</v>
      </c>
      <c r="F2363" s="8"/>
      <c r="G2363" s="7"/>
      <c r="H2363" s="8"/>
      <c r="I2363" s="15">
        <v>0</v>
      </c>
      <c r="J2363" s="15">
        <v>0</v>
      </c>
      <c r="K2363" s="12" t="str">
        <f>HYPERLINK("http://twitter.com/download/android","Twitter for Android")</f>
        <v>Twitter for Android</v>
      </c>
      <c r="L2363" s="16">
        <v>54</v>
      </c>
      <c r="M2363" s="16">
        <v>278</v>
      </c>
      <c r="N2363" s="16">
        <v>0</v>
      </c>
      <c r="O2363" s="17"/>
      <c r="P2363" s="18">
        <v>43431.470891203702</v>
      </c>
      <c r="Q2363" s="7"/>
      <c r="R2363" s="7" t="s">
        <v>15108</v>
      </c>
      <c r="S2363" s="7"/>
      <c r="T2363" s="8"/>
      <c r="U2363" s="19" t="str">
        <f>HYPERLINK("https://pbs.twimg.com/profile_images/1067595540563660801/YVKRfywP.jpg","View")</f>
        <v>View</v>
      </c>
      <c r="V2363" s="8"/>
      <c r="W2363" s="8"/>
      <c r="X2363" s="8"/>
      <c r="Y2363" s="8"/>
      <c r="Z2363" s="8"/>
    </row>
    <row r="2364" spans="1:26" ht="12.75">
      <c r="A2364" s="11">
        <v>43747.216006944444</v>
      </c>
      <c r="B2364" s="12" t="str">
        <f>HYPERLINK("https://twitter.com/AmineelifsaraB","@AmineelifsaraB")</f>
        <v>@AmineelifsaraB</v>
      </c>
      <c r="C2364" s="7" t="s">
        <v>15109</v>
      </c>
      <c r="D2364" s="7" t="s">
        <v>15110</v>
      </c>
      <c r="E2364" s="12" t="str">
        <f>HYPERLINK("https://twitter.com/AmineelifsaraB/status/1181904906548056064","1181904906548056064")</f>
        <v>1181904906548056064</v>
      </c>
      <c r="F2364" s="8"/>
      <c r="G2364" s="7"/>
      <c r="H2364" s="8"/>
      <c r="I2364" s="15">
        <v>0</v>
      </c>
      <c r="J2364" s="15">
        <v>3</v>
      </c>
      <c r="K2364" s="12" t="str">
        <f>HYPERLINK("https://mobile.twitter.com","Twitter Web App")</f>
        <v>Twitter Web App</v>
      </c>
      <c r="L2364" s="16">
        <v>1244</v>
      </c>
      <c r="M2364" s="16">
        <v>1285</v>
      </c>
      <c r="N2364" s="16">
        <v>0</v>
      </c>
      <c r="O2364" s="17"/>
      <c r="P2364" s="18">
        <v>43732.299814814818</v>
      </c>
      <c r="Q2364" s="7"/>
      <c r="R2364" s="7" t="s">
        <v>15111</v>
      </c>
      <c r="S2364" s="15"/>
      <c r="T2364" s="8"/>
      <c r="U2364" s="19" t="str">
        <f>HYPERLINK("https://pbs.twimg.com/profile_images/1176501522663903233/vOyzo6qk.jpg","View")</f>
        <v>View</v>
      </c>
      <c r="V2364" s="8"/>
      <c r="W2364" s="8"/>
      <c r="X2364" s="8"/>
      <c r="Y2364" s="8"/>
      <c r="Z2364" s="8"/>
    </row>
    <row r="2365" spans="1:26" ht="12.75">
      <c r="A2365" s="11">
        <v>43747.21597222222</v>
      </c>
      <c r="B2365" s="12" t="str">
        <f>HYPERLINK("https://twitter.com/MuslimSelman","@MuslimSelman")</f>
        <v>@MuslimSelman</v>
      </c>
      <c r="C2365" s="7" t="s">
        <v>15112</v>
      </c>
      <c r="D2365" s="7" t="s">
        <v>15113</v>
      </c>
      <c r="E2365" s="12" t="str">
        <f>HYPERLINK("https://twitter.com/MuslimSelman/status/1181904896557305857","1181904896557305857")</f>
        <v>1181904896557305857</v>
      </c>
      <c r="F2365" s="8"/>
      <c r="G2365" s="14" t="s">
        <v>15114</v>
      </c>
      <c r="H2365" s="8"/>
      <c r="I2365" s="15">
        <v>0</v>
      </c>
      <c r="J2365" s="15">
        <v>0</v>
      </c>
      <c r="K2365" s="12" t="str">
        <f>HYPERLINK("http://twitter.com/download/android","Twitter for Android")</f>
        <v>Twitter for Android</v>
      </c>
      <c r="L2365" s="16">
        <v>0</v>
      </c>
      <c r="M2365" s="16">
        <v>0</v>
      </c>
      <c r="N2365" s="16">
        <v>0</v>
      </c>
      <c r="O2365" s="17"/>
      <c r="P2365" s="18">
        <v>43649.958993055552</v>
      </c>
      <c r="Q2365" s="7" t="s">
        <v>15115</v>
      </c>
      <c r="R2365" s="7" t="s">
        <v>15116</v>
      </c>
      <c r="S2365" s="7"/>
      <c r="T2365" s="8"/>
      <c r="U2365" s="19" t="str">
        <f>HYPERLINK("https://pbs.twimg.com/profile_images/1146852282652397570/c2k_KVbW.jpg","View")</f>
        <v>View</v>
      </c>
      <c r="V2365" s="8"/>
      <c r="W2365" s="8"/>
      <c r="X2365" s="8"/>
      <c r="Y2365" s="8"/>
      <c r="Z2365" s="8"/>
    </row>
    <row r="2366" spans="1:26" ht="12.75">
      <c r="A2366" s="11">
        <v>43747.215879629628</v>
      </c>
      <c r="B2366" s="12" t="str">
        <f>HYPERLINK("https://twitter.com/dogansrp75","@dogansrp75")</f>
        <v>@dogansrp75</v>
      </c>
      <c r="C2366" s="7" t="s">
        <v>15117</v>
      </c>
      <c r="D2366" s="7" t="s">
        <v>15118</v>
      </c>
      <c r="E2366" s="12" t="str">
        <f>HYPERLINK("https://twitter.com/dogansrp75/status/1181904864034660352","1181904864034660352")</f>
        <v>1181904864034660352</v>
      </c>
      <c r="F2366" s="15"/>
      <c r="G2366" s="15"/>
      <c r="H2366" s="8"/>
      <c r="I2366" s="15">
        <v>0</v>
      </c>
      <c r="J2366" s="15">
        <v>0</v>
      </c>
      <c r="K2366" s="12" t="str">
        <f>HYPERLINK("https://mobile.twitter.com","Twitter Web App")</f>
        <v>Twitter Web App</v>
      </c>
      <c r="L2366" s="16">
        <v>288</v>
      </c>
      <c r="M2366" s="16">
        <v>198</v>
      </c>
      <c r="N2366" s="16">
        <v>0</v>
      </c>
      <c r="O2366" s="17"/>
      <c r="P2366" s="18">
        <v>42907.154907407406</v>
      </c>
      <c r="Q2366" s="7" t="s">
        <v>313</v>
      </c>
      <c r="R2366" s="7" t="s">
        <v>15119</v>
      </c>
      <c r="S2366" s="7"/>
      <c r="T2366" s="8"/>
      <c r="U2366" s="19" t="str">
        <f>HYPERLINK("https://pbs.twimg.com/profile_images/1141664260155674625/I3Rz1gof.jpg","View")</f>
        <v>View</v>
      </c>
      <c r="V2366" s="8"/>
      <c r="W2366" s="8"/>
      <c r="X2366" s="8"/>
      <c r="Y2366" s="8"/>
      <c r="Z2366" s="8"/>
    </row>
    <row r="2367" spans="1:26" ht="12.75">
      <c r="A2367" s="11">
        <v>43747.215833333335</v>
      </c>
      <c r="B2367" s="12" t="str">
        <f>HYPERLINK("https://twitter.com/SahutOzgur","@SahutOzgur")</f>
        <v>@SahutOzgur</v>
      </c>
      <c r="C2367" s="7" t="s">
        <v>15120</v>
      </c>
      <c r="D2367" s="7" t="s">
        <v>15121</v>
      </c>
      <c r="E2367" s="12" t="str">
        <f>HYPERLINK("https://twitter.com/SahutOzgur/status/1181904844199739392","1181904844199739392")</f>
        <v>1181904844199739392</v>
      </c>
      <c r="F2367" s="8"/>
      <c r="G2367" s="14" t="s">
        <v>15122</v>
      </c>
      <c r="H2367" s="8"/>
      <c r="I2367" s="15">
        <v>0</v>
      </c>
      <c r="J2367" s="15">
        <v>1</v>
      </c>
      <c r="K2367" s="12" t="str">
        <f>HYPERLINK("http://twitter.com/download/android","Twitter for Android")</f>
        <v>Twitter for Android</v>
      </c>
      <c r="L2367" s="16">
        <v>137</v>
      </c>
      <c r="M2367" s="16">
        <v>829</v>
      </c>
      <c r="N2367" s="16">
        <v>0</v>
      </c>
      <c r="O2367" s="17"/>
      <c r="P2367" s="18">
        <v>41810.543564814812</v>
      </c>
      <c r="Q2367" s="7"/>
      <c r="R2367" s="7"/>
      <c r="S2367" s="7"/>
      <c r="T2367" s="8"/>
      <c r="U2367" s="19" t="str">
        <f>HYPERLINK("https://pbs.twimg.com/profile_images/1171185404084703232/3KM1Y6vP.jpg","View")</f>
        <v>View</v>
      </c>
      <c r="V2367" s="8"/>
      <c r="W2367" s="8"/>
      <c r="X2367" s="8"/>
      <c r="Y2367" s="8"/>
      <c r="Z2367" s="8"/>
    </row>
    <row r="2368" spans="1:26" ht="12.75">
      <c r="A2368" s="11">
        <v>43747.215775462959</v>
      </c>
      <c r="B2368" s="12" t="str">
        <f>HYPERLINK("https://twitter.com/dogusays","@dogusays")</f>
        <v>@dogusays</v>
      </c>
      <c r="C2368" s="7" t="s">
        <v>15124</v>
      </c>
      <c r="D2368" s="7" t="s">
        <v>15125</v>
      </c>
      <c r="E2368" s="12" t="str">
        <f>HYPERLINK("https://twitter.com/dogusays/status/1181904825031839744","1181904825031839744")</f>
        <v>1181904825031839744</v>
      </c>
      <c r="F2368" s="8"/>
      <c r="G2368" s="14" t="s">
        <v>15126</v>
      </c>
      <c r="H2368" s="8"/>
      <c r="I2368" s="15">
        <v>0</v>
      </c>
      <c r="J2368" s="15">
        <v>0</v>
      </c>
      <c r="K2368" s="12" t="str">
        <f>HYPERLINK("http://twitter.com/download/iphone","Twitter for iPhone")</f>
        <v>Twitter for iPhone</v>
      </c>
      <c r="L2368" s="16">
        <v>76</v>
      </c>
      <c r="M2368" s="16">
        <v>46</v>
      </c>
      <c r="N2368" s="16">
        <v>0</v>
      </c>
      <c r="O2368" s="17"/>
      <c r="P2368" s="18">
        <v>41850.518912037034</v>
      </c>
      <c r="Q2368" s="7" t="s">
        <v>576</v>
      </c>
      <c r="R2368" s="7" t="s">
        <v>15127</v>
      </c>
      <c r="S2368" s="14" t="s">
        <v>15128</v>
      </c>
      <c r="T2368" s="8"/>
      <c r="U2368" s="19" t="str">
        <f>HYPERLINK("https://pbs.twimg.com/profile_images/1139948656252112896/xQuRcWJf.jpg","View")</f>
        <v>View</v>
      </c>
      <c r="V2368" s="8"/>
      <c r="W2368" s="8"/>
      <c r="X2368" s="8"/>
      <c r="Y2368" s="8"/>
      <c r="Z2368" s="8"/>
    </row>
    <row r="2369" spans="1:26" ht="12.75">
      <c r="A2369" s="11">
        <v>43747.215694444443</v>
      </c>
      <c r="B2369" s="12" t="str">
        <f>HYPERLINK("https://twitter.com/onurkaya03","@onurkaya03")</f>
        <v>@onurkaya03</v>
      </c>
      <c r="C2369" s="7" t="s">
        <v>15129</v>
      </c>
      <c r="D2369" s="7" t="s">
        <v>15130</v>
      </c>
      <c r="E2369" s="12" t="str">
        <f>HYPERLINK("https://twitter.com/onurkaya03/status/1181904795747127296","1181904795747127296")</f>
        <v>1181904795747127296</v>
      </c>
      <c r="F2369" s="8"/>
      <c r="G2369" s="14" t="s">
        <v>15131</v>
      </c>
      <c r="H2369" s="8"/>
      <c r="I2369" s="15">
        <v>0</v>
      </c>
      <c r="J2369" s="15">
        <v>0</v>
      </c>
      <c r="K2369" s="12" t="str">
        <f>HYPERLINK("http://twitter.com/download/android","Twitter for Android")</f>
        <v>Twitter for Android</v>
      </c>
      <c r="L2369" s="16">
        <v>20</v>
      </c>
      <c r="M2369" s="16">
        <v>58</v>
      </c>
      <c r="N2369" s="16">
        <v>0</v>
      </c>
      <c r="O2369" s="17"/>
      <c r="P2369" s="18">
        <v>43734.557974537034</v>
      </c>
      <c r="Q2369" s="7"/>
      <c r="R2369" s="7"/>
      <c r="S2369" s="7"/>
      <c r="T2369" s="8"/>
      <c r="U2369" s="19" t="str">
        <f>HYPERLINK("https://pbs.twimg.com/profile_images/1177317878271479809/5GDYK2ay.jpg","View")</f>
        <v>View</v>
      </c>
      <c r="V2369" s="8"/>
      <c r="W2369" s="8"/>
      <c r="X2369" s="8"/>
      <c r="Y2369" s="8"/>
      <c r="Z2369" s="8"/>
    </row>
    <row r="2370" spans="1:26" ht="12.75">
      <c r="A2370" s="11">
        <v>43747.215682870374</v>
      </c>
      <c r="B2370" s="12" t="str">
        <f>HYPERLINK("https://twitter.com/turketaraff","@turketaraff")</f>
        <v>@turketaraff</v>
      </c>
      <c r="C2370" s="7" t="s">
        <v>15132</v>
      </c>
      <c r="D2370" s="7" t="s">
        <v>15133</v>
      </c>
      <c r="E2370" s="12" t="str">
        <f>HYPERLINK("https://twitter.com/turketaraff/status/1181904790927884288","1181904790927884288")</f>
        <v>1181904790927884288</v>
      </c>
      <c r="F2370" s="8"/>
      <c r="G2370" s="14" t="s">
        <v>15134</v>
      </c>
      <c r="H2370" s="8"/>
      <c r="I2370" s="15">
        <v>0</v>
      </c>
      <c r="J2370" s="15">
        <v>0</v>
      </c>
      <c r="K2370" s="12" t="str">
        <f>HYPERLINK("http://twitter.com/download/iphone","Twitter for iPhone")</f>
        <v>Twitter for iPhone</v>
      </c>
      <c r="L2370" s="16">
        <v>0</v>
      </c>
      <c r="M2370" s="16">
        <v>0</v>
      </c>
      <c r="N2370" s="16">
        <v>0</v>
      </c>
      <c r="O2370" s="17"/>
      <c r="P2370" s="18">
        <v>43743.633333333331</v>
      </c>
      <c r="Q2370" s="7"/>
      <c r="R2370" s="7" t="s">
        <v>15135</v>
      </c>
      <c r="S2370" s="7"/>
      <c r="T2370" s="8"/>
      <c r="U2370" s="19" t="str">
        <f>HYPERLINK("https://pbs.twimg.com/profile_images/1181899865527377921/e2uj4tAa.jpg","View")</f>
        <v>View</v>
      </c>
      <c r="V2370" s="8"/>
      <c r="W2370" s="8"/>
      <c r="X2370" s="8"/>
      <c r="Y2370" s="8"/>
      <c r="Z2370" s="8"/>
    </row>
    <row r="2371" spans="1:26" ht="12.75">
      <c r="A2371" s="11">
        <v>43747.215648148151</v>
      </c>
      <c r="B2371" s="12" t="str">
        <f>HYPERLINK("https://twitter.com/YalancnnMumu5","@YalancnnMumu5")</f>
        <v>@YalancnnMumu5</v>
      </c>
      <c r="C2371" s="7" t="s">
        <v>15136</v>
      </c>
      <c r="D2371" s="7" t="s">
        <v>15137</v>
      </c>
      <c r="E2371" s="12" t="str">
        <f>HYPERLINK("https://twitter.com/YalancnnMumu5/status/1181904778525380611","1181904778525380611")</f>
        <v>1181904778525380611</v>
      </c>
      <c r="F2371" s="8"/>
      <c r="G2371" s="15"/>
      <c r="H2371" s="8"/>
      <c r="I2371" s="15">
        <v>0</v>
      </c>
      <c r="J2371" s="15">
        <v>0</v>
      </c>
      <c r="K2371" s="12" t="str">
        <f>HYPERLINK("http://twitter.com/download/android","Twitter for Android")</f>
        <v>Twitter for Android</v>
      </c>
      <c r="L2371" s="16">
        <v>638</v>
      </c>
      <c r="M2371" s="16">
        <v>859</v>
      </c>
      <c r="N2371" s="16">
        <v>0</v>
      </c>
      <c r="O2371" s="17"/>
      <c r="P2371" s="18">
        <v>43576.364525462966</v>
      </c>
      <c r="Q2371" s="7"/>
      <c r="R2371" s="7" t="s">
        <v>15138</v>
      </c>
      <c r="S2371" s="7"/>
      <c r="T2371" s="8"/>
      <c r="U2371" s="19" t="str">
        <f>HYPERLINK("https://pbs.twimg.com/profile_images/1173352511652188161/zvJJ7izh.jpg","View")</f>
        <v>View</v>
      </c>
      <c r="V2371" s="8"/>
      <c r="W2371" s="8"/>
      <c r="X2371" s="8"/>
      <c r="Y2371" s="8"/>
      <c r="Z2371" s="8"/>
    </row>
    <row r="2372" spans="1:26" ht="12.75">
      <c r="A2372" s="11">
        <v>43747.215578703705</v>
      </c>
      <c r="B2372" s="12" t="str">
        <f>HYPERLINK("https://twitter.com/AsumanSert","@AsumanSert")</f>
        <v>@AsumanSert</v>
      </c>
      <c r="C2372" s="7" t="s">
        <v>15139</v>
      </c>
      <c r="D2372" s="7" t="s">
        <v>15140</v>
      </c>
      <c r="E2372" s="12" t="str">
        <f>HYPERLINK("https://twitter.com/AsumanSert/status/1181904753497985025","1181904753497985025")</f>
        <v>1181904753497985025</v>
      </c>
      <c r="F2372" s="14" t="s">
        <v>1348</v>
      </c>
      <c r="G2372" s="14" t="s">
        <v>1350</v>
      </c>
      <c r="H2372" s="8"/>
      <c r="I2372" s="15">
        <v>0</v>
      </c>
      <c r="J2372" s="15">
        <v>1</v>
      </c>
      <c r="K2372" s="12" t="str">
        <f>HYPERLINK("http://twitter.com/download/iphone","Twitter for iPhone")</f>
        <v>Twitter for iPhone</v>
      </c>
      <c r="L2372" s="16">
        <v>163</v>
      </c>
      <c r="M2372" s="16">
        <v>496</v>
      </c>
      <c r="N2372" s="16">
        <v>0</v>
      </c>
      <c r="O2372" s="17"/>
      <c r="P2372" s="18">
        <v>40090.556828703702</v>
      </c>
      <c r="Q2372" s="7" t="s">
        <v>15141</v>
      </c>
      <c r="R2372" s="7" t="s">
        <v>15142</v>
      </c>
      <c r="S2372" s="7"/>
      <c r="T2372" s="8"/>
      <c r="U2372" s="19" t="str">
        <f>HYPERLINK("https://pbs.twimg.com/profile_images/960157457371860992/4JC3TqT7.jpg","View")</f>
        <v>View</v>
      </c>
      <c r="V2372" s="8"/>
      <c r="W2372" s="8"/>
      <c r="X2372" s="8"/>
      <c r="Y2372" s="8"/>
      <c r="Z2372" s="8"/>
    </row>
    <row r="2373" spans="1:26" ht="12.75">
      <c r="A2373" s="11">
        <v>43747.215520833328</v>
      </c>
      <c r="B2373" s="12" t="str">
        <f>HYPERLINK("https://twitter.com/sinansiranunn","@sinansiranunn")</f>
        <v>@sinansiranunn</v>
      </c>
      <c r="C2373" s="7" t="s">
        <v>15143</v>
      </c>
      <c r="D2373" s="7" t="s">
        <v>15144</v>
      </c>
      <c r="E2373" s="12" t="str">
        <f>HYPERLINK("https://twitter.com/sinansiranunn/status/1181904731729477632","1181904731729477632")</f>
        <v>1181904731729477632</v>
      </c>
      <c r="F2373" s="8"/>
      <c r="G2373" s="14" t="s">
        <v>15145</v>
      </c>
      <c r="H2373" s="8"/>
      <c r="I2373" s="15">
        <v>0</v>
      </c>
      <c r="J2373" s="15">
        <v>0</v>
      </c>
      <c r="K2373" s="12" t="str">
        <f>HYPERLINK("http://twitter.com/download/iphone","Twitter for iPhone")</f>
        <v>Twitter for iPhone</v>
      </c>
      <c r="L2373" s="16">
        <v>249</v>
      </c>
      <c r="M2373" s="16">
        <v>932</v>
      </c>
      <c r="N2373" s="16">
        <v>0</v>
      </c>
      <c r="O2373" s="17"/>
      <c r="P2373" s="18">
        <v>41247.515775462962</v>
      </c>
      <c r="Q2373" s="7"/>
      <c r="R2373" s="7" t="s">
        <v>15146</v>
      </c>
      <c r="S2373" s="7"/>
      <c r="T2373" s="8"/>
      <c r="U2373" s="19" t="str">
        <f>HYPERLINK("https://pbs.twimg.com/profile_images/1172459369889505280/B6eukrz7.jpg","View")</f>
        <v>View</v>
      </c>
      <c r="V2373" s="8"/>
      <c r="W2373" s="8"/>
      <c r="X2373" s="8"/>
      <c r="Y2373" s="8"/>
      <c r="Z2373" s="8"/>
    </row>
    <row r="2374" spans="1:26" ht="12.75">
      <c r="A2374" s="11">
        <v>43747.215474537035</v>
      </c>
      <c r="B2374" s="12" t="str">
        <f>HYPERLINK("https://twitter.com/iammrcelep","@iammrcelep")</f>
        <v>@iammrcelep</v>
      </c>
      <c r="C2374" s="7" t="s">
        <v>15147</v>
      </c>
      <c r="D2374" s="7" t="s">
        <v>9019</v>
      </c>
      <c r="E2374" s="12" t="str">
        <f>HYPERLINK("https://twitter.com/iammrcelep/status/1181904716856512517","1181904716856512517")</f>
        <v>1181904716856512517</v>
      </c>
      <c r="F2374" s="15"/>
      <c r="G2374" s="7"/>
      <c r="H2374" s="8"/>
      <c r="I2374" s="15">
        <v>0</v>
      </c>
      <c r="J2374" s="15">
        <v>0</v>
      </c>
      <c r="K2374" s="12" t="str">
        <f>HYPERLINK("http://twitter.com/download/android","Twitter for Android")</f>
        <v>Twitter for Android</v>
      </c>
      <c r="L2374" s="16">
        <v>18</v>
      </c>
      <c r="M2374" s="16">
        <v>273</v>
      </c>
      <c r="N2374" s="16">
        <v>0</v>
      </c>
      <c r="O2374" s="17"/>
      <c r="P2374" s="18">
        <v>43636.497060185182</v>
      </c>
      <c r="Q2374" s="7" t="s">
        <v>6778</v>
      </c>
      <c r="R2374" s="7" t="s">
        <v>15148</v>
      </c>
      <c r="S2374" s="7"/>
      <c r="T2374" s="8"/>
      <c r="U2374" s="19" t="str">
        <f>HYPERLINK("https://pbs.twimg.com/profile_images/1152567734116507649/MuCB5crj.jpg","View")</f>
        <v>View</v>
      </c>
      <c r="V2374" s="8"/>
      <c r="W2374" s="8"/>
      <c r="X2374" s="8"/>
      <c r="Y2374" s="8"/>
      <c r="Z2374" s="8"/>
    </row>
    <row r="2375" spans="1:26" ht="12.75">
      <c r="A2375" s="11">
        <v>43747.215347222227</v>
      </c>
      <c r="B2375" s="12" t="str">
        <f>HYPERLINK("https://twitter.com/mkky07","@mkky07")</f>
        <v>@mkky07</v>
      </c>
      <c r="C2375" s="7" t="s">
        <v>15149</v>
      </c>
      <c r="D2375" s="7" t="s">
        <v>15150</v>
      </c>
      <c r="E2375" s="12" t="str">
        <f>HYPERLINK("https://twitter.com/mkky07/status/1181904669163032578","1181904669163032578")</f>
        <v>1181904669163032578</v>
      </c>
      <c r="F2375" s="8"/>
      <c r="G2375" s="7"/>
      <c r="H2375" s="8"/>
      <c r="I2375" s="15">
        <v>0</v>
      </c>
      <c r="J2375" s="15">
        <v>0</v>
      </c>
      <c r="K2375" s="12" t="str">
        <f>HYPERLINK("http://twitter.com/download/android","Twitter for Android")</f>
        <v>Twitter for Android</v>
      </c>
      <c r="L2375" s="16">
        <v>141</v>
      </c>
      <c r="M2375" s="16">
        <v>130</v>
      </c>
      <c r="N2375" s="16">
        <v>0</v>
      </c>
      <c r="O2375" s="17"/>
      <c r="P2375" s="18">
        <v>41901.501701388886</v>
      </c>
      <c r="Q2375" s="7" t="s">
        <v>1639</v>
      </c>
      <c r="R2375" s="7" t="s">
        <v>15151</v>
      </c>
      <c r="S2375" s="15"/>
      <c r="T2375" s="8"/>
      <c r="U2375" s="19" t="str">
        <f>HYPERLINK("https://pbs.twimg.com/profile_images/1139294161696374785/SSiP--cR.jpg","View")</f>
        <v>View</v>
      </c>
      <c r="V2375" s="8"/>
      <c r="W2375" s="8"/>
      <c r="X2375" s="8"/>
      <c r="Y2375" s="8"/>
      <c r="Z2375" s="8"/>
    </row>
    <row r="2376" spans="1:26" ht="12.75">
      <c r="A2376" s="11">
        <v>43747.215300925927</v>
      </c>
      <c r="B2376" s="12" t="str">
        <f>HYPERLINK("https://twitter.com/ibrahimyavuznet","@ibrahimyavuznet")</f>
        <v>@ibrahimyavuznet</v>
      </c>
      <c r="C2376" s="7" t="s">
        <v>15152</v>
      </c>
      <c r="D2376" s="7" t="s">
        <v>15153</v>
      </c>
      <c r="E2376" s="12" t="str">
        <f>HYPERLINK("https://twitter.com/ibrahimyavuznet/status/1181904652998193153","1181904652998193153")</f>
        <v>1181904652998193153</v>
      </c>
      <c r="F2376" s="8"/>
      <c r="G2376" s="7"/>
      <c r="H2376" s="8"/>
      <c r="I2376" s="15">
        <v>0</v>
      </c>
      <c r="J2376" s="15">
        <v>1</v>
      </c>
      <c r="K2376" s="12" t="str">
        <f>HYPERLINK("https://mobile.twitter.com","Twitter Web App")</f>
        <v>Twitter Web App</v>
      </c>
      <c r="L2376" s="16">
        <v>10323</v>
      </c>
      <c r="M2376" s="16">
        <v>256</v>
      </c>
      <c r="N2376" s="16">
        <v>9</v>
      </c>
      <c r="O2376" s="17"/>
      <c r="P2376" s="18">
        <v>41211.428796296299</v>
      </c>
      <c r="Q2376" s="7" t="s">
        <v>13102</v>
      </c>
      <c r="R2376" s="7" t="s">
        <v>15154</v>
      </c>
      <c r="S2376" s="7"/>
      <c r="T2376" s="8"/>
      <c r="U2376" s="19" t="str">
        <f>HYPERLINK("https://pbs.twimg.com/profile_images/1125130639437594624/mG66NF5-.jpg","View")</f>
        <v>View</v>
      </c>
      <c r="V2376" s="8"/>
      <c r="W2376" s="8"/>
      <c r="X2376" s="8"/>
      <c r="Y2376" s="8"/>
      <c r="Z2376" s="8"/>
    </row>
    <row r="2377" spans="1:26" ht="12.75">
      <c r="A2377" s="11">
        <v>43747.215138888889</v>
      </c>
      <c r="B2377" s="12" t="str">
        <f>HYPERLINK("https://twitter.com/vlknuzunn","@vlknuzunn")</f>
        <v>@vlknuzunn</v>
      </c>
      <c r="C2377" s="7" t="s">
        <v>15155</v>
      </c>
      <c r="D2377" s="7" t="s">
        <v>160</v>
      </c>
      <c r="E2377" s="12" t="str">
        <f>HYPERLINK("https://twitter.com/vlknuzunn/status/1181904591757160450","1181904591757160450")</f>
        <v>1181904591757160450</v>
      </c>
      <c r="F2377" s="8"/>
      <c r="G2377" s="14" t="s">
        <v>15156</v>
      </c>
      <c r="H2377" s="8"/>
      <c r="I2377" s="15">
        <v>0</v>
      </c>
      <c r="J2377" s="15">
        <v>0</v>
      </c>
      <c r="K2377" s="12" t="str">
        <f>HYPERLINK("http://twitter.com/download/iphone","Twitter for iPhone")</f>
        <v>Twitter for iPhone</v>
      </c>
      <c r="L2377" s="16">
        <v>115</v>
      </c>
      <c r="M2377" s="16">
        <v>128</v>
      </c>
      <c r="N2377" s="16">
        <v>0</v>
      </c>
      <c r="O2377" s="17"/>
      <c r="P2377" s="18">
        <v>41257.532500000001</v>
      </c>
      <c r="Q2377" s="7" t="s">
        <v>200</v>
      </c>
      <c r="R2377" s="7" t="s">
        <v>15157</v>
      </c>
      <c r="S2377" s="7"/>
      <c r="T2377" s="8"/>
      <c r="U2377" s="19" t="str">
        <f>HYPERLINK("https://pbs.twimg.com/profile_images/1157208702363099136/oqKq8Hzu.jpg","View")</f>
        <v>View</v>
      </c>
      <c r="V2377" s="8"/>
      <c r="W2377" s="8"/>
      <c r="X2377" s="8"/>
      <c r="Y2377" s="8"/>
      <c r="Z2377" s="8"/>
    </row>
    <row r="2378" spans="1:26" ht="12.75">
      <c r="A2378" s="11">
        <v>43747.215127314819</v>
      </c>
      <c r="B2378" s="12" t="str">
        <f>HYPERLINK("https://twitter.com/kemal_tanrivrdi","@kemal_tanrivrdi")</f>
        <v>@kemal_tanrivrdi</v>
      </c>
      <c r="C2378" s="7" t="s">
        <v>15158</v>
      </c>
      <c r="D2378" s="7" t="s">
        <v>15159</v>
      </c>
      <c r="E2378" s="12" t="str">
        <f>HYPERLINK("https://twitter.com/kemal_tanrivrdi/status/1181904588498186241","1181904588498186241")</f>
        <v>1181904588498186241</v>
      </c>
      <c r="F2378" s="8"/>
      <c r="G2378" s="14" t="s">
        <v>15160</v>
      </c>
      <c r="H2378" s="8"/>
      <c r="I2378" s="15">
        <v>0</v>
      </c>
      <c r="J2378" s="15">
        <v>0</v>
      </c>
      <c r="K2378" s="12" t="str">
        <f>HYPERLINK("http://twitter.com/download/android","Twitter for Android")</f>
        <v>Twitter for Android</v>
      </c>
      <c r="L2378" s="16">
        <v>63</v>
      </c>
      <c r="M2378" s="16">
        <v>185</v>
      </c>
      <c r="N2378" s="16">
        <v>0</v>
      </c>
      <c r="O2378" s="17"/>
      <c r="P2378" s="18">
        <v>42266.572025462963</v>
      </c>
      <c r="Q2378" s="7" t="s">
        <v>15161</v>
      </c>
      <c r="R2378" s="7" t="s">
        <v>15162</v>
      </c>
      <c r="S2378" s="7"/>
      <c r="T2378" s="8"/>
      <c r="U2378" s="19" t="str">
        <f>HYPERLINK("https://pbs.twimg.com/profile_images/645338250337472513/JJJU_A1U.jpg","View")</f>
        <v>View</v>
      </c>
      <c r="V2378" s="8"/>
      <c r="W2378" s="8"/>
      <c r="X2378" s="8"/>
      <c r="Y2378" s="8"/>
      <c r="Z2378" s="8"/>
    </row>
    <row r="2379" spans="1:26" ht="12.75">
      <c r="A2379" s="11">
        <v>43747.214965277773</v>
      </c>
      <c r="B2379" s="12" t="str">
        <f>HYPERLINK("https://twitter.com/HKartas","@HKartas")</f>
        <v>@HKartas</v>
      </c>
      <c r="C2379" s="7" t="s">
        <v>15163</v>
      </c>
      <c r="D2379" s="7" t="s">
        <v>15164</v>
      </c>
      <c r="E2379" s="12" t="str">
        <f>HYPERLINK("https://twitter.com/HKartas/status/1181904532600770560","1181904532600770560")</f>
        <v>1181904532600770560</v>
      </c>
      <c r="F2379" s="14" t="s">
        <v>15165</v>
      </c>
      <c r="G2379" s="14" t="s">
        <v>15166</v>
      </c>
      <c r="H2379" s="8"/>
      <c r="I2379" s="15">
        <v>0</v>
      </c>
      <c r="J2379" s="15">
        <v>1</v>
      </c>
      <c r="K2379" s="12" t="str">
        <f>HYPERLINK("http://twitter.com/download/iphone","Twitter for iPhone")</f>
        <v>Twitter for iPhone</v>
      </c>
      <c r="L2379" s="16">
        <v>106</v>
      </c>
      <c r="M2379" s="16">
        <v>267</v>
      </c>
      <c r="N2379" s="16">
        <v>0</v>
      </c>
      <c r="O2379" s="17"/>
      <c r="P2379" s="18">
        <v>41752.356435185182</v>
      </c>
      <c r="Q2379" s="7" t="s">
        <v>15167</v>
      </c>
      <c r="R2379" s="7"/>
      <c r="S2379" s="7"/>
      <c r="T2379" s="8"/>
      <c r="U2379" s="19" t="str">
        <f>HYPERLINK("https://pbs.twimg.com/profile_images/1159723823220109312/jXL6WIUP.jpg","View")</f>
        <v>View</v>
      </c>
      <c r="V2379" s="8"/>
      <c r="W2379" s="8"/>
      <c r="X2379" s="8"/>
      <c r="Y2379" s="8"/>
      <c r="Z2379" s="8"/>
    </row>
    <row r="2380" spans="1:26" ht="12.75">
      <c r="A2380" s="11">
        <v>43747.214942129634</v>
      </c>
      <c r="B2380" s="12" t="str">
        <f>HYPERLINK("https://twitter.com/AKCOJr","@AKCOJr")</f>
        <v>@AKCOJr</v>
      </c>
      <c r="C2380" s="7" t="s">
        <v>15168</v>
      </c>
      <c r="D2380" s="7" t="s">
        <v>15169</v>
      </c>
      <c r="E2380" s="12" t="str">
        <f>HYPERLINK("https://twitter.com/AKCOJr/status/1181904522127577090","1181904522127577090")</f>
        <v>1181904522127577090</v>
      </c>
      <c r="F2380" s="8"/>
      <c r="G2380" s="15"/>
      <c r="H2380" s="8"/>
      <c r="I2380" s="15">
        <v>0</v>
      </c>
      <c r="J2380" s="15">
        <v>0</v>
      </c>
      <c r="K2380" s="12" t="str">
        <f>HYPERLINK("http://twitter.com/download/android","Twitter for Android")</f>
        <v>Twitter for Android</v>
      </c>
      <c r="L2380" s="16">
        <v>786</v>
      </c>
      <c r="M2380" s="16">
        <v>593</v>
      </c>
      <c r="N2380" s="16">
        <v>3</v>
      </c>
      <c r="O2380" s="17"/>
      <c r="P2380" s="18">
        <v>40528.053784722222</v>
      </c>
      <c r="Q2380" s="7" t="s">
        <v>313</v>
      </c>
      <c r="R2380" s="7" t="s">
        <v>15170</v>
      </c>
      <c r="S2380" s="14" t="s">
        <v>15171</v>
      </c>
      <c r="T2380" s="8"/>
      <c r="U2380" s="19" t="str">
        <f>HYPERLINK("https://pbs.twimg.com/profile_images/1086093296689135616/9L6bTgiK.jpg","View")</f>
        <v>View</v>
      </c>
      <c r="V2380" s="8"/>
      <c r="W2380" s="8"/>
      <c r="X2380" s="8"/>
      <c r="Y2380" s="8"/>
      <c r="Z2380" s="8"/>
    </row>
    <row r="2381" spans="1:26" ht="12.75">
      <c r="A2381" s="11">
        <v>43747.21493055555</v>
      </c>
      <c r="B2381" s="12" t="str">
        <f>HYPERLINK("https://twitter.com/Arya91053642","@Arya91053642")</f>
        <v>@Arya91053642</v>
      </c>
      <c r="C2381" s="7" t="s">
        <v>15172</v>
      </c>
      <c r="D2381" s="7" t="s">
        <v>15173</v>
      </c>
      <c r="E2381" s="12" t="str">
        <f>HYPERLINK("https://twitter.com/Arya91053642/status/1181904519736807424","1181904519736807424")</f>
        <v>1181904519736807424</v>
      </c>
      <c r="F2381" s="8"/>
      <c r="G2381" s="7"/>
      <c r="H2381" s="8"/>
      <c r="I2381" s="15">
        <v>0</v>
      </c>
      <c r="J2381" s="15">
        <v>0</v>
      </c>
      <c r="K2381" s="12" t="str">
        <f>HYPERLINK("https://mobile.twitter.com","Twitter Web App")</f>
        <v>Twitter Web App</v>
      </c>
      <c r="L2381" s="16">
        <v>29</v>
      </c>
      <c r="M2381" s="16">
        <v>88</v>
      </c>
      <c r="N2381" s="16">
        <v>0</v>
      </c>
      <c r="O2381" s="17"/>
      <c r="P2381" s="18">
        <v>43606.949201388888</v>
      </c>
      <c r="Q2381" s="7"/>
      <c r="R2381" s="7"/>
      <c r="S2381" s="7"/>
      <c r="T2381" s="8"/>
      <c r="U2381" s="19" t="str">
        <f>HYPERLINK("https://pbs.twimg.com/profile_images/1169235722693500928/RH-w9VLJ.jpg","View")</f>
        <v>View</v>
      </c>
      <c r="V2381" s="8"/>
      <c r="W2381" s="8"/>
      <c r="X2381" s="8"/>
      <c r="Y2381" s="8"/>
      <c r="Z2381" s="8"/>
    </row>
    <row r="2382" spans="1:26" ht="12.75">
      <c r="A2382" s="11">
        <v>43747.214918981481</v>
      </c>
      <c r="B2382" s="12" t="str">
        <f>HYPERLINK("https://twitter.com/Anlmrcc","@Anlmrcc")</f>
        <v>@Anlmrcc</v>
      </c>
      <c r="C2382" s="7" t="s">
        <v>15174</v>
      </c>
      <c r="D2382" s="7" t="s">
        <v>15054</v>
      </c>
      <c r="E2382" s="12" t="str">
        <f>HYPERLINK("https://twitter.com/Anlmrcc/status/1181904513717944320","1181904513717944320")</f>
        <v>1181904513717944320</v>
      </c>
      <c r="F2382" s="8"/>
      <c r="G2382" s="7"/>
      <c r="H2382" s="8"/>
      <c r="I2382" s="15">
        <v>0</v>
      </c>
      <c r="J2382" s="15">
        <v>0</v>
      </c>
      <c r="K2382" s="12" t="str">
        <f>HYPERLINK("http://twitter.com/download/android","Twitter for Android")</f>
        <v>Twitter for Android</v>
      </c>
      <c r="L2382" s="16">
        <v>20</v>
      </c>
      <c r="M2382" s="16">
        <v>51</v>
      </c>
      <c r="N2382" s="16">
        <v>0</v>
      </c>
      <c r="O2382" s="17"/>
      <c r="P2382" s="18">
        <v>43142.220370370371</v>
      </c>
      <c r="Q2382" s="7" t="s">
        <v>12326</v>
      </c>
      <c r="R2382" s="7" t="s">
        <v>15175</v>
      </c>
      <c r="S2382" s="7"/>
      <c r="T2382" s="8"/>
      <c r="U2382" s="19" t="str">
        <f>HYPERLINK("https://pbs.twimg.com/profile_images/1158252665492705281/KqwPzO1L.jpg","View")</f>
        <v>View</v>
      </c>
      <c r="V2382" s="8"/>
      <c r="W2382" s="8"/>
      <c r="X2382" s="8"/>
      <c r="Y2382" s="8"/>
      <c r="Z2382" s="8"/>
    </row>
    <row r="2383" spans="1:26" ht="12.75">
      <c r="A2383" s="11">
        <v>43747.214814814812</v>
      </c>
      <c r="B2383" s="12" t="str">
        <f>HYPERLINK("https://twitter.com/SelmanBayrak7","@SelmanBayrak7")</f>
        <v>@SelmanBayrak7</v>
      </c>
      <c r="C2383" s="7" t="s">
        <v>15176</v>
      </c>
      <c r="D2383" s="7" t="s">
        <v>15177</v>
      </c>
      <c r="E2383" s="12" t="str">
        <f>HYPERLINK("https://twitter.com/SelmanBayrak7/status/1181904477936377857","1181904477936377857")</f>
        <v>1181904477936377857</v>
      </c>
      <c r="F2383" s="8"/>
      <c r="G2383" s="7"/>
      <c r="H2383" s="8"/>
      <c r="I2383" s="15">
        <v>0</v>
      </c>
      <c r="J2383" s="15">
        <v>0</v>
      </c>
      <c r="K2383" s="12" t="str">
        <f>HYPERLINK("http://twitter.com/download/iphone","Twitter for iPhone")</f>
        <v>Twitter for iPhone</v>
      </c>
      <c r="L2383" s="16">
        <v>208</v>
      </c>
      <c r="M2383" s="16">
        <v>1619</v>
      </c>
      <c r="N2383" s="16">
        <v>0</v>
      </c>
      <c r="O2383" s="17"/>
      <c r="P2383" s="18">
        <v>40741.61478009259</v>
      </c>
      <c r="Q2383" s="7" t="s">
        <v>576</v>
      </c>
      <c r="R2383" s="7" t="s">
        <v>15178</v>
      </c>
      <c r="S2383" s="15"/>
      <c r="T2383" s="8"/>
      <c r="U2383" s="19" t="str">
        <f>HYPERLINK("https://pbs.twimg.com/profile_images/1153442601284132865/QEQDjpeV.jpg","View")</f>
        <v>View</v>
      </c>
      <c r="V2383" s="8"/>
      <c r="W2383" s="8"/>
      <c r="X2383" s="8"/>
      <c r="Y2383" s="8"/>
      <c r="Z2383" s="8"/>
    </row>
    <row r="2384" spans="1:26" ht="12.75">
      <c r="A2384" s="11">
        <v>43747.214814814812</v>
      </c>
      <c r="B2384" s="12" t="str">
        <f>HYPERLINK("https://twitter.com/ayladursunn","@ayladursunn")</f>
        <v>@ayladursunn</v>
      </c>
      <c r="C2384" s="7" t="s">
        <v>15179</v>
      </c>
      <c r="D2384" s="7" t="s">
        <v>15180</v>
      </c>
      <c r="E2384" s="12" t="str">
        <f>HYPERLINK("https://twitter.com/ayladursunn/status/1181904474987732995","1181904474987732995")</f>
        <v>1181904474987732995</v>
      </c>
      <c r="F2384" s="8"/>
      <c r="G2384" s="7"/>
      <c r="H2384" s="8"/>
      <c r="I2384" s="15">
        <v>0</v>
      </c>
      <c r="J2384" s="15">
        <v>0</v>
      </c>
      <c r="K2384" s="12" t="str">
        <f>HYPERLINK("http://twitter.com/download/android","Twitter for Android")</f>
        <v>Twitter for Android</v>
      </c>
      <c r="L2384" s="16">
        <v>100</v>
      </c>
      <c r="M2384" s="16">
        <v>304</v>
      </c>
      <c r="N2384" s="16">
        <v>0</v>
      </c>
      <c r="O2384" s="17"/>
      <c r="P2384" s="18">
        <v>40951.608900462961</v>
      </c>
      <c r="Q2384" s="7" t="s">
        <v>15181</v>
      </c>
      <c r="R2384" s="7"/>
      <c r="S2384" s="7"/>
      <c r="T2384" s="8"/>
      <c r="U2384" s="19" t="str">
        <f>HYPERLINK("https://pbs.twimg.com/profile_images/729722523047301120/TshqlX16.jpg","View")</f>
        <v>View</v>
      </c>
      <c r="V2384" s="8"/>
      <c r="W2384" s="8"/>
      <c r="X2384" s="8"/>
      <c r="Y2384" s="8"/>
      <c r="Z2384" s="8"/>
    </row>
    <row r="2385" spans="1:26" ht="12.75">
      <c r="A2385" s="11">
        <v>43747.214791666665</v>
      </c>
      <c r="B2385" s="12" t="str">
        <f>HYPERLINK("https://twitter.com/cioooderler","@cioooderler")</f>
        <v>@cioooderler</v>
      </c>
      <c r="C2385" s="7" t="s">
        <v>15182</v>
      </c>
      <c r="D2385" s="7" t="s">
        <v>160</v>
      </c>
      <c r="E2385" s="12" t="str">
        <f>HYPERLINK("https://twitter.com/cioooderler/status/1181904465990946822","1181904465990946822")</f>
        <v>1181904465990946822</v>
      </c>
      <c r="F2385" s="15"/>
      <c r="G2385" s="14" t="s">
        <v>15183</v>
      </c>
      <c r="H2385" s="8"/>
      <c r="I2385" s="15">
        <v>0</v>
      </c>
      <c r="J2385" s="15">
        <v>0</v>
      </c>
      <c r="K2385" s="12" t="str">
        <f>HYPERLINK("http://twitter.com/download/android","Twitter for Android")</f>
        <v>Twitter for Android</v>
      </c>
      <c r="L2385" s="16">
        <v>922</v>
      </c>
      <c r="M2385" s="16">
        <v>691</v>
      </c>
      <c r="N2385" s="16">
        <v>0</v>
      </c>
      <c r="O2385" s="17"/>
      <c r="P2385" s="18">
        <v>43629.001759259263</v>
      </c>
      <c r="Q2385" s="7"/>
      <c r="R2385" s="7" t="s">
        <v>15184</v>
      </c>
      <c r="S2385" s="15"/>
      <c r="T2385" s="8"/>
      <c r="U2385" s="19" t="str">
        <f>HYPERLINK("https://pbs.twimg.com/profile_images/1151361324573691905/G7nnP-mv.jpg","View")</f>
        <v>View</v>
      </c>
      <c r="V2385" s="8"/>
      <c r="W2385" s="8"/>
      <c r="X2385" s="8"/>
      <c r="Y2385" s="8"/>
      <c r="Z2385" s="8"/>
    </row>
    <row r="2386" spans="1:26" ht="12.75">
      <c r="A2386" s="11">
        <v>43747.214687500003</v>
      </c>
      <c r="B2386" s="12" t="str">
        <f>HYPERLINK("https://twitter.com/Av_SinanKILIC","@Av_SinanKILIC")</f>
        <v>@Av_SinanKILIC</v>
      </c>
      <c r="C2386" s="7" t="s">
        <v>15185</v>
      </c>
      <c r="D2386" s="7" t="s">
        <v>15186</v>
      </c>
      <c r="E2386" s="12" t="str">
        <f>HYPERLINK("https://twitter.com/Av_SinanKILIC/status/1181904430687510533","1181904430687510533")</f>
        <v>1181904430687510533</v>
      </c>
      <c r="F2386" s="8" t="s">
        <v>15187</v>
      </c>
      <c r="G2386" s="14" t="s">
        <v>15188</v>
      </c>
      <c r="H2386" s="8"/>
      <c r="I2386" s="15">
        <v>0</v>
      </c>
      <c r="J2386" s="15">
        <v>0</v>
      </c>
      <c r="K2386" s="12" t="str">
        <f>HYPERLINK("https://mobile.twitter.com","Twitter Web App")</f>
        <v>Twitter Web App</v>
      </c>
      <c r="L2386" s="16">
        <v>3412</v>
      </c>
      <c r="M2386" s="16">
        <v>712</v>
      </c>
      <c r="N2386" s="16">
        <v>14</v>
      </c>
      <c r="O2386" s="17"/>
      <c r="P2386" s="18">
        <v>41001.385983796295</v>
      </c>
      <c r="Q2386" s="7" t="s">
        <v>15189</v>
      </c>
      <c r="R2386" s="7" t="s">
        <v>15190</v>
      </c>
      <c r="S2386" s="7"/>
      <c r="T2386" s="8"/>
      <c r="U2386" s="19" t="str">
        <f>HYPERLINK("https://pbs.twimg.com/profile_images/1050107170182840320/iH6mQhrI.jpg","View")</f>
        <v>View</v>
      </c>
      <c r="V2386" s="8"/>
      <c r="W2386" s="8"/>
      <c r="X2386" s="8"/>
      <c r="Y2386" s="8"/>
      <c r="Z2386" s="8"/>
    </row>
    <row r="2387" spans="1:26" ht="12.75">
      <c r="A2387" s="11">
        <v>43747.21466435185</v>
      </c>
      <c r="B2387" s="12" t="str">
        <f>HYPERLINK("https://twitter.com/2ncielkitap","@2ncielkitap")</f>
        <v>@2ncielkitap</v>
      </c>
      <c r="C2387" s="7" t="s">
        <v>15191</v>
      </c>
      <c r="D2387" s="7" t="s">
        <v>15192</v>
      </c>
      <c r="E2387" s="12" t="str">
        <f>HYPERLINK("https://twitter.com/2ncielkitap/status/1181904423137751041","1181904423137751041")</f>
        <v>1181904423137751041</v>
      </c>
      <c r="F2387" s="15"/>
      <c r="G2387" s="14" t="s">
        <v>15193</v>
      </c>
      <c r="H2387" s="8"/>
      <c r="I2387" s="15">
        <v>0</v>
      </c>
      <c r="J2387" s="15">
        <v>0</v>
      </c>
      <c r="K2387" s="12" t="str">
        <f>HYPERLINK("http://twitter.com/download/android","Twitter for Android")</f>
        <v>Twitter for Android</v>
      </c>
      <c r="L2387" s="16">
        <v>1</v>
      </c>
      <c r="M2387" s="16">
        <v>5</v>
      </c>
      <c r="N2387" s="16">
        <v>0</v>
      </c>
      <c r="O2387" s="17"/>
      <c r="P2387" s="18">
        <v>43453.046921296293</v>
      </c>
      <c r="Q2387" s="7" t="s">
        <v>4645</v>
      </c>
      <c r="R2387" s="7" t="s">
        <v>15194</v>
      </c>
      <c r="S2387" s="15"/>
      <c r="T2387" s="8"/>
      <c r="U2387" s="19" t="str">
        <f>HYPERLINK("https://pbs.twimg.com/profile_images/1080155139498012674/2iDHrlZA.jpg","View")</f>
        <v>View</v>
      </c>
      <c r="V2387" s="8"/>
      <c r="W2387" s="8"/>
      <c r="X2387" s="8"/>
      <c r="Y2387" s="8"/>
      <c r="Z2387" s="8"/>
    </row>
    <row r="2388" spans="1:26" ht="12.75">
      <c r="A2388" s="11">
        <v>43747.214606481481</v>
      </c>
      <c r="B2388" s="12" t="str">
        <f>HYPERLINK("https://twitter.com/BerkOcbe","@BerkOcbe")</f>
        <v>@BerkOcbe</v>
      </c>
      <c r="C2388" s="7" t="s">
        <v>15195</v>
      </c>
      <c r="D2388" s="7" t="s">
        <v>15196</v>
      </c>
      <c r="E2388" s="12" t="str">
        <f>HYPERLINK("https://twitter.com/BerkOcbe/status/1181904401738416128","1181904401738416128")</f>
        <v>1181904401738416128</v>
      </c>
      <c r="F2388" s="8"/>
      <c r="G2388" s="7"/>
      <c r="H2388" s="8"/>
      <c r="I2388" s="15">
        <v>0</v>
      </c>
      <c r="J2388" s="15">
        <v>0</v>
      </c>
      <c r="K2388" s="12" t="str">
        <f>HYPERLINK("http://twitter.com/download/iphone","Twitter for iPhone")</f>
        <v>Twitter for iPhone</v>
      </c>
      <c r="L2388" s="16">
        <v>53</v>
      </c>
      <c r="M2388" s="16">
        <v>72</v>
      </c>
      <c r="N2388" s="16">
        <v>0</v>
      </c>
      <c r="O2388" s="17"/>
      <c r="P2388" s="18">
        <v>43709.235625000001</v>
      </c>
      <c r="Q2388" s="7"/>
      <c r="R2388" s="7" t="s">
        <v>15197</v>
      </c>
      <c r="S2388" s="7"/>
      <c r="T2388" s="8"/>
      <c r="U2388" s="19" t="str">
        <f>HYPERLINK("https://pbs.twimg.com/profile_images/1168145934259302402/WV6CauV_.jpg","View")</f>
        <v>View</v>
      </c>
      <c r="V2388" s="8"/>
      <c r="W2388" s="8"/>
      <c r="X2388" s="8"/>
      <c r="Y2388" s="8"/>
      <c r="Z2388" s="8"/>
    </row>
    <row r="2389" spans="1:26" ht="12.75">
      <c r="A2389" s="11">
        <v>43747.214606481481</v>
      </c>
      <c r="B2389" s="12" t="str">
        <f>HYPERLINK("https://twitter.com/hanajerryy","@hanajerryy")</f>
        <v>@hanajerryy</v>
      </c>
      <c r="C2389" s="7" t="s">
        <v>15198</v>
      </c>
      <c r="D2389" s="7" t="s">
        <v>15199</v>
      </c>
      <c r="E2389" s="12" t="str">
        <f>HYPERLINK("https://twitter.com/hanajerryy/status/1181904399616098304","1181904399616098304")</f>
        <v>1181904399616098304</v>
      </c>
      <c r="F2389" s="8"/>
      <c r="G2389" s="14" t="s">
        <v>15200</v>
      </c>
      <c r="H2389" s="8"/>
      <c r="I2389" s="15">
        <v>0</v>
      </c>
      <c r="J2389" s="15">
        <v>0</v>
      </c>
      <c r="K2389" s="12" t="str">
        <f>HYPERLINK("http://twitter.com/download/iphone","Twitter for iPhone")</f>
        <v>Twitter for iPhone</v>
      </c>
      <c r="L2389" s="16">
        <v>135</v>
      </c>
      <c r="M2389" s="16">
        <v>155</v>
      </c>
      <c r="N2389" s="16">
        <v>0</v>
      </c>
      <c r="O2389" s="17"/>
      <c r="P2389" s="18">
        <v>43688.078356481477</v>
      </c>
      <c r="Q2389" s="7"/>
      <c r="R2389" s="7" t="s">
        <v>15201</v>
      </c>
      <c r="S2389" s="14" t="s">
        <v>15202</v>
      </c>
      <c r="T2389" s="8"/>
      <c r="U2389" s="19" t="str">
        <f>HYPERLINK("https://pbs.twimg.com/profile_images/1181262982304686080/MOfPlK1w.jpg","View")</f>
        <v>View</v>
      </c>
      <c r="V2389" s="8"/>
      <c r="W2389" s="8"/>
      <c r="X2389" s="8"/>
      <c r="Y2389" s="8"/>
      <c r="Z2389" s="8"/>
    </row>
    <row r="2390" spans="1:26" ht="12.75">
      <c r="A2390" s="11">
        <v>43747.214560185181</v>
      </c>
      <c r="B2390" s="12" t="str">
        <f>HYPERLINK("https://twitter.com/Gulperili","@Gulperili")</f>
        <v>@Gulperili</v>
      </c>
      <c r="C2390" s="7" t="s">
        <v>15203</v>
      </c>
      <c r="D2390" s="7" t="s">
        <v>15204</v>
      </c>
      <c r="E2390" s="12" t="str">
        <f>HYPERLINK("https://twitter.com/Gulperili/status/1181904384344694786","1181904384344694786")</f>
        <v>1181904384344694786</v>
      </c>
      <c r="F2390" s="8"/>
      <c r="G2390" s="14" t="s">
        <v>15205</v>
      </c>
      <c r="H2390" s="8"/>
      <c r="I2390" s="15">
        <v>1</v>
      </c>
      <c r="J2390" s="15">
        <v>3</v>
      </c>
      <c r="K2390" s="12" t="str">
        <f>HYPERLINK("http://twitter.com","Twitter Web Client")</f>
        <v>Twitter Web Client</v>
      </c>
      <c r="L2390" s="16">
        <v>2698</v>
      </c>
      <c r="M2390" s="16">
        <v>2482</v>
      </c>
      <c r="N2390" s="16">
        <v>0</v>
      </c>
      <c r="O2390" s="17"/>
      <c r="P2390" s="18">
        <v>43349.552789351852</v>
      </c>
      <c r="Q2390" s="7" t="s">
        <v>200</v>
      </c>
      <c r="R2390" s="7" t="s">
        <v>15206</v>
      </c>
      <c r="S2390" s="14" t="s">
        <v>15207</v>
      </c>
      <c r="T2390" s="8"/>
      <c r="U2390" s="19" t="str">
        <f>HYPERLINK("https://pbs.twimg.com/profile_images/1181703919921254401/5BzDC1cq.jpg","View")</f>
        <v>View</v>
      </c>
      <c r="V2390" s="8"/>
      <c r="W2390" s="8"/>
      <c r="X2390" s="8"/>
      <c r="Y2390" s="8"/>
      <c r="Z2390" s="8"/>
    </row>
    <row r="2391" spans="1:26" ht="12.75">
      <c r="A2391" s="11">
        <v>43747.214374999996</v>
      </c>
      <c r="B2391" s="12" t="str">
        <f>HYPERLINK("https://twitter.com/Misli34","@Misli34")</f>
        <v>@Misli34</v>
      </c>
      <c r="C2391" s="7" t="s">
        <v>15208</v>
      </c>
      <c r="D2391" s="7" t="s">
        <v>15209</v>
      </c>
      <c r="E2391" s="12" t="str">
        <f>HYPERLINK("https://twitter.com/Misli34/status/1181904315256098826","1181904315256098826")</f>
        <v>1181904315256098826</v>
      </c>
      <c r="F2391" s="8"/>
      <c r="G2391" s="14" t="s">
        <v>15210</v>
      </c>
      <c r="H2391" s="8"/>
      <c r="I2391" s="15">
        <v>0</v>
      </c>
      <c r="J2391" s="15">
        <v>2</v>
      </c>
      <c r="K2391" s="12" t="str">
        <f>HYPERLINK("http://twitter.com/download/android","Twitter for Android")</f>
        <v>Twitter for Android</v>
      </c>
      <c r="L2391" s="16">
        <v>246</v>
      </c>
      <c r="M2391" s="16">
        <v>217</v>
      </c>
      <c r="N2391" s="16">
        <v>2</v>
      </c>
      <c r="O2391" s="17"/>
      <c r="P2391" s="18">
        <v>42909.715891203705</v>
      </c>
      <c r="Q2391" s="7" t="s">
        <v>15211</v>
      </c>
      <c r="R2391" s="7" t="s">
        <v>15212</v>
      </c>
      <c r="S2391" s="7"/>
      <c r="T2391" s="8"/>
      <c r="U2391" s="19" t="str">
        <f>HYPERLINK("https://pbs.twimg.com/profile_images/1174309862391635968/qmby2RdG.jpg","View")</f>
        <v>View</v>
      </c>
      <c r="V2391" s="8"/>
      <c r="W2391" s="8"/>
      <c r="X2391" s="8"/>
      <c r="Y2391" s="8"/>
      <c r="Z2391" s="8"/>
    </row>
    <row r="2392" spans="1:26" ht="12.75">
      <c r="A2392" s="11">
        <v>43747.214328703703</v>
      </c>
      <c r="B2392" s="12" t="str">
        <f>HYPERLINK("https://twitter.com/TAKATURKA","@TAKATURKA")</f>
        <v>@TAKATURKA</v>
      </c>
      <c r="C2392" s="7" t="s">
        <v>15213</v>
      </c>
      <c r="D2392" s="7" t="s">
        <v>15214</v>
      </c>
      <c r="E2392" s="12" t="str">
        <f>HYPERLINK("https://twitter.com/TAKATURKA/status/1181904301339414535","1181904301339414535")</f>
        <v>1181904301339414535</v>
      </c>
      <c r="F2392" s="8"/>
      <c r="G2392" s="14" t="s">
        <v>15215</v>
      </c>
      <c r="H2392" s="8"/>
      <c r="I2392" s="15">
        <v>0</v>
      </c>
      <c r="J2392" s="15">
        <v>9</v>
      </c>
      <c r="K2392" s="12" t="str">
        <f>HYPERLINK("http://twitter.com/download/android","Twitter for Android")</f>
        <v>Twitter for Android</v>
      </c>
      <c r="L2392" s="16">
        <v>1922</v>
      </c>
      <c r="M2392" s="16">
        <v>1217</v>
      </c>
      <c r="N2392" s="16">
        <v>0</v>
      </c>
      <c r="O2392" s="17"/>
      <c r="P2392" s="18">
        <v>40594.375034722223</v>
      </c>
      <c r="Q2392" s="7" t="s">
        <v>15216</v>
      </c>
      <c r="R2392" s="7" t="s">
        <v>15217</v>
      </c>
      <c r="S2392" s="7"/>
      <c r="T2392" s="8"/>
      <c r="U2392" s="19" t="str">
        <f>HYPERLINK("https://pbs.twimg.com/profile_images/1162295416622333952/UTkGs9tC.jpg","View")</f>
        <v>View</v>
      </c>
      <c r="V2392" s="8"/>
      <c r="W2392" s="8"/>
      <c r="X2392" s="8"/>
      <c r="Y2392" s="8"/>
      <c r="Z2392" s="8"/>
    </row>
    <row r="2393" spans="1:26" ht="12.75">
      <c r="A2393" s="11">
        <v>43747.214328703703</v>
      </c>
      <c r="B2393" s="12" t="str">
        <f>HYPERLINK("https://twitter.com/YusGel58","@YusGel58")</f>
        <v>@YusGel58</v>
      </c>
      <c r="C2393" s="7" t="s">
        <v>15218</v>
      </c>
      <c r="D2393" s="7" t="s">
        <v>15219</v>
      </c>
      <c r="E2393" s="12" t="str">
        <f>HYPERLINK("https://twitter.com/YusGel58/status/1181904299128950784","1181904299128950784")</f>
        <v>1181904299128950784</v>
      </c>
      <c r="F2393" s="15"/>
      <c r="G2393" s="15"/>
      <c r="H2393" s="8"/>
      <c r="I2393" s="15">
        <v>0</v>
      </c>
      <c r="J2393" s="15">
        <v>0</v>
      </c>
      <c r="K2393" s="12" t="str">
        <f>HYPERLINK("http://twitter.com/download/iphone","Twitter for iPhone")</f>
        <v>Twitter for iPhone</v>
      </c>
      <c r="L2393" s="16">
        <v>7</v>
      </c>
      <c r="M2393" s="16">
        <v>109</v>
      </c>
      <c r="N2393" s="16">
        <v>0</v>
      </c>
      <c r="O2393" s="17"/>
      <c r="P2393" s="18">
        <v>43124.430474537032</v>
      </c>
      <c r="Q2393" s="7"/>
      <c r="R2393" s="7"/>
      <c r="S2393" s="7"/>
      <c r="T2393" s="8"/>
      <c r="U2393" s="20" t="s">
        <v>354</v>
      </c>
      <c r="V2393" s="8"/>
      <c r="W2393" s="8"/>
      <c r="X2393" s="8"/>
      <c r="Y2393" s="8"/>
      <c r="Z2393" s="8"/>
    </row>
    <row r="2394" spans="1:26" ht="12.75">
      <c r="A2394" s="11">
        <v>43747.214305555557</v>
      </c>
      <c r="B2394" s="12" t="str">
        <f>HYPERLINK("https://twitter.com/murat_oncell","@murat_oncell")</f>
        <v>@murat_oncell</v>
      </c>
      <c r="C2394" s="7" t="s">
        <v>15220</v>
      </c>
      <c r="D2394" s="7" t="s">
        <v>15221</v>
      </c>
      <c r="E2394" s="12" t="str">
        <f>HYPERLINK("https://twitter.com/murat_oncell/status/1181904293114400768","1181904293114400768")</f>
        <v>1181904293114400768</v>
      </c>
      <c r="F2394" s="8"/>
      <c r="G2394" s="14" t="s">
        <v>15222</v>
      </c>
      <c r="H2394" s="8"/>
      <c r="I2394" s="15">
        <v>0</v>
      </c>
      <c r="J2394" s="15">
        <v>2</v>
      </c>
      <c r="K2394" s="12" t="str">
        <f>HYPERLINK("https://mobile.twitter.com","Twitter Web App")</f>
        <v>Twitter Web App</v>
      </c>
      <c r="L2394" s="16">
        <v>18</v>
      </c>
      <c r="M2394" s="16">
        <v>28</v>
      </c>
      <c r="N2394" s="16">
        <v>0</v>
      </c>
      <c r="O2394" s="17"/>
      <c r="P2394" s="18">
        <v>42950.515300925923</v>
      </c>
      <c r="Q2394" s="7"/>
      <c r="R2394" s="7"/>
      <c r="S2394" s="7"/>
      <c r="T2394" s="8"/>
      <c r="U2394" s="19" t="str">
        <f>HYPERLINK("https://pbs.twimg.com/profile_images/1015996560826564613/UEbI5KVE.jpg","View")</f>
        <v>View</v>
      </c>
      <c r="V2394" s="8"/>
      <c r="W2394" s="8"/>
      <c r="X2394" s="8"/>
      <c r="Y2394" s="8"/>
      <c r="Z2394" s="8"/>
    </row>
    <row r="2395" spans="1:26" ht="12.75">
      <c r="A2395" s="11">
        <v>43747.21429398148</v>
      </c>
      <c r="B2395" s="12" t="str">
        <f>HYPERLINK("https://twitter.com/eliff_bayat","@eliff_bayat")</f>
        <v>@eliff_bayat</v>
      </c>
      <c r="C2395" s="7" t="s">
        <v>15223</v>
      </c>
      <c r="D2395" s="7" t="s">
        <v>15224</v>
      </c>
      <c r="E2395" s="12" t="str">
        <f>HYPERLINK("https://twitter.com/eliff_bayat/status/1181904286927724544","1181904286927724544")</f>
        <v>1181904286927724544</v>
      </c>
      <c r="F2395" s="8"/>
      <c r="G2395" s="7"/>
      <c r="H2395" s="8"/>
      <c r="I2395" s="15">
        <v>0</v>
      </c>
      <c r="J2395" s="15">
        <v>0</v>
      </c>
      <c r="K2395" s="12" t="str">
        <f>HYPERLINK("http://twitter.com/download/iphone","Twitter for iPhone")</f>
        <v>Twitter for iPhone</v>
      </c>
      <c r="L2395" s="16">
        <v>56</v>
      </c>
      <c r="M2395" s="16">
        <v>138</v>
      </c>
      <c r="N2395" s="16">
        <v>0</v>
      </c>
      <c r="O2395" s="17"/>
      <c r="P2395" s="18">
        <v>40523.583958333329</v>
      </c>
      <c r="Q2395" s="7" t="s">
        <v>807</v>
      </c>
      <c r="R2395" s="7" t="s">
        <v>15225</v>
      </c>
      <c r="S2395" s="7"/>
      <c r="T2395" s="8"/>
      <c r="U2395" s="19" t="str">
        <f>HYPERLINK("https://pbs.twimg.com/profile_images/962634095414202368/zhxgUgOi.jpg","View")</f>
        <v>View</v>
      </c>
      <c r="V2395" s="8"/>
      <c r="W2395" s="8"/>
      <c r="X2395" s="8"/>
      <c r="Y2395" s="8"/>
      <c r="Z2395" s="8"/>
    </row>
    <row r="2396" spans="1:26" ht="12.75">
      <c r="A2396" s="11">
        <v>43747.214224537034</v>
      </c>
      <c r="B2396" s="12" t="str">
        <f>HYPERLINK("https://twitter.com/byLostt3","@byLostt3")</f>
        <v>@byLostt3</v>
      </c>
      <c r="C2396" s="7" t="s">
        <v>15226</v>
      </c>
      <c r="D2396" s="7" t="s">
        <v>160</v>
      </c>
      <c r="E2396" s="12" t="str">
        <f>HYPERLINK("https://twitter.com/byLostt3/status/1181904262772805633","1181904262772805633")</f>
        <v>1181904262772805633</v>
      </c>
      <c r="F2396" s="8"/>
      <c r="G2396" s="14" t="s">
        <v>15227</v>
      </c>
      <c r="H2396" s="8"/>
      <c r="I2396" s="15">
        <v>0</v>
      </c>
      <c r="J2396" s="15">
        <v>0</v>
      </c>
      <c r="K2396" s="12" t="str">
        <f>HYPERLINK("http://twitter.com/download/iphone","Twitter for iPhone")</f>
        <v>Twitter for iPhone</v>
      </c>
      <c r="L2396" s="16">
        <v>463</v>
      </c>
      <c r="M2396" s="16">
        <v>662</v>
      </c>
      <c r="N2396" s="16">
        <v>0</v>
      </c>
      <c r="O2396" s="17"/>
      <c r="P2396" s="18">
        <v>43484.181909722218</v>
      </c>
      <c r="Q2396" s="7" t="s">
        <v>2721</v>
      </c>
      <c r="R2396" s="7" t="s">
        <v>15228</v>
      </c>
      <c r="S2396" s="7"/>
      <c r="T2396" s="8"/>
      <c r="U2396" s="19" t="str">
        <f>HYPERLINK("https://pbs.twimg.com/profile_images/1181638875518832641/O6vAGtPV.jpg","View")</f>
        <v>View</v>
      </c>
      <c r="V2396" s="8"/>
      <c r="W2396" s="8"/>
      <c r="X2396" s="8"/>
      <c r="Y2396" s="8"/>
      <c r="Z2396" s="8"/>
    </row>
    <row r="2397" spans="1:26" ht="12.75">
      <c r="A2397" s="11">
        <v>43747.214166666672</v>
      </c>
      <c r="B2397" s="12" t="str">
        <f>HYPERLINK("https://twitter.com/1905_srp","@1905_srp")</f>
        <v>@1905_srp</v>
      </c>
      <c r="C2397" s="7" t="s">
        <v>15229</v>
      </c>
      <c r="D2397" s="7" t="s">
        <v>15230</v>
      </c>
      <c r="E2397" s="12" t="str">
        <f>HYPERLINK("https://twitter.com/1905_srp/status/1181904242874945537","1181904242874945537")</f>
        <v>1181904242874945537</v>
      </c>
      <c r="F2397" s="8"/>
      <c r="G2397" s="14" t="s">
        <v>15231</v>
      </c>
      <c r="H2397" s="8"/>
      <c r="I2397" s="15">
        <v>0</v>
      </c>
      <c r="J2397" s="15">
        <v>0</v>
      </c>
      <c r="K2397" s="12" t="str">
        <f>HYPERLINK("http://twitter.com/download/android","Twitter for Android")</f>
        <v>Twitter for Android</v>
      </c>
      <c r="L2397" s="16">
        <v>138</v>
      </c>
      <c r="M2397" s="16">
        <v>129</v>
      </c>
      <c r="N2397" s="16">
        <v>0</v>
      </c>
      <c r="O2397" s="17"/>
      <c r="P2397" s="18">
        <v>42942.612962962958</v>
      </c>
      <c r="Q2397" s="7"/>
      <c r="R2397" s="7" t="s">
        <v>15232</v>
      </c>
      <c r="S2397" s="7"/>
      <c r="T2397" s="8"/>
      <c r="U2397" s="19" t="str">
        <f>HYPERLINK("https://pbs.twimg.com/profile_images/1151035694485299201/L3U5iGUk.jpg","View")</f>
        <v>View</v>
      </c>
      <c r="V2397" s="8"/>
      <c r="W2397" s="8"/>
      <c r="X2397" s="8"/>
      <c r="Y2397" s="8"/>
      <c r="Z2397" s="8"/>
    </row>
    <row r="2398" spans="1:26" ht="12.75">
      <c r="A2398" s="11">
        <v>43747.214120370365</v>
      </c>
      <c r="B2398" s="12" t="str">
        <f>HYPERLINK("https://twitter.com/yucel92643665","@yucel92643665")</f>
        <v>@yucel92643665</v>
      </c>
      <c r="C2398" s="7" t="s">
        <v>15233</v>
      </c>
      <c r="D2398" s="7" t="s">
        <v>15234</v>
      </c>
      <c r="E2398" s="12" t="str">
        <f>HYPERLINK("https://twitter.com/yucel92643665/status/1181904224466157570","1181904224466157570")</f>
        <v>1181904224466157570</v>
      </c>
      <c r="F2398" s="8"/>
      <c r="G2398" s="15"/>
      <c r="H2398" s="8"/>
      <c r="I2398" s="15">
        <v>0</v>
      </c>
      <c r="J2398" s="15">
        <v>0</v>
      </c>
      <c r="K2398" s="12" t="str">
        <f>HYPERLINK("https://mobile.twitter.com","Twitter Web App")</f>
        <v>Twitter Web App</v>
      </c>
      <c r="L2398" s="16">
        <v>1</v>
      </c>
      <c r="M2398" s="16">
        <v>0</v>
      </c>
      <c r="N2398" s="16">
        <v>0</v>
      </c>
      <c r="O2398" s="17"/>
      <c r="P2398" s="18">
        <v>43150.175682870366</v>
      </c>
      <c r="Q2398" s="7"/>
      <c r="R2398" s="7"/>
      <c r="S2398" s="15"/>
      <c r="T2398" s="8"/>
      <c r="U2398" s="19" t="str">
        <f>HYPERLINK("https://pbs.twimg.com/profile_images/1159507715749797888/WY3etkXh.jpg","View")</f>
        <v>View</v>
      </c>
      <c r="V2398" s="8"/>
      <c r="W2398" s="8"/>
      <c r="X2398" s="8"/>
      <c r="Y2398" s="8"/>
      <c r="Z2398" s="8"/>
    </row>
    <row r="2399" spans="1:26" ht="12.75">
      <c r="A2399" s="11">
        <v>43747.214062500003</v>
      </c>
      <c r="B2399" s="12" t="str">
        <f>HYPERLINK("https://twitter.com/munirkosif","@munirkosif")</f>
        <v>@munirkosif</v>
      </c>
      <c r="C2399" s="7" t="s">
        <v>15235</v>
      </c>
      <c r="D2399" s="7" t="s">
        <v>15236</v>
      </c>
      <c r="E2399" s="12" t="str">
        <f>HYPERLINK("https://twitter.com/munirkosif/status/1181904204388093952","1181904204388093952")</f>
        <v>1181904204388093952</v>
      </c>
      <c r="F2399" s="8"/>
      <c r="G2399" s="14" t="s">
        <v>15237</v>
      </c>
      <c r="H2399" s="8"/>
      <c r="I2399" s="15">
        <v>0</v>
      </c>
      <c r="J2399" s="15">
        <v>0</v>
      </c>
      <c r="K2399" s="12" t="str">
        <f>HYPERLINK("https://mobile.twitter.com","Twitter Web App")</f>
        <v>Twitter Web App</v>
      </c>
      <c r="L2399" s="16">
        <v>435</v>
      </c>
      <c r="M2399" s="16">
        <v>277</v>
      </c>
      <c r="N2399" s="16">
        <v>1</v>
      </c>
      <c r="O2399" s="17"/>
      <c r="P2399" s="18">
        <v>41415.496724537035</v>
      </c>
      <c r="Q2399" s="7"/>
      <c r="R2399" s="7" t="s">
        <v>15238</v>
      </c>
      <c r="S2399" s="7"/>
      <c r="T2399" s="8"/>
      <c r="U2399" s="19" t="str">
        <f>HYPERLINK("https://pbs.twimg.com/profile_images/1011336670682152960/UEVmobCW.jpg","View")</f>
        <v>View</v>
      </c>
      <c r="V2399" s="8"/>
      <c r="W2399" s="8"/>
      <c r="X2399" s="8"/>
      <c r="Y2399" s="8"/>
      <c r="Z2399" s="8"/>
    </row>
    <row r="2400" spans="1:26" ht="12.75">
      <c r="A2400" s="11">
        <v>43747.214062500003</v>
      </c>
      <c r="B2400" s="12" t="str">
        <f>HYPERLINK("https://twitter.com/alaaddin_Kuzey","@alaaddin_Kuzey")</f>
        <v>@alaaddin_Kuzey</v>
      </c>
      <c r="C2400" s="7" t="s">
        <v>807</v>
      </c>
      <c r="D2400" s="7" t="s">
        <v>15239</v>
      </c>
      <c r="E2400" s="12" t="str">
        <f>HYPERLINK("https://twitter.com/alaaddin_Kuzey/status/1181904203607879680","1181904203607879680")</f>
        <v>1181904203607879680</v>
      </c>
      <c r="F2400" s="8"/>
      <c r="G2400" s="14" t="s">
        <v>15240</v>
      </c>
      <c r="H2400" s="8"/>
      <c r="I2400" s="15">
        <v>2</v>
      </c>
      <c r="J2400" s="15">
        <v>4</v>
      </c>
      <c r="K2400" s="12" t="str">
        <f>HYPERLINK("http://twitter.com/download/android","Twitter for Android")</f>
        <v>Twitter for Android</v>
      </c>
      <c r="L2400" s="16">
        <v>1395</v>
      </c>
      <c r="M2400" s="16">
        <v>1481</v>
      </c>
      <c r="N2400" s="16">
        <v>0</v>
      </c>
      <c r="O2400" s="17"/>
      <c r="P2400" s="18">
        <v>43425.486724537041</v>
      </c>
      <c r="Q2400" s="7"/>
      <c r="R2400" s="7" t="s">
        <v>15241</v>
      </c>
      <c r="S2400" s="7"/>
      <c r="T2400" s="8"/>
      <c r="U2400" s="19" t="str">
        <f>HYPERLINK("https://pbs.twimg.com/profile_images/1177935119367188485/MwYAWQZ2.jpg","View")</f>
        <v>View</v>
      </c>
      <c r="V2400" s="8"/>
      <c r="W2400" s="8"/>
      <c r="X2400" s="8"/>
      <c r="Y2400" s="8"/>
      <c r="Z2400" s="8"/>
    </row>
    <row r="2401" spans="1:26" ht="12.75">
      <c r="A2401" s="11">
        <v>43747.214050925926</v>
      </c>
      <c r="B2401" s="12" t="str">
        <f>HYPERLINK("https://twitter.com/superrrkahraman","@superrrkahraman")</f>
        <v>@superrrkahraman</v>
      </c>
      <c r="C2401" s="7" t="s">
        <v>15242</v>
      </c>
      <c r="D2401" s="7" t="s">
        <v>15243</v>
      </c>
      <c r="E2401" s="12" t="str">
        <f>HYPERLINK("https://twitter.com/superrrkahraman/status/1181904199170310146","1181904199170310146")</f>
        <v>1181904199170310146</v>
      </c>
      <c r="F2401" s="8"/>
      <c r="G2401" s="15"/>
      <c r="H2401" s="8"/>
      <c r="I2401" s="15">
        <v>0</v>
      </c>
      <c r="J2401" s="15">
        <v>0</v>
      </c>
      <c r="K2401" s="12" t="str">
        <f>HYPERLINK("http://twitter.com/download/android","Twitter for Android")</f>
        <v>Twitter for Android</v>
      </c>
      <c r="L2401" s="16">
        <v>705</v>
      </c>
      <c r="M2401" s="16">
        <v>125</v>
      </c>
      <c r="N2401" s="16">
        <v>5</v>
      </c>
      <c r="O2401" s="17"/>
      <c r="P2401" s="18">
        <v>40802.116909722223</v>
      </c>
      <c r="Q2401" s="7"/>
      <c r="R2401" s="7" t="s">
        <v>15244</v>
      </c>
      <c r="S2401" s="15"/>
      <c r="T2401" s="8"/>
      <c r="U2401" s="19" t="str">
        <f>HYPERLINK("https://pbs.twimg.com/profile_images/996671493143711744/4HLvK8Wx.jpg","View")</f>
        <v>View</v>
      </c>
      <c r="V2401" s="8"/>
      <c r="W2401" s="8"/>
      <c r="X2401" s="8"/>
      <c r="Y2401" s="8"/>
      <c r="Z2401" s="8"/>
    </row>
    <row r="2402" spans="1:26" ht="12.75">
      <c r="A2402" s="11">
        <v>43747.214039351849</v>
      </c>
      <c r="B2402" s="12" t="str">
        <f>HYPERLINK("https://twitter.com/yavuzsenmisin","@yavuzsenmisin")</f>
        <v>@yavuzsenmisin</v>
      </c>
      <c r="C2402" s="7" t="s">
        <v>15245</v>
      </c>
      <c r="D2402" s="7" t="s">
        <v>160</v>
      </c>
      <c r="E2402" s="12" t="str">
        <f>HYPERLINK("https://twitter.com/yavuzsenmisin/status/1181904193650647040","1181904193650647040")</f>
        <v>1181904193650647040</v>
      </c>
      <c r="F2402" s="8"/>
      <c r="G2402" s="14" t="s">
        <v>15246</v>
      </c>
      <c r="H2402" s="8"/>
      <c r="I2402" s="15">
        <v>0</v>
      </c>
      <c r="J2402" s="15">
        <v>0</v>
      </c>
      <c r="K2402" s="12" t="str">
        <f>HYPERLINK("http://twitter.com/download/android","Twitter for Android")</f>
        <v>Twitter for Android</v>
      </c>
      <c r="L2402" s="16">
        <v>29</v>
      </c>
      <c r="M2402" s="16">
        <v>62</v>
      </c>
      <c r="N2402" s="16">
        <v>0</v>
      </c>
      <c r="O2402" s="17"/>
      <c r="P2402" s="18">
        <v>43639.222870370373</v>
      </c>
      <c r="Q2402" s="7" t="s">
        <v>918</v>
      </c>
      <c r="R2402" s="7" t="s">
        <v>15247</v>
      </c>
      <c r="S2402" s="7"/>
      <c r="T2402" s="8"/>
      <c r="U2402" s="19" t="str">
        <f>HYPERLINK("https://pbs.twimg.com/profile_images/1167047761403043841/RiUWinu0.jpg","View")</f>
        <v>View</v>
      </c>
      <c r="V2402" s="8"/>
      <c r="W2402" s="8"/>
      <c r="X2402" s="8"/>
      <c r="Y2402" s="8"/>
      <c r="Z2402" s="8"/>
    </row>
    <row r="2403" spans="1:26" ht="12.75">
      <c r="A2403" s="11">
        <v>43747.21398148148</v>
      </c>
      <c r="B2403" s="12" t="str">
        <f>HYPERLINK("https://twitter.com/foryu_aldolan","@foryu_aldolan")</f>
        <v>@foryu_aldolan</v>
      </c>
      <c r="C2403" s="7" t="s">
        <v>15248</v>
      </c>
      <c r="D2403" s="7" t="s">
        <v>15249</v>
      </c>
      <c r="E2403" s="12" t="str">
        <f>HYPERLINK("https://twitter.com/foryu_aldolan/status/1181904172779737088","1181904172779737088")</f>
        <v>1181904172779737088</v>
      </c>
      <c r="F2403" s="8"/>
      <c r="G2403" s="7"/>
      <c r="H2403" s="8"/>
      <c r="I2403" s="15">
        <v>0</v>
      </c>
      <c r="J2403" s="15">
        <v>2</v>
      </c>
      <c r="K2403" s="12" t="str">
        <f>HYPERLINK("http://twitter.com/download/android","Twitter for Android")</f>
        <v>Twitter for Android</v>
      </c>
      <c r="L2403" s="16">
        <v>1678</v>
      </c>
      <c r="M2403" s="16">
        <v>4221</v>
      </c>
      <c r="N2403" s="16">
        <v>0</v>
      </c>
      <c r="O2403" s="17"/>
      <c r="P2403" s="18">
        <v>43578.603495370371</v>
      </c>
      <c r="Q2403" s="7" t="s">
        <v>200</v>
      </c>
      <c r="R2403" s="7" t="s">
        <v>15250</v>
      </c>
      <c r="S2403" s="7"/>
      <c r="T2403" s="8"/>
      <c r="U2403" s="19" t="str">
        <f>HYPERLINK("https://pbs.twimg.com/profile_images/1176992986611277826/5MlxFIeW.jpg","View")</f>
        <v>View</v>
      </c>
      <c r="V2403" s="8"/>
      <c r="W2403" s="8"/>
      <c r="X2403" s="8"/>
      <c r="Y2403" s="8"/>
      <c r="Z2403" s="8"/>
    </row>
    <row r="2404" spans="1:26" ht="12.75">
      <c r="A2404" s="11">
        <v>43747.21393518518</v>
      </c>
      <c r="B2404" s="12" t="str">
        <f>HYPERLINK("https://twitter.com/lemanhamzaoglu3","@lemanhamzaoglu3")</f>
        <v>@lemanhamzaoglu3</v>
      </c>
      <c r="C2404" s="7" t="s">
        <v>15251</v>
      </c>
      <c r="D2404" s="7" t="s">
        <v>15252</v>
      </c>
      <c r="E2404" s="12" t="str">
        <f>HYPERLINK("https://twitter.com/lemanhamzaoglu3/status/1181904158674345984","1181904158674345984")</f>
        <v>1181904158674345984</v>
      </c>
      <c r="F2404" s="15"/>
      <c r="G2404" s="14" t="s">
        <v>15253</v>
      </c>
      <c r="H2404" s="8"/>
      <c r="I2404" s="15">
        <v>0</v>
      </c>
      <c r="J2404" s="15">
        <v>0</v>
      </c>
      <c r="K2404" s="12" t="str">
        <f>HYPERLINK("http://twitter.com/download/iphone","Twitter for iPhone")</f>
        <v>Twitter for iPhone</v>
      </c>
      <c r="L2404" s="16">
        <v>2</v>
      </c>
      <c r="M2404" s="16">
        <v>0</v>
      </c>
      <c r="N2404" s="16">
        <v>0</v>
      </c>
      <c r="O2404" s="17"/>
      <c r="P2404" s="18">
        <v>43736.169722222221</v>
      </c>
      <c r="Q2404" s="7" t="s">
        <v>15003</v>
      </c>
      <c r="R2404" s="7" t="s">
        <v>15254</v>
      </c>
      <c r="S2404" s="7"/>
      <c r="T2404" s="8"/>
      <c r="U2404" s="19" t="str">
        <f>HYPERLINK("https://pbs.twimg.com/profile_images/1179129909115002880/5arBU9TS.jpg","View")</f>
        <v>View</v>
      </c>
      <c r="V2404" s="8"/>
      <c r="W2404" s="8"/>
      <c r="X2404" s="8"/>
      <c r="Y2404" s="8"/>
      <c r="Z2404" s="8"/>
    </row>
    <row r="2405" spans="1:26" ht="12.75">
      <c r="A2405" s="11">
        <v>43747.213865740741</v>
      </c>
      <c r="B2405" s="12" t="str">
        <f>HYPERLINK("https://twitter.com/callsedon","@callsedon")</f>
        <v>@callsedon</v>
      </c>
      <c r="C2405" s="7" t="s">
        <v>15255</v>
      </c>
      <c r="D2405" s="7" t="s">
        <v>15256</v>
      </c>
      <c r="E2405" s="12" t="str">
        <f>HYPERLINK("https://twitter.com/callsedon/status/1181904132267024384","1181904132267024384")</f>
        <v>1181904132267024384</v>
      </c>
      <c r="F2405" s="14" t="s">
        <v>15257</v>
      </c>
      <c r="G2405" s="15"/>
      <c r="H2405" s="8"/>
      <c r="I2405" s="15">
        <v>0</v>
      </c>
      <c r="J2405" s="15">
        <v>0</v>
      </c>
      <c r="K2405" s="12" t="str">
        <f>HYPERLINK("http://twitter.com","Twitter Web Client")</f>
        <v>Twitter Web Client</v>
      </c>
      <c r="L2405" s="16">
        <v>361</v>
      </c>
      <c r="M2405" s="16">
        <v>14</v>
      </c>
      <c r="N2405" s="16">
        <v>0</v>
      </c>
      <c r="O2405" s="17"/>
      <c r="P2405" s="18">
        <v>43653.291099537033</v>
      </c>
      <c r="Q2405" s="7"/>
      <c r="R2405" s="7" t="s">
        <v>15258</v>
      </c>
      <c r="S2405" s="14" t="s">
        <v>15259</v>
      </c>
      <c r="T2405" s="8"/>
      <c r="U2405" s="19" t="str">
        <f>HYPERLINK("https://pbs.twimg.com/profile_images/1159459121265029120/hQx1D4LL.png","View")</f>
        <v>View</v>
      </c>
      <c r="V2405" s="8"/>
      <c r="W2405" s="8"/>
      <c r="X2405" s="8"/>
      <c r="Y2405" s="8"/>
      <c r="Z2405" s="8"/>
    </row>
    <row r="2406" spans="1:26" ht="12.75">
      <c r="A2406" s="11">
        <v>43747.213726851856</v>
      </c>
      <c r="B2406" s="12" t="str">
        <f>HYPERLINK("https://twitter.com/MUKTEFiii","@MUKTEFiii")</f>
        <v>@MUKTEFiii</v>
      </c>
      <c r="C2406" s="7" t="s">
        <v>15261</v>
      </c>
      <c r="D2406" s="7" t="s">
        <v>15262</v>
      </c>
      <c r="E2406" s="12" t="str">
        <f>HYPERLINK("https://twitter.com/MUKTEFiii/status/1181904081918533632","1181904081918533632")</f>
        <v>1181904081918533632</v>
      </c>
      <c r="F2406" s="8"/>
      <c r="G2406" s="14" t="s">
        <v>15263</v>
      </c>
      <c r="H2406" s="8"/>
      <c r="I2406" s="15">
        <v>1</v>
      </c>
      <c r="J2406" s="15">
        <v>1</v>
      </c>
      <c r="K2406" s="12" t="str">
        <f>HYPERLINK("http://twitter.com/download/android","Twitter for Android")</f>
        <v>Twitter for Android</v>
      </c>
      <c r="L2406" s="16">
        <v>121</v>
      </c>
      <c r="M2406" s="16">
        <v>127</v>
      </c>
      <c r="N2406" s="16">
        <v>0</v>
      </c>
      <c r="O2406" s="17"/>
      <c r="P2406" s="18">
        <v>43676.46707175926</v>
      </c>
      <c r="Q2406" s="7"/>
      <c r="R2406" s="7" t="s">
        <v>15264</v>
      </c>
      <c r="S2406" s="15"/>
      <c r="T2406" s="8"/>
      <c r="U2406" s="19" t="str">
        <f>HYPERLINK("https://pbs.twimg.com/profile_images/1176881056538083330/2SSZcZBk.jpg","View")</f>
        <v>View</v>
      </c>
      <c r="V2406" s="8"/>
      <c r="W2406" s="8"/>
      <c r="X2406" s="8"/>
      <c r="Y2406" s="8"/>
      <c r="Z2406" s="8"/>
    </row>
    <row r="2407" spans="1:26" ht="12.75">
      <c r="A2407" s="11">
        <v>43747.21371527778</v>
      </c>
      <c r="B2407" s="12" t="str">
        <f>HYPERLINK("https://twitter.com/prkpr11","@prkpr11")</f>
        <v>@prkpr11</v>
      </c>
      <c r="C2407" s="7" t="s">
        <v>15265</v>
      </c>
      <c r="D2407" s="7" t="s">
        <v>15266</v>
      </c>
      <c r="E2407" s="12" t="str">
        <f>HYPERLINK("https://twitter.com/prkpr11/status/1181904078890311680","1181904078890311680")</f>
        <v>1181904078890311680</v>
      </c>
      <c r="F2407" s="14" t="s">
        <v>15267</v>
      </c>
      <c r="G2407" s="7"/>
      <c r="H2407" s="8"/>
      <c r="I2407" s="15">
        <v>0</v>
      </c>
      <c r="J2407" s="15">
        <v>0</v>
      </c>
      <c r="K2407" s="12" t="str">
        <f>HYPERLINK("https://ifttt.com","IFTTT")</f>
        <v>IFTTT</v>
      </c>
      <c r="L2407" s="16">
        <v>1394</v>
      </c>
      <c r="M2407" s="16">
        <v>414</v>
      </c>
      <c r="N2407" s="16">
        <v>8</v>
      </c>
      <c r="O2407" s="17"/>
      <c r="P2407" s="18">
        <v>41889.342326388891</v>
      </c>
      <c r="Q2407" s="7" t="s">
        <v>15268</v>
      </c>
      <c r="R2407" s="7"/>
      <c r="S2407" s="7"/>
      <c r="T2407" s="8"/>
      <c r="U2407" s="19" t="str">
        <f>HYPERLINK("https://pbs.twimg.com/profile_images/1158829441495310336/-_92guG8.jpg","View")</f>
        <v>View</v>
      </c>
      <c r="V2407" s="8"/>
      <c r="W2407" s="8"/>
      <c r="X2407" s="8"/>
      <c r="Y2407" s="8"/>
      <c r="Z2407" s="8"/>
    </row>
    <row r="2408" spans="1:26" ht="12.75">
      <c r="A2408" s="11">
        <v>43747.21371527778</v>
      </c>
      <c r="B2408" s="12" t="str">
        <f>HYPERLINK("https://twitter.com/Erdi35Tunc","@Erdi35Tunc")</f>
        <v>@Erdi35Tunc</v>
      </c>
      <c r="C2408" s="7" t="s">
        <v>15269</v>
      </c>
      <c r="D2408" s="7" t="s">
        <v>15270</v>
      </c>
      <c r="E2408" s="12" t="str">
        <f>HYPERLINK("https://twitter.com/Erdi35Tunc/status/1181904077157994497","1181904077157994497")</f>
        <v>1181904077157994497</v>
      </c>
      <c r="F2408" s="8"/>
      <c r="G2408" s="14" t="s">
        <v>15271</v>
      </c>
      <c r="H2408" s="8"/>
      <c r="I2408" s="15">
        <v>0</v>
      </c>
      <c r="J2408" s="15">
        <v>2</v>
      </c>
      <c r="K2408" s="12" t="str">
        <f>HYPERLINK("http://twitter.com/download/iphone","Twitter for iPhone")</f>
        <v>Twitter for iPhone</v>
      </c>
      <c r="L2408" s="16">
        <v>39</v>
      </c>
      <c r="M2408" s="16">
        <v>454</v>
      </c>
      <c r="N2408" s="16">
        <v>0</v>
      </c>
      <c r="O2408" s="17"/>
      <c r="P2408" s="18">
        <v>43742.556550925925</v>
      </c>
      <c r="Q2408" s="7" t="s">
        <v>13642</v>
      </c>
      <c r="R2408" s="7" t="s">
        <v>15272</v>
      </c>
      <c r="S2408" s="15"/>
      <c r="T2408" s="8"/>
      <c r="U2408" s="19" t="str">
        <f>HYPERLINK("https://pbs.twimg.com/profile_images/1180217372755533824/RCFbXOi5.jpg","View")</f>
        <v>View</v>
      </c>
      <c r="V2408" s="8"/>
      <c r="W2408" s="8"/>
      <c r="X2408" s="8"/>
      <c r="Y2408" s="8"/>
      <c r="Z2408" s="8"/>
    </row>
    <row r="2409" spans="1:26" ht="12.75">
      <c r="A2409" s="11">
        <v>43747.21371527778</v>
      </c>
      <c r="B2409" s="12" t="str">
        <f>HYPERLINK("https://twitter.com/NezdAmikk","@NezdAmikk")</f>
        <v>@NezdAmikk</v>
      </c>
      <c r="C2409" s="7" t="s">
        <v>15273</v>
      </c>
      <c r="D2409" s="7" t="s">
        <v>15274</v>
      </c>
      <c r="E2409" s="12" t="str">
        <f>HYPERLINK("https://twitter.com/NezdAmikk/status/1181904075971055621","1181904075971055621")</f>
        <v>1181904075971055621</v>
      </c>
      <c r="F2409" s="14" t="s">
        <v>15275</v>
      </c>
      <c r="G2409" s="14" t="s">
        <v>15276</v>
      </c>
      <c r="H2409" s="8"/>
      <c r="I2409" s="15">
        <v>0</v>
      </c>
      <c r="J2409" s="15">
        <v>1</v>
      </c>
      <c r="K2409" s="12" t="str">
        <f>HYPERLINK("http://twitter.com/download/android","Twitter for Android")</f>
        <v>Twitter for Android</v>
      </c>
      <c r="L2409" s="16">
        <v>37</v>
      </c>
      <c r="M2409" s="16">
        <v>89</v>
      </c>
      <c r="N2409" s="16">
        <v>0</v>
      </c>
      <c r="O2409" s="17"/>
      <c r="P2409" s="18">
        <v>43745.710902777777</v>
      </c>
      <c r="Q2409" s="7"/>
      <c r="R2409" s="7" t="s">
        <v>15277</v>
      </c>
      <c r="S2409" s="7"/>
      <c r="T2409" s="8"/>
      <c r="U2409" s="19" t="str">
        <f>HYPERLINK("https://pbs.twimg.com/profile_images/1181366590937473024/Fw5FrYax.jpg","View")</f>
        <v>View</v>
      </c>
      <c r="V2409" s="8"/>
      <c r="W2409" s="8"/>
      <c r="X2409" s="8"/>
      <c r="Y2409" s="8"/>
      <c r="Z2409" s="8"/>
    </row>
    <row r="2410" spans="1:26" ht="12.75">
      <c r="A2410" s="11">
        <v>43747.21366898148</v>
      </c>
      <c r="B2410" s="12" t="str">
        <f>HYPERLINK("https://twitter.com/GS_Aslanbey","@GS_Aslanbey")</f>
        <v>@GS_Aslanbey</v>
      </c>
      <c r="C2410" s="7" t="s">
        <v>15278</v>
      </c>
      <c r="D2410" s="7" t="s">
        <v>15279</v>
      </c>
      <c r="E2410" s="12" t="str">
        <f>HYPERLINK("https://twitter.com/GS_Aslanbey/status/1181904062780002304","1181904062780002304")</f>
        <v>1181904062780002304</v>
      </c>
      <c r="F2410" s="8"/>
      <c r="G2410" s="14" t="s">
        <v>15280</v>
      </c>
      <c r="H2410" s="8"/>
      <c r="I2410" s="15">
        <v>0</v>
      </c>
      <c r="J2410" s="15">
        <v>2</v>
      </c>
      <c r="K2410" s="12" t="str">
        <f>HYPERLINK("http://twitter.com/download/android","Twitter for Android")</f>
        <v>Twitter for Android</v>
      </c>
      <c r="L2410" s="16">
        <v>10667</v>
      </c>
      <c r="M2410" s="16">
        <v>10231</v>
      </c>
      <c r="N2410" s="16">
        <v>21</v>
      </c>
      <c r="O2410" s="17"/>
      <c r="P2410" s="18">
        <v>41179.282638888893</v>
      </c>
      <c r="Q2410" s="7"/>
      <c r="R2410" s="7" t="s">
        <v>15281</v>
      </c>
      <c r="S2410" s="7"/>
      <c r="T2410" s="8"/>
      <c r="U2410" s="19" t="str">
        <f>HYPERLINK("https://pbs.twimg.com/profile_images/1151453316917997568/7DkubrZH.jpg","View")</f>
        <v>View</v>
      </c>
      <c r="V2410" s="8"/>
      <c r="W2410" s="8"/>
      <c r="X2410" s="8"/>
      <c r="Y2410" s="8"/>
      <c r="Z2410" s="8"/>
    </row>
    <row r="2411" spans="1:26" ht="12.75">
      <c r="A2411" s="11">
        <v>43747.213553240741</v>
      </c>
      <c r="B2411" s="12" t="str">
        <f>HYPERLINK("https://twitter.com/iskenderisbili1","@iskenderisbili1")</f>
        <v>@iskenderisbili1</v>
      </c>
      <c r="C2411" s="7" t="s">
        <v>15282</v>
      </c>
      <c r="D2411" s="7" t="s">
        <v>15283</v>
      </c>
      <c r="E2411" s="12" t="str">
        <f>HYPERLINK("https://twitter.com/iskenderisbili1/status/1181904017372467201","1181904017372467201")</f>
        <v>1181904017372467201</v>
      </c>
      <c r="F2411" s="8"/>
      <c r="G2411" s="7"/>
      <c r="H2411" s="8"/>
      <c r="I2411" s="15">
        <v>0</v>
      </c>
      <c r="J2411" s="15">
        <v>0</v>
      </c>
      <c r="K2411" s="12" t="str">
        <f>HYPERLINK("http://twitter.com","Twitter Web Client")</f>
        <v>Twitter Web Client</v>
      </c>
      <c r="L2411" s="16">
        <v>4</v>
      </c>
      <c r="M2411" s="16">
        <v>0</v>
      </c>
      <c r="N2411" s="16">
        <v>0</v>
      </c>
      <c r="O2411" s="17"/>
      <c r="P2411" s="18">
        <v>43669.008900462963</v>
      </c>
      <c r="Q2411" s="7" t="s">
        <v>7005</v>
      </c>
      <c r="R2411" s="7" t="s">
        <v>15284</v>
      </c>
      <c r="S2411" s="7"/>
      <c r="T2411" s="8"/>
      <c r="U2411" s="19" t="str">
        <f>HYPERLINK("https://pbs.twimg.com/profile_images/1154292060058542080/qCl-2H-m.jpg","View")</f>
        <v>View</v>
      </c>
      <c r="V2411" s="8"/>
      <c r="W2411" s="8"/>
      <c r="X2411" s="8"/>
      <c r="Y2411" s="8"/>
      <c r="Z2411" s="8"/>
    </row>
    <row r="2412" spans="1:26" ht="12.75">
      <c r="A2412" s="11">
        <v>43747.213437500002</v>
      </c>
      <c r="B2412" s="12" t="str">
        <f>HYPERLINK("https://twitter.com/muratc737","@muratc737")</f>
        <v>@muratc737</v>
      </c>
      <c r="C2412" s="7" t="s">
        <v>15285</v>
      </c>
      <c r="D2412" s="7" t="s">
        <v>15286</v>
      </c>
      <c r="E2412" s="12" t="str">
        <f>HYPERLINK("https://twitter.com/muratc737/status/1181903977069367297","1181903977069367297")</f>
        <v>1181903977069367297</v>
      </c>
      <c r="F2412" s="8"/>
      <c r="G2412" s="14" t="s">
        <v>15287</v>
      </c>
      <c r="H2412" s="8"/>
      <c r="I2412" s="15">
        <v>0</v>
      </c>
      <c r="J2412" s="15">
        <v>2</v>
      </c>
      <c r="K2412" s="12" t="str">
        <f>HYPERLINK("http://twitter.com/download/android","Twitter for Android")</f>
        <v>Twitter for Android</v>
      </c>
      <c r="L2412" s="16">
        <v>31</v>
      </c>
      <c r="M2412" s="16">
        <v>69</v>
      </c>
      <c r="N2412" s="16">
        <v>0</v>
      </c>
      <c r="O2412" s="17"/>
      <c r="P2412" s="18">
        <v>42372.434849537036</v>
      </c>
      <c r="Q2412" s="7" t="s">
        <v>313</v>
      </c>
      <c r="R2412" s="7" t="s">
        <v>15288</v>
      </c>
      <c r="S2412" s="7"/>
      <c r="T2412" s="8"/>
      <c r="U2412" s="19" t="str">
        <f>HYPERLINK("https://pbs.twimg.com/profile_images/1151302055379816448/ViUzyzL5.jpg","View")</f>
        <v>View</v>
      </c>
      <c r="V2412" s="8"/>
      <c r="W2412" s="8"/>
      <c r="X2412" s="8"/>
      <c r="Y2412" s="8"/>
      <c r="Z2412" s="8"/>
    </row>
    <row r="2413" spans="1:26" ht="12.75">
      <c r="A2413" s="11">
        <v>43747.213425925926</v>
      </c>
      <c r="B2413" s="12" t="str">
        <f>HYPERLINK("https://twitter.com/selcukkosovali","@selcukkosovali")</f>
        <v>@selcukkosovali</v>
      </c>
      <c r="C2413" s="7" t="s">
        <v>15289</v>
      </c>
      <c r="D2413" s="7" t="s">
        <v>15290</v>
      </c>
      <c r="E2413" s="12" t="str">
        <f>HYPERLINK("https://twitter.com/selcukkosovali/status/1181903972929548288","1181903972929548288")</f>
        <v>1181903972929548288</v>
      </c>
      <c r="F2413" s="15"/>
      <c r="G2413" s="14" t="s">
        <v>15291</v>
      </c>
      <c r="H2413" s="8"/>
      <c r="I2413" s="15">
        <v>0</v>
      </c>
      <c r="J2413" s="15">
        <v>2</v>
      </c>
      <c r="K2413" s="12" t="str">
        <f>HYPERLINK("http://twitter.com/download/android","Twitter for Android")</f>
        <v>Twitter for Android</v>
      </c>
      <c r="L2413" s="16">
        <v>2228</v>
      </c>
      <c r="M2413" s="16">
        <v>2467</v>
      </c>
      <c r="N2413" s="16">
        <v>2</v>
      </c>
      <c r="O2413" s="17"/>
      <c r="P2413" s="18">
        <v>42454.359965277778</v>
      </c>
      <c r="Q2413" s="7"/>
      <c r="R2413" s="7" t="s">
        <v>15292</v>
      </c>
      <c r="S2413" s="7"/>
      <c r="T2413" s="8"/>
      <c r="U2413" s="19" t="str">
        <f>HYPERLINK("https://pbs.twimg.com/profile_images/956159080778878977/b7nSOBfA.jpg","View")</f>
        <v>View</v>
      </c>
      <c r="V2413" s="8"/>
      <c r="W2413" s="8"/>
      <c r="X2413" s="8"/>
      <c r="Y2413" s="8"/>
      <c r="Z2413" s="8"/>
    </row>
    <row r="2414" spans="1:26" ht="12.75">
      <c r="A2414" s="11">
        <v>43747.213425925926</v>
      </c>
      <c r="B2414" s="12" t="str">
        <f>HYPERLINK("https://twitter.com/demirBASKN","@demirBASKN")</f>
        <v>@demirBASKN</v>
      </c>
      <c r="C2414" s="7" t="s">
        <v>15293</v>
      </c>
      <c r="D2414" s="7" t="s">
        <v>15294</v>
      </c>
      <c r="E2414" s="12" t="str">
        <f>HYPERLINK("https://twitter.com/demirBASKN/status/1181903972916965377","1181903972916965377")</f>
        <v>1181903972916965377</v>
      </c>
      <c r="F2414" s="8"/>
      <c r="G2414" s="7"/>
      <c r="H2414" s="8"/>
      <c r="I2414" s="15">
        <v>0</v>
      </c>
      <c r="J2414" s="15">
        <v>0</v>
      </c>
      <c r="K2414" s="12" t="str">
        <f>HYPERLINK("http://twitter.com/download/android","Twitter for Android")</f>
        <v>Twitter for Android</v>
      </c>
      <c r="L2414" s="16">
        <v>93</v>
      </c>
      <c r="M2414" s="16">
        <v>1058</v>
      </c>
      <c r="N2414" s="16">
        <v>0</v>
      </c>
      <c r="O2414" s="17"/>
      <c r="P2414" s="18">
        <v>42276.475335648152</v>
      </c>
      <c r="Q2414" s="7"/>
      <c r="R2414" s="7" t="s">
        <v>15295</v>
      </c>
      <c r="S2414" s="7"/>
      <c r="T2414" s="8"/>
      <c r="U2414" s="19" t="str">
        <f>HYPERLINK("https://pbs.twimg.com/profile_images/1057366158943440896/_l4WH2yw.jpg","View")</f>
        <v>View</v>
      </c>
      <c r="V2414" s="8"/>
      <c r="W2414" s="8"/>
      <c r="X2414" s="8"/>
      <c r="Y2414" s="8"/>
      <c r="Z2414" s="8"/>
    </row>
    <row r="2415" spans="1:26" ht="12.75">
      <c r="A2415" s="11">
        <v>43747.213402777779</v>
      </c>
      <c r="B2415" s="12" t="str">
        <f>HYPERLINK("https://twitter.com/urucsabahattin","@urucsabahattin")</f>
        <v>@urucsabahattin</v>
      </c>
      <c r="C2415" s="7" t="s">
        <v>15296</v>
      </c>
      <c r="D2415" s="7" t="s">
        <v>15297</v>
      </c>
      <c r="E2415" s="12" t="str">
        <f>HYPERLINK("https://twitter.com/urucsabahattin/status/1181903963874045952","1181903963874045952")</f>
        <v>1181903963874045952</v>
      </c>
      <c r="F2415" s="8"/>
      <c r="G2415" s="7"/>
      <c r="H2415" s="8"/>
      <c r="I2415" s="15">
        <v>0</v>
      </c>
      <c r="J2415" s="15">
        <v>0</v>
      </c>
      <c r="K2415" s="12" t="str">
        <f>HYPERLINK("http://twitter.com/download/android","Twitter for Android")</f>
        <v>Twitter for Android</v>
      </c>
      <c r="L2415" s="16">
        <v>381</v>
      </c>
      <c r="M2415" s="16">
        <v>378</v>
      </c>
      <c r="N2415" s="16">
        <v>0</v>
      </c>
      <c r="O2415" s="17"/>
      <c r="P2415" s="18">
        <v>42108.061481481476</v>
      </c>
      <c r="Q2415" s="7"/>
      <c r="R2415" s="7"/>
      <c r="S2415" s="15"/>
      <c r="T2415" s="8"/>
      <c r="U2415" s="19" t="str">
        <f>HYPERLINK("https://pbs.twimg.com/profile_images/997753692337012736/pqGb8pSM.jpg","View")</f>
        <v>View</v>
      </c>
      <c r="V2415" s="8"/>
      <c r="W2415" s="8"/>
      <c r="X2415" s="8"/>
      <c r="Y2415" s="8"/>
      <c r="Z2415" s="8"/>
    </row>
    <row r="2416" spans="1:26" ht="12.75">
      <c r="A2416" s="11">
        <v>43747.213379629626</v>
      </c>
      <c r="B2416" s="12" t="str">
        <f>HYPERLINK("https://twitter.com/MHKT15","@MHKT15")</f>
        <v>@MHKT15</v>
      </c>
      <c r="C2416" s="7" t="s">
        <v>15298</v>
      </c>
      <c r="D2416" s="7" t="s">
        <v>15299</v>
      </c>
      <c r="E2416" s="12" t="str">
        <f>HYPERLINK("https://twitter.com/MHKT15/status/1181903957758763009","1181903957758763009")</f>
        <v>1181903957758763009</v>
      </c>
      <c r="F2416" s="15"/>
      <c r="G2416" s="15"/>
      <c r="H2416" s="8"/>
      <c r="I2416" s="15">
        <v>0</v>
      </c>
      <c r="J2416" s="15">
        <v>0</v>
      </c>
      <c r="K2416" s="12" t="str">
        <f>HYPERLINK("http://twitter.com/download/android","Twitter for Android")</f>
        <v>Twitter for Android</v>
      </c>
      <c r="L2416" s="16">
        <v>1</v>
      </c>
      <c r="M2416" s="16">
        <v>1</v>
      </c>
      <c r="N2416" s="16">
        <v>0</v>
      </c>
      <c r="O2416" s="17"/>
      <c r="P2416" s="18">
        <v>43673.169814814813</v>
      </c>
      <c r="Q2416" s="7"/>
      <c r="R2416" s="7" t="s">
        <v>15300</v>
      </c>
      <c r="S2416" s="7"/>
      <c r="T2416" s="8"/>
      <c r="U2416" s="19" t="str">
        <f>HYPERLINK("https://pbs.twimg.com/profile_images/1155074435113787392/Lb7GIUCJ.jpg","View")</f>
        <v>View</v>
      </c>
      <c r="V2416" s="8"/>
      <c r="W2416" s="8"/>
      <c r="X2416" s="8"/>
      <c r="Y2416" s="8"/>
      <c r="Z2416" s="8"/>
    </row>
    <row r="2417" spans="1:26" ht="12.75">
      <c r="A2417" s="11">
        <v>43747.213240740741</v>
      </c>
      <c r="B2417" s="12" t="str">
        <f>HYPERLINK("https://twitter.com/cm_sltn","@cm_sltn")</f>
        <v>@cm_sltn</v>
      </c>
      <c r="C2417" s="7" t="s">
        <v>15301</v>
      </c>
      <c r="D2417" s="7" t="s">
        <v>15302</v>
      </c>
      <c r="E2417" s="12" t="str">
        <f>HYPERLINK("https://twitter.com/cm_sltn/status/1181903906739240965","1181903906739240965")</f>
        <v>1181903906739240965</v>
      </c>
      <c r="F2417" s="8"/>
      <c r="G2417" s="14" t="s">
        <v>15303</v>
      </c>
      <c r="H2417" s="8"/>
      <c r="I2417" s="15">
        <v>0</v>
      </c>
      <c r="J2417" s="15">
        <v>0</v>
      </c>
      <c r="K2417" s="12" t="str">
        <f>HYPERLINK("http://twitter.com/download/android","Twitter for Android")</f>
        <v>Twitter for Android</v>
      </c>
      <c r="L2417" s="16">
        <v>750</v>
      </c>
      <c r="M2417" s="16">
        <v>763</v>
      </c>
      <c r="N2417" s="16">
        <v>1</v>
      </c>
      <c r="O2417" s="17"/>
      <c r="P2417" s="18">
        <v>43642.228078703702</v>
      </c>
      <c r="Q2417" s="7"/>
      <c r="R2417" s="7" t="s">
        <v>15304</v>
      </c>
      <c r="S2417" s="7"/>
      <c r="T2417" s="8"/>
      <c r="U2417" s="19" t="str">
        <f>HYPERLINK("https://pbs.twimg.com/profile_images/1181845208864100352/NlVnOwGG.jpg","View")</f>
        <v>View</v>
      </c>
      <c r="V2417" s="8"/>
      <c r="W2417" s="8"/>
      <c r="X2417" s="8"/>
      <c r="Y2417" s="8"/>
      <c r="Z2417" s="8"/>
    </row>
    <row r="2418" spans="1:26" ht="12.75">
      <c r="A2418" s="11">
        <v>43747.213009259256</v>
      </c>
      <c r="B2418" s="12" t="str">
        <f>HYPERLINK("https://twitter.com/Mr_busy10","@Mr_busy10")</f>
        <v>@Mr_busy10</v>
      </c>
      <c r="C2418" s="7" t="s">
        <v>15305</v>
      </c>
      <c r="D2418" s="7" t="s">
        <v>15306</v>
      </c>
      <c r="E2418" s="12" t="str">
        <f>HYPERLINK("https://twitter.com/Mr_busy10/status/1181903823020929025","1181903823020929025")</f>
        <v>1181903823020929025</v>
      </c>
      <c r="F2418" s="8"/>
      <c r="G2418" s="7"/>
      <c r="H2418" s="8"/>
      <c r="I2418" s="15">
        <v>0</v>
      </c>
      <c r="J2418" s="15">
        <v>0</v>
      </c>
      <c r="K2418" s="12" t="str">
        <f>HYPERLINK("http://twitter.com/download/iphone","Twitter for iPhone")</f>
        <v>Twitter for iPhone</v>
      </c>
      <c r="L2418" s="16">
        <v>173</v>
      </c>
      <c r="M2418" s="16">
        <v>736</v>
      </c>
      <c r="N2418" s="16">
        <v>0</v>
      </c>
      <c r="O2418" s="17"/>
      <c r="P2418" s="18">
        <v>42171.429942129631</v>
      </c>
      <c r="Q2418" s="7" t="s">
        <v>15307</v>
      </c>
      <c r="R2418" s="7" t="s">
        <v>15308</v>
      </c>
      <c r="S2418" s="15"/>
      <c r="T2418" s="8"/>
      <c r="U2418" s="19" t="str">
        <f>HYPERLINK("https://pbs.twimg.com/profile_images/624676731123834880/NP02fUu4.jpg","View")</f>
        <v>View</v>
      </c>
      <c r="V2418" s="8"/>
      <c r="W2418" s="8"/>
      <c r="X2418" s="8"/>
      <c r="Y2418" s="8"/>
      <c r="Z2418" s="8"/>
    </row>
    <row r="2419" spans="1:26" ht="12.75">
      <c r="A2419" s="11">
        <v>43747.212812500002</v>
      </c>
      <c r="B2419" s="12" t="str">
        <f>HYPERLINK("https://twitter.com/ertgrlatsvn","@ertgrlatsvn")</f>
        <v>@ertgrlatsvn</v>
      </c>
      <c r="C2419" s="7" t="s">
        <v>15309</v>
      </c>
      <c r="D2419" s="7" t="s">
        <v>15310</v>
      </c>
      <c r="E2419" s="12" t="str">
        <f>HYPERLINK("https://twitter.com/ertgrlatsvn/status/1181903751248060416","1181903751248060416")</f>
        <v>1181903751248060416</v>
      </c>
      <c r="F2419" s="8"/>
      <c r="G2419" s="14" t="s">
        <v>15311</v>
      </c>
      <c r="H2419" s="8"/>
      <c r="I2419" s="15">
        <v>0</v>
      </c>
      <c r="J2419" s="15">
        <v>2</v>
      </c>
      <c r="K2419" s="12" t="str">
        <f>HYPERLINK("http://twitter.com/download/android","Twitter for Android")</f>
        <v>Twitter for Android</v>
      </c>
      <c r="L2419" s="16">
        <v>112</v>
      </c>
      <c r="M2419" s="16">
        <v>116</v>
      </c>
      <c r="N2419" s="16">
        <v>0</v>
      </c>
      <c r="O2419" s="17"/>
      <c r="P2419" s="18">
        <v>41312.983472222222</v>
      </c>
      <c r="Q2419" s="7" t="s">
        <v>287</v>
      </c>
      <c r="R2419" s="7" t="s">
        <v>14535</v>
      </c>
      <c r="S2419" s="14" t="s">
        <v>15312</v>
      </c>
      <c r="T2419" s="8"/>
      <c r="U2419" s="19" t="str">
        <f>HYPERLINK("https://pbs.twimg.com/profile_images/1173331377674170369/iQCKA2JF.jpg","View")</f>
        <v>View</v>
      </c>
      <c r="V2419" s="8"/>
      <c r="W2419" s="8"/>
      <c r="X2419" s="8"/>
      <c r="Y2419" s="8"/>
      <c r="Z2419" s="8"/>
    </row>
    <row r="2420" spans="1:26" ht="12.75">
      <c r="A2420" s="11">
        <v>43747.212731481486</v>
      </c>
      <c r="B2420" s="12" t="str">
        <f>HYPERLINK("https://twitter.com/atacanata3434","@atacanata3434")</f>
        <v>@atacanata3434</v>
      </c>
      <c r="C2420" s="7" t="s">
        <v>15313</v>
      </c>
      <c r="D2420" s="7" t="s">
        <v>15314</v>
      </c>
      <c r="E2420" s="12" t="str">
        <f>HYPERLINK("https://twitter.com/atacanata3434/status/1181903720294031360","1181903720294031360")</f>
        <v>1181903720294031360</v>
      </c>
      <c r="F2420" s="8"/>
      <c r="G2420" s="14" t="s">
        <v>15315</v>
      </c>
      <c r="H2420" s="8"/>
      <c r="I2420" s="15">
        <v>0</v>
      </c>
      <c r="J2420" s="15">
        <v>1</v>
      </c>
      <c r="K2420" s="12" t="str">
        <f>HYPERLINK("https://mobile.twitter.com","Twitter Web App")</f>
        <v>Twitter Web App</v>
      </c>
      <c r="L2420" s="16">
        <v>5</v>
      </c>
      <c r="M2420" s="16">
        <v>73</v>
      </c>
      <c r="N2420" s="16">
        <v>0</v>
      </c>
      <c r="O2420" s="17"/>
      <c r="P2420" s="18">
        <v>42756.191817129627</v>
      </c>
      <c r="Q2420" s="7"/>
      <c r="R2420" s="7"/>
      <c r="S2420" s="15"/>
      <c r="T2420" s="8"/>
      <c r="U2420" s="19" t="str">
        <f>HYPERLINK("https://pbs.twimg.com/profile_images/845687403012669441/ZAdBTlsF.jpg","View")</f>
        <v>View</v>
      </c>
      <c r="V2420" s="8"/>
      <c r="W2420" s="8"/>
      <c r="X2420" s="8"/>
      <c r="Y2420" s="8"/>
      <c r="Z2420" s="8"/>
    </row>
    <row r="2421" spans="1:26" ht="12.75">
      <c r="A2421" s="11">
        <v>43747.212731481486</v>
      </c>
      <c r="B2421" s="12" t="str">
        <f>HYPERLINK("https://twitter.com/salihguneroff","@salihguneroff")</f>
        <v>@salihguneroff</v>
      </c>
      <c r="C2421" s="7" t="s">
        <v>15316</v>
      </c>
      <c r="D2421" s="7" t="s">
        <v>15317</v>
      </c>
      <c r="E2421" s="12" t="str">
        <f>HYPERLINK("https://twitter.com/salihguneroff/status/1181903719962730501","1181903719962730501")</f>
        <v>1181903719962730501</v>
      </c>
      <c r="F2421" s="8"/>
      <c r="G2421" s="7"/>
      <c r="H2421" s="8"/>
      <c r="I2421" s="15">
        <v>0</v>
      </c>
      <c r="J2421" s="15">
        <v>0</v>
      </c>
      <c r="K2421" s="12" t="str">
        <f>HYPERLINK("https://mobile.twitter.com","Twitter Web App")</f>
        <v>Twitter Web App</v>
      </c>
      <c r="L2421" s="16">
        <v>95</v>
      </c>
      <c r="M2421" s="16">
        <v>106</v>
      </c>
      <c r="N2421" s="16">
        <v>0</v>
      </c>
      <c r="O2421" s="17"/>
      <c r="P2421" s="18">
        <v>43685.127314814818</v>
      </c>
      <c r="Q2421" s="7" t="s">
        <v>15318</v>
      </c>
      <c r="R2421" s="7" t="s">
        <v>15319</v>
      </c>
      <c r="S2421" s="15"/>
      <c r="T2421" s="8"/>
      <c r="U2421" s="19" t="str">
        <f>HYPERLINK("https://pbs.twimg.com/profile_images/1169186575462350848/fXUTSabO.jpg","View")</f>
        <v>View</v>
      </c>
      <c r="V2421" s="8"/>
      <c r="W2421" s="8"/>
      <c r="X2421" s="8"/>
      <c r="Y2421" s="8"/>
      <c r="Z2421" s="8"/>
    </row>
    <row r="2422" spans="1:26" ht="12.75">
      <c r="A2422" s="11">
        <v>43747.212708333333</v>
      </c>
      <c r="B2422" s="12" t="str">
        <f>HYPERLINK("https://twitter.com/Harakiri731","@Harakiri731")</f>
        <v>@Harakiri731</v>
      </c>
      <c r="C2422" s="7" t="s">
        <v>15320</v>
      </c>
      <c r="D2422" s="7" t="s">
        <v>15321</v>
      </c>
      <c r="E2422" s="12" t="str">
        <f>HYPERLINK("https://twitter.com/Harakiri731/status/1181903713163759617","1181903713163759617")</f>
        <v>1181903713163759617</v>
      </c>
      <c r="F2422" s="8"/>
      <c r="G2422" s="7"/>
      <c r="H2422" s="8"/>
      <c r="I2422" s="15">
        <v>0</v>
      </c>
      <c r="J2422" s="15">
        <v>3</v>
      </c>
      <c r="K2422" s="12" t="str">
        <f>HYPERLINK("http://twitter.com/download/android","Twitter for Android")</f>
        <v>Twitter for Android</v>
      </c>
      <c r="L2422" s="16">
        <v>648</v>
      </c>
      <c r="M2422" s="16">
        <v>788</v>
      </c>
      <c r="N2422" s="16">
        <v>0</v>
      </c>
      <c r="O2422" s="17"/>
      <c r="P2422" s="18">
        <v>43728.037685185191</v>
      </c>
      <c r="Q2422" s="7"/>
      <c r="R2422" s="7" t="s">
        <v>15322</v>
      </c>
      <c r="S2422" s="7"/>
      <c r="T2422" s="8"/>
      <c r="U2422" s="19" t="str">
        <f>HYPERLINK("https://pbs.twimg.com/profile_images/1181540724833226752/JrvH1256.jpg","View")</f>
        <v>View</v>
      </c>
      <c r="V2422" s="8"/>
      <c r="W2422" s="8"/>
      <c r="X2422" s="8"/>
      <c r="Y2422" s="8"/>
      <c r="Z2422" s="8"/>
    </row>
    <row r="2423" spans="1:26" ht="12.75">
      <c r="A2423" s="11">
        <v>43747.212673611109</v>
      </c>
      <c r="B2423" s="12" t="str">
        <f>HYPERLINK("https://twitter.com/Fak_aBastik","@Fak_aBastik")</f>
        <v>@Fak_aBastik</v>
      </c>
      <c r="C2423" s="7" t="s">
        <v>15323</v>
      </c>
      <c r="D2423" s="7" t="s">
        <v>15324</v>
      </c>
      <c r="E2423" s="12" t="str">
        <f>HYPERLINK("https://twitter.com/Fak_aBastik/status/1181903701017075714","1181903701017075714")</f>
        <v>1181903701017075714</v>
      </c>
      <c r="F2423" s="8" t="s">
        <v>15325</v>
      </c>
      <c r="G2423" s="7"/>
      <c r="H2423" s="8"/>
      <c r="I2423" s="15">
        <v>0</v>
      </c>
      <c r="J2423" s="15">
        <v>0</v>
      </c>
      <c r="K2423" s="12" t="str">
        <f>HYPERLINK("http://twitter.com/download/iphone","Twitter for iPhone")</f>
        <v>Twitter for iPhone</v>
      </c>
      <c r="L2423" s="16">
        <v>63</v>
      </c>
      <c r="M2423" s="16">
        <v>262</v>
      </c>
      <c r="N2423" s="16">
        <v>0</v>
      </c>
      <c r="O2423" s="17"/>
      <c r="P2423" s="18">
        <v>43727.547719907408</v>
      </c>
      <c r="Q2423" s="7"/>
      <c r="R2423" s="7" t="s">
        <v>15326</v>
      </c>
      <c r="S2423" s="14" t="s">
        <v>15327</v>
      </c>
      <c r="T2423" s="8"/>
      <c r="U2423" s="19" t="str">
        <f>HYPERLINK("https://pbs.twimg.com/profile_images/1174777550658265090/Nd_y-e-k.jpg","View")</f>
        <v>View</v>
      </c>
      <c r="V2423" s="8"/>
      <c r="W2423" s="8"/>
      <c r="X2423" s="8"/>
      <c r="Y2423" s="8"/>
      <c r="Z2423" s="8"/>
    </row>
    <row r="2424" spans="1:26" ht="12.75">
      <c r="A2424" s="11">
        <v>43747.21266203704</v>
      </c>
      <c r="B2424" s="12" t="str">
        <f>HYPERLINK("https://twitter.com/arnavutyakup","@arnavutyakup")</f>
        <v>@arnavutyakup</v>
      </c>
      <c r="C2424" s="7" t="s">
        <v>15328</v>
      </c>
      <c r="D2424" s="7" t="s">
        <v>15329</v>
      </c>
      <c r="E2424" s="12" t="str">
        <f>HYPERLINK("https://twitter.com/arnavutyakup/status/1181903697493860352","1181903697493860352")</f>
        <v>1181903697493860352</v>
      </c>
      <c r="F2424" s="8"/>
      <c r="G2424" s="14" t="s">
        <v>15330</v>
      </c>
      <c r="H2424" s="8"/>
      <c r="I2424" s="15">
        <v>0</v>
      </c>
      <c r="J2424" s="15">
        <v>0</v>
      </c>
      <c r="K2424" s="12" t="str">
        <f>HYPERLINK("http://twitter.com/download/android","Twitter for Android")</f>
        <v>Twitter for Android</v>
      </c>
      <c r="L2424" s="16">
        <v>85</v>
      </c>
      <c r="M2424" s="16">
        <v>31</v>
      </c>
      <c r="N2424" s="16">
        <v>0</v>
      </c>
      <c r="O2424" s="17"/>
      <c r="P2424" s="18">
        <v>40354.670324074075</v>
      </c>
      <c r="Q2424" s="7" t="s">
        <v>313</v>
      </c>
      <c r="R2424" s="7" t="s">
        <v>15331</v>
      </c>
      <c r="S2424" s="7"/>
      <c r="T2424" s="8"/>
      <c r="U2424" s="19" t="str">
        <f>HYPERLINK("https://pbs.twimg.com/profile_images/859023381898960897/HEmP8ydY.jpg","View")</f>
        <v>View</v>
      </c>
      <c r="V2424" s="8"/>
      <c r="W2424" s="8"/>
      <c r="X2424" s="8"/>
      <c r="Y2424" s="8"/>
      <c r="Z2424" s="8"/>
    </row>
    <row r="2425" spans="1:26" ht="12.75">
      <c r="A2425" s="11">
        <v>43747.212557870371</v>
      </c>
      <c r="B2425" s="12" t="str">
        <f>HYPERLINK("https://twitter.com/BayazNurkan","@BayazNurkan")</f>
        <v>@BayazNurkan</v>
      </c>
      <c r="C2425" s="7" t="s">
        <v>15332</v>
      </c>
      <c r="D2425" s="7" t="s">
        <v>15333</v>
      </c>
      <c r="E2425" s="12" t="str">
        <f>HYPERLINK("https://twitter.com/BayazNurkan/status/1181903658545553413","1181903658545553413")</f>
        <v>1181903658545553413</v>
      </c>
      <c r="F2425" s="8"/>
      <c r="G2425" s="14" t="s">
        <v>15334</v>
      </c>
      <c r="H2425" s="8"/>
      <c r="I2425" s="15">
        <v>0</v>
      </c>
      <c r="J2425" s="15">
        <v>0</v>
      </c>
      <c r="K2425" s="12" t="str">
        <f>HYPERLINK("http://twitter.com","Twitter Web Client")</f>
        <v>Twitter Web Client</v>
      </c>
      <c r="L2425" s="16">
        <v>2</v>
      </c>
      <c r="M2425" s="16">
        <v>0</v>
      </c>
      <c r="N2425" s="16">
        <v>0</v>
      </c>
      <c r="O2425" s="17"/>
      <c r="P2425" s="18">
        <v>43668.878368055557</v>
      </c>
      <c r="Q2425" s="7" t="s">
        <v>4987</v>
      </c>
      <c r="R2425" s="7" t="s">
        <v>15335</v>
      </c>
      <c r="S2425" s="7"/>
      <c r="T2425" s="8"/>
      <c r="U2425" s="19" t="str">
        <f>HYPERLINK("https://pbs.twimg.com/profile_images/1153753652882018305/lMnGYN2j.jpg","View")</f>
        <v>View</v>
      </c>
      <c r="V2425" s="8"/>
      <c r="W2425" s="8"/>
      <c r="X2425" s="8"/>
      <c r="Y2425" s="8"/>
      <c r="Z2425" s="8"/>
    </row>
    <row r="2426" spans="1:26" ht="12.75">
      <c r="A2426" s="11">
        <v>43747.21230324074</v>
      </c>
      <c r="B2426" s="12" t="str">
        <f>HYPERLINK("https://twitter.com/katiek1698","@katiek1698")</f>
        <v>@katiek1698</v>
      </c>
      <c r="C2426" s="7" t="s">
        <v>15336</v>
      </c>
      <c r="D2426" s="7" t="s">
        <v>15337</v>
      </c>
      <c r="E2426" s="12" t="str">
        <f>HYPERLINK("https://twitter.com/katiek1698/status/1181903566153404417","1181903566153404417")</f>
        <v>1181903566153404417</v>
      </c>
      <c r="F2426" s="14" t="s">
        <v>15338</v>
      </c>
      <c r="G2426" s="7"/>
      <c r="H2426" s="8"/>
      <c r="I2426" s="15">
        <v>0</v>
      </c>
      <c r="J2426" s="15">
        <v>1</v>
      </c>
      <c r="K2426" s="12" t="str">
        <f>HYPERLINK("https://ifttt.com","IFTTT")</f>
        <v>IFTTT</v>
      </c>
      <c r="L2426" s="16">
        <v>0</v>
      </c>
      <c r="M2426" s="16">
        <v>5</v>
      </c>
      <c r="N2426" s="16">
        <v>0</v>
      </c>
      <c r="O2426" s="17"/>
      <c r="P2426" s="18">
        <v>43079.425127314811</v>
      </c>
      <c r="Q2426" s="7"/>
      <c r="R2426" s="7"/>
      <c r="S2426" s="7"/>
      <c r="T2426" s="8"/>
      <c r="U2426" s="19" t="str">
        <f>HYPERLINK("https://pbs.twimg.com/profile_images/1181792492733251584/SfzBozkU.jpg","View")</f>
        <v>View</v>
      </c>
      <c r="V2426" s="8"/>
      <c r="W2426" s="8"/>
      <c r="X2426" s="8"/>
      <c r="Y2426" s="8"/>
      <c r="Z2426" s="8"/>
    </row>
    <row r="2427" spans="1:26" ht="12.75">
      <c r="A2427" s="11">
        <v>43747.21229166667</v>
      </c>
      <c r="B2427" s="12" t="str">
        <f>HYPERLINK("https://twitter.com/oznurarzuelif","@oznurarzuelif")</f>
        <v>@oznurarzuelif</v>
      </c>
      <c r="C2427" s="7" t="s">
        <v>15339</v>
      </c>
      <c r="D2427" s="7" t="s">
        <v>15340</v>
      </c>
      <c r="E2427" s="12" t="str">
        <f>HYPERLINK("https://twitter.com/oznurarzuelif/status/1181903563041251329","1181903563041251329")</f>
        <v>1181903563041251329</v>
      </c>
      <c r="F2427" s="15"/>
      <c r="G2427" s="7"/>
      <c r="H2427" s="8"/>
      <c r="I2427" s="15">
        <v>0</v>
      </c>
      <c r="J2427" s="15">
        <v>0</v>
      </c>
      <c r="K2427" s="12" t="str">
        <f>HYPERLINK("http://twitter.com/download/android","Twitter for Android")</f>
        <v>Twitter for Android</v>
      </c>
      <c r="L2427" s="16">
        <v>40</v>
      </c>
      <c r="M2427" s="16">
        <v>38</v>
      </c>
      <c r="N2427" s="16">
        <v>0</v>
      </c>
      <c r="O2427" s="17"/>
      <c r="P2427" s="18">
        <v>43742.85291666667</v>
      </c>
      <c r="Q2427" s="7" t="s">
        <v>15341</v>
      </c>
      <c r="R2427" s="7"/>
      <c r="S2427" s="7"/>
      <c r="T2427" s="8"/>
      <c r="U2427" s="19" t="str">
        <f>HYPERLINK("https://pbs.twimg.com/profile_images/1181045763406749696/ia8CPTic.jpg","View")</f>
        <v>View</v>
      </c>
      <c r="V2427" s="8"/>
      <c r="W2427" s="8"/>
      <c r="X2427" s="8"/>
      <c r="Y2427" s="8"/>
      <c r="Z2427" s="8"/>
    </row>
    <row r="2428" spans="1:26" ht="12.75">
      <c r="A2428" s="11">
        <v>43747.212256944447</v>
      </c>
      <c r="B2428" s="12" t="str">
        <f>HYPERLINK("https://twitter.com/1977Burakeris","@1977Burakeris")</f>
        <v>@1977Burakeris</v>
      </c>
      <c r="C2428" s="7" t="s">
        <v>15342</v>
      </c>
      <c r="D2428" s="7" t="s">
        <v>15343</v>
      </c>
      <c r="E2428" s="12" t="str">
        <f>HYPERLINK("https://twitter.com/1977Burakeris/status/1181903550051434496","1181903550051434496")</f>
        <v>1181903550051434496</v>
      </c>
      <c r="F2428" s="14" t="s">
        <v>15344</v>
      </c>
      <c r="G2428" s="7"/>
      <c r="H2428" s="8"/>
      <c r="I2428" s="15">
        <v>0</v>
      </c>
      <c r="J2428" s="15">
        <v>0</v>
      </c>
      <c r="K2428" s="12" t="str">
        <f>HYPERLINK("http://twitter.com/download/iphone","Twitter for iPhone")</f>
        <v>Twitter for iPhone</v>
      </c>
      <c r="L2428" s="16">
        <v>2449</v>
      </c>
      <c r="M2428" s="16">
        <v>1771</v>
      </c>
      <c r="N2428" s="16">
        <v>5</v>
      </c>
      <c r="O2428" s="17"/>
      <c r="P2428" s="18">
        <v>42193.152083333334</v>
      </c>
      <c r="Q2428" s="7" t="s">
        <v>15345</v>
      </c>
      <c r="R2428" s="7" t="s">
        <v>15346</v>
      </c>
      <c r="S2428" s="7"/>
      <c r="T2428" s="8"/>
      <c r="U2428" s="19" t="str">
        <f>HYPERLINK("https://pbs.twimg.com/profile_images/1137455963475206144/DqpoXEFJ.jpg","View")</f>
        <v>View</v>
      </c>
      <c r="V2428" s="8"/>
      <c r="W2428" s="8"/>
      <c r="X2428" s="8"/>
      <c r="Y2428" s="8"/>
      <c r="Z2428" s="8"/>
    </row>
    <row r="2429" spans="1:26" ht="12.75">
      <c r="A2429" s="11">
        <v>43747.212118055555</v>
      </c>
      <c r="B2429" s="12" t="str">
        <f>HYPERLINK("https://twitter.com/Aykut14YILDIZ","@Aykut14YILDIZ")</f>
        <v>@Aykut14YILDIZ</v>
      </c>
      <c r="C2429" s="7" t="s">
        <v>15347</v>
      </c>
      <c r="D2429" s="7" t="s">
        <v>15348</v>
      </c>
      <c r="E2429" s="12" t="str">
        <f>HYPERLINK("https://twitter.com/Aykut14YILDIZ/status/1181903498524418048","1181903498524418048")</f>
        <v>1181903498524418048</v>
      </c>
      <c r="F2429" s="14" t="s">
        <v>15349</v>
      </c>
      <c r="G2429" s="7"/>
      <c r="H2429" s="8"/>
      <c r="I2429" s="15">
        <v>0</v>
      </c>
      <c r="J2429" s="15">
        <v>0</v>
      </c>
      <c r="K2429" s="12" t="str">
        <f>HYPERLINK("http://instagram.com","Instagram")</f>
        <v>Instagram</v>
      </c>
      <c r="L2429" s="16">
        <v>207</v>
      </c>
      <c r="M2429" s="16">
        <v>1200</v>
      </c>
      <c r="N2429" s="16">
        <v>4</v>
      </c>
      <c r="O2429" s="17"/>
      <c r="P2429" s="18">
        <v>40363.683692129627</v>
      </c>
      <c r="Q2429" s="7" t="s">
        <v>15350</v>
      </c>
      <c r="R2429" s="7" t="s">
        <v>15351</v>
      </c>
      <c r="S2429" s="14" t="s">
        <v>15352</v>
      </c>
      <c r="T2429" s="8"/>
      <c r="U2429" s="19" t="str">
        <f>HYPERLINK("https://pbs.twimg.com/profile_images/960998772410142720/tZhvHRD-.jpg","View")</f>
        <v>View</v>
      </c>
      <c r="V2429" s="8"/>
      <c r="W2429" s="8"/>
      <c r="X2429" s="8"/>
      <c r="Y2429" s="8"/>
      <c r="Z2429" s="8"/>
    </row>
    <row r="2430" spans="1:26" ht="12.75">
      <c r="A2430" s="11">
        <v>43747.212048611109</v>
      </c>
      <c r="B2430" s="12" t="str">
        <f>HYPERLINK("https://twitter.com/dcavus81","@dcavus81")</f>
        <v>@dcavus81</v>
      </c>
      <c r="C2430" s="7" t="s">
        <v>15353</v>
      </c>
      <c r="D2430" s="7" t="s">
        <v>15354</v>
      </c>
      <c r="E2430" s="12" t="str">
        <f>HYPERLINK("https://twitter.com/dcavus81/status/1181903473731915781","1181903473731915781")</f>
        <v>1181903473731915781</v>
      </c>
      <c r="F2430" s="8"/>
      <c r="G2430" s="14" t="s">
        <v>15355</v>
      </c>
      <c r="H2430" s="8"/>
      <c r="I2430" s="15">
        <v>0</v>
      </c>
      <c r="J2430" s="15">
        <v>1</v>
      </c>
      <c r="K2430" s="12" t="str">
        <f>HYPERLINK("http://twitter.com/download/iphone","Twitter for iPhone")</f>
        <v>Twitter for iPhone</v>
      </c>
      <c r="L2430" s="16">
        <v>78</v>
      </c>
      <c r="M2430" s="16">
        <v>220</v>
      </c>
      <c r="N2430" s="16">
        <v>0</v>
      </c>
      <c r="O2430" s="17"/>
      <c r="P2430" s="18">
        <v>42999.553923611107</v>
      </c>
      <c r="Q2430" s="7" t="s">
        <v>15356</v>
      </c>
      <c r="R2430" s="7" t="s">
        <v>15357</v>
      </c>
      <c r="S2430" s="7"/>
      <c r="T2430" s="8"/>
      <c r="U2430" s="19" t="str">
        <f>HYPERLINK("https://pbs.twimg.com/profile_images/1086072857099153408/SS8jx30_.jpg","View")</f>
        <v>View</v>
      </c>
      <c r="V2430" s="8"/>
      <c r="W2430" s="8"/>
      <c r="X2430" s="8"/>
      <c r="Y2430" s="8"/>
      <c r="Z2430" s="8"/>
    </row>
    <row r="2431" spans="1:26" ht="12.75">
      <c r="A2431" s="11">
        <v>43747.212037037039</v>
      </c>
      <c r="B2431" s="12" t="str">
        <f>HYPERLINK("https://twitter.com/Kalel_2019","@Kalel_2019")</f>
        <v>@Kalel_2019</v>
      </c>
      <c r="C2431" s="7" t="s">
        <v>15358</v>
      </c>
      <c r="D2431" s="7" t="s">
        <v>15359</v>
      </c>
      <c r="E2431" s="12" t="str">
        <f>HYPERLINK("https://twitter.com/Kalel_2019/status/1181903470414192640","1181903470414192640")</f>
        <v>1181903470414192640</v>
      </c>
      <c r="F2431" s="8"/>
      <c r="G2431" s="7"/>
      <c r="H2431" s="8"/>
      <c r="I2431" s="15">
        <v>0</v>
      </c>
      <c r="J2431" s="15">
        <v>0</v>
      </c>
      <c r="K2431" s="12" t="str">
        <f>HYPERLINK("http://twitter.com/download/android","Twitter for Android")</f>
        <v>Twitter for Android</v>
      </c>
      <c r="L2431" s="16">
        <v>708</v>
      </c>
      <c r="M2431" s="16">
        <v>1123</v>
      </c>
      <c r="N2431" s="16">
        <v>0</v>
      </c>
      <c r="O2431" s="17"/>
      <c r="P2431" s="18">
        <v>43021.082488425927</v>
      </c>
      <c r="Q2431" s="7" t="s">
        <v>69</v>
      </c>
      <c r="R2431" s="7" t="s">
        <v>15360</v>
      </c>
      <c r="S2431" s="14" t="s">
        <v>15361</v>
      </c>
      <c r="T2431" s="8"/>
      <c r="U2431" s="19" t="str">
        <f>HYPERLINK("https://pbs.twimg.com/profile_images/1173697002766512130/LK1z05GZ.jpg","View")</f>
        <v>View</v>
      </c>
      <c r="V2431" s="8"/>
      <c r="W2431" s="8"/>
      <c r="X2431" s="8"/>
      <c r="Y2431" s="8"/>
      <c r="Z2431" s="8"/>
    </row>
    <row r="2432" spans="1:26" ht="12.75">
      <c r="A2432" s="11">
        <v>43747.211886574078</v>
      </c>
      <c r="B2432" s="12" t="str">
        <f>HYPERLINK("https://twitter.com/1071_AnadoluHrk","@1071_AnadoluHrk")</f>
        <v>@1071_AnadoluHrk</v>
      </c>
      <c r="C2432" s="7" t="s">
        <v>15362</v>
      </c>
      <c r="D2432" s="7" t="s">
        <v>15363</v>
      </c>
      <c r="E2432" s="12" t="str">
        <f>HYPERLINK("https://twitter.com/1071_AnadoluHrk/status/1181903414424489984","1181903414424489984")</f>
        <v>1181903414424489984</v>
      </c>
      <c r="F2432" s="8"/>
      <c r="G2432" s="15"/>
      <c r="H2432" s="8"/>
      <c r="I2432" s="15">
        <v>0</v>
      </c>
      <c r="J2432" s="15">
        <v>0</v>
      </c>
      <c r="K2432" s="12" t="str">
        <f>HYPERLINK("https://mobile.twitter.com","Twitter Web App")</f>
        <v>Twitter Web App</v>
      </c>
      <c r="L2432" s="16">
        <v>353</v>
      </c>
      <c r="M2432" s="16">
        <v>316</v>
      </c>
      <c r="N2432" s="16">
        <v>0</v>
      </c>
      <c r="O2432" s="17"/>
      <c r="P2432" s="18">
        <v>41744.177627314813</v>
      </c>
      <c r="Q2432" s="7" t="s">
        <v>287</v>
      </c>
      <c r="R2432" s="7" t="s">
        <v>15364</v>
      </c>
      <c r="S2432" s="7"/>
      <c r="T2432" s="8"/>
      <c r="U2432" s="19" t="str">
        <f>HYPERLINK("https://pbs.twimg.com/profile_images/716028002753187841/pxpcDKgN.jpg","View")</f>
        <v>View</v>
      </c>
      <c r="V2432" s="8"/>
      <c r="W2432" s="8"/>
      <c r="X2432" s="8"/>
      <c r="Y2432" s="8"/>
      <c r="Z2432" s="8"/>
    </row>
    <row r="2433" spans="1:26" ht="12.75">
      <c r="A2433" s="11">
        <v>43747.211851851855</v>
      </c>
      <c r="B2433" s="12" t="str">
        <f>HYPERLINK("https://twitter.com/mikucuk","@mikucuk")</f>
        <v>@mikucuk</v>
      </c>
      <c r="C2433" s="7" t="s">
        <v>15365</v>
      </c>
      <c r="D2433" s="7" t="s">
        <v>15366</v>
      </c>
      <c r="E2433" s="12" t="str">
        <f>HYPERLINK("https://twitter.com/mikucuk/status/1181903401610891265","1181903401610891265")</f>
        <v>1181903401610891265</v>
      </c>
      <c r="F2433" s="15"/>
      <c r="G2433" s="14" t="s">
        <v>15367</v>
      </c>
      <c r="H2433" s="8"/>
      <c r="I2433" s="15">
        <v>0</v>
      </c>
      <c r="J2433" s="15">
        <v>1</v>
      </c>
      <c r="K2433" s="12" t="str">
        <f>HYPERLINK("http://twitter.com/download/android","Twitter for Android")</f>
        <v>Twitter for Android</v>
      </c>
      <c r="L2433" s="16">
        <v>39</v>
      </c>
      <c r="M2433" s="16">
        <v>56</v>
      </c>
      <c r="N2433" s="16">
        <v>0</v>
      </c>
      <c r="O2433" s="17"/>
      <c r="P2433" s="18">
        <v>43640.076678240745</v>
      </c>
      <c r="Q2433" s="7"/>
      <c r="R2433" s="7" t="s">
        <v>15368</v>
      </c>
      <c r="S2433" s="14" t="s">
        <v>15369</v>
      </c>
      <c r="T2433" s="8"/>
      <c r="U2433" s="19" t="str">
        <f>HYPERLINK("https://pbs.twimg.com/profile_images/1180248035965558784/YydtxnP8.jpg","View")</f>
        <v>View</v>
      </c>
      <c r="V2433" s="8"/>
      <c r="W2433" s="8"/>
      <c r="X2433" s="8"/>
      <c r="Y2433" s="8"/>
      <c r="Z2433" s="8"/>
    </row>
    <row r="2434" spans="1:26" ht="12.75">
      <c r="A2434" s="11">
        <v>43747.211793981478</v>
      </c>
      <c r="B2434" s="12" t="str">
        <f>HYPERLINK("https://twitter.com/kkemalacar","@kkemalacar")</f>
        <v>@kkemalacar</v>
      </c>
      <c r="C2434" s="7" t="s">
        <v>15370</v>
      </c>
      <c r="D2434" s="7" t="s">
        <v>15371</v>
      </c>
      <c r="E2434" s="12" t="str">
        <f>HYPERLINK("https://twitter.com/kkemalacar/status/1181903383340433408","1181903383340433408")</f>
        <v>1181903383340433408</v>
      </c>
      <c r="F2434" s="8"/>
      <c r="G2434" s="14" t="s">
        <v>15372</v>
      </c>
      <c r="H2434" s="8"/>
      <c r="I2434" s="15">
        <v>0</v>
      </c>
      <c r="J2434" s="15">
        <v>1</v>
      </c>
      <c r="K2434" s="12" t="str">
        <f>HYPERLINK("http://twitter.com/download/iphone","Twitter for iPhone")</f>
        <v>Twitter for iPhone</v>
      </c>
      <c r="L2434" s="16">
        <v>902</v>
      </c>
      <c r="M2434" s="16">
        <v>858</v>
      </c>
      <c r="N2434" s="16">
        <v>2</v>
      </c>
      <c r="O2434" s="17"/>
      <c r="P2434" s="18">
        <v>40956.490729166668</v>
      </c>
      <c r="Q2434" s="7" t="s">
        <v>15373</v>
      </c>
      <c r="R2434" s="7" t="s">
        <v>15374</v>
      </c>
      <c r="S2434" s="7"/>
      <c r="T2434" s="8"/>
      <c r="U2434" s="19" t="str">
        <f>HYPERLINK("https://pbs.twimg.com/profile_images/1118076098946981888/04QNy31Z.jpg","View")</f>
        <v>View</v>
      </c>
      <c r="V2434" s="8"/>
      <c r="W2434" s="8"/>
      <c r="X2434" s="8"/>
      <c r="Y2434" s="8"/>
      <c r="Z2434" s="8"/>
    </row>
    <row r="2435" spans="1:26" ht="12.75">
      <c r="A2435" s="11">
        <v>43747.211724537032</v>
      </c>
      <c r="B2435" s="12" t="str">
        <f>HYPERLINK("https://twitter.com/Selimtiltas1","@Selimtiltas1")</f>
        <v>@Selimtiltas1</v>
      </c>
      <c r="C2435" s="7" t="s">
        <v>15375</v>
      </c>
      <c r="D2435" s="7" t="s">
        <v>160</v>
      </c>
      <c r="E2435" s="12" t="str">
        <f>HYPERLINK("https://twitter.com/Selimtiltas1/status/1181903356211728384","1181903356211728384")</f>
        <v>1181903356211728384</v>
      </c>
      <c r="F2435" s="8"/>
      <c r="G2435" s="14" t="s">
        <v>15376</v>
      </c>
      <c r="H2435" s="8"/>
      <c r="I2435" s="15">
        <v>0</v>
      </c>
      <c r="J2435" s="15">
        <v>0</v>
      </c>
      <c r="K2435" s="12" t="str">
        <f>HYPERLINK("http://twitter.com/download/android","Twitter for Android")</f>
        <v>Twitter for Android</v>
      </c>
      <c r="L2435" s="16">
        <v>4</v>
      </c>
      <c r="M2435" s="16">
        <v>15</v>
      </c>
      <c r="N2435" s="16">
        <v>0</v>
      </c>
      <c r="O2435" s="17"/>
      <c r="P2435" s="18">
        <v>43632.507951388892</v>
      </c>
      <c r="Q2435" s="7"/>
      <c r="R2435" s="7"/>
      <c r="S2435" s="7"/>
      <c r="T2435" s="8"/>
      <c r="U2435" s="19" t="str">
        <f>HYPERLINK("https://pbs.twimg.com/profile_images/1173532420265730049/3tYS3em-.jpg","View")</f>
        <v>View</v>
      </c>
      <c r="V2435" s="8"/>
      <c r="W2435" s="8"/>
      <c r="X2435" s="8"/>
      <c r="Y2435" s="8"/>
      <c r="Z2435" s="8"/>
    </row>
    <row r="2436" spans="1:26" ht="12.75">
      <c r="A2436" s="11">
        <v>43747.211712962962</v>
      </c>
      <c r="B2436" s="12" t="str">
        <f>HYPERLINK("https://twitter.com/KozaUcan","@KozaUcan")</f>
        <v>@KozaUcan</v>
      </c>
      <c r="C2436" s="7" t="s">
        <v>15377</v>
      </c>
      <c r="D2436" s="7" t="s">
        <v>15378</v>
      </c>
      <c r="E2436" s="12" t="str">
        <f>HYPERLINK("https://twitter.com/KozaUcan/status/1181903354022285313","1181903354022285313")</f>
        <v>1181903354022285313</v>
      </c>
      <c r="F2436" s="8"/>
      <c r="G2436" s="14" t="s">
        <v>15379</v>
      </c>
      <c r="H2436" s="8"/>
      <c r="I2436" s="15">
        <v>0</v>
      </c>
      <c r="J2436" s="15">
        <v>0</v>
      </c>
      <c r="K2436" s="12" t="str">
        <f>HYPERLINK("http://twitter.com","Twitter Web Client")</f>
        <v>Twitter Web Client</v>
      </c>
      <c r="L2436" s="16">
        <v>10</v>
      </c>
      <c r="M2436" s="16">
        <v>0</v>
      </c>
      <c r="N2436" s="16">
        <v>1</v>
      </c>
      <c r="O2436" s="17"/>
      <c r="P2436" s="18">
        <v>43669.840787037036</v>
      </c>
      <c r="Q2436" s="7" t="s">
        <v>8299</v>
      </c>
      <c r="R2436" s="7" t="s">
        <v>15380</v>
      </c>
      <c r="S2436" s="7"/>
      <c r="T2436" s="8"/>
      <c r="U2436" s="19" t="str">
        <f>HYPERLINK("https://pbs.twimg.com/profile_images/1154293697112084480/YMgvjs3B.jpg","View")</f>
        <v>View</v>
      </c>
      <c r="V2436" s="8"/>
      <c r="W2436" s="8"/>
      <c r="X2436" s="8"/>
      <c r="Y2436" s="8"/>
      <c r="Z2436" s="8"/>
    </row>
    <row r="2437" spans="1:26" ht="12.75">
      <c r="A2437" s="11">
        <v>43747.211712962962</v>
      </c>
      <c r="B2437" s="12" t="str">
        <f>HYPERLINK("https://twitter.com/ilkdusun","@ilkdusun")</f>
        <v>@ilkdusun</v>
      </c>
      <c r="C2437" s="7" t="s">
        <v>15381</v>
      </c>
      <c r="D2437" s="7" t="s">
        <v>15382</v>
      </c>
      <c r="E2437" s="12" t="str">
        <f>HYPERLINK("https://twitter.com/ilkdusun/status/1181903351778332672","1181903351778332672")</f>
        <v>1181903351778332672</v>
      </c>
      <c r="F2437" s="8" t="s">
        <v>15383</v>
      </c>
      <c r="G2437" s="15"/>
      <c r="H2437" s="8"/>
      <c r="I2437" s="15">
        <v>0</v>
      </c>
      <c r="J2437" s="15">
        <v>0</v>
      </c>
      <c r="K2437" s="12" t="str">
        <f>HYPERLINK("https://mobile.twitter.com","Twitter Web App")</f>
        <v>Twitter Web App</v>
      </c>
      <c r="L2437" s="16">
        <v>128</v>
      </c>
      <c r="M2437" s="16">
        <v>64</v>
      </c>
      <c r="N2437" s="16">
        <v>1</v>
      </c>
      <c r="O2437" s="17"/>
      <c r="P2437" s="18">
        <v>43062.629004629634</v>
      </c>
      <c r="Q2437" s="7"/>
      <c r="R2437" s="7"/>
      <c r="S2437" s="15"/>
      <c r="T2437" s="8"/>
      <c r="U2437" s="19" t="str">
        <f>HYPERLINK("https://pbs.twimg.com/profile_images/1012755086056083457/VQ-vrHT_.jpg","View")</f>
        <v>View</v>
      </c>
      <c r="V2437" s="8"/>
      <c r="W2437" s="8"/>
      <c r="X2437" s="8"/>
      <c r="Y2437" s="8"/>
      <c r="Z2437" s="8"/>
    </row>
    <row r="2438" spans="1:26" ht="12.75">
      <c r="A2438" s="11">
        <v>43747.211585648147</v>
      </c>
      <c r="B2438" s="12" t="str">
        <f>HYPERLINK("https://twitter.com/AycanKazbel","@AycanKazbel")</f>
        <v>@AycanKazbel</v>
      </c>
      <c r="C2438" s="7" t="s">
        <v>15384</v>
      </c>
      <c r="D2438" s="7" t="s">
        <v>15385</v>
      </c>
      <c r="E2438" s="12" t="str">
        <f>HYPERLINK("https://twitter.com/AycanKazbel/status/1181903304546230272","1181903304546230272")</f>
        <v>1181903304546230272</v>
      </c>
      <c r="F2438" s="8"/>
      <c r="G2438" s="7"/>
      <c r="H2438" s="8"/>
      <c r="I2438" s="15">
        <v>0</v>
      </c>
      <c r="J2438" s="15">
        <v>1</v>
      </c>
      <c r="K2438" s="12" t="str">
        <f>HYPERLINK("https://mobile.twitter.com","Twitter Web App")</f>
        <v>Twitter Web App</v>
      </c>
      <c r="L2438" s="16">
        <v>164</v>
      </c>
      <c r="M2438" s="16">
        <v>329</v>
      </c>
      <c r="N2438" s="16">
        <v>0</v>
      </c>
      <c r="O2438" s="17"/>
      <c r="P2438" s="18">
        <v>41337.307905092595</v>
      </c>
      <c r="Q2438" s="7" t="s">
        <v>15386</v>
      </c>
      <c r="R2438" s="7" t="s">
        <v>15387</v>
      </c>
      <c r="S2438" s="7"/>
      <c r="T2438" s="8"/>
      <c r="U2438" s="19" t="str">
        <f>HYPERLINK("https://pbs.twimg.com/profile_images/3338191484/8391e2cfe1895745a6aba7c897d24dfe.jpeg","View")</f>
        <v>View</v>
      </c>
      <c r="V2438" s="8"/>
      <c r="W2438" s="8"/>
      <c r="X2438" s="8"/>
      <c r="Y2438" s="8"/>
      <c r="Z2438" s="8"/>
    </row>
    <row r="2439" spans="1:26" ht="12.75">
      <c r="A2439" s="11">
        <v>43747.211539351847</v>
      </c>
      <c r="B2439" s="12" t="str">
        <f>HYPERLINK("https://twitter.com/DefenseindusTR","@DefenseindusTR")</f>
        <v>@DefenseindusTR</v>
      </c>
      <c r="C2439" s="7" t="s">
        <v>15388</v>
      </c>
      <c r="D2439" s="7" t="s">
        <v>15389</v>
      </c>
      <c r="E2439" s="12" t="str">
        <f>HYPERLINK("https://twitter.com/DefenseindusTR/status/1181903291149627393","1181903291149627393")</f>
        <v>1181903291149627393</v>
      </c>
      <c r="F2439" s="8"/>
      <c r="G2439" s="7"/>
      <c r="H2439" s="8"/>
      <c r="I2439" s="15">
        <v>0</v>
      </c>
      <c r="J2439" s="15">
        <v>0</v>
      </c>
      <c r="K2439" s="12" t="str">
        <f>HYPERLINK("http://twitter.com/download/iphone","Twitter for iPhone")</f>
        <v>Twitter for iPhone</v>
      </c>
      <c r="L2439" s="16">
        <v>194</v>
      </c>
      <c r="M2439" s="16">
        <v>43</v>
      </c>
      <c r="N2439" s="16">
        <v>0</v>
      </c>
      <c r="O2439" s="17"/>
      <c r="P2439" s="18">
        <v>43591.424803240741</v>
      </c>
      <c r="Q2439" s="7"/>
      <c r="R2439" s="7" t="s">
        <v>15390</v>
      </c>
      <c r="S2439" s="7"/>
      <c r="T2439" s="8"/>
      <c r="U2439" s="19" t="str">
        <f>HYPERLINK("https://pbs.twimg.com/profile_images/1133328964636815360/hRtWbnMG.jpg","View")</f>
        <v>View</v>
      </c>
      <c r="V2439" s="8"/>
      <c r="W2439" s="8"/>
      <c r="X2439" s="8"/>
      <c r="Y2439" s="8"/>
      <c r="Z2439" s="8"/>
    </row>
    <row r="2440" spans="1:26" ht="12.75">
      <c r="A2440" s="11">
        <v>43747.211400462962</v>
      </c>
      <c r="B2440" s="12" t="str">
        <f>HYPERLINK("https://twitter.com/okurhulya06","@okurhulya06")</f>
        <v>@okurhulya06</v>
      </c>
      <c r="C2440" s="7" t="s">
        <v>15391</v>
      </c>
      <c r="D2440" s="7" t="s">
        <v>15392</v>
      </c>
      <c r="E2440" s="12" t="str">
        <f>HYPERLINK("https://twitter.com/okurhulya06/status/1181903237395488769","1181903237395488769")</f>
        <v>1181903237395488769</v>
      </c>
      <c r="F2440" s="8"/>
      <c r="G2440" s="15"/>
      <c r="H2440" s="8"/>
      <c r="I2440" s="15">
        <v>0</v>
      </c>
      <c r="J2440" s="15">
        <v>1</v>
      </c>
      <c r="K2440" s="12" t="str">
        <f>HYPERLINK("http://twitter.com/download/iphone","Twitter for iPhone")</f>
        <v>Twitter for iPhone</v>
      </c>
      <c r="L2440" s="16">
        <v>876</v>
      </c>
      <c r="M2440" s="16">
        <v>2265</v>
      </c>
      <c r="N2440" s="16">
        <v>0</v>
      </c>
      <c r="O2440" s="17"/>
      <c r="P2440" s="18">
        <v>43216.141782407409</v>
      </c>
      <c r="Q2440" s="7" t="s">
        <v>313</v>
      </c>
      <c r="R2440" s="7" t="s">
        <v>15393</v>
      </c>
      <c r="S2440" s="14" t="s">
        <v>15394</v>
      </c>
      <c r="T2440" s="8"/>
      <c r="U2440" s="19" t="str">
        <f>HYPERLINK("https://pbs.twimg.com/profile_images/1152313830296444929/1hUJZ2_S.jpg","View")</f>
        <v>View</v>
      </c>
      <c r="V2440" s="8"/>
      <c r="W2440" s="8"/>
      <c r="X2440" s="8"/>
      <c r="Y2440" s="8"/>
      <c r="Z2440" s="8"/>
    </row>
    <row r="2441" spans="1:26" ht="12.75">
      <c r="A2441" s="11">
        <v>43747.211331018523</v>
      </c>
      <c r="B2441" s="12" t="str">
        <f>HYPERLINK("https://twitter.com/genctarihciler_","@genctarihciler_")</f>
        <v>@genctarihciler_</v>
      </c>
      <c r="C2441" s="7" t="s">
        <v>15395</v>
      </c>
      <c r="D2441" s="7" t="s">
        <v>15396</v>
      </c>
      <c r="E2441" s="12" t="str">
        <f>HYPERLINK("https://twitter.com/genctarihciler_/status/1181903211902439429","1181903211902439429")</f>
        <v>1181903211902439429</v>
      </c>
      <c r="F2441" s="14" t="s">
        <v>15397</v>
      </c>
      <c r="G2441" s="15"/>
      <c r="H2441" s="8"/>
      <c r="I2441" s="15">
        <v>0</v>
      </c>
      <c r="J2441" s="15">
        <v>0</v>
      </c>
      <c r="K2441" s="12" t="str">
        <f>HYPERLINK("http://twitter.com/download/android","Twitter for Android")</f>
        <v>Twitter for Android</v>
      </c>
      <c r="L2441" s="16">
        <v>222</v>
      </c>
      <c r="M2441" s="16">
        <v>85</v>
      </c>
      <c r="N2441" s="16">
        <v>1</v>
      </c>
      <c r="O2441" s="17"/>
      <c r="P2441" s="18">
        <v>40704.026030092595</v>
      </c>
      <c r="Q2441" s="7" t="s">
        <v>200</v>
      </c>
      <c r="R2441" s="7" t="s">
        <v>15398</v>
      </c>
      <c r="S2441" s="15"/>
      <c r="T2441" s="8"/>
      <c r="U2441" s="19" t="str">
        <f>HYPERLINK("https://pbs.twimg.com/profile_images/1122959499608907777/tSpTCWlU.jpg","View")</f>
        <v>View</v>
      </c>
      <c r="V2441" s="8"/>
      <c r="W2441" s="8"/>
      <c r="X2441" s="8"/>
      <c r="Y2441" s="8"/>
      <c r="Z2441" s="8"/>
    </row>
    <row r="2442" spans="1:26" ht="12.75">
      <c r="A2442" s="11">
        <v>43747.211319444439</v>
      </c>
      <c r="B2442" s="12" t="str">
        <f>HYPERLINK("https://twitter.com/hulyaokur06","@hulyaokur06")</f>
        <v>@hulyaokur06</v>
      </c>
      <c r="C2442" s="7" t="s">
        <v>15391</v>
      </c>
      <c r="D2442" s="7" t="s">
        <v>15392</v>
      </c>
      <c r="E2442" s="12" t="str">
        <f>HYPERLINK("https://twitter.com/hulyaokur06/status/1181903207578165248","1181903207578165248")</f>
        <v>1181903207578165248</v>
      </c>
      <c r="F2442" s="8"/>
      <c r="G2442" s="15"/>
      <c r="H2442" s="8"/>
      <c r="I2442" s="15">
        <v>0</v>
      </c>
      <c r="J2442" s="15">
        <v>2</v>
      </c>
      <c r="K2442" s="12" t="str">
        <f>HYPERLINK("http://twitter.com/download/iphone","Twitter for iPhone")</f>
        <v>Twitter for iPhone</v>
      </c>
      <c r="L2442" s="16">
        <v>1223</v>
      </c>
      <c r="M2442" s="16">
        <v>4903</v>
      </c>
      <c r="N2442" s="16">
        <v>4</v>
      </c>
      <c r="O2442" s="17"/>
      <c r="P2442" s="18">
        <v>40172.103495370371</v>
      </c>
      <c r="Q2442" s="7"/>
      <c r="R2442" s="7" t="s">
        <v>15399</v>
      </c>
      <c r="S2442" s="14" t="s">
        <v>15400</v>
      </c>
      <c r="T2442" s="8"/>
      <c r="U2442" s="19" t="str">
        <f>HYPERLINK("https://pbs.twimg.com/profile_images/884868776231096324/N5ra4Vim.jpg","View")</f>
        <v>View</v>
      </c>
      <c r="V2442" s="8"/>
      <c r="W2442" s="8"/>
      <c r="X2442" s="8"/>
      <c r="Y2442" s="8"/>
      <c r="Z2442" s="8"/>
    </row>
    <row r="2443" spans="1:26" ht="12.75">
      <c r="A2443" s="11">
        <v>43747.211192129631</v>
      </c>
      <c r="B2443" s="12" t="str">
        <f>HYPERLINK("https://twitter.com/doguubeeyy","@doguubeeyy")</f>
        <v>@doguubeeyy</v>
      </c>
      <c r="C2443" s="7" t="s">
        <v>15401</v>
      </c>
      <c r="D2443" s="7" t="s">
        <v>15402</v>
      </c>
      <c r="E2443" s="12" t="str">
        <f>HYPERLINK("https://twitter.com/doguubeeyy/status/1181903162556502016","1181903162556502016")</f>
        <v>1181903162556502016</v>
      </c>
      <c r="F2443" s="8"/>
      <c r="G2443" s="14" t="s">
        <v>15403</v>
      </c>
      <c r="H2443" s="8"/>
      <c r="I2443" s="15">
        <v>0</v>
      </c>
      <c r="J2443" s="15">
        <v>2</v>
      </c>
      <c r="K2443" s="12" t="str">
        <f>HYPERLINK("http://twitter.com/download/iphone","Twitter for iPhone")</f>
        <v>Twitter for iPhone</v>
      </c>
      <c r="L2443" s="16">
        <v>72</v>
      </c>
      <c r="M2443" s="16">
        <v>67</v>
      </c>
      <c r="N2443" s="16">
        <v>0</v>
      </c>
      <c r="O2443" s="17"/>
      <c r="P2443" s="18">
        <v>43016.037824074076</v>
      </c>
      <c r="Q2443" s="7" t="s">
        <v>8299</v>
      </c>
      <c r="R2443" s="7"/>
      <c r="S2443" s="7"/>
      <c r="T2443" s="8"/>
      <c r="U2443" s="19" t="str">
        <f>HYPERLINK("https://pbs.twimg.com/profile_images/1169249378437128192/NwqvDf4L.jpg","View")</f>
        <v>View</v>
      </c>
      <c r="V2443" s="8"/>
      <c r="W2443" s="8"/>
      <c r="X2443" s="8"/>
      <c r="Y2443" s="8"/>
      <c r="Z2443" s="8"/>
    </row>
    <row r="2444" spans="1:26" ht="12.75">
      <c r="A2444" s="11">
        <v>43747.211157407408</v>
      </c>
      <c r="B2444" s="12" t="str">
        <f>HYPERLINK("https://twitter.com/halimehatun6","@halimehatun6")</f>
        <v>@halimehatun6</v>
      </c>
      <c r="C2444" s="7" t="s">
        <v>15404</v>
      </c>
      <c r="D2444" s="7" t="s">
        <v>15405</v>
      </c>
      <c r="E2444" s="12" t="str">
        <f>HYPERLINK("https://twitter.com/halimehatun6/status/1181903149096984576","1181903149096984576")</f>
        <v>1181903149096984576</v>
      </c>
      <c r="F2444" s="14" t="s">
        <v>13995</v>
      </c>
      <c r="G2444" s="14" t="s">
        <v>13996</v>
      </c>
      <c r="H2444" s="8"/>
      <c r="I2444" s="15">
        <v>0</v>
      </c>
      <c r="J2444" s="15">
        <v>1</v>
      </c>
      <c r="K2444" s="12" t="str">
        <f>HYPERLINK("https://mobile.twitter.com","Twitter Web App")</f>
        <v>Twitter Web App</v>
      </c>
      <c r="L2444" s="16">
        <v>1034</v>
      </c>
      <c r="M2444" s="16">
        <v>887</v>
      </c>
      <c r="N2444" s="16">
        <v>0</v>
      </c>
      <c r="O2444" s="17"/>
      <c r="P2444" s="18">
        <v>42762.957615740743</v>
      </c>
      <c r="Q2444" s="7"/>
      <c r="R2444" s="7" t="s">
        <v>15406</v>
      </c>
      <c r="S2444" s="7"/>
      <c r="T2444" s="8"/>
      <c r="U2444" s="19" t="str">
        <f>HYPERLINK("https://pbs.twimg.com/profile_images/827850112890191874/TcyDxdRa.jpg","View")</f>
        <v>View</v>
      </c>
      <c r="V2444" s="8"/>
      <c r="W2444" s="8"/>
      <c r="X2444" s="8"/>
      <c r="Y2444" s="8"/>
      <c r="Z2444" s="8"/>
    </row>
    <row r="2445" spans="1:26" ht="12.75">
      <c r="A2445" s="11">
        <v>43747.211099537039</v>
      </c>
      <c r="B2445" s="12" t="str">
        <f>HYPERLINK("https://twitter.com/NisancUnzile","@NisancUnzile")</f>
        <v>@NisancUnzile</v>
      </c>
      <c r="C2445" s="7" t="s">
        <v>15407</v>
      </c>
      <c r="D2445" s="7" t="s">
        <v>15408</v>
      </c>
      <c r="E2445" s="12" t="str">
        <f>HYPERLINK("https://twitter.com/NisancUnzile/status/1181903128909811712","1181903128909811712")</f>
        <v>1181903128909811712</v>
      </c>
      <c r="F2445" s="8"/>
      <c r="G2445" s="14" t="s">
        <v>15409</v>
      </c>
      <c r="H2445" s="8"/>
      <c r="I2445" s="15">
        <v>0</v>
      </c>
      <c r="J2445" s="15">
        <v>1</v>
      </c>
      <c r="K2445" s="12" t="str">
        <f>HYPERLINK("http://twitter.com/download/android","Twitter for Android")</f>
        <v>Twitter for Android</v>
      </c>
      <c r="L2445" s="16">
        <v>69</v>
      </c>
      <c r="M2445" s="16">
        <v>79</v>
      </c>
      <c r="N2445" s="16">
        <v>0</v>
      </c>
      <c r="O2445" s="17"/>
      <c r="P2445" s="18">
        <v>43543.678043981483</v>
      </c>
      <c r="Q2445" s="7"/>
      <c r="R2445" s="7"/>
      <c r="S2445" s="7"/>
      <c r="T2445" s="8"/>
      <c r="U2445" s="19" t="str">
        <f>HYPERLINK("https://pbs.twimg.com/profile_images/1176232816130088961/HNVvCch9.jpg","View")</f>
        <v>View</v>
      </c>
      <c r="V2445" s="8"/>
      <c r="W2445" s="8"/>
      <c r="X2445" s="8"/>
      <c r="Y2445" s="8"/>
      <c r="Z2445" s="8"/>
    </row>
    <row r="2446" spans="1:26" ht="12.75">
      <c r="A2446" s="11">
        <v>43747.211030092592</v>
      </c>
      <c r="B2446" s="12" t="str">
        <f>HYPERLINK("https://twitter.com/BarlasCofcof","@BarlasCofcof")</f>
        <v>@BarlasCofcof</v>
      </c>
      <c r="C2446" s="7" t="s">
        <v>15410</v>
      </c>
      <c r="D2446" s="7" t="s">
        <v>15411</v>
      </c>
      <c r="E2446" s="12" t="str">
        <f>HYPERLINK("https://twitter.com/BarlasCofcof/status/1181903104419205120","1181903104419205120")</f>
        <v>1181903104419205120</v>
      </c>
      <c r="F2446" s="8"/>
      <c r="G2446" s="15"/>
      <c r="H2446" s="8"/>
      <c r="I2446" s="15">
        <v>0</v>
      </c>
      <c r="J2446" s="15">
        <v>0</v>
      </c>
      <c r="K2446" s="12" t="str">
        <f>HYPERLINK("http://twitter.com","Twitter Web Client")</f>
        <v>Twitter Web Client</v>
      </c>
      <c r="L2446" s="16">
        <v>13</v>
      </c>
      <c r="M2446" s="16">
        <v>0</v>
      </c>
      <c r="N2446" s="16">
        <v>0</v>
      </c>
      <c r="O2446" s="17"/>
      <c r="P2446" s="18">
        <v>43668.856192129635</v>
      </c>
      <c r="Q2446" s="7" t="s">
        <v>685</v>
      </c>
      <c r="R2446" s="7" t="s">
        <v>15412</v>
      </c>
      <c r="S2446" s="7"/>
      <c r="T2446" s="8"/>
      <c r="U2446" s="19" t="str">
        <f>HYPERLINK("https://pbs.twimg.com/profile_images/1153751859682861057/PfFJbgfT.jpg","View")</f>
        <v>View</v>
      </c>
      <c r="V2446" s="8"/>
      <c r="W2446" s="8"/>
      <c r="X2446" s="8"/>
      <c r="Y2446" s="8"/>
      <c r="Z2446" s="8"/>
    </row>
    <row r="2447" spans="1:26" ht="12.75">
      <c r="A2447" s="11">
        <v>43747.211030092592</v>
      </c>
      <c r="B2447" s="12" t="str">
        <f>HYPERLINK("https://twitter.com/umarsizcasina","@umarsizcasina")</f>
        <v>@umarsizcasina</v>
      </c>
      <c r="C2447" s="7" t="s">
        <v>15413</v>
      </c>
      <c r="D2447" s="7" t="s">
        <v>15414</v>
      </c>
      <c r="E2447" s="12" t="str">
        <f>HYPERLINK("https://twitter.com/umarsizcasina/status/1181903103395815429","1181903103395815429")</f>
        <v>1181903103395815429</v>
      </c>
      <c r="F2447" s="7"/>
      <c r="G2447" s="15"/>
      <c r="H2447" s="8"/>
      <c r="I2447" s="15">
        <v>0</v>
      </c>
      <c r="J2447" s="15">
        <v>4</v>
      </c>
      <c r="K2447" s="12" t="str">
        <f>HYPERLINK("http://twitter.com/download/iphone","Twitter for iPhone")</f>
        <v>Twitter for iPhone</v>
      </c>
      <c r="L2447" s="16">
        <v>69</v>
      </c>
      <c r="M2447" s="16">
        <v>74</v>
      </c>
      <c r="N2447" s="16">
        <v>0</v>
      </c>
      <c r="O2447" s="17"/>
      <c r="P2447" s="18">
        <v>43740.094236111108</v>
      </c>
      <c r="Q2447" s="7"/>
      <c r="R2447" s="7"/>
      <c r="S2447" s="7"/>
      <c r="T2447" s="8"/>
      <c r="U2447" s="19" t="str">
        <f>HYPERLINK("https://pbs.twimg.com/profile_images/1179334316532408326/EqucEXBp.jpg","View")</f>
        <v>View</v>
      </c>
      <c r="V2447" s="8"/>
      <c r="W2447" s="8"/>
      <c r="X2447" s="8"/>
      <c r="Y2447" s="8"/>
      <c r="Z2447" s="8"/>
    </row>
    <row r="2448" spans="1:26" ht="12.75">
      <c r="A2448" s="11">
        <v>43747.210960648154</v>
      </c>
      <c r="B2448" s="12" t="str">
        <f>HYPERLINK("https://twitter.com/s0rtur","@s0rtur")</f>
        <v>@s0rtur</v>
      </c>
      <c r="C2448" s="7" t="s">
        <v>15415</v>
      </c>
      <c r="D2448" s="7" t="s">
        <v>15416</v>
      </c>
      <c r="E2448" s="12" t="str">
        <f>HYPERLINK("https://twitter.com/s0rtur/status/1181903079249195009","1181903079249195009")</f>
        <v>1181903079249195009</v>
      </c>
      <c r="F2448" s="8"/>
      <c r="G2448" s="7"/>
      <c r="H2448" s="8"/>
      <c r="I2448" s="15">
        <v>0</v>
      </c>
      <c r="J2448" s="15">
        <v>0</v>
      </c>
      <c r="K2448" s="12" t="str">
        <f>HYPERLINK("http://twitter.com/download/android","Twitter for Android")</f>
        <v>Twitter for Android</v>
      </c>
      <c r="L2448" s="16">
        <v>434</v>
      </c>
      <c r="M2448" s="16">
        <v>90</v>
      </c>
      <c r="N2448" s="16">
        <v>0</v>
      </c>
      <c r="O2448" s="17"/>
      <c r="P2448" s="18">
        <v>43531.13863425926</v>
      </c>
      <c r="Q2448" s="7"/>
      <c r="R2448" s="7" t="s">
        <v>15417</v>
      </c>
      <c r="S2448" s="14" t="s">
        <v>15418</v>
      </c>
      <c r="T2448" s="8"/>
      <c r="U2448" s="19" t="str">
        <f>HYPERLINK("https://pbs.twimg.com/profile_images/1172235620472840192/23g_1h2u.jpg","View")</f>
        <v>View</v>
      </c>
      <c r="V2448" s="8"/>
      <c r="W2448" s="8"/>
      <c r="X2448" s="8"/>
      <c r="Y2448" s="8"/>
      <c r="Z2448" s="8"/>
    </row>
    <row r="2449" spans="1:26" ht="12.75">
      <c r="A2449" s="11">
        <v>43747.21092592593</v>
      </c>
      <c r="B2449" s="12" t="str">
        <f>HYPERLINK("https://twitter.com/durushabercom","@durushabercom")</f>
        <v>@durushabercom</v>
      </c>
      <c r="C2449" s="7" t="s">
        <v>15419</v>
      </c>
      <c r="D2449" s="7" t="s">
        <v>15420</v>
      </c>
      <c r="E2449" s="12" t="str">
        <f>HYPERLINK("https://twitter.com/durushabercom/status/1181903068520177665","1181903068520177665")</f>
        <v>1181903068520177665</v>
      </c>
      <c r="F2449" s="14" t="s">
        <v>15421</v>
      </c>
      <c r="G2449" s="7"/>
      <c r="H2449" s="8"/>
      <c r="I2449" s="15">
        <v>1</v>
      </c>
      <c r="J2449" s="15">
        <v>0</v>
      </c>
      <c r="K2449" s="12" t="str">
        <f>HYPERLINK("http://twitter.com","Twitter Web Client")</f>
        <v>Twitter Web Client</v>
      </c>
      <c r="L2449" s="16">
        <v>27301</v>
      </c>
      <c r="M2449" s="16">
        <v>0</v>
      </c>
      <c r="N2449" s="16">
        <v>33</v>
      </c>
      <c r="O2449" s="17"/>
      <c r="P2449" s="18">
        <v>42186.297939814816</v>
      </c>
      <c r="Q2449" s="7" t="s">
        <v>313</v>
      </c>
      <c r="R2449" s="7" t="s">
        <v>15422</v>
      </c>
      <c r="S2449" s="14" t="s">
        <v>15423</v>
      </c>
      <c r="T2449" s="8"/>
      <c r="U2449" s="19" t="str">
        <f>HYPERLINK("https://pbs.twimg.com/profile_images/797445665739698176/-DX0JJX2.jpg","View")</f>
        <v>View</v>
      </c>
      <c r="V2449" s="8"/>
      <c r="W2449" s="8"/>
      <c r="X2449" s="8"/>
      <c r="Y2449" s="8"/>
      <c r="Z2449" s="8"/>
    </row>
    <row r="2450" spans="1:26" ht="12.75">
      <c r="A2450" s="11">
        <v>43747.210833333331</v>
      </c>
      <c r="B2450" s="12" t="str">
        <f>HYPERLINK("https://twitter.com/an_llkose","@an_llkose")</f>
        <v>@an_llkose</v>
      </c>
      <c r="C2450" s="7" t="s">
        <v>15424</v>
      </c>
      <c r="D2450" s="7" t="s">
        <v>14293</v>
      </c>
      <c r="E2450" s="12" t="str">
        <f>HYPERLINK("https://twitter.com/an_llkose/status/1181903033590059008","1181903033590059008")</f>
        <v>1181903033590059008</v>
      </c>
      <c r="F2450" s="8"/>
      <c r="G2450" s="14" t="s">
        <v>15425</v>
      </c>
      <c r="H2450" s="8"/>
      <c r="I2450" s="15">
        <v>0</v>
      </c>
      <c r="J2450" s="15">
        <v>0</v>
      </c>
      <c r="K2450" s="12" t="str">
        <f>HYPERLINK("http://twitter.com/download/android","Twitter for Android")</f>
        <v>Twitter for Android</v>
      </c>
      <c r="L2450" s="16">
        <v>21</v>
      </c>
      <c r="M2450" s="16">
        <v>65</v>
      </c>
      <c r="N2450" s="16">
        <v>0</v>
      </c>
      <c r="O2450" s="17"/>
      <c r="P2450" s="18">
        <v>42373.436678240745</v>
      </c>
      <c r="Q2450" s="7" t="s">
        <v>313</v>
      </c>
      <c r="R2450" s="7"/>
      <c r="S2450" s="14" t="s">
        <v>15426</v>
      </c>
      <c r="T2450" s="8"/>
      <c r="U2450" s="19" t="str">
        <f>HYPERLINK("https://pbs.twimg.com/profile_images/1119682998973140992/xxXQQm9N.jpg","View")</f>
        <v>View</v>
      </c>
      <c r="V2450" s="8"/>
      <c r="W2450" s="8"/>
      <c r="X2450" s="8"/>
      <c r="Y2450" s="8"/>
      <c r="Z2450" s="8"/>
    </row>
    <row r="2451" spans="1:26" ht="12.75">
      <c r="A2451" s="11">
        <v>43747.210543981477</v>
      </c>
      <c r="B2451" s="12" t="str">
        <f>HYPERLINK("https://twitter.com/0busray","@0busray")</f>
        <v>@0busray</v>
      </c>
      <c r="C2451" s="7" t="s">
        <v>15427</v>
      </c>
      <c r="D2451" s="7" t="s">
        <v>15428</v>
      </c>
      <c r="E2451" s="12" t="str">
        <f>HYPERLINK("https://twitter.com/0busray/status/1181902928715669504","1181902928715669504")</f>
        <v>1181902928715669504</v>
      </c>
      <c r="F2451" s="8"/>
      <c r="G2451" s="14" t="s">
        <v>15429</v>
      </c>
      <c r="H2451" s="8"/>
      <c r="I2451" s="15">
        <v>1</v>
      </c>
      <c r="J2451" s="15">
        <v>4</v>
      </c>
      <c r="K2451" s="12" t="str">
        <f>HYPERLINK("http://twitter.com/download/iphone","Twitter for iPhone")</f>
        <v>Twitter for iPhone</v>
      </c>
      <c r="L2451" s="16">
        <v>824</v>
      </c>
      <c r="M2451" s="16">
        <v>217</v>
      </c>
      <c r="N2451" s="16">
        <v>1</v>
      </c>
      <c r="O2451" s="17"/>
      <c r="P2451" s="18">
        <v>41983.377743055556</v>
      </c>
      <c r="Q2451" s="7" t="s">
        <v>313</v>
      </c>
      <c r="R2451" s="7"/>
      <c r="S2451" s="14" t="s">
        <v>15430</v>
      </c>
      <c r="T2451" s="8"/>
      <c r="U2451" s="19" t="str">
        <f>HYPERLINK("https://pbs.twimg.com/profile_images/1180952496375812096/9GNqfhN-.jpg","View")</f>
        <v>View</v>
      </c>
      <c r="V2451" s="8"/>
      <c r="W2451" s="8"/>
      <c r="X2451" s="8"/>
      <c r="Y2451" s="8"/>
      <c r="Z2451" s="8"/>
    </row>
    <row r="2452" spans="1:26" ht="12.75">
      <c r="A2452" s="11">
        <v>43747.210532407407</v>
      </c>
      <c r="B2452" s="12" t="str">
        <f>HYPERLINK("https://twitter.com/HzCagrii","@HzCagrii")</f>
        <v>@HzCagrii</v>
      </c>
      <c r="C2452" s="7" t="s">
        <v>15431</v>
      </c>
      <c r="D2452" s="7" t="s">
        <v>9019</v>
      </c>
      <c r="E2452" s="12" t="str">
        <f>HYPERLINK("https://twitter.com/HzCagrii/status/1181902922751385600","1181902922751385600")</f>
        <v>1181902922751385600</v>
      </c>
      <c r="F2452" s="8"/>
      <c r="G2452" s="14" t="s">
        <v>15432</v>
      </c>
      <c r="H2452" s="8"/>
      <c r="I2452" s="15">
        <v>0</v>
      </c>
      <c r="J2452" s="15">
        <v>0</v>
      </c>
      <c r="K2452" s="12" t="str">
        <f>HYPERLINK("http://twitter.com/download/android","Twitter for Android")</f>
        <v>Twitter for Android</v>
      </c>
      <c r="L2452" s="16">
        <v>8</v>
      </c>
      <c r="M2452" s="16">
        <v>12</v>
      </c>
      <c r="N2452" s="16">
        <v>0</v>
      </c>
      <c r="O2452" s="17"/>
      <c r="P2452" s="18">
        <v>43730.394814814819</v>
      </c>
      <c r="Q2452" s="7"/>
      <c r="R2452" s="7"/>
      <c r="S2452" s="7"/>
      <c r="T2452" s="8"/>
      <c r="U2452" s="19" t="str">
        <f>HYPERLINK("https://pbs.twimg.com/profile_images/1178387891061448705/dNkj4Dlc.jpg","View")</f>
        <v>View</v>
      </c>
      <c r="V2452" s="8"/>
      <c r="W2452" s="8"/>
      <c r="X2452" s="8"/>
      <c r="Y2452" s="8"/>
      <c r="Z2452" s="8"/>
    </row>
    <row r="2453" spans="1:26" ht="12.75">
      <c r="A2453" s="11">
        <v>43747.210520833338</v>
      </c>
      <c r="B2453" s="12" t="str">
        <f>HYPERLINK("https://twitter.com/Maroonnight1","@Maroonnight1")</f>
        <v>@Maroonnight1</v>
      </c>
      <c r="C2453" s="7" t="s">
        <v>15433</v>
      </c>
      <c r="D2453" s="7" t="s">
        <v>15434</v>
      </c>
      <c r="E2453" s="12" t="str">
        <f>HYPERLINK("https://twitter.com/Maroonnight1/status/1181902918351544325","1181902918351544325")</f>
        <v>1181902918351544325</v>
      </c>
      <c r="F2453" s="8"/>
      <c r="G2453" s="14" t="s">
        <v>15435</v>
      </c>
      <c r="H2453" s="8"/>
      <c r="I2453" s="15">
        <v>0</v>
      </c>
      <c r="J2453" s="15">
        <v>0</v>
      </c>
      <c r="K2453" s="12" t="str">
        <f>HYPERLINK("http://twitter.com/download/android","Twitter for Android")</f>
        <v>Twitter for Android</v>
      </c>
      <c r="L2453" s="16">
        <v>56</v>
      </c>
      <c r="M2453" s="16">
        <v>62</v>
      </c>
      <c r="N2453" s="16">
        <v>0</v>
      </c>
      <c r="O2453" s="17"/>
      <c r="P2453" s="18">
        <v>43574.283136574071</v>
      </c>
      <c r="Q2453" s="7"/>
      <c r="R2453" s="7" t="s">
        <v>15436</v>
      </c>
      <c r="S2453" s="15"/>
      <c r="T2453" s="8"/>
      <c r="U2453" s="19" t="str">
        <f>HYPERLINK("https://pbs.twimg.com/profile_images/1175531239660498944/9lscgXql.jpg","View")</f>
        <v>View</v>
      </c>
      <c r="V2453" s="8"/>
      <c r="W2453" s="8"/>
      <c r="X2453" s="8"/>
      <c r="Y2453" s="8"/>
      <c r="Z2453" s="8"/>
    </row>
    <row r="2454" spans="1:26" ht="12.75">
      <c r="A2454" s="11">
        <v>43747.210451388892</v>
      </c>
      <c r="B2454" s="12" t="str">
        <f>HYPERLINK("https://twitter.com/efelif53","@efelif53")</f>
        <v>@efelif53</v>
      </c>
      <c r="C2454" s="7" t="s">
        <v>15437</v>
      </c>
      <c r="D2454" s="7" t="s">
        <v>15438</v>
      </c>
      <c r="E2454" s="12" t="str">
        <f>HYPERLINK("https://twitter.com/efelif53/status/1181902893487665152","1181902893487665152")</f>
        <v>1181902893487665152</v>
      </c>
      <c r="F2454" s="14" t="s">
        <v>15439</v>
      </c>
      <c r="G2454" s="14" t="s">
        <v>15440</v>
      </c>
      <c r="H2454" s="8"/>
      <c r="I2454" s="15">
        <v>0</v>
      </c>
      <c r="J2454" s="15">
        <v>1</v>
      </c>
      <c r="K2454" s="12" t="str">
        <f>HYPERLINK("http://twitter.com/download/android","Twitter for Android")</f>
        <v>Twitter for Android</v>
      </c>
      <c r="L2454" s="16">
        <v>226</v>
      </c>
      <c r="M2454" s="16">
        <v>922</v>
      </c>
      <c r="N2454" s="16">
        <v>0</v>
      </c>
      <c r="O2454" s="17"/>
      <c r="P2454" s="18">
        <v>42143.556388888886</v>
      </c>
      <c r="Q2454" s="7"/>
      <c r="R2454" s="7" t="s">
        <v>15441</v>
      </c>
      <c r="S2454" s="7"/>
      <c r="T2454" s="8"/>
      <c r="U2454" s="19" t="str">
        <f>HYPERLINK("https://pbs.twimg.com/profile_images/1016799046936223744/YU9WSlGg.jpg","View")</f>
        <v>View</v>
      </c>
      <c r="V2454" s="8"/>
      <c r="W2454" s="8"/>
      <c r="X2454" s="8"/>
      <c r="Y2454" s="8"/>
      <c r="Z2454" s="8"/>
    </row>
    <row r="2455" spans="1:26" ht="12.75">
      <c r="A2455" s="11">
        <v>43747.210324074069</v>
      </c>
      <c r="B2455" s="12" t="str">
        <f>HYPERLINK("https://twitter.com/uqurdincc","@uqurdincc")</f>
        <v>@uqurdincc</v>
      </c>
      <c r="C2455" s="7" t="s">
        <v>15442</v>
      </c>
      <c r="D2455" s="7" t="s">
        <v>15443</v>
      </c>
      <c r="E2455" s="12" t="str">
        <f>HYPERLINK("https://twitter.com/uqurdincc/status/1181902847643983873","1181902847643983873")</f>
        <v>1181902847643983873</v>
      </c>
      <c r="F2455" s="14" t="s">
        <v>15444</v>
      </c>
      <c r="G2455" s="14" t="s">
        <v>15445</v>
      </c>
      <c r="H2455" s="8"/>
      <c r="I2455" s="15">
        <v>0</v>
      </c>
      <c r="J2455" s="15">
        <v>1</v>
      </c>
      <c r="K2455" s="12" t="str">
        <f>HYPERLINK("http://twitter.com/download/iphone","Twitter for iPhone")</f>
        <v>Twitter for iPhone</v>
      </c>
      <c r="L2455" s="16">
        <v>162</v>
      </c>
      <c r="M2455" s="16">
        <v>116</v>
      </c>
      <c r="N2455" s="16">
        <v>0</v>
      </c>
      <c r="O2455" s="17"/>
      <c r="P2455" s="18">
        <v>41529.511145833334</v>
      </c>
      <c r="Q2455" s="7" t="s">
        <v>15446</v>
      </c>
      <c r="R2455" s="7"/>
      <c r="S2455" s="7"/>
      <c r="T2455" s="8"/>
      <c r="U2455" s="19" t="str">
        <f>HYPERLINK("https://pbs.twimg.com/profile_images/915692011851849728/hFNj1Kbh.jpg","View")</f>
        <v>View</v>
      </c>
      <c r="V2455" s="8"/>
      <c r="W2455" s="8"/>
      <c r="X2455" s="8"/>
      <c r="Y2455" s="8"/>
      <c r="Z2455" s="8"/>
    </row>
    <row r="2456" spans="1:26" ht="12.75">
      <c r="A2456" s="11">
        <v>43747.21020833333</v>
      </c>
      <c r="B2456" s="12" t="str">
        <f>HYPERLINK("https://twitter.com/Sniper5310","@Sniper5310")</f>
        <v>@Sniper5310</v>
      </c>
      <c r="C2456" s="13" t="s">
        <v>15447</v>
      </c>
      <c r="D2456" s="7" t="s">
        <v>15448</v>
      </c>
      <c r="E2456" s="12" t="str">
        <f>HYPERLINK("https://twitter.com/Sniper5310/status/1181902808402055168","1181902808402055168")</f>
        <v>1181902808402055168</v>
      </c>
      <c r="F2456" s="8"/>
      <c r="G2456" s="7"/>
      <c r="H2456" s="8"/>
      <c r="I2456" s="15">
        <v>0</v>
      </c>
      <c r="J2456" s="15">
        <v>0</v>
      </c>
      <c r="K2456" s="12" t="str">
        <f>HYPERLINK("http://twitter.com/download/iphone","Twitter for iPhone")</f>
        <v>Twitter for iPhone</v>
      </c>
      <c r="L2456" s="16">
        <v>9</v>
      </c>
      <c r="M2456" s="16">
        <v>95</v>
      </c>
      <c r="N2456" s="16">
        <v>0</v>
      </c>
      <c r="O2456" s="17"/>
      <c r="P2456" s="18">
        <v>43708.534780092596</v>
      </c>
      <c r="Q2456" s="7" t="s">
        <v>287</v>
      </c>
      <c r="R2456" s="13" t="s">
        <v>15449</v>
      </c>
      <c r="S2456" s="14" t="s">
        <v>15450</v>
      </c>
      <c r="T2456" s="8"/>
      <c r="U2456" s="19" t="str">
        <f>HYPERLINK("https://pbs.twimg.com/profile_images/1167903609108889605/8taF3Luj.jpg","View")</f>
        <v>View</v>
      </c>
      <c r="V2456" s="8"/>
      <c r="W2456" s="8"/>
      <c r="X2456" s="8"/>
      <c r="Y2456" s="8"/>
      <c r="Z2456" s="8"/>
    </row>
    <row r="2457" spans="1:26" ht="12.75">
      <c r="A2457" s="11">
        <v>43747.210173611107</v>
      </c>
      <c r="B2457" s="12" t="str">
        <f>HYPERLINK("https://twitter.com/ofyekeler","@ofyekeler")</f>
        <v>@ofyekeler</v>
      </c>
      <c r="C2457" s="7" t="s">
        <v>15451</v>
      </c>
      <c r="D2457" s="7" t="s">
        <v>15452</v>
      </c>
      <c r="E2457" s="12" t="str">
        <f>HYPERLINK("https://twitter.com/ofyekeler/status/1181902794741166080","1181902794741166080")</f>
        <v>1181902794741166080</v>
      </c>
      <c r="F2457" s="15"/>
      <c r="G2457" s="7"/>
      <c r="H2457" s="8"/>
      <c r="I2457" s="15">
        <v>0</v>
      </c>
      <c r="J2457" s="15">
        <v>0</v>
      </c>
      <c r="K2457" s="12" t="str">
        <f>HYPERLINK("http://twitter.com/download/android","Twitter for Android")</f>
        <v>Twitter for Android</v>
      </c>
      <c r="L2457" s="16">
        <v>133</v>
      </c>
      <c r="M2457" s="16">
        <v>401</v>
      </c>
      <c r="N2457" s="16">
        <v>0</v>
      </c>
      <c r="O2457" s="17"/>
      <c r="P2457" s="18">
        <v>40605.216736111113</v>
      </c>
      <c r="Q2457" s="7" t="s">
        <v>15453</v>
      </c>
      <c r="R2457" s="7" t="s">
        <v>15454</v>
      </c>
      <c r="S2457" s="7"/>
      <c r="T2457" s="8"/>
      <c r="U2457" s="19" t="str">
        <f>HYPERLINK("https://pbs.twimg.com/profile_images/1176220540962574339/ck7zvykD.jpg","View")</f>
        <v>View</v>
      </c>
      <c r="V2457" s="8"/>
      <c r="W2457" s="8"/>
      <c r="X2457" s="8"/>
      <c r="Y2457" s="8"/>
      <c r="Z2457" s="8"/>
    </row>
    <row r="2458" spans="1:26" ht="12.75">
      <c r="A2458" s="11">
        <v>43747.210162037038</v>
      </c>
      <c r="B2458" s="12" t="str">
        <f>HYPERLINK("https://twitter.com/fth_3534","@fth_3534")</f>
        <v>@fth_3534</v>
      </c>
      <c r="C2458" s="7" t="s">
        <v>8654</v>
      </c>
      <c r="D2458" s="7" t="s">
        <v>15455</v>
      </c>
      <c r="E2458" s="12" t="str">
        <f>HYPERLINK("https://twitter.com/fth_3534/status/1181902788089004037","1181902788089004037")</f>
        <v>1181902788089004037</v>
      </c>
      <c r="F2458" s="8"/>
      <c r="G2458" s="15"/>
      <c r="H2458" s="8"/>
      <c r="I2458" s="15">
        <v>0</v>
      </c>
      <c r="J2458" s="15">
        <v>5</v>
      </c>
      <c r="K2458" s="12" t="str">
        <f>HYPERLINK("http://twitter.com/download/android","Twitter for Android")</f>
        <v>Twitter for Android</v>
      </c>
      <c r="L2458" s="16">
        <v>151</v>
      </c>
      <c r="M2458" s="16">
        <v>350</v>
      </c>
      <c r="N2458" s="16">
        <v>0</v>
      </c>
      <c r="O2458" s="17"/>
      <c r="P2458" s="18">
        <v>43364.537083333329</v>
      </c>
      <c r="Q2458" s="7" t="s">
        <v>313</v>
      </c>
      <c r="R2458" s="7" t="s">
        <v>15456</v>
      </c>
      <c r="S2458" s="7"/>
      <c r="T2458" s="8"/>
      <c r="U2458" s="19" t="str">
        <f>HYPERLINK("https://pbs.twimg.com/profile_images/1181902176123310081/SizO2O6v.jpg","View")</f>
        <v>View</v>
      </c>
      <c r="V2458" s="8"/>
      <c r="W2458" s="8"/>
      <c r="X2458" s="8"/>
      <c r="Y2458" s="8"/>
      <c r="Z2458" s="8"/>
    </row>
    <row r="2459" spans="1:26" ht="12.75">
      <c r="A2459" s="11">
        <v>43747.210034722222</v>
      </c>
      <c r="B2459" s="12" t="str">
        <f>HYPERLINK("https://twitter.com/Fetih1453Vakti","@Fetih1453Vakti")</f>
        <v>@Fetih1453Vakti</v>
      </c>
      <c r="C2459" s="7" t="s">
        <v>15457</v>
      </c>
      <c r="D2459" s="7" t="s">
        <v>15458</v>
      </c>
      <c r="E2459" s="12" t="str">
        <f>HYPERLINK("https://twitter.com/Fetih1453Vakti/status/1181902742819880960","1181902742819880960")</f>
        <v>1181902742819880960</v>
      </c>
      <c r="F2459" s="8"/>
      <c r="G2459" s="14" t="s">
        <v>15459</v>
      </c>
      <c r="H2459" s="8"/>
      <c r="I2459" s="15">
        <v>0</v>
      </c>
      <c r="J2459" s="15">
        <v>0</v>
      </c>
      <c r="K2459" s="12" t="str">
        <f>HYPERLINK("http://twitter.com/download/android","Twitter for Android")</f>
        <v>Twitter for Android</v>
      </c>
      <c r="L2459" s="16">
        <v>220</v>
      </c>
      <c r="M2459" s="16">
        <v>164</v>
      </c>
      <c r="N2459" s="16">
        <v>1</v>
      </c>
      <c r="O2459" s="17"/>
      <c r="P2459" s="18">
        <v>42855.39135416667</v>
      </c>
      <c r="Q2459" s="7" t="s">
        <v>15460</v>
      </c>
      <c r="R2459" s="7"/>
      <c r="S2459" s="7"/>
      <c r="T2459" s="8"/>
      <c r="U2459" s="19" t="str">
        <f>HYPERLINK("https://pbs.twimg.com/profile_images/1083989154562826240/1xhZydZZ.jpg","View")</f>
        <v>View</v>
      </c>
      <c r="V2459" s="8"/>
      <c r="W2459" s="8"/>
      <c r="X2459" s="8"/>
      <c r="Y2459" s="8"/>
      <c r="Z2459" s="8"/>
    </row>
    <row r="2460" spans="1:26" ht="12.75">
      <c r="A2460" s="11">
        <v>43747.209907407407</v>
      </c>
      <c r="B2460" s="12" t="str">
        <f>HYPERLINK("https://twitter.com/on4hd","@on4hd")</f>
        <v>@on4hd</v>
      </c>
      <c r="C2460" s="7" t="s">
        <v>15461</v>
      </c>
      <c r="D2460" s="7" t="s">
        <v>15462</v>
      </c>
      <c r="E2460" s="12" t="str">
        <f>HYPERLINK("https://twitter.com/on4hd/status/1181902699677278209","1181902699677278209")</f>
        <v>1181902699677278209</v>
      </c>
      <c r="F2460" s="8"/>
      <c r="G2460" s="14" t="s">
        <v>15463</v>
      </c>
      <c r="H2460" s="8"/>
      <c r="I2460" s="15">
        <v>0</v>
      </c>
      <c r="J2460" s="15">
        <v>1</v>
      </c>
      <c r="K2460" s="12" t="str">
        <f>HYPERLINK("http://twitter.com","Twitter Web Client")</f>
        <v>Twitter Web Client</v>
      </c>
      <c r="L2460" s="16">
        <v>2661</v>
      </c>
      <c r="M2460" s="16">
        <v>0</v>
      </c>
      <c r="N2460" s="16">
        <v>7</v>
      </c>
      <c r="O2460" s="17"/>
      <c r="P2460" s="18">
        <v>43228.096562499995</v>
      </c>
      <c r="Q2460" s="7" t="s">
        <v>313</v>
      </c>
      <c r="R2460" s="7" t="s">
        <v>15464</v>
      </c>
      <c r="S2460" s="14" t="s">
        <v>15465</v>
      </c>
      <c r="T2460" s="8"/>
      <c r="U2460" s="19" t="str">
        <f>HYPERLINK("https://pbs.twimg.com/profile_images/1181185418433384449/qqotKf51.png","View")</f>
        <v>View</v>
      </c>
      <c r="V2460" s="8"/>
      <c r="W2460" s="8"/>
      <c r="X2460" s="8"/>
      <c r="Y2460" s="8"/>
      <c r="Z2460" s="8"/>
    </row>
    <row r="2461" spans="1:26" ht="12.75">
      <c r="A2461" s="11">
        <v>43747.209849537037</v>
      </c>
      <c r="B2461" s="12" t="str">
        <f>HYPERLINK("https://twitter.com/s_toprak5861","@s_toprak5861")</f>
        <v>@s_toprak5861</v>
      </c>
      <c r="C2461" s="7" t="s">
        <v>15466</v>
      </c>
      <c r="D2461" s="7" t="s">
        <v>15467</v>
      </c>
      <c r="E2461" s="12" t="str">
        <f>HYPERLINK("https://twitter.com/s_toprak5861/status/1181902678370246657","1181902678370246657")</f>
        <v>1181902678370246657</v>
      </c>
      <c r="F2461" s="8"/>
      <c r="G2461" s="14" t="s">
        <v>15468</v>
      </c>
      <c r="H2461" s="8"/>
      <c r="I2461" s="15">
        <v>0</v>
      </c>
      <c r="J2461" s="15">
        <v>0</v>
      </c>
      <c r="K2461" s="12" t="str">
        <f>HYPERLINK("https://mobile.twitter.com","Twitter Web App")</f>
        <v>Twitter Web App</v>
      </c>
      <c r="L2461" s="16">
        <v>106</v>
      </c>
      <c r="M2461" s="16">
        <v>196</v>
      </c>
      <c r="N2461" s="16">
        <v>1</v>
      </c>
      <c r="O2461" s="17"/>
      <c r="P2461" s="18">
        <v>41200.173333333332</v>
      </c>
      <c r="Q2461" s="7" t="s">
        <v>200</v>
      </c>
      <c r="R2461" s="7" t="s">
        <v>15469</v>
      </c>
      <c r="S2461" s="7"/>
      <c r="T2461" s="8"/>
      <c r="U2461" s="19" t="str">
        <f>HYPERLINK("https://pbs.twimg.com/profile_images/1152317714465267713/EXoi55Ow.jpg","View")</f>
        <v>View</v>
      </c>
      <c r="V2461" s="8"/>
      <c r="W2461" s="8"/>
      <c r="X2461" s="8"/>
      <c r="Y2461" s="8"/>
      <c r="Z2461" s="8"/>
    </row>
    <row r="2462" spans="1:26" ht="12.75">
      <c r="A2462" s="11">
        <v>43747.209710648152</v>
      </c>
      <c r="B2462" s="12" t="str">
        <f>HYPERLINK("https://twitter.com/akmnibrhm","@akmnibrhm")</f>
        <v>@akmnibrhm</v>
      </c>
      <c r="C2462" s="7" t="s">
        <v>15470</v>
      </c>
      <c r="D2462" s="7" t="s">
        <v>15471</v>
      </c>
      <c r="E2462" s="12" t="str">
        <f>HYPERLINK("https://twitter.com/akmnibrhm/status/1181902624683114496","1181902624683114496")</f>
        <v>1181902624683114496</v>
      </c>
      <c r="F2462" s="8"/>
      <c r="G2462" s="14" t="s">
        <v>15472</v>
      </c>
      <c r="H2462" s="8"/>
      <c r="I2462" s="15">
        <v>0</v>
      </c>
      <c r="J2462" s="15">
        <v>0</v>
      </c>
      <c r="K2462" s="12" t="str">
        <f>HYPERLINK("http://twitter.com/download/iphone","Twitter for iPhone")</f>
        <v>Twitter for iPhone</v>
      </c>
      <c r="L2462" s="16">
        <v>6</v>
      </c>
      <c r="M2462" s="16">
        <v>105</v>
      </c>
      <c r="N2462" s="16">
        <v>0</v>
      </c>
      <c r="O2462" s="17"/>
      <c r="P2462" s="18">
        <v>42354.549039351856</v>
      </c>
      <c r="Q2462" s="7"/>
      <c r="R2462" s="7"/>
      <c r="S2462" s="15"/>
      <c r="T2462" s="8"/>
      <c r="U2462" s="19" t="str">
        <f>HYPERLINK("https://pbs.twimg.com/profile_images/690627931434000386/EQKVUeLa.jpg","View")</f>
        <v>View</v>
      </c>
      <c r="V2462" s="8"/>
      <c r="W2462" s="8"/>
      <c r="X2462" s="8"/>
      <c r="Y2462" s="8"/>
      <c r="Z2462" s="8"/>
    </row>
    <row r="2463" spans="1:26" ht="12.75">
      <c r="A2463" s="11">
        <v>43747.209699074076</v>
      </c>
      <c r="B2463" s="12" t="str">
        <f>HYPERLINK("https://twitter.com/biliminsaniyim","@biliminsaniyim")</f>
        <v>@biliminsaniyim</v>
      </c>
      <c r="C2463" s="7" t="s">
        <v>15473</v>
      </c>
      <c r="D2463" s="7" t="s">
        <v>9019</v>
      </c>
      <c r="E2463" s="12" t="str">
        <f>HYPERLINK("https://twitter.com/biliminsaniyim/status/1181902624230137856","1181902624230137856")</f>
        <v>1181902624230137856</v>
      </c>
      <c r="F2463" s="8"/>
      <c r="G2463" s="14" t="s">
        <v>15474</v>
      </c>
      <c r="H2463" s="8"/>
      <c r="I2463" s="15">
        <v>0</v>
      </c>
      <c r="J2463" s="15">
        <v>2</v>
      </c>
      <c r="K2463" s="12" t="str">
        <f>HYPERLINK("http://twitter.com/download/android","Twitter for Android")</f>
        <v>Twitter for Android</v>
      </c>
      <c r="L2463" s="16">
        <v>10</v>
      </c>
      <c r="M2463" s="16">
        <v>26</v>
      </c>
      <c r="N2463" s="16">
        <v>0</v>
      </c>
      <c r="O2463" s="17"/>
      <c r="P2463" s="18">
        <v>43734.672569444447</v>
      </c>
      <c r="Q2463" s="7"/>
      <c r="R2463" s="7"/>
      <c r="S2463" s="14" t="s">
        <v>15475</v>
      </c>
      <c r="T2463" s="8"/>
      <c r="U2463" s="19" t="str">
        <f>HYPERLINK("https://pbs.twimg.com/profile_images/1181326862321995776/_BcOezyY.jpg","View")</f>
        <v>View</v>
      </c>
      <c r="V2463" s="8"/>
      <c r="W2463" s="8"/>
      <c r="X2463" s="8"/>
      <c r="Y2463" s="8"/>
      <c r="Z2463" s="8"/>
    </row>
    <row r="2464" spans="1:26" ht="12.75">
      <c r="A2464" s="11">
        <v>43747.209606481483</v>
      </c>
      <c r="B2464" s="12" t="str">
        <f>HYPERLINK("https://twitter.com/Haber1olay","@Haber1olay")</f>
        <v>@Haber1olay</v>
      </c>
      <c r="C2464" s="7" t="s">
        <v>15476</v>
      </c>
      <c r="D2464" s="7" t="s">
        <v>15477</v>
      </c>
      <c r="E2464" s="12" t="str">
        <f>HYPERLINK("https://twitter.com/Haber1olay/status/1181902588482129921","1181902588482129921")</f>
        <v>1181902588482129921</v>
      </c>
      <c r="F2464" s="14" t="s">
        <v>15478</v>
      </c>
      <c r="G2464" s="14" t="s">
        <v>15479</v>
      </c>
      <c r="H2464" s="8"/>
      <c r="I2464" s="15">
        <v>0</v>
      </c>
      <c r="J2464" s="15">
        <v>0</v>
      </c>
      <c r="K2464" s="12" t="str">
        <f>HYPERLINK("https://mobile.twitter.com","Twitter Web App")</f>
        <v>Twitter Web App</v>
      </c>
      <c r="L2464" s="16">
        <v>162</v>
      </c>
      <c r="M2464" s="16">
        <v>285</v>
      </c>
      <c r="N2464" s="16">
        <v>0</v>
      </c>
      <c r="O2464" s="17"/>
      <c r="P2464" s="18">
        <v>41475.75545138889</v>
      </c>
      <c r="Q2464" s="7" t="s">
        <v>200</v>
      </c>
      <c r="R2464" s="7" t="s">
        <v>15480</v>
      </c>
      <c r="S2464" s="14" t="s">
        <v>15481</v>
      </c>
      <c r="T2464" s="8"/>
      <c r="U2464" s="19" t="str">
        <f>HYPERLINK("https://pbs.twimg.com/profile_images/1177012397401346049/Pg-sVJQC.jpg","View")</f>
        <v>View</v>
      </c>
      <c r="V2464" s="8"/>
      <c r="W2464" s="8"/>
      <c r="X2464" s="8"/>
      <c r="Y2464" s="8"/>
      <c r="Z2464" s="8"/>
    </row>
    <row r="2465" spans="1:26" ht="12.75">
      <c r="A2465" s="11">
        <v>43747.20958333333</v>
      </c>
      <c r="B2465" s="12" t="str">
        <f>HYPERLINK("https://twitter.com/ZeydanDeren","@ZeydanDeren")</f>
        <v>@ZeydanDeren</v>
      </c>
      <c r="C2465" s="7" t="s">
        <v>15482</v>
      </c>
      <c r="D2465" s="7" t="s">
        <v>15483</v>
      </c>
      <c r="E2465" s="12" t="str">
        <f>HYPERLINK("https://twitter.com/ZeydanDeren/status/1181902579002949633","1181902579002949633")</f>
        <v>1181902579002949633</v>
      </c>
      <c r="F2465" s="8"/>
      <c r="G2465" s="7"/>
      <c r="H2465" s="8"/>
      <c r="I2465" s="15">
        <v>0</v>
      </c>
      <c r="J2465" s="15">
        <v>0</v>
      </c>
      <c r="K2465" s="12" t="str">
        <f>HYPERLINK("http://twitter.com","Twitter Web Client")</f>
        <v>Twitter Web Client</v>
      </c>
      <c r="L2465" s="16">
        <v>20</v>
      </c>
      <c r="M2465" s="16">
        <v>0</v>
      </c>
      <c r="N2465" s="16">
        <v>0</v>
      </c>
      <c r="O2465" s="17"/>
      <c r="P2465" s="18">
        <v>43683.816863425927</v>
      </c>
      <c r="Q2465" s="7" t="s">
        <v>15484</v>
      </c>
      <c r="R2465" s="7" t="s">
        <v>15485</v>
      </c>
      <c r="S2465" s="7"/>
      <c r="T2465" s="8"/>
      <c r="U2465" s="19" t="str">
        <f>HYPERLINK("https://pbs.twimg.com/profile_images/1167217882931060737/09l_A-Qx.jpg","View")</f>
        <v>View</v>
      </c>
      <c r="V2465" s="8"/>
      <c r="W2465" s="8"/>
      <c r="X2465" s="8"/>
      <c r="Y2465" s="8"/>
      <c r="Z2465" s="8"/>
    </row>
    <row r="2466" spans="1:26" ht="12.75">
      <c r="A2466" s="11">
        <v>43747.209409722222</v>
      </c>
      <c r="B2466" s="12" t="str">
        <f>HYPERLINK("https://twitter.com/ahmet67075199","@ahmet67075199")</f>
        <v>@ahmet67075199</v>
      </c>
      <c r="C2466" s="7" t="s">
        <v>15486</v>
      </c>
      <c r="D2466" s="7" t="s">
        <v>15487</v>
      </c>
      <c r="E2466" s="12" t="str">
        <f>HYPERLINK("https://twitter.com/ahmet67075199/status/1181902517124378624","1181902517124378624")</f>
        <v>1181902517124378624</v>
      </c>
      <c r="F2466" s="8"/>
      <c r="G2466" s="15"/>
      <c r="H2466" s="8"/>
      <c r="I2466" s="15">
        <v>0</v>
      </c>
      <c r="J2466" s="15">
        <v>0</v>
      </c>
      <c r="K2466" s="12" t="str">
        <f>HYPERLINK("http://twitter.com/download/android","Twitter for Android")</f>
        <v>Twitter for Android</v>
      </c>
      <c r="L2466" s="16">
        <v>3</v>
      </c>
      <c r="M2466" s="16">
        <v>12</v>
      </c>
      <c r="N2466" s="16">
        <v>0</v>
      </c>
      <c r="O2466" s="17"/>
      <c r="P2466" s="18">
        <v>43720.319039351853</v>
      </c>
      <c r="Q2466" s="7"/>
      <c r="R2466" s="7"/>
      <c r="S2466" s="7"/>
      <c r="T2466" s="8"/>
      <c r="U2466" s="19" t="str">
        <f>HYPERLINK("https://pbs.twimg.com/profile_images/1172167103874576384/FBiufjTc.jpg","View")</f>
        <v>View</v>
      </c>
      <c r="V2466" s="8"/>
      <c r="W2466" s="8"/>
      <c r="X2466" s="8"/>
      <c r="Y2466" s="8"/>
      <c r="Z2466" s="8"/>
    </row>
    <row r="2467" spans="1:26" ht="12.75">
      <c r="A2467" s="11">
        <v>43747.209363425922</v>
      </c>
      <c r="B2467" s="12" t="str">
        <f>HYPERLINK("https://twitter.com/bnaktas","@bnaktas")</f>
        <v>@bnaktas</v>
      </c>
      <c r="C2467" s="7" t="s">
        <v>15488</v>
      </c>
      <c r="D2467" s="7" t="s">
        <v>15489</v>
      </c>
      <c r="E2467" s="12" t="str">
        <f>HYPERLINK("https://twitter.com/bnaktas/status/1181902502150725632","1181902502150725632")</f>
        <v>1181902502150725632</v>
      </c>
      <c r="F2467" s="8"/>
      <c r="G2467" s="15"/>
      <c r="H2467" s="8"/>
      <c r="I2467" s="15">
        <v>0</v>
      </c>
      <c r="J2467" s="15">
        <v>0</v>
      </c>
      <c r="K2467" s="12" t="str">
        <f>HYPERLINK("http://twitter.com/download/iphone","Twitter for iPhone")</f>
        <v>Twitter for iPhone</v>
      </c>
      <c r="L2467" s="16">
        <v>9</v>
      </c>
      <c r="M2467" s="16">
        <v>44</v>
      </c>
      <c r="N2467" s="16">
        <v>0</v>
      </c>
      <c r="O2467" s="17"/>
      <c r="P2467" s="18">
        <v>43394.027407407411</v>
      </c>
      <c r="Q2467" s="7" t="s">
        <v>15490</v>
      </c>
      <c r="R2467" s="7" t="s">
        <v>15491</v>
      </c>
      <c r="S2467" s="7"/>
      <c r="T2467" s="8"/>
      <c r="U2467" s="19" t="str">
        <f>HYPERLINK("https://pbs.twimg.com/profile_images/1181671714935189507/roeZBPKs.jpg","View")</f>
        <v>View</v>
      </c>
      <c r="V2467" s="8"/>
      <c r="W2467" s="8"/>
      <c r="X2467" s="8"/>
      <c r="Y2467" s="8"/>
      <c r="Z2467" s="8"/>
    </row>
    <row r="2468" spans="1:26" ht="12.75">
      <c r="A2468" s="11">
        <v>43747.208981481483</v>
      </c>
      <c r="B2468" s="12" t="str">
        <f>HYPERLINK("https://twitter.com/EKIP1453__TR","@EKIP1453__TR")</f>
        <v>@EKIP1453__TR</v>
      </c>
      <c r="C2468" s="7" t="s">
        <v>15492</v>
      </c>
      <c r="D2468" s="7" t="s">
        <v>15493</v>
      </c>
      <c r="E2468" s="12" t="str">
        <f>HYPERLINK("https://twitter.com/EKIP1453__TR/status/1181902362581045254","1181902362581045254")</f>
        <v>1181902362581045254</v>
      </c>
      <c r="F2468" s="8"/>
      <c r="G2468" s="14" t="s">
        <v>15494</v>
      </c>
      <c r="H2468" s="8"/>
      <c r="I2468" s="15">
        <v>0</v>
      </c>
      <c r="J2468" s="15">
        <v>2</v>
      </c>
      <c r="K2468" s="12" t="str">
        <f>HYPERLINK("http://twitter.com/download/android","Twitter for Android")</f>
        <v>Twitter for Android</v>
      </c>
      <c r="L2468" s="16">
        <v>3744</v>
      </c>
      <c r="M2468" s="16">
        <v>3519</v>
      </c>
      <c r="N2468" s="16">
        <v>0</v>
      </c>
      <c r="O2468" s="17"/>
      <c r="P2468" s="18">
        <v>43355.353310185186</v>
      </c>
      <c r="Q2468" s="7" t="s">
        <v>200</v>
      </c>
      <c r="R2468" s="7" t="s">
        <v>15495</v>
      </c>
      <c r="S2468" s="7"/>
      <c r="T2468" s="8"/>
      <c r="U2468" s="19" t="str">
        <f>HYPERLINK("https://pbs.twimg.com/profile_images/1167565783385464832/cXOMG2UU.jpg","View")</f>
        <v>View</v>
      </c>
      <c r="V2468" s="8"/>
      <c r="W2468" s="8"/>
      <c r="X2468" s="8"/>
      <c r="Y2468" s="8"/>
      <c r="Z2468" s="8"/>
    </row>
    <row r="2469" spans="1:26" ht="12.75">
      <c r="A2469" s="11">
        <v>43747.208923611106</v>
      </c>
      <c r="B2469" s="12" t="str">
        <f>HYPERLINK("https://twitter.com/BurakTRKER06","@BurakTRKER06")</f>
        <v>@BurakTRKER06</v>
      </c>
      <c r="C2469" s="7" t="s">
        <v>15496</v>
      </c>
      <c r="D2469" s="7" t="s">
        <v>15497</v>
      </c>
      <c r="E2469" s="12" t="str">
        <f>HYPERLINK("https://twitter.com/BurakTRKER06/status/1181902342058323968","1181902342058323968")</f>
        <v>1181902342058323968</v>
      </c>
      <c r="F2469" s="15"/>
      <c r="G2469" s="14" t="s">
        <v>15498</v>
      </c>
      <c r="H2469" s="8"/>
      <c r="I2469" s="15">
        <v>0</v>
      </c>
      <c r="J2469" s="15">
        <v>0</v>
      </c>
      <c r="K2469" s="12" t="str">
        <f>HYPERLINK("http://twitter.com/download/android","Twitter for Android")</f>
        <v>Twitter for Android</v>
      </c>
      <c r="L2469" s="16">
        <v>143</v>
      </c>
      <c r="M2469" s="16">
        <v>115</v>
      </c>
      <c r="N2469" s="16">
        <v>0</v>
      </c>
      <c r="O2469" s="17"/>
      <c r="P2469" s="18">
        <v>42555.653564814813</v>
      </c>
      <c r="Q2469" s="7" t="s">
        <v>15499</v>
      </c>
      <c r="R2469" s="21" t="s">
        <v>15500</v>
      </c>
      <c r="S2469" s="7"/>
      <c r="T2469" s="8"/>
      <c r="U2469" s="19" t="str">
        <f>HYPERLINK("https://pbs.twimg.com/profile_images/1175541379294007296/7OZMbi_g.jpg","View")</f>
        <v>View</v>
      </c>
      <c r="V2469" s="8"/>
      <c r="W2469" s="8"/>
      <c r="X2469" s="8"/>
      <c r="Y2469" s="8"/>
      <c r="Z2469" s="8"/>
    </row>
    <row r="2470" spans="1:26" ht="12.75">
      <c r="A2470" s="11">
        <v>43747.208854166667</v>
      </c>
      <c r="B2470" s="12" t="str">
        <f>HYPERLINK("https://twitter.com/GndzAsi","@GndzAsi")</f>
        <v>@GndzAsi</v>
      </c>
      <c r="C2470" s="7" t="s">
        <v>15501</v>
      </c>
      <c r="D2470" s="7" t="s">
        <v>15502</v>
      </c>
      <c r="E2470" s="12" t="str">
        <f>HYPERLINK("https://twitter.com/GndzAsi/status/1181902316938678272","1181902316938678272")</f>
        <v>1181902316938678272</v>
      </c>
      <c r="F2470" s="14" t="s">
        <v>15503</v>
      </c>
      <c r="G2470" s="14" t="s">
        <v>15504</v>
      </c>
      <c r="H2470" s="8"/>
      <c r="I2470" s="15">
        <v>0</v>
      </c>
      <c r="J2470" s="15">
        <v>0</v>
      </c>
      <c r="K2470" s="12" t="str">
        <f>HYPERLINK("http://twitter.com/download/android","Twitter for Android")</f>
        <v>Twitter for Android</v>
      </c>
      <c r="L2470" s="16">
        <v>152</v>
      </c>
      <c r="M2470" s="16">
        <v>45</v>
      </c>
      <c r="N2470" s="16">
        <v>0</v>
      </c>
      <c r="O2470" s="17"/>
      <c r="P2470" s="18">
        <v>40906.186956018515</v>
      </c>
      <c r="Q2470" s="7" t="s">
        <v>970</v>
      </c>
      <c r="R2470" s="7" t="s">
        <v>15505</v>
      </c>
      <c r="S2470" s="7"/>
      <c r="T2470" s="8"/>
      <c r="U2470" s="19" t="str">
        <f>HYPERLINK("https://pbs.twimg.com/profile_images/1130079283442049024/40rTVrfR.jpg","View")</f>
        <v>View</v>
      </c>
      <c r="V2470" s="8"/>
      <c r="W2470" s="8"/>
      <c r="X2470" s="8"/>
      <c r="Y2470" s="8"/>
      <c r="Z2470" s="8"/>
    </row>
    <row r="2471" spans="1:26" ht="12.75">
      <c r="A2471" s="11">
        <v>43747.208831018521</v>
      </c>
      <c r="B2471" s="12" t="str">
        <f>HYPERLINK("https://twitter.com/oart7218","@oart7218")</f>
        <v>@oart7218</v>
      </c>
      <c r="C2471" s="7" t="s">
        <v>15506</v>
      </c>
      <c r="D2471" s="7" t="s">
        <v>15507</v>
      </c>
      <c r="E2471" s="12" t="str">
        <f>HYPERLINK("https://twitter.com/oart7218/status/1181902308868853761","1181902308868853761")</f>
        <v>1181902308868853761</v>
      </c>
      <c r="F2471" s="8"/>
      <c r="G2471" s="14" t="s">
        <v>15445</v>
      </c>
      <c r="H2471" s="8"/>
      <c r="I2471" s="15">
        <v>0</v>
      </c>
      <c r="J2471" s="15">
        <v>7</v>
      </c>
      <c r="K2471" s="12" t="str">
        <f>HYPERLINK("http://twitter.com/download/android","Twitter for Android")</f>
        <v>Twitter for Android</v>
      </c>
      <c r="L2471" s="16">
        <v>14687</v>
      </c>
      <c r="M2471" s="16">
        <v>7708</v>
      </c>
      <c r="N2471" s="16">
        <v>110</v>
      </c>
      <c r="O2471" s="20"/>
      <c r="P2471" s="18">
        <v>42800.522245370375</v>
      </c>
      <c r="Q2471" s="7" t="s">
        <v>15508</v>
      </c>
      <c r="R2471" s="7" t="s">
        <v>15509</v>
      </c>
      <c r="S2471" s="15"/>
      <c r="T2471" s="8"/>
      <c r="U2471" s="19" t="str">
        <f>HYPERLINK("https://pbs.twimg.com/profile_images/1125404574712573952/MyqxWkaL.jpg","View")</f>
        <v>View</v>
      </c>
      <c r="V2471" s="8"/>
      <c r="W2471" s="8"/>
      <c r="X2471" s="8"/>
      <c r="Y2471" s="8"/>
      <c r="Z2471" s="8"/>
    </row>
    <row r="2472" spans="1:26" ht="12.75">
      <c r="A2472" s="11">
        <v>43747.208784722221</v>
      </c>
      <c r="B2472" s="12" t="str">
        <f>HYPERLINK("https://twitter.com/Aysekarkya","@Aysekarkya")</f>
        <v>@Aysekarkya</v>
      </c>
      <c r="C2472" s="7" t="s">
        <v>15510</v>
      </c>
      <c r="D2472" s="7" t="s">
        <v>15511</v>
      </c>
      <c r="E2472" s="12" t="str">
        <f>HYPERLINK("https://twitter.com/Aysekarkya/status/1181902289323401221","1181902289323401221")</f>
        <v>1181902289323401221</v>
      </c>
      <c r="F2472" s="14" t="s">
        <v>14233</v>
      </c>
      <c r="G2472" s="14" t="s">
        <v>14234</v>
      </c>
      <c r="H2472" s="8"/>
      <c r="I2472" s="15">
        <v>0</v>
      </c>
      <c r="J2472" s="15">
        <v>1</v>
      </c>
      <c r="K2472" s="12" t="str">
        <f>HYPERLINK("http://twitter.com/download/android","Twitter for Android")</f>
        <v>Twitter for Android</v>
      </c>
      <c r="L2472" s="16">
        <v>187</v>
      </c>
      <c r="M2472" s="16">
        <v>185</v>
      </c>
      <c r="N2472" s="16">
        <v>0</v>
      </c>
      <c r="O2472" s="17"/>
      <c r="P2472" s="18">
        <v>43510.291226851856</v>
      </c>
      <c r="Q2472" s="7" t="s">
        <v>1343</v>
      </c>
      <c r="R2472" s="7" t="s">
        <v>15512</v>
      </c>
      <c r="S2472" s="7"/>
      <c r="T2472" s="8"/>
      <c r="U2472" s="19" t="str">
        <f>HYPERLINK("https://pbs.twimg.com/profile_images/1178027816769732608/7tQCrX1e.jpg","View")</f>
        <v>View</v>
      </c>
      <c r="V2472" s="8"/>
      <c r="W2472" s="8"/>
      <c r="X2472" s="8"/>
      <c r="Y2472" s="8"/>
      <c r="Z2472" s="8"/>
    </row>
    <row r="2473" spans="1:26" ht="12.75">
      <c r="A2473" s="11">
        <v>43747.208703703705</v>
      </c>
      <c r="B2473" s="12" t="str">
        <f>HYPERLINK("https://twitter.com/mantlyx","@mantlyx")</f>
        <v>@mantlyx</v>
      </c>
      <c r="C2473" s="7" t="s">
        <v>15486</v>
      </c>
      <c r="D2473" s="7" t="s">
        <v>15513</v>
      </c>
      <c r="E2473" s="12" t="str">
        <f>HYPERLINK("https://twitter.com/mantlyx/status/1181902263369027584","1181902263369027584")</f>
        <v>1181902263369027584</v>
      </c>
      <c r="F2473" s="8"/>
      <c r="G2473" s="14" t="s">
        <v>15514</v>
      </c>
      <c r="H2473" s="8"/>
      <c r="I2473" s="15">
        <v>0</v>
      </c>
      <c r="J2473" s="15">
        <v>0</v>
      </c>
      <c r="K2473" s="12" t="str">
        <f>HYPERLINK("https://mobile.twitter.com","Twitter Web App")</f>
        <v>Twitter Web App</v>
      </c>
      <c r="L2473" s="16">
        <v>12</v>
      </c>
      <c r="M2473" s="16">
        <v>13</v>
      </c>
      <c r="N2473" s="16">
        <v>0</v>
      </c>
      <c r="O2473" s="17"/>
      <c r="P2473" s="18">
        <v>43428.045775462961</v>
      </c>
      <c r="Q2473" s="7" t="s">
        <v>200</v>
      </c>
      <c r="R2473" s="7" t="s">
        <v>15515</v>
      </c>
      <c r="S2473" s="7"/>
      <c r="T2473" s="8"/>
      <c r="U2473" s="19" t="str">
        <f>HYPERLINK("https://pbs.twimg.com/profile_images/1145768058897743874/00ilYpye.png","View")</f>
        <v>View</v>
      </c>
      <c r="V2473" s="8"/>
      <c r="W2473" s="8"/>
      <c r="X2473" s="8"/>
      <c r="Y2473" s="8"/>
      <c r="Z2473" s="8"/>
    </row>
    <row r="2474" spans="1:26" ht="12.75">
      <c r="A2474" s="11">
        <v>43747.208692129629</v>
      </c>
      <c r="B2474" s="12" t="str">
        <f>HYPERLINK("https://twitter.com/ahmetbalamann","@ahmetbalamann")</f>
        <v>@ahmetbalamann</v>
      </c>
      <c r="C2474" s="7" t="s">
        <v>15516</v>
      </c>
      <c r="D2474" s="7" t="s">
        <v>15517</v>
      </c>
      <c r="E2474" s="12" t="str">
        <f>HYPERLINK("https://twitter.com/ahmetbalamann/status/1181902255861243904","1181902255861243904")</f>
        <v>1181902255861243904</v>
      </c>
      <c r="F2474" s="8"/>
      <c r="G2474" s="14" t="s">
        <v>15518</v>
      </c>
      <c r="H2474" s="8"/>
      <c r="I2474" s="15">
        <v>5</v>
      </c>
      <c r="J2474" s="15">
        <v>4</v>
      </c>
      <c r="K2474" s="12" t="str">
        <f>HYPERLINK("http://twitter.com/download/iphone","Twitter for iPhone")</f>
        <v>Twitter for iPhone</v>
      </c>
      <c r="L2474" s="16">
        <v>189</v>
      </c>
      <c r="M2474" s="16">
        <v>93</v>
      </c>
      <c r="N2474" s="16">
        <v>0</v>
      </c>
      <c r="O2474" s="17"/>
      <c r="P2474" s="18">
        <v>41309.107615740737</v>
      </c>
      <c r="Q2474" s="7" t="s">
        <v>313</v>
      </c>
      <c r="R2474" s="7" t="s">
        <v>15519</v>
      </c>
      <c r="S2474" s="15"/>
      <c r="T2474" s="8"/>
      <c r="U2474" s="19" t="str">
        <f>HYPERLINK("https://pbs.twimg.com/profile_images/1145429885147582464/be3TL7ie.jpg","View")</f>
        <v>View</v>
      </c>
      <c r="V2474" s="8"/>
      <c r="W2474" s="8"/>
      <c r="X2474" s="8"/>
      <c r="Y2474" s="8"/>
      <c r="Z2474" s="8"/>
    </row>
    <row r="2475" spans="1:26" ht="12.75">
      <c r="A2475" s="11">
        <v>43747.208645833336</v>
      </c>
      <c r="B2475" s="12" t="str">
        <f>HYPERLINK("https://twitter.com/NDokuzbucuk","@NDokuzbucuk")</f>
        <v>@NDokuzbucuk</v>
      </c>
      <c r="C2475" s="7" t="s">
        <v>15520</v>
      </c>
      <c r="D2475" s="7" t="s">
        <v>15521</v>
      </c>
      <c r="E2475" s="12" t="str">
        <f>HYPERLINK("https://twitter.com/NDokuzbucuk/status/1181902241868984320","1181902241868984320")</f>
        <v>1181902241868984320</v>
      </c>
      <c r="F2475" s="8"/>
      <c r="G2475" s="14" t="s">
        <v>15522</v>
      </c>
      <c r="H2475" s="8"/>
      <c r="I2475" s="15">
        <v>0</v>
      </c>
      <c r="J2475" s="15">
        <v>0</v>
      </c>
      <c r="K2475" s="12" t="str">
        <f>HYPERLINK("http://twitter.com","Twitter Web Client")</f>
        <v>Twitter Web Client</v>
      </c>
      <c r="L2475" s="16">
        <v>3</v>
      </c>
      <c r="M2475" s="16">
        <v>0</v>
      </c>
      <c r="N2475" s="16">
        <v>0</v>
      </c>
      <c r="O2475" s="17"/>
      <c r="P2475" s="18">
        <v>43683.862118055556</v>
      </c>
      <c r="Q2475" s="7" t="s">
        <v>2201</v>
      </c>
      <c r="R2475" s="7" t="s">
        <v>15523</v>
      </c>
      <c r="S2475" s="15"/>
      <c r="T2475" s="8"/>
      <c r="U2475" s="19" t="str">
        <f>HYPERLINK("https://pbs.twimg.com/profile_images/1167221739262271489/9SNiSsuQ.jpg","View")</f>
        <v>View</v>
      </c>
      <c r="V2475" s="8"/>
      <c r="W2475" s="8"/>
      <c r="X2475" s="8"/>
      <c r="Y2475" s="8"/>
      <c r="Z2475" s="8"/>
    </row>
    <row r="2476" spans="1:26" ht="12.75">
      <c r="A2476" s="11">
        <v>43747.208645833336</v>
      </c>
      <c r="B2476" s="12" t="str">
        <f>HYPERLINK("https://twitter.com/zeynepnerdem","@zeynepnerdem")</f>
        <v>@zeynepnerdem</v>
      </c>
      <c r="C2476" s="7" t="s">
        <v>15524</v>
      </c>
      <c r="D2476" s="7" t="s">
        <v>15525</v>
      </c>
      <c r="E2476" s="12" t="str">
        <f>HYPERLINK("https://twitter.com/zeynepnerdem/status/1181902238744272896","1181902238744272896")</f>
        <v>1181902238744272896</v>
      </c>
      <c r="F2476" s="8"/>
      <c r="G2476" s="14" t="s">
        <v>15526</v>
      </c>
      <c r="H2476" s="8"/>
      <c r="I2476" s="15">
        <v>0</v>
      </c>
      <c r="J2476" s="15">
        <v>0</v>
      </c>
      <c r="K2476" s="12" t="str">
        <f>HYPERLINK("http://twitter.com/download/iphone","Twitter for iPhone")</f>
        <v>Twitter for iPhone</v>
      </c>
      <c r="L2476" s="16">
        <v>705</v>
      </c>
      <c r="M2476" s="16">
        <v>154</v>
      </c>
      <c r="N2476" s="16">
        <v>1</v>
      </c>
      <c r="O2476" s="17"/>
      <c r="P2476" s="18">
        <v>42213.551759259259</v>
      </c>
      <c r="Q2476" s="7"/>
      <c r="R2476" s="7" t="s">
        <v>15527</v>
      </c>
      <c r="S2476" s="7"/>
      <c r="T2476" s="8"/>
      <c r="U2476" s="19" t="str">
        <f>HYPERLINK("https://pbs.twimg.com/profile_images/834880979344961537/fRd_IALV.jpg","View")</f>
        <v>View</v>
      </c>
      <c r="V2476" s="8"/>
      <c r="W2476" s="8"/>
      <c r="X2476" s="8"/>
      <c r="Y2476" s="8"/>
      <c r="Z2476" s="8"/>
    </row>
    <row r="2477" spans="1:26" ht="12.75">
      <c r="A2477" s="11">
        <v>43747.208495370374</v>
      </c>
      <c r="B2477" s="12" t="str">
        <f>HYPERLINK("https://twitter.com/AkAYDugan","@AkAYDugan")</f>
        <v>@AkAYDugan</v>
      </c>
      <c r="C2477" s="7" t="s">
        <v>15528</v>
      </c>
      <c r="D2477" s="7" t="s">
        <v>15529</v>
      </c>
      <c r="E2477" s="12" t="str">
        <f>HYPERLINK("https://twitter.com/AkAYDugan/status/1181902185942196225","1181902185942196225")</f>
        <v>1181902185942196225</v>
      </c>
      <c r="F2477" s="8"/>
      <c r="G2477" s="15"/>
      <c r="H2477" s="8"/>
      <c r="I2477" s="15">
        <v>0</v>
      </c>
      <c r="J2477" s="15">
        <v>0</v>
      </c>
      <c r="K2477" s="12" t="str">
        <f>HYPERLINK("https://mobile.twitter.com","Twitter Web App")</f>
        <v>Twitter Web App</v>
      </c>
      <c r="L2477" s="16">
        <v>121</v>
      </c>
      <c r="M2477" s="16">
        <v>28</v>
      </c>
      <c r="N2477" s="16">
        <v>1</v>
      </c>
      <c r="O2477" s="17"/>
      <c r="P2477" s="18">
        <v>43114.188888888893</v>
      </c>
      <c r="Q2477" s="7"/>
      <c r="R2477" s="7" t="s">
        <v>15530</v>
      </c>
      <c r="S2477" s="14" t="s">
        <v>15531</v>
      </c>
      <c r="T2477" s="8"/>
      <c r="U2477" s="19" t="str">
        <f>HYPERLINK("https://pbs.twimg.com/profile_images/1174679503987236864/VrRpPMd6.jpg","View")</f>
        <v>View</v>
      </c>
      <c r="V2477" s="8"/>
      <c r="W2477" s="8"/>
      <c r="X2477" s="8"/>
      <c r="Y2477" s="8"/>
      <c r="Z2477" s="8"/>
    </row>
    <row r="2478" spans="1:26" ht="12.75">
      <c r="A2478" s="11">
        <v>43747.208321759259</v>
      </c>
      <c r="B2478" s="12" t="str">
        <f>HYPERLINK("https://twitter.com/gungor1919","@gungor1919")</f>
        <v>@gungor1919</v>
      </c>
      <c r="C2478" s="7" t="s">
        <v>15532</v>
      </c>
      <c r="D2478" s="7" t="s">
        <v>15533</v>
      </c>
      <c r="E2478" s="12" t="str">
        <f>HYPERLINK("https://twitter.com/gungor1919/status/1181902124378185731","1181902124378185731")</f>
        <v>1181902124378185731</v>
      </c>
      <c r="F2478" s="8"/>
      <c r="G2478" s="14" t="s">
        <v>15534</v>
      </c>
      <c r="H2478" s="8"/>
      <c r="I2478" s="15">
        <v>0</v>
      </c>
      <c r="J2478" s="15">
        <v>13</v>
      </c>
      <c r="K2478" s="12" t="str">
        <f>HYPERLINK("http://twitter.com/download/iphone","Twitter for iPhone")</f>
        <v>Twitter for iPhone</v>
      </c>
      <c r="L2478" s="16">
        <v>2815</v>
      </c>
      <c r="M2478" s="16">
        <v>2890</v>
      </c>
      <c r="N2478" s="16">
        <v>2</v>
      </c>
      <c r="O2478" s="17"/>
      <c r="P2478" s="18">
        <v>40405.088726851856</v>
      </c>
      <c r="Q2478" s="7" t="s">
        <v>313</v>
      </c>
      <c r="R2478" s="7" t="s">
        <v>15535</v>
      </c>
      <c r="S2478" s="7"/>
      <c r="T2478" s="8"/>
      <c r="U2478" s="19" t="str">
        <f>HYPERLINK("https://pbs.twimg.com/profile_images/1179361914155077634/hGVjBM3w.jpg","View")</f>
        <v>View</v>
      </c>
      <c r="V2478" s="8"/>
      <c r="W2478" s="8"/>
      <c r="X2478" s="8"/>
      <c r="Y2478" s="8"/>
      <c r="Z2478" s="8"/>
    </row>
    <row r="2479" spans="1:26" ht="12.75">
      <c r="A2479" s="11">
        <v>43747.208287037036</v>
      </c>
      <c r="B2479" s="12" t="str">
        <f>HYPERLINK("https://twitter.com/Turkdevletiim","@Turkdevletiim")</f>
        <v>@Turkdevletiim</v>
      </c>
      <c r="C2479" s="7" t="s">
        <v>15536</v>
      </c>
      <c r="D2479" s="7" t="s">
        <v>160</v>
      </c>
      <c r="E2479" s="12" t="str">
        <f>HYPERLINK("https://twitter.com/Turkdevletiim/status/1181902112227287041","1181902112227287041")</f>
        <v>1181902112227287041</v>
      </c>
      <c r="F2479" s="8"/>
      <c r="G2479" s="7"/>
      <c r="H2479" s="8"/>
      <c r="I2479" s="15">
        <v>0</v>
      </c>
      <c r="J2479" s="15">
        <v>0</v>
      </c>
      <c r="K2479" s="12" t="str">
        <f>HYPERLINK("http://twitter.com/download/android","Twitter for Android")</f>
        <v>Twitter for Android</v>
      </c>
      <c r="L2479" s="16">
        <v>259</v>
      </c>
      <c r="M2479" s="16">
        <v>172</v>
      </c>
      <c r="N2479" s="16">
        <v>1</v>
      </c>
      <c r="O2479" s="17"/>
      <c r="P2479" s="18">
        <v>43332.063078703708</v>
      </c>
      <c r="Q2479" s="7"/>
      <c r="R2479" s="7"/>
      <c r="S2479" s="7"/>
      <c r="T2479" s="8"/>
      <c r="U2479" s="19" t="str">
        <f>HYPERLINK("https://pbs.twimg.com/profile_images/1121366973462478848/sPfbQuHL.jpg","View")</f>
        <v>View</v>
      </c>
      <c r="V2479" s="8"/>
      <c r="W2479" s="8"/>
      <c r="X2479" s="8"/>
      <c r="Y2479" s="8"/>
      <c r="Z2479" s="8"/>
    </row>
    <row r="2480" spans="1:26" ht="12.75">
      <c r="A2480" s="11">
        <v>43747.20820601852</v>
      </c>
      <c r="B2480" s="12" t="str">
        <f>HYPERLINK("https://twitter.com/baybozar","@baybozar")</f>
        <v>@baybozar</v>
      </c>
      <c r="C2480" s="7" t="s">
        <v>15537</v>
      </c>
      <c r="D2480" s="7" t="s">
        <v>15538</v>
      </c>
      <c r="E2480" s="12" t="str">
        <f>HYPERLINK("https://twitter.com/baybozar/status/1181902082703446022","1181902082703446022")</f>
        <v>1181902082703446022</v>
      </c>
      <c r="F2480" s="8"/>
      <c r="G2480" s="14" t="s">
        <v>15539</v>
      </c>
      <c r="H2480" s="8"/>
      <c r="I2480" s="15">
        <v>0</v>
      </c>
      <c r="J2480" s="15">
        <v>0</v>
      </c>
      <c r="K2480" s="12" t="str">
        <f>HYPERLINK("http://twitter.com/download/android","Twitter for Android")</f>
        <v>Twitter for Android</v>
      </c>
      <c r="L2480" s="16">
        <v>43</v>
      </c>
      <c r="M2480" s="16">
        <v>95</v>
      </c>
      <c r="N2480" s="16">
        <v>1</v>
      </c>
      <c r="O2480" s="17"/>
      <c r="P2480" s="18">
        <v>41703.960335648146</v>
      </c>
      <c r="Q2480" s="7" t="s">
        <v>15540</v>
      </c>
      <c r="R2480" s="7" t="s">
        <v>15541</v>
      </c>
      <c r="S2480" s="15"/>
      <c r="T2480" s="8"/>
      <c r="U2480" s="19" t="str">
        <f>HYPERLINK("https://pbs.twimg.com/profile_images/1171881752190697472/B-PcN5sF.jpg","View")</f>
        <v>View</v>
      </c>
      <c r="V2480" s="8"/>
      <c r="W2480" s="8"/>
      <c r="X2480" s="8"/>
      <c r="Y2480" s="8"/>
      <c r="Z2480" s="8"/>
    </row>
    <row r="2481" spans="1:26" ht="12.75">
      <c r="A2481" s="11">
        <v>43747.208194444444</v>
      </c>
      <c r="B2481" s="12" t="str">
        <f>HYPERLINK("https://twitter.com/isilakserhat","@isilakserhat")</f>
        <v>@isilakserhat</v>
      </c>
      <c r="C2481" s="7" t="s">
        <v>15542</v>
      </c>
      <c r="D2481" s="7" t="s">
        <v>15543</v>
      </c>
      <c r="E2481" s="12" t="str">
        <f>HYPERLINK("https://twitter.com/isilakserhat/status/1181902077041287169","1181902077041287169")</f>
        <v>1181902077041287169</v>
      </c>
      <c r="F2481" s="8"/>
      <c r="G2481" s="14" t="s">
        <v>15544</v>
      </c>
      <c r="H2481" s="8"/>
      <c r="I2481" s="15">
        <v>0</v>
      </c>
      <c r="J2481" s="15">
        <v>1</v>
      </c>
      <c r="K2481" s="12" t="str">
        <f>HYPERLINK("http://twitter.com/download/android","Twitter for Android")</f>
        <v>Twitter for Android</v>
      </c>
      <c r="L2481" s="16">
        <v>611</v>
      </c>
      <c r="M2481" s="16">
        <v>91</v>
      </c>
      <c r="N2481" s="16">
        <v>0</v>
      </c>
      <c r="O2481" s="17"/>
      <c r="P2481" s="18">
        <v>42888.657129629632</v>
      </c>
      <c r="Q2481" s="7" t="s">
        <v>918</v>
      </c>
      <c r="R2481" s="7" t="s">
        <v>15545</v>
      </c>
      <c r="S2481" s="7"/>
      <c r="T2481" s="8"/>
      <c r="U2481" s="19" t="str">
        <f>HYPERLINK("https://pbs.twimg.com/profile_images/1180551452948942849/hvnT-VqI.jpg","View")</f>
        <v>View</v>
      </c>
      <c r="V2481" s="8"/>
      <c r="W2481" s="8"/>
      <c r="X2481" s="8"/>
      <c r="Y2481" s="8"/>
      <c r="Z2481" s="8"/>
    </row>
    <row r="2482" spans="1:26" ht="12.75">
      <c r="A2482" s="11">
        <v>43747.208136574074</v>
      </c>
      <c r="B2482" s="12" t="str">
        <f>HYPERLINK("https://twitter.com/Karahanl4141","@Karahanl4141")</f>
        <v>@Karahanl4141</v>
      </c>
      <c r="C2482" s="7" t="s">
        <v>15546</v>
      </c>
      <c r="D2482" s="7" t="s">
        <v>15547</v>
      </c>
      <c r="E2482" s="12" t="str">
        <f>HYPERLINK("https://twitter.com/Karahanl4141/status/1181902055411195905","1181902055411195905")</f>
        <v>1181902055411195905</v>
      </c>
      <c r="F2482" s="14" t="s">
        <v>15548</v>
      </c>
      <c r="G2482" s="7"/>
      <c r="H2482" s="8"/>
      <c r="I2482" s="15">
        <v>0</v>
      </c>
      <c r="J2482" s="15">
        <v>0</v>
      </c>
      <c r="K2482" s="12" t="str">
        <f>HYPERLINK("http://twitter.com/download/android","Twitter for Android")</f>
        <v>Twitter for Android</v>
      </c>
      <c r="L2482" s="16">
        <v>2387</v>
      </c>
      <c r="M2482" s="16">
        <v>2444</v>
      </c>
      <c r="N2482" s="16">
        <v>0</v>
      </c>
      <c r="O2482" s="17"/>
      <c r="P2482" s="18">
        <v>41944.002557870372</v>
      </c>
      <c r="Q2482" s="7"/>
      <c r="R2482" s="7" t="s">
        <v>15549</v>
      </c>
      <c r="S2482" s="7"/>
      <c r="T2482" s="8"/>
      <c r="U2482" s="19" t="str">
        <f>HYPERLINK("https://pbs.twimg.com/profile_images/886829837616328704/UDl2q_Dt.jpg","View")</f>
        <v>View</v>
      </c>
      <c r="V2482" s="8"/>
      <c r="W2482" s="8"/>
      <c r="X2482" s="8"/>
      <c r="Y2482" s="8"/>
      <c r="Z2482" s="8"/>
    </row>
    <row r="2483" spans="1:26" ht="12.75">
      <c r="A2483" s="11">
        <v>43747.208032407405</v>
      </c>
      <c r="B2483" s="12" t="str">
        <f>HYPERLINK("https://twitter.com/mustafaydinx","@mustafaydinx")</f>
        <v>@mustafaydinx</v>
      </c>
      <c r="C2483" s="7" t="s">
        <v>15550</v>
      </c>
      <c r="D2483" s="7" t="s">
        <v>160</v>
      </c>
      <c r="E2483" s="12" t="str">
        <f>HYPERLINK("https://twitter.com/mustafaydinx/status/1181902016739790849","1181902016739790849")</f>
        <v>1181902016739790849</v>
      </c>
      <c r="F2483" s="8"/>
      <c r="G2483" s="14" t="s">
        <v>15551</v>
      </c>
      <c r="H2483" s="8"/>
      <c r="I2483" s="15">
        <v>0</v>
      </c>
      <c r="J2483" s="15">
        <v>0</v>
      </c>
      <c r="K2483" s="12" t="str">
        <f>HYPERLINK("http://twitter.com/download/android","Twitter for Android")</f>
        <v>Twitter for Android</v>
      </c>
      <c r="L2483" s="16">
        <v>9</v>
      </c>
      <c r="M2483" s="16">
        <v>8</v>
      </c>
      <c r="N2483" s="16">
        <v>0</v>
      </c>
      <c r="O2483" s="17"/>
      <c r="P2483" s="18">
        <v>43384.535208333335</v>
      </c>
      <c r="Q2483" s="7"/>
      <c r="R2483" s="7" t="s">
        <v>15552</v>
      </c>
      <c r="S2483" s="7"/>
      <c r="T2483" s="8"/>
      <c r="U2483" s="19" t="str">
        <f>HYPERLINK("https://pbs.twimg.com/profile_images/1163220162729914369/KNQu1y3h.jpg","View")</f>
        <v>View</v>
      </c>
      <c r="V2483" s="8"/>
      <c r="W2483" s="8"/>
      <c r="X2483" s="8"/>
      <c r="Y2483" s="8"/>
      <c r="Z2483" s="8"/>
    </row>
    <row r="2484" spans="1:26" ht="12.75">
      <c r="A2484" s="11">
        <v>43747.20793981482</v>
      </c>
      <c r="B2484" s="12" t="str">
        <f>HYPERLINK("https://twitter.com/ErumitDilan","@ErumitDilan")</f>
        <v>@ErumitDilan</v>
      </c>
      <c r="C2484" s="13" t="s">
        <v>15553</v>
      </c>
      <c r="D2484" s="7" t="s">
        <v>15554</v>
      </c>
      <c r="E2484" s="12" t="str">
        <f>HYPERLINK("https://twitter.com/ErumitDilan/status/1181901984212930560","1181901984212930560")</f>
        <v>1181901984212930560</v>
      </c>
      <c r="F2484" s="8"/>
      <c r="G2484" s="7"/>
      <c r="H2484" s="8"/>
      <c r="I2484" s="15">
        <v>0</v>
      </c>
      <c r="J2484" s="15">
        <v>0</v>
      </c>
      <c r="K2484" s="12" t="str">
        <f>HYPERLINK("http://twitter.com","Twitter Web Client")</f>
        <v>Twitter Web Client</v>
      </c>
      <c r="L2484" s="16">
        <v>17</v>
      </c>
      <c r="M2484" s="16">
        <v>0</v>
      </c>
      <c r="N2484" s="16">
        <v>0</v>
      </c>
      <c r="O2484" s="17"/>
      <c r="P2484" s="18">
        <v>43703.830972222218</v>
      </c>
      <c r="Q2484" s="7" t="s">
        <v>13632</v>
      </c>
      <c r="R2484" s="13" t="s">
        <v>15555</v>
      </c>
      <c r="S2484" s="15"/>
      <c r="T2484" s="8"/>
      <c r="U2484" s="19" t="str">
        <f>HYPERLINK("https://pbs.twimg.com/profile_images/1166788492267012096/-6ClN5dl.jpg","View")</f>
        <v>View</v>
      </c>
      <c r="V2484" s="8"/>
      <c r="W2484" s="8"/>
      <c r="X2484" s="8"/>
      <c r="Y2484" s="8"/>
      <c r="Z2484" s="8"/>
    </row>
    <row r="2485" spans="1:26" ht="12.75">
      <c r="A2485" s="11">
        <v>43747.20789351852</v>
      </c>
      <c r="B2485" s="12" t="str">
        <f>HYPERLINK("https://twitter.com/dursunayasli","@dursunayasli")</f>
        <v>@dursunayasli</v>
      </c>
      <c r="C2485" s="7" t="s">
        <v>15556</v>
      </c>
      <c r="D2485" s="7" t="s">
        <v>151</v>
      </c>
      <c r="E2485" s="12" t="str">
        <f>HYPERLINK("https://twitter.com/dursunayasli/status/1181901968685576193","1181901968685576193")</f>
        <v>1181901968685576193</v>
      </c>
      <c r="F2485" s="8"/>
      <c r="G2485" s="14" t="s">
        <v>15557</v>
      </c>
      <c r="H2485" s="8"/>
      <c r="I2485" s="15">
        <v>1</v>
      </c>
      <c r="J2485" s="15">
        <v>3</v>
      </c>
      <c r="K2485" s="12" t="str">
        <f>HYPERLINK("http://twitter.com/download/android","Twitter for Android")</f>
        <v>Twitter for Android</v>
      </c>
      <c r="L2485" s="16">
        <v>238</v>
      </c>
      <c r="M2485" s="16">
        <v>198</v>
      </c>
      <c r="N2485" s="16">
        <v>0</v>
      </c>
      <c r="O2485" s="17"/>
      <c r="P2485" s="18">
        <v>43631.218159722222</v>
      </c>
      <c r="Q2485" s="7"/>
      <c r="R2485" s="7" t="s">
        <v>15558</v>
      </c>
      <c r="S2485" s="7"/>
      <c r="T2485" s="8"/>
      <c r="U2485" s="19" t="str">
        <f>HYPERLINK("https://pbs.twimg.com/profile_images/1171880391860465674/Jy-707Wy.jpg","View")</f>
        <v>View</v>
      </c>
      <c r="V2485" s="8"/>
      <c r="W2485" s="8"/>
      <c r="X2485" s="8"/>
      <c r="Y2485" s="8"/>
      <c r="Z2485" s="8"/>
    </row>
    <row r="2486" spans="1:26" ht="12.75">
      <c r="A2486" s="11">
        <v>43747.207812499997</v>
      </c>
      <c r="B2486" s="12" t="str">
        <f>HYPERLINK("https://twitter.com/lsayldz","@lsayldz")</f>
        <v>@lsayldz</v>
      </c>
      <c r="C2486" s="7" t="s">
        <v>15559</v>
      </c>
      <c r="D2486" s="7" t="s">
        <v>15560</v>
      </c>
      <c r="E2486" s="12" t="str">
        <f>HYPERLINK("https://twitter.com/lsayldz/status/1181901938234986496","1181901938234986496")</f>
        <v>1181901938234986496</v>
      </c>
      <c r="F2486" s="8"/>
      <c r="G2486" s="15"/>
      <c r="H2486" s="8"/>
      <c r="I2486" s="15">
        <v>1</v>
      </c>
      <c r="J2486" s="15">
        <v>2</v>
      </c>
      <c r="K2486" s="12" t="str">
        <f>HYPERLINK("http://twitter.com/download/android","Twitter for Android")</f>
        <v>Twitter for Android</v>
      </c>
      <c r="L2486" s="16">
        <v>584</v>
      </c>
      <c r="M2486" s="16">
        <v>88</v>
      </c>
      <c r="N2486" s="16">
        <v>1</v>
      </c>
      <c r="O2486" s="17"/>
      <c r="P2486" s="18">
        <v>41950.272407407407</v>
      </c>
      <c r="Q2486" s="7" t="s">
        <v>10009</v>
      </c>
      <c r="R2486" s="7" t="s">
        <v>15561</v>
      </c>
      <c r="S2486" s="15"/>
      <c r="T2486" s="8"/>
      <c r="U2486" s="19" t="str">
        <f>HYPERLINK("https://pbs.twimg.com/profile_images/1164599185464844289/_kI8uXuN.jpg","View")</f>
        <v>View</v>
      </c>
      <c r="V2486" s="8"/>
      <c r="W2486" s="8"/>
      <c r="X2486" s="8"/>
      <c r="Y2486" s="8"/>
      <c r="Z2486" s="8"/>
    </row>
    <row r="2487" spans="1:26" ht="12.75">
      <c r="A2487" s="11">
        <v>43747.207789351851</v>
      </c>
      <c r="B2487" s="12" t="str">
        <f>HYPERLINK("https://twitter.com/satenderHR","@satenderHR")</f>
        <v>@satenderHR</v>
      </c>
      <c r="C2487" s="7" t="s">
        <v>15562</v>
      </c>
      <c r="D2487" s="7" t="s">
        <v>15563</v>
      </c>
      <c r="E2487" s="12" t="str">
        <f>HYPERLINK("https://twitter.com/satenderHR/status/1181901929733136385","1181901929733136385")</f>
        <v>1181901929733136385</v>
      </c>
      <c r="F2487" s="8"/>
      <c r="G2487" s="7"/>
      <c r="H2487" s="8"/>
      <c r="I2487" s="15">
        <v>0</v>
      </c>
      <c r="J2487" s="15">
        <v>0</v>
      </c>
      <c r="K2487" s="12" t="str">
        <f>HYPERLINK("http://twitter.com/download/android","Twitter for Android")</f>
        <v>Twitter for Android</v>
      </c>
      <c r="L2487" s="16">
        <v>137</v>
      </c>
      <c r="M2487" s="16">
        <v>775</v>
      </c>
      <c r="N2487" s="16">
        <v>1</v>
      </c>
      <c r="O2487" s="17"/>
      <c r="P2487" s="18">
        <v>42679.471967592588</v>
      </c>
      <c r="Q2487" s="7" t="s">
        <v>15564</v>
      </c>
      <c r="R2487" s="7" t="s">
        <v>15565</v>
      </c>
      <c r="S2487" s="7"/>
      <c r="T2487" s="8"/>
      <c r="U2487" s="19" t="str">
        <f>HYPERLINK("https://pbs.twimg.com/profile_images/1180433716788772864/jAArUBoL.jpg","View")</f>
        <v>View</v>
      </c>
      <c r="V2487" s="8"/>
      <c r="W2487" s="8"/>
      <c r="X2487" s="8"/>
      <c r="Y2487" s="8"/>
      <c r="Z2487" s="8"/>
    </row>
    <row r="2488" spans="1:26" ht="12.75">
      <c r="A2488" s="11">
        <v>43747.207743055551</v>
      </c>
      <c r="B2488" s="12" t="str">
        <f>HYPERLINK("https://twitter.com/Nuur_011","@Nuur_011")</f>
        <v>@Nuur_011</v>
      </c>
      <c r="C2488" s="7" t="s">
        <v>15566</v>
      </c>
      <c r="D2488" s="7" t="s">
        <v>15567</v>
      </c>
      <c r="E2488" s="12" t="str">
        <f>HYPERLINK("https://twitter.com/Nuur_011/status/1181901915292147712","1181901915292147712")</f>
        <v>1181901915292147712</v>
      </c>
      <c r="F2488" s="8"/>
      <c r="G2488" s="14" t="s">
        <v>15568</v>
      </c>
      <c r="H2488" s="8"/>
      <c r="I2488" s="15">
        <v>0</v>
      </c>
      <c r="J2488" s="15">
        <v>6</v>
      </c>
      <c r="K2488" s="12" t="str">
        <f>HYPERLINK("http://twitter.com","Twitter Web Client")</f>
        <v>Twitter Web Client</v>
      </c>
      <c r="L2488" s="16">
        <v>1375</v>
      </c>
      <c r="M2488" s="16">
        <v>1142</v>
      </c>
      <c r="N2488" s="16">
        <v>1</v>
      </c>
      <c r="O2488" s="17"/>
      <c r="P2488" s="18">
        <v>42806.580092592594</v>
      </c>
      <c r="Q2488" s="7" t="s">
        <v>6929</v>
      </c>
      <c r="R2488" s="7" t="s">
        <v>15569</v>
      </c>
      <c r="S2488" s="7"/>
      <c r="T2488" s="8"/>
      <c r="U2488" s="19" t="str">
        <f>HYPERLINK("https://pbs.twimg.com/profile_images/1171492568040800256/rPx2iQCO.png","View")</f>
        <v>View</v>
      </c>
      <c r="V2488" s="8"/>
      <c r="W2488" s="8"/>
      <c r="X2488" s="8"/>
      <c r="Y2488" s="8"/>
      <c r="Z2488" s="8"/>
    </row>
    <row r="2489" spans="1:26" ht="12.75">
      <c r="A2489" s="11">
        <v>43747.207685185189</v>
      </c>
      <c r="B2489" s="12" t="str">
        <f>HYPERLINK("https://twitter.com/AltincubukSayan","@AltincubukSayan")</f>
        <v>@AltincubukSayan</v>
      </c>
      <c r="C2489" s="7" t="s">
        <v>15570</v>
      </c>
      <c r="D2489" s="7" t="s">
        <v>15571</v>
      </c>
      <c r="E2489" s="12" t="str">
        <f>HYPERLINK("https://twitter.com/AltincubukSayan/status/1181901891149664256","1181901891149664256")</f>
        <v>1181901891149664256</v>
      </c>
      <c r="F2489" s="8"/>
      <c r="G2489" s="14" t="s">
        <v>15572</v>
      </c>
      <c r="H2489" s="12" t="str">
        <f>HYPERLINK("https://ctrlq.org/maps/address/#41.037871,28.968473","Map")</f>
        <v>Map</v>
      </c>
      <c r="I2489" s="15">
        <v>0</v>
      </c>
      <c r="J2489" s="15">
        <v>1</v>
      </c>
      <c r="K2489" s="12" t="str">
        <f>HYPERLINK("http://twitter.com/download/iphone","Twitter for iPhone")</f>
        <v>Twitter for iPhone</v>
      </c>
      <c r="L2489" s="16">
        <v>0</v>
      </c>
      <c r="M2489" s="16">
        <v>0</v>
      </c>
      <c r="N2489" s="16">
        <v>0</v>
      </c>
      <c r="O2489" s="17"/>
      <c r="P2489" s="18">
        <v>43705.358668981484</v>
      </c>
      <c r="Q2489" s="7" t="s">
        <v>3618</v>
      </c>
      <c r="R2489" s="7" t="s">
        <v>15573</v>
      </c>
      <c r="S2489" s="14" t="s">
        <v>15574</v>
      </c>
      <c r="T2489" s="8"/>
      <c r="U2489" s="19" t="str">
        <f>HYPERLINK("https://pbs.twimg.com/profile_images/1167798395915919360/RmkjYqHQ.jpg","View")</f>
        <v>View</v>
      </c>
      <c r="V2489" s="8"/>
      <c r="W2489" s="8"/>
      <c r="X2489" s="8"/>
      <c r="Y2489" s="8"/>
      <c r="Z2489" s="8"/>
    </row>
    <row r="2490" spans="1:26" ht="12.75">
      <c r="A2490" s="11">
        <v>43747.207534722227</v>
      </c>
      <c r="B2490" s="12" t="str">
        <f>HYPERLINK("https://twitter.com/unoistanbul","@unoistanbul")</f>
        <v>@unoistanbul</v>
      </c>
      <c r="C2490" s="7" t="s">
        <v>15575</v>
      </c>
      <c r="D2490" s="7" t="s">
        <v>15576</v>
      </c>
      <c r="E2490" s="12" t="str">
        <f>HYPERLINK("https://twitter.com/unoistanbul/status/1181901837215158272","1181901837215158272")</f>
        <v>1181901837215158272</v>
      </c>
      <c r="F2490" s="8"/>
      <c r="G2490" s="14" t="s">
        <v>15577</v>
      </c>
      <c r="H2490" s="8"/>
      <c r="I2490" s="15">
        <v>2</v>
      </c>
      <c r="J2490" s="15">
        <v>2</v>
      </c>
      <c r="K2490" s="12" t="str">
        <f>HYPERLINK("https://mobile.twitter.com","Twitter Web App")</f>
        <v>Twitter Web App</v>
      </c>
      <c r="L2490" s="16">
        <v>3</v>
      </c>
      <c r="M2490" s="16">
        <v>9</v>
      </c>
      <c r="N2490" s="16">
        <v>0</v>
      </c>
      <c r="O2490" s="17"/>
      <c r="P2490" s="18">
        <v>42870.124594907407</v>
      </c>
      <c r="Q2490" s="7" t="s">
        <v>15578</v>
      </c>
      <c r="R2490" s="7" t="s">
        <v>15579</v>
      </c>
      <c r="S2490" s="14" t="s">
        <v>15580</v>
      </c>
      <c r="T2490" s="8"/>
      <c r="U2490" s="19" t="str">
        <f>HYPERLINK("https://pbs.twimg.com/profile_images/864057941644718080/6drZ1VsG.jpg","View")</f>
        <v>View</v>
      </c>
      <c r="V2490" s="8"/>
      <c r="W2490" s="8"/>
      <c r="X2490" s="8"/>
      <c r="Y2490" s="8"/>
      <c r="Z2490" s="8"/>
    </row>
    <row r="2491" spans="1:26" ht="12.75">
      <c r="A2491" s="11">
        <v>43747.207476851851</v>
      </c>
      <c r="B2491" s="12" t="str">
        <f>HYPERLINK("https://twitter.com/EMREKIMSESIZ","@EMREKIMSESIZ")</f>
        <v>@EMREKIMSESIZ</v>
      </c>
      <c r="C2491" s="7" t="s">
        <v>15581</v>
      </c>
      <c r="D2491" s="7" t="s">
        <v>15582</v>
      </c>
      <c r="E2491" s="12" t="str">
        <f>HYPERLINK("https://twitter.com/EMREKIMSESIZ/status/1181901819003510785","1181901819003510785")</f>
        <v>1181901819003510785</v>
      </c>
      <c r="F2491" s="8"/>
      <c r="G2491" s="14" t="s">
        <v>15583</v>
      </c>
      <c r="H2491" s="8"/>
      <c r="I2491" s="15">
        <v>0</v>
      </c>
      <c r="J2491" s="15">
        <v>1</v>
      </c>
      <c r="K2491" s="12" t="str">
        <f>HYPERLINK("http://twitter.com/download/android","Twitter for Android")</f>
        <v>Twitter for Android</v>
      </c>
      <c r="L2491" s="16">
        <v>154</v>
      </c>
      <c r="M2491" s="16">
        <v>255</v>
      </c>
      <c r="N2491" s="16">
        <v>0</v>
      </c>
      <c r="O2491" s="17"/>
      <c r="P2491" s="18">
        <v>40431.206631944442</v>
      </c>
      <c r="Q2491" s="7" t="s">
        <v>15584</v>
      </c>
      <c r="R2491" s="7"/>
      <c r="S2491" s="7"/>
      <c r="T2491" s="8"/>
      <c r="U2491" s="19" t="str">
        <f>HYPERLINK("https://pbs.twimg.com/profile_images/1149235439280283649/urB4VfWo.jpg","View")</f>
        <v>View</v>
      </c>
      <c r="V2491" s="8"/>
      <c r="W2491" s="8"/>
      <c r="X2491" s="8"/>
      <c r="Y2491" s="8"/>
      <c r="Z2491" s="8"/>
    </row>
    <row r="2492" spans="1:26" ht="12.75">
      <c r="A2492" s="11">
        <v>43747.207476851851</v>
      </c>
      <c r="B2492" s="12" t="str">
        <f>HYPERLINK("https://twitter.com/Yzknsln","@Yzknsln")</f>
        <v>@Yzknsln</v>
      </c>
      <c r="C2492" s="7" t="s">
        <v>15585</v>
      </c>
      <c r="D2492" s="7" t="s">
        <v>15586</v>
      </c>
      <c r="E2492" s="12" t="str">
        <f>HYPERLINK("https://twitter.com/Yzknsln/status/1181901816637919232","1181901816637919232")</f>
        <v>1181901816637919232</v>
      </c>
      <c r="F2492" s="8"/>
      <c r="G2492" s="14" t="s">
        <v>15587</v>
      </c>
      <c r="H2492" s="8"/>
      <c r="I2492" s="15">
        <v>0</v>
      </c>
      <c r="J2492" s="15">
        <v>1</v>
      </c>
      <c r="K2492" s="12" t="str">
        <f>HYPERLINK("https://mobile.twitter.com","Twitter Web App")</f>
        <v>Twitter Web App</v>
      </c>
      <c r="L2492" s="16">
        <v>1</v>
      </c>
      <c r="M2492" s="16">
        <v>2</v>
      </c>
      <c r="N2492" s="16">
        <v>0</v>
      </c>
      <c r="O2492" s="17"/>
      <c r="P2492" s="18">
        <v>43120.918819444443</v>
      </c>
      <c r="Q2492" s="7"/>
      <c r="R2492" s="7"/>
      <c r="S2492" s="7"/>
      <c r="T2492" s="8"/>
      <c r="U2492" s="19" t="str">
        <f>HYPERLINK("https://pbs.twimg.com/profile_images/1181310464405295104/TSA2zLr9.jpg","View")</f>
        <v>View</v>
      </c>
      <c r="V2492" s="8"/>
      <c r="W2492" s="8"/>
      <c r="X2492" s="8"/>
      <c r="Y2492" s="8"/>
      <c r="Z2492" s="8"/>
    </row>
    <row r="2493" spans="1:26" ht="12.75">
      <c r="A2493" s="11">
        <v>43747.207476851851</v>
      </c>
      <c r="B2493" s="12" t="str">
        <f>HYPERLINK("https://twitter.com/maninblack0666","@maninblack0666")</f>
        <v>@maninblack0666</v>
      </c>
      <c r="C2493" s="7" t="s">
        <v>15588</v>
      </c>
      <c r="D2493" s="7" t="s">
        <v>15589</v>
      </c>
      <c r="E2493" s="12" t="str">
        <f>HYPERLINK("https://twitter.com/maninblack0666/status/1181901815736131584","1181901815736131584")</f>
        <v>1181901815736131584</v>
      </c>
      <c r="F2493" s="15"/>
      <c r="G2493" s="15"/>
      <c r="H2493" s="8"/>
      <c r="I2493" s="15">
        <v>0</v>
      </c>
      <c r="J2493" s="15">
        <v>0</v>
      </c>
      <c r="K2493" s="12" t="str">
        <f>HYPERLINK("http://twitter.com/download/android","Twitter for Android")</f>
        <v>Twitter for Android</v>
      </c>
      <c r="L2493" s="16">
        <v>226</v>
      </c>
      <c r="M2493" s="16">
        <v>398</v>
      </c>
      <c r="N2493" s="16">
        <v>1</v>
      </c>
      <c r="O2493" s="17"/>
      <c r="P2493" s="18">
        <v>41200.636400462965</v>
      </c>
      <c r="Q2493" s="7" t="s">
        <v>918</v>
      </c>
      <c r="R2493" s="7"/>
      <c r="S2493" s="7"/>
      <c r="T2493" s="8"/>
      <c r="U2493" s="19" t="str">
        <f>HYPERLINK("https://pbs.twimg.com/profile_images/1157289692318064640/rQjz474N.jpg","View")</f>
        <v>View</v>
      </c>
      <c r="V2493" s="8"/>
      <c r="W2493" s="8"/>
      <c r="X2493" s="8"/>
      <c r="Y2493" s="8"/>
      <c r="Z2493" s="8"/>
    </row>
    <row r="2494" spans="1:26" ht="12.75">
      <c r="A2494" s="11">
        <v>43747.207395833335</v>
      </c>
      <c r="B2494" s="12" t="str">
        <f>HYPERLINK("https://twitter.com/BagasAyyuce","@BagasAyyuce")</f>
        <v>@BagasAyyuce</v>
      </c>
      <c r="C2494" s="7" t="s">
        <v>15590</v>
      </c>
      <c r="D2494" s="7" t="s">
        <v>15591</v>
      </c>
      <c r="E2494" s="12" t="str">
        <f>HYPERLINK("https://twitter.com/BagasAyyuce/status/1181901788624101376","1181901788624101376")</f>
        <v>1181901788624101376</v>
      </c>
      <c r="F2494" s="8"/>
      <c r="G2494" s="14" t="s">
        <v>15592</v>
      </c>
      <c r="H2494" s="8"/>
      <c r="I2494" s="15">
        <v>0</v>
      </c>
      <c r="J2494" s="15">
        <v>0</v>
      </c>
      <c r="K2494" s="12" t="str">
        <f>HYPERLINK("http://twitter.com","Twitter Web Client")</f>
        <v>Twitter Web Client</v>
      </c>
      <c r="L2494" s="16">
        <v>8</v>
      </c>
      <c r="M2494" s="16">
        <v>0</v>
      </c>
      <c r="N2494" s="16">
        <v>0</v>
      </c>
      <c r="O2494" s="17"/>
      <c r="P2494" s="18">
        <v>43683.86782407407</v>
      </c>
      <c r="Q2494" s="7" t="s">
        <v>15593</v>
      </c>
      <c r="R2494" s="7" t="s">
        <v>15594</v>
      </c>
      <c r="S2494" s="7"/>
      <c r="T2494" s="8"/>
      <c r="U2494" s="19" t="str">
        <f>HYPERLINK("https://pbs.twimg.com/profile_images/1167222339509084160/uMRCkKKT.jpg","View")</f>
        <v>View</v>
      </c>
      <c r="V2494" s="8"/>
      <c r="W2494" s="8"/>
      <c r="X2494" s="8"/>
      <c r="Y2494" s="8"/>
      <c r="Z2494" s="8"/>
    </row>
    <row r="2495" spans="1:26" ht="12.75">
      <c r="A2495" s="11">
        <v>43747.207337962958</v>
      </c>
      <c r="B2495" s="12" t="str">
        <f>HYPERLINK("https://twitter.com/asistanhanm","@asistanhanm")</f>
        <v>@asistanhanm</v>
      </c>
      <c r="C2495" s="7" t="s">
        <v>15595</v>
      </c>
      <c r="D2495" s="7" t="s">
        <v>15596</v>
      </c>
      <c r="E2495" s="12" t="str">
        <f>HYPERLINK("https://twitter.com/asistanhanm/status/1181901765320593408","1181901765320593408")</f>
        <v>1181901765320593408</v>
      </c>
      <c r="F2495" s="8"/>
      <c r="G2495" s="15"/>
      <c r="H2495" s="8"/>
      <c r="I2495" s="15">
        <v>0</v>
      </c>
      <c r="J2495" s="15">
        <v>0</v>
      </c>
      <c r="K2495" s="12" t="str">
        <f>HYPERLINK("http://twitter.com/download/android","Twitter for Android")</f>
        <v>Twitter for Android</v>
      </c>
      <c r="L2495" s="16">
        <v>261</v>
      </c>
      <c r="M2495" s="16">
        <v>250</v>
      </c>
      <c r="N2495" s="16">
        <v>0</v>
      </c>
      <c r="O2495" s="17"/>
      <c r="P2495" s="18">
        <v>43335.420081018514</v>
      </c>
      <c r="Q2495" s="7" t="s">
        <v>287</v>
      </c>
      <c r="R2495" s="7" t="s">
        <v>15597</v>
      </c>
      <c r="S2495" s="7"/>
      <c r="T2495" s="8"/>
      <c r="U2495" s="19" t="str">
        <f>HYPERLINK("https://pbs.twimg.com/profile_images/1177565638786764801/fjf0QSBx.jpg","View")</f>
        <v>View</v>
      </c>
      <c r="V2495" s="8"/>
      <c r="W2495" s="8"/>
      <c r="X2495" s="8"/>
      <c r="Y2495" s="8"/>
      <c r="Z2495" s="8"/>
    </row>
    <row r="2496" spans="1:26" ht="12.75">
      <c r="A2496" s="11">
        <v>43747.207129629634</v>
      </c>
      <c r="B2496" s="12" t="str">
        <f>HYPERLINK("https://twitter.com/KarlTPF","@KarlTPF")</f>
        <v>@KarlTPF</v>
      </c>
      <c r="C2496" s="7" t="s">
        <v>15598</v>
      </c>
      <c r="D2496" s="7" t="s">
        <v>15599</v>
      </c>
      <c r="E2496" s="12" t="str">
        <f>HYPERLINK("https://twitter.com/KarlTPF/status/1181901690645221378","1181901690645221378")</f>
        <v>1181901690645221378</v>
      </c>
      <c r="F2496" s="8" t="s">
        <v>15600</v>
      </c>
      <c r="G2496" s="7"/>
      <c r="H2496" s="8"/>
      <c r="I2496" s="15">
        <v>0</v>
      </c>
      <c r="J2496" s="15">
        <v>0</v>
      </c>
      <c r="K2496" s="12" t="str">
        <f>HYPERLINK("https://mobile.twitter.com","Twitter Web App")</f>
        <v>Twitter Web App</v>
      </c>
      <c r="L2496" s="16">
        <v>5406</v>
      </c>
      <c r="M2496" s="16">
        <v>5677</v>
      </c>
      <c r="N2496" s="16">
        <v>108</v>
      </c>
      <c r="O2496" s="17"/>
      <c r="P2496" s="18">
        <v>41674.825254629628</v>
      </c>
      <c r="Q2496" s="7" t="s">
        <v>15601</v>
      </c>
      <c r="R2496" s="7" t="s">
        <v>15602</v>
      </c>
      <c r="S2496" s="14" t="s">
        <v>15603</v>
      </c>
      <c r="T2496" s="8"/>
      <c r="U2496" s="19" t="str">
        <f>HYPERLINK("https://pbs.twimg.com/profile_images/855940192288559104/7LiARjth.jpg","View")</f>
        <v>View</v>
      </c>
      <c r="V2496" s="8"/>
      <c r="W2496" s="8"/>
      <c r="X2496" s="8"/>
      <c r="Y2496" s="8"/>
      <c r="Z2496" s="8"/>
    </row>
    <row r="2497" spans="1:26" ht="12.75">
      <c r="A2497" s="11">
        <v>43747.20711805555</v>
      </c>
      <c r="B2497" s="12" t="str">
        <f>HYPERLINK("https://twitter.com/usarussia1","@usarussia1")</f>
        <v>@usarussia1</v>
      </c>
      <c r="C2497" s="7" t="s">
        <v>15604</v>
      </c>
      <c r="D2497" s="7" t="s">
        <v>15605</v>
      </c>
      <c r="E2497" s="12" t="str">
        <f>HYPERLINK("https://twitter.com/usarussia1/status/1181901688648679424","1181901688648679424")</f>
        <v>1181901688648679424</v>
      </c>
      <c r="F2497" s="8"/>
      <c r="G2497" s="7"/>
      <c r="H2497" s="8"/>
      <c r="I2497" s="15">
        <v>0</v>
      </c>
      <c r="J2497" s="15">
        <v>0</v>
      </c>
      <c r="K2497" s="12" t="str">
        <f>HYPERLINK("https://mobile.twitter.com","Twitter Web App")</f>
        <v>Twitter Web App</v>
      </c>
      <c r="L2497" s="16">
        <v>257</v>
      </c>
      <c r="M2497" s="16">
        <v>1152</v>
      </c>
      <c r="N2497" s="16">
        <v>2</v>
      </c>
      <c r="O2497" s="17"/>
      <c r="P2497" s="18">
        <v>41479.445428240739</v>
      </c>
      <c r="Q2497" s="7" t="s">
        <v>15606</v>
      </c>
      <c r="R2497" s="7" t="s">
        <v>15607</v>
      </c>
      <c r="S2497" s="15"/>
      <c r="T2497" s="8"/>
      <c r="U2497" s="19" t="str">
        <f>HYPERLINK("https://pbs.twimg.com/profile_images/993932787932680192/88Tjqb2q.jpg","View")</f>
        <v>View</v>
      </c>
      <c r="V2497" s="8"/>
      <c r="W2497" s="8"/>
      <c r="X2497" s="8"/>
      <c r="Y2497" s="8"/>
      <c r="Z2497" s="8"/>
    </row>
    <row r="2498" spans="1:26" ht="12.75">
      <c r="A2498" s="11">
        <v>43747.206921296296</v>
      </c>
      <c r="B2498" s="12" t="str">
        <f>HYPERLINK("https://twitter.com/Suriye_operasyo","@Suriye_operasyo")</f>
        <v>@Suriye_operasyo</v>
      </c>
      <c r="C2498" s="7" t="s">
        <v>15608</v>
      </c>
      <c r="D2498" s="7" t="s">
        <v>15609</v>
      </c>
      <c r="E2498" s="12" t="str">
        <f>HYPERLINK("https://twitter.com/Suriye_operasyo/status/1181901615994986497","1181901615994986497")</f>
        <v>1181901615994986497</v>
      </c>
      <c r="F2498" s="8"/>
      <c r="G2498" s="14" t="s">
        <v>15610</v>
      </c>
      <c r="H2498" s="8"/>
      <c r="I2498" s="15">
        <v>0</v>
      </c>
      <c r="J2498" s="15">
        <v>0</v>
      </c>
      <c r="K2498" s="12" t="str">
        <f>HYPERLINK("http://twitter.com/download/android","Twitter for Android")</f>
        <v>Twitter for Android</v>
      </c>
      <c r="L2498" s="16">
        <v>1</v>
      </c>
      <c r="M2498" s="16">
        <v>40</v>
      </c>
      <c r="N2498" s="16">
        <v>0</v>
      </c>
      <c r="O2498" s="17"/>
      <c r="P2498" s="18">
        <v>43710.252858796295</v>
      </c>
      <c r="Q2498" s="7"/>
      <c r="R2498" s="7"/>
      <c r="S2498" s="7"/>
      <c r="T2498" s="8"/>
      <c r="U2498" s="20" t="s">
        <v>354</v>
      </c>
      <c r="V2498" s="8"/>
      <c r="W2498" s="8"/>
      <c r="X2498" s="8"/>
      <c r="Y2498" s="8"/>
      <c r="Z2498" s="8"/>
    </row>
    <row r="2499" spans="1:26" ht="12.75">
      <c r="A2499" s="11">
        <v>43747.20689814815</v>
      </c>
      <c r="B2499" s="12" t="str">
        <f>HYPERLINK("https://twitter.com/mdelioglu63","@mdelioglu63")</f>
        <v>@mdelioglu63</v>
      </c>
      <c r="C2499" s="7" t="s">
        <v>15611</v>
      </c>
      <c r="D2499" s="7" t="s">
        <v>15612</v>
      </c>
      <c r="E2499" s="12" t="str">
        <f>HYPERLINK("https://twitter.com/mdelioglu63/status/1181901608084488194","1181901608084488194")</f>
        <v>1181901608084488194</v>
      </c>
      <c r="F2499" s="8"/>
      <c r="G2499" s="14" t="s">
        <v>15613</v>
      </c>
      <c r="H2499" s="8"/>
      <c r="I2499" s="15">
        <v>11</v>
      </c>
      <c r="J2499" s="15">
        <v>28</v>
      </c>
      <c r="K2499" s="12" t="str">
        <f>HYPERLINK("http://twitter.com/download/iphone","Twitter for iPhone")</f>
        <v>Twitter for iPhone</v>
      </c>
      <c r="L2499" s="16">
        <v>4198</v>
      </c>
      <c r="M2499" s="16">
        <v>235</v>
      </c>
      <c r="N2499" s="16">
        <v>4</v>
      </c>
      <c r="O2499" s="17"/>
      <c r="P2499" s="18">
        <v>41291.588773148149</v>
      </c>
      <c r="Q2499" s="7" t="s">
        <v>15614</v>
      </c>
      <c r="R2499" s="7" t="s">
        <v>15615</v>
      </c>
      <c r="S2499" s="14" t="s">
        <v>15616</v>
      </c>
      <c r="T2499" s="8"/>
      <c r="U2499" s="19" t="str">
        <f>HYPERLINK("https://pbs.twimg.com/profile_images/1178436267220115456/s91pn0G1.jpg","View")</f>
        <v>View</v>
      </c>
      <c r="V2499" s="8"/>
      <c r="W2499" s="8"/>
      <c r="X2499" s="8"/>
      <c r="Y2499" s="8"/>
      <c r="Z2499" s="8"/>
    </row>
    <row r="2500" spans="1:26" ht="12.75">
      <c r="A2500" s="11">
        <v>43747.206875000003</v>
      </c>
      <c r="B2500" s="12" t="str">
        <f>HYPERLINK("https://twitter.com/ayanhakan34","@ayanhakan34")</f>
        <v>@ayanhakan34</v>
      </c>
      <c r="C2500" s="7" t="s">
        <v>15617</v>
      </c>
      <c r="D2500" s="7" t="s">
        <v>15618</v>
      </c>
      <c r="E2500" s="12" t="str">
        <f>HYPERLINK("https://twitter.com/ayanhakan34/status/1181901599494545410","1181901599494545410")</f>
        <v>1181901599494545410</v>
      </c>
      <c r="F2500" s="8"/>
      <c r="G2500" s="14" t="s">
        <v>15619</v>
      </c>
      <c r="H2500" s="8"/>
      <c r="I2500" s="15">
        <v>0</v>
      </c>
      <c r="J2500" s="15">
        <v>0</v>
      </c>
      <c r="K2500" s="12" t="str">
        <f>HYPERLINK("http://twitter.com/download/android","Twitter for Android")</f>
        <v>Twitter for Android</v>
      </c>
      <c r="L2500" s="16">
        <v>149</v>
      </c>
      <c r="M2500" s="16">
        <v>240</v>
      </c>
      <c r="N2500" s="16">
        <v>0</v>
      </c>
      <c r="O2500" s="17"/>
      <c r="P2500" s="18">
        <v>43489.112569444449</v>
      </c>
      <c r="Q2500" s="7" t="s">
        <v>200</v>
      </c>
      <c r="R2500" s="7" t="s">
        <v>15620</v>
      </c>
      <c r="S2500" s="7"/>
      <c r="T2500" s="8"/>
      <c r="U2500" s="19" t="str">
        <f>HYPERLINK("https://pbs.twimg.com/profile_images/1181596984043589632/kRN_SD6U.jpg","View")</f>
        <v>View</v>
      </c>
      <c r="V2500" s="8"/>
      <c r="W2500" s="8"/>
      <c r="X2500" s="8"/>
      <c r="Y2500" s="8"/>
      <c r="Z2500" s="8"/>
    </row>
    <row r="2501" spans="1:26" ht="12.75">
      <c r="A2501" s="11">
        <v>43747.206875000003</v>
      </c>
      <c r="B2501" s="12" t="str">
        <f>HYPERLINK("https://twitter.com/mahmutgediz","@mahmutgediz")</f>
        <v>@mahmutgediz</v>
      </c>
      <c r="C2501" s="7" t="s">
        <v>15621</v>
      </c>
      <c r="D2501" s="7" t="s">
        <v>15622</v>
      </c>
      <c r="E2501" s="12" t="str">
        <f>HYPERLINK("https://twitter.com/mahmutgediz/status/1181901599452610560","1181901599452610560")</f>
        <v>1181901599452610560</v>
      </c>
      <c r="F2501" s="8"/>
      <c r="G2501" s="7"/>
      <c r="H2501" s="8"/>
      <c r="I2501" s="15">
        <v>0</v>
      </c>
      <c r="J2501" s="15">
        <v>1</v>
      </c>
      <c r="K2501" s="12" t="str">
        <f>HYPERLINK("http://twitter.com/download/iphone","Twitter for iPhone")</f>
        <v>Twitter for iPhone</v>
      </c>
      <c r="L2501" s="16">
        <v>5034</v>
      </c>
      <c r="M2501" s="16">
        <v>2252</v>
      </c>
      <c r="N2501" s="16">
        <v>16</v>
      </c>
      <c r="O2501" s="17"/>
      <c r="P2501" s="18">
        <v>40356.145509259259</v>
      </c>
      <c r="Q2501" s="7" t="s">
        <v>6393</v>
      </c>
      <c r="R2501" s="7" t="s">
        <v>15623</v>
      </c>
      <c r="S2501" s="14" t="s">
        <v>15624</v>
      </c>
      <c r="T2501" s="8"/>
      <c r="U2501" s="19" t="str">
        <f>HYPERLINK("https://pbs.twimg.com/profile_images/828889648332206080/lSgnPuQC.jpg","View")</f>
        <v>View</v>
      </c>
      <c r="V2501" s="8"/>
      <c r="W2501" s="8"/>
      <c r="X2501" s="8"/>
      <c r="Y2501" s="8"/>
      <c r="Z2501" s="8"/>
    </row>
    <row r="2502" spans="1:26" ht="12.75">
      <c r="A2502" s="11">
        <v>43747.20684027778</v>
      </c>
      <c r="B2502" s="12" t="str">
        <f>HYPERLINK("https://twitter.com/Miral_Kilo","@Miral_Kilo")</f>
        <v>@Miral_Kilo</v>
      </c>
      <c r="C2502" s="7" t="s">
        <v>15625</v>
      </c>
      <c r="D2502" s="7" t="s">
        <v>15626</v>
      </c>
      <c r="E2502" s="12" t="str">
        <f>HYPERLINK("https://twitter.com/Miral_Kilo/status/1181901587767275521","1181901587767275521")</f>
        <v>1181901587767275521</v>
      </c>
      <c r="F2502" s="8"/>
      <c r="G2502" s="14" t="s">
        <v>15627</v>
      </c>
      <c r="H2502" s="8"/>
      <c r="I2502" s="15">
        <v>0</v>
      </c>
      <c r="J2502" s="15">
        <v>0</v>
      </c>
      <c r="K2502" s="12" t="str">
        <f>HYPERLINK("http://twitter.com/download/iphone","Twitter for iPhone")</f>
        <v>Twitter for iPhone</v>
      </c>
      <c r="L2502" s="16">
        <v>3</v>
      </c>
      <c r="M2502" s="16">
        <v>26</v>
      </c>
      <c r="N2502" s="16">
        <v>0</v>
      </c>
      <c r="O2502" s="17"/>
      <c r="P2502" s="18">
        <v>43019.688796296294</v>
      </c>
      <c r="Q2502" s="7" t="s">
        <v>3754</v>
      </c>
      <c r="R2502" s="7" t="s">
        <v>15628</v>
      </c>
      <c r="S2502" s="7"/>
      <c r="T2502" s="8"/>
      <c r="U2502" s="19" t="str">
        <f>HYPERLINK("https://pbs.twimg.com/profile_images/918259291047583746/9jdcyU-V.jpg","View")</f>
        <v>View</v>
      </c>
      <c r="V2502" s="8"/>
      <c r="W2502" s="8"/>
      <c r="X2502" s="8"/>
      <c r="Y2502" s="8"/>
      <c r="Z2502" s="8"/>
    </row>
    <row r="2503" spans="1:26" ht="12.75">
      <c r="A2503" s="11">
        <v>43747.206736111111</v>
      </c>
      <c r="B2503" s="12" t="str">
        <f>HYPERLINK("https://twitter.com/ArinBaskir","@ArinBaskir")</f>
        <v>@ArinBaskir</v>
      </c>
      <c r="C2503" s="7" t="s">
        <v>15629</v>
      </c>
      <c r="D2503" s="7" t="s">
        <v>15630</v>
      </c>
      <c r="E2503" s="12" t="str">
        <f>HYPERLINK("https://twitter.com/ArinBaskir/status/1181901546654752768","1181901546654752768")</f>
        <v>1181901546654752768</v>
      </c>
      <c r="F2503" s="15"/>
      <c r="G2503" s="15"/>
      <c r="H2503" s="8"/>
      <c r="I2503" s="15">
        <v>0</v>
      </c>
      <c r="J2503" s="15">
        <v>0</v>
      </c>
      <c r="K2503" s="12" t="str">
        <f>HYPERLINK("http://twitter.com","Twitter Web Client")</f>
        <v>Twitter Web Client</v>
      </c>
      <c r="L2503" s="16">
        <v>9</v>
      </c>
      <c r="M2503" s="16">
        <v>0</v>
      </c>
      <c r="N2503" s="16">
        <v>0</v>
      </c>
      <c r="O2503" s="17"/>
      <c r="P2503" s="18">
        <v>43668.852511574078</v>
      </c>
      <c r="Q2503" s="7" t="s">
        <v>13967</v>
      </c>
      <c r="R2503" s="7" t="s">
        <v>15631</v>
      </c>
      <c r="S2503" s="7"/>
      <c r="T2503" s="8"/>
      <c r="U2503" s="19" t="str">
        <f>HYPERLINK("https://pbs.twimg.com/profile_images/1153751550919172097/Ay9L3rup.jpg","View")</f>
        <v>View</v>
      </c>
      <c r="V2503" s="8"/>
      <c r="W2503" s="8"/>
      <c r="X2503" s="8"/>
      <c r="Y2503" s="8"/>
      <c r="Z2503" s="8"/>
    </row>
    <row r="2504" spans="1:26" ht="12.75">
      <c r="A2504" s="11">
        <v>43747.206678240742</v>
      </c>
      <c r="B2504" s="12" t="str">
        <f>HYPERLINK("https://twitter.com/Umut99561741","@Umut99561741")</f>
        <v>@Umut99561741</v>
      </c>
      <c r="C2504" s="7" t="s">
        <v>15632</v>
      </c>
      <c r="D2504" s="7" t="s">
        <v>15633</v>
      </c>
      <c r="E2504" s="12" t="str">
        <f>HYPERLINK("https://twitter.com/Umut99561741/status/1181901529642606592","1181901529642606592")</f>
        <v>1181901529642606592</v>
      </c>
      <c r="F2504" s="8"/>
      <c r="G2504" s="14" t="s">
        <v>15634</v>
      </c>
      <c r="H2504" s="8"/>
      <c r="I2504" s="15">
        <v>0</v>
      </c>
      <c r="J2504" s="15">
        <v>3</v>
      </c>
      <c r="K2504" s="12" t="str">
        <f>HYPERLINK("http://twitter.com/download/android","Twitter for Android")</f>
        <v>Twitter for Android</v>
      </c>
      <c r="L2504" s="16">
        <v>19</v>
      </c>
      <c r="M2504" s="16">
        <v>396</v>
      </c>
      <c r="N2504" s="16">
        <v>0</v>
      </c>
      <c r="O2504" s="17"/>
      <c r="P2504" s="18">
        <v>43323.04614583333</v>
      </c>
      <c r="Q2504" s="7"/>
      <c r="R2504" s="7" t="s">
        <v>15635</v>
      </c>
      <c r="S2504" s="7"/>
      <c r="T2504" s="8"/>
      <c r="U2504" s="19" t="str">
        <f>HYPERLINK("https://pbs.twimg.com/profile_images/1073902092853616640/aThob5A0.jpg","View")</f>
        <v>View</v>
      </c>
      <c r="V2504" s="8"/>
      <c r="W2504" s="8"/>
      <c r="X2504" s="8"/>
      <c r="Y2504" s="8"/>
      <c r="Z2504" s="8"/>
    </row>
    <row r="2505" spans="1:26" ht="12.75">
      <c r="A2505" s="11">
        <v>43747.206678240742</v>
      </c>
      <c r="B2505" s="12" t="str">
        <f>HYPERLINK("https://twitter.com/mmuratakan","@mmuratakan")</f>
        <v>@mmuratakan</v>
      </c>
      <c r="C2505" s="7" t="s">
        <v>15636</v>
      </c>
      <c r="D2505" s="7" t="s">
        <v>15637</v>
      </c>
      <c r="E2505" s="12" t="str">
        <f>HYPERLINK("https://twitter.com/mmuratakan/status/1181901528908652545","1181901528908652545")</f>
        <v>1181901528908652545</v>
      </c>
      <c r="F2505" s="8"/>
      <c r="G2505" s="7"/>
      <c r="H2505" s="8"/>
      <c r="I2505" s="15">
        <v>0</v>
      </c>
      <c r="J2505" s="15">
        <v>0</v>
      </c>
      <c r="K2505" s="12" t="str">
        <f>HYPERLINK("http://twitter.com/download/iphone","Twitter for iPhone")</f>
        <v>Twitter for iPhone</v>
      </c>
      <c r="L2505" s="16">
        <v>35</v>
      </c>
      <c r="M2505" s="16">
        <v>173</v>
      </c>
      <c r="N2505" s="16">
        <v>0</v>
      </c>
      <c r="O2505" s="17"/>
      <c r="P2505" s="18">
        <v>40636.397685185184</v>
      </c>
      <c r="Q2505" s="7"/>
      <c r="R2505" s="7"/>
      <c r="S2505" s="7"/>
      <c r="T2505" s="8"/>
      <c r="U2505" s="19" t="str">
        <f>HYPERLINK("https://pbs.twimg.com/profile_images/1068404864303153152/CPLzXazi.jpg","View")</f>
        <v>View</v>
      </c>
      <c r="V2505" s="8"/>
      <c r="W2505" s="8"/>
      <c r="X2505" s="8"/>
      <c r="Y2505" s="8"/>
      <c r="Z2505" s="8"/>
    </row>
    <row r="2506" spans="1:26" ht="12.75">
      <c r="A2506" s="11">
        <v>43747.206562499996</v>
      </c>
      <c r="B2506" s="12" t="str">
        <f>HYPERLINK("https://twitter.com/ersinyikilmazz","@ersinyikilmazz")</f>
        <v>@ersinyikilmazz</v>
      </c>
      <c r="C2506" s="7" t="s">
        <v>15638</v>
      </c>
      <c r="D2506" s="7" t="s">
        <v>15639</v>
      </c>
      <c r="E2506" s="12" t="str">
        <f>HYPERLINK("https://twitter.com/ersinyikilmazz/status/1181901486663569408","1181901486663569408")</f>
        <v>1181901486663569408</v>
      </c>
      <c r="F2506" s="8"/>
      <c r="G2506" s="15"/>
      <c r="H2506" s="8"/>
      <c r="I2506" s="15">
        <v>0</v>
      </c>
      <c r="J2506" s="15">
        <v>1</v>
      </c>
      <c r="K2506" s="12" t="str">
        <f>HYPERLINK("http://twitter.com/download/iphone","Twitter for iPhone")</f>
        <v>Twitter for iPhone</v>
      </c>
      <c r="L2506" s="16">
        <v>20</v>
      </c>
      <c r="M2506" s="16">
        <v>20</v>
      </c>
      <c r="N2506" s="16">
        <v>0</v>
      </c>
      <c r="O2506" s="17"/>
      <c r="P2506" s="18">
        <v>43716.2887037037</v>
      </c>
      <c r="Q2506" s="7" t="s">
        <v>576</v>
      </c>
      <c r="R2506" s="7"/>
      <c r="S2506" s="7"/>
      <c r="T2506" s="8"/>
      <c r="U2506" s="19" t="str">
        <f>HYPERLINK("https://pbs.twimg.com/profile_images/1181097477157593088/3brPD197.jpg","View")</f>
        <v>View</v>
      </c>
      <c r="V2506" s="8"/>
      <c r="W2506" s="8"/>
      <c r="X2506" s="8"/>
      <c r="Y2506" s="8"/>
      <c r="Z2506" s="8"/>
    </row>
    <row r="2507" spans="1:26" ht="12.75">
      <c r="A2507" s="11">
        <v>43747.206423611111</v>
      </c>
      <c r="B2507" s="12" t="str">
        <f>HYPERLINK("https://twitter.com/Tevhidinanci21","@Tevhidinanci21")</f>
        <v>@Tevhidinanci21</v>
      </c>
      <c r="C2507" s="7" t="s">
        <v>15640</v>
      </c>
      <c r="D2507" s="7" t="s">
        <v>15641</v>
      </c>
      <c r="E2507" s="12" t="str">
        <f>HYPERLINK("https://twitter.com/Tevhidinanci21/status/1181901434310332418","1181901434310332418")</f>
        <v>1181901434310332418</v>
      </c>
      <c r="F2507" s="15"/>
      <c r="G2507" s="14" t="s">
        <v>15642</v>
      </c>
      <c r="H2507" s="8"/>
      <c r="I2507" s="15">
        <v>0</v>
      </c>
      <c r="J2507" s="15">
        <v>0</v>
      </c>
      <c r="K2507" s="12" t="str">
        <f>HYPERLINK("http://twitter.com/download/android","Twitter for Android")</f>
        <v>Twitter for Android</v>
      </c>
      <c r="L2507" s="16">
        <v>147</v>
      </c>
      <c r="M2507" s="16">
        <v>349</v>
      </c>
      <c r="N2507" s="16">
        <v>0</v>
      </c>
      <c r="O2507" s="17"/>
      <c r="P2507" s="18">
        <v>43471.073738425926</v>
      </c>
      <c r="Q2507" s="7"/>
      <c r="R2507" s="7"/>
      <c r="S2507" s="7"/>
      <c r="T2507" s="8"/>
      <c r="U2507" s="19" t="str">
        <f>HYPERLINK("https://pbs.twimg.com/profile_images/1169669777817780229/YxdFAg-r.jpg","View")</f>
        <v>View</v>
      </c>
      <c r="V2507" s="8"/>
      <c r="W2507" s="8"/>
      <c r="X2507" s="8"/>
      <c r="Y2507" s="8"/>
      <c r="Z2507" s="8"/>
    </row>
    <row r="2508" spans="1:26" ht="12.75">
      <c r="A2508" s="11">
        <v>43747.206400462965</v>
      </c>
      <c r="B2508" s="12" t="str">
        <f>HYPERLINK("https://twitter.com/Mehmeta26855428","@Mehmeta26855428")</f>
        <v>@Mehmeta26855428</v>
      </c>
      <c r="C2508" s="7" t="s">
        <v>15643</v>
      </c>
      <c r="D2508" s="7" t="s">
        <v>160</v>
      </c>
      <c r="E2508" s="12" t="str">
        <f>HYPERLINK("https://twitter.com/Mehmeta26855428/status/1181901428580913154","1181901428580913154")</f>
        <v>1181901428580913154</v>
      </c>
      <c r="F2508" s="8"/>
      <c r="G2508" s="7"/>
      <c r="H2508" s="8"/>
      <c r="I2508" s="15">
        <v>0</v>
      </c>
      <c r="J2508" s="15">
        <v>0</v>
      </c>
      <c r="K2508" s="12" t="str">
        <f>HYPERLINK("http://twitter.com/download/android","Twitter for Android")</f>
        <v>Twitter for Android</v>
      </c>
      <c r="L2508" s="16">
        <v>0</v>
      </c>
      <c r="M2508" s="16">
        <v>0</v>
      </c>
      <c r="N2508" s="16">
        <v>0</v>
      </c>
      <c r="O2508" s="17"/>
      <c r="P2508" s="18">
        <v>43731.53123842593</v>
      </c>
      <c r="Q2508" s="7"/>
      <c r="R2508" s="7"/>
      <c r="S2508" s="15"/>
      <c r="T2508" s="8"/>
      <c r="U2508" s="20" t="s">
        <v>354</v>
      </c>
      <c r="V2508" s="8"/>
      <c r="W2508" s="8"/>
      <c r="X2508" s="8"/>
      <c r="Y2508" s="8"/>
      <c r="Z2508" s="8"/>
    </row>
    <row r="2509" spans="1:26" ht="12.75">
      <c r="A2509" s="11">
        <v>43747.206342592588</v>
      </c>
      <c r="B2509" s="12" t="str">
        <f>HYPERLINK("https://twitter.com/kronikReisci","@kronikReisci")</f>
        <v>@kronikReisci</v>
      </c>
      <c r="C2509" s="7" t="s">
        <v>15644</v>
      </c>
      <c r="D2509" s="7" t="s">
        <v>15645</v>
      </c>
      <c r="E2509" s="12" t="str">
        <f>HYPERLINK("https://twitter.com/kronikReisci/status/1181901407911366656","1181901407911366656")</f>
        <v>1181901407911366656</v>
      </c>
      <c r="F2509" s="8"/>
      <c r="G2509" s="7"/>
      <c r="H2509" s="8"/>
      <c r="I2509" s="15">
        <v>0</v>
      </c>
      <c r="J2509" s="15">
        <v>0</v>
      </c>
      <c r="K2509" s="12" t="str">
        <f>HYPERLINK("http://twitter.com/download/android","Twitter for Android")</f>
        <v>Twitter for Android</v>
      </c>
      <c r="L2509" s="16">
        <v>249</v>
      </c>
      <c r="M2509" s="16">
        <v>352</v>
      </c>
      <c r="N2509" s="16">
        <v>0</v>
      </c>
      <c r="O2509" s="17"/>
      <c r="P2509" s="18">
        <v>43645.258958333332</v>
      </c>
      <c r="Q2509" s="7"/>
      <c r="R2509" s="7"/>
      <c r="S2509" s="7"/>
      <c r="T2509" s="8"/>
      <c r="U2509" s="19" t="str">
        <f>HYPERLINK("https://pbs.twimg.com/profile_images/1181895636863598593/UnXgLeVb.jpg","View")</f>
        <v>View</v>
      </c>
      <c r="V2509" s="8"/>
      <c r="W2509" s="8"/>
      <c r="X2509" s="8"/>
      <c r="Y2509" s="8"/>
      <c r="Z2509" s="8"/>
    </row>
    <row r="2510" spans="1:26" ht="12.75">
      <c r="A2510" s="11">
        <v>43747.20621527778</v>
      </c>
      <c r="B2510" s="12" t="str">
        <f>HYPERLINK("https://twitter.com/sebiha_eski","@sebiha_eski")</f>
        <v>@sebiha_eski</v>
      </c>
      <c r="C2510" s="7" t="s">
        <v>15646</v>
      </c>
      <c r="D2510" s="7" t="s">
        <v>15647</v>
      </c>
      <c r="E2510" s="12" t="str">
        <f>HYPERLINK("https://twitter.com/sebiha_eski/status/1181901361786564614","1181901361786564614")</f>
        <v>1181901361786564614</v>
      </c>
      <c r="F2510" s="8"/>
      <c r="G2510" s="14" t="s">
        <v>15648</v>
      </c>
      <c r="H2510" s="8"/>
      <c r="I2510" s="15">
        <v>0</v>
      </c>
      <c r="J2510" s="15">
        <v>0</v>
      </c>
      <c r="K2510" s="12" t="str">
        <f>HYPERLINK("http://twitter.com","Twitter Web Client")</f>
        <v>Twitter Web Client</v>
      </c>
      <c r="L2510" s="16">
        <v>1</v>
      </c>
      <c r="M2510" s="16">
        <v>0</v>
      </c>
      <c r="N2510" s="16">
        <v>0</v>
      </c>
      <c r="O2510" s="17"/>
      <c r="P2510" s="18">
        <v>43703.310555555552</v>
      </c>
      <c r="Q2510" s="7" t="s">
        <v>4442</v>
      </c>
      <c r="R2510" s="7" t="s">
        <v>15649</v>
      </c>
      <c r="S2510" s="7"/>
      <c r="T2510" s="8"/>
      <c r="U2510" s="19" t="str">
        <f>HYPERLINK("https://pbs.twimg.com/profile_images/1166787319552237568/67En-h8N.jpg","View")</f>
        <v>View</v>
      </c>
      <c r="V2510" s="8"/>
      <c r="W2510" s="8"/>
      <c r="X2510" s="8"/>
      <c r="Y2510" s="8"/>
      <c r="Z2510" s="8"/>
    </row>
    <row r="2511" spans="1:26" ht="12.75">
      <c r="A2511" s="11">
        <v>43747.20621527778</v>
      </c>
      <c r="B2511" s="12" t="str">
        <f>HYPERLINK("https://twitter.com/intoxicatingre1","@intoxicatingre1")</f>
        <v>@intoxicatingre1</v>
      </c>
      <c r="C2511" s="7" t="s">
        <v>15650</v>
      </c>
      <c r="D2511" s="7" t="s">
        <v>15651</v>
      </c>
      <c r="E2511" s="12" t="str">
        <f>HYPERLINK("https://twitter.com/intoxicatingre1/status/1181901360863809538","1181901360863809538")</f>
        <v>1181901360863809538</v>
      </c>
      <c r="F2511" s="8"/>
      <c r="G2511" s="7"/>
      <c r="H2511" s="8"/>
      <c r="I2511" s="15">
        <v>0</v>
      </c>
      <c r="J2511" s="15">
        <v>0</v>
      </c>
      <c r="K2511" s="12" t="str">
        <f>HYPERLINK("http://twitter.com/download/android","Twitter for Android")</f>
        <v>Twitter for Android</v>
      </c>
      <c r="L2511" s="16">
        <v>3</v>
      </c>
      <c r="M2511" s="16">
        <v>9</v>
      </c>
      <c r="N2511" s="16">
        <v>0</v>
      </c>
      <c r="O2511" s="17"/>
      <c r="P2511" s="18">
        <v>43554.619131944448</v>
      </c>
      <c r="Q2511" s="7"/>
      <c r="R2511" s="7" t="s">
        <v>15652</v>
      </c>
      <c r="S2511" s="7"/>
      <c r="T2511" s="8"/>
      <c r="U2511" s="19" t="str">
        <f>HYPERLINK("https://pbs.twimg.com/profile_images/1112110379809820673/uyJ52mYy.jpg","View")</f>
        <v>View</v>
      </c>
      <c r="V2511" s="8"/>
      <c r="W2511" s="8"/>
      <c r="X2511" s="8"/>
      <c r="Y2511" s="8"/>
      <c r="Z2511" s="8"/>
    </row>
    <row r="2512" spans="1:26" ht="12.75">
      <c r="A2512" s="11">
        <v>43747.206203703703</v>
      </c>
      <c r="B2512" s="12" t="str">
        <f>HYPERLINK("https://twitter.com/RemziOren","@RemziOren")</f>
        <v>@RemziOren</v>
      </c>
      <c r="C2512" s="7" t="s">
        <v>15653</v>
      </c>
      <c r="D2512" s="7" t="s">
        <v>15654</v>
      </c>
      <c r="E2512" s="12" t="str">
        <f>HYPERLINK("https://twitter.com/RemziOren/status/1181901357277687808","1181901357277687808")</f>
        <v>1181901357277687808</v>
      </c>
      <c r="F2512" s="14" t="s">
        <v>1500</v>
      </c>
      <c r="G2512" s="14" t="s">
        <v>1502</v>
      </c>
      <c r="H2512" s="8"/>
      <c r="I2512" s="15">
        <v>0</v>
      </c>
      <c r="J2512" s="15">
        <v>0</v>
      </c>
      <c r="K2512" s="12" t="str">
        <f>HYPERLINK("http://twitter.com/download/android","Twitter for Android")</f>
        <v>Twitter for Android</v>
      </c>
      <c r="L2512" s="16">
        <v>124</v>
      </c>
      <c r="M2512" s="16">
        <v>508</v>
      </c>
      <c r="N2512" s="16">
        <v>1</v>
      </c>
      <c r="O2512" s="17"/>
      <c r="P2512" s="18">
        <v>40722.393773148149</v>
      </c>
      <c r="Q2512" s="7"/>
      <c r="R2512" s="7" t="s">
        <v>15655</v>
      </c>
      <c r="S2512" s="7"/>
      <c r="T2512" s="8"/>
      <c r="U2512" s="19" t="str">
        <f>HYPERLINK("https://pbs.twimg.com/profile_images/881793222779043840/h_ohqgx3.jpg","View")</f>
        <v>View</v>
      </c>
      <c r="V2512" s="8"/>
      <c r="W2512" s="8"/>
      <c r="X2512" s="8"/>
      <c r="Y2512" s="8"/>
      <c r="Z2512" s="8"/>
    </row>
    <row r="2513" spans="1:26" ht="12.75">
      <c r="A2513" s="11">
        <v>43747.20612268518</v>
      </c>
      <c r="B2513" s="12" t="str">
        <f>HYPERLINK("https://twitter.com/babaninoglu6134","@babaninoglu6134")</f>
        <v>@babaninoglu6134</v>
      </c>
      <c r="C2513" s="15" t="s">
        <v>15656</v>
      </c>
      <c r="D2513" s="7" t="s">
        <v>15657</v>
      </c>
      <c r="E2513" s="12" t="str">
        <f>HYPERLINK("https://twitter.com/babaninoglu6134/status/1181901327074549761","1181901327074549761")</f>
        <v>1181901327074549761</v>
      </c>
      <c r="F2513" s="8"/>
      <c r="G2513" s="15"/>
      <c r="H2513" s="8"/>
      <c r="I2513" s="15">
        <v>0</v>
      </c>
      <c r="J2513" s="15">
        <v>0</v>
      </c>
      <c r="K2513" s="12" t="str">
        <f>HYPERLINK("http://twitter.com/download/android","Twitter for Android")</f>
        <v>Twitter for Android</v>
      </c>
      <c r="L2513" s="16">
        <v>1195</v>
      </c>
      <c r="M2513" s="16">
        <v>1514</v>
      </c>
      <c r="N2513" s="16">
        <v>2</v>
      </c>
      <c r="O2513" s="17"/>
      <c r="P2513" s="18">
        <v>42287.258344907408</v>
      </c>
      <c r="Q2513" s="7" t="s">
        <v>200</v>
      </c>
      <c r="R2513" s="7" t="s">
        <v>15658</v>
      </c>
      <c r="S2513" s="15"/>
      <c r="T2513" s="8"/>
      <c r="U2513" s="19" t="str">
        <f>HYPERLINK("https://pbs.twimg.com/profile_images/1150883745878216704/9CZGFZtc.jpg","View")</f>
        <v>View</v>
      </c>
      <c r="V2513" s="8"/>
      <c r="W2513" s="8"/>
      <c r="X2513" s="8"/>
      <c r="Y2513" s="8"/>
      <c r="Z2513" s="8"/>
    </row>
    <row r="2514" spans="1:26" ht="12.75">
      <c r="A2514" s="11">
        <v>43747.206099537041</v>
      </c>
      <c r="B2514" s="12" t="str">
        <f>HYPERLINK("https://twitter.com/gercklernpesnde","@gercklernpesnde")</f>
        <v>@gercklernpesnde</v>
      </c>
      <c r="C2514" s="7" t="s">
        <v>15659</v>
      </c>
      <c r="D2514" s="7" t="s">
        <v>15660</v>
      </c>
      <c r="E2514" s="12" t="str">
        <f>HYPERLINK("https://twitter.com/gercklernpesnde/status/1181901315833827329","1181901315833827329")</f>
        <v>1181901315833827329</v>
      </c>
      <c r="F2514" s="8"/>
      <c r="G2514" s="7"/>
      <c r="H2514" s="8"/>
      <c r="I2514" s="15">
        <v>0</v>
      </c>
      <c r="J2514" s="15">
        <v>0</v>
      </c>
      <c r="K2514" s="12" t="str">
        <f>HYPERLINK("http://twitter.com/download/iphone","Twitter for iPhone")</f>
        <v>Twitter for iPhone</v>
      </c>
      <c r="L2514" s="16">
        <v>15</v>
      </c>
      <c r="M2514" s="16">
        <v>268</v>
      </c>
      <c r="N2514" s="16">
        <v>0</v>
      </c>
      <c r="O2514" s="17"/>
      <c r="P2514" s="18">
        <v>43558.584097222221</v>
      </c>
      <c r="Q2514" s="7"/>
      <c r="R2514" s="7" t="s">
        <v>15661</v>
      </c>
      <c r="S2514" s="7"/>
      <c r="T2514" s="8"/>
      <c r="U2514" s="19" t="str">
        <f>HYPERLINK("https://pbs.twimg.com/profile_images/1164213897332711424/N6iDSL5N.jpg","View")</f>
        <v>View</v>
      </c>
      <c r="V2514" s="8"/>
      <c r="W2514" s="8"/>
      <c r="X2514" s="8"/>
      <c r="Y2514" s="8"/>
      <c r="Z2514" s="8"/>
    </row>
    <row r="2515" spans="1:26" ht="12.75">
      <c r="A2515" s="11">
        <v>43747.206076388888</v>
      </c>
      <c r="B2515" s="12" t="str">
        <f>HYPERLINK("https://twitter.com/batuhankaragulx","@batuhankaragulx")</f>
        <v>@batuhankaragulx</v>
      </c>
      <c r="C2515" s="7" t="s">
        <v>15662</v>
      </c>
      <c r="D2515" s="7" t="s">
        <v>15663</v>
      </c>
      <c r="E2515" s="12" t="str">
        <f>HYPERLINK("https://twitter.com/batuhankaragulx/status/1181901310251143168","1181901310251143168")</f>
        <v>1181901310251143168</v>
      </c>
      <c r="F2515" s="8"/>
      <c r="G2515" s="14" t="s">
        <v>15664</v>
      </c>
      <c r="H2515" s="8"/>
      <c r="I2515" s="15">
        <v>0</v>
      </c>
      <c r="J2515" s="15">
        <v>0</v>
      </c>
      <c r="K2515" s="12" t="str">
        <f>HYPERLINK("http://twitter.com/download/iphone","Twitter for iPhone")</f>
        <v>Twitter for iPhone</v>
      </c>
      <c r="L2515" s="16">
        <v>1124</v>
      </c>
      <c r="M2515" s="16">
        <v>828</v>
      </c>
      <c r="N2515" s="16">
        <v>0</v>
      </c>
      <c r="O2515" s="17"/>
      <c r="P2515" s="18">
        <v>41477.172094907408</v>
      </c>
      <c r="Q2515" s="7" t="s">
        <v>2225</v>
      </c>
      <c r="R2515" s="7" t="s">
        <v>15665</v>
      </c>
      <c r="S2515" s="7"/>
      <c r="T2515" s="8"/>
      <c r="U2515" s="19" t="str">
        <f>HYPERLINK("https://pbs.twimg.com/profile_images/1172244289985875972/es29JUqu.jpg","View")</f>
        <v>View</v>
      </c>
      <c r="V2515" s="8"/>
      <c r="W2515" s="8"/>
      <c r="X2515" s="8"/>
      <c r="Y2515" s="8"/>
      <c r="Z2515" s="8"/>
    </row>
    <row r="2516" spans="1:26" ht="12.75">
      <c r="A2516" s="11">
        <v>43747.206076388888</v>
      </c>
      <c r="B2516" s="12" t="str">
        <f>HYPERLINK("https://twitter.com/ResBoge","@ResBoge")</f>
        <v>@ResBoge</v>
      </c>
      <c r="C2516" s="7" t="s">
        <v>15666</v>
      </c>
      <c r="D2516" s="7" t="s">
        <v>15667</v>
      </c>
      <c r="E2516" s="12" t="str">
        <f>HYPERLINK("https://twitter.com/ResBoge/status/1181901308493737985","1181901308493737985")</f>
        <v>1181901308493737985</v>
      </c>
      <c r="F2516" s="8"/>
      <c r="G2516" s="14" t="s">
        <v>15668</v>
      </c>
      <c r="H2516" s="8"/>
      <c r="I2516" s="15">
        <v>0</v>
      </c>
      <c r="J2516" s="15">
        <v>0</v>
      </c>
      <c r="K2516" s="12" t="str">
        <f>HYPERLINK("http://twitter.com/download/android","Twitter for Android")</f>
        <v>Twitter for Android</v>
      </c>
      <c r="L2516" s="16">
        <v>166</v>
      </c>
      <c r="M2516" s="16">
        <v>193</v>
      </c>
      <c r="N2516" s="16">
        <v>0</v>
      </c>
      <c r="O2516" s="17"/>
      <c r="P2516" s="18">
        <v>43620.221099537041</v>
      </c>
      <c r="Q2516" s="7" t="s">
        <v>15051</v>
      </c>
      <c r="R2516" s="7" t="s">
        <v>15669</v>
      </c>
      <c r="S2516" s="7"/>
      <c r="T2516" s="8"/>
      <c r="U2516" s="19" t="str">
        <f>HYPERLINK("https://pbs.twimg.com/profile_images/1136166865137471488/R3yVjZug.jpg","View")</f>
        <v>View</v>
      </c>
      <c r="V2516" s="8"/>
      <c r="W2516" s="8"/>
      <c r="X2516" s="8"/>
      <c r="Y2516" s="8"/>
      <c r="Z2516" s="8"/>
    </row>
    <row r="2517" spans="1:26" ht="12.75">
      <c r="A2517" s="11">
        <v>43747.206064814818</v>
      </c>
      <c r="B2517" s="12" t="str">
        <f>HYPERLINK("https://twitter.com/nuraykaragoz06","@nuraykaragoz06")</f>
        <v>@nuraykaragoz06</v>
      </c>
      <c r="C2517" s="7" t="s">
        <v>15670</v>
      </c>
      <c r="D2517" s="7" t="s">
        <v>15671</v>
      </c>
      <c r="E2517" s="12" t="str">
        <f>HYPERLINK("https://twitter.com/nuraykaragoz06/status/1181901306203652096","1181901306203652096")</f>
        <v>1181901306203652096</v>
      </c>
      <c r="F2517" s="8"/>
      <c r="G2517" s="15"/>
      <c r="H2517" s="8"/>
      <c r="I2517" s="15">
        <v>0</v>
      </c>
      <c r="J2517" s="15">
        <v>0</v>
      </c>
      <c r="K2517" s="12" t="str">
        <f>HYPERLINK("http://twitter.com/download/android","Twitter for Android")</f>
        <v>Twitter for Android</v>
      </c>
      <c r="L2517" s="16">
        <v>5091</v>
      </c>
      <c r="M2517" s="16">
        <v>5690</v>
      </c>
      <c r="N2517" s="16">
        <v>1</v>
      </c>
      <c r="O2517" s="17"/>
      <c r="P2517" s="18">
        <v>42071.464803240742</v>
      </c>
      <c r="Q2517" s="7"/>
      <c r="R2517" s="7" t="s">
        <v>15672</v>
      </c>
      <c r="S2517" s="7"/>
      <c r="T2517" s="8"/>
      <c r="U2517" s="19" t="str">
        <f>HYPERLINK("https://pbs.twimg.com/profile_images/1181197201416085505/u5IGasnI.jpg","View")</f>
        <v>View</v>
      </c>
      <c r="V2517" s="8"/>
      <c r="W2517" s="8"/>
      <c r="X2517" s="8"/>
      <c r="Y2517" s="8"/>
      <c r="Z2517" s="8"/>
    </row>
    <row r="2518" spans="1:26" ht="12.75">
      <c r="A2518" s="11">
        <v>43747.205983796295</v>
      </c>
      <c r="B2518" s="12" t="str">
        <f>HYPERLINK("https://twitter.com/pejmurde_ederiz","@pejmurde_ederiz")</f>
        <v>@pejmurde_ederiz</v>
      </c>
      <c r="C2518" s="7" t="s">
        <v>15673</v>
      </c>
      <c r="D2518" s="7" t="s">
        <v>15674</v>
      </c>
      <c r="E2518" s="12" t="str">
        <f>HYPERLINK("https://twitter.com/pejmurde_ederiz/status/1181901277766270977","1181901277766270977")</f>
        <v>1181901277766270977</v>
      </c>
      <c r="F2518" s="8"/>
      <c r="G2518" s="7"/>
      <c r="H2518" s="8"/>
      <c r="I2518" s="15">
        <v>0</v>
      </c>
      <c r="J2518" s="15">
        <v>0</v>
      </c>
      <c r="K2518" s="12" t="str">
        <f>HYPERLINK("http://twitter.com/download/iphone","Twitter for iPhone")</f>
        <v>Twitter for iPhone</v>
      </c>
      <c r="L2518" s="16">
        <v>4769</v>
      </c>
      <c r="M2518" s="16">
        <v>1611</v>
      </c>
      <c r="N2518" s="16">
        <v>3</v>
      </c>
      <c r="O2518" s="17"/>
      <c r="P2518" s="18">
        <v>42948.271365740744</v>
      </c>
      <c r="Q2518" s="7"/>
      <c r="R2518" s="7" t="s">
        <v>15675</v>
      </c>
      <c r="S2518" s="7"/>
      <c r="T2518" s="8"/>
      <c r="U2518" s="19" t="str">
        <f>HYPERLINK("https://pbs.twimg.com/profile_images/1181318082699988992/MQs8ylgK.jpg","View")</f>
        <v>View</v>
      </c>
      <c r="V2518" s="8"/>
      <c r="W2518" s="8"/>
      <c r="X2518" s="8"/>
      <c r="Y2518" s="8"/>
      <c r="Z2518" s="8"/>
    </row>
    <row r="2519" spans="1:26" ht="12.75">
      <c r="A2519" s="11">
        <v>43747.205925925926</v>
      </c>
      <c r="B2519" s="12" t="str">
        <f>HYPERLINK("https://twitter.com/Haberler12Com","@Haberler12Com")</f>
        <v>@Haberler12Com</v>
      </c>
      <c r="C2519" s="7" t="s">
        <v>15676</v>
      </c>
      <c r="D2519" s="7" t="s">
        <v>15677</v>
      </c>
      <c r="E2519" s="12" t="str">
        <f>HYPERLINK("https://twitter.com/Haberler12Com/status/1181901253095444480","1181901253095444480")</f>
        <v>1181901253095444480</v>
      </c>
      <c r="F2519" s="14" t="s">
        <v>15678</v>
      </c>
      <c r="G2519" s="7"/>
      <c r="H2519" s="8"/>
      <c r="I2519" s="15">
        <v>1</v>
      </c>
      <c r="J2519" s="15">
        <v>1</v>
      </c>
      <c r="K2519" s="12" t="str">
        <f>HYPERLINK("https://mobile.twitter.com","Twitter Web App")</f>
        <v>Twitter Web App</v>
      </c>
      <c r="L2519" s="16">
        <v>1007</v>
      </c>
      <c r="M2519" s="16">
        <v>1333</v>
      </c>
      <c r="N2519" s="16">
        <v>3</v>
      </c>
      <c r="O2519" s="17"/>
      <c r="P2519" s="18">
        <v>42396.041145833333</v>
      </c>
      <c r="Q2519" s="7" t="s">
        <v>313</v>
      </c>
      <c r="R2519" s="7" t="s">
        <v>15679</v>
      </c>
      <c r="S2519" s="14" t="s">
        <v>15680</v>
      </c>
      <c r="T2519" s="8"/>
      <c r="U2519" s="19" t="str">
        <f>HYPERLINK("https://pbs.twimg.com/profile_images/695546849894100992/_2W1gtcL.jpg","View")</f>
        <v>View</v>
      </c>
      <c r="V2519" s="8"/>
      <c r="W2519" s="8"/>
      <c r="X2519" s="8"/>
      <c r="Y2519" s="8"/>
      <c r="Z2519" s="8"/>
    </row>
    <row r="2520" spans="1:26" ht="12.75">
      <c r="A2520" s="11">
        <v>43747.205914351856</v>
      </c>
      <c r="B2520" s="12" t="str">
        <f>HYPERLINK("https://twitter.com/NlfrAcar","@NlfrAcar")</f>
        <v>@NlfrAcar</v>
      </c>
      <c r="C2520" s="7" t="s">
        <v>15681</v>
      </c>
      <c r="D2520" s="7" t="s">
        <v>15682</v>
      </c>
      <c r="E2520" s="12" t="str">
        <f>HYPERLINK("https://twitter.com/NlfrAcar/status/1181901252030029824","1181901252030029824")</f>
        <v>1181901252030029824</v>
      </c>
      <c r="F2520" s="15"/>
      <c r="G2520" s="7"/>
      <c r="H2520" s="8"/>
      <c r="I2520" s="15">
        <v>0</v>
      </c>
      <c r="J2520" s="15">
        <v>0</v>
      </c>
      <c r="K2520" s="12" t="str">
        <f>HYPERLINK("http://twitter.com/download/iphone","Twitter for iPhone")</f>
        <v>Twitter for iPhone</v>
      </c>
      <c r="L2520" s="16">
        <v>776</v>
      </c>
      <c r="M2520" s="16">
        <v>753</v>
      </c>
      <c r="N2520" s="16">
        <v>0</v>
      </c>
      <c r="O2520" s="17"/>
      <c r="P2520" s="18">
        <v>40898.200706018521</v>
      </c>
      <c r="Q2520" s="7" t="s">
        <v>576</v>
      </c>
      <c r="R2520" s="7"/>
      <c r="S2520" s="15"/>
      <c r="T2520" s="8"/>
      <c r="U2520" s="19" t="str">
        <f>HYPERLINK("https://pbs.twimg.com/profile_images/1119324401340747776/t7JLPe9R.jpg","View")</f>
        <v>View</v>
      </c>
      <c r="V2520" s="8"/>
      <c r="W2520" s="8"/>
      <c r="X2520" s="8"/>
      <c r="Y2520" s="8"/>
      <c r="Z2520" s="8"/>
    </row>
    <row r="2521" spans="1:26" ht="12.75">
      <c r="A2521" s="11">
        <v>43747.205879629633</v>
      </c>
      <c r="B2521" s="12" t="str">
        <f>HYPERLINK("https://twitter.com/GulluKarakoca","@GulluKarakoca")</f>
        <v>@GulluKarakoca</v>
      </c>
      <c r="C2521" s="7" t="s">
        <v>15683</v>
      </c>
      <c r="D2521" s="7" t="s">
        <v>15684</v>
      </c>
      <c r="E2521" s="12" t="str">
        <f>HYPERLINK("https://twitter.com/GulluKarakoca/status/1181901239375806465","1181901239375806465")</f>
        <v>1181901239375806465</v>
      </c>
      <c r="F2521" s="8"/>
      <c r="G2521" s="14" t="s">
        <v>15685</v>
      </c>
      <c r="H2521" s="8"/>
      <c r="I2521" s="15">
        <v>0</v>
      </c>
      <c r="J2521" s="15">
        <v>0</v>
      </c>
      <c r="K2521" s="12" t="str">
        <f>HYPERLINK("http://twitter.com","Twitter Web Client")</f>
        <v>Twitter Web Client</v>
      </c>
      <c r="L2521" s="16">
        <v>6</v>
      </c>
      <c r="M2521" s="16">
        <v>0</v>
      </c>
      <c r="N2521" s="16">
        <v>1</v>
      </c>
      <c r="O2521" s="17"/>
      <c r="P2521" s="18">
        <v>43703.856481481482</v>
      </c>
      <c r="Q2521" s="7" t="s">
        <v>13727</v>
      </c>
      <c r="R2521" s="7" t="s">
        <v>15686</v>
      </c>
      <c r="S2521" s="7"/>
      <c r="T2521" s="8"/>
      <c r="U2521" s="19" t="str">
        <f>HYPERLINK("https://pbs.twimg.com/profile_images/1166789313960534017/fSV5tAYq.jpg","View")</f>
        <v>View</v>
      </c>
      <c r="V2521" s="8"/>
      <c r="W2521" s="8"/>
      <c r="X2521" s="8"/>
      <c r="Y2521" s="8"/>
      <c r="Z2521" s="8"/>
    </row>
    <row r="2522" spans="1:26" ht="12.75">
      <c r="A2522" s="11">
        <v>43747.205868055556</v>
      </c>
      <c r="B2522" s="12" t="str">
        <f>HYPERLINK("https://twitter.com/kocaaga_ragip","@kocaaga_ragip")</f>
        <v>@kocaaga_ragip</v>
      </c>
      <c r="C2522" s="7" t="s">
        <v>15687</v>
      </c>
      <c r="D2522" s="7" t="s">
        <v>13999</v>
      </c>
      <c r="E2522" s="12" t="str">
        <f>HYPERLINK("https://twitter.com/kocaaga_ragip/status/1181901235915513857","1181901235915513857")</f>
        <v>1181901235915513857</v>
      </c>
      <c r="F2522" s="8"/>
      <c r="G2522" s="15"/>
      <c r="H2522" s="8"/>
      <c r="I2522" s="15">
        <v>0</v>
      </c>
      <c r="J2522" s="15">
        <v>1</v>
      </c>
      <c r="K2522" s="12" t="str">
        <f>HYPERLINK("http://twitter.com/download/android","Twitter for Android")</f>
        <v>Twitter for Android</v>
      </c>
      <c r="L2522" s="16">
        <v>13</v>
      </c>
      <c r="M2522" s="16">
        <v>20</v>
      </c>
      <c r="N2522" s="16">
        <v>0</v>
      </c>
      <c r="O2522" s="17"/>
      <c r="P2522" s="18">
        <v>43714.859560185185</v>
      </c>
      <c r="Q2522" s="7"/>
      <c r="R2522" s="7"/>
      <c r="S2522" s="15"/>
      <c r="T2522" s="8"/>
      <c r="U2522" s="19" t="str">
        <f>HYPERLINK("https://pbs.twimg.com/profile_images/1181898384497623040/Jj5c49BA.jpg","View")</f>
        <v>View</v>
      </c>
      <c r="V2522" s="8"/>
      <c r="W2522" s="8"/>
      <c r="X2522" s="8"/>
      <c r="Y2522" s="8"/>
      <c r="Z2522" s="8"/>
    </row>
    <row r="2523" spans="1:26" ht="12.75">
      <c r="A2523" s="11">
        <v>43747.20584490741</v>
      </c>
      <c r="B2523" s="12" t="str">
        <f>HYPERLINK("https://twitter.com/YSungla","@YSungla")</f>
        <v>@YSungla</v>
      </c>
      <c r="C2523" s="7" t="s">
        <v>15688</v>
      </c>
      <c r="D2523" s="7" t="s">
        <v>15689</v>
      </c>
      <c r="E2523" s="12" t="str">
        <f>HYPERLINK("https://twitter.com/YSungla/status/1181901227342385158","1181901227342385158")</f>
        <v>1181901227342385158</v>
      </c>
      <c r="F2523" s="8"/>
      <c r="G2523" s="14" t="s">
        <v>15690</v>
      </c>
      <c r="H2523" s="8"/>
      <c r="I2523" s="15">
        <v>0</v>
      </c>
      <c r="J2523" s="15">
        <v>0</v>
      </c>
      <c r="K2523" s="12" t="str">
        <f>HYPERLINK("http://twitter.com/download/iphone","Twitter for iPhone")</f>
        <v>Twitter for iPhone</v>
      </c>
      <c r="L2523" s="16">
        <v>0</v>
      </c>
      <c r="M2523" s="16">
        <v>4</v>
      </c>
      <c r="N2523" s="16">
        <v>0</v>
      </c>
      <c r="O2523" s="17"/>
      <c r="P2523" s="18">
        <v>43747.164988425924</v>
      </c>
      <c r="Q2523" s="7" t="s">
        <v>668</v>
      </c>
      <c r="R2523" s="7" t="s">
        <v>6539</v>
      </c>
      <c r="S2523" s="7"/>
      <c r="T2523" s="8"/>
      <c r="U2523" s="19" t="str">
        <f>HYPERLINK("https://pbs.twimg.com/profile_images/1181886851428356096/Ueu-AEnA.jpg","View")</f>
        <v>View</v>
      </c>
      <c r="V2523" s="8"/>
      <c r="W2523" s="8"/>
      <c r="X2523" s="8"/>
      <c r="Y2523" s="8"/>
      <c r="Z2523" s="8"/>
    </row>
    <row r="2524" spans="1:26" ht="12.75">
      <c r="A2524" s="11">
        <v>43747.205821759257</v>
      </c>
      <c r="B2524" s="12" t="str">
        <f>HYPERLINK("https://twitter.com/elifnes","@elifnes")</f>
        <v>@elifnes</v>
      </c>
      <c r="C2524" s="7" t="s">
        <v>15691</v>
      </c>
      <c r="D2524" s="7" t="s">
        <v>15692</v>
      </c>
      <c r="E2524" s="12" t="str">
        <f>HYPERLINK("https://twitter.com/elifnes/status/1181901219247398913","1181901219247398913")</f>
        <v>1181901219247398913</v>
      </c>
      <c r="F2524" s="8"/>
      <c r="G2524" s="7"/>
      <c r="H2524" s="8"/>
      <c r="I2524" s="15">
        <v>0</v>
      </c>
      <c r="J2524" s="15">
        <v>0</v>
      </c>
      <c r="K2524" s="12" t="str">
        <f>HYPERLINK("http://twitter.com/download/android","Twitter for Android")</f>
        <v>Twitter for Android</v>
      </c>
      <c r="L2524" s="16">
        <v>205</v>
      </c>
      <c r="M2524" s="16">
        <v>397</v>
      </c>
      <c r="N2524" s="16">
        <v>0</v>
      </c>
      <c r="O2524" s="17"/>
      <c r="P2524" s="18">
        <v>40741.620115740741</v>
      </c>
      <c r="Q2524" s="7"/>
      <c r="R2524" s="7" t="s">
        <v>15693</v>
      </c>
      <c r="S2524" s="15"/>
      <c r="T2524" s="8"/>
      <c r="U2524" s="19" t="str">
        <f>HYPERLINK("https://pbs.twimg.com/profile_images/1081983553364205575/Q2SJDVAj.jpg","View")</f>
        <v>View</v>
      </c>
      <c r="V2524" s="8"/>
      <c r="W2524" s="8"/>
      <c r="X2524" s="8"/>
      <c r="Y2524" s="8"/>
      <c r="Z2524" s="8"/>
    </row>
    <row r="2525" spans="1:26" ht="12.75">
      <c r="A2525" s="11">
        <v>43747.20579861111</v>
      </c>
      <c r="B2525" s="12" t="str">
        <f>HYPERLINK("https://twitter.com/CCN89839768","@CCN89839768")</f>
        <v>@CCN89839768</v>
      </c>
      <c r="C2525" s="7" t="s">
        <v>15694</v>
      </c>
      <c r="D2525" s="7" t="s">
        <v>15695</v>
      </c>
      <c r="E2525" s="12" t="str">
        <f>HYPERLINK("https://twitter.com/CCN89839768/status/1181901208610656258","1181901208610656258")</f>
        <v>1181901208610656258</v>
      </c>
      <c r="F2525" s="14" t="s">
        <v>15696</v>
      </c>
      <c r="G2525" s="15"/>
      <c r="H2525" s="8"/>
      <c r="I2525" s="15">
        <v>0</v>
      </c>
      <c r="J2525" s="15">
        <v>1</v>
      </c>
      <c r="K2525" s="12" t="str">
        <f>HYPERLINK("http://twitter.com/download/android","Twitter for Android")</f>
        <v>Twitter for Android</v>
      </c>
      <c r="L2525" s="16">
        <v>25</v>
      </c>
      <c r="M2525" s="16">
        <v>202</v>
      </c>
      <c r="N2525" s="16">
        <v>0</v>
      </c>
      <c r="O2525" s="17"/>
      <c r="P2525" s="18">
        <v>43613.355069444442</v>
      </c>
      <c r="Q2525" s="7"/>
      <c r="R2525" s="7" t="s">
        <v>15697</v>
      </c>
      <c r="S2525" s="7"/>
      <c r="T2525" s="8"/>
      <c r="U2525" s="19" t="str">
        <f>HYPERLINK("https://pbs.twimg.com/profile_images/1155869113090269185/V-qAHv73.jpg","View")</f>
        <v>View</v>
      </c>
      <c r="V2525" s="8"/>
      <c r="W2525" s="8"/>
      <c r="X2525" s="8"/>
      <c r="Y2525" s="8"/>
      <c r="Z2525" s="8"/>
    </row>
    <row r="2526" spans="1:26" ht="12.75">
      <c r="A2526" s="11">
        <v>43747.205752314811</v>
      </c>
      <c r="B2526" s="12" t="str">
        <f>HYPERLINK("https://twitter.com/ErsunGeneral","@ErsunGeneral")</f>
        <v>@ErsunGeneral</v>
      </c>
      <c r="C2526" s="7" t="s">
        <v>15698</v>
      </c>
      <c r="D2526" s="7" t="s">
        <v>15699</v>
      </c>
      <c r="E2526" s="12" t="str">
        <f>HYPERLINK("https://twitter.com/ErsunGeneral/status/1181901192500273162","1181901192500273162")</f>
        <v>1181901192500273162</v>
      </c>
      <c r="F2526" s="15"/>
      <c r="G2526" s="14" t="s">
        <v>15700</v>
      </c>
      <c r="H2526" s="8"/>
      <c r="I2526" s="15">
        <v>0</v>
      </c>
      <c r="J2526" s="15">
        <v>0</v>
      </c>
      <c r="K2526" s="12" t="str">
        <f>HYPERLINK("http://twitter.com/download/iphone","Twitter for iPhone")</f>
        <v>Twitter for iPhone</v>
      </c>
      <c r="L2526" s="16">
        <v>14</v>
      </c>
      <c r="M2526" s="16">
        <v>93</v>
      </c>
      <c r="N2526" s="16">
        <v>0</v>
      </c>
      <c r="O2526" s="17"/>
      <c r="P2526" s="18">
        <v>43449.228252314817</v>
      </c>
      <c r="Q2526" s="7"/>
      <c r="R2526" s="7" t="s">
        <v>15701</v>
      </c>
      <c r="S2526" s="7"/>
      <c r="T2526" s="8"/>
      <c r="U2526" s="19" t="str">
        <f>HYPERLINK("https://pbs.twimg.com/profile_images/1073934287513227265/2AcT-CtG.jpg","View")</f>
        <v>View</v>
      </c>
      <c r="V2526" s="8"/>
      <c r="W2526" s="8"/>
      <c r="X2526" s="8"/>
      <c r="Y2526" s="8"/>
      <c r="Z2526" s="8"/>
    </row>
    <row r="2527" spans="1:26" ht="12.75">
      <c r="A2527" s="11">
        <v>43747.205694444448</v>
      </c>
      <c r="B2527" s="12" t="str">
        <f>HYPERLINK("https://twitter.com/gulerenesss","@gulerenesss")</f>
        <v>@gulerenesss</v>
      </c>
      <c r="C2527" s="7" t="s">
        <v>6045</v>
      </c>
      <c r="D2527" s="7" t="s">
        <v>8731</v>
      </c>
      <c r="E2527" s="12" t="str">
        <f>HYPERLINK("https://twitter.com/gulerenesss/status/1181901172321456128","1181901172321456128")</f>
        <v>1181901172321456128</v>
      </c>
      <c r="F2527" s="7"/>
      <c r="G2527" s="14" t="s">
        <v>15702</v>
      </c>
      <c r="H2527" s="8"/>
      <c r="I2527" s="15">
        <v>0</v>
      </c>
      <c r="J2527" s="15">
        <v>0</v>
      </c>
      <c r="K2527" s="12" t="str">
        <f>HYPERLINK("http://twitter.com/download/iphone","Twitter for iPhone")</f>
        <v>Twitter for iPhone</v>
      </c>
      <c r="L2527" s="16">
        <v>263</v>
      </c>
      <c r="M2527" s="16">
        <v>269</v>
      </c>
      <c r="N2527" s="16">
        <v>0</v>
      </c>
      <c r="O2527" s="17"/>
      <c r="P2527" s="18">
        <v>43605.182384259257</v>
      </c>
      <c r="Q2527" s="7" t="s">
        <v>313</v>
      </c>
      <c r="R2527" s="7" t="s">
        <v>15703</v>
      </c>
      <c r="S2527" s="15"/>
      <c r="T2527" s="8"/>
      <c r="U2527" s="19" t="str">
        <f>HYPERLINK("https://pbs.twimg.com/profile_images/1180648538130337793/h-95NjjM.jpg","View")</f>
        <v>View</v>
      </c>
      <c r="V2527" s="8"/>
      <c r="W2527" s="8"/>
      <c r="X2527" s="8"/>
      <c r="Y2527" s="8"/>
      <c r="Z2527" s="8"/>
    </row>
    <row r="2528" spans="1:26" ht="12.75">
      <c r="A2528" s="11">
        <v>43747.205648148149</v>
      </c>
      <c r="B2528" s="12" t="str">
        <f>HYPERLINK("https://twitter.com/byzt_omer","@byzt_omer")</f>
        <v>@byzt_omer</v>
      </c>
      <c r="C2528" s="7" t="s">
        <v>15704</v>
      </c>
      <c r="D2528" s="7" t="s">
        <v>15705</v>
      </c>
      <c r="E2528" s="12" t="str">
        <f>HYPERLINK("https://twitter.com/byzt_omer/status/1181901152855773184","1181901152855773184")</f>
        <v>1181901152855773184</v>
      </c>
      <c r="F2528" s="8"/>
      <c r="G2528" s="14" t="s">
        <v>15706</v>
      </c>
      <c r="H2528" s="8"/>
      <c r="I2528" s="15">
        <v>0</v>
      </c>
      <c r="J2528" s="15">
        <v>0</v>
      </c>
      <c r="K2528" s="12" t="str">
        <f>HYPERLINK("https://mobile.twitter.com","Twitter Web App")</f>
        <v>Twitter Web App</v>
      </c>
      <c r="L2528" s="16">
        <v>176</v>
      </c>
      <c r="M2528" s="16">
        <v>181</v>
      </c>
      <c r="N2528" s="16">
        <v>0</v>
      </c>
      <c r="O2528" s="17"/>
      <c r="P2528" s="18">
        <v>40339.625289351854</v>
      </c>
      <c r="Q2528" s="7"/>
      <c r="R2528" s="7" t="s">
        <v>15707</v>
      </c>
      <c r="S2528" s="7"/>
      <c r="T2528" s="8"/>
      <c r="U2528" s="19" t="str">
        <f>HYPERLINK("https://pbs.twimg.com/profile_images/539835237803773952/Yk0MoMgn.jpeg","View")</f>
        <v>View</v>
      </c>
      <c r="V2528" s="8"/>
      <c r="W2528" s="8"/>
      <c r="X2528" s="8"/>
      <c r="Y2528" s="8"/>
      <c r="Z2528" s="8"/>
    </row>
    <row r="2529" spans="1:26" ht="12.75">
      <c r="A2529" s="11">
        <v>43747.205613425926</v>
      </c>
      <c r="B2529" s="12" t="str">
        <f>HYPERLINK("https://twitter.com/laikbozucu","@laikbozucu")</f>
        <v>@laikbozucu</v>
      </c>
      <c r="C2529" s="7" t="s">
        <v>15708</v>
      </c>
      <c r="D2529" s="7" t="s">
        <v>15709</v>
      </c>
      <c r="E2529" s="12" t="str">
        <f>HYPERLINK("https://twitter.com/laikbozucu/status/1181901143674441728","1181901143674441728")</f>
        <v>1181901143674441728</v>
      </c>
      <c r="F2529" s="8"/>
      <c r="G2529" s="14" t="s">
        <v>15710</v>
      </c>
      <c r="H2529" s="8"/>
      <c r="I2529" s="15">
        <v>0</v>
      </c>
      <c r="J2529" s="15">
        <v>0</v>
      </c>
      <c r="K2529" s="12" t="str">
        <f>HYPERLINK("http://twitter.com/download/iphone","Twitter for iPhone")</f>
        <v>Twitter for iPhone</v>
      </c>
      <c r="L2529" s="16">
        <v>12337</v>
      </c>
      <c r="M2529" s="16">
        <v>521</v>
      </c>
      <c r="N2529" s="16">
        <v>11</v>
      </c>
      <c r="O2529" s="17"/>
      <c r="P2529" s="18">
        <v>42574.279803240745</v>
      </c>
      <c r="Q2529" s="7" t="s">
        <v>287</v>
      </c>
      <c r="R2529" s="7" t="s">
        <v>15711</v>
      </c>
      <c r="S2529" s="15"/>
      <c r="T2529" s="8"/>
      <c r="U2529" s="19" t="str">
        <f>HYPERLINK("https://pbs.twimg.com/profile_images/887623853417148416/mNnkbiyo.jpg","View")</f>
        <v>View</v>
      </c>
      <c r="V2529" s="8"/>
      <c r="W2529" s="8"/>
      <c r="X2529" s="8"/>
      <c r="Y2529" s="8"/>
      <c r="Z2529" s="8"/>
    </row>
    <row r="2530" spans="1:26" ht="12.75">
      <c r="A2530" s="11">
        <v>43747.205613425926</v>
      </c>
      <c r="B2530" s="12" t="str">
        <f>HYPERLINK("https://twitter.com/safakyilmaz28","@safakyilmaz28")</f>
        <v>@safakyilmaz28</v>
      </c>
      <c r="C2530" s="7" t="s">
        <v>15712</v>
      </c>
      <c r="D2530" s="7" t="s">
        <v>15713</v>
      </c>
      <c r="E2530" s="12" t="str">
        <f>HYPERLINK("https://twitter.com/safakyilmaz28/status/1181901141904384002","1181901141904384002")</f>
        <v>1181901141904384002</v>
      </c>
      <c r="F2530" s="8"/>
      <c r="G2530" s="14" t="s">
        <v>15714</v>
      </c>
      <c r="H2530" s="8"/>
      <c r="I2530" s="15">
        <v>0</v>
      </c>
      <c r="J2530" s="15">
        <v>0</v>
      </c>
      <c r="K2530" s="12" t="str">
        <f>HYPERLINK("http://twitter.com/download/android","Twitter for Android")</f>
        <v>Twitter for Android</v>
      </c>
      <c r="L2530" s="16">
        <v>53</v>
      </c>
      <c r="M2530" s="16">
        <v>131</v>
      </c>
      <c r="N2530" s="16">
        <v>0</v>
      </c>
      <c r="O2530" s="17"/>
      <c r="P2530" s="18">
        <v>42623.384155092594</v>
      </c>
      <c r="Q2530" s="7" t="s">
        <v>15715</v>
      </c>
      <c r="R2530" s="7" t="s">
        <v>15716</v>
      </c>
      <c r="S2530" s="7"/>
      <c r="T2530" s="8"/>
      <c r="U2530" s="19" t="str">
        <f>HYPERLINK("https://pbs.twimg.com/profile_images/1133891835724783616/SPt94qR_.jpg","View")</f>
        <v>View</v>
      </c>
      <c r="V2530" s="8"/>
      <c r="W2530" s="8"/>
      <c r="X2530" s="8"/>
      <c r="Y2530" s="8"/>
      <c r="Z2530" s="8"/>
    </row>
    <row r="2531" spans="1:26" ht="12.75">
      <c r="A2531" s="11">
        <v>43747.205601851849</v>
      </c>
      <c r="B2531" s="12" t="str">
        <f>HYPERLINK("https://twitter.com/selma_bayan","@selma_bayan")</f>
        <v>@selma_bayan</v>
      </c>
      <c r="C2531" s="7" t="s">
        <v>15717</v>
      </c>
      <c r="D2531" s="7" t="s">
        <v>15718</v>
      </c>
      <c r="E2531" s="12" t="str">
        <f>HYPERLINK("https://twitter.com/selma_bayan/status/1181901139303944197","1181901139303944197")</f>
        <v>1181901139303944197</v>
      </c>
      <c r="F2531" s="8"/>
      <c r="G2531" s="14" t="s">
        <v>15719</v>
      </c>
      <c r="H2531" s="8"/>
      <c r="I2531" s="15">
        <v>0</v>
      </c>
      <c r="J2531" s="15">
        <v>0</v>
      </c>
      <c r="K2531" s="12" t="str">
        <f>HYPERLINK("http://twitter.com/download/android","Twitter for Android")</f>
        <v>Twitter for Android</v>
      </c>
      <c r="L2531" s="16">
        <v>196</v>
      </c>
      <c r="M2531" s="16">
        <v>260</v>
      </c>
      <c r="N2531" s="16">
        <v>0</v>
      </c>
      <c r="O2531" s="17"/>
      <c r="P2531" s="18">
        <v>43738.547037037039</v>
      </c>
      <c r="Q2531" s="7" t="s">
        <v>1748</v>
      </c>
      <c r="R2531" s="7" t="s">
        <v>15720</v>
      </c>
      <c r="S2531" s="15"/>
      <c r="T2531" s="8"/>
      <c r="U2531" s="19" t="str">
        <f>HYPERLINK("https://pbs.twimg.com/profile_images/1179051855072124928/XpsD-ccR.jpg","View")</f>
        <v>View</v>
      </c>
      <c r="V2531" s="8"/>
      <c r="W2531" s="8"/>
      <c r="X2531" s="8"/>
      <c r="Y2531" s="8"/>
      <c r="Z2531" s="8"/>
    </row>
    <row r="2532" spans="1:26" ht="12.75">
      <c r="A2532" s="11">
        <v>43747.205393518518</v>
      </c>
      <c r="B2532" s="12" t="str">
        <f>HYPERLINK("https://twitter.com/pulsuzcobra","@pulsuzcobra")</f>
        <v>@pulsuzcobra</v>
      </c>
      <c r="C2532" s="7" t="s">
        <v>15721</v>
      </c>
      <c r="D2532" s="7" t="s">
        <v>15722</v>
      </c>
      <c r="E2532" s="12" t="str">
        <f>HYPERLINK("https://twitter.com/pulsuzcobra/status/1181901061378002945","1181901061378002945")</f>
        <v>1181901061378002945</v>
      </c>
      <c r="F2532" s="8"/>
      <c r="G2532" s="15"/>
      <c r="H2532" s="8"/>
      <c r="I2532" s="15">
        <v>0</v>
      </c>
      <c r="J2532" s="15">
        <v>1</v>
      </c>
      <c r="K2532" s="12" t="str">
        <f>HYPERLINK("https://mobile.twitter.com","Twitter Web App")</f>
        <v>Twitter Web App</v>
      </c>
      <c r="L2532" s="16">
        <v>195</v>
      </c>
      <c r="M2532" s="16">
        <v>154</v>
      </c>
      <c r="N2532" s="16">
        <v>0</v>
      </c>
      <c r="O2532" s="17"/>
      <c r="P2532" s="18">
        <v>43202.273287037038</v>
      </c>
      <c r="Q2532" s="7"/>
      <c r="R2532" s="7" t="s">
        <v>15723</v>
      </c>
      <c r="S2532" s="15"/>
      <c r="T2532" s="8"/>
      <c r="U2532" s="19" t="str">
        <f>HYPERLINK("https://pbs.twimg.com/profile_images/984449742703923200/OCif8-7g.jpg","View")</f>
        <v>View</v>
      </c>
      <c r="V2532" s="8"/>
      <c r="W2532" s="8"/>
      <c r="X2532" s="8"/>
      <c r="Y2532" s="8"/>
      <c r="Z2532" s="8"/>
    </row>
    <row r="2533" spans="1:26" ht="12.75">
      <c r="A2533" s="11">
        <v>43747.205231481479</v>
      </c>
      <c r="B2533" s="12" t="str">
        <f>HYPERLINK("https://twitter.com/BilgeKayserili","@BilgeKayserili")</f>
        <v>@BilgeKayserili</v>
      </c>
      <c r="C2533" s="7" t="s">
        <v>4862</v>
      </c>
      <c r="D2533" s="7" t="s">
        <v>15724</v>
      </c>
      <c r="E2533" s="12" t="str">
        <f>HYPERLINK("https://twitter.com/BilgeKayserili/status/1181901004230541312","1181901004230541312")</f>
        <v>1181901004230541312</v>
      </c>
      <c r="F2533" s="8"/>
      <c r="G2533" s="7"/>
      <c r="H2533" s="8"/>
      <c r="I2533" s="15">
        <v>0</v>
      </c>
      <c r="J2533" s="15">
        <v>1</v>
      </c>
      <c r="K2533" s="12" t="str">
        <f>HYPERLINK("http://twitter.com/download/android","Twitter for Android")</f>
        <v>Twitter for Android</v>
      </c>
      <c r="L2533" s="16">
        <v>2819</v>
      </c>
      <c r="M2533" s="16">
        <v>2678</v>
      </c>
      <c r="N2533" s="16">
        <v>1</v>
      </c>
      <c r="O2533" s="17"/>
      <c r="P2533" s="18">
        <v>41118.456388888888</v>
      </c>
      <c r="Q2533" s="7" t="s">
        <v>200</v>
      </c>
      <c r="R2533" s="7" t="s">
        <v>15725</v>
      </c>
      <c r="S2533" s="15"/>
      <c r="T2533" s="8"/>
      <c r="U2533" s="19" t="str">
        <f>HYPERLINK("https://pbs.twimg.com/profile_images/959806575828525056/D8aDGgFC.jpg","View")</f>
        <v>View</v>
      </c>
      <c r="V2533" s="8"/>
      <c r="W2533" s="8"/>
      <c r="X2533" s="8"/>
      <c r="Y2533" s="8"/>
      <c r="Z2533" s="8"/>
    </row>
    <row r="2534" spans="1:26" ht="12.75">
      <c r="A2534" s="11">
        <v>43747.205162037033</v>
      </c>
      <c r="B2534" s="12" t="str">
        <f>HYPERLINK("https://twitter.com/Abdulmuttalip53","@Abdulmuttalip53")</f>
        <v>@Abdulmuttalip53</v>
      </c>
      <c r="C2534" s="7" t="s">
        <v>15726</v>
      </c>
      <c r="D2534" s="7" t="s">
        <v>15727</v>
      </c>
      <c r="E2534" s="12" t="str">
        <f>HYPERLINK("https://twitter.com/Abdulmuttalip53/status/1181900976095137794","1181900976095137794")</f>
        <v>1181900976095137794</v>
      </c>
      <c r="F2534" s="8"/>
      <c r="G2534" s="15"/>
      <c r="H2534" s="8"/>
      <c r="I2534" s="15">
        <v>0</v>
      </c>
      <c r="J2534" s="15">
        <v>0</v>
      </c>
      <c r="K2534" s="12" t="str">
        <f>HYPERLINK("http://twitter.com/download/android","Twitter for Android")</f>
        <v>Twitter for Android</v>
      </c>
      <c r="L2534" s="16">
        <v>516</v>
      </c>
      <c r="M2534" s="16">
        <v>868</v>
      </c>
      <c r="N2534" s="16">
        <v>4</v>
      </c>
      <c r="O2534" s="17"/>
      <c r="P2534" s="18">
        <v>39993.161747685182</v>
      </c>
      <c r="Q2534" s="7" t="s">
        <v>15728</v>
      </c>
      <c r="R2534" s="7" t="s">
        <v>15729</v>
      </c>
      <c r="S2534" s="14" t="s">
        <v>15730</v>
      </c>
      <c r="T2534" s="8"/>
      <c r="U2534" s="19" t="str">
        <f>HYPERLINK("https://pbs.twimg.com/profile_images/1151898561245827073/qdZseY7k.jpg","View")</f>
        <v>View</v>
      </c>
      <c r="V2534" s="8"/>
      <c r="W2534" s="8"/>
      <c r="X2534" s="8"/>
      <c r="Y2534" s="8"/>
      <c r="Z2534" s="8"/>
    </row>
    <row r="2535" spans="1:26" ht="12.75">
      <c r="A2535" s="11">
        <v>43747.205138888894</v>
      </c>
      <c r="B2535" s="12" t="str">
        <f>HYPERLINK("https://twitter.com/Emrllah11","@Emrllah11")</f>
        <v>@Emrllah11</v>
      </c>
      <c r="C2535" s="7" t="s">
        <v>15731</v>
      </c>
      <c r="D2535" s="7" t="s">
        <v>15732</v>
      </c>
      <c r="E2535" s="12" t="str">
        <f>HYPERLINK("https://twitter.com/Emrllah11/status/1181900969656930305","1181900969656930305")</f>
        <v>1181900969656930305</v>
      </c>
      <c r="F2535" s="8"/>
      <c r="G2535" s="14" t="s">
        <v>15733</v>
      </c>
      <c r="H2535" s="8"/>
      <c r="I2535" s="15">
        <v>0</v>
      </c>
      <c r="J2535" s="15">
        <v>0</v>
      </c>
      <c r="K2535" s="12" t="str">
        <f>HYPERLINK("http://twitter.com/download/android","Twitter for Android")</f>
        <v>Twitter for Android</v>
      </c>
      <c r="L2535" s="16">
        <v>16</v>
      </c>
      <c r="M2535" s="16">
        <v>52</v>
      </c>
      <c r="N2535" s="16">
        <v>0</v>
      </c>
      <c r="O2535" s="17"/>
      <c r="P2535" s="18">
        <v>43715.10083333333</v>
      </c>
      <c r="Q2535" s="7" t="s">
        <v>15734</v>
      </c>
      <c r="R2535" s="7" t="s">
        <v>15735</v>
      </c>
      <c r="S2535" s="7"/>
      <c r="T2535" s="8"/>
      <c r="U2535" s="19" t="str">
        <f>HYPERLINK("https://pbs.twimg.com/profile_images/1177208133095251970/R7HqIFZ-.jpg","View")</f>
        <v>View</v>
      </c>
      <c r="V2535" s="8"/>
      <c r="W2535" s="8"/>
      <c r="X2535" s="8"/>
      <c r="Y2535" s="8"/>
      <c r="Z2535" s="8"/>
    </row>
    <row r="2536" spans="1:26" ht="12.75">
      <c r="A2536" s="11">
        <v>43747.205092592594</v>
      </c>
      <c r="B2536" s="12" t="str">
        <f>HYPERLINK("https://twitter.com/EmreFilyos","@EmreFilyos")</f>
        <v>@EmreFilyos</v>
      </c>
      <c r="C2536" s="7" t="s">
        <v>15736</v>
      </c>
      <c r="D2536" s="7" t="s">
        <v>15737</v>
      </c>
      <c r="E2536" s="12" t="str">
        <f>HYPERLINK("https://twitter.com/EmreFilyos/status/1181900955052384256","1181900955052384256")</f>
        <v>1181900955052384256</v>
      </c>
      <c r="F2536" s="8"/>
      <c r="G2536" s="14" t="s">
        <v>15738</v>
      </c>
      <c r="H2536" s="8"/>
      <c r="I2536" s="15">
        <v>0</v>
      </c>
      <c r="J2536" s="15">
        <v>0</v>
      </c>
      <c r="K2536" s="12" t="str">
        <f>HYPERLINK("http://twitter.com/download/android","Twitter for Android")</f>
        <v>Twitter for Android</v>
      </c>
      <c r="L2536" s="16">
        <v>2</v>
      </c>
      <c r="M2536" s="16">
        <v>24</v>
      </c>
      <c r="N2536" s="16">
        <v>0</v>
      </c>
      <c r="O2536" s="17"/>
      <c r="P2536" s="18">
        <v>43657.102511574078</v>
      </c>
      <c r="Q2536" s="7" t="s">
        <v>15739</v>
      </c>
      <c r="R2536" s="7" t="s">
        <v>15740</v>
      </c>
      <c r="S2536" s="7"/>
      <c r="T2536" s="8"/>
      <c r="U2536" s="19" t="str">
        <f>HYPERLINK("https://pbs.twimg.com/profile_images/1149249626299650048/Hr-h6N5o.jpg","View")</f>
        <v>View</v>
      </c>
      <c r="V2536" s="8"/>
      <c r="W2536" s="8"/>
      <c r="X2536" s="8"/>
      <c r="Y2536" s="8"/>
      <c r="Z2536" s="8"/>
    </row>
    <row r="2537" spans="1:26" ht="12.75">
      <c r="A2537" s="11">
        <v>43747.205081018517</v>
      </c>
      <c r="B2537" s="12" t="str">
        <f>HYPERLINK("https://twitter.com/ZenginHuriye","@ZenginHuriye")</f>
        <v>@ZenginHuriye</v>
      </c>
      <c r="C2537" s="7" t="s">
        <v>15741</v>
      </c>
      <c r="D2537" s="7" t="s">
        <v>15742</v>
      </c>
      <c r="E2537" s="12" t="str">
        <f>HYPERLINK("https://twitter.com/ZenginHuriye/status/1181900948148572161","1181900948148572161")</f>
        <v>1181900948148572161</v>
      </c>
      <c r="F2537" s="8"/>
      <c r="G2537" s="15"/>
      <c r="H2537" s="8"/>
      <c r="I2537" s="15">
        <v>0</v>
      </c>
      <c r="J2537" s="15">
        <v>0</v>
      </c>
      <c r="K2537" s="12" t="str">
        <f>HYPERLINK("http://twitter.com/download/android","Twitter for Android")</f>
        <v>Twitter for Android</v>
      </c>
      <c r="L2537" s="16">
        <v>0</v>
      </c>
      <c r="M2537" s="16">
        <v>1</v>
      </c>
      <c r="N2537" s="16">
        <v>0</v>
      </c>
      <c r="O2537" s="17"/>
      <c r="P2537" s="18">
        <v>43747.193391203706</v>
      </c>
      <c r="Q2537" s="7"/>
      <c r="R2537" s="7"/>
      <c r="S2537" s="7"/>
      <c r="T2537" s="8"/>
      <c r="U2537" s="19" t="str">
        <f>HYPERLINK("https://pbs.twimg.com/profile_images/1181897884872167424/DcQQARne.jpg","View")</f>
        <v>View</v>
      </c>
      <c r="V2537" s="8"/>
      <c r="W2537" s="8"/>
      <c r="X2537" s="8"/>
      <c r="Y2537" s="8"/>
      <c r="Z2537" s="8"/>
    </row>
    <row r="2538" spans="1:26" ht="12.75">
      <c r="A2538" s="11">
        <v>43747.205069444448</v>
      </c>
      <c r="B2538" s="12" t="str">
        <f>HYPERLINK("https://twitter.com/34demir59","@34demir59")</f>
        <v>@34demir59</v>
      </c>
      <c r="C2538" s="7" t="s">
        <v>15743</v>
      </c>
      <c r="D2538" s="7" t="s">
        <v>15744</v>
      </c>
      <c r="E2538" s="12" t="str">
        <f>HYPERLINK("https://twitter.com/34demir59/status/1181900943111135232","1181900943111135232")</f>
        <v>1181900943111135232</v>
      </c>
      <c r="F2538" s="14" t="s">
        <v>15745</v>
      </c>
      <c r="G2538" s="14" t="s">
        <v>15746</v>
      </c>
      <c r="H2538" s="8"/>
      <c r="I2538" s="15">
        <v>0</v>
      </c>
      <c r="J2538" s="15">
        <v>0</v>
      </c>
      <c r="K2538" s="12" t="str">
        <f>HYPERLINK("https://mobile.twitter.com","Twitter Web App")</f>
        <v>Twitter Web App</v>
      </c>
      <c r="L2538" s="16">
        <v>118</v>
      </c>
      <c r="M2538" s="16">
        <v>249</v>
      </c>
      <c r="N2538" s="16">
        <v>0</v>
      </c>
      <c r="O2538" s="17"/>
      <c r="P2538" s="18">
        <v>40868.564085648148</v>
      </c>
      <c r="Q2538" s="7"/>
      <c r="R2538" s="7" t="s">
        <v>15747</v>
      </c>
      <c r="S2538" s="7"/>
      <c r="T2538" s="8"/>
      <c r="U2538" s="19" t="str">
        <f>HYPERLINK("https://pbs.twimg.com/profile_images/584777553002549248/nsiyZXaY.jpg","View")</f>
        <v>View</v>
      </c>
      <c r="V2538" s="8"/>
      <c r="W2538" s="8"/>
      <c r="X2538" s="8"/>
      <c r="Y2538" s="8"/>
      <c r="Z2538" s="8"/>
    </row>
    <row r="2539" spans="1:26" ht="12.75">
      <c r="A2539" s="11">
        <v>43747.205046296294</v>
      </c>
      <c r="B2539" s="12" t="str">
        <f>HYPERLINK("https://twitter.com/Jelib_n","@Jelib_n")</f>
        <v>@Jelib_n</v>
      </c>
      <c r="C2539" s="7" t="s">
        <v>15748</v>
      </c>
      <c r="D2539" s="7" t="s">
        <v>15749</v>
      </c>
      <c r="E2539" s="12" t="str">
        <f>HYPERLINK("https://twitter.com/Jelib_n/status/1181900936870019073","1181900936870019073")</f>
        <v>1181900936870019073</v>
      </c>
      <c r="F2539" s="8"/>
      <c r="G2539" s="15"/>
      <c r="H2539" s="8"/>
      <c r="I2539" s="15">
        <v>0</v>
      </c>
      <c r="J2539" s="15">
        <v>0</v>
      </c>
      <c r="K2539" s="12" t="str">
        <f>HYPERLINK("https://mobile.twitter.com","Twitter Web App")</f>
        <v>Twitter Web App</v>
      </c>
      <c r="L2539" s="16">
        <v>91</v>
      </c>
      <c r="M2539" s="16">
        <v>34</v>
      </c>
      <c r="N2539" s="16">
        <v>1</v>
      </c>
      <c r="O2539" s="17"/>
      <c r="P2539" s="18">
        <v>42316.628148148149</v>
      </c>
      <c r="Q2539" s="7"/>
      <c r="R2539" s="7" t="s">
        <v>15750</v>
      </c>
      <c r="S2539" s="7"/>
      <c r="T2539" s="8"/>
      <c r="U2539" s="19" t="str">
        <f>HYPERLINK("https://pbs.twimg.com/profile_images/1180204001222103042/yjF-AINX.jpg","View")</f>
        <v>View</v>
      </c>
      <c r="V2539" s="8"/>
      <c r="W2539" s="8"/>
      <c r="X2539" s="8"/>
      <c r="Y2539" s="8"/>
      <c r="Z2539" s="8"/>
    </row>
    <row r="2540" spans="1:26" ht="12.75">
      <c r="A2540" s="11">
        <v>43747.205023148148</v>
      </c>
      <c r="B2540" s="12" t="str">
        <f>HYPERLINK("https://twitter.com/1volkandir1907","@1volkandir1907")</f>
        <v>@1volkandir1907</v>
      </c>
      <c r="C2540" s="7" t="s">
        <v>15751</v>
      </c>
      <c r="D2540" s="7" t="s">
        <v>15752</v>
      </c>
      <c r="E2540" s="12" t="str">
        <f>HYPERLINK("https://twitter.com/1volkandir1907/status/1181900926946291712","1181900926946291712")</f>
        <v>1181900926946291712</v>
      </c>
      <c r="F2540" s="8"/>
      <c r="G2540" s="14" t="s">
        <v>15753</v>
      </c>
      <c r="H2540" s="8"/>
      <c r="I2540" s="15">
        <v>0</v>
      </c>
      <c r="J2540" s="15">
        <v>0</v>
      </c>
      <c r="K2540" s="12" t="str">
        <f>HYPERLINK("http://twitter.com/download/iphone","Twitter for iPhone")</f>
        <v>Twitter for iPhone</v>
      </c>
      <c r="L2540" s="16">
        <v>218</v>
      </c>
      <c r="M2540" s="16">
        <v>200</v>
      </c>
      <c r="N2540" s="16">
        <v>3</v>
      </c>
      <c r="O2540" s="17"/>
      <c r="P2540" s="18">
        <v>40327.043576388889</v>
      </c>
      <c r="Q2540" s="7" t="s">
        <v>287</v>
      </c>
      <c r="R2540" s="7" t="s">
        <v>15754</v>
      </c>
      <c r="S2540" s="7"/>
      <c r="T2540" s="8"/>
      <c r="U2540" s="19" t="str">
        <f>HYPERLINK("https://pbs.twimg.com/profile_images/1169474088248782848/NzlVbbwq.jpg","View")</f>
        <v>View</v>
      </c>
      <c r="V2540" s="8"/>
      <c r="W2540" s="8"/>
      <c r="X2540" s="8"/>
      <c r="Y2540" s="8"/>
      <c r="Z2540" s="8"/>
    </row>
    <row r="2541" spans="1:26" ht="12.75">
      <c r="A2541" s="11">
        <v>43747.204942129625</v>
      </c>
      <c r="B2541" s="12" t="str">
        <f>HYPERLINK("https://twitter.com/omereryilmaz","@omereryilmaz")</f>
        <v>@omereryilmaz</v>
      </c>
      <c r="C2541" s="7" t="s">
        <v>15755</v>
      </c>
      <c r="D2541" s="7" t="s">
        <v>15756</v>
      </c>
      <c r="E2541" s="12" t="str">
        <f>HYPERLINK("https://twitter.com/omereryilmaz/status/1181900898634780672","1181900898634780672")</f>
        <v>1181900898634780672</v>
      </c>
      <c r="F2541" s="14" t="s">
        <v>15757</v>
      </c>
      <c r="G2541" s="14" t="s">
        <v>15758</v>
      </c>
      <c r="H2541" s="8"/>
      <c r="I2541" s="15">
        <v>0</v>
      </c>
      <c r="J2541" s="15">
        <v>0</v>
      </c>
      <c r="K2541" s="12" t="str">
        <f>HYPERLINK("http://twitter.com/download/iphone","Twitter for iPhone")</f>
        <v>Twitter for iPhone</v>
      </c>
      <c r="L2541" s="16">
        <v>293</v>
      </c>
      <c r="M2541" s="16">
        <v>887</v>
      </c>
      <c r="N2541" s="16">
        <v>0</v>
      </c>
      <c r="O2541" s="17"/>
      <c r="P2541" s="18">
        <v>40505.493113425924</v>
      </c>
      <c r="Q2541" s="7" t="s">
        <v>15759</v>
      </c>
      <c r="R2541" s="7" t="s">
        <v>15760</v>
      </c>
      <c r="S2541" s="7"/>
      <c r="T2541" s="8"/>
      <c r="U2541" s="19" t="str">
        <f>HYPERLINK("https://pbs.twimg.com/profile_images/1074913516254097409/5TrZXk-c.jpg","View")</f>
        <v>View</v>
      </c>
      <c r="V2541" s="8"/>
      <c r="W2541" s="8"/>
      <c r="X2541" s="8"/>
      <c r="Y2541" s="8"/>
      <c r="Z2541" s="8"/>
    </row>
    <row r="2542" spans="1:26" ht="12.75">
      <c r="A2542" s="11">
        <v>43747.204826388886</v>
      </c>
      <c r="B2542" s="12" t="str">
        <f>HYPERLINK("https://twitter.com/EcemCkaya","@EcemCkaya")</f>
        <v>@EcemCkaya</v>
      </c>
      <c r="C2542" s="7" t="s">
        <v>15761</v>
      </c>
      <c r="D2542" s="7" t="s">
        <v>15762</v>
      </c>
      <c r="E2542" s="12" t="str">
        <f>HYPERLINK("https://twitter.com/EcemCkaya/status/1181900857887088640","1181900857887088640")</f>
        <v>1181900857887088640</v>
      </c>
      <c r="F2542" s="8"/>
      <c r="G2542" s="7"/>
      <c r="H2542" s="8"/>
      <c r="I2542" s="15">
        <v>0</v>
      </c>
      <c r="J2542" s="15">
        <v>0</v>
      </c>
      <c r="K2542" s="12" t="str">
        <f>HYPERLINK("https://mobile.twitter.com","Twitter Web App")</f>
        <v>Twitter Web App</v>
      </c>
      <c r="L2542" s="16">
        <v>112</v>
      </c>
      <c r="M2542" s="16">
        <v>91</v>
      </c>
      <c r="N2542" s="16">
        <v>1</v>
      </c>
      <c r="O2542" s="17"/>
      <c r="P2542" s="18">
        <v>41243.409050925926</v>
      </c>
      <c r="Q2542" s="7" t="s">
        <v>15763</v>
      </c>
      <c r="R2542" s="7" t="s">
        <v>15764</v>
      </c>
      <c r="S2542" s="14" t="s">
        <v>15765</v>
      </c>
      <c r="T2542" s="8"/>
      <c r="U2542" s="19" t="str">
        <f>HYPERLINK("https://pbs.twimg.com/profile_images/1179164132827893761/dpxgB1Zy.jpg","View")</f>
        <v>View</v>
      </c>
      <c r="V2542" s="8"/>
      <c r="W2542" s="8"/>
      <c r="X2542" s="8"/>
      <c r="Y2542" s="8"/>
      <c r="Z2542" s="8"/>
    </row>
    <row r="2543" spans="1:26" ht="12.75">
      <c r="A2543" s="11">
        <v>43747.204768518517</v>
      </c>
      <c r="B2543" s="12" t="str">
        <f>HYPERLINK("https://twitter.com/EmrahAydin89","@EmrahAydin89")</f>
        <v>@EmrahAydin89</v>
      </c>
      <c r="C2543" s="7" t="s">
        <v>15766</v>
      </c>
      <c r="D2543" s="7" t="s">
        <v>15767</v>
      </c>
      <c r="E2543" s="12" t="str">
        <f>HYPERLINK("https://twitter.com/EmrahAydin89/status/1181900835669909504","1181900835669909504")</f>
        <v>1181900835669909504</v>
      </c>
      <c r="F2543" s="15"/>
      <c r="G2543" s="15"/>
      <c r="H2543" s="8"/>
      <c r="I2543" s="15">
        <v>0</v>
      </c>
      <c r="J2543" s="15">
        <v>0</v>
      </c>
      <c r="K2543" s="12" t="str">
        <f>HYPERLINK("http://twitter.com/download/android","Twitter for Android")</f>
        <v>Twitter for Android</v>
      </c>
      <c r="L2543" s="16">
        <v>433</v>
      </c>
      <c r="M2543" s="16">
        <v>458</v>
      </c>
      <c r="N2543" s="16">
        <v>0</v>
      </c>
      <c r="O2543" s="17"/>
      <c r="P2543" s="18">
        <v>42510.974814814814</v>
      </c>
      <c r="Q2543" s="7" t="s">
        <v>2721</v>
      </c>
      <c r="R2543" s="7" t="s">
        <v>15768</v>
      </c>
      <c r="S2543" s="7"/>
      <c r="T2543" s="8"/>
      <c r="U2543" s="19" t="str">
        <f>HYPERLINK("https://pbs.twimg.com/profile_images/906277253859958784/holm_V6D.jpg","View")</f>
        <v>View</v>
      </c>
      <c r="V2543" s="8"/>
      <c r="W2543" s="8"/>
      <c r="X2543" s="8"/>
      <c r="Y2543" s="8"/>
      <c r="Z2543" s="8"/>
    </row>
    <row r="2544" spans="1:26" ht="12.75">
      <c r="A2544" s="11">
        <v>43747.20475694444</v>
      </c>
      <c r="B2544" s="12" t="str">
        <f>HYPERLINK("https://twitter.com/Sczhesny","@Sczhesny")</f>
        <v>@Sczhesny</v>
      </c>
      <c r="C2544" s="7" t="s">
        <v>15769</v>
      </c>
      <c r="D2544" s="7" t="s">
        <v>15770</v>
      </c>
      <c r="E2544" s="12" t="str">
        <f>HYPERLINK("https://twitter.com/Sczhesny/status/1181900832570269697","1181900832570269697")</f>
        <v>1181900832570269697</v>
      </c>
      <c r="F2544" s="8"/>
      <c r="G2544" s="7"/>
      <c r="H2544" s="8"/>
      <c r="I2544" s="15">
        <v>0</v>
      </c>
      <c r="J2544" s="15">
        <v>0</v>
      </c>
      <c r="K2544" s="12" t="str">
        <f>HYPERLINK("http://twitter.com/download/android","Twitter for Android")</f>
        <v>Twitter for Android</v>
      </c>
      <c r="L2544" s="16">
        <v>0</v>
      </c>
      <c r="M2544" s="16">
        <v>0</v>
      </c>
      <c r="N2544" s="16">
        <v>0</v>
      </c>
      <c r="O2544" s="17"/>
      <c r="P2544" s="18">
        <v>40582.253842592589</v>
      </c>
      <c r="Q2544" s="7"/>
      <c r="R2544" s="7" t="s">
        <v>15771</v>
      </c>
      <c r="S2544" s="7"/>
      <c r="T2544" s="8"/>
      <c r="U2544" s="19" t="str">
        <f>HYPERLINK("https://pbs.twimg.com/profile_images/1181901249928667136/ZPSAmfQK.jpg","View")</f>
        <v>View</v>
      </c>
      <c r="V2544" s="8"/>
      <c r="W2544" s="8"/>
      <c r="X2544" s="8"/>
      <c r="Y2544" s="8"/>
      <c r="Z2544" s="8"/>
    </row>
    <row r="2545" spans="1:26" ht="12.75">
      <c r="A2545" s="11">
        <v>43747.204710648148</v>
      </c>
      <c r="B2545" s="12" t="str">
        <f>HYPERLINK("https://twitter.com/mehmetapaydn","@mehmetapaydn")</f>
        <v>@mehmetapaydn</v>
      </c>
      <c r="C2545" s="7" t="s">
        <v>15772</v>
      </c>
      <c r="D2545" s="7" t="s">
        <v>15773</v>
      </c>
      <c r="E2545" s="12" t="str">
        <f>HYPERLINK("https://twitter.com/mehmetapaydn/status/1181900813377167361","1181900813377167361")</f>
        <v>1181900813377167361</v>
      </c>
      <c r="F2545" s="8"/>
      <c r="G2545" s="14" t="s">
        <v>15774</v>
      </c>
      <c r="H2545" s="8"/>
      <c r="I2545" s="15">
        <v>1</v>
      </c>
      <c r="J2545" s="15">
        <v>1</v>
      </c>
      <c r="K2545" s="12" t="str">
        <f>HYPERLINK("http://twitter.com/download/android","Twitter for Android")</f>
        <v>Twitter for Android</v>
      </c>
      <c r="L2545" s="16">
        <v>24</v>
      </c>
      <c r="M2545" s="16">
        <v>28</v>
      </c>
      <c r="N2545" s="16">
        <v>0</v>
      </c>
      <c r="O2545" s="17"/>
      <c r="P2545" s="18">
        <v>43584.612210648149</v>
      </c>
      <c r="Q2545" s="7" t="s">
        <v>15775</v>
      </c>
      <c r="R2545" s="7"/>
      <c r="S2545" s="7"/>
      <c r="T2545" s="8"/>
      <c r="U2545" s="19" t="str">
        <f>HYPERLINK("https://pbs.twimg.com/profile_images/1136928460402757633/dfQICbro.jpg","View")</f>
        <v>View</v>
      </c>
      <c r="V2545" s="8"/>
      <c r="W2545" s="8"/>
      <c r="X2545" s="8"/>
      <c r="Y2545" s="8"/>
      <c r="Z2545" s="8"/>
    </row>
    <row r="2546" spans="1:26" ht="12.75">
      <c r="A2546" s="11">
        <v>43747.204664351855</v>
      </c>
      <c r="B2546" s="12" t="str">
        <f>HYPERLINK("https://twitter.com/Bozkurt__ysmn","@Bozkurt__ysmn")</f>
        <v>@Bozkurt__ysmn</v>
      </c>
      <c r="C2546" s="7" t="s">
        <v>15776</v>
      </c>
      <c r="D2546" s="7" t="s">
        <v>15777</v>
      </c>
      <c r="E2546" s="12" t="str">
        <f>HYPERLINK("https://twitter.com/Bozkurt__ysmn/status/1181900797048709120","1181900797048709120")</f>
        <v>1181900797048709120</v>
      </c>
      <c r="F2546" s="8"/>
      <c r="G2546" s="14" t="s">
        <v>15778</v>
      </c>
      <c r="H2546" s="8"/>
      <c r="I2546" s="15">
        <v>1</v>
      </c>
      <c r="J2546" s="15">
        <v>2</v>
      </c>
      <c r="K2546" s="12" t="str">
        <f>HYPERLINK("http://twitter.com/download/android","Twitter for Android")</f>
        <v>Twitter for Android</v>
      </c>
      <c r="L2546" s="16">
        <v>7396</v>
      </c>
      <c r="M2546" s="16">
        <v>5993</v>
      </c>
      <c r="N2546" s="16">
        <v>11</v>
      </c>
      <c r="O2546" s="17"/>
      <c r="P2546" s="18">
        <v>42422.500219907408</v>
      </c>
      <c r="Q2546" s="7" t="s">
        <v>15779</v>
      </c>
      <c r="R2546" s="7" t="s">
        <v>15780</v>
      </c>
      <c r="S2546" s="15"/>
      <c r="T2546" s="8"/>
      <c r="U2546" s="19" t="str">
        <f>HYPERLINK("https://pbs.twimg.com/profile_images/1165480947434905601/EBG0GcRq.jpg","View")</f>
        <v>View</v>
      </c>
      <c r="V2546" s="8"/>
      <c r="W2546" s="8"/>
      <c r="X2546" s="8"/>
      <c r="Y2546" s="8"/>
      <c r="Z2546" s="8"/>
    </row>
    <row r="2547" spans="1:26" ht="12.75">
      <c r="A2547" s="11">
        <v>43747.204571759255</v>
      </c>
      <c r="B2547" s="12" t="str">
        <f>HYPERLINK("https://twitter.com/kalememm","@kalememm")</f>
        <v>@kalememm</v>
      </c>
      <c r="C2547" s="7" t="s">
        <v>15781</v>
      </c>
      <c r="D2547" s="7" t="s">
        <v>15782</v>
      </c>
      <c r="E2547" s="12" t="str">
        <f>HYPERLINK("https://twitter.com/kalememm/status/1181900762491871232","1181900762491871232")</f>
        <v>1181900762491871232</v>
      </c>
      <c r="F2547" s="8"/>
      <c r="G2547" s="15"/>
      <c r="H2547" s="8"/>
      <c r="I2547" s="15">
        <v>0</v>
      </c>
      <c r="J2547" s="15">
        <v>0</v>
      </c>
      <c r="K2547" s="12" t="str">
        <f>HYPERLINK("http://twitter.com/download/android","Twitter for Android")</f>
        <v>Twitter for Android</v>
      </c>
      <c r="L2547" s="16">
        <v>75</v>
      </c>
      <c r="M2547" s="16">
        <v>12</v>
      </c>
      <c r="N2547" s="16">
        <v>0</v>
      </c>
      <c r="O2547" s="17"/>
      <c r="P2547" s="18">
        <v>43499.520219907412</v>
      </c>
      <c r="Q2547" s="7"/>
      <c r="R2547" s="7"/>
      <c r="S2547" s="15"/>
      <c r="T2547" s="8"/>
      <c r="U2547" s="19" t="str">
        <f>HYPERLINK("https://pbs.twimg.com/profile_images/1172872979925086209/aTW7JGJ8.jpg","View")</f>
        <v>View</v>
      </c>
      <c r="V2547" s="8"/>
      <c r="W2547" s="8"/>
      <c r="X2547" s="8"/>
      <c r="Y2547" s="8"/>
      <c r="Z2547" s="8"/>
    </row>
    <row r="2548" spans="1:26" ht="12.75">
      <c r="A2548" s="11">
        <v>43747.20447916667</v>
      </c>
      <c r="B2548" s="12" t="str">
        <f>HYPERLINK("https://twitter.com/Hikmet0732","@Hikmet0732")</f>
        <v>@Hikmet0732</v>
      </c>
      <c r="C2548" s="7" t="s">
        <v>15783</v>
      </c>
      <c r="D2548" s="7" t="s">
        <v>15784</v>
      </c>
      <c r="E2548" s="12" t="str">
        <f>HYPERLINK("https://twitter.com/Hikmet0732/status/1181900732137721856","1181900732137721856")</f>
        <v>1181900732137721856</v>
      </c>
      <c r="F2548" s="15"/>
      <c r="G2548" s="14" t="s">
        <v>15785</v>
      </c>
      <c r="H2548" s="8"/>
      <c r="I2548" s="15">
        <v>0</v>
      </c>
      <c r="J2548" s="15">
        <v>2</v>
      </c>
      <c r="K2548" s="12" t="str">
        <f>HYPERLINK("http://twitter.com/download/android","Twitter for Android")</f>
        <v>Twitter for Android</v>
      </c>
      <c r="L2548" s="16">
        <v>852</v>
      </c>
      <c r="M2548" s="16">
        <v>1547</v>
      </c>
      <c r="N2548" s="16">
        <v>0</v>
      </c>
      <c r="O2548" s="17"/>
      <c r="P2548" s="18">
        <v>43503.009189814809</v>
      </c>
      <c r="Q2548" s="7"/>
      <c r="R2548" s="7"/>
      <c r="S2548" s="7"/>
      <c r="T2548" s="8"/>
      <c r="U2548" s="19" t="str">
        <f>HYPERLINK("https://pbs.twimg.com/profile_images/1134958949038473217/DIuaH8bY.jpg","View")</f>
        <v>View</v>
      </c>
      <c r="V2548" s="8"/>
      <c r="W2548" s="8"/>
      <c r="X2548" s="8"/>
      <c r="Y2548" s="8"/>
      <c r="Z2548" s="8"/>
    </row>
    <row r="2549" spans="1:26" ht="12.75">
      <c r="A2549" s="11">
        <v>43747.20447916667</v>
      </c>
      <c r="B2549" s="12" t="str">
        <f>HYPERLINK("https://twitter.com/officialunsal","@officialunsal")</f>
        <v>@officialunsal</v>
      </c>
      <c r="C2549" s="7" t="s">
        <v>15786</v>
      </c>
      <c r="D2549" s="7" t="s">
        <v>15787</v>
      </c>
      <c r="E2549" s="12" t="str">
        <f>HYPERLINK("https://twitter.com/officialunsal/status/1181900728991961088","1181900728991961088")</f>
        <v>1181900728991961088</v>
      </c>
      <c r="F2549" s="8"/>
      <c r="G2549" s="7"/>
      <c r="H2549" s="8"/>
      <c r="I2549" s="15">
        <v>1</v>
      </c>
      <c r="J2549" s="15">
        <v>1</v>
      </c>
      <c r="K2549" s="12" t="str">
        <f>HYPERLINK("http://twitter.com/download/android","Twitter for Android")</f>
        <v>Twitter for Android</v>
      </c>
      <c r="L2549" s="16">
        <v>3824</v>
      </c>
      <c r="M2549" s="16">
        <v>3974</v>
      </c>
      <c r="N2549" s="16">
        <v>1</v>
      </c>
      <c r="O2549" s="17"/>
      <c r="P2549" s="18">
        <v>42774.619942129633</v>
      </c>
      <c r="Q2549" s="7"/>
      <c r="R2549" s="7" t="s">
        <v>15788</v>
      </c>
      <c r="S2549" s="7"/>
      <c r="T2549" s="8"/>
      <c r="U2549" s="19" t="str">
        <f>HYPERLINK("https://pbs.twimg.com/profile_images/1169725195424280576/uSlo9QD3.jpg","View")</f>
        <v>View</v>
      </c>
      <c r="V2549" s="8"/>
      <c r="W2549" s="8"/>
      <c r="X2549" s="8"/>
      <c r="Y2549" s="8"/>
      <c r="Z2549" s="8"/>
    </row>
    <row r="2550" spans="1:26" ht="12.75">
      <c r="A2550" s="11">
        <v>43747.204432870371</v>
      </c>
      <c r="B2550" s="12" t="str">
        <f>HYPERLINK("https://twitter.com/FerhatDMR9","@FerhatDMR9")</f>
        <v>@FerhatDMR9</v>
      </c>
      <c r="C2550" s="7" t="s">
        <v>15789</v>
      </c>
      <c r="D2550" s="7" t="s">
        <v>15790</v>
      </c>
      <c r="E2550" s="12" t="str">
        <f>HYPERLINK("https://twitter.com/FerhatDMR9/status/1181900715796639752","1181900715796639752")</f>
        <v>1181900715796639752</v>
      </c>
      <c r="F2550" s="8"/>
      <c r="G2550" s="7"/>
      <c r="H2550" s="8"/>
      <c r="I2550" s="15">
        <v>0</v>
      </c>
      <c r="J2550" s="15">
        <v>0</v>
      </c>
      <c r="K2550" s="12" t="str">
        <f>HYPERLINK("http://twitter.com/download/iphone","Twitter for iPhone")</f>
        <v>Twitter for iPhone</v>
      </c>
      <c r="L2550" s="16">
        <v>794</v>
      </c>
      <c r="M2550" s="16">
        <v>45</v>
      </c>
      <c r="N2550" s="16">
        <v>0</v>
      </c>
      <c r="O2550" s="17"/>
      <c r="P2550" s="18">
        <v>41418.730497685188</v>
      </c>
      <c r="Q2550" s="7" t="s">
        <v>15791</v>
      </c>
      <c r="R2550" s="7" t="s">
        <v>15792</v>
      </c>
      <c r="S2550" s="7"/>
      <c r="T2550" s="8"/>
      <c r="U2550" s="19" t="str">
        <f>HYPERLINK("https://pbs.twimg.com/profile_images/1162209179471249409/5C4T-Q-9.jpg","View")</f>
        <v>View</v>
      </c>
      <c r="V2550" s="8"/>
      <c r="W2550" s="8"/>
      <c r="X2550" s="8"/>
      <c r="Y2550" s="8"/>
      <c r="Z2550" s="8"/>
    </row>
    <row r="2551" spans="1:26" ht="12.75">
      <c r="A2551" s="11">
        <v>43747.204328703709</v>
      </c>
      <c r="B2551" s="12" t="str">
        <f>HYPERLINK("https://twitter.com/ismailkaran06","@ismailkaran06")</f>
        <v>@ismailkaran06</v>
      </c>
      <c r="C2551" s="7" t="s">
        <v>15793</v>
      </c>
      <c r="D2551" s="7" t="s">
        <v>15794</v>
      </c>
      <c r="E2551" s="12" t="str">
        <f>HYPERLINK("https://twitter.com/ismailkaran06/status/1181900677896970240","1181900677896970240")</f>
        <v>1181900677896970240</v>
      </c>
      <c r="F2551" s="8"/>
      <c r="G2551" s="14" t="s">
        <v>15795</v>
      </c>
      <c r="H2551" s="8"/>
      <c r="I2551" s="15">
        <v>0</v>
      </c>
      <c r="J2551" s="15">
        <v>0</v>
      </c>
      <c r="K2551" s="12" t="str">
        <f>HYPERLINK("https://mobile.twitter.com","Twitter Web App")</f>
        <v>Twitter Web App</v>
      </c>
      <c r="L2551" s="16">
        <v>13</v>
      </c>
      <c r="M2551" s="16">
        <v>34</v>
      </c>
      <c r="N2551" s="16">
        <v>0</v>
      </c>
      <c r="O2551" s="17"/>
      <c r="P2551" s="18">
        <v>43149.503391203703</v>
      </c>
      <c r="Q2551" s="7" t="s">
        <v>252</v>
      </c>
      <c r="R2551" s="7" t="s">
        <v>15796</v>
      </c>
      <c r="S2551" s="15"/>
      <c r="T2551" s="8"/>
      <c r="U2551" s="19" t="str">
        <f>HYPERLINK("https://pbs.twimg.com/profile_images/1094226345767432192/8Hsxiwl0.jpg","View")</f>
        <v>View</v>
      </c>
      <c r="V2551" s="8"/>
      <c r="W2551" s="8"/>
      <c r="X2551" s="8"/>
      <c r="Y2551" s="8"/>
      <c r="Z2551" s="8"/>
    </row>
    <row r="2552" spans="1:26" ht="12.75">
      <c r="A2552" s="11">
        <v>43747.204236111109</v>
      </c>
      <c r="B2552" s="12" t="str">
        <f>HYPERLINK("https://twitter.com/emelsnus","@emelsnus")</f>
        <v>@emelsnus</v>
      </c>
      <c r="C2552" s="7" t="s">
        <v>15797</v>
      </c>
      <c r="D2552" s="7" t="s">
        <v>15798</v>
      </c>
      <c r="E2552" s="12" t="str">
        <f>HYPERLINK("https://twitter.com/emelsnus/status/1181900640840224769","1181900640840224769")</f>
        <v>1181900640840224769</v>
      </c>
      <c r="F2552" s="8"/>
      <c r="G2552" s="14" t="s">
        <v>15799</v>
      </c>
      <c r="H2552" s="8"/>
      <c r="I2552" s="15">
        <v>0</v>
      </c>
      <c r="J2552" s="15">
        <v>1</v>
      </c>
      <c r="K2552" s="12" t="str">
        <f>HYPERLINK("http://twitter.com/download/android","Twitter for Android")</f>
        <v>Twitter for Android</v>
      </c>
      <c r="L2552" s="16">
        <v>153</v>
      </c>
      <c r="M2552" s="16">
        <v>282</v>
      </c>
      <c r="N2552" s="16">
        <v>0</v>
      </c>
      <c r="O2552" s="17"/>
      <c r="P2552" s="18">
        <v>42582.262083333335</v>
      </c>
      <c r="Q2552" s="7" t="s">
        <v>313</v>
      </c>
      <c r="R2552" s="7" t="s">
        <v>15800</v>
      </c>
      <c r="S2552" s="7"/>
      <c r="T2552" s="8"/>
      <c r="U2552" s="19" t="str">
        <f>HYPERLINK("https://pbs.twimg.com/profile_images/1178325657010540550/XKxfEI0w.jpg","View")</f>
        <v>View</v>
      </c>
      <c r="V2552" s="8"/>
      <c r="W2552" s="8"/>
      <c r="X2552" s="8"/>
      <c r="Y2552" s="8"/>
      <c r="Z2552" s="8"/>
    </row>
    <row r="2553" spans="1:26" ht="12.75">
      <c r="A2553" s="11">
        <v>43747.20417824074</v>
      </c>
      <c r="B2553" s="12" t="str">
        <f>HYPERLINK("https://twitter.com/AdemAyd24886074","@AdemAyd24886074")</f>
        <v>@AdemAyd24886074</v>
      </c>
      <c r="C2553" s="7" t="s">
        <v>15801</v>
      </c>
      <c r="D2553" s="7" t="s">
        <v>15802</v>
      </c>
      <c r="E2553" s="12" t="str">
        <f>HYPERLINK("https://twitter.com/AdemAyd24886074/status/1181900622955778055","1181900622955778055")</f>
        <v>1181900622955778055</v>
      </c>
      <c r="F2553" s="8"/>
      <c r="G2553" s="15"/>
      <c r="H2553" s="8"/>
      <c r="I2553" s="15">
        <v>0</v>
      </c>
      <c r="J2553" s="15">
        <v>0</v>
      </c>
      <c r="K2553" s="12" t="str">
        <f>HYPERLINK("http://twitter.com/download/android","Twitter for Android")</f>
        <v>Twitter for Android</v>
      </c>
      <c r="L2553" s="16">
        <v>114</v>
      </c>
      <c r="M2553" s="16">
        <v>262</v>
      </c>
      <c r="N2553" s="16">
        <v>0</v>
      </c>
      <c r="O2553" s="17"/>
      <c r="P2553" s="18">
        <v>42837.591851851852</v>
      </c>
      <c r="Q2553" s="7"/>
      <c r="R2553" s="7"/>
      <c r="S2553" s="7"/>
      <c r="T2553" s="8"/>
      <c r="U2553" s="19" t="str">
        <f>HYPERLINK("https://pbs.twimg.com/profile_images/914790872490930176/LgkpPuhc.jpg","View")</f>
        <v>View</v>
      </c>
      <c r="V2553" s="8"/>
      <c r="W2553" s="8"/>
      <c r="X2553" s="8"/>
      <c r="Y2553" s="8"/>
      <c r="Z2553" s="8"/>
    </row>
    <row r="2554" spans="1:26" ht="12.75">
      <c r="A2554" s="11">
        <v>43747.20412037037</v>
      </c>
      <c r="B2554" s="12" t="str">
        <f>HYPERLINK("https://twitter.com/Abdulha78248157","@Abdulha78248157")</f>
        <v>@Abdulha78248157</v>
      </c>
      <c r="C2554" s="7" t="s">
        <v>15803</v>
      </c>
      <c r="D2554" s="7" t="s">
        <v>15804</v>
      </c>
      <c r="E2554" s="12" t="str">
        <f>HYPERLINK("https://twitter.com/Abdulha78248157/status/1181900599576743938","1181900599576743938")</f>
        <v>1181900599576743938</v>
      </c>
      <c r="F2554" s="8"/>
      <c r="G2554" s="15"/>
      <c r="H2554" s="8"/>
      <c r="I2554" s="15">
        <v>0</v>
      </c>
      <c r="J2554" s="15">
        <v>0</v>
      </c>
      <c r="K2554" s="12" t="str">
        <f>HYPERLINK("http://twitter.com","Twitter Web Client")</f>
        <v>Twitter Web Client</v>
      </c>
      <c r="L2554" s="16">
        <v>14</v>
      </c>
      <c r="M2554" s="16">
        <v>0</v>
      </c>
      <c r="N2554" s="16">
        <v>0</v>
      </c>
      <c r="O2554" s="17"/>
      <c r="P2554" s="18">
        <v>43608.513831018514</v>
      </c>
      <c r="Q2554" s="7" t="s">
        <v>13157</v>
      </c>
      <c r="R2554" s="7" t="s">
        <v>15805</v>
      </c>
      <c r="S2554" s="7"/>
      <c r="T2554" s="8"/>
      <c r="U2554" s="19" t="str">
        <f>HYPERLINK("https://pbs.twimg.com/profile_images/1132215072024080385/0-sMs_MA.jpg","View")</f>
        <v>View</v>
      </c>
      <c r="V2554" s="8"/>
      <c r="W2554" s="8"/>
      <c r="X2554" s="8"/>
      <c r="Y2554" s="8"/>
      <c r="Z2554" s="8"/>
    </row>
    <row r="2555" spans="1:26" ht="12.75">
      <c r="A2555" s="11">
        <v>43747.204097222224</v>
      </c>
      <c r="B2555" s="12" t="str">
        <f>HYPERLINK("https://twitter.com/gazzesavasi","@gazzesavasi")</f>
        <v>@gazzesavasi</v>
      </c>
      <c r="C2555" s="7" t="s">
        <v>15806</v>
      </c>
      <c r="D2555" s="7" t="s">
        <v>15807</v>
      </c>
      <c r="E2555" s="12" t="str">
        <f>HYPERLINK("https://twitter.com/gazzesavasi/status/1181900591901138944","1181900591901138944")</f>
        <v>1181900591901138944</v>
      </c>
      <c r="F2555" s="8"/>
      <c r="G2555" s="7"/>
      <c r="H2555" s="8"/>
      <c r="I2555" s="15">
        <v>0</v>
      </c>
      <c r="J2555" s="15">
        <v>0</v>
      </c>
      <c r="K2555" s="12" t="str">
        <f>HYPERLINK("https://mobile.twitter.com","Twitter Web App")</f>
        <v>Twitter Web App</v>
      </c>
      <c r="L2555" s="16">
        <v>1539</v>
      </c>
      <c r="M2555" s="16">
        <v>3584</v>
      </c>
      <c r="N2555" s="16">
        <v>3</v>
      </c>
      <c r="O2555" s="17"/>
      <c r="P2555" s="18">
        <v>41843.086863425924</v>
      </c>
      <c r="Q2555" s="7" t="s">
        <v>15808</v>
      </c>
      <c r="R2555" s="7"/>
      <c r="S2555" s="7"/>
      <c r="T2555" s="8"/>
      <c r="U2555" s="19" t="str">
        <f>HYPERLINK("https://pbs.twimg.com/profile_images/1121006830531043333/tP6sf6BU.png","View")</f>
        <v>View</v>
      </c>
      <c r="V2555" s="8"/>
      <c r="W2555" s="8"/>
      <c r="X2555" s="8"/>
      <c r="Y2555" s="8"/>
      <c r="Z2555" s="8"/>
    </row>
    <row r="2556" spans="1:26" ht="12.75">
      <c r="A2556" s="11">
        <v>43747.203981481478</v>
      </c>
      <c r="B2556" s="12" t="str">
        <f>HYPERLINK("https://twitter.com/mehtapylnzz","@mehtapylnzz")</f>
        <v>@mehtapylnzz</v>
      </c>
      <c r="C2556" s="7" t="s">
        <v>15809</v>
      </c>
      <c r="D2556" s="7" t="s">
        <v>15810</v>
      </c>
      <c r="E2556" s="12" t="str">
        <f>HYPERLINK("https://twitter.com/mehtapylnzz/status/1181900550474027009","1181900550474027009")</f>
        <v>1181900550474027009</v>
      </c>
      <c r="F2556" s="8"/>
      <c r="G2556" s="15"/>
      <c r="H2556" s="8"/>
      <c r="I2556" s="15">
        <v>0</v>
      </c>
      <c r="J2556" s="15">
        <v>0</v>
      </c>
      <c r="K2556" s="12" t="str">
        <f>HYPERLINK("http://twitter.com/download/android","Twitter for Android")</f>
        <v>Twitter for Android</v>
      </c>
      <c r="L2556" s="16">
        <v>961</v>
      </c>
      <c r="M2556" s="16">
        <v>378</v>
      </c>
      <c r="N2556" s="16">
        <v>1</v>
      </c>
      <c r="O2556" s="17"/>
      <c r="P2556" s="18">
        <v>40719.396782407406</v>
      </c>
      <c r="Q2556" s="7" t="s">
        <v>80</v>
      </c>
      <c r="R2556" s="7" t="s">
        <v>10265</v>
      </c>
      <c r="S2556" s="7"/>
      <c r="T2556" s="8"/>
      <c r="U2556" s="19" t="str">
        <f>HYPERLINK("https://pbs.twimg.com/profile_images/1103762160747012097/_MpjUclf.jpg","View")</f>
        <v>View</v>
      </c>
      <c r="V2556" s="8"/>
      <c r="W2556" s="8"/>
      <c r="X2556" s="8"/>
      <c r="Y2556" s="8"/>
      <c r="Z2556" s="8"/>
    </row>
    <row r="2557" spans="1:26" ht="12.75">
      <c r="A2557" s="11">
        <v>43747.203969907408</v>
      </c>
      <c r="B2557" s="12" t="str">
        <f>HYPERLINK("https://twitter.com/irfanokutan","@irfanokutan")</f>
        <v>@irfanokutan</v>
      </c>
      <c r="C2557" s="7" t="s">
        <v>573</v>
      </c>
      <c r="D2557" s="7" t="s">
        <v>15811</v>
      </c>
      <c r="E2557" s="12" t="str">
        <f>HYPERLINK("https://twitter.com/irfanokutan/status/1181900548062285824","1181900548062285824")</f>
        <v>1181900548062285824</v>
      </c>
      <c r="F2557" s="8"/>
      <c r="G2557" s="14" t="s">
        <v>15812</v>
      </c>
      <c r="H2557" s="8"/>
      <c r="I2557" s="15">
        <v>0</v>
      </c>
      <c r="J2557" s="15">
        <v>1</v>
      </c>
      <c r="K2557" s="12" t="str">
        <f>HYPERLINK("http://twitter.com/download/android","Twitter for Android")</f>
        <v>Twitter for Android</v>
      </c>
      <c r="L2557" s="16">
        <v>1615</v>
      </c>
      <c r="M2557" s="16">
        <v>1036</v>
      </c>
      <c r="N2557" s="16">
        <v>0</v>
      </c>
      <c r="O2557" s="17"/>
      <c r="P2557" s="18">
        <v>41187.864664351851</v>
      </c>
      <c r="Q2557" s="7"/>
      <c r="R2557" s="7" t="s">
        <v>15813</v>
      </c>
      <c r="S2557" s="15"/>
      <c r="T2557" s="8"/>
      <c r="U2557" s="19" t="str">
        <f>HYPERLINK("https://pbs.twimg.com/profile_images/1149048126029930496/W2EnOEfM.jpg","View")</f>
        <v>View</v>
      </c>
      <c r="V2557" s="8"/>
      <c r="W2557" s="8"/>
      <c r="X2557" s="8"/>
      <c r="Y2557" s="8"/>
      <c r="Z2557" s="8"/>
    </row>
    <row r="2558" spans="1:26" ht="12.75">
      <c r="A2558" s="11">
        <v>43747.203877314816</v>
      </c>
      <c r="B2558" s="12" t="str">
        <f>HYPERLINK("https://twitter.com/persius35","@persius35")</f>
        <v>@persius35</v>
      </c>
      <c r="C2558" s="7" t="s">
        <v>15814</v>
      </c>
      <c r="D2558" s="7" t="s">
        <v>15815</v>
      </c>
      <c r="E2558" s="12" t="str">
        <f>HYPERLINK("https://twitter.com/persius35/status/1181900510703575041","1181900510703575041")</f>
        <v>1181900510703575041</v>
      </c>
      <c r="F2558" s="8"/>
      <c r="G2558" s="7"/>
      <c r="H2558" s="8"/>
      <c r="I2558" s="15">
        <v>0</v>
      </c>
      <c r="J2558" s="15">
        <v>1</v>
      </c>
      <c r="K2558" s="12" t="str">
        <f>HYPERLINK("https://mobile.twitter.com","Twitter Web App")</f>
        <v>Twitter Web App</v>
      </c>
      <c r="L2558" s="16">
        <v>884</v>
      </c>
      <c r="M2558" s="16">
        <v>1477</v>
      </c>
      <c r="N2558" s="16">
        <v>7</v>
      </c>
      <c r="O2558" s="17"/>
      <c r="P2558" s="18">
        <v>39893.480891203704</v>
      </c>
      <c r="Q2558" s="7"/>
      <c r="R2558" s="7" t="s">
        <v>15816</v>
      </c>
      <c r="S2558" s="7"/>
      <c r="T2558" s="8"/>
      <c r="U2558" s="19" t="str">
        <f>HYPERLINK("https://pbs.twimg.com/profile_images/1174049606646284288/QfZYyR-X.jpg","View")</f>
        <v>View</v>
      </c>
      <c r="V2558" s="8"/>
      <c r="W2558" s="8"/>
      <c r="X2558" s="8"/>
      <c r="Y2558" s="8"/>
      <c r="Z2558" s="8"/>
    </row>
    <row r="2559" spans="1:26" ht="12.75">
      <c r="A2559" s="11">
        <v>43747.203865740739</v>
      </c>
      <c r="B2559" s="12" t="str">
        <f>HYPERLINK("https://twitter.com/shnshn52","@shnshn52")</f>
        <v>@shnshn52</v>
      </c>
      <c r="C2559" s="7" t="s">
        <v>15817</v>
      </c>
      <c r="D2559" s="7" t="s">
        <v>15818</v>
      </c>
      <c r="E2559" s="12" t="str">
        <f>HYPERLINK("https://twitter.com/shnshn52/status/1181900509734752257","1181900509734752257")</f>
        <v>1181900509734752257</v>
      </c>
      <c r="F2559" s="8"/>
      <c r="G2559" s="7"/>
      <c r="H2559" s="8"/>
      <c r="I2559" s="15">
        <v>1</v>
      </c>
      <c r="J2559" s="15">
        <v>2</v>
      </c>
      <c r="K2559" s="12" t="str">
        <f>HYPERLINK("http://twitter.com/download/android","Twitter for Android")</f>
        <v>Twitter for Android</v>
      </c>
      <c r="L2559" s="16">
        <v>44</v>
      </c>
      <c r="M2559" s="16">
        <v>43</v>
      </c>
      <c r="N2559" s="16">
        <v>0</v>
      </c>
      <c r="O2559" s="17"/>
      <c r="P2559" s="18">
        <v>41540.148622685185</v>
      </c>
      <c r="Q2559" s="7" t="s">
        <v>15819</v>
      </c>
      <c r="R2559" s="7" t="s">
        <v>15820</v>
      </c>
      <c r="S2559" s="7"/>
      <c r="T2559" s="8"/>
      <c r="U2559" s="19" t="str">
        <f>HYPERLINK("https://pbs.twimg.com/profile_images/1048336781408722945/bdGr_3Lc.jpg","View")</f>
        <v>View</v>
      </c>
      <c r="V2559" s="8"/>
      <c r="W2559" s="8"/>
      <c r="X2559" s="8"/>
      <c r="Y2559" s="8"/>
      <c r="Z2559" s="8"/>
    </row>
    <row r="2560" spans="1:26" ht="12.75">
      <c r="A2560" s="11">
        <v>43747.203842592593</v>
      </c>
      <c r="B2560" s="12" t="str">
        <f>HYPERLINK("https://twitter.com/ressam_tmz","@ressam_tmz")</f>
        <v>@ressam_tmz</v>
      </c>
      <c r="C2560" s="7" t="s">
        <v>15821</v>
      </c>
      <c r="D2560" s="7" t="s">
        <v>15822</v>
      </c>
      <c r="E2560" s="12" t="str">
        <f>HYPERLINK("https://twitter.com/ressam_tmz/status/1181900501622939652","1181900501622939652")</f>
        <v>1181900501622939652</v>
      </c>
      <c r="F2560" s="8"/>
      <c r="G2560" s="14" t="s">
        <v>15823</v>
      </c>
      <c r="H2560" s="8"/>
      <c r="I2560" s="15">
        <v>0</v>
      </c>
      <c r="J2560" s="15">
        <v>0</v>
      </c>
      <c r="K2560" s="12" t="str">
        <f>HYPERLINK("http://twitter.com/download/android","Twitter for Android")</f>
        <v>Twitter for Android</v>
      </c>
      <c r="L2560" s="16">
        <v>56</v>
      </c>
      <c r="M2560" s="16">
        <v>60</v>
      </c>
      <c r="N2560" s="16">
        <v>0</v>
      </c>
      <c r="O2560" s="17"/>
      <c r="P2560" s="18">
        <v>41227.057384259257</v>
      </c>
      <c r="Q2560" s="7" t="s">
        <v>69</v>
      </c>
      <c r="R2560" s="7" t="s">
        <v>15824</v>
      </c>
      <c r="S2560" s="14" t="s">
        <v>15825</v>
      </c>
      <c r="T2560" s="8"/>
      <c r="U2560" s="19" t="str">
        <f>HYPERLINK("https://pbs.twimg.com/profile_images/1068258714317189121/By-aUgFn.jpg","View")</f>
        <v>View</v>
      </c>
      <c r="V2560" s="8"/>
      <c r="W2560" s="8"/>
      <c r="X2560" s="8"/>
      <c r="Y2560" s="8"/>
      <c r="Z2560" s="8"/>
    </row>
    <row r="2561" spans="1:26" ht="12.75">
      <c r="A2561" s="11">
        <v>43747.203796296293</v>
      </c>
      <c r="B2561" s="12" t="str">
        <f>HYPERLINK("https://twitter.com/ahmetorenler","@ahmetorenler")</f>
        <v>@ahmetorenler</v>
      </c>
      <c r="C2561" s="7" t="s">
        <v>15826</v>
      </c>
      <c r="D2561" s="7" t="s">
        <v>15827</v>
      </c>
      <c r="E2561" s="12" t="str">
        <f>HYPERLINK("https://twitter.com/ahmetorenler/status/1181900481142099968","1181900481142099968")</f>
        <v>1181900481142099968</v>
      </c>
      <c r="F2561" s="8"/>
      <c r="G2561" s="7"/>
      <c r="H2561" s="8"/>
      <c r="I2561" s="15">
        <v>0</v>
      </c>
      <c r="J2561" s="15">
        <v>1</v>
      </c>
      <c r="K2561" s="12" t="str">
        <f>HYPERLINK("http://twitter.com/download/iphone","Twitter for iPhone")</f>
        <v>Twitter for iPhone</v>
      </c>
      <c r="L2561" s="16">
        <v>38</v>
      </c>
      <c r="M2561" s="16">
        <v>99</v>
      </c>
      <c r="N2561" s="16">
        <v>0</v>
      </c>
      <c r="O2561" s="17"/>
      <c r="P2561" s="18">
        <v>40925.581284722226</v>
      </c>
      <c r="Q2561" s="7"/>
      <c r="R2561" s="7" t="s">
        <v>15828</v>
      </c>
      <c r="S2561" s="7"/>
      <c r="T2561" s="8"/>
      <c r="U2561" s="19" t="str">
        <f>HYPERLINK("https://pbs.twimg.com/profile_images/3258243752/c213b7ccbea46ceb98ca05a74e8c57ca.jpeg","View")</f>
        <v>View</v>
      </c>
      <c r="V2561" s="8"/>
      <c r="W2561" s="8"/>
      <c r="X2561" s="8"/>
      <c r="Y2561" s="8"/>
      <c r="Z2561" s="8"/>
    </row>
    <row r="2562" spans="1:26" ht="12.75">
      <c r="A2562" s="11">
        <v>43747.20376157407</v>
      </c>
      <c r="B2562" s="12" t="str">
        <f>HYPERLINK("https://twitter.com/Ezeyneperen","@Ezeyneperen")</f>
        <v>@Ezeyneperen</v>
      </c>
      <c r="C2562" s="7" t="s">
        <v>15829</v>
      </c>
      <c r="D2562" s="7" t="s">
        <v>15830</v>
      </c>
      <c r="E2562" s="12" t="str">
        <f>HYPERLINK("https://twitter.com/Ezeyneperen/status/1181900471998586881","1181900471998586881")</f>
        <v>1181900471998586881</v>
      </c>
      <c r="F2562" s="8"/>
      <c r="G2562" s="14" t="s">
        <v>15831</v>
      </c>
      <c r="H2562" s="8"/>
      <c r="I2562" s="15">
        <v>0</v>
      </c>
      <c r="J2562" s="15">
        <v>2</v>
      </c>
      <c r="K2562" s="12" t="str">
        <f>HYPERLINK("http://twitter.com/download/android","Twitter for Android")</f>
        <v>Twitter for Android</v>
      </c>
      <c r="L2562" s="16">
        <v>294</v>
      </c>
      <c r="M2562" s="16">
        <v>119</v>
      </c>
      <c r="N2562" s="16">
        <v>0</v>
      </c>
      <c r="O2562" s="17"/>
      <c r="P2562" s="18">
        <v>41112.640601851854</v>
      </c>
      <c r="Q2562" s="7"/>
      <c r="R2562" s="7" t="s">
        <v>15832</v>
      </c>
      <c r="S2562" s="7"/>
      <c r="T2562" s="8"/>
      <c r="U2562" s="19" t="str">
        <f>HYPERLINK("https://pbs.twimg.com/profile_images/1181248402820141056/zGsmTQNS.jpg","View")</f>
        <v>View</v>
      </c>
      <c r="V2562" s="8"/>
      <c r="W2562" s="8"/>
      <c r="X2562" s="8"/>
      <c r="Y2562" s="8"/>
      <c r="Z2562" s="8"/>
    </row>
    <row r="2563" spans="1:26" ht="12.75">
      <c r="A2563" s="11">
        <v>43747.203715277778</v>
      </c>
      <c r="B2563" s="12" t="str">
        <f>HYPERLINK("https://twitter.com/rustempehlivan_","@rustempehlivan_")</f>
        <v>@rustempehlivan_</v>
      </c>
      <c r="C2563" s="7" t="s">
        <v>15833</v>
      </c>
      <c r="D2563" s="7" t="s">
        <v>15709</v>
      </c>
      <c r="E2563" s="12" t="str">
        <f>HYPERLINK("https://twitter.com/rustempehlivan_/status/1181900454411853824","1181900454411853824")</f>
        <v>1181900454411853824</v>
      </c>
      <c r="F2563" s="8"/>
      <c r="G2563" s="14" t="s">
        <v>15834</v>
      </c>
      <c r="H2563" s="8"/>
      <c r="I2563" s="15">
        <v>6</v>
      </c>
      <c r="J2563" s="15">
        <v>18</v>
      </c>
      <c r="K2563" s="12" t="str">
        <f>HYPERLINK("http://twitter.com/download/android","Twitter for Android")</f>
        <v>Twitter for Android</v>
      </c>
      <c r="L2563" s="16">
        <v>6667</v>
      </c>
      <c r="M2563" s="16">
        <v>3001</v>
      </c>
      <c r="N2563" s="16">
        <v>2</v>
      </c>
      <c r="O2563" s="17"/>
      <c r="P2563" s="18">
        <v>43519.410578703704</v>
      </c>
      <c r="Q2563" s="7" t="s">
        <v>313</v>
      </c>
      <c r="R2563" s="7" t="s">
        <v>15835</v>
      </c>
      <c r="S2563" s="14" t="s">
        <v>15836</v>
      </c>
      <c r="T2563" s="8"/>
      <c r="U2563" s="19" t="str">
        <f>HYPERLINK("https://pbs.twimg.com/profile_images/1170053784736882688/nXPZqhIL.jpg","View")</f>
        <v>View</v>
      </c>
      <c r="V2563" s="8"/>
      <c r="W2563" s="8"/>
      <c r="X2563" s="8"/>
      <c r="Y2563" s="8"/>
      <c r="Z2563" s="8"/>
    </row>
    <row r="2564" spans="1:26" ht="12.75">
      <c r="A2564" s="11">
        <v>43747.203402777777</v>
      </c>
      <c r="B2564" s="12" t="str">
        <f>HYPERLINK("https://twitter.com/osmant63","@osmant63")</f>
        <v>@osmant63</v>
      </c>
      <c r="C2564" s="7" t="s">
        <v>15837</v>
      </c>
      <c r="D2564" s="7" t="s">
        <v>13999</v>
      </c>
      <c r="E2564" s="12" t="str">
        <f>HYPERLINK("https://twitter.com/osmant63/status/1181900338879717376","1181900338879717376")</f>
        <v>1181900338879717376</v>
      </c>
      <c r="F2564" s="8"/>
      <c r="G2564" s="14" t="s">
        <v>15838</v>
      </c>
      <c r="H2564" s="8"/>
      <c r="I2564" s="15">
        <v>0</v>
      </c>
      <c r="J2564" s="15">
        <v>0</v>
      </c>
      <c r="K2564" s="12" t="str">
        <f>HYPERLINK("http://twitter.com/download/iphone","Twitter for iPhone")</f>
        <v>Twitter for iPhone</v>
      </c>
      <c r="L2564" s="16">
        <v>3452</v>
      </c>
      <c r="M2564" s="16">
        <v>396</v>
      </c>
      <c r="N2564" s="16">
        <v>0</v>
      </c>
      <c r="O2564" s="17"/>
      <c r="P2564" s="18">
        <v>40917.117094907408</v>
      </c>
      <c r="Q2564" s="7"/>
      <c r="R2564" s="7" t="s">
        <v>15839</v>
      </c>
      <c r="S2564" s="7"/>
      <c r="T2564" s="8"/>
      <c r="U2564" s="19" t="str">
        <f>HYPERLINK("https://pbs.twimg.com/profile_images/1067843402253942784/VxXrekUh.jpg","View")</f>
        <v>View</v>
      </c>
      <c r="V2564" s="8"/>
      <c r="W2564" s="8"/>
      <c r="X2564" s="8"/>
      <c r="Y2564" s="8"/>
      <c r="Z2564" s="8"/>
    </row>
    <row r="2565" spans="1:26" ht="12.75">
      <c r="A2565" s="11">
        <v>43747.2033912037</v>
      </c>
      <c r="B2565" s="12" t="str">
        <f>HYPERLINK("https://twitter.com/_violets8","@_violets8")</f>
        <v>@_violets8</v>
      </c>
      <c r="C2565" s="7" t="s">
        <v>15840</v>
      </c>
      <c r="D2565" s="7" t="s">
        <v>15841</v>
      </c>
      <c r="E2565" s="12" t="str">
        <f>HYPERLINK("https://twitter.com/_violets8/status/1181900337336205312","1181900337336205312")</f>
        <v>1181900337336205312</v>
      </c>
      <c r="F2565" s="8"/>
      <c r="G2565" s="14" t="s">
        <v>15842</v>
      </c>
      <c r="H2565" s="8"/>
      <c r="I2565" s="15">
        <v>0</v>
      </c>
      <c r="J2565" s="15">
        <v>1</v>
      </c>
      <c r="K2565" s="12" t="str">
        <f>HYPERLINK("http://twitter.com/download/android","Twitter for Android")</f>
        <v>Twitter for Android</v>
      </c>
      <c r="L2565" s="16">
        <v>910</v>
      </c>
      <c r="M2565" s="16">
        <v>859</v>
      </c>
      <c r="N2565" s="16">
        <v>3</v>
      </c>
      <c r="O2565" s="17"/>
      <c r="P2565" s="18">
        <v>43387.301840277782</v>
      </c>
      <c r="Q2565" s="7" t="s">
        <v>15843</v>
      </c>
      <c r="R2565" s="7" t="s">
        <v>15844</v>
      </c>
      <c r="S2565" s="7"/>
      <c r="T2565" s="8"/>
      <c r="U2565" s="19" t="str">
        <f>HYPERLINK("https://pbs.twimg.com/profile_images/1179081707334590465/kYLElr0e.jpg","View")</f>
        <v>View</v>
      </c>
      <c r="V2565" s="8"/>
      <c r="W2565" s="8"/>
      <c r="X2565" s="8"/>
      <c r="Y2565" s="8"/>
      <c r="Z2565" s="8"/>
    </row>
    <row r="2566" spans="1:26" ht="12.75">
      <c r="A2566" s="11">
        <v>43747.2033912037</v>
      </c>
      <c r="B2566" s="12" t="str">
        <f>HYPERLINK("https://twitter.com/1suleA","@1suleA")</f>
        <v>@1suleA</v>
      </c>
      <c r="C2566" s="7" t="s">
        <v>15845</v>
      </c>
      <c r="D2566" s="7" t="s">
        <v>15846</v>
      </c>
      <c r="E2566" s="12" t="str">
        <f>HYPERLINK("https://twitter.com/1suleA/status/1181900334727417856","1181900334727417856")</f>
        <v>1181900334727417856</v>
      </c>
      <c r="F2566" s="8"/>
      <c r="G2566" s="15"/>
      <c r="H2566" s="8"/>
      <c r="I2566" s="15">
        <v>0</v>
      </c>
      <c r="J2566" s="15">
        <v>1</v>
      </c>
      <c r="K2566" s="12" t="str">
        <f>HYPERLINK("http://twitter.com/download/android","Twitter for Android")</f>
        <v>Twitter for Android</v>
      </c>
      <c r="L2566" s="16">
        <v>166</v>
      </c>
      <c r="M2566" s="16">
        <v>168</v>
      </c>
      <c r="N2566" s="16">
        <v>0</v>
      </c>
      <c r="O2566" s="17"/>
      <c r="P2566" s="18">
        <v>40727.160856481481</v>
      </c>
      <c r="Q2566" s="7"/>
      <c r="R2566" s="7"/>
      <c r="S2566" s="15"/>
      <c r="T2566" s="8"/>
      <c r="U2566" s="19" t="str">
        <f>HYPERLINK("https://pbs.twimg.com/profile_images/1177592417287069697/o2v-ZY5N.jpg","View")</f>
        <v>View</v>
      </c>
      <c r="V2566" s="8"/>
      <c r="W2566" s="8"/>
      <c r="X2566" s="8"/>
      <c r="Y2566" s="8"/>
      <c r="Z2566" s="8"/>
    </row>
    <row r="2567" spans="1:26" ht="12.75">
      <c r="A2567" s="11">
        <v>43747.203379629631</v>
      </c>
      <c r="B2567" s="12" t="str">
        <f>HYPERLINK("https://twitter.com/ahmetcanerten_","@ahmetcanerten_")</f>
        <v>@ahmetcanerten_</v>
      </c>
      <c r="C2567" s="7" t="s">
        <v>15847</v>
      </c>
      <c r="D2567" s="7" t="s">
        <v>15848</v>
      </c>
      <c r="E2567" s="12" t="str">
        <f>HYPERLINK("https://twitter.com/ahmetcanerten_/status/1181900333351686149","1181900333351686149")</f>
        <v>1181900333351686149</v>
      </c>
      <c r="F2567" s="8"/>
      <c r="G2567" s="14" t="s">
        <v>15849</v>
      </c>
      <c r="H2567" s="8"/>
      <c r="I2567" s="15">
        <v>0</v>
      </c>
      <c r="J2567" s="15">
        <v>2</v>
      </c>
      <c r="K2567" s="12" t="str">
        <f>HYPERLINK("http://twitter.com/download/android","Twitter for Android")</f>
        <v>Twitter for Android</v>
      </c>
      <c r="L2567" s="16">
        <v>3</v>
      </c>
      <c r="M2567" s="16">
        <v>19</v>
      </c>
      <c r="N2567" s="16">
        <v>0</v>
      </c>
      <c r="O2567" s="17"/>
      <c r="P2567" s="18">
        <v>43747.165763888886</v>
      </c>
      <c r="Q2567" s="7" t="s">
        <v>15850</v>
      </c>
      <c r="R2567" s="7" t="s">
        <v>15851</v>
      </c>
      <c r="S2567" s="7"/>
      <c r="T2567" s="8"/>
      <c r="U2567" s="19" t="str">
        <f>HYPERLINK("https://pbs.twimg.com/profile_images/1181886848291000320/BtiYUMcs.jpg","View")</f>
        <v>View</v>
      </c>
      <c r="V2567" s="8"/>
      <c r="W2567" s="8"/>
      <c r="X2567" s="8"/>
      <c r="Y2567" s="8"/>
      <c r="Z2567" s="8"/>
    </row>
    <row r="2568" spans="1:26" ht="12.75">
      <c r="A2568" s="11">
        <v>43747.203379629631</v>
      </c>
      <c r="B2568" s="12" t="str">
        <f>HYPERLINK("https://twitter.com/adem3414","@adem3414")</f>
        <v>@adem3414</v>
      </c>
      <c r="C2568" s="7" t="s">
        <v>15852</v>
      </c>
      <c r="D2568" s="7" t="s">
        <v>15853</v>
      </c>
      <c r="E2568" s="12" t="str">
        <f>HYPERLINK("https://twitter.com/adem3414/status/1181900331724222464","1181900331724222464")</f>
        <v>1181900331724222464</v>
      </c>
      <c r="F2568" s="8"/>
      <c r="G2568" s="14" t="s">
        <v>15854</v>
      </c>
      <c r="H2568" s="8"/>
      <c r="I2568" s="15">
        <v>0</v>
      </c>
      <c r="J2568" s="15">
        <v>0</v>
      </c>
      <c r="K2568" s="12" t="str">
        <f>HYPERLINK("http://twitter.com/download/iphone","Twitter for iPhone")</f>
        <v>Twitter for iPhone</v>
      </c>
      <c r="L2568" s="16">
        <v>939</v>
      </c>
      <c r="M2568" s="16">
        <v>1657</v>
      </c>
      <c r="N2568" s="16">
        <v>0</v>
      </c>
      <c r="O2568" s="17"/>
      <c r="P2568" s="18">
        <v>41428.279537037037</v>
      </c>
      <c r="Q2568" s="7" t="s">
        <v>10826</v>
      </c>
      <c r="R2568" s="7" t="s">
        <v>15855</v>
      </c>
      <c r="S2568" s="7"/>
      <c r="T2568" s="8"/>
      <c r="U2568" s="19" t="str">
        <f>HYPERLINK("https://pbs.twimg.com/profile_images/378800000539282374/907511058342e4cd55e1e7293a942980.jpeg","View")</f>
        <v>View</v>
      </c>
      <c r="V2568" s="8"/>
      <c r="W2568" s="8"/>
      <c r="X2568" s="8"/>
      <c r="Y2568" s="8"/>
      <c r="Z2568" s="8"/>
    </row>
    <row r="2569" spans="1:26" ht="12.75">
      <c r="A2569" s="11">
        <v>43747.203368055554</v>
      </c>
      <c r="B2569" s="12" t="str">
        <f>HYPERLINK("https://twitter.com/Onur95592620","@Onur95592620")</f>
        <v>@Onur95592620</v>
      </c>
      <c r="C2569" s="7" t="s">
        <v>10813</v>
      </c>
      <c r="D2569" s="7" t="s">
        <v>15856</v>
      </c>
      <c r="E2569" s="12" t="str">
        <f>HYPERLINK("https://twitter.com/Onur95592620/status/1181900327760646145","1181900327760646145")</f>
        <v>1181900327760646145</v>
      </c>
      <c r="F2569" s="15"/>
      <c r="G2569" s="14" t="s">
        <v>15857</v>
      </c>
      <c r="H2569" s="8"/>
      <c r="I2569" s="15">
        <v>0</v>
      </c>
      <c r="J2569" s="15">
        <v>0</v>
      </c>
      <c r="K2569" s="12" t="str">
        <f>HYPERLINK("http://twitter.com/download/android","Twitter for Android")</f>
        <v>Twitter for Android</v>
      </c>
      <c r="L2569" s="16">
        <v>91</v>
      </c>
      <c r="M2569" s="16">
        <v>248</v>
      </c>
      <c r="N2569" s="16">
        <v>0</v>
      </c>
      <c r="O2569" s="17"/>
      <c r="P2569" s="18">
        <v>43477.384965277779</v>
      </c>
      <c r="Q2569" s="7"/>
      <c r="R2569" s="7"/>
      <c r="S2569" s="7"/>
      <c r="T2569" s="8"/>
      <c r="U2569" s="19" t="str">
        <f>HYPERLINK("https://pbs.twimg.com/profile_images/1151032202274246656/xQ-vTsg7.jpg","View")</f>
        <v>View</v>
      </c>
      <c r="V2569" s="8"/>
      <c r="W2569" s="8"/>
      <c r="X2569" s="8"/>
      <c r="Y2569" s="8"/>
      <c r="Z2569" s="8"/>
    </row>
    <row r="2570" spans="1:26" ht="12.75">
      <c r="A2570" s="11">
        <v>43747.203298611115</v>
      </c>
      <c r="B2570" s="12" t="str">
        <f>HYPERLINK("https://twitter.com/SSapan1","@SSapan1")</f>
        <v>@SSapan1</v>
      </c>
      <c r="C2570" s="7" t="s">
        <v>15858</v>
      </c>
      <c r="D2570" s="7" t="s">
        <v>15859</v>
      </c>
      <c r="E2570" s="12" t="str">
        <f>HYPERLINK("https://twitter.com/SSapan1/status/1181900302380875778","1181900302380875778")</f>
        <v>1181900302380875778</v>
      </c>
      <c r="F2570" s="8"/>
      <c r="G2570" s="15"/>
      <c r="H2570" s="8"/>
      <c r="I2570" s="15">
        <v>0</v>
      </c>
      <c r="J2570" s="15">
        <v>1</v>
      </c>
      <c r="K2570" s="12" t="str">
        <f>HYPERLINK("http://twitter.com/download/android","Twitter for Android")</f>
        <v>Twitter for Android</v>
      </c>
      <c r="L2570" s="16">
        <v>310</v>
      </c>
      <c r="M2570" s="16">
        <v>301</v>
      </c>
      <c r="N2570" s="16">
        <v>0</v>
      </c>
      <c r="O2570" s="17"/>
      <c r="P2570" s="18">
        <v>42881.517835648148</v>
      </c>
      <c r="Q2570" s="7"/>
      <c r="R2570" s="7" t="s">
        <v>15860</v>
      </c>
      <c r="S2570" s="7"/>
      <c r="T2570" s="8"/>
      <c r="U2570" s="19" t="str">
        <f>HYPERLINK("https://pbs.twimg.com/profile_images/1174894751952199680/8Bst54kB.jpg","View")</f>
        <v>View</v>
      </c>
      <c r="V2570" s="8"/>
      <c r="W2570" s="8"/>
      <c r="X2570" s="8"/>
      <c r="Y2570" s="8"/>
      <c r="Z2570" s="8"/>
    </row>
    <row r="2571" spans="1:26" ht="12.75">
      <c r="A2571" s="11">
        <v>43747.203159722223</v>
      </c>
      <c r="B2571" s="12" t="str">
        <f>HYPERLINK("https://twitter.com/UmucArgun","@UmucArgun")</f>
        <v>@UmucArgun</v>
      </c>
      <c r="C2571" s="7" t="s">
        <v>15861</v>
      </c>
      <c r="D2571" s="7" t="s">
        <v>15862</v>
      </c>
      <c r="E2571" s="12" t="str">
        <f>HYPERLINK("https://twitter.com/UmucArgun/status/1181900252749676545","1181900252749676545")</f>
        <v>1181900252749676545</v>
      </c>
      <c r="F2571" s="8"/>
      <c r="G2571" s="14" t="s">
        <v>15863</v>
      </c>
      <c r="H2571" s="8"/>
      <c r="I2571" s="15">
        <v>0</v>
      </c>
      <c r="J2571" s="15">
        <v>1</v>
      </c>
      <c r="K2571" s="12" t="str">
        <f>HYPERLINK("http://twitter.com","Twitter Web Client")</f>
        <v>Twitter Web Client</v>
      </c>
      <c r="L2571" s="16">
        <v>14</v>
      </c>
      <c r="M2571" s="16">
        <v>0</v>
      </c>
      <c r="N2571" s="16">
        <v>0</v>
      </c>
      <c r="O2571" s="17"/>
      <c r="P2571" s="18">
        <v>43639.59174768519</v>
      </c>
      <c r="Q2571" s="7" t="s">
        <v>15864</v>
      </c>
      <c r="R2571" s="7" t="s">
        <v>15865</v>
      </c>
      <c r="S2571" s="7"/>
      <c r="T2571" s="8"/>
      <c r="U2571" s="19" t="str">
        <f>HYPERLINK("https://pbs.twimg.com/profile_images/1143819357904089088/S_qyqYZ5.jpg","View")</f>
        <v>View</v>
      </c>
      <c r="V2571" s="8"/>
      <c r="W2571" s="8"/>
      <c r="X2571" s="8"/>
      <c r="Y2571" s="8"/>
      <c r="Z2571" s="8"/>
    </row>
    <row r="2572" spans="1:26" ht="12.75">
      <c r="A2572" s="11">
        <v>43747.203101851846</v>
      </c>
      <c r="B2572" s="12" t="str">
        <f>HYPERLINK("https://twitter.com/GUNDOG4NMEHMET","@GUNDOG4NMEHMET")</f>
        <v>@GUNDOG4NMEHMET</v>
      </c>
      <c r="C2572" s="7" t="s">
        <v>15866</v>
      </c>
      <c r="D2572" s="7" t="s">
        <v>160</v>
      </c>
      <c r="E2572" s="12" t="str">
        <f>HYPERLINK("https://twitter.com/GUNDOG4NMEHMET/status/1181900229723004928","1181900229723004928")</f>
        <v>1181900229723004928</v>
      </c>
      <c r="F2572" s="8"/>
      <c r="G2572" s="14" t="s">
        <v>15867</v>
      </c>
      <c r="H2572" s="8"/>
      <c r="I2572" s="15">
        <v>0</v>
      </c>
      <c r="J2572" s="15">
        <v>1</v>
      </c>
      <c r="K2572" s="12" t="str">
        <f>HYPERLINK("http://twitter.com/download/android","Twitter for Android")</f>
        <v>Twitter for Android</v>
      </c>
      <c r="L2572" s="16">
        <v>2881</v>
      </c>
      <c r="M2572" s="16">
        <v>2728</v>
      </c>
      <c r="N2572" s="16">
        <v>2</v>
      </c>
      <c r="O2572" s="17"/>
      <c r="P2572" s="18">
        <v>40852.3909837963</v>
      </c>
      <c r="Q2572" s="7"/>
      <c r="R2572" s="7" t="s">
        <v>15868</v>
      </c>
      <c r="S2572" s="7"/>
      <c r="T2572" s="8"/>
      <c r="U2572" s="19" t="str">
        <f>HYPERLINK("https://pbs.twimg.com/profile_images/503603675013853184/YvGpmq1I.jpeg","View")</f>
        <v>View</v>
      </c>
      <c r="V2572" s="8"/>
      <c r="W2572" s="8"/>
      <c r="X2572" s="8"/>
      <c r="Y2572" s="8"/>
      <c r="Z2572" s="8"/>
    </row>
    <row r="2573" spans="1:26" ht="12.75">
      <c r="A2573" s="11">
        <v>43747.203043981484</v>
      </c>
      <c r="B2573" s="12" t="str">
        <f>HYPERLINK("https://twitter.com/Kmlekz","@Kmlekz")</f>
        <v>@Kmlekz</v>
      </c>
      <c r="C2573" s="7" t="s">
        <v>15869</v>
      </c>
      <c r="D2573" s="7" t="s">
        <v>13999</v>
      </c>
      <c r="E2573" s="12" t="str">
        <f>HYPERLINK("https://twitter.com/Kmlekz/status/1181900212220125185","1181900212220125185")</f>
        <v>1181900212220125185</v>
      </c>
      <c r="F2573" s="8"/>
      <c r="G2573" s="14" t="s">
        <v>15870</v>
      </c>
      <c r="H2573" s="8"/>
      <c r="I2573" s="15">
        <v>0</v>
      </c>
      <c r="J2573" s="15">
        <v>1</v>
      </c>
      <c r="K2573" s="12" t="str">
        <f>HYPERLINK("http://twitter.com/download/iphone","Twitter for iPhone")</f>
        <v>Twitter for iPhone</v>
      </c>
      <c r="L2573" s="16">
        <v>502</v>
      </c>
      <c r="M2573" s="16">
        <v>519</v>
      </c>
      <c r="N2573" s="16">
        <v>0</v>
      </c>
      <c r="O2573" s="17"/>
      <c r="P2573" s="18">
        <v>41172.692499999997</v>
      </c>
      <c r="Q2573" s="7" t="s">
        <v>252</v>
      </c>
      <c r="R2573" s="7" t="s">
        <v>15871</v>
      </c>
      <c r="S2573" s="14" t="s">
        <v>15872</v>
      </c>
      <c r="T2573" s="8"/>
      <c r="U2573" s="19" t="str">
        <f>HYPERLINK("https://pbs.twimg.com/profile_images/950021720966123521/A1BN9VxC.jpg","View")</f>
        <v>View</v>
      </c>
      <c r="V2573" s="8"/>
      <c r="W2573" s="8"/>
      <c r="X2573" s="8"/>
      <c r="Y2573" s="8"/>
      <c r="Z2573" s="8"/>
    </row>
    <row r="2574" spans="1:26" ht="12.75">
      <c r="A2574" s="11">
        <v>43747.202928240746</v>
      </c>
      <c r="B2574" s="12" t="str">
        <f>HYPERLINK("https://twitter.com/mhmttkeskin","@mhmttkeskin")</f>
        <v>@mhmttkeskin</v>
      </c>
      <c r="C2574" s="7" t="s">
        <v>15873</v>
      </c>
      <c r="D2574" s="7" t="s">
        <v>160</v>
      </c>
      <c r="E2574" s="12" t="str">
        <f>HYPERLINK("https://twitter.com/mhmttkeskin/status/1181900168276381696","1181900168276381696")</f>
        <v>1181900168276381696</v>
      </c>
      <c r="F2574" s="8"/>
      <c r="G2574" s="14" t="s">
        <v>15874</v>
      </c>
      <c r="H2574" s="8"/>
      <c r="I2574" s="15">
        <v>0</v>
      </c>
      <c r="J2574" s="15">
        <v>0</v>
      </c>
      <c r="K2574" s="12" t="str">
        <f>HYPERLINK("http://twitter.com/download/android","Twitter for Android")</f>
        <v>Twitter for Android</v>
      </c>
      <c r="L2574" s="16">
        <v>357</v>
      </c>
      <c r="M2574" s="16">
        <v>149</v>
      </c>
      <c r="N2574" s="16">
        <v>0</v>
      </c>
      <c r="O2574" s="17"/>
      <c r="P2574" s="18">
        <v>42396.117141203707</v>
      </c>
      <c r="Q2574" s="7" t="s">
        <v>2050</v>
      </c>
      <c r="R2574" s="7" t="s">
        <v>15875</v>
      </c>
      <c r="S2574" s="14" t="s">
        <v>15876</v>
      </c>
      <c r="T2574" s="8"/>
      <c r="U2574" s="19" t="str">
        <f>HYPERLINK("https://pbs.twimg.com/profile_images/1042681036893835265/-TfNijfS.jpg","View")</f>
        <v>View</v>
      </c>
      <c r="V2574" s="8"/>
      <c r="W2574" s="8"/>
      <c r="X2574" s="8"/>
      <c r="Y2574" s="8"/>
      <c r="Z2574" s="8"/>
    </row>
    <row r="2575" spans="1:26" ht="12.75">
      <c r="A2575" s="11">
        <v>43747.202928240746</v>
      </c>
      <c r="B2575" s="12" t="str">
        <f>HYPERLINK("https://twitter.com/MEHMETE84352266","@MEHMETE84352266")</f>
        <v>@MEHMETE84352266</v>
      </c>
      <c r="C2575" s="7" t="s">
        <v>15877</v>
      </c>
      <c r="D2575" s="7" t="s">
        <v>15878</v>
      </c>
      <c r="E2575" s="12" t="str">
        <f>HYPERLINK("https://twitter.com/MEHMETE84352266/status/1181900166628089856","1181900166628089856")</f>
        <v>1181900166628089856</v>
      </c>
      <c r="F2575" s="8"/>
      <c r="G2575" s="14" t="s">
        <v>15879</v>
      </c>
      <c r="H2575" s="8"/>
      <c r="I2575" s="15">
        <v>0</v>
      </c>
      <c r="J2575" s="15">
        <v>2</v>
      </c>
      <c r="K2575" s="12" t="str">
        <f>HYPERLINK("https://mobile.twitter.com","Twitter Web App")</f>
        <v>Twitter Web App</v>
      </c>
      <c r="L2575" s="16">
        <v>1</v>
      </c>
      <c r="M2575" s="16">
        <v>14</v>
      </c>
      <c r="N2575" s="16">
        <v>0</v>
      </c>
      <c r="O2575" s="17"/>
      <c r="P2575" s="18">
        <v>43747.197916666672</v>
      </c>
      <c r="Q2575" s="7"/>
      <c r="R2575" s="7" t="s">
        <v>15880</v>
      </c>
      <c r="S2575" s="7"/>
      <c r="T2575" s="8"/>
      <c r="U2575" s="19" t="str">
        <f>HYPERLINK("https://pbs.twimg.com/profile_images/1181898381993619461/X6mPJKwu.jpg","View")</f>
        <v>View</v>
      </c>
      <c r="V2575" s="8"/>
      <c r="W2575" s="8"/>
      <c r="X2575" s="8"/>
      <c r="Y2575" s="8"/>
      <c r="Z2575" s="8"/>
    </row>
    <row r="2576" spans="1:26" ht="12.75">
      <c r="A2576" s="11">
        <v>43747.202777777777</v>
      </c>
      <c r="B2576" s="12" t="str">
        <f>HYPERLINK("https://twitter.com/_CevatGuler","@_CevatGuler")</f>
        <v>@_CevatGuler</v>
      </c>
      <c r="C2576" s="7" t="s">
        <v>15881</v>
      </c>
      <c r="D2576" s="7" t="s">
        <v>15882</v>
      </c>
      <c r="E2576" s="12" t="str">
        <f>HYPERLINK("https://twitter.com/_CevatGuler/status/1181900114824175616","1181900114824175616")</f>
        <v>1181900114824175616</v>
      </c>
      <c r="F2576" s="8"/>
      <c r="G2576" s="15"/>
      <c r="H2576" s="8"/>
      <c r="I2576" s="15">
        <v>0</v>
      </c>
      <c r="J2576" s="15">
        <v>0</v>
      </c>
      <c r="K2576" s="12" t="str">
        <f>HYPERLINK("http://twitter.com/download/iphone","Twitter for iPhone")</f>
        <v>Twitter for iPhone</v>
      </c>
      <c r="L2576" s="16">
        <v>102</v>
      </c>
      <c r="M2576" s="16">
        <v>260</v>
      </c>
      <c r="N2576" s="16">
        <v>0</v>
      </c>
      <c r="O2576" s="17"/>
      <c r="P2576" s="18">
        <v>40409.791712962964</v>
      </c>
      <c r="Q2576" s="7"/>
      <c r="R2576" s="7"/>
      <c r="S2576" s="7"/>
      <c r="T2576" s="8"/>
      <c r="U2576" s="19" t="str">
        <f>HYPERLINK("https://pbs.twimg.com/profile_images/1137358411740385283/FIXVw_P5.jpg","View")</f>
        <v>View</v>
      </c>
      <c r="V2576" s="8"/>
      <c r="W2576" s="8"/>
      <c r="X2576" s="8"/>
      <c r="Y2576" s="8"/>
      <c r="Z2576" s="8"/>
    </row>
    <row r="2577" spans="1:26" ht="12.75">
      <c r="A2577" s="11">
        <v>43747.202777777777</v>
      </c>
      <c r="B2577" s="12" t="str">
        <f>HYPERLINK("https://twitter.com/celiksaban73","@celiksaban73")</f>
        <v>@celiksaban73</v>
      </c>
      <c r="C2577" s="7" t="s">
        <v>15883</v>
      </c>
      <c r="D2577" s="7" t="s">
        <v>15884</v>
      </c>
      <c r="E2577" s="12" t="str">
        <f>HYPERLINK("https://twitter.com/celiksaban73/status/1181900112836124672","1181900112836124672")</f>
        <v>1181900112836124672</v>
      </c>
      <c r="F2577" s="8"/>
      <c r="G2577" s="14" t="s">
        <v>15885</v>
      </c>
      <c r="H2577" s="8"/>
      <c r="I2577" s="15">
        <v>4</v>
      </c>
      <c r="J2577" s="15">
        <v>7</v>
      </c>
      <c r="K2577" s="12" t="str">
        <f>HYPERLINK("http://twitter.com/download/android","Twitter for Android")</f>
        <v>Twitter for Android</v>
      </c>
      <c r="L2577" s="16">
        <v>6108</v>
      </c>
      <c r="M2577" s="16">
        <v>6044</v>
      </c>
      <c r="N2577" s="16">
        <v>1</v>
      </c>
      <c r="O2577" s="17"/>
      <c r="P2577" s="18">
        <v>42427.133831018524</v>
      </c>
      <c r="Q2577" s="7" t="s">
        <v>2050</v>
      </c>
      <c r="R2577" s="7" t="s">
        <v>15886</v>
      </c>
      <c r="S2577" s="7"/>
      <c r="T2577" s="8"/>
      <c r="U2577" s="19" t="str">
        <f>HYPERLINK("https://pbs.twimg.com/profile_images/1171108778344947712/nAwsf7My.jpg","View")</f>
        <v>View</v>
      </c>
      <c r="V2577" s="8"/>
      <c r="W2577" s="8"/>
      <c r="X2577" s="8"/>
      <c r="Y2577" s="8"/>
      <c r="Z2577" s="8"/>
    </row>
    <row r="2578" spans="1:26" ht="12.75">
      <c r="A2578" s="11">
        <v>43747.20275462963</v>
      </c>
      <c r="B2578" s="12" t="str">
        <f>HYPERLINK("https://twitter.com/kasimpsali_onur","@kasimpsali_onur")</f>
        <v>@kasimpsali_onur</v>
      </c>
      <c r="C2578" s="7" t="s">
        <v>15887</v>
      </c>
      <c r="D2578" s="7" t="s">
        <v>15888</v>
      </c>
      <c r="E2578" s="12" t="str">
        <f>HYPERLINK("https://twitter.com/kasimpsali_onur/status/1181900107773566977","1181900107773566977")</f>
        <v>1181900107773566977</v>
      </c>
      <c r="F2578" s="8"/>
      <c r="G2578" s="14" t="s">
        <v>15889</v>
      </c>
      <c r="H2578" s="8"/>
      <c r="I2578" s="15">
        <v>0</v>
      </c>
      <c r="J2578" s="15">
        <v>1</v>
      </c>
      <c r="K2578" s="12" t="str">
        <f>HYPERLINK("http://twitter.com/download/android","Twitter for Android")</f>
        <v>Twitter for Android</v>
      </c>
      <c r="L2578" s="16">
        <v>11132</v>
      </c>
      <c r="M2578" s="16">
        <v>10289</v>
      </c>
      <c r="N2578" s="16">
        <v>6</v>
      </c>
      <c r="O2578" s="17"/>
      <c r="P2578" s="18">
        <v>40682.566388888888</v>
      </c>
      <c r="Q2578" s="7" t="s">
        <v>15890</v>
      </c>
      <c r="R2578" s="7" t="s">
        <v>15891</v>
      </c>
      <c r="S2578" s="14" t="s">
        <v>15892</v>
      </c>
      <c r="T2578" s="8"/>
      <c r="U2578" s="19" t="str">
        <f>HYPERLINK("https://pbs.twimg.com/profile_images/1166308470242586625/xnJkE-H_.jpg","View")</f>
        <v>View</v>
      </c>
      <c r="V2578" s="8"/>
      <c r="W2578" s="8"/>
      <c r="X2578" s="8"/>
      <c r="Y2578" s="8"/>
      <c r="Z2578" s="8"/>
    </row>
    <row r="2579" spans="1:26" ht="12.75">
      <c r="A2579" s="11">
        <v>43747.202696759261</v>
      </c>
      <c r="B2579" s="12" t="str">
        <f>HYPERLINK("https://twitter.com/Alabao1","@Alabao1")</f>
        <v>@Alabao1</v>
      </c>
      <c r="C2579" s="7" t="s">
        <v>15893</v>
      </c>
      <c r="D2579" s="7" t="s">
        <v>15894</v>
      </c>
      <c r="E2579" s="12" t="str">
        <f>HYPERLINK("https://twitter.com/Alabao1/status/1181900086135214080","1181900086135214080")</f>
        <v>1181900086135214080</v>
      </c>
      <c r="F2579" s="8"/>
      <c r="G2579" s="7"/>
      <c r="H2579" s="8"/>
      <c r="I2579" s="15">
        <v>0</v>
      </c>
      <c r="J2579" s="15">
        <v>0</v>
      </c>
      <c r="K2579" s="12" t="str">
        <f>HYPERLINK("http://twitter.com/download/android","Twitter for Android")</f>
        <v>Twitter for Android</v>
      </c>
      <c r="L2579" s="16">
        <v>2111</v>
      </c>
      <c r="M2579" s="16">
        <v>2259</v>
      </c>
      <c r="N2579" s="16">
        <v>0</v>
      </c>
      <c r="O2579" s="17"/>
      <c r="P2579" s="18">
        <v>40680.947893518518</v>
      </c>
      <c r="Q2579" s="7" t="s">
        <v>918</v>
      </c>
      <c r="R2579" s="7" t="s">
        <v>918</v>
      </c>
      <c r="S2579" s="7"/>
      <c r="T2579" s="8"/>
      <c r="U2579" s="19" t="str">
        <f>HYPERLINK("https://pbs.twimg.com/profile_images/1148179197682208770/nDTexPPd.jpg","View")</f>
        <v>View</v>
      </c>
      <c r="V2579" s="8"/>
      <c r="W2579" s="8"/>
      <c r="X2579" s="8"/>
      <c r="Y2579" s="8"/>
      <c r="Z2579" s="8"/>
    </row>
    <row r="2580" spans="1:26" ht="12.75">
      <c r="A2580" s="11">
        <v>43747.202650462961</v>
      </c>
      <c r="B2580" s="12" t="str">
        <f>HYPERLINK("https://twitter.com/KolukVasfi","@KolukVasfi")</f>
        <v>@KolukVasfi</v>
      </c>
      <c r="C2580" s="7" t="s">
        <v>15895</v>
      </c>
      <c r="D2580" s="7" t="s">
        <v>15896</v>
      </c>
      <c r="E2580" s="12" t="str">
        <f>HYPERLINK("https://twitter.com/KolukVasfi/status/1181900068183580672","1181900068183580672")</f>
        <v>1181900068183580672</v>
      </c>
      <c r="F2580" s="8"/>
      <c r="G2580" s="15"/>
      <c r="H2580" s="8"/>
      <c r="I2580" s="15">
        <v>0</v>
      </c>
      <c r="J2580" s="15">
        <v>0</v>
      </c>
      <c r="K2580" s="12" t="str">
        <f>HYPERLINK("http://twitter.com","Twitter Web Client")</f>
        <v>Twitter Web Client</v>
      </c>
      <c r="L2580" s="16">
        <v>8</v>
      </c>
      <c r="M2580" s="16">
        <v>0</v>
      </c>
      <c r="N2580" s="16">
        <v>1</v>
      </c>
      <c r="O2580" s="17"/>
      <c r="P2580" s="18">
        <v>43668.857164351852</v>
      </c>
      <c r="Q2580" s="7" t="s">
        <v>2277</v>
      </c>
      <c r="R2580" s="7" t="s">
        <v>15897</v>
      </c>
      <c r="S2580" s="7"/>
      <c r="T2580" s="8"/>
      <c r="U2580" s="19" t="str">
        <f>HYPERLINK("https://pbs.twimg.com/profile_images/1153751937550102530/p0qjpl4l.jpg","View")</f>
        <v>View</v>
      </c>
      <c r="V2580" s="8"/>
      <c r="W2580" s="8"/>
      <c r="X2580" s="8"/>
      <c r="Y2580" s="8"/>
      <c r="Z2580" s="8"/>
    </row>
    <row r="2581" spans="1:26" ht="12.75">
      <c r="A2581" s="11">
        <v>43747.202627314815</v>
      </c>
      <c r="B2581" s="12" t="str">
        <f>HYPERLINK("https://twitter.com/mentesmstf","@mentesmstf")</f>
        <v>@mentesmstf</v>
      </c>
      <c r="C2581" s="7" t="s">
        <v>15898</v>
      </c>
      <c r="D2581" s="7" t="s">
        <v>9019</v>
      </c>
      <c r="E2581" s="12" t="str">
        <f>HYPERLINK("https://twitter.com/mentesmstf/status/1181900059090272256","1181900059090272256")</f>
        <v>1181900059090272256</v>
      </c>
      <c r="F2581" s="8"/>
      <c r="G2581" s="14" t="s">
        <v>15899</v>
      </c>
      <c r="H2581" s="8"/>
      <c r="I2581" s="15">
        <v>0</v>
      </c>
      <c r="J2581" s="15">
        <v>1</v>
      </c>
      <c r="K2581" s="12" t="str">
        <f>HYPERLINK("http://twitter.com/download/android","Twitter for Android")</f>
        <v>Twitter for Android</v>
      </c>
      <c r="L2581" s="16">
        <v>252</v>
      </c>
      <c r="M2581" s="16">
        <v>274</v>
      </c>
      <c r="N2581" s="16">
        <v>0</v>
      </c>
      <c r="O2581" s="17"/>
      <c r="P2581" s="18">
        <v>42456.194074074076</v>
      </c>
      <c r="Q2581" s="7" t="s">
        <v>69</v>
      </c>
      <c r="R2581" s="7" t="s">
        <v>15900</v>
      </c>
      <c r="S2581" s="7"/>
      <c r="T2581" s="8"/>
      <c r="U2581" s="19" t="str">
        <f>HYPERLINK("https://pbs.twimg.com/profile_images/980404894631911424/DXngBLpA.jpg","View")</f>
        <v>View</v>
      </c>
      <c r="V2581" s="8"/>
      <c r="W2581" s="8"/>
      <c r="X2581" s="8"/>
      <c r="Y2581" s="8"/>
      <c r="Z2581" s="8"/>
    </row>
    <row r="2582" spans="1:26" ht="12.75">
      <c r="A2582" s="11">
        <v>43747.202615740738</v>
      </c>
      <c r="B2582" s="12" t="str">
        <f>HYPERLINK("https://twitter.com/KadriyeMEN1","@KadriyeMEN1")</f>
        <v>@KadriyeMEN1</v>
      </c>
      <c r="C2582" s="7" t="s">
        <v>15901</v>
      </c>
      <c r="D2582" s="7" t="s">
        <v>15902</v>
      </c>
      <c r="E2582" s="12" t="str">
        <f>HYPERLINK("https://twitter.com/KadriyeMEN1/status/1181900056712142853","1181900056712142853")</f>
        <v>1181900056712142853</v>
      </c>
      <c r="F2582" s="8"/>
      <c r="G2582" s="14" t="s">
        <v>15903</v>
      </c>
      <c r="H2582" s="8"/>
      <c r="I2582" s="15">
        <v>0</v>
      </c>
      <c r="J2582" s="15">
        <v>2</v>
      </c>
      <c r="K2582" s="12" t="str">
        <f>HYPERLINK("http://twitter.com/download/iphone","Twitter for iPhone")</f>
        <v>Twitter for iPhone</v>
      </c>
      <c r="L2582" s="16">
        <v>805</v>
      </c>
      <c r="M2582" s="16">
        <v>699</v>
      </c>
      <c r="N2582" s="16">
        <v>0</v>
      </c>
      <c r="O2582" s="17"/>
      <c r="P2582" s="18">
        <v>43501.45821759259</v>
      </c>
      <c r="Q2582" s="7"/>
      <c r="R2582" s="7" t="s">
        <v>15904</v>
      </c>
      <c r="S2582" s="14" t="s">
        <v>15905</v>
      </c>
      <c r="T2582" s="8"/>
      <c r="U2582" s="19" t="str">
        <f>HYPERLINK("https://pbs.twimg.com/profile_images/1162680232433901569/NkNkgerU.jpg","View")</f>
        <v>View</v>
      </c>
      <c r="V2582" s="8"/>
      <c r="W2582" s="8"/>
      <c r="X2582" s="8"/>
      <c r="Y2582" s="8"/>
      <c r="Z2582" s="8"/>
    </row>
    <row r="2583" spans="1:26" ht="12.75">
      <c r="A2583" s="11">
        <v>43747.202604166669</v>
      </c>
      <c r="B2583" s="12" t="str">
        <f>HYPERLINK("https://twitter.com/ilguen_mustafa","@ilguen_mustafa")</f>
        <v>@ilguen_mustafa</v>
      </c>
      <c r="C2583" s="7" t="s">
        <v>15906</v>
      </c>
      <c r="D2583" s="7" t="s">
        <v>15907</v>
      </c>
      <c r="E2583" s="12" t="str">
        <f>HYPERLINK("https://twitter.com/ilguen_mustafa/status/1181900051507027968","1181900051507027968")</f>
        <v>1181900051507027968</v>
      </c>
      <c r="F2583" s="8"/>
      <c r="G2583" s="15"/>
      <c r="H2583" s="8"/>
      <c r="I2583" s="15">
        <v>0</v>
      </c>
      <c r="J2583" s="15">
        <v>0</v>
      </c>
      <c r="K2583" s="12" t="str">
        <f>HYPERLINK("http://twitter.com/download/iphone","Twitter for iPhone")</f>
        <v>Twitter for iPhone</v>
      </c>
      <c r="L2583" s="16">
        <v>43</v>
      </c>
      <c r="M2583" s="16">
        <v>121</v>
      </c>
      <c r="N2583" s="16">
        <v>1</v>
      </c>
      <c r="O2583" s="17"/>
      <c r="P2583" s="18">
        <v>42629.506712962961</v>
      </c>
      <c r="Q2583" s="7" t="s">
        <v>15908</v>
      </c>
      <c r="R2583" s="7"/>
      <c r="S2583" s="15"/>
      <c r="T2583" s="8"/>
      <c r="U2583" s="19" t="str">
        <f>HYPERLINK("https://pbs.twimg.com/profile_images/1153878036045029377/XCtNDJV9.jpg","View")</f>
        <v>View</v>
      </c>
      <c r="V2583" s="8"/>
      <c r="W2583" s="8"/>
      <c r="X2583" s="8"/>
      <c r="Y2583" s="8"/>
      <c r="Z2583" s="8"/>
    </row>
    <row r="2584" spans="1:26" ht="12.75">
      <c r="A2584" s="11">
        <v>43747.202604166669</v>
      </c>
      <c r="B2584" s="12" t="str">
        <f>HYPERLINK("https://twitter.com/samildmrts01","@samildmrts01")</f>
        <v>@samildmrts01</v>
      </c>
      <c r="C2584" s="7" t="s">
        <v>15909</v>
      </c>
      <c r="D2584" s="7" t="s">
        <v>15910</v>
      </c>
      <c r="E2584" s="12" t="str">
        <f>HYPERLINK("https://twitter.com/samildmrts01/status/1181900049351151617","1181900049351151617")</f>
        <v>1181900049351151617</v>
      </c>
      <c r="F2584" s="15"/>
      <c r="G2584" s="7"/>
      <c r="H2584" s="8"/>
      <c r="I2584" s="15">
        <v>0</v>
      </c>
      <c r="J2584" s="15">
        <v>0</v>
      </c>
      <c r="K2584" s="12" t="str">
        <f>HYPERLINK("http://twitter.com/download/iphone","Twitter for iPhone")</f>
        <v>Twitter for iPhone</v>
      </c>
      <c r="L2584" s="16">
        <v>132</v>
      </c>
      <c r="M2584" s="16">
        <v>126</v>
      </c>
      <c r="N2584" s="16">
        <v>0</v>
      </c>
      <c r="O2584" s="17"/>
      <c r="P2584" s="18">
        <v>43264.560740740737</v>
      </c>
      <c r="Q2584" s="7" t="s">
        <v>1639</v>
      </c>
      <c r="R2584" s="7"/>
      <c r="S2584" s="7"/>
      <c r="T2584" s="8"/>
      <c r="U2584" s="19" t="str">
        <f>HYPERLINK("https://pbs.twimg.com/profile_images/1107584240127016961/m5nVfAmO.jpg","View")</f>
        <v>View</v>
      </c>
      <c r="V2584" s="8"/>
      <c r="W2584" s="8"/>
      <c r="X2584" s="8"/>
      <c r="Y2584" s="8"/>
      <c r="Z2584" s="8"/>
    </row>
    <row r="2585" spans="1:26" ht="12.75">
      <c r="A2585" s="11">
        <v>43747.202499999999</v>
      </c>
      <c r="B2585" s="12" t="str">
        <f>HYPERLINK("https://twitter.com/VuslatiYarr","@VuslatiYarr")</f>
        <v>@VuslatiYarr</v>
      </c>
      <c r="C2585" s="7" t="s">
        <v>15911</v>
      </c>
      <c r="D2585" s="7" t="s">
        <v>15912</v>
      </c>
      <c r="E2585" s="12" t="str">
        <f>HYPERLINK("https://twitter.com/VuslatiYarr/status/1181900012718047232","1181900012718047232")</f>
        <v>1181900012718047232</v>
      </c>
      <c r="F2585" s="14" t="s">
        <v>15913</v>
      </c>
      <c r="G2585" s="15"/>
      <c r="H2585" s="8"/>
      <c r="I2585" s="15">
        <v>1</v>
      </c>
      <c r="J2585" s="15">
        <v>19</v>
      </c>
      <c r="K2585" s="12" t="str">
        <f>HYPERLINK("http://twitter.com/download/android","Twitter for Android")</f>
        <v>Twitter for Android</v>
      </c>
      <c r="L2585" s="16">
        <v>6249</v>
      </c>
      <c r="M2585" s="16">
        <v>3596</v>
      </c>
      <c r="N2585" s="16">
        <v>3</v>
      </c>
      <c r="O2585" s="17"/>
      <c r="P2585" s="18">
        <v>43017.016111111108</v>
      </c>
      <c r="Q2585" s="7" t="s">
        <v>15914</v>
      </c>
      <c r="R2585" s="7" t="s">
        <v>15915</v>
      </c>
      <c r="S2585" s="7"/>
      <c r="T2585" s="8"/>
      <c r="U2585" s="19" t="str">
        <f>HYPERLINK("https://pbs.twimg.com/profile_images/1165573984198516736/6iJsuz2m.jpg","View")</f>
        <v>View</v>
      </c>
      <c r="V2585" s="8"/>
      <c r="W2585" s="8"/>
      <c r="X2585" s="8"/>
      <c r="Y2585" s="8"/>
      <c r="Z2585" s="8"/>
    </row>
    <row r="2586" spans="1:26" ht="12.75">
      <c r="A2586" s="11">
        <v>43747.202499999999</v>
      </c>
      <c r="B2586" s="12" t="str">
        <f>HYPERLINK("https://twitter.com/kubraperker","@kubraperker")</f>
        <v>@kubraperker</v>
      </c>
      <c r="C2586" s="7" t="s">
        <v>15916</v>
      </c>
      <c r="D2586" s="7" t="s">
        <v>15917</v>
      </c>
      <c r="E2586" s="12" t="str">
        <f>HYPERLINK("https://twitter.com/kubraperker/status/1181900011770204160","1181900011770204160")</f>
        <v>1181900011770204160</v>
      </c>
      <c r="F2586" s="8"/>
      <c r="G2586" s="14" t="s">
        <v>15918</v>
      </c>
      <c r="H2586" s="8"/>
      <c r="I2586" s="15">
        <v>0</v>
      </c>
      <c r="J2586" s="15">
        <v>1</v>
      </c>
      <c r="K2586" s="12" t="str">
        <f>HYPERLINK("http://twitter.com/download/android","Twitter for Android")</f>
        <v>Twitter for Android</v>
      </c>
      <c r="L2586" s="16">
        <v>399</v>
      </c>
      <c r="M2586" s="16">
        <v>932</v>
      </c>
      <c r="N2586" s="16">
        <v>0</v>
      </c>
      <c r="O2586" s="17"/>
      <c r="P2586" s="18">
        <v>40481.311898148146</v>
      </c>
      <c r="Q2586" s="7"/>
      <c r="R2586" s="7" t="s">
        <v>15919</v>
      </c>
      <c r="S2586" s="15"/>
      <c r="T2586" s="8"/>
      <c r="U2586" s="19" t="str">
        <f>HYPERLINK("https://pbs.twimg.com/profile_images/790328918226116608/xt69_Tx3.jpg","View")</f>
        <v>View</v>
      </c>
      <c r="V2586" s="8"/>
      <c r="W2586" s="8"/>
      <c r="X2586" s="8"/>
      <c r="Y2586" s="8"/>
      <c r="Z2586" s="8"/>
    </row>
    <row r="2587" spans="1:26" ht="12.75">
      <c r="A2587" s="11">
        <v>43747.202361111107</v>
      </c>
      <c r="B2587" s="12" t="str">
        <f>HYPERLINK("https://twitter.com/ykyoutube2","@ykyoutube2")</f>
        <v>@ykyoutube2</v>
      </c>
      <c r="C2587" s="7" t="s">
        <v>15920</v>
      </c>
      <c r="D2587" s="7" t="s">
        <v>15921</v>
      </c>
      <c r="E2587" s="12" t="str">
        <f>HYPERLINK("https://twitter.com/ykyoutube2/status/1181899965062361089","1181899965062361089")</f>
        <v>1181899965062361089</v>
      </c>
      <c r="F2587" s="8"/>
      <c r="G2587" s="7"/>
      <c r="H2587" s="8"/>
      <c r="I2587" s="15">
        <v>0</v>
      </c>
      <c r="J2587" s="15">
        <v>0</v>
      </c>
      <c r="K2587" s="12" t="str">
        <f>HYPERLINK("http://twitter.com/download/android","Twitter for Android")</f>
        <v>Twitter for Android</v>
      </c>
      <c r="L2587" s="16">
        <v>0</v>
      </c>
      <c r="M2587" s="16">
        <v>0</v>
      </c>
      <c r="N2587" s="16">
        <v>0</v>
      </c>
      <c r="O2587" s="17"/>
      <c r="P2587" s="18">
        <v>43674.164108796293</v>
      </c>
      <c r="Q2587" s="7"/>
      <c r="R2587" s="7" t="s">
        <v>15922</v>
      </c>
      <c r="S2587" s="15"/>
      <c r="T2587" s="8"/>
      <c r="U2587" s="19" t="str">
        <f>HYPERLINK("https://pbs.twimg.com/profile_images/1180924168159858689/Ze2BO6pa.jpg","View")</f>
        <v>View</v>
      </c>
      <c r="V2587" s="8"/>
      <c r="W2587" s="8"/>
      <c r="X2587" s="8"/>
      <c r="Y2587" s="8"/>
      <c r="Z2587" s="8"/>
    </row>
    <row r="2588" spans="1:26" ht="12.75">
      <c r="A2588" s="11">
        <v>43747.202361111107</v>
      </c>
      <c r="B2588" s="12" t="str">
        <f>HYPERLINK("https://twitter.com/yazarengindinc","@yazarengindinc")</f>
        <v>@yazarengindinc</v>
      </c>
      <c r="C2588" s="7" t="s">
        <v>15923</v>
      </c>
      <c r="D2588" s="7" t="s">
        <v>15924</v>
      </c>
      <c r="E2588" s="12" t="str">
        <f>HYPERLINK("https://twitter.com/yazarengindinc/status/1181899961484619779","1181899961484619779")</f>
        <v>1181899961484619779</v>
      </c>
      <c r="F2588" s="8"/>
      <c r="G2588" s="15"/>
      <c r="H2588" s="8"/>
      <c r="I2588" s="15">
        <v>1</v>
      </c>
      <c r="J2588" s="15">
        <v>11</v>
      </c>
      <c r="K2588" s="12" t="str">
        <f>HYPERLINK("http://twitter.com/download/android","Twitter for Android")</f>
        <v>Twitter for Android</v>
      </c>
      <c r="L2588" s="16">
        <v>15152</v>
      </c>
      <c r="M2588" s="16">
        <v>9508</v>
      </c>
      <c r="N2588" s="16">
        <v>11</v>
      </c>
      <c r="O2588" s="17"/>
      <c r="P2588" s="18">
        <v>40264.361435185187</v>
      </c>
      <c r="Q2588" s="7" t="s">
        <v>15925</v>
      </c>
      <c r="R2588" s="7" t="s">
        <v>15926</v>
      </c>
      <c r="S2588" s="14" t="s">
        <v>15927</v>
      </c>
      <c r="T2588" s="8"/>
      <c r="U2588" s="19" t="str">
        <f>HYPERLINK("https://pbs.twimg.com/profile_images/1151414157381722113/38o-_xbS.png","View")</f>
        <v>View</v>
      </c>
      <c r="V2588" s="8"/>
      <c r="W2588" s="8"/>
      <c r="X2588" s="8"/>
      <c r="Y2588" s="8"/>
      <c r="Z2588" s="8"/>
    </row>
    <row r="2589" spans="1:26" ht="12.75">
      <c r="A2589" s="11">
        <v>43747.202245370368</v>
      </c>
      <c r="B2589" s="12" t="str">
        <f>HYPERLINK("https://twitter.com/Muratakturk35","@Muratakturk35")</f>
        <v>@Muratakturk35</v>
      </c>
      <c r="C2589" s="7" t="s">
        <v>10288</v>
      </c>
      <c r="D2589" s="7" t="s">
        <v>15928</v>
      </c>
      <c r="E2589" s="12" t="str">
        <f>HYPERLINK("https://twitter.com/Muratakturk35/status/1181899920502079488","1181899920502079488")</f>
        <v>1181899920502079488</v>
      </c>
      <c r="F2589" s="8"/>
      <c r="G2589" s="15"/>
      <c r="H2589" s="8"/>
      <c r="I2589" s="15">
        <v>0</v>
      </c>
      <c r="J2589" s="15">
        <v>1</v>
      </c>
      <c r="K2589" s="12" t="str">
        <f>HYPERLINK("http://twitter.com/download/iphone","Twitter for iPhone")</f>
        <v>Twitter for iPhone</v>
      </c>
      <c r="L2589" s="16">
        <v>4</v>
      </c>
      <c r="M2589" s="16">
        <v>7</v>
      </c>
      <c r="N2589" s="16">
        <v>0</v>
      </c>
      <c r="O2589" s="17"/>
      <c r="P2589" s="18">
        <v>42971.988425925927</v>
      </c>
      <c r="Q2589" s="7" t="s">
        <v>200</v>
      </c>
      <c r="R2589" s="7" t="s">
        <v>15929</v>
      </c>
      <c r="S2589" s="7"/>
      <c r="T2589" s="8"/>
      <c r="U2589" s="19" t="str">
        <f>HYPERLINK("https://pbs.twimg.com/profile_images/1181327914387640322/5rwV3Q2S.jpg","View")</f>
        <v>View</v>
      </c>
      <c r="V2589" s="8"/>
      <c r="W2589" s="8"/>
      <c r="X2589" s="8"/>
      <c r="Y2589" s="8"/>
      <c r="Z2589" s="8"/>
    </row>
    <row r="2590" spans="1:26" ht="12.75">
      <c r="A2590" s="11">
        <v>43747.202083333337</v>
      </c>
      <c r="B2590" s="12" t="str">
        <f>HYPERLINK("https://twitter.com/NesetSebat","@NesetSebat")</f>
        <v>@NesetSebat</v>
      </c>
      <c r="C2590" s="7" t="s">
        <v>15930</v>
      </c>
      <c r="D2590" s="7" t="s">
        <v>15931</v>
      </c>
      <c r="E2590" s="12" t="str">
        <f>HYPERLINK("https://twitter.com/NesetSebat/status/1181899863459581952","1181899863459581952")</f>
        <v>1181899863459581952</v>
      </c>
      <c r="F2590" s="15"/>
      <c r="G2590" s="14" t="s">
        <v>15932</v>
      </c>
      <c r="H2590" s="12" t="str">
        <f>HYPERLINK("https://ctrlq.org/maps/address/#41.037392,28.968591","Map")</f>
        <v>Map</v>
      </c>
      <c r="I2590" s="15">
        <v>0</v>
      </c>
      <c r="J2590" s="15">
        <v>0</v>
      </c>
      <c r="K2590" s="12" t="str">
        <f>HYPERLINK("http://twitter.com/download/iphone","Twitter for iPhone")</f>
        <v>Twitter for iPhone</v>
      </c>
      <c r="L2590" s="16">
        <v>0</v>
      </c>
      <c r="M2590" s="16">
        <v>0</v>
      </c>
      <c r="N2590" s="16">
        <v>0</v>
      </c>
      <c r="O2590" s="17"/>
      <c r="P2590" s="18">
        <v>43685.912719907406</v>
      </c>
      <c r="Q2590" s="7" t="s">
        <v>576</v>
      </c>
      <c r="R2590" s="7" t="s">
        <v>15933</v>
      </c>
      <c r="S2590" s="14" t="s">
        <v>15934</v>
      </c>
      <c r="T2590" s="8"/>
      <c r="U2590" s="19" t="str">
        <f>HYPERLINK("https://pbs.twimg.com/profile_images/1160842025408835584/xT5Mzn-H.jpg","View")</f>
        <v>View</v>
      </c>
      <c r="V2590" s="8"/>
      <c r="W2590" s="8"/>
      <c r="X2590" s="8"/>
      <c r="Y2590" s="8"/>
      <c r="Z2590" s="8"/>
    </row>
    <row r="2591" spans="1:26" ht="12.75">
      <c r="A2591" s="11">
        <v>43747.202025462961</v>
      </c>
      <c r="B2591" s="12" t="str">
        <f>HYPERLINK("https://twitter.com/emin_krbyk","@emin_krbyk")</f>
        <v>@emin_krbyk</v>
      </c>
      <c r="C2591" s="7" t="s">
        <v>15935</v>
      </c>
      <c r="D2591" s="7" t="s">
        <v>15936</v>
      </c>
      <c r="E2591" s="12" t="str">
        <f>HYPERLINK("https://twitter.com/emin_krbyk/status/1181899841632423937","1181899841632423937")</f>
        <v>1181899841632423937</v>
      </c>
      <c r="F2591" s="8"/>
      <c r="G2591" s="14" t="s">
        <v>15937</v>
      </c>
      <c r="H2591" s="8"/>
      <c r="I2591" s="15">
        <v>0</v>
      </c>
      <c r="J2591" s="15">
        <v>0</v>
      </c>
      <c r="K2591" s="12" t="str">
        <f>HYPERLINK("http://twitter.com/download/android","Twitter for Android")</f>
        <v>Twitter for Android</v>
      </c>
      <c r="L2591" s="16">
        <v>7</v>
      </c>
      <c r="M2591" s="16">
        <v>28</v>
      </c>
      <c r="N2591" s="16">
        <v>0</v>
      </c>
      <c r="O2591" s="17"/>
      <c r="P2591" s="18">
        <v>43188.479456018518</v>
      </c>
      <c r="Q2591" s="7"/>
      <c r="R2591" s="7"/>
      <c r="S2591" s="7"/>
      <c r="T2591" s="8"/>
      <c r="U2591" s="19" t="str">
        <f>HYPERLINK("https://pbs.twimg.com/profile_images/1112345606087950336/_kCHwKq7.jpg","View")</f>
        <v>View</v>
      </c>
      <c r="V2591" s="8"/>
      <c r="W2591" s="8"/>
      <c r="X2591" s="8"/>
      <c r="Y2591" s="8"/>
      <c r="Z2591" s="8"/>
    </row>
    <row r="2592" spans="1:26" ht="12.75">
      <c r="A2592" s="11">
        <v>43747.202002314814</v>
      </c>
      <c r="B2592" s="12" t="str">
        <f>HYPERLINK("https://twitter.com/a_y_b_e_gg","@a_y_b_e_gg")</f>
        <v>@a_y_b_e_gg</v>
      </c>
      <c r="C2592" s="7" t="s">
        <v>15938</v>
      </c>
      <c r="D2592" s="7" t="s">
        <v>15939</v>
      </c>
      <c r="E2592" s="12" t="str">
        <f>HYPERLINK("https://twitter.com/a_y_b_e_gg/status/1181899834111991808","1181899834111991808")</f>
        <v>1181899834111991808</v>
      </c>
      <c r="F2592" s="15"/>
      <c r="G2592" s="14" t="s">
        <v>15940</v>
      </c>
      <c r="H2592" s="8"/>
      <c r="I2592" s="15">
        <v>0</v>
      </c>
      <c r="J2592" s="15">
        <v>1</v>
      </c>
      <c r="K2592" s="12" t="str">
        <f>HYPERLINK("http://twitter.com/download/android","Twitter for Android")</f>
        <v>Twitter for Android</v>
      </c>
      <c r="L2592" s="16">
        <v>243</v>
      </c>
      <c r="M2592" s="16">
        <v>216</v>
      </c>
      <c r="N2592" s="16">
        <v>0</v>
      </c>
      <c r="O2592" s="17"/>
      <c r="P2592" s="18">
        <v>43670.645324074074</v>
      </c>
      <c r="Q2592" s="7" t="s">
        <v>3321</v>
      </c>
      <c r="R2592" s="7" t="s">
        <v>15941</v>
      </c>
      <c r="S2592" s="15"/>
      <c r="T2592" s="8"/>
      <c r="U2592" s="19" t="str">
        <f>HYPERLINK("https://pbs.twimg.com/profile_images/1180965918849011712/AWYXb6cy.jpg","View")</f>
        <v>View</v>
      </c>
      <c r="V2592" s="8"/>
      <c r="W2592" s="8"/>
      <c r="X2592" s="8"/>
      <c r="Y2592" s="8"/>
      <c r="Z2592" s="8"/>
    </row>
    <row r="2593" spans="1:26" ht="12.75">
      <c r="A2593" s="11">
        <v>43747.201967592591</v>
      </c>
      <c r="B2593" s="12" t="str">
        <f>HYPERLINK("https://twitter.com/MEHMETKAZM53","@MEHMETKAZM53")</f>
        <v>@MEHMETKAZM53</v>
      </c>
      <c r="C2593" s="7" t="s">
        <v>15942</v>
      </c>
      <c r="D2593" s="7" t="s">
        <v>15943</v>
      </c>
      <c r="E2593" s="12" t="str">
        <f>HYPERLINK("https://twitter.com/MEHMETKAZM53/status/1181899821994725376","1181899821994725376")</f>
        <v>1181899821994725376</v>
      </c>
      <c r="F2593" s="8"/>
      <c r="G2593" s="14" t="s">
        <v>15944</v>
      </c>
      <c r="H2593" s="8"/>
      <c r="I2593" s="15">
        <v>0</v>
      </c>
      <c r="J2593" s="15">
        <v>1</v>
      </c>
      <c r="K2593" s="12" t="str">
        <f>HYPERLINK("http://twitter.com/download/android","Twitter for Android")</f>
        <v>Twitter for Android</v>
      </c>
      <c r="L2593" s="16">
        <v>273</v>
      </c>
      <c r="M2593" s="16">
        <v>8</v>
      </c>
      <c r="N2593" s="16">
        <v>0</v>
      </c>
      <c r="O2593" s="17"/>
      <c r="P2593" s="18">
        <v>42959.322777777779</v>
      </c>
      <c r="Q2593" s="7" t="s">
        <v>2712</v>
      </c>
      <c r="R2593" s="7" t="s">
        <v>15945</v>
      </c>
      <c r="S2593" s="14" t="s">
        <v>15946</v>
      </c>
      <c r="T2593" s="8"/>
      <c r="U2593" s="19" t="str">
        <f>HYPERLINK("https://pbs.twimg.com/profile_images/1181287819014111232/v_Eeuut-.jpg","View")</f>
        <v>View</v>
      </c>
      <c r="V2593" s="8"/>
      <c r="W2593" s="8"/>
      <c r="X2593" s="8"/>
      <c r="Y2593" s="8"/>
      <c r="Z2593" s="8"/>
    </row>
    <row r="2594" spans="1:26" ht="12.75">
      <c r="A2594" s="11">
        <v>43747.201944444445</v>
      </c>
      <c r="B2594" s="12" t="str">
        <f>HYPERLINK("https://twitter.com/beyazbaretliii","@beyazbaretliii")</f>
        <v>@beyazbaretliii</v>
      </c>
      <c r="C2594" s="7" t="s">
        <v>1607</v>
      </c>
      <c r="D2594" s="7" t="s">
        <v>15947</v>
      </c>
      <c r="E2594" s="12" t="str">
        <f>HYPERLINK("https://twitter.com/beyazbaretliii/status/1181899812263911424","1181899812263911424")</f>
        <v>1181899812263911424</v>
      </c>
      <c r="F2594" s="8"/>
      <c r="G2594" s="14" t="s">
        <v>15948</v>
      </c>
      <c r="H2594" s="8"/>
      <c r="I2594" s="15">
        <v>0</v>
      </c>
      <c r="J2594" s="15">
        <v>0</v>
      </c>
      <c r="K2594" s="12" t="str">
        <f>HYPERLINK("http://twitter.com/download/android","Twitter for Android")</f>
        <v>Twitter for Android</v>
      </c>
      <c r="L2594" s="16">
        <v>8</v>
      </c>
      <c r="M2594" s="16">
        <v>16</v>
      </c>
      <c r="N2594" s="16">
        <v>0</v>
      </c>
      <c r="O2594" s="17"/>
      <c r="P2594" s="18">
        <v>43569.614305555559</v>
      </c>
      <c r="Q2594" s="7"/>
      <c r="R2594" s="7" t="s">
        <v>15949</v>
      </c>
      <c r="S2594" s="7"/>
      <c r="T2594" s="8"/>
      <c r="U2594" s="19" t="str">
        <f>HYPERLINK("https://pbs.twimg.com/profile_images/1123897893595832321/ln0PsL1p.jpg","View")</f>
        <v>View</v>
      </c>
      <c r="V2594" s="8"/>
      <c r="W2594" s="8"/>
      <c r="X2594" s="8"/>
      <c r="Y2594" s="8"/>
      <c r="Z2594" s="8"/>
    </row>
    <row r="2595" spans="1:26" ht="12.75">
      <c r="A2595" s="11">
        <v>43747.201932870375</v>
      </c>
      <c r="B2595" s="12" t="str">
        <f>HYPERLINK("https://twitter.com/ElifGokyesil","@ElifGokyesil")</f>
        <v>@ElifGokyesil</v>
      </c>
      <c r="C2595" s="7" t="s">
        <v>15950</v>
      </c>
      <c r="D2595" s="7" t="s">
        <v>14373</v>
      </c>
      <c r="E2595" s="12" t="str">
        <f>HYPERLINK("https://twitter.com/ElifGokyesil/status/1181899807092289536","1181899807092289536")</f>
        <v>1181899807092289536</v>
      </c>
      <c r="F2595" s="8"/>
      <c r="G2595" s="7"/>
      <c r="H2595" s="8"/>
      <c r="I2595" s="15">
        <v>0</v>
      </c>
      <c r="J2595" s="15">
        <v>0</v>
      </c>
      <c r="K2595" s="12" t="str">
        <f>HYPERLINK("http://twitter.com","Twitter Web Client")</f>
        <v>Twitter Web Client</v>
      </c>
      <c r="L2595" s="16">
        <v>17</v>
      </c>
      <c r="M2595" s="16">
        <v>0</v>
      </c>
      <c r="N2595" s="16">
        <v>0</v>
      </c>
      <c r="O2595" s="17"/>
      <c r="P2595" s="18">
        <v>43703.294594907406</v>
      </c>
      <c r="Q2595" s="7" t="s">
        <v>1343</v>
      </c>
      <c r="R2595" s="7" t="s">
        <v>15951</v>
      </c>
      <c r="S2595" s="7"/>
      <c r="T2595" s="8"/>
      <c r="U2595" s="19" t="str">
        <f>HYPERLINK("https://pbs.twimg.com/profile_images/1166786980572815360/e9CixSYu.jpg","View")</f>
        <v>View</v>
      </c>
      <c r="V2595" s="8"/>
      <c r="W2595" s="8"/>
      <c r="X2595" s="8"/>
      <c r="Y2595" s="8"/>
      <c r="Z2595" s="8"/>
    </row>
    <row r="2596" spans="1:26" ht="12.75">
      <c r="A2596" s="11">
        <v>43747.201817129629</v>
      </c>
      <c r="B2596" s="12" t="str">
        <f>HYPERLINK("https://twitter.com/Abdurra85hmanto","@Abdurra85hmanto")</f>
        <v>@Abdurra85hmanto</v>
      </c>
      <c r="C2596" s="7" t="s">
        <v>15952</v>
      </c>
      <c r="D2596" s="7" t="s">
        <v>15953</v>
      </c>
      <c r="E2596" s="12" t="str">
        <f>HYPERLINK("https://twitter.com/Abdurra85hmanto/status/1181899765811941376","1181899765811941376")</f>
        <v>1181899765811941376</v>
      </c>
      <c r="F2596" s="8"/>
      <c r="G2596" s="7"/>
      <c r="H2596" s="8"/>
      <c r="I2596" s="15">
        <v>0</v>
      </c>
      <c r="J2596" s="15">
        <v>1</v>
      </c>
      <c r="K2596" s="12" t="str">
        <f>HYPERLINK("http://twitter.com/download/android","Twitter for Android")</f>
        <v>Twitter for Android</v>
      </c>
      <c r="L2596" s="16">
        <v>367</v>
      </c>
      <c r="M2596" s="16">
        <v>792</v>
      </c>
      <c r="N2596" s="16">
        <v>0</v>
      </c>
      <c r="O2596" s="17"/>
      <c r="P2596" s="18">
        <v>42834.257476851853</v>
      </c>
      <c r="Q2596" s="7" t="s">
        <v>2225</v>
      </c>
      <c r="R2596" s="7" t="s">
        <v>15954</v>
      </c>
      <c r="S2596" s="7"/>
      <c r="T2596" s="8"/>
      <c r="U2596" s="19" t="str">
        <f>HYPERLINK("https://pbs.twimg.com/profile_images/1173248091522326531/e9HTYCqP.jpg","View")</f>
        <v>View</v>
      </c>
      <c r="V2596" s="8"/>
      <c r="W2596" s="8"/>
      <c r="X2596" s="8"/>
      <c r="Y2596" s="8"/>
      <c r="Z2596" s="8"/>
    </row>
    <row r="2597" spans="1:26" ht="12.75">
      <c r="A2597" s="11">
        <v>43747.201736111107</v>
      </c>
      <c r="B2597" s="12" t="str">
        <f>HYPERLINK("https://twitter.com/hakanozdemir25","@hakanozdemir25")</f>
        <v>@hakanozdemir25</v>
      </c>
      <c r="C2597" s="7" t="s">
        <v>15955</v>
      </c>
      <c r="D2597" s="7" t="s">
        <v>15956</v>
      </c>
      <c r="E2597" s="12" t="str">
        <f>HYPERLINK("https://twitter.com/hakanozdemir25/status/1181899738326716416","1181899738326716416")</f>
        <v>1181899738326716416</v>
      </c>
      <c r="F2597" s="8"/>
      <c r="G2597" s="7"/>
      <c r="H2597" s="8"/>
      <c r="I2597" s="15">
        <v>0</v>
      </c>
      <c r="J2597" s="15">
        <v>0</v>
      </c>
      <c r="K2597" s="12" t="str">
        <f>HYPERLINK("http://twitter.com/download/iphone","Twitter for iPhone")</f>
        <v>Twitter for iPhone</v>
      </c>
      <c r="L2597" s="16">
        <v>1305</v>
      </c>
      <c r="M2597" s="16">
        <v>1120</v>
      </c>
      <c r="N2597" s="16">
        <v>0</v>
      </c>
      <c r="O2597" s="17"/>
      <c r="P2597" s="18">
        <v>41442.559849537036</v>
      </c>
      <c r="Q2597" s="7" t="s">
        <v>15957</v>
      </c>
      <c r="R2597" s="7" t="s">
        <v>15958</v>
      </c>
      <c r="S2597" s="7"/>
      <c r="T2597" s="8"/>
      <c r="U2597" s="19" t="str">
        <f>HYPERLINK("https://pbs.twimg.com/profile_images/1178726311877136385/0_F_0Cup.jpg","View")</f>
        <v>View</v>
      </c>
      <c r="V2597" s="8"/>
      <c r="W2597" s="8"/>
      <c r="X2597" s="8"/>
      <c r="Y2597" s="8"/>
      <c r="Z2597" s="8"/>
    </row>
    <row r="2598" spans="1:26" ht="12.75">
      <c r="A2598" s="11">
        <v>43747.201712962968</v>
      </c>
      <c r="B2598" s="12" t="str">
        <f>HYPERLINK("https://twitter.com/kursad_sad","@kursad_sad")</f>
        <v>@kursad_sad</v>
      </c>
      <c r="C2598" s="7" t="s">
        <v>15959</v>
      </c>
      <c r="D2598" s="7" t="s">
        <v>15960</v>
      </c>
      <c r="E2598" s="12" t="str">
        <f>HYPERLINK("https://twitter.com/kursad_sad/status/1181899727417286657","1181899727417286657")</f>
        <v>1181899727417286657</v>
      </c>
      <c r="F2598" s="8"/>
      <c r="G2598" s="15"/>
      <c r="H2598" s="8"/>
      <c r="I2598" s="15">
        <v>0</v>
      </c>
      <c r="J2598" s="15">
        <v>0</v>
      </c>
      <c r="K2598" s="12" t="str">
        <f>HYPERLINK("http://twitter.com/download/android","Twitter for Android")</f>
        <v>Twitter for Android</v>
      </c>
      <c r="L2598" s="16">
        <v>483</v>
      </c>
      <c r="M2598" s="16">
        <v>483</v>
      </c>
      <c r="N2598" s="16">
        <v>1</v>
      </c>
      <c r="O2598" s="17"/>
      <c r="P2598" s="18">
        <v>42853.359814814816</v>
      </c>
      <c r="Q2598" s="7"/>
      <c r="R2598" s="7" t="s">
        <v>200</v>
      </c>
      <c r="S2598" s="7"/>
      <c r="T2598" s="8"/>
      <c r="U2598" s="19" t="str">
        <f>HYPERLINK("https://pbs.twimg.com/profile_images/1181628390320857089/9dZWZ2sM.jpg","View")</f>
        <v>View</v>
      </c>
      <c r="V2598" s="8"/>
      <c r="W2598" s="8"/>
      <c r="X2598" s="8"/>
      <c r="Y2598" s="8"/>
      <c r="Z2598" s="8"/>
    </row>
    <row r="2599" spans="1:26" ht="12.75">
      <c r="A2599" s="11">
        <v>43747.201678240745</v>
      </c>
      <c r="B2599" s="12" t="str">
        <f>HYPERLINK("https://twitter.com/benimkafa","@benimkafa")</f>
        <v>@benimkafa</v>
      </c>
      <c r="C2599" s="7" t="s">
        <v>15961</v>
      </c>
      <c r="D2599" s="7" t="s">
        <v>160</v>
      </c>
      <c r="E2599" s="12" t="str">
        <f>HYPERLINK("https://twitter.com/benimkafa/status/1181899715048349697","1181899715048349697")</f>
        <v>1181899715048349697</v>
      </c>
      <c r="F2599" s="8"/>
      <c r="G2599" s="14" t="s">
        <v>15962</v>
      </c>
      <c r="H2599" s="8"/>
      <c r="I2599" s="15">
        <v>0</v>
      </c>
      <c r="J2599" s="15">
        <v>0</v>
      </c>
      <c r="K2599" s="12" t="str">
        <f>HYPERLINK("http://twitter.com/download/iphone","Twitter for iPhone")</f>
        <v>Twitter for iPhone</v>
      </c>
      <c r="L2599" s="16">
        <v>299</v>
      </c>
      <c r="M2599" s="16">
        <v>39</v>
      </c>
      <c r="N2599" s="16">
        <v>1</v>
      </c>
      <c r="O2599" s="17"/>
      <c r="P2599" s="18">
        <v>43368.350173611107</v>
      </c>
      <c r="Q2599" s="7" t="s">
        <v>15963</v>
      </c>
      <c r="R2599" s="7" t="s">
        <v>15964</v>
      </c>
      <c r="S2599" s="7"/>
      <c r="T2599" s="8"/>
      <c r="U2599" s="19" t="str">
        <f>HYPERLINK("https://pbs.twimg.com/profile_images/1134293736601657352/RUzp7jGo.jpg","View")</f>
        <v>View</v>
      </c>
      <c r="V2599" s="8"/>
      <c r="W2599" s="8"/>
      <c r="X2599" s="8"/>
      <c r="Y2599" s="8"/>
      <c r="Z2599" s="8"/>
    </row>
    <row r="2600" spans="1:26" ht="12.75">
      <c r="A2600" s="11">
        <v>43747.201655092591</v>
      </c>
      <c r="B2600" s="12" t="str">
        <f>HYPERLINK("https://twitter.com/memi12_ado","@memi12_ado")</f>
        <v>@memi12_ado</v>
      </c>
      <c r="C2600" s="7" t="s">
        <v>15965</v>
      </c>
      <c r="D2600" s="7" t="s">
        <v>15966</v>
      </c>
      <c r="E2600" s="12" t="str">
        <f>HYPERLINK("https://twitter.com/memi12_ado/status/1181899707896991744","1181899707896991744")</f>
        <v>1181899707896991744</v>
      </c>
      <c r="F2600" s="8"/>
      <c r="G2600" s="7"/>
      <c r="H2600" s="8"/>
      <c r="I2600" s="15">
        <v>0</v>
      </c>
      <c r="J2600" s="15">
        <v>0</v>
      </c>
      <c r="K2600" s="12" t="str">
        <f>HYPERLINK("http://twitter.com/download/iphone","Twitter for iPhone")</f>
        <v>Twitter for iPhone</v>
      </c>
      <c r="L2600" s="16">
        <v>966</v>
      </c>
      <c r="M2600" s="16">
        <v>768</v>
      </c>
      <c r="N2600" s="16">
        <v>0</v>
      </c>
      <c r="O2600" s="17"/>
      <c r="P2600" s="18">
        <v>43281.196550925924</v>
      </c>
      <c r="Q2600" s="7" t="s">
        <v>313</v>
      </c>
      <c r="R2600" s="7" t="s">
        <v>15967</v>
      </c>
      <c r="S2600" s="7"/>
      <c r="T2600" s="8"/>
      <c r="U2600" s="19" t="str">
        <f>HYPERLINK("https://pbs.twimg.com/profile_images/1168285577432752128/yddv6WiR.jpg","View")</f>
        <v>View</v>
      </c>
      <c r="V2600" s="8"/>
      <c r="W2600" s="8"/>
      <c r="X2600" s="8"/>
      <c r="Y2600" s="8"/>
      <c r="Z2600" s="8"/>
    </row>
    <row r="2601" spans="1:26" ht="12.75">
      <c r="A2601" s="11">
        <v>43747.201597222222</v>
      </c>
      <c r="B2601" s="12" t="str">
        <f>HYPERLINK("https://twitter.com/owlofbeacon","@owlofbeacon")</f>
        <v>@owlofbeacon</v>
      </c>
      <c r="C2601" s="7" t="s">
        <v>15968</v>
      </c>
      <c r="D2601" s="7" t="s">
        <v>15969</v>
      </c>
      <c r="E2601" s="12" t="str">
        <f>HYPERLINK("https://twitter.com/owlofbeacon/status/1181899686799691777","1181899686799691777")</f>
        <v>1181899686799691777</v>
      </c>
      <c r="F2601" s="8"/>
      <c r="G2601" s="7"/>
      <c r="H2601" s="8"/>
      <c r="I2601" s="15">
        <v>0</v>
      </c>
      <c r="J2601" s="15">
        <v>0</v>
      </c>
      <c r="K2601" s="12" t="str">
        <f>HYPERLINK("https://mobile.twitter.com","Twitter Web App")</f>
        <v>Twitter Web App</v>
      </c>
      <c r="L2601" s="16">
        <v>147</v>
      </c>
      <c r="M2601" s="16">
        <v>136</v>
      </c>
      <c r="N2601" s="16">
        <v>1</v>
      </c>
      <c r="O2601" s="17"/>
      <c r="P2601" s="18">
        <v>40483.428460648152</v>
      </c>
      <c r="Q2601" s="7"/>
      <c r="R2601" s="7" t="s">
        <v>15970</v>
      </c>
      <c r="S2601" s="7"/>
      <c r="T2601" s="8"/>
      <c r="U2601" s="19" t="str">
        <f>HYPERLINK("https://pbs.twimg.com/profile_images/378800000045298857/bc5c777fbebacbc4961ff94b9db2c81d.png","View")</f>
        <v>View</v>
      </c>
      <c r="V2601" s="8"/>
      <c r="W2601" s="8"/>
      <c r="X2601" s="8"/>
      <c r="Y2601" s="8"/>
      <c r="Z2601" s="8"/>
    </row>
    <row r="2602" spans="1:26" ht="12.75">
      <c r="A2602" s="11">
        <v>43747.201574074075</v>
      </c>
      <c r="B2602" s="12" t="str">
        <f>HYPERLINK("https://twitter.com/gizlihafiye007","@gizlihafiye007")</f>
        <v>@gizlihafiye007</v>
      </c>
      <c r="C2602" s="7" t="s">
        <v>15971</v>
      </c>
      <c r="D2602" s="7" t="s">
        <v>15972</v>
      </c>
      <c r="E2602" s="12" t="str">
        <f>HYPERLINK("https://twitter.com/gizlihafiye007/status/1181899679136657408","1181899679136657408")</f>
        <v>1181899679136657408</v>
      </c>
      <c r="F2602" s="8"/>
      <c r="G2602" s="14" t="s">
        <v>15973</v>
      </c>
      <c r="H2602" s="8"/>
      <c r="I2602" s="15">
        <v>0</v>
      </c>
      <c r="J2602" s="15">
        <v>0</v>
      </c>
      <c r="K2602" s="12" t="str">
        <f>HYPERLINK("http://twitter.com/download/android","Twitter for Android")</f>
        <v>Twitter for Android</v>
      </c>
      <c r="L2602" s="16">
        <v>36</v>
      </c>
      <c r="M2602" s="16">
        <v>56</v>
      </c>
      <c r="N2602" s="16">
        <v>0</v>
      </c>
      <c r="O2602" s="17"/>
      <c r="P2602" s="18">
        <v>43696.964467592596</v>
      </c>
      <c r="Q2602" s="7" t="s">
        <v>15974</v>
      </c>
      <c r="R2602" s="7" t="s">
        <v>15975</v>
      </c>
      <c r="S2602" s="15"/>
      <c r="T2602" s="8"/>
      <c r="U2602" s="19" t="str">
        <f>HYPERLINK("https://pbs.twimg.com/profile_images/1181588251007688706/nIzAcRoK.jpg","View")</f>
        <v>View</v>
      </c>
      <c r="V2602" s="8"/>
      <c r="W2602" s="8"/>
      <c r="X2602" s="8"/>
      <c r="Y2602" s="8"/>
      <c r="Z2602" s="8"/>
    </row>
    <row r="2603" spans="1:26" ht="12.75">
      <c r="A2603" s="11">
        <v>43747.201527777783</v>
      </c>
      <c r="B2603" s="12" t="str">
        <f>HYPERLINK("https://twitter.com/bilalburcuyayla","@bilalburcuyayla")</f>
        <v>@bilalburcuyayla</v>
      </c>
      <c r="C2603" s="7" t="s">
        <v>15976</v>
      </c>
      <c r="D2603" s="7" t="s">
        <v>15977</v>
      </c>
      <c r="E2603" s="12" t="str">
        <f>HYPERLINK("https://twitter.com/bilalburcuyayla/status/1181899660501360640","1181899660501360640")</f>
        <v>1181899660501360640</v>
      </c>
      <c r="F2603" s="8"/>
      <c r="G2603" s="15"/>
      <c r="H2603" s="8"/>
      <c r="I2603" s="15">
        <v>0</v>
      </c>
      <c r="J2603" s="15">
        <v>0</v>
      </c>
      <c r="K2603" s="12" t="str">
        <f>HYPERLINK("http://twitter.com/download/iphone","Twitter for iPhone")</f>
        <v>Twitter for iPhone</v>
      </c>
      <c r="L2603" s="16">
        <v>49</v>
      </c>
      <c r="M2603" s="16">
        <v>332</v>
      </c>
      <c r="N2603" s="16">
        <v>0</v>
      </c>
      <c r="O2603" s="17"/>
      <c r="P2603" s="18">
        <v>42565.538761574076</v>
      </c>
      <c r="Q2603" s="7" t="s">
        <v>200</v>
      </c>
      <c r="R2603" s="7" t="s">
        <v>11541</v>
      </c>
      <c r="S2603" s="7"/>
      <c r="T2603" s="8"/>
      <c r="U2603" s="19" t="str">
        <f>HYPERLINK("https://pbs.twimg.com/profile_images/1012293243143409664/-JUSY7Ex.jpg","View")</f>
        <v>View</v>
      </c>
      <c r="V2603" s="8"/>
      <c r="W2603" s="8"/>
      <c r="X2603" s="8"/>
      <c r="Y2603" s="8"/>
      <c r="Z2603" s="8"/>
    </row>
    <row r="2604" spans="1:26" ht="12.75">
      <c r="A2604" s="11">
        <v>43747.201469907406</v>
      </c>
      <c r="B2604" s="12" t="str">
        <f>HYPERLINK("https://twitter.com/Turan1530","@Turan1530")</f>
        <v>@Turan1530</v>
      </c>
      <c r="C2604" s="7" t="s">
        <v>15978</v>
      </c>
      <c r="D2604" s="7" t="s">
        <v>15979</v>
      </c>
      <c r="E2604" s="12" t="str">
        <f>HYPERLINK("https://twitter.com/Turan1530/status/1181899639643164672","1181899639643164672")</f>
        <v>1181899639643164672</v>
      </c>
      <c r="F2604" s="8"/>
      <c r="G2604" s="14" t="s">
        <v>15980</v>
      </c>
      <c r="H2604" s="8"/>
      <c r="I2604" s="15">
        <v>0</v>
      </c>
      <c r="J2604" s="15">
        <v>1</v>
      </c>
      <c r="K2604" s="12" t="str">
        <f>HYPERLINK("http://twitter.com/download/android","Twitter for Android")</f>
        <v>Twitter for Android</v>
      </c>
      <c r="L2604" s="16">
        <v>468</v>
      </c>
      <c r="M2604" s="16">
        <v>316</v>
      </c>
      <c r="N2604" s="16">
        <v>1</v>
      </c>
      <c r="O2604" s="17"/>
      <c r="P2604" s="18">
        <v>43143.470069444447</v>
      </c>
      <c r="Q2604" s="7" t="s">
        <v>200</v>
      </c>
      <c r="R2604" s="7" t="s">
        <v>15981</v>
      </c>
      <c r="S2604" s="14" t="s">
        <v>15982</v>
      </c>
      <c r="T2604" s="8"/>
      <c r="U2604" s="19" t="str">
        <f>HYPERLINK("https://pbs.twimg.com/profile_images/1181261901218619393/gr4tUm-O.jpg","View")</f>
        <v>View</v>
      </c>
      <c r="V2604" s="8"/>
      <c r="W2604" s="8"/>
      <c r="X2604" s="8"/>
      <c r="Y2604" s="8"/>
      <c r="Z2604" s="8"/>
    </row>
    <row r="2605" spans="1:26" ht="12.75">
      <c r="A2605" s="11">
        <v>43747.201458333337</v>
      </c>
      <c r="B2605" s="12" t="str">
        <f>HYPERLINK("https://twitter.com/MayaAlyamac","@MayaAlyamac")</f>
        <v>@MayaAlyamac</v>
      </c>
      <c r="C2605" s="7" t="s">
        <v>15983</v>
      </c>
      <c r="D2605" s="7" t="s">
        <v>15984</v>
      </c>
      <c r="E2605" s="12" t="str">
        <f>HYPERLINK("https://twitter.com/MayaAlyamac/status/1181899634765156353","1181899634765156353")</f>
        <v>1181899634765156353</v>
      </c>
      <c r="F2605" s="8"/>
      <c r="G2605" s="14" t="s">
        <v>15985</v>
      </c>
      <c r="H2605" s="8"/>
      <c r="I2605" s="15">
        <v>0</v>
      </c>
      <c r="J2605" s="15">
        <v>0</v>
      </c>
      <c r="K2605" s="12" t="str">
        <f>HYPERLINK("http://twitter.com","Twitter Web Client")</f>
        <v>Twitter Web Client</v>
      </c>
      <c r="L2605" s="16">
        <v>8</v>
      </c>
      <c r="M2605" s="16">
        <v>0</v>
      </c>
      <c r="N2605" s="16">
        <v>0</v>
      </c>
      <c r="O2605" s="17"/>
      <c r="P2605" s="18">
        <v>43704.5003587963</v>
      </c>
      <c r="Q2605" s="7" t="s">
        <v>14010</v>
      </c>
      <c r="R2605" s="7" t="s">
        <v>15986</v>
      </c>
      <c r="S2605" s="15"/>
      <c r="T2605" s="8"/>
      <c r="U2605" s="19" t="str">
        <f>HYPERLINK("https://pbs.twimg.com/profile_images/1167224222101442560/50eddD_w.jpg","View")</f>
        <v>View</v>
      </c>
      <c r="V2605" s="8"/>
      <c r="W2605" s="8"/>
      <c r="X2605" s="8"/>
      <c r="Y2605" s="8"/>
      <c r="Z2605" s="8"/>
    </row>
    <row r="2606" spans="1:26" ht="12.75">
      <c r="A2606" s="11">
        <v>43747.20140046296</v>
      </c>
      <c r="B2606" s="12" t="str">
        <f>HYPERLINK("https://twitter.com/HalukVarol","@HalukVarol")</f>
        <v>@HalukVarol</v>
      </c>
      <c r="C2606" s="7" t="s">
        <v>15987</v>
      </c>
      <c r="D2606" s="15" t="s">
        <v>15988</v>
      </c>
      <c r="E2606" s="12" t="str">
        <f>HYPERLINK("https://twitter.com/HalukVarol/status/1181899615983095810","1181899615983095810")</f>
        <v>1181899615983095810</v>
      </c>
      <c r="F2606" s="8"/>
      <c r="G2606" s="15"/>
      <c r="H2606" s="8"/>
      <c r="I2606" s="15">
        <v>0</v>
      </c>
      <c r="J2606" s="15">
        <v>0</v>
      </c>
      <c r="K2606" s="12" t="str">
        <f>HYPERLINK("http://twitter.com/download/android","Twitter for Android")</f>
        <v>Twitter for Android</v>
      </c>
      <c r="L2606" s="16">
        <v>2152</v>
      </c>
      <c r="M2606" s="16">
        <v>2145</v>
      </c>
      <c r="N2606" s="16">
        <v>8</v>
      </c>
      <c r="O2606" s="17"/>
      <c r="P2606" s="18">
        <v>40208.295532407406</v>
      </c>
      <c r="Q2606" s="7" t="s">
        <v>15989</v>
      </c>
      <c r="R2606" s="7" t="s">
        <v>15990</v>
      </c>
      <c r="S2606" s="14" t="s">
        <v>15991</v>
      </c>
      <c r="T2606" s="8"/>
      <c r="U2606" s="19" t="str">
        <f>HYPERLINK("https://pbs.twimg.com/profile_images/1151242950967533574/-iv5aBQD.jpg","View")</f>
        <v>View</v>
      </c>
      <c r="V2606" s="8"/>
      <c r="W2606" s="8"/>
      <c r="X2606" s="8"/>
      <c r="Y2606" s="8"/>
      <c r="Z2606" s="8"/>
    </row>
    <row r="2607" spans="1:26" ht="12.75">
      <c r="A2607" s="11">
        <v>43747.201388888891</v>
      </c>
      <c r="B2607" s="12" t="str">
        <f>HYPERLINK("https://twitter.com/muratfanuc","@muratfanuc")</f>
        <v>@muratfanuc</v>
      </c>
      <c r="C2607" s="7" t="s">
        <v>15992</v>
      </c>
      <c r="D2607" s="7" t="s">
        <v>15993</v>
      </c>
      <c r="E2607" s="12" t="str">
        <f>HYPERLINK("https://twitter.com/muratfanuc/status/1181899608877862912","1181899608877862912")</f>
        <v>1181899608877862912</v>
      </c>
      <c r="F2607" s="8"/>
      <c r="G2607" s="7"/>
      <c r="H2607" s="8"/>
      <c r="I2607" s="15">
        <v>0</v>
      </c>
      <c r="J2607" s="15">
        <v>0</v>
      </c>
      <c r="K2607" s="12" t="str">
        <f>HYPERLINK("http://twitter.com/download/iphone","Twitter for iPhone")</f>
        <v>Twitter for iPhone</v>
      </c>
      <c r="L2607" s="16">
        <v>95</v>
      </c>
      <c r="M2607" s="16">
        <v>38</v>
      </c>
      <c r="N2607" s="16">
        <v>0</v>
      </c>
      <c r="O2607" s="17"/>
      <c r="P2607" s="18">
        <v>40673.22210648148</v>
      </c>
      <c r="Q2607" s="7" t="s">
        <v>860</v>
      </c>
      <c r="R2607" s="7"/>
      <c r="S2607" s="7"/>
      <c r="T2607" s="8"/>
      <c r="U2607" s="19" t="str">
        <f>HYPERLINK("https://pbs.twimg.com/profile_images/1785703673/26102008_003_.jpg","View")</f>
        <v>View</v>
      </c>
      <c r="V2607" s="8"/>
      <c r="W2607" s="8"/>
      <c r="X2607" s="8"/>
      <c r="Y2607" s="8"/>
      <c r="Z2607" s="8"/>
    </row>
    <row r="2608" spans="1:26" ht="12.75">
      <c r="A2608" s="11">
        <v>43747.201261574075</v>
      </c>
      <c r="B2608" s="12" t="str">
        <f>HYPERLINK("https://twitter.com/feyzi_akbulut","@feyzi_akbulut")</f>
        <v>@feyzi_akbulut</v>
      </c>
      <c r="C2608" s="7" t="s">
        <v>15994</v>
      </c>
      <c r="D2608" s="7" t="s">
        <v>15995</v>
      </c>
      <c r="E2608" s="12" t="str">
        <f>HYPERLINK("https://twitter.com/feyzi_akbulut/status/1181899564363722758","1181899564363722758")</f>
        <v>1181899564363722758</v>
      </c>
      <c r="F2608" s="8"/>
      <c r="G2608" s="14" t="s">
        <v>15996</v>
      </c>
      <c r="H2608" s="8"/>
      <c r="I2608" s="15">
        <v>0</v>
      </c>
      <c r="J2608" s="15">
        <v>0</v>
      </c>
      <c r="K2608" s="12" t="str">
        <f>HYPERLINK("http://twitter.com/download/android","Twitter for Android")</f>
        <v>Twitter for Android</v>
      </c>
      <c r="L2608" s="16">
        <v>164</v>
      </c>
      <c r="M2608" s="16">
        <v>359</v>
      </c>
      <c r="N2608" s="16">
        <v>0</v>
      </c>
      <c r="O2608" s="17"/>
      <c r="P2608" s="18">
        <v>42989.38444444444</v>
      </c>
      <c r="Q2608" s="7" t="s">
        <v>14529</v>
      </c>
      <c r="R2608" s="7" t="s">
        <v>15997</v>
      </c>
      <c r="S2608" s="7"/>
      <c r="T2608" s="8"/>
      <c r="U2608" s="19" t="str">
        <f>HYPERLINK("https://pbs.twimg.com/profile_images/1165021926223470592/0yOPmv2I.jpg","View")</f>
        <v>View</v>
      </c>
      <c r="V2608" s="8"/>
      <c r="W2608" s="8"/>
      <c r="X2608" s="8"/>
      <c r="Y2608" s="8"/>
      <c r="Z2608" s="8"/>
    </row>
    <row r="2609" spans="1:26" ht="12.75">
      <c r="A2609" s="11">
        <v>43747.201215277775</v>
      </c>
      <c r="B2609" s="12" t="str">
        <f>HYPERLINK("https://twitter.com/hsynbz","@hsynbz")</f>
        <v>@hsynbz</v>
      </c>
      <c r="C2609" s="7" t="s">
        <v>15998</v>
      </c>
      <c r="D2609" s="7" t="s">
        <v>15999</v>
      </c>
      <c r="E2609" s="12" t="str">
        <f>HYPERLINK("https://twitter.com/hsynbz/status/1181899547968229376","1181899547968229376")</f>
        <v>1181899547968229376</v>
      </c>
      <c r="F2609" s="8"/>
      <c r="G2609" s="15"/>
      <c r="H2609" s="8"/>
      <c r="I2609" s="15">
        <v>0</v>
      </c>
      <c r="J2609" s="15">
        <v>0</v>
      </c>
      <c r="K2609" s="12" t="str">
        <f>HYPERLINK("http://twitter.com/download/iphone","Twitter for iPhone")</f>
        <v>Twitter for iPhone</v>
      </c>
      <c r="L2609" s="16">
        <v>1069</v>
      </c>
      <c r="M2609" s="16">
        <v>358</v>
      </c>
      <c r="N2609" s="16">
        <v>0</v>
      </c>
      <c r="O2609" s="17"/>
      <c r="P2609" s="18">
        <v>40402.627916666665</v>
      </c>
      <c r="Q2609" s="7"/>
      <c r="R2609" s="7" t="s">
        <v>16000</v>
      </c>
      <c r="S2609" s="15"/>
      <c r="T2609" s="8"/>
      <c r="U2609" s="19" t="str">
        <f>HYPERLINK("https://pbs.twimg.com/profile_images/1168259063219728385/lY_UFRco.jpg","View")</f>
        <v>View</v>
      </c>
      <c r="V2609" s="8"/>
      <c r="W2609" s="8"/>
      <c r="X2609" s="8"/>
      <c r="Y2609" s="8"/>
      <c r="Z2609" s="8"/>
    </row>
    <row r="2610" spans="1:26" ht="12.75">
      <c r="A2610" s="11">
        <v>43747.201192129629</v>
      </c>
      <c r="B2610" s="12" t="str">
        <f>HYPERLINK("https://twitter.com/mhmmedckrgz","@mhmmedckrgz")</f>
        <v>@mhmmedckrgz</v>
      </c>
      <c r="C2610" s="7" t="s">
        <v>16001</v>
      </c>
      <c r="D2610" s="7" t="s">
        <v>16002</v>
      </c>
      <c r="E2610" s="12" t="str">
        <f>HYPERLINK("https://twitter.com/mhmmedckrgz/status/1181899539537629184","1181899539537629184")</f>
        <v>1181899539537629184</v>
      </c>
      <c r="F2610" s="8"/>
      <c r="G2610" s="7"/>
      <c r="H2610" s="8"/>
      <c r="I2610" s="15">
        <v>0</v>
      </c>
      <c r="J2610" s="15">
        <v>10</v>
      </c>
      <c r="K2610" s="12" t="str">
        <f>HYPERLINK("http://twitter.com/download/android","Twitter for Android")</f>
        <v>Twitter for Android</v>
      </c>
      <c r="L2610" s="16">
        <v>1923</v>
      </c>
      <c r="M2610" s="16">
        <v>631</v>
      </c>
      <c r="N2610" s="16">
        <v>5</v>
      </c>
      <c r="O2610" s="17"/>
      <c r="P2610" s="18">
        <v>41987.19226851852</v>
      </c>
      <c r="Q2610" s="7"/>
      <c r="R2610" s="7" t="s">
        <v>16003</v>
      </c>
      <c r="S2610" s="7"/>
      <c r="T2610" s="8"/>
      <c r="U2610" s="19" t="str">
        <f>HYPERLINK("https://pbs.twimg.com/profile_images/1167842755273527302/YrXL6yGT.jpg","View")</f>
        <v>View</v>
      </c>
      <c r="V2610" s="8"/>
      <c r="W2610" s="8"/>
      <c r="X2610" s="8"/>
      <c r="Y2610" s="8"/>
      <c r="Z2610" s="8"/>
    </row>
    <row r="2611" spans="1:26" ht="12.75">
      <c r="A2611" s="11">
        <v>43747.201192129629</v>
      </c>
      <c r="B2611" s="12" t="str">
        <f>HYPERLINK("https://twitter.com/bener_ramazan","@bener_ramazan")</f>
        <v>@bener_ramazan</v>
      </c>
      <c r="C2611" s="7" t="s">
        <v>16004</v>
      </c>
      <c r="D2611" s="7" t="s">
        <v>16005</v>
      </c>
      <c r="E2611" s="12" t="str">
        <f>HYPERLINK("https://twitter.com/bener_ramazan/status/1181899537532833794","1181899537532833794")</f>
        <v>1181899537532833794</v>
      </c>
      <c r="F2611" s="8"/>
      <c r="G2611" s="7"/>
      <c r="H2611" s="8"/>
      <c r="I2611" s="15">
        <v>0</v>
      </c>
      <c r="J2611" s="15">
        <v>0</v>
      </c>
      <c r="K2611" s="12" t="str">
        <f>HYPERLINK("http://twitter.com/download/iphone","Twitter for iPhone")</f>
        <v>Twitter for iPhone</v>
      </c>
      <c r="L2611" s="16">
        <v>216</v>
      </c>
      <c r="M2611" s="16">
        <v>307</v>
      </c>
      <c r="N2611" s="16">
        <v>0</v>
      </c>
      <c r="O2611" s="17"/>
      <c r="P2611" s="18">
        <v>41985.544560185182</v>
      </c>
      <c r="Q2611" s="7" t="s">
        <v>2201</v>
      </c>
      <c r="R2611" s="7" t="s">
        <v>16006</v>
      </c>
      <c r="S2611" s="15"/>
      <c r="T2611" s="8"/>
      <c r="U2611" s="19" t="str">
        <f>HYPERLINK("https://pbs.twimg.com/profile_images/1137483181924462594/tlW208vt.jpg","View")</f>
        <v>View</v>
      </c>
      <c r="V2611" s="8"/>
      <c r="W2611" s="8"/>
      <c r="X2611" s="8"/>
      <c r="Y2611" s="8"/>
      <c r="Z2611" s="8"/>
    </row>
    <row r="2612" spans="1:26" ht="12.75">
      <c r="A2612" s="11">
        <v>43747.20113425926</v>
      </c>
      <c r="B2612" s="12" t="str">
        <f>HYPERLINK("https://twitter.com/MBaki41","@MBaki41")</f>
        <v>@MBaki41</v>
      </c>
      <c r="C2612" s="7" t="s">
        <v>16007</v>
      </c>
      <c r="D2612" s="7" t="s">
        <v>16008</v>
      </c>
      <c r="E2612" s="12" t="str">
        <f>HYPERLINK("https://twitter.com/MBaki41/status/1181899519065243648","1181899519065243648")</f>
        <v>1181899519065243648</v>
      </c>
      <c r="F2612" s="8"/>
      <c r="G2612" s="15"/>
      <c r="H2612" s="8"/>
      <c r="I2612" s="15">
        <v>0</v>
      </c>
      <c r="J2612" s="15">
        <v>0</v>
      </c>
      <c r="K2612" s="12" t="str">
        <f>HYPERLINK("http://twitter.com/download/iphone","Twitter for iPhone")</f>
        <v>Twitter for iPhone</v>
      </c>
      <c r="L2612" s="16">
        <v>44</v>
      </c>
      <c r="M2612" s="16">
        <v>78</v>
      </c>
      <c r="N2612" s="16">
        <v>0</v>
      </c>
      <c r="O2612" s="17"/>
      <c r="P2612" s="18">
        <v>42016.077951388885</v>
      </c>
      <c r="Q2612" s="7"/>
      <c r="R2612" s="7" t="s">
        <v>16009</v>
      </c>
      <c r="S2612" s="15"/>
      <c r="T2612" s="8"/>
      <c r="U2612" s="19" t="str">
        <f>HYPERLINK("https://pbs.twimg.com/profile_images/1071034273031954432/6ELZW9Ar.jpg","View")</f>
        <v>View</v>
      </c>
      <c r="V2612" s="8"/>
      <c r="W2612" s="8"/>
      <c r="X2612" s="8"/>
      <c r="Y2612" s="8"/>
      <c r="Z2612" s="8"/>
    </row>
    <row r="2613" spans="1:26" ht="12.75">
      <c r="A2613" s="11">
        <v>43747.20112268519</v>
      </c>
      <c r="B2613" s="12" t="str">
        <f>HYPERLINK("https://twitter.com/lami_yerli","@lami_yerli")</f>
        <v>@lami_yerli</v>
      </c>
      <c r="C2613" s="7" t="s">
        <v>16010</v>
      </c>
      <c r="D2613" s="7" t="s">
        <v>16011</v>
      </c>
      <c r="E2613" s="12" t="str">
        <f>HYPERLINK("https://twitter.com/lami_yerli/status/1181899513302310918","1181899513302310918")</f>
        <v>1181899513302310918</v>
      </c>
      <c r="F2613" s="8"/>
      <c r="G2613" s="15"/>
      <c r="H2613" s="8"/>
      <c r="I2613" s="15">
        <v>0</v>
      </c>
      <c r="J2613" s="15">
        <v>0</v>
      </c>
      <c r="K2613" s="12" t="str">
        <f>HYPERLINK("http://twitter.com","Twitter Web Client")</f>
        <v>Twitter Web Client</v>
      </c>
      <c r="L2613" s="16">
        <v>6</v>
      </c>
      <c r="M2613" s="16">
        <v>0</v>
      </c>
      <c r="N2613" s="16">
        <v>0</v>
      </c>
      <c r="O2613" s="17"/>
      <c r="P2613" s="18">
        <v>43599.715115740742</v>
      </c>
      <c r="Q2613" s="7" t="s">
        <v>2679</v>
      </c>
      <c r="R2613" s="7" t="s">
        <v>16012</v>
      </c>
      <c r="S2613" s="7"/>
      <c r="T2613" s="8"/>
      <c r="U2613" s="19" t="str">
        <f>HYPERLINK("https://pbs.twimg.com/profile_images/1129493148026191878/NTmjtREl.jpg","View")</f>
        <v>View</v>
      </c>
      <c r="V2613" s="8"/>
      <c r="W2613" s="8"/>
      <c r="X2613" s="8"/>
      <c r="Y2613" s="8"/>
      <c r="Z2613" s="8"/>
    </row>
    <row r="2614" spans="1:26" ht="12.75">
      <c r="A2614" s="11">
        <v>43747.201053240744</v>
      </c>
      <c r="B2614" s="12" t="str">
        <f>HYPERLINK("https://twitter.com/Berkan83972628","@Berkan83972628")</f>
        <v>@Berkan83972628</v>
      </c>
      <c r="C2614" s="7" t="s">
        <v>16013</v>
      </c>
      <c r="D2614" s="7" t="s">
        <v>160</v>
      </c>
      <c r="E2614" s="12" t="str">
        <f>HYPERLINK("https://twitter.com/Berkan83972628/status/1181899490468487168","1181899490468487168")</f>
        <v>1181899490468487168</v>
      </c>
      <c r="F2614" s="15"/>
      <c r="G2614" s="14" t="s">
        <v>16014</v>
      </c>
      <c r="H2614" s="8"/>
      <c r="I2614" s="15">
        <v>0</v>
      </c>
      <c r="J2614" s="15">
        <v>1</v>
      </c>
      <c r="K2614" s="12" t="str">
        <f>HYPERLINK("http://twitter.com/download/iphone","Twitter for iPhone")</f>
        <v>Twitter for iPhone</v>
      </c>
      <c r="L2614" s="16">
        <v>2</v>
      </c>
      <c r="M2614" s="16">
        <v>10</v>
      </c>
      <c r="N2614" s="16">
        <v>0</v>
      </c>
      <c r="O2614" s="17"/>
      <c r="P2614" s="18">
        <v>43685.156909722224</v>
      </c>
      <c r="Q2614" s="7"/>
      <c r="R2614" s="7" t="s">
        <v>16015</v>
      </c>
      <c r="S2614" s="7"/>
      <c r="T2614" s="8"/>
      <c r="U2614" s="19" t="str">
        <f>HYPERLINK("https://pbs.twimg.com/profile_images/1159415700848566273/SHAqDYO4.jpg","View")</f>
        <v>View</v>
      </c>
      <c r="V2614" s="8"/>
      <c r="W2614" s="8"/>
      <c r="X2614" s="8"/>
      <c r="Y2614" s="8"/>
      <c r="Z2614" s="8"/>
    </row>
    <row r="2615" spans="1:26" ht="12.75">
      <c r="A2615" s="11">
        <v>43747.201018518521</v>
      </c>
      <c r="B2615" s="12" t="str">
        <f>HYPERLINK("https://twitter.com/seklinizkimelan","@seklinizkimelan")</f>
        <v>@seklinizkimelan</v>
      </c>
      <c r="C2615" s="7" t="s">
        <v>16016</v>
      </c>
      <c r="D2615" s="7" t="s">
        <v>16017</v>
      </c>
      <c r="E2615" s="12" t="str">
        <f>HYPERLINK("https://twitter.com/seklinizkimelan/status/1181899476493049856","1181899476493049856")</f>
        <v>1181899476493049856</v>
      </c>
      <c r="F2615" s="14" t="s">
        <v>16018</v>
      </c>
      <c r="G2615" s="14" t="s">
        <v>16019</v>
      </c>
      <c r="H2615" s="8"/>
      <c r="I2615" s="15">
        <v>0</v>
      </c>
      <c r="J2615" s="15">
        <v>1</v>
      </c>
      <c r="K2615" s="12" t="str">
        <f>HYPERLINK("http://twitter.com/download/android","Twitter for Android")</f>
        <v>Twitter for Android</v>
      </c>
      <c r="L2615" s="16">
        <v>1804</v>
      </c>
      <c r="M2615" s="16">
        <v>2328</v>
      </c>
      <c r="N2615" s="16">
        <v>1</v>
      </c>
      <c r="O2615" s="17"/>
      <c r="P2615" s="18">
        <v>40604.657094907408</v>
      </c>
      <c r="Q2615" s="7" t="s">
        <v>16020</v>
      </c>
      <c r="R2615" s="7"/>
      <c r="S2615" s="7"/>
      <c r="T2615" s="8"/>
      <c r="U2615" s="19" t="str">
        <f>HYPERLINK("https://pbs.twimg.com/profile_images/1160668215984476170/I4cGg-wm.jpg","View")</f>
        <v>View</v>
      </c>
      <c r="V2615" s="8"/>
      <c r="W2615" s="8"/>
      <c r="X2615" s="8"/>
      <c r="Y2615" s="8"/>
      <c r="Z2615" s="8"/>
    </row>
    <row r="2616" spans="1:26" ht="12.75">
      <c r="A2616" s="11">
        <v>43747.200949074075</v>
      </c>
      <c r="B2616" s="12" t="str">
        <f>HYPERLINK("https://twitter.com/mit27287799","@mit27287799")</f>
        <v>@mit27287799</v>
      </c>
      <c r="C2616" s="7" t="s">
        <v>16021</v>
      </c>
      <c r="D2616" s="7" t="s">
        <v>16022</v>
      </c>
      <c r="E2616" s="12" t="str">
        <f>HYPERLINK("https://twitter.com/mit27287799/status/1181899450421272581","1181899450421272581")</f>
        <v>1181899450421272581</v>
      </c>
      <c r="F2616" s="15"/>
      <c r="G2616" s="14" t="s">
        <v>16023</v>
      </c>
      <c r="H2616" s="8"/>
      <c r="I2616" s="15">
        <v>0</v>
      </c>
      <c r="J2616" s="15">
        <v>0</v>
      </c>
      <c r="K2616" s="12" t="str">
        <f>HYPERLINK("http://twitter.com/download/iphone","Twitter for iPhone")</f>
        <v>Twitter for iPhone</v>
      </c>
      <c r="L2616" s="16">
        <v>1</v>
      </c>
      <c r="M2616" s="16">
        <v>22</v>
      </c>
      <c r="N2616" s="16">
        <v>0</v>
      </c>
      <c r="O2616" s="17"/>
      <c r="P2616" s="18">
        <v>43640.214143518519</v>
      </c>
      <c r="Q2616" s="7"/>
      <c r="R2616" s="7" t="s">
        <v>16024</v>
      </c>
      <c r="S2616" s="7"/>
      <c r="T2616" s="8"/>
      <c r="U2616" s="19" t="str">
        <f>HYPERLINK("https://pbs.twimg.com/profile_images/1143128927243776000/rtEdEozv.jpg","View")</f>
        <v>View</v>
      </c>
      <c r="V2616" s="8"/>
      <c r="W2616" s="8"/>
      <c r="X2616" s="8"/>
      <c r="Y2616" s="8"/>
      <c r="Z2616" s="8"/>
    </row>
    <row r="2617" spans="1:26" ht="12.75">
      <c r="A2617" s="11">
        <v>43747.200925925921</v>
      </c>
      <c r="B2617" s="12" t="str">
        <f>HYPERLINK("https://twitter.com/EyupYAPRAK","@EyupYAPRAK")</f>
        <v>@EyupYAPRAK</v>
      </c>
      <c r="C2617" s="7" t="s">
        <v>16025</v>
      </c>
      <c r="D2617" s="7" t="s">
        <v>16026</v>
      </c>
      <c r="E2617" s="12" t="str">
        <f>HYPERLINK("https://twitter.com/EyupYAPRAK/status/1181899440992460800","1181899440992460800")</f>
        <v>1181899440992460800</v>
      </c>
      <c r="F2617" s="8"/>
      <c r="G2617" s="15"/>
      <c r="H2617" s="8"/>
      <c r="I2617" s="15">
        <v>0</v>
      </c>
      <c r="J2617" s="15">
        <v>0</v>
      </c>
      <c r="K2617" s="12" t="str">
        <f>HYPERLINK("https://mobile.twitter.com","Twitter Web App")</f>
        <v>Twitter Web App</v>
      </c>
      <c r="L2617" s="16">
        <v>1279</v>
      </c>
      <c r="M2617" s="16">
        <v>245</v>
      </c>
      <c r="N2617" s="16">
        <v>7</v>
      </c>
      <c r="O2617" s="17"/>
      <c r="P2617" s="18">
        <v>40740.427395833336</v>
      </c>
      <c r="Q2617" s="7" t="s">
        <v>4645</v>
      </c>
      <c r="R2617" s="7" t="s">
        <v>16027</v>
      </c>
      <c r="S2617" s="7"/>
      <c r="T2617" s="8"/>
      <c r="U2617" s="19" t="str">
        <f>HYPERLINK("https://pbs.twimg.com/profile_images/872008543272087552/wda7UFsy.jpg","View")</f>
        <v>View</v>
      </c>
      <c r="V2617" s="8"/>
      <c r="W2617" s="8"/>
      <c r="X2617" s="8"/>
      <c r="Y2617" s="8"/>
      <c r="Z2617" s="8"/>
    </row>
    <row r="2618" spans="1:26" ht="12.75">
      <c r="A2618" s="11">
        <v>43747.200833333336</v>
      </c>
      <c r="B2618" s="12" t="str">
        <f>HYPERLINK("https://twitter.com/ozelbirliklerr","@ozelbirliklerr")</f>
        <v>@ozelbirliklerr</v>
      </c>
      <c r="C2618" s="7" t="s">
        <v>16028</v>
      </c>
      <c r="D2618" s="7" t="s">
        <v>16029</v>
      </c>
      <c r="E2618" s="12" t="str">
        <f>HYPERLINK("https://twitter.com/ozelbirliklerr/status/1181899411216949248","1181899411216949248")</f>
        <v>1181899411216949248</v>
      </c>
      <c r="F2618" s="8"/>
      <c r="G2618" s="14" t="s">
        <v>16030</v>
      </c>
      <c r="H2618" s="8"/>
      <c r="I2618" s="15">
        <v>2</v>
      </c>
      <c r="J2618" s="15">
        <v>5</v>
      </c>
      <c r="K2618" s="12" t="str">
        <f>HYPERLINK("http://twitter.com/download/android","Twitter for Android")</f>
        <v>Twitter for Android</v>
      </c>
      <c r="L2618" s="16">
        <v>5682</v>
      </c>
      <c r="M2618" s="16">
        <v>284</v>
      </c>
      <c r="N2618" s="16">
        <v>9</v>
      </c>
      <c r="O2618" s="17"/>
      <c r="P2618" s="18">
        <v>42603.525324074071</v>
      </c>
      <c r="Q2618" s="7"/>
      <c r="R2618" s="7" t="s">
        <v>16031</v>
      </c>
      <c r="S2618" s="14" t="s">
        <v>16032</v>
      </c>
      <c r="T2618" s="8"/>
      <c r="U2618" s="19" t="str">
        <f>HYPERLINK("https://pbs.twimg.com/profile_images/809464204818337792/WP00aEJ0.jpg","View")</f>
        <v>View</v>
      </c>
      <c r="V2618" s="8"/>
      <c r="W2618" s="8"/>
      <c r="X2618" s="8"/>
      <c r="Y2618" s="8"/>
      <c r="Z2618" s="8"/>
    </row>
    <row r="2619" spans="1:26" ht="12.75">
      <c r="A2619" s="11">
        <v>43747.200717592597</v>
      </c>
      <c r="B2619" s="12" t="str">
        <f>HYPERLINK("https://twitter.com/Etkin_lw","@Etkin_lw")</f>
        <v>@Etkin_lw</v>
      </c>
      <c r="C2619" s="7" t="s">
        <v>16033</v>
      </c>
      <c r="D2619" s="7" t="s">
        <v>16034</v>
      </c>
      <c r="E2619" s="12" t="str">
        <f>HYPERLINK("https://twitter.com/Etkin_lw/status/1181899367776698368","1181899367776698368")</f>
        <v>1181899367776698368</v>
      </c>
      <c r="F2619" s="8"/>
      <c r="G2619" s="7"/>
      <c r="H2619" s="8"/>
      <c r="I2619" s="15">
        <v>0</v>
      </c>
      <c r="J2619" s="15">
        <v>0</v>
      </c>
      <c r="K2619" s="12" t="str">
        <f>HYPERLINK("https://mobile.twitter.com","Twitter Web App")</f>
        <v>Twitter Web App</v>
      </c>
      <c r="L2619" s="16">
        <v>4</v>
      </c>
      <c r="M2619" s="16">
        <v>227</v>
      </c>
      <c r="N2619" s="16">
        <v>0</v>
      </c>
      <c r="O2619" s="17"/>
      <c r="P2619" s="18">
        <v>43597.660324074073</v>
      </c>
      <c r="Q2619" s="7"/>
      <c r="R2619" s="7"/>
      <c r="S2619" s="7"/>
      <c r="T2619" s="8"/>
      <c r="U2619" s="19" t="str">
        <f>HYPERLINK("https://pbs.twimg.com/profile_images/1127725625748406273/4MNDHd3p.jpg","View")</f>
        <v>View</v>
      </c>
      <c r="V2619" s="8"/>
      <c r="W2619" s="8"/>
      <c r="X2619" s="8"/>
      <c r="Y2619" s="8"/>
      <c r="Z2619" s="8"/>
    </row>
    <row r="2620" spans="1:26" ht="12.75">
      <c r="A2620" s="11">
        <v>43747.200706018513</v>
      </c>
      <c r="B2620" s="12" t="str">
        <f>HYPERLINK("https://twitter.com/asmtgvnn","@asmtgvnn")</f>
        <v>@asmtgvnn</v>
      </c>
      <c r="C2620" s="7" t="s">
        <v>16035</v>
      </c>
      <c r="D2620" s="7" t="s">
        <v>16036</v>
      </c>
      <c r="E2620" s="12" t="str">
        <f>HYPERLINK("https://twitter.com/asmtgvnn/status/1181899362026377216","1181899362026377216")</f>
        <v>1181899362026377216</v>
      </c>
      <c r="F2620" s="8"/>
      <c r="G2620" s="15"/>
      <c r="H2620" s="8"/>
      <c r="I2620" s="15">
        <v>0</v>
      </c>
      <c r="J2620" s="15">
        <v>0</v>
      </c>
      <c r="K2620" s="12" t="str">
        <f>HYPERLINK("http://twitter.com/download/iphone","Twitter for iPhone")</f>
        <v>Twitter for iPhone</v>
      </c>
      <c r="L2620" s="16">
        <v>49</v>
      </c>
      <c r="M2620" s="16">
        <v>53</v>
      </c>
      <c r="N2620" s="16">
        <v>0</v>
      </c>
      <c r="O2620" s="17"/>
      <c r="P2620" s="18">
        <v>43469.441944444443</v>
      </c>
      <c r="Q2620" s="7" t="s">
        <v>1850</v>
      </c>
      <c r="R2620" s="7"/>
      <c r="S2620" s="14" t="s">
        <v>16037</v>
      </c>
      <c r="T2620" s="8"/>
      <c r="U2620" s="19" t="str">
        <f>HYPERLINK("https://pbs.twimg.com/profile_images/1164627798729863168/hmR4CviL.jpg","View")</f>
        <v>View</v>
      </c>
      <c r="V2620" s="8"/>
      <c r="W2620" s="8"/>
      <c r="X2620" s="8"/>
      <c r="Y2620" s="8"/>
      <c r="Z2620" s="8"/>
    </row>
    <row r="2621" spans="1:26" ht="12.75">
      <c r="A2621" s="11">
        <v>43747.200567129628</v>
      </c>
      <c r="B2621" s="12" t="str">
        <f>HYPERLINK("https://twitter.com/eraytrader","@eraytrader")</f>
        <v>@eraytrader</v>
      </c>
      <c r="C2621" s="7" t="s">
        <v>16038</v>
      </c>
      <c r="D2621" s="7" t="s">
        <v>16039</v>
      </c>
      <c r="E2621" s="12" t="str">
        <f>HYPERLINK("https://twitter.com/eraytrader/status/1181899311292047360","1181899311292047360")</f>
        <v>1181899311292047360</v>
      </c>
      <c r="F2621" s="8"/>
      <c r="G2621" s="7"/>
      <c r="H2621" s="8"/>
      <c r="I2621" s="15">
        <v>0</v>
      </c>
      <c r="J2621" s="15">
        <v>0</v>
      </c>
      <c r="K2621" s="12" t="str">
        <f>HYPERLINK("http://twitter.com/download/android","Twitter for Android")</f>
        <v>Twitter for Android</v>
      </c>
      <c r="L2621" s="16">
        <v>635</v>
      </c>
      <c r="M2621" s="16">
        <v>828</v>
      </c>
      <c r="N2621" s="16">
        <v>1</v>
      </c>
      <c r="O2621" s="17"/>
      <c r="P2621" s="18">
        <v>40170.261874999997</v>
      </c>
      <c r="Q2621" s="7" t="s">
        <v>200</v>
      </c>
      <c r="R2621" s="7" t="s">
        <v>16040</v>
      </c>
      <c r="S2621" s="14" t="s">
        <v>16041</v>
      </c>
      <c r="T2621" s="8"/>
      <c r="U2621" s="19" t="str">
        <f>HYPERLINK("https://pbs.twimg.com/profile_images/1028902145683333120/TT4WxhAi.jpg","View")</f>
        <v>View</v>
      </c>
      <c r="V2621" s="8"/>
      <c r="W2621" s="8"/>
      <c r="X2621" s="8"/>
      <c r="Y2621" s="8"/>
      <c r="Z2621" s="8"/>
    </row>
    <row r="2622" spans="1:26" ht="12.75">
      <c r="A2622" s="11">
        <v>43747.200520833328</v>
      </c>
      <c r="B2622" s="12" t="str">
        <f>HYPERLINK("https://twitter.com/serbazmustafa61","@serbazmustafa61")</f>
        <v>@serbazmustafa61</v>
      </c>
      <c r="C2622" s="7" t="s">
        <v>16042</v>
      </c>
      <c r="D2622" s="7" t="s">
        <v>16043</v>
      </c>
      <c r="E2622" s="12" t="str">
        <f>HYPERLINK("https://twitter.com/serbazmustafa61/status/1181899296234512387","1181899296234512387")</f>
        <v>1181899296234512387</v>
      </c>
      <c r="F2622" s="8"/>
      <c r="G2622" s="7"/>
      <c r="H2622" s="8"/>
      <c r="I2622" s="15">
        <v>0</v>
      </c>
      <c r="J2622" s="15">
        <v>2</v>
      </c>
      <c r="K2622" s="12" t="str">
        <f>HYPERLINK("http://twitter.com/download/iphone","Twitter for iPhone")</f>
        <v>Twitter for iPhone</v>
      </c>
      <c r="L2622" s="16">
        <v>668</v>
      </c>
      <c r="M2622" s="16">
        <v>350</v>
      </c>
      <c r="N2622" s="16">
        <v>0</v>
      </c>
      <c r="O2622" s="17"/>
      <c r="P2622" s="18">
        <v>42443.363518518519</v>
      </c>
      <c r="Q2622" s="7" t="s">
        <v>1748</v>
      </c>
      <c r="R2622" s="7" t="s">
        <v>16044</v>
      </c>
      <c r="S2622" s="14" t="s">
        <v>16045</v>
      </c>
      <c r="T2622" s="8"/>
      <c r="U2622" s="19" t="str">
        <f>HYPERLINK("https://pbs.twimg.com/profile_images/1166750931221909510/7I2skT1L.jpg","View")</f>
        <v>View</v>
      </c>
      <c r="V2622" s="8"/>
      <c r="W2622" s="8"/>
      <c r="X2622" s="8"/>
      <c r="Y2622" s="8"/>
      <c r="Z2622" s="8"/>
    </row>
    <row r="2623" spans="1:26" ht="12.75">
      <c r="A2623" s="11">
        <v>43747.200497685189</v>
      </c>
      <c r="B2623" s="12" t="str">
        <f>HYPERLINK("https://twitter.com/zdmrhrn66","@zdmrhrn66")</f>
        <v>@zdmrhrn66</v>
      </c>
      <c r="C2623" s="7" t="s">
        <v>16046</v>
      </c>
      <c r="D2623" s="7" t="s">
        <v>160</v>
      </c>
      <c r="E2623" s="12" t="str">
        <f>HYPERLINK("https://twitter.com/zdmrhrn66/status/1181899288563068928","1181899288563068928")</f>
        <v>1181899288563068928</v>
      </c>
      <c r="F2623" s="14" t="s">
        <v>16047</v>
      </c>
      <c r="G2623" s="7"/>
      <c r="H2623" s="8"/>
      <c r="I2623" s="15">
        <v>0</v>
      </c>
      <c r="J2623" s="15">
        <v>0</v>
      </c>
      <c r="K2623" s="12" t="str">
        <f>HYPERLINK("https://mobile.twitter.com","Twitter Web App")</f>
        <v>Twitter Web App</v>
      </c>
      <c r="L2623" s="16">
        <v>190</v>
      </c>
      <c r="M2623" s="16">
        <v>256</v>
      </c>
      <c r="N2623" s="16">
        <v>0</v>
      </c>
      <c r="O2623" s="17"/>
      <c r="P2623" s="18">
        <v>42794.969791666663</v>
      </c>
      <c r="Q2623" s="7" t="s">
        <v>14024</v>
      </c>
      <c r="R2623" s="7" t="s">
        <v>16048</v>
      </c>
      <c r="S2623" s="7"/>
      <c r="T2623" s="8"/>
      <c r="U2623" s="19" t="str">
        <f>HYPERLINK("https://pbs.twimg.com/profile_images/1178984258788044800/_A9HO5J9.jpg","View")</f>
        <v>View</v>
      </c>
      <c r="V2623" s="8"/>
      <c r="W2623" s="8"/>
      <c r="X2623" s="8"/>
      <c r="Y2623" s="8"/>
      <c r="Z2623" s="8"/>
    </row>
    <row r="2624" spans="1:26" ht="12.75">
      <c r="A2624" s="11">
        <v>43747.200462962966</v>
      </c>
      <c r="B2624" s="12" t="str">
        <f>HYPERLINK("https://twitter.com/Halilibrahim_06","@Halilibrahim_06")</f>
        <v>@Halilibrahim_06</v>
      </c>
      <c r="C2624" s="7" t="s">
        <v>16049</v>
      </c>
      <c r="D2624" s="7" t="s">
        <v>160</v>
      </c>
      <c r="E2624" s="12" t="str">
        <f>HYPERLINK("https://twitter.com/Halilibrahim_06/status/1181899277309751296","1181899277309751296")</f>
        <v>1181899277309751296</v>
      </c>
      <c r="F2624" s="8"/>
      <c r="G2624" s="14" t="s">
        <v>16050</v>
      </c>
      <c r="H2624" s="8"/>
      <c r="I2624" s="15">
        <v>0</v>
      </c>
      <c r="J2624" s="15">
        <v>0</v>
      </c>
      <c r="K2624" s="12" t="str">
        <f>HYPERLINK("http://twitter.com/download/iphone","Twitter for iPhone")</f>
        <v>Twitter for iPhone</v>
      </c>
      <c r="L2624" s="16">
        <v>5</v>
      </c>
      <c r="M2624" s="16">
        <v>42</v>
      </c>
      <c r="N2624" s="16">
        <v>0</v>
      </c>
      <c r="O2624" s="17"/>
      <c r="P2624" s="18">
        <v>41328.536747685182</v>
      </c>
      <c r="Q2624" s="7"/>
      <c r="R2624" s="7"/>
      <c r="S2624" s="15"/>
      <c r="T2624" s="8"/>
      <c r="U2624" s="19" t="str">
        <f>HYPERLINK("https://pbs.twimg.com/profile_images/1128534768952520704/Cp79-s_m.jpg","View")</f>
        <v>View</v>
      </c>
      <c r="V2624" s="8"/>
      <c r="W2624" s="8"/>
      <c r="X2624" s="8"/>
      <c r="Y2624" s="8"/>
      <c r="Z2624" s="8"/>
    </row>
    <row r="2625" spans="1:26" ht="12.75">
      <c r="A2625" s="11">
        <v>43747.20040509259</v>
      </c>
      <c r="B2625" s="12" t="str">
        <f>HYPERLINK("https://twitter.com/Enesalici12","@Enesalici12")</f>
        <v>@Enesalici12</v>
      </c>
      <c r="C2625" s="7" t="s">
        <v>16051</v>
      </c>
      <c r="D2625" s="7" t="s">
        <v>160</v>
      </c>
      <c r="E2625" s="12" t="str">
        <f>HYPERLINK("https://twitter.com/Enesalici12/status/1181899255734308864","1181899255734308864")</f>
        <v>1181899255734308864</v>
      </c>
      <c r="F2625" s="8"/>
      <c r="G2625" s="14" t="s">
        <v>16052</v>
      </c>
      <c r="H2625" s="8"/>
      <c r="I2625" s="15">
        <v>0</v>
      </c>
      <c r="J2625" s="15">
        <v>0</v>
      </c>
      <c r="K2625" s="12" t="str">
        <f>HYPERLINK("http://twitter.com/download/iphone","Twitter for iPhone")</f>
        <v>Twitter for iPhone</v>
      </c>
      <c r="L2625" s="16">
        <v>1</v>
      </c>
      <c r="M2625" s="16">
        <v>15</v>
      </c>
      <c r="N2625" s="16">
        <v>0</v>
      </c>
      <c r="O2625" s="17"/>
      <c r="P2625" s="18">
        <v>42809.791412037041</v>
      </c>
      <c r="Q2625" s="7"/>
      <c r="R2625" s="7"/>
      <c r="S2625" s="7"/>
      <c r="T2625" s="8"/>
      <c r="U2625" s="20" t="s">
        <v>354</v>
      </c>
      <c r="V2625" s="8"/>
      <c r="W2625" s="8"/>
      <c r="X2625" s="8"/>
      <c r="Y2625" s="8"/>
      <c r="Z2625" s="8"/>
    </row>
    <row r="2626" spans="1:26" ht="12.75">
      <c r="A2626" s="11">
        <v>43747.20039351852</v>
      </c>
      <c r="B2626" s="12" t="str">
        <f>HYPERLINK("https://twitter.com/spor7241","@spor7241")</f>
        <v>@spor7241</v>
      </c>
      <c r="C2626" s="7" t="s">
        <v>16053</v>
      </c>
      <c r="D2626" s="7" t="s">
        <v>16054</v>
      </c>
      <c r="E2626" s="12" t="str">
        <f>HYPERLINK("https://twitter.com/spor7241/status/1181899250940162048","1181899250940162048")</f>
        <v>1181899250940162048</v>
      </c>
      <c r="F2626" s="8"/>
      <c r="G2626" s="14" t="s">
        <v>16055</v>
      </c>
      <c r="H2626" s="8"/>
      <c r="I2626" s="15">
        <v>0</v>
      </c>
      <c r="J2626" s="15">
        <v>0</v>
      </c>
      <c r="K2626" s="12" t="str">
        <f>HYPERLINK("https://mobile.twitter.com","Twitter Web App")</f>
        <v>Twitter Web App</v>
      </c>
      <c r="L2626" s="16">
        <v>369</v>
      </c>
      <c r="M2626" s="16">
        <v>261</v>
      </c>
      <c r="N2626" s="16">
        <v>1</v>
      </c>
      <c r="O2626" s="17"/>
      <c r="P2626" s="18">
        <v>42706.113634259258</v>
      </c>
      <c r="Q2626" s="7"/>
      <c r="R2626" s="7" t="s">
        <v>16056</v>
      </c>
      <c r="S2626" s="7"/>
      <c r="T2626" s="8"/>
      <c r="U2626" s="19" t="str">
        <f>HYPERLINK("https://pbs.twimg.com/profile_images/1174007728743813120/L58Vw_xP.jpg","View")</f>
        <v>View</v>
      </c>
      <c r="V2626" s="8"/>
      <c r="W2626" s="8"/>
      <c r="X2626" s="8"/>
      <c r="Y2626" s="8"/>
      <c r="Z2626" s="8"/>
    </row>
    <row r="2627" spans="1:26" ht="12.75">
      <c r="A2627" s="11">
        <v>43747.200231481482</v>
      </c>
      <c r="B2627" s="12" t="str">
        <f>HYPERLINK("https://twitter.com/zubo_rain","@zubo_rain")</f>
        <v>@zubo_rain</v>
      </c>
      <c r="C2627" s="7" t="s">
        <v>16057</v>
      </c>
      <c r="D2627" s="7" t="s">
        <v>16058</v>
      </c>
      <c r="E2627" s="12" t="str">
        <f>HYPERLINK("https://twitter.com/zubo_rain/status/1181899190575730688","1181899190575730688")</f>
        <v>1181899190575730688</v>
      </c>
      <c r="F2627" s="8"/>
      <c r="G2627" s="7"/>
      <c r="H2627" s="8"/>
      <c r="I2627" s="15">
        <v>1</v>
      </c>
      <c r="J2627" s="15">
        <v>2</v>
      </c>
      <c r="K2627" s="12" t="str">
        <f>HYPERLINK("http://twitter.com/download/android","Twitter for Android")</f>
        <v>Twitter for Android</v>
      </c>
      <c r="L2627" s="16">
        <v>3916</v>
      </c>
      <c r="M2627" s="16">
        <v>3672</v>
      </c>
      <c r="N2627" s="16">
        <v>12</v>
      </c>
      <c r="O2627" s="17"/>
      <c r="P2627" s="18">
        <v>40474.63009259259</v>
      </c>
      <c r="Q2627" s="7" t="s">
        <v>16059</v>
      </c>
      <c r="R2627" s="7" t="s">
        <v>16060</v>
      </c>
      <c r="S2627" s="7"/>
      <c r="T2627" s="8"/>
      <c r="U2627" s="19" t="str">
        <f>HYPERLINK("https://pbs.twimg.com/profile_images/1178686500743061506/K3QAbHaM.jpg","View")</f>
        <v>View</v>
      </c>
      <c r="V2627" s="8"/>
      <c r="W2627" s="8"/>
      <c r="X2627" s="8"/>
      <c r="Y2627" s="8"/>
      <c r="Z2627" s="8"/>
    </row>
    <row r="2628" spans="1:26" ht="12.75">
      <c r="A2628" s="11">
        <v>43747.200219907405</v>
      </c>
      <c r="B2628" s="12" t="str">
        <f>HYPERLINK("https://twitter.com/yarenler18_06","@yarenler18_06")</f>
        <v>@yarenler18_06</v>
      </c>
      <c r="C2628" s="7" t="s">
        <v>16061</v>
      </c>
      <c r="D2628" s="7" t="s">
        <v>16062</v>
      </c>
      <c r="E2628" s="12" t="str">
        <f>HYPERLINK("https://twitter.com/yarenler18_06/status/1181899186427633667","1181899186427633667")</f>
        <v>1181899186427633667</v>
      </c>
      <c r="F2628" s="8"/>
      <c r="G2628" s="7"/>
      <c r="H2628" s="8"/>
      <c r="I2628" s="15">
        <v>0</v>
      </c>
      <c r="J2628" s="15">
        <v>0</v>
      </c>
      <c r="K2628" s="12" t="str">
        <f>HYPERLINK("http://twitter.com/download/iphone","Twitter for iPhone")</f>
        <v>Twitter for iPhone</v>
      </c>
      <c r="L2628" s="16">
        <v>3085</v>
      </c>
      <c r="M2628" s="16">
        <v>5003</v>
      </c>
      <c r="N2628" s="16">
        <v>9</v>
      </c>
      <c r="O2628" s="17"/>
      <c r="P2628" s="18">
        <v>41198.46738425926</v>
      </c>
      <c r="Q2628" s="7" t="s">
        <v>16063</v>
      </c>
      <c r="R2628" s="7" t="s">
        <v>16064</v>
      </c>
      <c r="S2628" s="7"/>
      <c r="T2628" s="8"/>
      <c r="U2628" s="19" t="str">
        <f>HYPERLINK("https://pbs.twimg.com/profile_images/835010388169195520/RHtDZZay.jpg","View")</f>
        <v>View</v>
      </c>
      <c r="V2628" s="8"/>
      <c r="W2628" s="8"/>
      <c r="X2628" s="8"/>
      <c r="Y2628" s="8"/>
      <c r="Z2628" s="8"/>
    </row>
    <row r="2629" spans="1:26" ht="12.75">
      <c r="A2629" s="11">
        <v>43747.200196759259</v>
      </c>
      <c r="B2629" s="12" t="str">
        <f>HYPERLINK("https://twitter.com/mlh_ilhan","@mlh_ilhan")</f>
        <v>@mlh_ilhan</v>
      </c>
      <c r="C2629" s="7" t="s">
        <v>16065</v>
      </c>
      <c r="D2629" s="7" t="s">
        <v>16066</v>
      </c>
      <c r="E2629" s="12" t="str">
        <f>HYPERLINK("https://twitter.com/mlh_ilhan/status/1181899180131962883","1181899180131962883")</f>
        <v>1181899180131962883</v>
      </c>
      <c r="F2629" s="8"/>
      <c r="G2629" s="14" t="s">
        <v>16067</v>
      </c>
      <c r="H2629" s="8"/>
      <c r="I2629" s="15">
        <v>0</v>
      </c>
      <c r="J2629" s="15">
        <v>0</v>
      </c>
      <c r="K2629" s="12" t="str">
        <f>HYPERLINK("http://twitter.com/download/android","Twitter for Android")</f>
        <v>Twitter for Android</v>
      </c>
      <c r="L2629" s="16">
        <v>216</v>
      </c>
      <c r="M2629" s="16">
        <v>123</v>
      </c>
      <c r="N2629" s="16">
        <v>1</v>
      </c>
      <c r="O2629" s="17"/>
      <c r="P2629" s="18">
        <v>40537.257418981484</v>
      </c>
      <c r="Q2629" s="7"/>
      <c r="R2629" s="7" t="s">
        <v>16068</v>
      </c>
      <c r="S2629" s="7"/>
      <c r="T2629" s="8"/>
      <c r="U2629" s="19" t="str">
        <f>HYPERLINK("https://pbs.twimg.com/profile_images/1119577521664724992/MGzN0DcQ.jpg","View")</f>
        <v>View</v>
      </c>
      <c r="V2629" s="8"/>
      <c r="W2629" s="8"/>
      <c r="X2629" s="8"/>
      <c r="Y2629" s="8"/>
      <c r="Z2629" s="8"/>
    </row>
    <row r="2630" spans="1:26" ht="12.75">
      <c r="A2630" s="11">
        <v>43747.200173611112</v>
      </c>
      <c r="B2630" s="12" t="str">
        <f>HYPERLINK("https://twitter.com/eezgiceyhan","@eezgiceyhan")</f>
        <v>@eezgiceyhan</v>
      </c>
      <c r="C2630" s="7" t="s">
        <v>16069</v>
      </c>
      <c r="D2630" s="7" t="s">
        <v>16070</v>
      </c>
      <c r="E2630" s="12" t="str">
        <f>HYPERLINK("https://twitter.com/eezgiceyhan/status/1181899170673807360","1181899170673807360")</f>
        <v>1181899170673807360</v>
      </c>
      <c r="F2630" s="8"/>
      <c r="G2630" s="14" t="s">
        <v>16071</v>
      </c>
      <c r="H2630" s="8"/>
      <c r="I2630" s="15">
        <v>0</v>
      </c>
      <c r="J2630" s="15">
        <v>1</v>
      </c>
      <c r="K2630" s="12" t="str">
        <f>HYPERLINK("http://twitter.com/download/iphone","Twitter for iPhone")</f>
        <v>Twitter for iPhone</v>
      </c>
      <c r="L2630" s="16">
        <v>53</v>
      </c>
      <c r="M2630" s="16">
        <v>168</v>
      </c>
      <c r="N2630" s="16">
        <v>0</v>
      </c>
      <c r="O2630" s="17"/>
      <c r="P2630" s="18">
        <v>42145.573009259257</v>
      </c>
      <c r="Q2630" s="7" t="s">
        <v>313</v>
      </c>
      <c r="R2630" s="7" t="s">
        <v>16072</v>
      </c>
      <c r="S2630" s="7"/>
      <c r="T2630" s="8"/>
      <c r="U2630" s="19" t="str">
        <f>HYPERLINK("https://pbs.twimg.com/profile_images/1181543250815066112/4qhUHIjM.jpg","View")</f>
        <v>View</v>
      </c>
      <c r="V2630" s="8"/>
      <c r="W2630" s="8"/>
      <c r="X2630" s="8"/>
      <c r="Y2630" s="8"/>
      <c r="Z2630" s="8"/>
    </row>
    <row r="2631" spans="1:26" ht="12.75">
      <c r="A2631" s="11">
        <v>43747.200173611112</v>
      </c>
      <c r="B2631" s="12" t="str">
        <f>HYPERLINK("https://twitter.com/Mrtclk1907","@Mrtclk1907")</f>
        <v>@Mrtclk1907</v>
      </c>
      <c r="C2631" s="7" t="s">
        <v>16073</v>
      </c>
      <c r="D2631" s="7" t="s">
        <v>16074</v>
      </c>
      <c r="E2631" s="12" t="str">
        <f>HYPERLINK("https://twitter.com/Mrtclk1907/status/1181899169314869248","1181899169314869248")</f>
        <v>1181899169314869248</v>
      </c>
      <c r="F2631" s="8"/>
      <c r="G2631" s="14" t="s">
        <v>16075</v>
      </c>
      <c r="H2631" s="8"/>
      <c r="I2631" s="15">
        <v>0</v>
      </c>
      <c r="J2631" s="15">
        <v>0</v>
      </c>
      <c r="K2631" s="12" t="str">
        <f>HYPERLINK("http://twitter.com/download/android","Twitter for Android")</f>
        <v>Twitter for Android</v>
      </c>
      <c r="L2631" s="16">
        <v>68</v>
      </c>
      <c r="M2631" s="16">
        <v>205</v>
      </c>
      <c r="N2631" s="16">
        <v>0</v>
      </c>
      <c r="O2631" s="17"/>
      <c r="P2631" s="18">
        <v>42876.629849537036</v>
      </c>
      <c r="Q2631" s="7"/>
      <c r="R2631" s="7" t="s">
        <v>16076</v>
      </c>
      <c r="S2631" s="7"/>
      <c r="T2631" s="8"/>
      <c r="U2631" s="19" t="str">
        <f>HYPERLINK("https://pbs.twimg.com/profile_images/1176373311019900928/LMY-aCtU.jpg","View")</f>
        <v>View</v>
      </c>
      <c r="V2631" s="8"/>
      <c r="W2631" s="8"/>
      <c r="X2631" s="8"/>
      <c r="Y2631" s="8"/>
      <c r="Z2631" s="8"/>
    </row>
    <row r="2632" spans="1:26" ht="12.75">
      <c r="A2632" s="11">
        <v>43747.200162037036</v>
      </c>
      <c r="B2632" s="12" t="str">
        <f>HYPERLINK("https://twitter.com/batu_cilbirci","@batu_cilbirci")</f>
        <v>@batu_cilbirci</v>
      </c>
      <c r="C2632" s="7" t="s">
        <v>16077</v>
      </c>
      <c r="D2632" s="7" t="s">
        <v>16078</v>
      </c>
      <c r="E2632" s="12" t="str">
        <f>HYPERLINK("https://twitter.com/batu_cilbirci/status/1181899164973719553","1181899164973719553")</f>
        <v>1181899164973719553</v>
      </c>
      <c r="F2632" s="8"/>
      <c r="G2632" s="7"/>
      <c r="H2632" s="8"/>
      <c r="I2632" s="15">
        <v>0</v>
      </c>
      <c r="J2632" s="15">
        <v>0</v>
      </c>
      <c r="K2632" s="12" t="str">
        <f>HYPERLINK("http://twitter.com","Twitter Web Client")</f>
        <v>Twitter Web Client</v>
      </c>
      <c r="L2632" s="16">
        <v>6</v>
      </c>
      <c r="M2632" s="16">
        <v>0</v>
      </c>
      <c r="N2632" s="16">
        <v>0</v>
      </c>
      <c r="O2632" s="17"/>
      <c r="P2632" s="18">
        <v>43668.878865740742</v>
      </c>
      <c r="Q2632" s="7" t="s">
        <v>1150</v>
      </c>
      <c r="R2632" s="7" t="s">
        <v>16079</v>
      </c>
      <c r="S2632" s="7"/>
      <c r="T2632" s="8"/>
      <c r="U2632" s="19" t="str">
        <f>HYPERLINK("https://pbs.twimg.com/profile_images/1154291018411520001/MP4L2jrV.jpg","View")</f>
        <v>View</v>
      </c>
      <c r="V2632" s="8"/>
      <c r="W2632" s="8"/>
      <c r="X2632" s="8"/>
      <c r="Y2632" s="8"/>
      <c r="Z2632" s="8"/>
    </row>
    <row r="2633" spans="1:26" ht="12.75">
      <c r="A2633" s="11">
        <v>43747.200115740736</v>
      </c>
      <c r="B2633" s="12" t="str">
        <f>HYPERLINK("https://twitter.com/MatadoReis11","@MatadoReis11")</f>
        <v>@MatadoReis11</v>
      </c>
      <c r="C2633" s="7" t="s">
        <v>16080</v>
      </c>
      <c r="D2633" s="7" t="s">
        <v>16081</v>
      </c>
      <c r="E2633" s="12" t="str">
        <f>HYPERLINK("https://twitter.com/MatadoReis11/status/1181899147688972289","1181899147688972289")</f>
        <v>1181899147688972289</v>
      </c>
      <c r="F2633" s="8"/>
      <c r="G2633" s="14" t="s">
        <v>16082</v>
      </c>
      <c r="H2633" s="8"/>
      <c r="I2633" s="15">
        <v>0</v>
      </c>
      <c r="J2633" s="15">
        <v>1</v>
      </c>
      <c r="K2633" s="12" t="str">
        <f>HYPERLINK("http://twitter.com/download/android","Twitter for Android")</f>
        <v>Twitter for Android</v>
      </c>
      <c r="L2633" s="16">
        <v>6772</v>
      </c>
      <c r="M2633" s="16">
        <v>6149</v>
      </c>
      <c r="N2633" s="16">
        <v>5</v>
      </c>
      <c r="O2633" s="17"/>
      <c r="P2633" s="18">
        <v>43357.098148148143</v>
      </c>
      <c r="Q2633" s="7" t="s">
        <v>16083</v>
      </c>
      <c r="R2633" s="7" t="s">
        <v>16084</v>
      </c>
      <c r="S2633" s="7"/>
      <c r="T2633" s="8"/>
      <c r="U2633" s="19" t="str">
        <f>HYPERLINK("https://pbs.twimg.com/profile_images/1181284198809780225/EaiTiqez.jpg","View")</f>
        <v>View</v>
      </c>
      <c r="V2633" s="8"/>
      <c r="W2633" s="8"/>
      <c r="X2633" s="8"/>
      <c r="Y2633" s="8"/>
      <c r="Z2633" s="8"/>
    </row>
    <row r="2634" spans="1:26" ht="12.75">
      <c r="A2634" s="11">
        <v>43747.200046296297</v>
      </c>
      <c r="B2634" s="12" t="str">
        <f>HYPERLINK("https://twitter.com/bircicekhallac2","@bircicekhallac2")</f>
        <v>@bircicekhallac2</v>
      </c>
      <c r="C2634" s="7" t="s">
        <v>16085</v>
      </c>
      <c r="D2634" s="7" t="s">
        <v>16086</v>
      </c>
      <c r="E2634" s="12" t="str">
        <f>HYPERLINK("https://twitter.com/bircicekhallac2/status/1181899124163141637","1181899124163141637")</f>
        <v>1181899124163141637</v>
      </c>
      <c r="F2634" s="8"/>
      <c r="G2634" s="14" t="s">
        <v>16087</v>
      </c>
      <c r="H2634" s="8"/>
      <c r="I2634" s="15">
        <v>0</v>
      </c>
      <c r="J2634" s="15">
        <v>0</v>
      </c>
      <c r="K2634" s="12" t="str">
        <f>HYPERLINK("http://twitter.com/download/iphone","Twitter for iPhone")</f>
        <v>Twitter for iPhone</v>
      </c>
      <c r="L2634" s="16">
        <v>0</v>
      </c>
      <c r="M2634" s="16">
        <v>0</v>
      </c>
      <c r="N2634" s="16">
        <v>0</v>
      </c>
      <c r="O2634" s="17"/>
      <c r="P2634" s="18">
        <v>43743.745706018519</v>
      </c>
      <c r="Q2634" s="7" t="s">
        <v>576</v>
      </c>
      <c r="R2634" s="7" t="s">
        <v>16088</v>
      </c>
      <c r="S2634" s="7"/>
      <c r="T2634" s="8"/>
      <c r="U2634" s="19" t="str">
        <f>HYPERLINK("https://pbs.twimg.com/profile_images/1181247511056531458/a8wV0X4M.jpg","View")</f>
        <v>View</v>
      </c>
      <c r="V2634" s="8"/>
      <c r="W2634" s="8"/>
      <c r="X2634" s="8"/>
      <c r="Y2634" s="8"/>
      <c r="Z2634" s="8"/>
    </row>
    <row r="2635" spans="1:26" ht="12.75">
      <c r="A2635" s="11">
        <v>43747.199999999997</v>
      </c>
      <c r="B2635" s="12" t="str">
        <f>HYPERLINK("https://twitter.com/mfbaykal57","@mfbaykal57")</f>
        <v>@mfbaykal57</v>
      </c>
      <c r="C2635" s="7" t="s">
        <v>16089</v>
      </c>
      <c r="D2635" s="7" t="s">
        <v>16090</v>
      </c>
      <c r="E2635" s="12" t="str">
        <f>HYPERLINK("https://twitter.com/mfbaykal57/status/1181899109554368512","1181899109554368512")</f>
        <v>1181899109554368512</v>
      </c>
      <c r="F2635" s="8"/>
      <c r="G2635" s="14" t="s">
        <v>16091</v>
      </c>
      <c r="H2635" s="8"/>
      <c r="I2635" s="15">
        <v>0</v>
      </c>
      <c r="J2635" s="15">
        <v>0</v>
      </c>
      <c r="K2635" s="12" t="str">
        <f>HYPERLINK("http://twitter.com/download/iphone","Twitter for iPhone")</f>
        <v>Twitter for iPhone</v>
      </c>
      <c r="L2635" s="16">
        <v>78</v>
      </c>
      <c r="M2635" s="16">
        <v>180</v>
      </c>
      <c r="N2635" s="16">
        <v>0</v>
      </c>
      <c r="O2635" s="17"/>
      <c r="P2635" s="18">
        <v>43215.993333333332</v>
      </c>
      <c r="Q2635" s="7" t="s">
        <v>313</v>
      </c>
      <c r="R2635" s="7" t="s">
        <v>16092</v>
      </c>
      <c r="S2635" s="14" t="s">
        <v>16093</v>
      </c>
      <c r="T2635" s="8"/>
      <c r="U2635" s="19" t="str">
        <f>HYPERLINK("https://pbs.twimg.com/profile_images/1094933081721659392/4CFGevLn.jpg","View")</f>
        <v>View</v>
      </c>
      <c r="V2635" s="8"/>
      <c r="W2635" s="8"/>
      <c r="X2635" s="8"/>
      <c r="Y2635" s="8"/>
      <c r="Z2635" s="8"/>
    </row>
    <row r="2636" spans="1:26" ht="12.75">
      <c r="A2636" s="11">
        <v>43747.199942129635</v>
      </c>
      <c r="B2636" s="12" t="str">
        <f>HYPERLINK("https://twitter.com/mesutboduroglu","@mesutboduroglu")</f>
        <v>@mesutboduroglu</v>
      </c>
      <c r="C2636" s="7" t="s">
        <v>16094</v>
      </c>
      <c r="D2636" s="7" t="s">
        <v>16095</v>
      </c>
      <c r="E2636" s="12" t="str">
        <f>HYPERLINK("https://twitter.com/mesutboduroglu/status/1181899088440233988","1181899088440233988")</f>
        <v>1181899088440233988</v>
      </c>
      <c r="F2636" s="8"/>
      <c r="G2636" s="14" t="s">
        <v>16096</v>
      </c>
      <c r="H2636" s="8"/>
      <c r="I2636" s="15">
        <v>0</v>
      </c>
      <c r="J2636" s="15">
        <v>0</v>
      </c>
      <c r="K2636" s="12" t="str">
        <f>HYPERLINK("http://twitter.com/download/android","Twitter for Android")</f>
        <v>Twitter for Android</v>
      </c>
      <c r="L2636" s="16">
        <v>3748</v>
      </c>
      <c r="M2636" s="16">
        <v>4717</v>
      </c>
      <c r="N2636" s="16">
        <v>1</v>
      </c>
      <c r="O2636" s="17"/>
      <c r="P2636" s="18">
        <v>41780.282719907409</v>
      </c>
      <c r="Q2636" s="7"/>
      <c r="R2636" s="7" t="s">
        <v>16097</v>
      </c>
      <c r="S2636" s="7"/>
      <c r="T2636" s="8"/>
      <c r="U2636" s="19" t="str">
        <f>HYPERLINK("https://pbs.twimg.com/profile_images/1181698752500944897/NcHdoqIg.jpg","View")</f>
        <v>View</v>
      </c>
      <c r="V2636" s="8"/>
      <c r="W2636" s="8"/>
      <c r="X2636" s="8"/>
      <c r="Y2636" s="8"/>
      <c r="Z2636" s="8"/>
    </row>
    <row r="2637" spans="1:26" ht="12.75">
      <c r="A2637" s="11">
        <v>43747.199872685189</v>
      </c>
      <c r="B2637" s="12" t="str">
        <f>HYPERLINK("https://twitter.com/eken4152","@eken4152")</f>
        <v>@eken4152</v>
      </c>
      <c r="C2637" s="7" t="s">
        <v>16098</v>
      </c>
      <c r="D2637" s="7" t="s">
        <v>160</v>
      </c>
      <c r="E2637" s="12" t="str">
        <f>HYPERLINK("https://twitter.com/eken4152/status/1181899060476817408","1181899060476817408")</f>
        <v>1181899060476817408</v>
      </c>
      <c r="F2637" s="15"/>
      <c r="G2637" s="14" t="s">
        <v>16099</v>
      </c>
      <c r="H2637" s="8"/>
      <c r="I2637" s="15">
        <v>0</v>
      </c>
      <c r="J2637" s="15">
        <v>0</v>
      </c>
      <c r="K2637" s="12" t="str">
        <f>HYPERLINK("http://twitter.com/download/android","Twitter for Android")</f>
        <v>Twitter for Android</v>
      </c>
      <c r="L2637" s="16">
        <v>1366</v>
      </c>
      <c r="M2637" s="16">
        <v>4501</v>
      </c>
      <c r="N2637" s="16">
        <v>0</v>
      </c>
      <c r="O2637" s="17"/>
      <c r="P2637" s="18">
        <v>42529.64234953704</v>
      </c>
      <c r="Q2637" s="7" t="s">
        <v>8299</v>
      </c>
      <c r="R2637" s="7" t="s">
        <v>16100</v>
      </c>
      <c r="S2637" s="7"/>
      <c r="T2637" s="8"/>
      <c r="U2637" s="19" t="str">
        <f>HYPERLINK("https://pbs.twimg.com/profile_images/1105334361648447489/OYrlJjx2.jpg","View")</f>
        <v>View</v>
      </c>
      <c r="V2637" s="8"/>
      <c r="W2637" s="8"/>
      <c r="X2637" s="8"/>
      <c r="Y2637" s="8"/>
      <c r="Z2637" s="8"/>
    </row>
    <row r="2638" spans="1:26" ht="12.75">
      <c r="A2638" s="11">
        <v>43747.199861111112</v>
      </c>
      <c r="B2638" s="12" t="str">
        <f>HYPERLINK("https://twitter.com/urfadanhabercom","@urfadanhabercom")</f>
        <v>@urfadanhabercom</v>
      </c>
      <c r="C2638" s="7" t="s">
        <v>16101</v>
      </c>
      <c r="D2638" s="7" t="s">
        <v>16102</v>
      </c>
      <c r="E2638" s="12" t="str">
        <f>HYPERLINK("https://twitter.com/urfadanhabercom/status/1181899055829590017","1181899055829590017")</f>
        <v>1181899055829590017</v>
      </c>
      <c r="F2638" s="14" t="s">
        <v>16103</v>
      </c>
      <c r="G2638" s="14" t="s">
        <v>16104</v>
      </c>
      <c r="H2638" s="8"/>
      <c r="I2638" s="15">
        <v>1</v>
      </c>
      <c r="J2638" s="15">
        <v>1</v>
      </c>
      <c r="K2638" s="12" t="str">
        <f>HYPERLINK("http://twitter.com/download/android","Twitter for Android")</f>
        <v>Twitter for Android</v>
      </c>
      <c r="L2638" s="16">
        <v>447</v>
      </c>
      <c r="M2638" s="16">
        <v>706</v>
      </c>
      <c r="N2638" s="16">
        <v>0</v>
      </c>
      <c r="O2638" s="17"/>
      <c r="P2638" s="18">
        <v>43651.416342592594</v>
      </c>
      <c r="Q2638" s="7" t="s">
        <v>10009</v>
      </c>
      <c r="R2638" s="7" t="s">
        <v>16105</v>
      </c>
      <c r="S2638" s="14" t="s">
        <v>16106</v>
      </c>
      <c r="T2638" s="8"/>
      <c r="U2638" s="19" t="str">
        <f>HYPERLINK("https://pbs.twimg.com/profile_images/1149033693769621506/8v8tqXco.jpg","View")</f>
        <v>View</v>
      </c>
      <c r="V2638" s="8"/>
      <c r="W2638" s="8"/>
      <c r="X2638" s="8"/>
      <c r="Y2638" s="8"/>
      <c r="Z2638" s="8"/>
    </row>
    <row r="2639" spans="1:26" ht="12.75">
      <c r="A2639" s="11">
        <v>43747.199837962966</v>
      </c>
      <c r="B2639" s="12" t="str">
        <f>HYPERLINK("https://twitter.com/zrbfth","@zrbfth")</f>
        <v>@zrbfth</v>
      </c>
      <c r="C2639" s="7" t="s">
        <v>16107</v>
      </c>
      <c r="D2639" s="7" t="s">
        <v>16108</v>
      </c>
      <c r="E2639" s="12" t="str">
        <f>HYPERLINK("https://twitter.com/zrbfth/status/1181899049869434880","1181899049869434880")</f>
        <v>1181899049869434880</v>
      </c>
      <c r="F2639" s="8"/>
      <c r="G2639" s="14" t="s">
        <v>16109</v>
      </c>
      <c r="H2639" s="8"/>
      <c r="I2639" s="15">
        <v>0</v>
      </c>
      <c r="J2639" s="15">
        <v>4</v>
      </c>
      <c r="K2639" s="12" t="str">
        <f>HYPERLINK("http://twitter.com/download/iphone","Twitter for iPhone")</f>
        <v>Twitter for iPhone</v>
      </c>
      <c r="L2639" s="16">
        <v>18598</v>
      </c>
      <c r="M2639" s="16">
        <v>17650</v>
      </c>
      <c r="N2639" s="16">
        <v>0</v>
      </c>
      <c r="O2639" s="17"/>
      <c r="P2639" s="18">
        <v>42728.042372685188</v>
      </c>
      <c r="Q2639" s="7" t="s">
        <v>313</v>
      </c>
      <c r="R2639" s="7" t="s">
        <v>16110</v>
      </c>
      <c r="S2639" s="7"/>
      <c r="T2639" s="8"/>
      <c r="U2639" s="19" t="str">
        <f>HYPERLINK("https://pbs.twimg.com/profile_images/1176016241925984256/j9vmSDaK.jpg","View")</f>
        <v>View</v>
      </c>
      <c r="V2639" s="8"/>
      <c r="W2639" s="8"/>
      <c r="X2639" s="8"/>
      <c r="Y2639" s="8"/>
      <c r="Z2639" s="8"/>
    </row>
    <row r="2640" spans="1:26" ht="12.75">
      <c r="A2640" s="11">
        <v>43747.19976851852</v>
      </c>
      <c r="B2640" s="12" t="str">
        <f>HYPERLINK("https://twitter.com/huseyin2010","@huseyin2010")</f>
        <v>@huseyin2010</v>
      </c>
      <c r="C2640" s="7" t="s">
        <v>16111</v>
      </c>
      <c r="D2640" s="7" t="s">
        <v>8731</v>
      </c>
      <c r="E2640" s="12" t="str">
        <f>HYPERLINK("https://twitter.com/huseyin2010/status/1181899023323717634","1181899023323717634")</f>
        <v>1181899023323717634</v>
      </c>
      <c r="F2640" s="8"/>
      <c r="G2640" s="7"/>
      <c r="H2640" s="8"/>
      <c r="I2640" s="15">
        <v>0</v>
      </c>
      <c r="J2640" s="15">
        <v>0</v>
      </c>
      <c r="K2640" s="12" t="str">
        <f>HYPERLINK("https://mobile.twitter.com","Twitter Web App")</f>
        <v>Twitter Web App</v>
      </c>
      <c r="L2640" s="16">
        <v>127</v>
      </c>
      <c r="M2640" s="16">
        <v>109</v>
      </c>
      <c r="N2640" s="16">
        <v>0</v>
      </c>
      <c r="O2640" s="20"/>
      <c r="P2640" s="18">
        <v>40195.38486111111</v>
      </c>
      <c r="Q2640" s="7" t="s">
        <v>8902</v>
      </c>
      <c r="R2640" s="7" t="s">
        <v>16112</v>
      </c>
      <c r="S2640" s="14" t="s">
        <v>16113</v>
      </c>
      <c r="T2640" s="8"/>
      <c r="U2640" s="19" t="str">
        <f>HYPERLINK("https://pbs.twimg.com/profile_images/1009451389494407168/F20jKHNO.jpg","View")</f>
        <v>View</v>
      </c>
      <c r="V2640" s="8"/>
      <c r="W2640" s="8"/>
      <c r="X2640" s="8"/>
      <c r="Y2640" s="8"/>
      <c r="Z2640" s="8"/>
    </row>
    <row r="2641" spans="1:26" ht="12.75">
      <c r="A2641" s="11">
        <v>43747.199537037042</v>
      </c>
      <c r="B2641" s="12" t="str">
        <f>HYPERLINK("https://twitter.com/garibanmersinli","@garibanmersinli")</f>
        <v>@garibanmersinli</v>
      </c>
      <c r="C2641" s="7" t="s">
        <v>16114</v>
      </c>
      <c r="D2641" s="7" t="s">
        <v>16115</v>
      </c>
      <c r="E2641" s="12" t="str">
        <f>HYPERLINK("https://twitter.com/garibanmersinli/status/1181898939966066688","1181898939966066688")</f>
        <v>1181898939966066688</v>
      </c>
      <c r="F2641" s="15"/>
      <c r="G2641" s="14" t="s">
        <v>16116</v>
      </c>
      <c r="H2641" s="8"/>
      <c r="I2641" s="15">
        <v>0</v>
      </c>
      <c r="J2641" s="15">
        <v>0</v>
      </c>
      <c r="K2641" s="12" t="str">
        <f>HYPERLINK("http://twitter.com/download/android","Twitter for Android")</f>
        <v>Twitter for Android</v>
      </c>
      <c r="L2641" s="16">
        <v>81</v>
      </c>
      <c r="M2641" s="16">
        <v>121</v>
      </c>
      <c r="N2641" s="16">
        <v>0</v>
      </c>
      <c r="O2641" s="17"/>
      <c r="P2641" s="18">
        <v>43459.530138888891</v>
      </c>
      <c r="Q2641" s="7" t="s">
        <v>1150</v>
      </c>
      <c r="R2641" s="7" t="s">
        <v>16117</v>
      </c>
      <c r="S2641" s="7"/>
      <c r="T2641" s="8"/>
      <c r="U2641" s="19" t="str">
        <f>HYPERLINK("https://pbs.twimg.com/profile_images/1153262945750700033/9TWmw2xF.jpg","View")</f>
        <v>View</v>
      </c>
      <c r="V2641" s="8"/>
      <c r="W2641" s="8"/>
      <c r="X2641" s="8"/>
      <c r="Y2641" s="8"/>
      <c r="Z2641" s="8"/>
    </row>
    <row r="2642" spans="1:26" ht="12.75">
      <c r="A2642" s="11">
        <v>43747.199502314819</v>
      </c>
      <c r="B2642" s="12" t="str">
        <f>HYPERLINK("https://twitter.com/ersoyakif1","@ersoyakif1")</f>
        <v>@ersoyakif1</v>
      </c>
      <c r="C2642" s="7" t="s">
        <v>16118</v>
      </c>
      <c r="D2642" s="7" t="s">
        <v>16119</v>
      </c>
      <c r="E2642" s="12" t="str">
        <f>HYPERLINK("https://twitter.com/ersoyakif1/status/1181898926481391617","1181898926481391617")</f>
        <v>1181898926481391617</v>
      </c>
      <c r="F2642" s="8"/>
      <c r="G2642" s="7"/>
      <c r="H2642" s="8"/>
      <c r="I2642" s="15">
        <v>8</v>
      </c>
      <c r="J2642" s="15">
        <v>24</v>
      </c>
      <c r="K2642" s="12" t="str">
        <f>HYPERLINK("http://twitter.com/download/iphone","Twitter for iPhone")</f>
        <v>Twitter for iPhone</v>
      </c>
      <c r="L2642" s="16">
        <v>93940</v>
      </c>
      <c r="M2642" s="16">
        <v>1185</v>
      </c>
      <c r="N2642" s="16">
        <v>325</v>
      </c>
      <c r="O2642" s="17"/>
      <c r="P2642" s="18">
        <v>40548.274918981479</v>
      </c>
      <c r="Q2642" s="7" t="s">
        <v>16120</v>
      </c>
      <c r="R2642" s="7" t="s">
        <v>16121</v>
      </c>
      <c r="S2642" s="7"/>
      <c r="T2642" s="8"/>
      <c r="U2642" s="19" t="str">
        <f>HYPERLINK("https://pbs.twimg.com/profile_images/995456977135337472/CS0LAwH8.jpg","View")</f>
        <v>View</v>
      </c>
      <c r="V2642" s="8"/>
      <c r="W2642" s="8"/>
      <c r="X2642" s="8"/>
      <c r="Y2642" s="8"/>
      <c r="Z2642" s="8"/>
    </row>
    <row r="2643" spans="1:26" ht="12.75">
      <c r="A2643" s="11">
        <v>43747.199490740742</v>
      </c>
      <c r="B2643" s="12" t="str">
        <f>HYPERLINK("https://twitter.com/barutturtasi","@barutturtasi")</f>
        <v>@barutturtasi</v>
      </c>
      <c r="C2643" s="7" t="s">
        <v>16122</v>
      </c>
      <c r="D2643" s="7" t="s">
        <v>16123</v>
      </c>
      <c r="E2643" s="12" t="str">
        <f>HYPERLINK("https://twitter.com/barutturtasi/status/1181898923130138627","1181898923130138627")</f>
        <v>1181898923130138627</v>
      </c>
      <c r="F2643" s="8"/>
      <c r="G2643" s="14" t="s">
        <v>16124</v>
      </c>
      <c r="H2643" s="8"/>
      <c r="I2643" s="15">
        <v>0</v>
      </c>
      <c r="J2643" s="15">
        <v>0</v>
      </c>
      <c r="K2643" s="12" t="str">
        <f>HYPERLINK("http://twitter.com/download/android","Twitter for Android")</f>
        <v>Twitter for Android</v>
      </c>
      <c r="L2643" s="16">
        <v>436</v>
      </c>
      <c r="M2643" s="16">
        <v>547</v>
      </c>
      <c r="N2643" s="16">
        <v>0</v>
      </c>
      <c r="O2643" s="17"/>
      <c r="P2643" s="18">
        <v>40802.325428240743</v>
      </c>
      <c r="Q2643" s="7" t="s">
        <v>80</v>
      </c>
      <c r="R2643" s="7" t="s">
        <v>16125</v>
      </c>
      <c r="S2643" s="7"/>
      <c r="T2643" s="8"/>
      <c r="U2643" s="19" t="str">
        <f>HYPERLINK("https://pbs.twimg.com/profile_images/1141300449628344324/Rg53gFXp.jpg","View")</f>
        <v>View</v>
      </c>
      <c r="V2643" s="8"/>
      <c r="W2643" s="8"/>
      <c r="X2643" s="8"/>
      <c r="Y2643" s="8"/>
      <c r="Z2643" s="8"/>
    </row>
    <row r="2644" spans="1:26" ht="12.75">
      <c r="A2644" s="11">
        <v>43747.199467592596</v>
      </c>
      <c r="B2644" s="12" t="str">
        <f>HYPERLINK("https://twitter.com/BesirDurkut","@BesirDurkut")</f>
        <v>@BesirDurkut</v>
      </c>
      <c r="C2644" s="7" t="s">
        <v>16126</v>
      </c>
      <c r="D2644" s="7" t="s">
        <v>16127</v>
      </c>
      <c r="E2644" s="12" t="str">
        <f>HYPERLINK("https://twitter.com/BesirDurkut/status/1181898915794358272","1181898915794358272")</f>
        <v>1181898915794358272</v>
      </c>
      <c r="F2644" s="8"/>
      <c r="G2644" s="15"/>
      <c r="H2644" s="8"/>
      <c r="I2644" s="15">
        <v>0</v>
      </c>
      <c r="J2644" s="15">
        <v>0</v>
      </c>
      <c r="K2644" s="12" t="str">
        <f>HYPERLINK("http://twitter.com","Twitter Web Client")</f>
        <v>Twitter Web Client</v>
      </c>
      <c r="L2644" s="16">
        <v>3</v>
      </c>
      <c r="M2644" s="16">
        <v>0</v>
      </c>
      <c r="N2644" s="16">
        <v>0</v>
      </c>
      <c r="O2644" s="17"/>
      <c r="P2644" s="18">
        <v>43669.865902777776</v>
      </c>
      <c r="Q2644" s="7" t="s">
        <v>69</v>
      </c>
      <c r="R2644" s="7" t="s">
        <v>16128</v>
      </c>
      <c r="S2644" s="7"/>
      <c r="T2644" s="8"/>
      <c r="U2644" s="19" t="str">
        <f>HYPERLINK("https://pbs.twimg.com/profile_images/1154295490953043969/8nHxRhlE.jpg","View")</f>
        <v>View</v>
      </c>
      <c r="V2644" s="8"/>
      <c r="W2644" s="8"/>
      <c r="X2644" s="8"/>
      <c r="Y2644" s="8"/>
      <c r="Z2644" s="8"/>
    </row>
    <row r="2645" spans="1:26" ht="12.75">
      <c r="A2645" s="11">
        <v>43747.19939814815</v>
      </c>
      <c r="B2645" s="12" t="str">
        <f>HYPERLINK("https://twitter.com/ss_islamic","@ss_islamic")</f>
        <v>@ss_islamic</v>
      </c>
      <c r="C2645" s="7" t="s">
        <v>16129</v>
      </c>
      <c r="D2645" s="7" t="s">
        <v>16130</v>
      </c>
      <c r="E2645" s="12" t="str">
        <f>HYPERLINK("https://twitter.com/ss_islamic/status/1181898889328254976","1181898889328254976")</f>
        <v>1181898889328254976</v>
      </c>
      <c r="F2645" s="8"/>
      <c r="G2645" s="14" t="s">
        <v>16131</v>
      </c>
      <c r="H2645" s="8"/>
      <c r="I2645" s="15">
        <v>0</v>
      </c>
      <c r="J2645" s="15">
        <v>0</v>
      </c>
      <c r="K2645" s="12" t="str">
        <f>HYPERLINK("https://mobile.twitter.com","Twitter Web App")</f>
        <v>Twitter Web App</v>
      </c>
      <c r="L2645" s="16">
        <v>300</v>
      </c>
      <c r="M2645" s="16">
        <v>929</v>
      </c>
      <c r="N2645" s="16">
        <v>0</v>
      </c>
      <c r="O2645" s="17"/>
      <c r="P2645" s="18">
        <v>43310.30405092593</v>
      </c>
      <c r="Q2645" s="7" t="s">
        <v>2881</v>
      </c>
      <c r="R2645" s="7" t="s">
        <v>16132</v>
      </c>
      <c r="S2645" s="7"/>
      <c r="T2645" s="8"/>
      <c r="U2645" s="19" t="str">
        <f>HYPERLINK("https://pbs.twimg.com/profile_images/1178043964793987075/eOaVkBc0.jpg","View")</f>
        <v>View</v>
      </c>
      <c r="V2645" s="8"/>
      <c r="W2645" s="8"/>
      <c r="X2645" s="8"/>
      <c r="Y2645" s="8"/>
      <c r="Z2645" s="8"/>
    </row>
    <row r="2646" spans="1:26" ht="12.75">
      <c r="A2646" s="11">
        <v>43747.19935185185</v>
      </c>
      <c r="B2646" s="12" t="str">
        <f>HYPERLINK("https://twitter.com/vm1071","@vm1071")</f>
        <v>@vm1071</v>
      </c>
      <c r="C2646" s="7" t="s">
        <v>16133</v>
      </c>
      <c r="D2646" s="7" t="s">
        <v>16134</v>
      </c>
      <c r="E2646" s="12" t="str">
        <f>HYPERLINK("https://twitter.com/vm1071/status/1181898874375561222","1181898874375561222")</f>
        <v>1181898874375561222</v>
      </c>
      <c r="F2646" s="8"/>
      <c r="G2646" s="7"/>
      <c r="H2646" s="8"/>
      <c r="I2646" s="15">
        <v>0</v>
      </c>
      <c r="J2646" s="15">
        <v>0</v>
      </c>
      <c r="K2646" s="12" t="str">
        <f>HYPERLINK("https://mobile.twitter.com","Mobile Web (M2)")</f>
        <v>Mobile Web (M2)</v>
      </c>
      <c r="L2646" s="16">
        <v>1825</v>
      </c>
      <c r="M2646" s="16">
        <v>1939</v>
      </c>
      <c r="N2646" s="16">
        <v>0</v>
      </c>
      <c r="O2646" s="17"/>
      <c r="P2646" s="18">
        <v>42828.994363425925</v>
      </c>
      <c r="Q2646" s="7" t="s">
        <v>2642</v>
      </c>
      <c r="R2646" s="7" t="s">
        <v>16135</v>
      </c>
      <c r="S2646" s="7"/>
      <c r="T2646" s="8"/>
      <c r="U2646" s="19" t="str">
        <f>HYPERLINK("https://pbs.twimg.com/profile_images/1180220895496982528/QJ-kCYl9.jpg","View")</f>
        <v>View</v>
      </c>
      <c r="V2646" s="8"/>
      <c r="W2646" s="8"/>
      <c r="X2646" s="8"/>
      <c r="Y2646" s="8"/>
      <c r="Z2646" s="8"/>
    </row>
    <row r="2647" spans="1:26" ht="12.75">
      <c r="A2647" s="11">
        <v>43747.19935185185</v>
      </c>
      <c r="B2647" s="12" t="str">
        <f>HYPERLINK("https://twitter.com/gokturkkbey","@gokturkkbey")</f>
        <v>@gokturkkbey</v>
      </c>
      <c r="C2647" s="7" t="s">
        <v>16136</v>
      </c>
      <c r="D2647" s="7" t="s">
        <v>16137</v>
      </c>
      <c r="E2647" s="12" t="str">
        <f>HYPERLINK("https://twitter.com/gokturkkbey/status/1181898873306042368","1181898873306042368")</f>
        <v>1181898873306042368</v>
      </c>
      <c r="F2647" s="8"/>
      <c r="G2647" s="14" t="s">
        <v>16138</v>
      </c>
      <c r="H2647" s="8"/>
      <c r="I2647" s="15">
        <v>0</v>
      </c>
      <c r="J2647" s="15">
        <v>1</v>
      </c>
      <c r="K2647" s="12" t="str">
        <f>HYPERLINK("http://twitter.com/download/android","Twitter for Android")</f>
        <v>Twitter for Android</v>
      </c>
      <c r="L2647" s="16">
        <v>611</v>
      </c>
      <c r="M2647" s="16">
        <v>249</v>
      </c>
      <c r="N2647" s="16">
        <v>0</v>
      </c>
      <c r="O2647" s="17"/>
      <c r="P2647" s="18">
        <v>43508.189525462964</v>
      </c>
      <c r="Q2647" s="7" t="s">
        <v>16139</v>
      </c>
      <c r="R2647" s="7" t="s">
        <v>16140</v>
      </c>
      <c r="S2647" s="7"/>
      <c r="T2647" s="8"/>
      <c r="U2647" s="19" t="str">
        <f>HYPERLINK("https://pbs.twimg.com/profile_images/1171745838407856128/rPE99uBN.jpg","View")</f>
        <v>View</v>
      </c>
      <c r="V2647" s="8"/>
      <c r="W2647" s="8"/>
      <c r="X2647" s="8"/>
      <c r="Y2647" s="8"/>
      <c r="Z2647" s="8"/>
    </row>
    <row r="2648" spans="1:26" ht="12.75">
      <c r="A2648" s="11">
        <v>43747.199259259258</v>
      </c>
      <c r="B2648" s="12" t="str">
        <f>HYPERLINK("https://twitter.com/helinaaa_","@helinaaa_")</f>
        <v>@helinaaa_</v>
      </c>
      <c r="C2648" s="7" t="s">
        <v>16141</v>
      </c>
      <c r="D2648" s="7" t="s">
        <v>16142</v>
      </c>
      <c r="E2648" s="12" t="str">
        <f>HYPERLINK("https://twitter.com/helinaaa_/status/1181898841072836610","1181898841072836610")</f>
        <v>1181898841072836610</v>
      </c>
      <c r="F2648" s="8"/>
      <c r="G2648" s="7"/>
      <c r="H2648" s="8"/>
      <c r="I2648" s="15">
        <v>0</v>
      </c>
      <c r="J2648" s="15">
        <v>0</v>
      </c>
      <c r="K2648" s="12" t="str">
        <f>HYPERLINK("http://twitter.com/download/iphone","Twitter for iPhone")</f>
        <v>Twitter for iPhone</v>
      </c>
      <c r="L2648" s="16">
        <v>769</v>
      </c>
      <c r="M2648" s="16">
        <v>346</v>
      </c>
      <c r="N2648" s="16">
        <v>64</v>
      </c>
      <c r="O2648" s="17"/>
      <c r="P2648" s="18">
        <v>40024.621180555558</v>
      </c>
      <c r="Q2648" s="13" t="s">
        <v>2858</v>
      </c>
      <c r="R2648" s="7" t="s">
        <v>16143</v>
      </c>
      <c r="S2648" s="15"/>
      <c r="T2648" s="8"/>
      <c r="U2648" s="19" t="str">
        <f>HYPERLINK("https://pbs.twimg.com/profile_images/1175823377925378054/IYksO-lq.jpg","View")</f>
        <v>View</v>
      </c>
      <c r="V2648" s="8"/>
      <c r="W2648" s="8"/>
      <c r="X2648" s="8"/>
      <c r="Y2648" s="8"/>
      <c r="Z2648" s="8"/>
    </row>
    <row r="2649" spans="1:26" ht="12.75">
      <c r="A2649" s="11">
        <v>43747.199050925927</v>
      </c>
      <c r="B2649" s="12" t="str">
        <f>HYPERLINK("https://twitter.com/matmazelbell","@matmazelbell")</f>
        <v>@matmazelbell</v>
      </c>
      <c r="C2649" s="7" t="s">
        <v>16144</v>
      </c>
      <c r="D2649" s="7" t="s">
        <v>16145</v>
      </c>
      <c r="E2649" s="12" t="str">
        <f>HYPERLINK("https://twitter.com/matmazelbell/status/1181898764489023488","1181898764489023488")</f>
        <v>1181898764489023488</v>
      </c>
      <c r="F2649" s="8"/>
      <c r="G2649" s="7"/>
      <c r="H2649" s="8"/>
      <c r="I2649" s="15">
        <v>0</v>
      </c>
      <c r="J2649" s="15">
        <v>0</v>
      </c>
      <c r="K2649" s="12" t="str">
        <f>HYPERLINK("http://twitter.com/download/android","Twitter for Android")</f>
        <v>Twitter for Android</v>
      </c>
      <c r="L2649" s="16">
        <v>265</v>
      </c>
      <c r="M2649" s="16">
        <v>444</v>
      </c>
      <c r="N2649" s="16">
        <v>0</v>
      </c>
      <c r="O2649" s="17"/>
      <c r="P2649" s="18">
        <v>42054.983217592591</v>
      </c>
      <c r="Q2649" s="7"/>
      <c r="R2649" s="7" t="s">
        <v>16146</v>
      </c>
      <c r="S2649" s="7"/>
      <c r="T2649" s="8"/>
      <c r="U2649" s="19" t="str">
        <f>HYPERLINK("https://pbs.twimg.com/profile_images/1172476623326720001/lHB-E5gp.jpg","View")</f>
        <v>View</v>
      </c>
      <c r="V2649" s="8"/>
      <c r="W2649" s="8"/>
      <c r="X2649" s="8"/>
      <c r="Y2649" s="8"/>
      <c r="Z2649" s="8"/>
    </row>
    <row r="2650" spans="1:26" ht="12.75">
      <c r="A2650" s="11">
        <v>43747.199050925927</v>
      </c>
      <c r="B2650" s="12" t="str">
        <f>HYPERLINK("https://twitter.com/60Arpaci","@60Arpaci")</f>
        <v>@60Arpaci</v>
      </c>
      <c r="C2650" s="7" t="s">
        <v>16147</v>
      </c>
      <c r="D2650" s="7" t="s">
        <v>16148</v>
      </c>
      <c r="E2650" s="12" t="str">
        <f>HYPERLINK("https://twitter.com/60Arpaci/status/1181898762576388097","1181898762576388097")</f>
        <v>1181898762576388097</v>
      </c>
      <c r="F2650" s="8"/>
      <c r="G2650" s="7"/>
      <c r="H2650" s="8"/>
      <c r="I2650" s="15">
        <v>0</v>
      </c>
      <c r="J2650" s="15">
        <v>1</v>
      </c>
      <c r="K2650" s="12" t="str">
        <f>HYPERLINK("http://twitter.com/download/android","Twitter for Android")</f>
        <v>Twitter for Android</v>
      </c>
      <c r="L2650" s="16">
        <v>194</v>
      </c>
      <c r="M2650" s="16">
        <v>96</v>
      </c>
      <c r="N2650" s="16">
        <v>0</v>
      </c>
      <c r="O2650" s="17"/>
      <c r="P2650" s="18">
        <v>41680.268657407403</v>
      </c>
      <c r="Q2650" s="7" t="s">
        <v>13095</v>
      </c>
      <c r="R2650" s="7" t="s">
        <v>16149</v>
      </c>
      <c r="S2650" s="7"/>
      <c r="T2650" s="8"/>
      <c r="U2650" s="19" t="str">
        <f>HYPERLINK("https://pbs.twimg.com/profile_images/1163923079401267200/rO1Y3oDs.jpg","View")</f>
        <v>View</v>
      </c>
      <c r="V2650" s="8"/>
      <c r="W2650" s="8"/>
      <c r="X2650" s="8"/>
      <c r="Y2650" s="8"/>
      <c r="Z2650" s="8"/>
    </row>
    <row r="2651" spans="1:26" ht="12.75">
      <c r="A2651" s="11">
        <v>43747.19903935185</v>
      </c>
      <c r="B2651" s="12" t="str">
        <f>HYPERLINK("https://twitter.com/Fatih0944","@Fatih0944")</f>
        <v>@Fatih0944</v>
      </c>
      <c r="C2651" s="7" t="s">
        <v>8654</v>
      </c>
      <c r="D2651" s="7" t="s">
        <v>15087</v>
      </c>
      <c r="E2651" s="12" t="str">
        <f>HYPERLINK("https://twitter.com/Fatih0944/status/1181898759510339588","1181898759510339588")</f>
        <v>1181898759510339588</v>
      </c>
      <c r="F2651" s="8"/>
      <c r="G2651" s="14" t="s">
        <v>16150</v>
      </c>
      <c r="H2651" s="8"/>
      <c r="I2651" s="15">
        <v>0</v>
      </c>
      <c r="J2651" s="15">
        <v>0</v>
      </c>
      <c r="K2651" s="12" t="str">
        <f>HYPERLINK("http://twitter.com/download/iphone","Twitter for iPhone")</f>
        <v>Twitter for iPhone</v>
      </c>
      <c r="L2651" s="16">
        <v>38</v>
      </c>
      <c r="M2651" s="16">
        <v>114</v>
      </c>
      <c r="N2651" s="16">
        <v>0</v>
      </c>
      <c r="O2651" s="17"/>
      <c r="P2651" s="18">
        <v>42238.081967592589</v>
      </c>
      <c r="Q2651" s="7"/>
      <c r="R2651" s="7"/>
      <c r="S2651" s="7"/>
      <c r="T2651" s="8"/>
      <c r="U2651" s="19" t="str">
        <f>HYPERLINK("https://pbs.twimg.com/profile_images/1162744220047818753/qyiC6Qeq.jpg","View")</f>
        <v>View</v>
      </c>
      <c r="V2651" s="8"/>
      <c r="W2651" s="8"/>
      <c r="X2651" s="8"/>
      <c r="Y2651" s="8"/>
      <c r="Z2651" s="8"/>
    </row>
    <row r="2652" spans="1:26" ht="12.75">
      <c r="A2652" s="11">
        <v>43747.198993055557</v>
      </c>
      <c r="B2652" s="12" t="str">
        <f>HYPERLINK("https://twitter.com/MetinAltnz","@MetinAltnz")</f>
        <v>@MetinAltnz</v>
      </c>
      <c r="C2652" s="7" t="s">
        <v>16151</v>
      </c>
      <c r="D2652" s="7" t="s">
        <v>16152</v>
      </c>
      <c r="E2652" s="12" t="str">
        <f>HYPERLINK("https://twitter.com/MetinAltnz/status/1181898743240679424","1181898743240679424")</f>
        <v>1181898743240679424</v>
      </c>
      <c r="F2652" s="8"/>
      <c r="G2652" s="15"/>
      <c r="H2652" s="8"/>
      <c r="I2652" s="15">
        <v>0</v>
      </c>
      <c r="J2652" s="15">
        <v>0</v>
      </c>
      <c r="K2652" s="12" t="str">
        <f>HYPERLINK("http://twitter.com/download/iphone","Twitter for iPhone")</f>
        <v>Twitter for iPhone</v>
      </c>
      <c r="L2652" s="16">
        <v>82</v>
      </c>
      <c r="M2652" s="16">
        <v>87</v>
      </c>
      <c r="N2652" s="16">
        <v>0</v>
      </c>
      <c r="O2652" s="17"/>
      <c r="P2652" s="18">
        <v>41271.889780092592</v>
      </c>
      <c r="Q2652" s="7"/>
      <c r="R2652" s="7" t="s">
        <v>16153</v>
      </c>
      <c r="S2652" s="7"/>
      <c r="T2652" s="8"/>
      <c r="U2652" s="19" t="str">
        <f>HYPERLINK("https://pbs.twimg.com/profile_images/1150364605836931072/THKGfvsG.jpg","View")</f>
        <v>View</v>
      </c>
      <c r="V2652" s="8"/>
      <c r="W2652" s="8"/>
      <c r="X2652" s="8"/>
      <c r="Y2652" s="8"/>
      <c r="Z2652" s="8"/>
    </row>
    <row r="2653" spans="1:26" ht="12.75">
      <c r="A2653" s="11">
        <v>43747.198981481481</v>
      </c>
      <c r="B2653" s="12" t="str">
        <f>HYPERLINK("https://twitter.com/Eloxist","@Eloxist")</f>
        <v>@Eloxist</v>
      </c>
      <c r="C2653" s="7" t="s">
        <v>16154</v>
      </c>
      <c r="D2653" s="7" t="s">
        <v>16155</v>
      </c>
      <c r="E2653" s="12" t="str">
        <f>HYPERLINK("https://twitter.com/Eloxist/status/1181898740053020672","1181898740053020672")</f>
        <v>1181898740053020672</v>
      </c>
      <c r="F2653" s="8"/>
      <c r="G2653" s="14" t="s">
        <v>16156</v>
      </c>
      <c r="H2653" s="8"/>
      <c r="I2653" s="15">
        <v>0</v>
      </c>
      <c r="J2653" s="15">
        <v>0</v>
      </c>
      <c r="K2653" s="12" t="str">
        <f>HYPERLINK("https://mobile.twitter.com","Twitter Web App")</f>
        <v>Twitter Web App</v>
      </c>
      <c r="L2653" s="16">
        <v>1865</v>
      </c>
      <c r="M2653" s="16">
        <v>2171</v>
      </c>
      <c r="N2653" s="16">
        <v>4</v>
      </c>
      <c r="O2653" s="17"/>
      <c r="P2653" s="18">
        <v>41201.247696759259</v>
      </c>
      <c r="Q2653" s="7" t="s">
        <v>16157</v>
      </c>
      <c r="R2653" s="7" t="s">
        <v>16158</v>
      </c>
      <c r="S2653" s="7"/>
      <c r="T2653" s="8"/>
      <c r="U2653" s="19" t="str">
        <f>HYPERLINK("https://pbs.twimg.com/profile_images/870383890929680385/DZB0JqyT.jpg","View")</f>
        <v>View</v>
      </c>
      <c r="V2653" s="8"/>
      <c r="W2653" s="8"/>
      <c r="X2653" s="8"/>
      <c r="Y2653" s="8"/>
      <c r="Z2653" s="8"/>
    </row>
    <row r="2654" spans="1:26" ht="12.75">
      <c r="A2654" s="11">
        <v>43747.198946759258</v>
      </c>
      <c r="B2654" s="12" t="str">
        <f>HYPERLINK("https://twitter.com/MeralOk4","@MeralOk4")</f>
        <v>@MeralOk4</v>
      </c>
      <c r="C2654" s="7" t="s">
        <v>16159</v>
      </c>
      <c r="D2654" s="7" t="s">
        <v>16160</v>
      </c>
      <c r="E2654" s="12" t="str">
        <f>HYPERLINK("https://twitter.com/MeralOk4/status/1181898727604326401","1181898727604326401")</f>
        <v>1181898727604326401</v>
      </c>
      <c r="F2654" s="15"/>
      <c r="G2654" s="15"/>
      <c r="H2654" s="8"/>
      <c r="I2654" s="15">
        <v>0</v>
      </c>
      <c r="J2654" s="15">
        <v>0</v>
      </c>
      <c r="K2654" s="12" t="str">
        <f>HYPERLINK("http://twitter.com","Twitter Web Client")</f>
        <v>Twitter Web Client</v>
      </c>
      <c r="L2654" s="16">
        <v>15</v>
      </c>
      <c r="M2654" s="16">
        <v>0</v>
      </c>
      <c r="N2654" s="16">
        <v>0</v>
      </c>
      <c r="O2654" s="17"/>
      <c r="P2654" s="18">
        <v>43608.451053240744</v>
      </c>
      <c r="Q2654" s="7" t="s">
        <v>14731</v>
      </c>
      <c r="R2654" s="7" t="s">
        <v>16161</v>
      </c>
      <c r="S2654" s="15"/>
      <c r="T2654" s="8"/>
      <c r="U2654" s="19" t="str">
        <f>HYPERLINK("https://pbs.twimg.com/profile_images/1132215014058860544/LGE583Ya.jpg","View")</f>
        <v>View</v>
      </c>
      <c r="V2654" s="8"/>
      <c r="W2654" s="8"/>
      <c r="X2654" s="8"/>
      <c r="Y2654" s="8"/>
      <c r="Z2654" s="8"/>
    </row>
    <row r="2655" spans="1:26" ht="12.75">
      <c r="A2655" s="11">
        <v>43747.198935185181</v>
      </c>
      <c r="B2655" s="12" t="str">
        <f>HYPERLINK("https://twitter.com/Calvin72976852","@Calvin72976852")</f>
        <v>@Calvin72976852</v>
      </c>
      <c r="C2655" s="7" t="s">
        <v>16162</v>
      </c>
      <c r="D2655" s="7" t="s">
        <v>16163</v>
      </c>
      <c r="E2655" s="12" t="str">
        <f>HYPERLINK("https://twitter.com/Calvin72976852/status/1181898721598083073","1181898721598083073")</f>
        <v>1181898721598083073</v>
      </c>
      <c r="F2655" s="8"/>
      <c r="G2655" s="15"/>
      <c r="H2655" s="8"/>
      <c r="I2655" s="15">
        <v>0</v>
      </c>
      <c r="J2655" s="15">
        <v>0</v>
      </c>
      <c r="K2655" s="12" t="str">
        <f>HYPERLINK("http://twitter.com/download/iphone","Twitter for iPhone")</f>
        <v>Twitter for iPhone</v>
      </c>
      <c r="L2655" s="16">
        <v>1</v>
      </c>
      <c r="M2655" s="16">
        <v>53</v>
      </c>
      <c r="N2655" s="16">
        <v>0</v>
      </c>
      <c r="O2655" s="17"/>
      <c r="P2655" s="18">
        <v>43687.55631944444</v>
      </c>
      <c r="Q2655" s="7"/>
      <c r="R2655" s="7"/>
      <c r="S2655" s="7"/>
      <c r="T2655" s="8"/>
      <c r="U2655" s="20" t="s">
        <v>354</v>
      </c>
      <c r="V2655" s="8"/>
      <c r="W2655" s="8"/>
      <c r="X2655" s="8"/>
      <c r="Y2655" s="8"/>
      <c r="Z2655" s="8"/>
    </row>
    <row r="2656" spans="1:26" ht="12.75">
      <c r="A2656" s="11">
        <v>43747.198865740742</v>
      </c>
      <c r="B2656" s="12" t="str">
        <f>HYPERLINK("https://twitter.com/halitfb2","@halitfb2")</f>
        <v>@halitfb2</v>
      </c>
      <c r="C2656" s="7" t="s">
        <v>16164</v>
      </c>
      <c r="D2656" s="7" t="s">
        <v>16165</v>
      </c>
      <c r="E2656" s="12" t="str">
        <f>HYPERLINK("https://twitter.com/halitfb2/status/1181898696092467200","1181898696092467200")</f>
        <v>1181898696092467200</v>
      </c>
      <c r="F2656" s="8"/>
      <c r="G2656" s="15"/>
      <c r="H2656" s="8"/>
      <c r="I2656" s="15">
        <v>0</v>
      </c>
      <c r="J2656" s="15">
        <v>4</v>
      </c>
      <c r="K2656" s="12" t="str">
        <f>HYPERLINK("https://mobile.twitter.com","Twitter Web App")</f>
        <v>Twitter Web App</v>
      </c>
      <c r="L2656" s="16">
        <v>4273</v>
      </c>
      <c r="M2656" s="16">
        <v>4312</v>
      </c>
      <c r="N2656" s="16">
        <v>3</v>
      </c>
      <c r="O2656" s="17"/>
      <c r="P2656" s="18">
        <v>43459.359618055554</v>
      </c>
      <c r="Q2656" s="7"/>
      <c r="R2656" s="7" t="s">
        <v>16166</v>
      </c>
      <c r="S2656" s="7"/>
      <c r="T2656" s="8"/>
      <c r="U2656" s="19" t="str">
        <f>HYPERLINK("https://pbs.twimg.com/profile_images/1121147901298847745/ixfCGVoA.png","View")</f>
        <v>View</v>
      </c>
      <c r="V2656" s="8"/>
      <c r="W2656" s="8"/>
      <c r="X2656" s="8"/>
      <c r="Y2656" s="8"/>
      <c r="Z2656" s="8"/>
    </row>
    <row r="2657" spans="1:26" ht="12.75">
      <c r="A2657" s="11">
        <v>43747.198854166665</v>
      </c>
      <c r="B2657" s="12" t="str">
        <f>HYPERLINK("https://twitter.com/urfahaberleri","@urfahaberleri")</f>
        <v>@urfahaberleri</v>
      </c>
      <c r="C2657" s="7" t="s">
        <v>16167</v>
      </c>
      <c r="D2657" s="7" t="s">
        <v>16168</v>
      </c>
      <c r="E2657" s="12" t="str">
        <f>HYPERLINK("https://twitter.com/urfahaberleri/status/1181898692636352512","1181898692636352512")</f>
        <v>1181898692636352512</v>
      </c>
      <c r="F2657" s="14" t="s">
        <v>16169</v>
      </c>
      <c r="G2657" s="15"/>
      <c r="H2657" s="8"/>
      <c r="I2657" s="15">
        <v>1</v>
      </c>
      <c r="J2657" s="15">
        <v>0</v>
      </c>
      <c r="K2657" s="12" t="str">
        <f>HYPERLINK("https://mobile.twitter.com","Twitter Web App")</f>
        <v>Twitter Web App</v>
      </c>
      <c r="L2657" s="16">
        <v>148</v>
      </c>
      <c r="M2657" s="16">
        <v>402</v>
      </c>
      <c r="N2657" s="16">
        <v>0</v>
      </c>
      <c r="O2657" s="17"/>
      <c r="P2657" s="18">
        <v>40417.188888888893</v>
      </c>
      <c r="Q2657" s="7" t="s">
        <v>16170</v>
      </c>
      <c r="R2657" s="7" t="s">
        <v>16171</v>
      </c>
      <c r="S2657" s="14" t="s">
        <v>16172</v>
      </c>
      <c r="T2657" s="8"/>
      <c r="U2657" s="19" t="str">
        <f>HYPERLINK("https://pbs.twimg.com/profile_images/1055042131453272065/B4DBm6A4.jpg","View")</f>
        <v>View</v>
      </c>
      <c r="V2657" s="8"/>
      <c r="W2657" s="8"/>
      <c r="X2657" s="8"/>
      <c r="Y2657" s="8"/>
      <c r="Z2657" s="8"/>
    </row>
    <row r="2658" spans="1:26" ht="12.75">
      <c r="A2658" s="11">
        <v>43747.198854166665</v>
      </c>
      <c r="B2658" s="12" t="str">
        <f>HYPERLINK("https://twitter.com/Soyadimeceamk","@Soyadimeceamk")</f>
        <v>@Soyadimeceamk</v>
      </c>
      <c r="C2658" s="7" t="s">
        <v>16173</v>
      </c>
      <c r="D2658" s="7" t="s">
        <v>16174</v>
      </c>
      <c r="E2658" s="12" t="str">
        <f>HYPERLINK("https://twitter.com/Soyadimeceamk/status/1181898692443410433","1181898692443410433")</f>
        <v>1181898692443410433</v>
      </c>
      <c r="F2658" s="8"/>
      <c r="G2658" s="14" t="s">
        <v>16175</v>
      </c>
      <c r="H2658" s="8"/>
      <c r="I2658" s="15">
        <v>0</v>
      </c>
      <c r="J2658" s="15">
        <v>2</v>
      </c>
      <c r="K2658" s="12" t="str">
        <f>HYPERLINK("http://twitter.com/download/iphone","Twitter for iPhone")</f>
        <v>Twitter for iPhone</v>
      </c>
      <c r="L2658" s="16">
        <v>11</v>
      </c>
      <c r="M2658" s="16">
        <v>50</v>
      </c>
      <c r="N2658" s="16">
        <v>0</v>
      </c>
      <c r="O2658" s="17"/>
      <c r="P2658" s="18">
        <v>43353.968796296293</v>
      </c>
      <c r="Q2658" s="7" t="s">
        <v>16176</v>
      </c>
      <c r="R2658" s="7"/>
      <c r="S2658" s="7"/>
      <c r="T2658" s="8"/>
      <c r="U2658" s="19" t="str">
        <f>HYPERLINK("https://pbs.twimg.com/profile_images/1056090635244109824/Z5ithlK5.jpg","View")</f>
        <v>View</v>
      </c>
      <c r="V2658" s="8"/>
      <c r="W2658" s="8"/>
      <c r="X2658" s="8"/>
      <c r="Y2658" s="8"/>
      <c r="Z2658" s="8"/>
    </row>
    <row r="2659" spans="1:26" ht="12.75">
      <c r="A2659" s="11">
        <v>43747.198819444442</v>
      </c>
      <c r="B2659" s="12" t="str">
        <f>HYPERLINK("https://twitter.com/Furkan36963789","@Furkan36963789")</f>
        <v>@Furkan36963789</v>
      </c>
      <c r="C2659" s="7" t="s">
        <v>16177</v>
      </c>
      <c r="D2659" s="7" t="s">
        <v>16178</v>
      </c>
      <c r="E2659" s="12" t="str">
        <f>HYPERLINK("https://twitter.com/Furkan36963789/status/1181898681039101958","1181898681039101958")</f>
        <v>1181898681039101958</v>
      </c>
      <c r="F2659" s="8"/>
      <c r="G2659" s="7"/>
      <c r="H2659" s="8"/>
      <c r="I2659" s="15">
        <v>0</v>
      </c>
      <c r="J2659" s="15">
        <v>0</v>
      </c>
      <c r="K2659" s="12" t="str">
        <f>HYPERLINK("https://mobile.twitter.com","Twitter Web App")</f>
        <v>Twitter Web App</v>
      </c>
      <c r="L2659" s="16">
        <v>0</v>
      </c>
      <c r="M2659" s="16">
        <v>1</v>
      </c>
      <c r="N2659" s="16">
        <v>0</v>
      </c>
      <c r="O2659" s="17"/>
      <c r="P2659" s="18">
        <v>43583.057812500003</v>
      </c>
      <c r="Q2659" s="7"/>
      <c r="R2659" s="7"/>
      <c r="S2659" s="7"/>
      <c r="T2659" s="8"/>
      <c r="U2659" s="19" t="str">
        <f>HYPERLINK("https://pbs.twimg.com/profile_images/1122416077865140224/-KQ_pqG1.jpg","View")</f>
        <v>View</v>
      </c>
      <c r="V2659" s="8"/>
      <c r="W2659" s="8"/>
      <c r="X2659" s="8"/>
      <c r="Y2659" s="8"/>
      <c r="Z2659" s="8"/>
    </row>
    <row r="2660" spans="1:26" ht="12.75">
      <c r="A2660" s="11">
        <v>43747.198807870373</v>
      </c>
      <c r="B2660" s="12" t="str">
        <f>HYPERLINK("https://twitter.com/AsayisKemal","@AsayisKemal")</f>
        <v>@AsayisKemal</v>
      </c>
      <c r="C2660" s="7" t="s">
        <v>16179</v>
      </c>
      <c r="D2660" s="7" t="s">
        <v>160</v>
      </c>
      <c r="E2660" s="12" t="str">
        <f>HYPERLINK("https://twitter.com/AsayisKemal/status/1181898676559663109","1181898676559663109")</f>
        <v>1181898676559663109</v>
      </c>
      <c r="F2660" s="8"/>
      <c r="G2660" s="14" t="s">
        <v>16180</v>
      </c>
      <c r="H2660" s="8"/>
      <c r="I2660" s="15">
        <v>2</v>
      </c>
      <c r="J2660" s="15">
        <v>26</v>
      </c>
      <c r="K2660" s="12" t="str">
        <f>HYPERLINK("http://twitter.com/download/iphone","Twitter for iPhone")</f>
        <v>Twitter for iPhone</v>
      </c>
      <c r="L2660" s="16">
        <v>21113</v>
      </c>
      <c r="M2660" s="16">
        <v>65</v>
      </c>
      <c r="N2660" s="16">
        <v>54</v>
      </c>
      <c r="O2660" s="17"/>
      <c r="P2660" s="18">
        <v>42411.363055555557</v>
      </c>
      <c r="Q2660" s="7"/>
      <c r="R2660" s="7" t="s">
        <v>16181</v>
      </c>
      <c r="S2660" s="7"/>
      <c r="T2660" s="8"/>
      <c r="U2660" s="19" t="str">
        <f>HYPERLINK("https://pbs.twimg.com/profile_images/839805289427845120/TpwcKOKZ.jpg","View")</f>
        <v>View</v>
      </c>
      <c r="V2660" s="8"/>
      <c r="W2660" s="8"/>
      <c r="X2660" s="8"/>
      <c r="Y2660" s="8"/>
      <c r="Z2660" s="8"/>
    </row>
    <row r="2661" spans="1:26" ht="12.75">
      <c r="A2661" s="11">
        <v>43747.198796296296</v>
      </c>
      <c r="B2661" s="12" t="str">
        <f>HYPERLINK("https://twitter.com/hltbrcn","@hltbrcn")</f>
        <v>@hltbrcn</v>
      </c>
      <c r="C2661" s="7" t="s">
        <v>16182</v>
      </c>
      <c r="D2661" s="7" t="s">
        <v>16183</v>
      </c>
      <c r="E2661" s="12" t="str">
        <f>HYPERLINK("https://twitter.com/hltbrcn/status/1181898672889634821","1181898672889634821")</f>
        <v>1181898672889634821</v>
      </c>
      <c r="F2661" s="8" t="s">
        <v>16184</v>
      </c>
      <c r="G2661" s="14" t="s">
        <v>16185</v>
      </c>
      <c r="H2661" s="8"/>
      <c r="I2661" s="15">
        <v>0</v>
      </c>
      <c r="J2661" s="15">
        <v>0</v>
      </c>
      <c r="K2661" s="12" t="str">
        <f>HYPERLINK("https://mobile.twitter.com","Twitter Web App")</f>
        <v>Twitter Web App</v>
      </c>
      <c r="L2661" s="16">
        <v>383</v>
      </c>
      <c r="M2661" s="16">
        <v>844</v>
      </c>
      <c r="N2661" s="16">
        <v>1</v>
      </c>
      <c r="O2661" s="17"/>
      <c r="P2661" s="18">
        <v>41548.495300925926</v>
      </c>
      <c r="Q2661" s="7" t="s">
        <v>16186</v>
      </c>
      <c r="R2661" s="7" t="s">
        <v>16187</v>
      </c>
      <c r="S2661" s="7"/>
      <c r="T2661" s="8"/>
      <c r="U2661" s="19" t="str">
        <f>HYPERLINK("https://pbs.twimg.com/profile_images/1057160231472504832/mrobAiXp.jpg","View")</f>
        <v>View</v>
      </c>
      <c r="V2661" s="8"/>
      <c r="W2661" s="8"/>
      <c r="X2661" s="8"/>
      <c r="Y2661" s="8"/>
      <c r="Z2661" s="8"/>
    </row>
    <row r="2662" spans="1:26" ht="12.75">
      <c r="A2662" s="11">
        <v>43747.198773148149</v>
      </c>
      <c r="B2662" s="12" t="str">
        <f>HYPERLINK("https://twitter.com/alaskalikuzey","@alaskalikuzey")</f>
        <v>@alaskalikuzey</v>
      </c>
      <c r="C2662" s="7" t="s">
        <v>16188</v>
      </c>
      <c r="D2662" s="7" t="s">
        <v>16189</v>
      </c>
      <c r="E2662" s="12" t="str">
        <f>HYPERLINK("https://twitter.com/alaskalikuzey/status/1181898664958205953","1181898664958205953")</f>
        <v>1181898664958205953</v>
      </c>
      <c r="F2662" s="8"/>
      <c r="G2662" s="7"/>
      <c r="H2662" s="8"/>
      <c r="I2662" s="15">
        <v>0</v>
      </c>
      <c r="J2662" s="15">
        <v>0</v>
      </c>
      <c r="K2662" s="12" t="str">
        <f>HYPERLINK("http://twitter.com/download/iphone","Twitter for iPhone")</f>
        <v>Twitter for iPhone</v>
      </c>
      <c r="L2662" s="16">
        <v>2</v>
      </c>
      <c r="M2662" s="16">
        <v>59</v>
      </c>
      <c r="N2662" s="16">
        <v>0</v>
      </c>
      <c r="O2662" s="17"/>
      <c r="P2662" s="18">
        <v>42342.460590277777</v>
      </c>
      <c r="Q2662" s="7"/>
      <c r="R2662" s="7"/>
      <c r="S2662" s="7"/>
      <c r="T2662" s="8"/>
      <c r="U2662" s="19" t="str">
        <f>HYPERLINK("https://pbs.twimg.com/profile_images/1051013766467469312/LOuEwF84.jpg","View")</f>
        <v>View</v>
      </c>
      <c r="V2662" s="8"/>
      <c r="W2662" s="8"/>
      <c r="X2662" s="8"/>
      <c r="Y2662" s="8"/>
      <c r="Z2662" s="8"/>
    </row>
    <row r="2663" spans="1:26" ht="12.75">
      <c r="A2663" s="11">
        <v>43747.198553240742</v>
      </c>
      <c r="B2663" s="12" t="str">
        <f>HYPERLINK("https://twitter.com/KaraBela481","@KaraBela481")</f>
        <v>@KaraBela481</v>
      </c>
      <c r="C2663" s="7" t="s">
        <v>16190</v>
      </c>
      <c r="D2663" s="7" t="s">
        <v>160</v>
      </c>
      <c r="E2663" s="12" t="str">
        <f>HYPERLINK("https://twitter.com/KaraBela481/status/1181898583458623488","1181898583458623488")</f>
        <v>1181898583458623488</v>
      </c>
      <c r="F2663" s="8"/>
      <c r="G2663" s="7"/>
      <c r="H2663" s="8"/>
      <c r="I2663" s="15">
        <v>0</v>
      </c>
      <c r="J2663" s="15">
        <v>0</v>
      </c>
      <c r="K2663" s="12" t="str">
        <f>HYPERLINK("http://twitter.com/download/android","Twitter for Android")</f>
        <v>Twitter for Android</v>
      </c>
      <c r="L2663" s="16">
        <v>10</v>
      </c>
      <c r="M2663" s="16">
        <v>158</v>
      </c>
      <c r="N2663" s="16">
        <v>0</v>
      </c>
      <c r="O2663" s="17"/>
      <c r="P2663" s="18">
        <v>43479.264328703706</v>
      </c>
      <c r="Q2663" s="7"/>
      <c r="R2663" s="7"/>
      <c r="S2663" s="15"/>
      <c r="T2663" s="8"/>
      <c r="U2663" s="19" t="str">
        <f>HYPERLINK("https://pbs.twimg.com/profile_images/1142844890415583233/r17vY0tH.jpg","View")</f>
        <v>View</v>
      </c>
      <c r="V2663" s="8"/>
      <c r="W2663" s="8"/>
      <c r="X2663" s="8"/>
      <c r="Y2663" s="8"/>
      <c r="Z2663" s="8"/>
    </row>
    <row r="2664" spans="1:26" ht="12.75">
      <c r="A2664" s="11">
        <v>43747.198206018518</v>
      </c>
      <c r="B2664" s="12" t="str">
        <f>HYPERLINK("https://twitter.com/BudakKazm","@BudakKazm")</f>
        <v>@BudakKazm</v>
      </c>
      <c r="C2664" s="7" t="s">
        <v>16191</v>
      </c>
      <c r="D2664" s="7" t="s">
        <v>16192</v>
      </c>
      <c r="E2664" s="12" t="str">
        <f>HYPERLINK("https://twitter.com/BudakKazm/status/1181898457457582080","1181898457457582080")</f>
        <v>1181898457457582080</v>
      </c>
      <c r="F2664" s="8"/>
      <c r="G2664" s="7"/>
      <c r="H2664" s="8"/>
      <c r="I2664" s="15">
        <v>0</v>
      </c>
      <c r="J2664" s="15">
        <v>0</v>
      </c>
      <c r="K2664" s="12" t="str">
        <f>HYPERLINK("http://twitter.com/download/android","Twitter for Android")</f>
        <v>Twitter for Android</v>
      </c>
      <c r="L2664" s="16">
        <v>89</v>
      </c>
      <c r="M2664" s="16">
        <v>282</v>
      </c>
      <c r="N2664" s="16">
        <v>0</v>
      </c>
      <c r="O2664" s="17"/>
      <c r="P2664" s="18">
        <v>41420.433136574073</v>
      </c>
      <c r="Q2664" s="7"/>
      <c r="R2664" s="7"/>
      <c r="S2664" s="7"/>
      <c r="T2664" s="8"/>
      <c r="U2664" s="19" t="str">
        <f>HYPERLINK("https://pbs.twimg.com/profile_images/755559576481697793/65FiFuwC.jpg","View")</f>
        <v>View</v>
      </c>
      <c r="V2664" s="8"/>
      <c r="W2664" s="8"/>
      <c r="X2664" s="8"/>
      <c r="Y2664" s="8"/>
      <c r="Z2664" s="8"/>
    </row>
    <row r="2665" spans="1:26" ht="12.75">
      <c r="A2665" s="11">
        <v>43747.198206018518</v>
      </c>
      <c r="B2665" s="12" t="str">
        <f>HYPERLINK("https://twitter.com/motorcucocuk6","@motorcucocuk6")</f>
        <v>@motorcucocuk6</v>
      </c>
      <c r="C2665" s="7" t="s">
        <v>16193</v>
      </c>
      <c r="D2665" s="7" t="s">
        <v>16194</v>
      </c>
      <c r="E2665" s="12" t="str">
        <f>HYPERLINK("https://twitter.com/motorcucocuk6/status/1181898457319120896","1181898457319120896")</f>
        <v>1181898457319120896</v>
      </c>
      <c r="F2665" s="8"/>
      <c r="G2665" s="14" t="s">
        <v>16195</v>
      </c>
      <c r="H2665" s="8"/>
      <c r="I2665" s="15">
        <v>0</v>
      </c>
      <c r="J2665" s="15">
        <v>1</v>
      </c>
      <c r="K2665" s="12" t="str">
        <f>HYPERLINK("http://twitter.com/download/android","Twitter for Android")</f>
        <v>Twitter for Android</v>
      </c>
      <c r="L2665" s="16">
        <v>23</v>
      </c>
      <c r="M2665" s="16">
        <v>40</v>
      </c>
      <c r="N2665" s="16">
        <v>0</v>
      </c>
      <c r="O2665" s="17"/>
      <c r="P2665" s="18">
        <v>43702.340347222227</v>
      </c>
      <c r="Q2665" s="7" t="s">
        <v>498</v>
      </c>
      <c r="R2665" s="7" t="s">
        <v>16196</v>
      </c>
      <c r="S2665" s="7"/>
      <c r="T2665" s="8"/>
      <c r="U2665" s="19" t="str">
        <f>HYPERLINK("https://pbs.twimg.com/profile_images/1166407890862845952/0a3BxvQV.jpg","View")</f>
        <v>View</v>
      </c>
      <c r="V2665" s="8"/>
      <c r="W2665" s="8"/>
      <c r="X2665" s="8"/>
      <c r="Y2665" s="8"/>
      <c r="Z2665" s="8"/>
    </row>
    <row r="2666" spans="1:26" ht="12.75">
      <c r="A2666" s="11">
        <v>43747.198171296295</v>
      </c>
      <c r="B2666" s="12" t="str">
        <f>HYPERLINK("https://twitter.com/dilarasavrann","@dilarasavrann")</f>
        <v>@dilarasavrann</v>
      </c>
      <c r="C2666" s="7" t="s">
        <v>16197</v>
      </c>
      <c r="D2666" s="7" t="s">
        <v>16198</v>
      </c>
      <c r="E2666" s="12" t="str">
        <f>HYPERLINK("https://twitter.com/dilarasavrann/status/1181898443440164864","1181898443440164864")</f>
        <v>1181898443440164864</v>
      </c>
      <c r="F2666" s="8"/>
      <c r="G2666" s="14" t="s">
        <v>16199</v>
      </c>
      <c r="H2666" s="8"/>
      <c r="I2666" s="15">
        <v>0</v>
      </c>
      <c r="J2666" s="15">
        <v>0</v>
      </c>
      <c r="K2666" s="12" t="str">
        <f>HYPERLINK("http://twitter.com/download/android","Twitter for Android")</f>
        <v>Twitter for Android</v>
      </c>
      <c r="L2666" s="16">
        <v>177</v>
      </c>
      <c r="M2666" s="16">
        <v>51</v>
      </c>
      <c r="N2666" s="16">
        <v>1</v>
      </c>
      <c r="O2666" s="17"/>
      <c r="P2666" s="18">
        <v>41787.443182870367</v>
      </c>
      <c r="Q2666" s="7" t="s">
        <v>80</v>
      </c>
      <c r="R2666" s="7" t="s">
        <v>16200</v>
      </c>
      <c r="S2666" s="7"/>
      <c r="T2666" s="8"/>
      <c r="U2666" s="19" t="str">
        <f>HYPERLINK("https://pbs.twimg.com/profile_images/1120466655774158848/PEJK4tH_.jpg","View")</f>
        <v>View</v>
      </c>
      <c r="V2666" s="8"/>
      <c r="W2666" s="8"/>
      <c r="X2666" s="8"/>
      <c r="Y2666" s="8"/>
      <c r="Z2666" s="8"/>
    </row>
    <row r="2667" spans="1:26" ht="12.75">
      <c r="A2667" s="11">
        <v>43747.198055555556</v>
      </c>
      <c r="B2667" s="12" t="str">
        <f>HYPERLINK("https://twitter.com/aligmba061","@aligmba061")</f>
        <v>@aligmba061</v>
      </c>
      <c r="C2667" s="7" t="s">
        <v>16201</v>
      </c>
      <c r="D2667" s="7" t="s">
        <v>16202</v>
      </c>
      <c r="E2667" s="12" t="str">
        <f>HYPERLINK("https://twitter.com/aligmba061/status/1181898402566725633","1181898402566725633")</f>
        <v>1181898402566725633</v>
      </c>
      <c r="F2667" s="8"/>
      <c r="G2667" s="15"/>
      <c r="H2667" s="8"/>
      <c r="I2667" s="15">
        <v>0</v>
      </c>
      <c r="J2667" s="15">
        <v>0</v>
      </c>
      <c r="K2667" s="12" t="str">
        <f>HYPERLINK("http://twitter.com/download/android","Twitter for Android")</f>
        <v>Twitter for Android</v>
      </c>
      <c r="L2667" s="16">
        <v>120</v>
      </c>
      <c r="M2667" s="16">
        <v>74</v>
      </c>
      <c r="N2667" s="16">
        <v>0</v>
      </c>
      <c r="O2667" s="17"/>
      <c r="P2667" s="18">
        <v>43391.53224537037</v>
      </c>
      <c r="Q2667" s="7"/>
      <c r="R2667" s="7"/>
      <c r="S2667" s="7"/>
      <c r="T2667" s="8"/>
      <c r="U2667" s="19" t="str">
        <f>HYPERLINK("https://pbs.twimg.com/profile_images/1175846005335568385/da_IlG8R.jpg","View")</f>
        <v>View</v>
      </c>
      <c r="V2667" s="8"/>
      <c r="W2667" s="8"/>
      <c r="X2667" s="8"/>
      <c r="Y2667" s="8"/>
      <c r="Z2667" s="8"/>
    </row>
    <row r="2668" spans="1:26" ht="12.75">
      <c r="A2668" s="11">
        <v>43747.19804398148</v>
      </c>
      <c r="B2668" s="12" t="str">
        <f>HYPERLINK("https://twitter.com/DertliKarinca41","@DertliKarinca41")</f>
        <v>@DertliKarinca41</v>
      </c>
      <c r="C2668" s="7" t="s">
        <v>16203</v>
      </c>
      <c r="D2668" s="7" t="s">
        <v>16204</v>
      </c>
      <c r="E2668" s="12" t="str">
        <f>HYPERLINK("https://twitter.com/DertliKarinca41/status/1181898399131602946","1181898399131602946")</f>
        <v>1181898399131602946</v>
      </c>
      <c r="F2668" s="8"/>
      <c r="G2668" s="14" t="s">
        <v>16205</v>
      </c>
      <c r="H2668" s="8"/>
      <c r="I2668" s="15">
        <v>0</v>
      </c>
      <c r="J2668" s="15">
        <v>0</v>
      </c>
      <c r="K2668" s="12" t="str">
        <f>HYPERLINK("http://twitter.com/download/android","Twitter for Android")</f>
        <v>Twitter for Android</v>
      </c>
      <c r="L2668" s="16">
        <v>356</v>
      </c>
      <c r="M2668" s="16">
        <v>279</v>
      </c>
      <c r="N2668" s="16">
        <v>0</v>
      </c>
      <c r="O2668" s="17"/>
      <c r="P2668" s="18">
        <v>41565.215740740743</v>
      </c>
      <c r="Q2668" s="7" t="s">
        <v>8299</v>
      </c>
      <c r="R2668" s="7" t="s">
        <v>16206</v>
      </c>
      <c r="S2668" s="15"/>
      <c r="T2668" s="8"/>
      <c r="U2668" s="19" t="str">
        <f>HYPERLINK("https://pbs.twimg.com/profile_images/1130208292461002752/xbbko5FH.jpg","View")</f>
        <v>View</v>
      </c>
      <c r="V2668" s="8"/>
      <c r="W2668" s="8"/>
      <c r="X2668" s="8"/>
      <c r="Y2668" s="8"/>
      <c r="Z2668" s="8"/>
    </row>
    <row r="2669" spans="1:26" ht="12.75">
      <c r="A2669" s="11">
        <v>43747.197997685187</v>
      </c>
      <c r="B2669" s="12" t="str">
        <f>HYPERLINK("https://twitter.com/UmmugulTurhan","@UmmugulTurhan")</f>
        <v>@UmmugulTurhan</v>
      </c>
      <c r="C2669" s="7" t="s">
        <v>16207</v>
      </c>
      <c r="D2669" s="7" t="s">
        <v>16208</v>
      </c>
      <c r="E2669" s="12" t="str">
        <f>HYPERLINK("https://twitter.com/UmmugulTurhan/status/1181898382043963393","1181898382043963393")</f>
        <v>1181898382043963393</v>
      </c>
      <c r="F2669" s="8"/>
      <c r="G2669" s="14" t="s">
        <v>16209</v>
      </c>
      <c r="H2669" s="8"/>
      <c r="I2669" s="15">
        <v>0</v>
      </c>
      <c r="J2669" s="15">
        <v>0</v>
      </c>
      <c r="K2669" s="12" t="str">
        <f>HYPERLINK("http://twitter.com","Twitter Web Client")</f>
        <v>Twitter Web Client</v>
      </c>
      <c r="L2669" s="16">
        <v>14</v>
      </c>
      <c r="M2669" s="16">
        <v>0</v>
      </c>
      <c r="N2669" s="16">
        <v>0</v>
      </c>
      <c r="O2669" s="17"/>
      <c r="P2669" s="18">
        <v>43703.290081018524</v>
      </c>
      <c r="Q2669" s="7" t="s">
        <v>12072</v>
      </c>
      <c r="R2669" s="7" t="s">
        <v>16210</v>
      </c>
      <c r="S2669" s="15"/>
      <c r="T2669" s="8"/>
      <c r="U2669" s="19" t="str">
        <f>HYPERLINK("https://pbs.twimg.com/profile_images/1166786445517950979/J_S5AEot.jpg","View")</f>
        <v>View</v>
      </c>
      <c r="V2669" s="8"/>
      <c r="W2669" s="8"/>
      <c r="X2669" s="8"/>
      <c r="Y2669" s="8"/>
      <c r="Z2669" s="8"/>
    </row>
    <row r="2670" spans="1:26" ht="12.75">
      <c r="A2670" s="11">
        <v>43747.197905092587</v>
      </c>
      <c r="B2670" s="12" t="str">
        <f>HYPERLINK("https://twitter.com/hamzacobantr","@hamzacobantr")</f>
        <v>@hamzacobantr</v>
      </c>
      <c r="C2670" s="7" t="s">
        <v>16211</v>
      </c>
      <c r="D2670" s="7" t="s">
        <v>16212</v>
      </c>
      <c r="E2670" s="12" t="str">
        <f>HYPERLINK("https://twitter.com/hamzacobantr/status/1181898346627305472","1181898346627305472")</f>
        <v>1181898346627305472</v>
      </c>
      <c r="F2670" s="8"/>
      <c r="G2670" s="15"/>
      <c r="H2670" s="8"/>
      <c r="I2670" s="15">
        <v>0</v>
      </c>
      <c r="J2670" s="15">
        <v>0</v>
      </c>
      <c r="K2670" s="12" t="str">
        <f>HYPERLINK("http://twitter.com/download/android","Twitter for Android")</f>
        <v>Twitter for Android</v>
      </c>
      <c r="L2670" s="16">
        <v>984</v>
      </c>
      <c r="M2670" s="16">
        <v>2234</v>
      </c>
      <c r="N2670" s="16">
        <v>4</v>
      </c>
      <c r="O2670" s="17"/>
      <c r="P2670" s="18">
        <v>42401.361585648148</v>
      </c>
      <c r="Q2670" s="7"/>
      <c r="R2670" s="7" t="s">
        <v>16213</v>
      </c>
      <c r="S2670" s="7"/>
      <c r="T2670" s="8"/>
      <c r="U2670" s="19" t="str">
        <f>HYPERLINK("https://pbs.twimg.com/profile_images/1153223778681446400/3ZbuSfMk.jpg","View")</f>
        <v>View</v>
      </c>
      <c r="V2670" s="8"/>
      <c r="W2670" s="8"/>
      <c r="X2670" s="8"/>
      <c r="Y2670" s="8"/>
      <c r="Z2670" s="8"/>
    </row>
    <row r="2671" spans="1:26" ht="12.75">
      <c r="A2671" s="11">
        <v>43747.197847222225</v>
      </c>
      <c r="B2671" s="12" t="str">
        <f>HYPERLINK("https://twitter.com/MuratAdbelli11","@MuratAdbelli11")</f>
        <v>@MuratAdbelli11</v>
      </c>
      <c r="C2671" s="7" t="s">
        <v>16214</v>
      </c>
      <c r="D2671" s="7" t="s">
        <v>16215</v>
      </c>
      <c r="E2671" s="12" t="str">
        <f>HYPERLINK("https://twitter.com/MuratAdbelli11/status/1181898328415584262","1181898328415584262")</f>
        <v>1181898328415584262</v>
      </c>
      <c r="F2671" s="8"/>
      <c r="G2671" s="14" t="s">
        <v>16216</v>
      </c>
      <c r="H2671" s="8"/>
      <c r="I2671" s="15">
        <v>0</v>
      </c>
      <c r="J2671" s="15">
        <v>0</v>
      </c>
      <c r="K2671" s="12" t="str">
        <f>HYPERLINK("http://twitter.com/download/android","Twitter for Android")</f>
        <v>Twitter for Android</v>
      </c>
      <c r="L2671" s="16">
        <v>108</v>
      </c>
      <c r="M2671" s="16">
        <v>105</v>
      </c>
      <c r="N2671" s="16">
        <v>0</v>
      </c>
      <c r="O2671" s="17"/>
      <c r="P2671" s="18">
        <v>43690.395335648151</v>
      </c>
      <c r="Q2671" s="7"/>
      <c r="R2671" s="7" t="s">
        <v>16217</v>
      </c>
      <c r="S2671" s="7"/>
      <c r="T2671" s="8"/>
      <c r="U2671" s="19" t="str">
        <f>HYPERLINK("https://pbs.twimg.com/profile_images/1165287427067564034/CPlGJgLS.jpg","View")</f>
        <v>View</v>
      </c>
      <c r="V2671" s="8"/>
      <c r="W2671" s="8"/>
      <c r="X2671" s="8"/>
      <c r="Y2671" s="8"/>
      <c r="Z2671" s="8"/>
    </row>
    <row r="2672" spans="1:26" ht="12.75">
      <c r="A2672" s="11">
        <v>43747.197847222225</v>
      </c>
      <c r="B2672" s="12" t="str">
        <f>HYPERLINK("https://twitter.com/peker0144","@peker0144")</f>
        <v>@peker0144</v>
      </c>
      <c r="C2672" s="7" t="s">
        <v>16218</v>
      </c>
      <c r="D2672" s="7" t="s">
        <v>16219</v>
      </c>
      <c r="E2672" s="12" t="str">
        <f>HYPERLINK("https://twitter.com/peker0144/status/1181898325844529153","1181898325844529153")</f>
        <v>1181898325844529153</v>
      </c>
      <c r="F2672" s="8"/>
      <c r="G2672" s="15"/>
      <c r="H2672" s="8"/>
      <c r="I2672" s="15">
        <v>0</v>
      </c>
      <c r="J2672" s="15">
        <v>1</v>
      </c>
      <c r="K2672" s="12" t="str">
        <f>HYPERLINK("http://twitter.com/download/iphone","Twitter for iPhone")</f>
        <v>Twitter for iPhone</v>
      </c>
      <c r="L2672" s="16">
        <v>797</v>
      </c>
      <c r="M2672" s="16">
        <v>1004</v>
      </c>
      <c r="N2672" s="16">
        <v>0</v>
      </c>
      <c r="O2672" s="17"/>
      <c r="P2672" s="18">
        <v>42759.091516203705</v>
      </c>
      <c r="Q2672" s="7"/>
      <c r="R2672" s="7"/>
      <c r="S2672" s="7"/>
      <c r="T2672" s="8"/>
      <c r="U2672" s="19" t="str">
        <f>HYPERLINK("https://pbs.twimg.com/profile_images/1158080414021554176/U0xhszTB.jpg","View")</f>
        <v>View</v>
      </c>
      <c r="V2672" s="8"/>
      <c r="W2672" s="8"/>
      <c r="X2672" s="8"/>
      <c r="Y2672" s="8"/>
      <c r="Z2672" s="8"/>
    </row>
    <row r="2673" spans="1:26" ht="12.75">
      <c r="A2673" s="11">
        <v>43747.197835648149</v>
      </c>
      <c r="B2673" s="12" t="str">
        <f>HYPERLINK("https://twitter.com/zaferavci77","@zaferavci77")</f>
        <v>@zaferavci77</v>
      </c>
      <c r="C2673" s="7" t="s">
        <v>16220</v>
      </c>
      <c r="D2673" s="13" t="s">
        <v>16221</v>
      </c>
      <c r="E2673" s="12" t="str">
        <f>HYPERLINK("https://twitter.com/zaferavci77/status/1181898324846223360","1181898324846223360")</f>
        <v>1181898324846223360</v>
      </c>
      <c r="F2673" s="15"/>
      <c r="G2673" s="14" t="s">
        <v>16222</v>
      </c>
      <c r="H2673" s="8"/>
      <c r="I2673" s="15">
        <v>0</v>
      </c>
      <c r="J2673" s="15">
        <v>0</v>
      </c>
      <c r="K2673" s="12" t="str">
        <f>HYPERLINK("http://twitter.com/download/iphone","Twitter for iPhone")</f>
        <v>Twitter for iPhone</v>
      </c>
      <c r="L2673" s="16">
        <v>175</v>
      </c>
      <c r="M2673" s="16">
        <v>122</v>
      </c>
      <c r="N2673" s="16">
        <v>0</v>
      </c>
      <c r="O2673" s="17"/>
      <c r="P2673" s="18">
        <v>42640.001736111109</v>
      </c>
      <c r="Q2673" s="7"/>
      <c r="R2673" s="13" t="s">
        <v>16223</v>
      </c>
      <c r="S2673" s="15"/>
      <c r="T2673" s="8"/>
      <c r="U2673" s="19" t="str">
        <f>HYPERLINK("https://pbs.twimg.com/profile_images/1175149552019628034/PT4zxtQG.jpg","View")</f>
        <v>View</v>
      </c>
      <c r="V2673" s="8"/>
      <c r="W2673" s="8"/>
      <c r="X2673" s="8"/>
      <c r="Y2673" s="8"/>
      <c r="Z2673" s="8"/>
    </row>
    <row r="2674" spans="1:26" ht="12.75">
      <c r="A2674" s="11">
        <v>43747.197766203702</v>
      </c>
      <c r="B2674" s="12" t="str">
        <f>HYPERLINK("https://twitter.com/Yoggum7","@Yoggum7")</f>
        <v>@Yoggum7</v>
      </c>
      <c r="C2674" s="7" t="s">
        <v>16224</v>
      </c>
      <c r="D2674" s="7" t="s">
        <v>16225</v>
      </c>
      <c r="E2674" s="12" t="str">
        <f>HYPERLINK("https://twitter.com/Yoggum7/status/1181898299625881601","1181898299625881601")</f>
        <v>1181898299625881601</v>
      </c>
      <c r="F2674" s="8"/>
      <c r="G2674" s="7"/>
      <c r="H2674" s="8"/>
      <c r="I2674" s="15">
        <v>0</v>
      </c>
      <c r="J2674" s="15">
        <v>5</v>
      </c>
      <c r="K2674" s="12" t="str">
        <f>HYPERLINK("https://mobile.twitter.com","Twitter Web App")</f>
        <v>Twitter Web App</v>
      </c>
      <c r="L2674" s="16">
        <v>277</v>
      </c>
      <c r="M2674" s="16">
        <v>469</v>
      </c>
      <c r="N2674" s="16">
        <v>11</v>
      </c>
      <c r="O2674" s="17"/>
      <c r="P2674" s="18">
        <v>43496.512094907404</v>
      </c>
      <c r="Q2674" s="7" t="s">
        <v>16226</v>
      </c>
      <c r="R2674" s="7" t="s">
        <v>16227</v>
      </c>
      <c r="S2674" s="14" t="s">
        <v>16228</v>
      </c>
      <c r="T2674" s="8"/>
      <c r="U2674" s="19" t="str">
        <f>HYPERLINK("https://pbs.twimg.com/profile_images/1144364606531547136/RbK1FANh.jpg","View")</f>
        <v>View</v>
      </c>
      <c r="V2674" s="8"/>
      <c r="W2674" s="8"/>
      <c r="X2674" s="8"/>
      <c r="Y2674" s="8"/>
      <c r="Z2674" s="8"/>
    </row>
    <row r="2675" spans="1:26" ht="12.75">
      <c r="A2675" s="11">
        <v>43747.197719907403</v>
      </c>
      <c r="B2675" s="12" t="str">
        <f>HYPERLINK("https://twitter.com/Dogo00478918","@Dogo00478918")</f>
        <v>@Dogo00478918</v>
      </c>
      <c r="C2675" s="7" t="s">
        <v>16229</v>
      </c>
      <c r="D2675" s="7" t="s">
        <v>16230</v>
      </c>
      <c r="E2675" s="12" t="str">
        <f>HYPERLINK("https://twitter.com/Dogo00478918/status/1181898282328625152","1181898282328625152")</f>
        <v>1181898282328625152</v>
      </c>
      <c r="F2675" s="8"/>
      <c r="G2675" s="14" t="s">
        <v>16231</v>
      </c>
      <c r="H2675" s="8"/>
      <c r="I2675" s="15">
        <v>0</v>
      </c>
      <c r="J2675" s="15">
        <v>0</v>
      </c>
      <c r="K2675" s="12" t="str">
        <f>HYPERLINK("http://twitter.com/download/android","Twitter for Android")</f>
        <v>Twitter for Android</v>
      </c>
      <c r="L2675" s="16">
        <v>18</v>
      </c>
      <c r="M2675" s="16">
        <v>128</v>
      </c>
      <c r="N2675" s="16">
        <v>0</v>
      </c>
      <c r="O2675" s="17"/>
      <c r="P2675" s="18">
        <v>43667.979166666672</v>
      </c>
      <c r="Q2675" s="7"/>
      <c r="R2675" s="7"/>
      <c r="S2675" s="7"/>
      <c r="T2675" s="8"/>
      <c r="U2675" s="19" t="str">
        <f>HYPERLINK("https://pbs.twimg.com/profile_images/1153245261378064384/LmMvy2rm.jpg","View")</f>
        <v>View</v>
      </c>
      <c r="V2675" s="8"/>
      <c r="W2675" s="8"/>
      <c r="X2675" s="8"/>
      <c r="Y2675" s="8"/>
      <c r="Z2675" s="8"/>
    </row>
    <row r="2676" spans="1:26" ht="12.75">
      <c r="A2676" s="11">
        <v>43747.197696759264</v>
      </c>
      <c r="B2676" s="12" t="str">
        <f>HYPERLINK("https://twitter.com/HacerYigit7","@HacerYigit7")</f>
        <v>@HacerYigit7</v>
      </c>
      <c r="C2676" s="7" t="s">
        <v>16232</v>
      </c>
      <c r="D2676" s="7" t="s">
        <v>16233</v>
      </c>
      <c r="E2676" s="12" t="str">
        <f>HYPERLINK("https://twitter.com/HacerYigit7/status/1181898271108861953","1181898271108861953")</f>
        <v>1181898271108861953</v>
      </c>
      <c r="F2676" s="8"/>
      <c r="G2676" s="15"/>
      <c r="H2676" s="8"/>
      <c r="I2676" s="15">
        <v>0</v>
      </c>
      <c r="J2676" s="15">
        <v>0</v>
      </c>
      <c r="K2676" s="12" t="str">
        <f>HYPERLINK("http://twitter.com/download/android","Twitter for Android")</f>
        <v>Twitter for Android</v>
      </c>
      <c r="L2676" s="16">
        <v>18</v>
      </c>
      <c r="M2676" s="16">
        <v>37</v>
      </c>
      <c r="N2676" s="16">
        <v>0</v>
      </c>
      <c r="O2676" s="17"/>
      <c r="P2676" s="18">
        <v>43733.216944444444</v>
      </c>
      <c r="Q2676" s="7"/>
      <c r="R2676" s="7" t="s">
        <v>16234</v>
      </c>
      <c r="S2676" s="7"/>
      <c r="T2676" s="8"/>
      <c r="U2676" s="19" t="str">
        <f>HYPERLINK("https://pbs.twimg.com/profile_images/1176940156517044225/6T4A2rrB.jpg","View")</f>
        <v>View</v>
      </c>
      <c r="V2676" s="8"/>
      <c r="W2676" s="8"/>
      <c r="X2676" s="8"/>
      <c r="Y2676" s="8"/>
      <c r="Z2676" s="8"/>
    </row>
    <row r="2677" spans="1:26" ht="12.75">
      <c r="A2677" s="11">
        <v>43747.197662037041</v>
      </c>
      <c r="B2677" s="12" t="str">
        <f>HYPERLINK("https://twitter.com/hy_ayr","@hy_ayr")</f>
        <v>@hy_ayr</v>
      </c>
      <c r="C2677" s="7" t="s">
        <v>16235</v>
      </c>
      <c r="D2677" s="7" t="s">
        <v>16236</v>
      </c>
      <c r="E2677" s="12" t="str">
        <f>HYPERLINK("https://twitter.com/hy_ayr/status/1181898262254673925","1181898262254673925")</f>
        <v>1181898262254673925</v>
      </c>
      <c r="F2677" s="8"/>
      <c r="G2677" s="14" t="s">
        <v>16237</v>
      </c>
      <c r="H2677" s="8"/>
      <c r="I2677" s="15">
        <v>0</v>
      </c>
      <c r="J2677" s="15">
        <v>0</v>
      </c>
      <c r="K2677" s="12" t="str">
        <f>HYPERLINK("http://twitter.com/download/android","Twitter for Android")</f>
        <v>Twitter for Android</v>
      </c>
      <c r="L2677" s="16">
        <v>321</v>
      </c>
      <c r="M2677" s="16">
        <v>193</v>
      </c>
      <c r="N2677" s="16">
        <v>0</v>
      </c>
      <c r="O2677" s="17"/>
      <c r="P2677" s="18">
        <v>42365.604837962965</v>
      </c>
      <c r="Q2677" s="7"/>
      <c r="R2677" s="7"/>
      <c r="S2677" s="7"/>
      <c r="T2677" s="8"/>
      <c r="U2677" s="19" t="str">
        <f>HYPERLINK("https://pbs.twimg.com/profile_images/1144912777158582272/Xr_APcUH.jpg","View")</f>
        <v>View</v>
      </c>
      <c r="V2677" s="8"/>
      <c r="W2677" s="8"/>
      <c r="X2677" s="8"/>
      <c r="Y2677" s="8"/>
      <c r="Z2677" s="8"/>
    </row>
    <row r="2678" spans="1:26" ht="12.75">
      <c r="A2678" s="11">
        <v>43747.197627314818</v>
      </c>
      <c r="B2678" s="12" t="str">
        <f>HYPERLINK("https://twitter.com/gratlker","@gratlker")</f>
        <v>@gratlker</v>
      </c>
      <c r="C2678" s="7" t="s">
        <v>16238</v>
      </c>
      <c r="D2678" s="7" t="s">
        <v>160</v>
      </c>
      <c r="E2678" s="12" t="str">
        <f>HYPERLINK("https://twitter.com/gratlker/status/1181898249264930817","1181898249264930817")</f>
        <v>1181898249264930817</v>
      </c>
      <c r="F2678" s="8"/>
      <c r="G2678" s="7"/>
      <c r="H2678" s="8"/>
      <c r="I2678" s="15">
        <v>0</v>
      </c>
      <c r="J2678" s="15">
        <v>0</v>
      </c>
      <c r="K2678" s="12" t="str">
        <f>HYPERLINK("http://twitter.com/download/android","Twitter for Android")</f>
        <v>Twitter for Android</v>
      </c>
      <c r="L2678" s="16">
        <v>3</v>
      </c>
      <c r="M2678" s="16">
        <v>6</v>
      </c>
      <c r="N2678" s="16">
        <v>0</v>
      </c>
      <c r="O2678" s="17"/>
      <c r="P2678" s="18">
        <v>41133.742314814815</v>
      </c>
      <c r="Q2678" s="7" t="s">
        <v>10826</v>
      </c>
      <c r="R2678" s="7" t="s">
        <v>16239</v>
      </c>
      <c r="S2678" s="15"/>
      <c r="T2678" s="8"/>
      <c r="U2678" s="20" t="s">
        <v>354</v>
      </c>
      <c r="V2678" s="8"/>
      <c r="W2678" s="8"/>
      <c r="X2678" s="8"/>
      <c r="Y2678" s="8"/>
      <c r="Z2678" s="8"/>
    </row>
    <row r="2679" spans="1:26" ht="12.75">
      <c r="A2679" s="11">
        <v>43747.197581018518</v>
      </c>
      <c r="B2679" s="12" t="str">
        <f>HYPERLINK("https://twitter.com/HaseneSozmen","@HaseneSozmen")</f>
        <v>@HaseneSozmen</v>
      </c>
      <c r="C2679" s="7" t="s">
        <v>16240</v>
      </c>
      <c r="D2679" s="7" t="s">
        <v>16241</v>
      </c>
      <c r="E2679" s="12" t="str">
        <f>HYPERLINK("https://twitter.com/HaseneSozmen/status/1181898232777117698","1181898232777117698")</f>
        <v>1181898232777117698</v>
      </c>
      <c r="F2679" s="7"/>
      <c r="G2679" s="14" t="s">
        <v>16242</v>
      </c>
      <c r="H2679" s="8"/>
      <c r="I2679" s="15">
        <v>0</v>
      </c>
      <c r="J2679" s="15">
        <v>0</v>
      </c>
      <c r="K2679" s="12" t="str">
        <f>HYPERLINK("http://twitter.com","Twitter Web Client")</f>
        <v>Twitter Web Client</v>
      </c>
      <c r="L2679" s="16">
        <v>7</v>
      </c>
      <c r="M2679" s="16">
        <v>0</v>
      </c>
      <c r="N2679" s="16">
        <v>0</v>
      </c>
      <c r="O2679" s="17"/>
      <c r="P2679" s="18">
        <v>43669.012453703705</v>
      </c>
      <c r="Q2679" s="7" t="s">
        <v>898</v>
      </c>
      <c r="R2679" s="7" t="s">
        <v>16243</v>
      </c>
      <c r="S2679" s="15"/>
      <c r="T2679" s="8"/>
      <c r="U2679" s="19" t="str">
        <f>HYPERLINK("https://pbs.twimg.com/profile_images/1154292298534006784/abX09XSf.jpg","View")</f>
        <v>View</v>
      </c>
      <c r="V2679" s="8"/>
      <c r="W2679" s="8"/>
      <c r="X2679" s="8"/>
      <c r="Y2679" s="8"/>
      <c r="Z2679" s="8"/>
    </row>
    <row r="2680" spans="1:26" ht="12.75">
      <c r="A2680" s="11">
        <v>43747.197546296295</v>
      </c>
      <c r="B2680" s="12" t="str">
        <f>HYPERLINK("https://twitter.com/NecatGokturk","@NecatGokturk")</f>
        <v>@NecatGokturk</v>
      </c>
      <c r="C2680" s="7" t="s">
        <v>16244</v>
      </c>
      <c r="D2680" s="7" t="s">
        <v>16245</v>
      </c>
      <c r="E2680" s="12" t="str">
        <f>HYPERLINK("https://twitter.com/NecatGokturk/status/1181898216951992321","1181898216951992321")</f>
        <v>1181898216951992321</v>
      </c>
      <c r="F2680" s="7"/>
      <c r="G2680" s="14" t="s">
        <v>16246</v>
      </c>
      <c r="H2680" s="8"/>
      <c r="I2680" s="15">
        <v>0</v>
      </c>
      <c r="J2680" s="15">
        <v>0</v>
      </c>
      <c r="K2680" s="12" t="str">
        <f>HYPERLINK("http://twitter.com/download/android","Twitter for Android")</f>
        <v>Twitter for Android</v>
      </c>
      <c r="L2680" s="16">
        <v>33</v>
      </c>
      <c r="M2680" s="16">
        <v>238</v>
      </c>
      <c r="N2680" s="16">
        <v>0</v>
      </c>
      <c r="O2680" s="17"/>
      <c r="P2680" s="18">
        <v>42062.347118055557</v>
      </c>
      <c r="Q2680" s="7"/>
      <c r="R2680" s="7" t="s">
        <v>16247</v>
      </c>
      <c r="S2680" s="7"/>
      <c r="T2680" s="8"/>
      <c r="U2680" s="19" t="str">
        <f>HYPERLINK("https://pbs.twimg.com/profile_images/1142459231813197824/18f7eajF.jpg","View")</f>
        <v>View</v>
      </c>
      <c r="V2680" s="8"/>
      <c r="W2680" s="8"/>
      <c r="X2680" s="8"/>
      <c r="Y2680" s="8"/>
      <c r="Z2680" s="8"/>
    </row>
    <row r="2681" spans="1:26" ht="12.75">
      <c r="A2681" s="11">
        <v>43747.197453703702</v>
      </c>
      <c r="B2681" s="12" t="str">
        <f>HYPERLINK("https://twitter.com/60vatansevda","@60vatansevda")</f>
        <v>@60vatansevda</v>
      </c>
      <c r="C2681" s="7" t="s">
        <v>16248</v>
      </c>
      <c r="D2681" s="7" t="s">
        <v>16249</v>
      </c>
      <c r="E2681" s="12" t="str">
        <f>HYPERLINK("https://twitter.com/60vatansevda/status/1181898185624739840","1181898185624739840")</f>
        <v>1181898185624739840</v>
      </c>
      <c r="F2681" s="8"/>
      <c r="G2681" s="14" t="s">
        <v>16250</v>
      </c>
      <c r="H2681" s="8"/>
      <c r="I2681" s="15">
        <v>6</v>
      </c>
      <c r="J2681" s="15">
        <v>11</v>
      </c>
      <c r="K2681" s="12" t="str">
        <f>HYPERLINK("http://twitter.com/download/android","Twitter for Android")</f>
        <v>Twitter for Android</v>
      </c>
      <c r="L2681" s="16">
        <v>7023</v>
      </c>
      <c r="M2681" s="16">
        <v>6558</v>
      </c>
      <c r="N2681" s="16">
        <v>3</v>
      </c>
      <c r="O2681" s="17"/>
      <c r="P2681" s="18">
        <v>43326.938518518524</v>
      </c>
      <c r="Q2681" s="7"/>
      <c r="R2681" s="7" t="s">
        <v>16251</v>
      </c>
      <c r="S2681" s="7"/>
      <c r="T2681" s="8"/>
      <c r="U2681" s="19" t="str">
        <f>HYPERLINK("https://pbs.twimg.com/profile_images/1072043459123535872/2_xsRDlS.jpg","View")</f>
        <v>View</v>
      </c>
      <c r="V2681" s="8"/>
      <c r="W2681" s="8"/>
      <c r="X2681" s="8"/>
      <c r="Y2681" s="8"/>
      <c r="Z2681" s="8"/>
    </row>
    <row r="2682" spans="1:26" ht="12.75">
      <c r="A2682" s="11">
        <v>43747.197384259256</v>
      </c>
      <c r="B2682" s="12" t="str">
        <f>HYPERLINK("https://twitter.com/Byrm_ozdgn","@Byrm_ozdgn")</f>
        <v>@Byrm_ozdgn</v>
      </c>
      <c r="C2682" s="7" t="s">
        <v>16252</v>
      </c>
      <c r="D2682" s="7" t="s">
        <v>16253</v>
      </c>
      <c r="E2682" s="12" t="str">
        <f>HYPERLINK("https://twitter.com/Byrm_ozdgn/status/1181898158542073856","1181898158542073856")</f>
        <v>1181898158542073856</v>
      </c>
      <c r="F2682" s="8"/>
      <c r="G2682" s="15"/>
      <c r="H2682" s="8"/>
      <c r="I2682" s="15">
        <v>0</v>
      </c>
      <c r="J2682" s="15">
        <v>0</v>
      </c>
      <c r="K2682" s="12" t="str">
        <f>HYPERLINK("http://twitter.com/download/android","Twitter for Android")</f>
        <v>Twitter for Android</v>
      </c>
      <c r="L2682" s="16">
        <v>253</v>
      </c>
      <c r="M2682" s="16">
        <v>320</v>
      </c>
      <c r="N2682" s="16">
        <v>2</v>
      </c>
      <c r="O2682" s="17"/>
      <c r="P2682" s="18">
        <v>42136.688472222224</v>
      </c>
      <c r="Q2682" s="7" t="s">
        <v>2277</v>
      </c>
      <c r="R2682" s="7" t="s">
        <v>16254</v>
      </c>
      <c r="S2682" s="7"/>
      <c r="T2682" s="8"/>
      <c r="U2682" s="19" t="str">
        <f>HYPERLINK("https://pbs.twimg.com/profile_images/1150881274376142848/bX8EcWI-.jpg","View")</f>
        <v>View</v>
      </c>
      <c r="V2682" s="8"/>
      <c r="W2682" s="8"/>
      <c r="X2682" s="8"/>
      <c r="Y2682" s="8"/>
      <c r="Z2682" s="8"/>
    </row>
    <row r="2683" spans="1:26" ht="12.75">
      <c r="A2683" s="11">
        <v>43747.19736111111</v>
      </c>
      <c r="B2683" s="12" t="str">
        <f>HYPERLINK("https://twitter.com/enebkr","@enebkr")</f>
        <v>@enebkr</v>
      </c>
      <c r="C2683" s="7" t="s">
        <v>16255</v>
      </c>
      <c r="D2683" s="7" t="s">
        <v>16256</v>
      </c>
      <c r="E2683" s="12" t="str">
        <f>HYPERLINK("https://twitter.com/enebkr/status/1181898151978061826","1181898151978061826")</f>
        <v>1181898151978061826</v>
      </c>
      <c r="F2683" s="8"/>
      <c r="G2683" s="14" t="s">
        <v>16257</v>
      </c>
      <c r="H2683" s="8"/>
      <c r="I2683" s="15">
        <v>0</v>
      </c>
      <c r="J2683" s="15">
        <v>0</v>
      </c>
      <c r="K2683" s="12" t="str">
        <f>HYPERLINK("http://twitter.com/download/android","Twitter for Android")</f>
        <v>Twitter for Android</v>
      </c>
      <c r="L2683" s="16">
        <v>2527</v>
      </c>
      <c r="M2683" s="16">
        <v>1326</v>
      </c>
      <c r="N2683" s="16">
        <v>2</v>
      </c>
      <c r="O2683" s="17"/>
      <c r="P2683" s="18">
        <v>40194.554212962961</v>
      </c>
      <c r="Q2683" s="7"/>
      <c r="R2683" s="7" t="s">
        <v>16258</v>
      </c>
      <c r="S2683" s="15"/>
      <c r="T2683" s="8"/>
      <c r="U2683" s="19" t="str">
        <f>HYPERLINK("https://pbs.twimg.com/profile_images/1150911134003863554/ovq29y29.jpg","View")</f>
        <v>View</v>
      </c>
      <c r="V2683" s="8"/>
      <c r="W2683" s="8"/>
      <c r="X2683" s="8"/>
      <c r="Y2683" s="8"/>
      <c r="Z2683" s="8"/>
    </row>
    <row r="2684" spans="1:26" ht="12.75">
      <c r="A2684" s="11">
        <v>43747.19736111111</v>
      </c>
      <c r="B2684" s="12" t="str">
        <f>HYPERLINK("https://twitter.com/hudaverdi_ozcan","@hudaverdi_ozcan")</f>
        <v>@hudaverdi_ozcan</v>
      </c>
      <c r="C2684" s="7" t="s">
        <v>16259</v>
      </c>
      <c r="D2684" s="7" t="s">
        <v>13999</v>
      </c>
      <c r="E2684" s="12" t="str">
        <f>HYPERLINK("https://twitter.com/hudaverdi_ozcan/status/1181898149297823747","1181898149297823747")</f>
        <v>1181898149297823747</v>
      </c>
      <c r="F2684" s="8"/>
      <c r="G2684" s="14" t="s">
        <v>16260</v>
      </c>
      <c r="H2684" s="8"/>
      <c r="I2684" s="15">
        <v>0</v>
      </c>
      <c r="J2684" s="15">
        <v>0</v>
      </c>
      <c r="K2684" s="12" t="str">
        <f>HYPERLINK("http://twitter.com/download/android","Twitter for Android")</f>
        <v>Twitter for Android</v>
      </c>
      <c r="L2684" s="16">
        <v>127</v>
      </c>
      <c r="M2684" s="16">
        <v>66</v>
      </c>
      <c r="N2684" s="16">
        <v>0</v>
      </c>
      <c r="O2684" s="17"/>
      <c r="P2684" s="18">
        <v>42228.528749999998</v>
      </c>
      <c r="Q2684" s="7" t="s">
        <v>16261</v>
      </c>
      <c r="R2684" s="7"/>
      <c r="S2684" s="7"/>
      <c r="T2684" s="8"/>
      <c r="U2684" s="19" t="str">
        <f>HYPERLINK("https://pbs.twimg.com/profile_images/1155983660551528448/E3Q_k3vD.jpg","View")</f>
        <v>View</v>
      </c>
      <c r="V2684" s="8"/>
      <c r="W2684" s="8"/>
      <c r="X2684" s="8"/>
      <c r="Y2684" s="8"/>
      <c r="Z2684" s="8"/>
    </row>
    <row r="2685" spans="1:26" ht="12.75">
      <c r="A2685" s="11">
        <v>43747.19731481481</v>
      </c>
      <c r="B2685" s="12" t="str">
        <f>HYPERLINK("https://twitter.com/FurkanB05442339","@FurkanB05442339")</f>
        <v>@FurkanB05442339</v>
      </c>
      <c r="C2685" s="7" t="s">
        <v>16262</v>
      </c>
      <c r="D2685" s="7" t="s">
        <v>160</v>
      </c>
      <c r="E2685" s="12" t="str">
        <f>HYPERLINK("https://twitter.com/FurkanB05442339/status/1181898135200845824","1181898135200845824")</f>
        <v>1181898135200845824</v>
      </c>
      <c r="F2685" s="8"/>
      <c r="G2685" s="14" t="s">
        <v>16263</v>
      </c>
      <c r="H2685" s="8"/>
      <c r="I2685" s="15">
        <v>0</v>
      </c>
      <c r="J2685" s="15">
        <v>0</v>
      </c>
      <c r="K2685" s="12" t="str">
        <f>HYPERLINK("http://twitter.com/download/iphone","Twitter for iPhone")</f>
        <v>Twitter for iPhone</v>
      </c>
      <c r="L2685" s="16">
        <v>0</v>
      </c>
      <c r="M2685" s="16">
        <v>26</v>
      </c>
      <c r="N2685" s="16">
        <v>0</v>
      </c>
      <c r="O2685" s="17"/>
      <c r="P2685" s="18">
        <v>43554.02952546296</v>
      </c>
      <c r="Q2685" s="7"/>
      <c r="R2685" s="7"/>
      <c r="S2685" s="7"/>
      <c r="T2685" s="8"/>
      <c r="U2685" s="20" t="s">
        <v>354</v>
      </c>
      <c r="V2685" s="8"/>
      <c r="W2685" s="8"/>
      <c r="X2685" s="8"/>
      <c r="Y2685" s="8"/>
      <c r="Z2685" s="8"/>
    </row>
    <row r="2686" spans="1:26" ht="12.75">
      <c r="A2686" s="11">
        <v>43747.197280092594</v>
      </c>
      <c r="B2686" s="12" t="str">
        <f>HYPERLINK("https://twitter.com/arslanb37196503","@arslanb37196503")</f>
        <v>@arslanb37196503</v>
      </c>
      <c r="C2686" s="7" t="s">
        <v>16264</v>
      </c>
      <c r="D2686" s="7" t="s">
        <v>160</v>
      </c>
      <c r="E2686" s="12" t="str">
        <f>HYPERLINK("https://twitter.com/arslanb37196503/status/1181898121149915143","1181898121149915143")</f>
        <v>1181898121149915143</v>
      </c>
      <c r="F2686" s="8"/>
      <c r="G2686" s="7"/>
      <c r="H2686" s="8"/>
      <c r="I2686" s="15">
        <v>0</v>
      </c>
      <c r="J2686" s="15">
        <v>0</v>
      </c>
      <c r="K2686" s="12" t="str">
        <f>HYPERLINK("http://twitter.com/download/android","Twitter for Android")</f>
        <v>Twitter for Android</v>
      </c>
      <c r="L2686" s="16">
        <v>6</v>
      </c>
      <c r="M2686" s="16">
        <v>84</v>
      </c>
      <c r="N2686" s="16">
        <v>0</v>
      </c>
      <c r="O2686" s="17"/>
      <c r="P2686" s="18">
        <v>43086.376030092593</v>
      </c>
      <c r="Q2686" s="7" t="s">
        <v>16265</v>
      </c>
      <c r="R2686" s="7" t="s">
        <v>16266</v>
      </c>
      <c r="S2686" s="7"/>
      <c r="T2686" s="8"/>
      <c r="U2686" s="19" t="str">
        <f>HYPERLINK("https://pbs.twimg.com/profile_images/1173827118624575488/pZwh8U-E.jpg","View")</f>
        <v>View</v>
      </c>
      <c r="V2686" s="8"/>
      <c r="W2686" s="8"/>
      <c r="X2686" s="8"/>
      <c r="Y2686" s="8"/>
      <c r="Z2686" s="8"/>
    </row>
    <row r="2687" spans="1:26" ht="12.75">
      <c r="A2687" s="11">
        <v>43747.197268518517</v>
      </c>
      <c r="B2687" s="12" t="str">
        <f>HYPERLINK("https://twitter.com/blldurak","@blldurak")</f>
        <v>@blldurak</v>
      </c>
      <c r="C2687" s="7" t="s">
        <v>16267</v>
      </c>
      <c r="D2687" s="7" t="s">
        <v>16268</v>
      </c>
      <c r="E2687" s="12" t="str">
        <f>HYPERLINK("https://twitter.com/blldurak/status/1181898116259307520","1181898116259307520")</f>
        <v>1181898116259307520</v>
      </c>
      <c r="F2687" s="8"/>
      <c r="G2687" s="14" t="s">
        <v>16269</v>
      </c>
      <c r="H2687" s="8"/>
      <c r="I2687" s="15">
        <v>0</v>
      </c>
      <c r="J2687" s="15">
        <v>0</v>
      </c>
      <c r="K2687" s="12" t="str">
        <f>HYPERLINK("http://twitter.com/download/iphone","Twitter for iPhone")</f>
        <v>Twitter for iPhone</v>
      </c>
      <c r="L2687" s="16">
        <v>299</v>
      </c>
      <c r="M2687" s="16">
        <v>103</v>
      </c>
      <c r="N2687" s="16">
        <v>1</v>
      </c>
      <c r="O2687" s="17"/>
      <c r="P2687" s="18">
        <v>40981.502557870372</v>
      </c>
      <c r="Q2687" s="7" t="s">
        <v>16270</v>
      </c>
      <c r="R2687" s="7" t="s">
        <v>16271</v>
      </c>
      <c r="S2687" s="7"/>
      <c r="T2687" s="8"/>
      <c r="U2687" s="19" t="str">
        <f>HYPERLINK("https://pbs.twimg.com/profile_images/1132106294394011649/cXfTW__k.jpg","View")</f>
        <v>View</v>
      </c>
      <c r="V2687" s="8"/>
      <c r="W2687" s="8"/>
      <c r="X2687" s="8"/>
      <c r="Y2687" s="8"/>
      <c r="Z2687" s="8"/>
    </row>
    <row r="2688" spans="1:26" ht="12.75">
      <c r="A2688" s="11">
        <v>43747.197152777779</v>
      </c>
      <c r="B2688" s="12" t="str">
        <f>HYPERLINK("https://twitter.com/kursad_cetinkya","@kursad_cetinkya")</f>
        <v>@kursad_cetinkya</v>
      </c>
      <c r="C2688" s="7" t="s">
        <v>16272</v>
      </c>
      <c r="D2688" s="7" t="s">
        <v>16273</v>
      </c>
      <c r="E2688" s="12" t="str">
        <f>HYPERLINK("https://twitter.com/kursad_cetinkya/status/1181898075549372417","1181898075549372417")</f>
        <v>1181898075549372417</v>
      </c>
      <c r="F2688" s="15"/>
      <c r="G2688" s="14" t="s">
        <v>16274</v>
      </c>
      <c r="H2688" s="8"/>
      <c r="I2688" s="15">
        <v>0</v>
      </c>
      <c r="J2688" s="15">
        <v>0</v>
      </c>
      <c r="K2688" s="12" t="str">
        <f>HYPERLINK("http://twitter.com/download/iphone","Twitter for iPhone")</f>
        <v>Twitter for iPhone</v>
      </c>
      <c r="L2688" s="16">
        <v>239</v>
      </c>
      <c r="M2688" s="16">
        <v>399</v>
      </c>
      <c r="N2688" s="16">
        <v>0</v>
      </c>
      <c r="O2688" s="17"/>
      <c r="P2688" s="18">
        <v>40800.121608796297</v>
      </c>
      <c r="Q2688" s="7" t="s">
        <v>860</v>
      </c>
      <c r="R2688" s="15" t="s">
        <v>16275</v>
      </c>
      <c r="S2688" s="7"/>
      <c r="T2688" s="8"/>
      <c r="U2688" s="19" t="str">
        <f>HYPERLINK("https://pbs.twimg.com/profile_images/1178752967320784900/DVR0skCL.jpg","View")</f>
        <v>View</v>
      </c>
      <c r="V2688" s="8"/>
      <c r="W2688" s="8"/>
      <c r="X2688" s="8"/>
      <c r="Y2688" s="8"/>
      <c r="Z2688" s="8"/>
    </row>
    <row r="2689" spans="1:26" ht="12.75">
      <c r="A2689" s="11">
        <v>43747.196759259255</v>
      </c>
      <c r="B2689" s="12" t="str">
        <f>HYPERLINK("https://twitter.com/kralkaankc","@kralkaankc")</f>
        <v>@kralkaankc</v>
      </c>
      <c r="C2689" s="7" t="s">
        <v>16276</v>
      </c>
      <c r="D2689" s="7" t="s">
        <v>16277</v>
      </c>
      <c r="E2689" s="12" t="str">
        <f>HYPERLINK("https://twitter.com/kralkaankc/status/1181897933047898112","1181897933047898112")</f>
        <v>1181897933047898112</v>
      </c>
      <c r="F2689" s="8"/>
      <c r="G2689" s="14" t="s">
        <v>16278</v>
      </c>
      <c r="H2689" s="8"/>
      <c r="I2689" s="15">
        <v>0</v>
      </c>
      <c r="J2689" s="15">
        <v>0</v>
      </c>
      <c r="K2689" s="12" t="str">
        <f>HYPERLINK("https://mobile.twitter.com","Twitter Web App")</f>
        <v>Twitter Web App</v>
      </c>
      <c r="L2689" s="16">
        <v>1</v>
      </c>
      <c r="M2689" s="16">
        <v>19</v>
      </c>
      <c r="N2689" s="16">
        <v>0</v>
      </c>
      <c r="O2689" s="17"/>
      <c r="P2689" s="18">
        <v>41809.19085648148</v>
      </c>
      <c r="Q2689" s="7" t="s">
        <v>200</v>
      </c>
      <c r="R2689" s="7" t="s">
        <v>16279</v>
      </c>
      <c r="S2689" s="7"/>
      <c r="T2689" s="8"/>
      <c r="U2689" s="19" t="str">
        <f>HYPERLINK("https://pbs.twimg.com/profile_images/1181899708274491392/zux8ynM9.jpg","View")</f>
        <v>View</v>
      </c>
      <c r="V2689" s="8"/>
      <c r="W2689" s="8"/>
      <c r="X2689" s="8"/>
      <c r="Y2689" s="8"/>
      <c r="Z2689" s="8"/>
    </row>
    <row r="2690" spans="1:26" ht="12.75">
      <c r="A2690" s="11">
        <v>43747.196747685186</v>
      </c>
      <c r="B2690" s="12" t="str">
        <f>HYPERLINK("https://twitter.com/sevdammuhammed","@sevdammuhammed")</f>
        <v>@sevdammuhammed</v>
      </c>
      <c r="C2690" s="7" t="s">
        <v>16280</v>
      </c>
      <c r="D2690" s="7" t="s">
        <v>16281</v>
      </c>
      <c r="E2690" s="12" t="str">
        <f>HYPERLINK("https://twitter.com/sevdammuhammed/status/1181897930669735938","1181897930669735938")</f>
        <v>1181897930669735938</v>
      </c>
      <c r="F2690" s="8"/>
      <c r="G2690" s="14" t="s">
        <v>16282</v>
      </c>
      <c r="H2690" s="8"/>
      <c r="I2690" s="15">
        <v>0</v>
      </c>
      <c r="J2690" s="15">
        <v>0</v>
      </c>
      <c r="K2690" s="12" t="str">
        <f>HYPERLINK("http://twitter.com/download/android","Twitter for Android")</f>
        <v>Twitter for Android</v>
      </c>
      <c r="L2690" s="16">
        <v>705</v>
      </c>
      <c r="M2690" s="16">
        <v>682</v>
      </c>
      <c r="N2690" s="16">
        <v>2</v>
      </c>
      <c r="O2690" s="17"/>
      <c r="P2690" s="18">
        <v>40662.278935185182</v>
      </c>
      <c r="Q2690" s="7" t="s">
        <v>200</v>
      </c>
      <c r="R2690" s="7" t="s">
        <v>16283</v>
      </c>
      <c r="S2690" s="7"/>
      <c r="T2690" s="8"/>
      <c r="U2690" s="19" t="str">
        <f>HYPERLINK("https://pbs.twimg.com/profile_images/1048219524154236929/eE6X1PxE.jpg","View")</f>
        <v>View</v>
      </c>
      <c r="V2690" s="8"/>
      <c r="W2690" s="8"/>
      <c r="X2690" s="8"/>
      <c r="Y2690" s="8"/>
      <c r="Z2690" s="8"/>
    </row>
    <row r="2691" spans="1:26" ht="12.75">
      <c r="A2691" s="11">
        <v>43747.196712962963</v>
      </c>
      <c r="B2691" s="12" t="str">
        <f>HYPERLINK("https://twitter.com/neztar","@neztar")</f>
        <v>@neztar</v>
      </c>
      <c r="C2691" s="7" t="s">
        <v>16284</v>
      </c>
      <c r="D2691" s="7" t="s">
        <v>16285</v>
      </c>
      <c r="E2691" s="12" t="str">
        <f>HYPERLINK("https://twitter.com/neztar/status/1181897917927448577","1181897917927448577")</f>
        <v>1181897917927448577</v>
      </c>
      <c r="F2691" s="14" t="s">
        <v>2719</v>
      </c>
      <c r="G2691" s="14" t="s">
        <v>2720</v>
      </c>
      <c r="H2691" s="8"/>
      <c r="I2691" s="15">
        <v>0</v>
      </c>
      <c r="J2691" s="15">
        <v>0</v>
      </c>
      <c r="K2691" s="12" t="str">
        <f>HYPERLINK("http://twitter.com/download/android","Twitter for Android")</f>
        <v>Twitter for Android</v>
      </c>
      <c r="L2691" s="16">
        <v>1203</v>
      </c>
      <c r="M2691" s="16">
        <v>2283</v>
      </c>
      <c r="N2691" s="16">
        <v>6</v>
      </c>
      <c r="O2691" s="17"/>
      <c r="P2691" s="18">
        <v>40030.278726851851</v>
      </c>
      <c r="Q2691" s="7" t="s">
        <v>668</v>
      </c>
      <c r="R2691" s="7" t="s">
        <v>16286</v>
      </c>
      <c r="S2691" s="14" t="s">
        <v>16287</v>
      </c>
      <c r="T2691" s="8"/>
      <c r="U2691" s="19" t="str">
        <f>HYPERLINK("https://pbs.twimg.com/profile_images/349402944/noktar.gif","View")</f>
        <v>View</v>
      </c>
      <c r="V2691" s="8"/>
      <c r="W2691" s="8"/>
      <c r="X2691" s="8"/>
      <c r="Y2691" s="8"/>
      <c r="Z2691" s="8"/>
    </row>
    <row r="2692" spans="1:26" ht="12.75">
      <c r="A2692" s="11">
        <v>43747.196631944447</v>
      </c>
      <c r="B2692" s="12" t="str">
        <f>HYPERLINK("https://twitter.com/ErwanAkyildirim","@ErwanAkyildirim")</f>
        <v>@ErwanAkyildirim</v>
      </c>
      <c r="C2692" s="7" t="s">
        <v>16288</v>
      </c>
      <c r="D2692" s="7" t="s">
        <v>16289</v>
      </c>
      <c r="E2692" s="12" t="str">
        <f>HYPERLINK("https://twitter.com/ErwanAkyildirim/status/1181897888626040832","1181897888626040832")</f>
        <v>1181897888626040832</v>
      </c>
      <c r="F2692" s="8"/>
      <c r="G2692" s="15"/>
      <c r="H2692" s="8"/>
      <c r="I2692" s="15">
        <v>0</v>
      </c>
      <c r="J2692" s="15">
        <v>0</v>
      </c>
      <c r="K2692" s="12" t="str">
        <f>HYPERLINK("http://twitter.com","Twitter Web Client")</f>
        <v>Twitter Web Client</v>
      </c>
      <c r="L2692" s="16">
        <v>1</v>
      </c>
      <c r="M2692" s="16">
        <v>0</v>
      </c>
      <c r="N2692" s="16">
        <v>0</v>
      </c>
      <c r="O2692" s="17"/>
      <c r="P2692" s="18">
        <v>43675.095196759255</v>
      </c>
      <c r="Q2692" s="7" t="s">
        <v>3210</v>
      </c>
      <c r="R2692" s="7" t="s">
        <v>14352</v>
      </c>
      <c r="S2692" s="7"/>
      <c r="T2692" s="8"/>
      <c r="U2692" s="19" t="str">
        <f>HYPERLINK("https://pbs.twimg.com/profile_images/1158840671299670016/HMwy2Tt8.jpg","View")</f>
        <v>View</v>
      </c>
      <c r="V2692" s="8"/>
      <c r="W2692" s="8"/>
      <c r="X2692" s="8"/>
      <c r="Y2692" s="8"/>
      <c r="Z2692" s="8"/>
    </row>
    <row r="2693" spans="1:26" ht="12.75">
      <c r="A2693" s="11">
        <v>43747.196631944447</v>
      </c>
      <c r="B2693" s="12" t="str">
        <f>HYPERLINK("https://twitter.com/IgnatiusRe","@IgnatiusRe")</f>
        <v>@IgnatiusRe</v>
      </c>
      <c r="C2693" s="7" t="s">
        <v>16290</v>
      </c>
      <c r="D2693" s="7" t="s">
        <v>16291</v>
      </c>
      <c r="E2693" s="12" t="str">
        <f>HYPERLINK("https://twitter.com/IgnatiusRe/status/1181897888382763009","1181897888382763009")</f>
        <v>1181897888382763009</v>
      </c>
      <c r="F2693" s="14" t="s">
        <v>16292</v>
      </c>
      <c r="G2693" s="14" t="s">
        <v>6333</v>
      </c>
      <c r="H2693" s="8"/>
      <c r="I2693" s="15">
        <v>0</v>
      </c>
      <c r="J2693" s="15">
        <v>0</v>
      </c>
      <c r="K2693" s="12" t="str">
        <f>HYPERLINK("http://twitter.com/#!/download/ipad","Twitter for iPad")</f>
        <v>Twitter for iPad</v>
      </c>
      <c r="L2693" s="16">
        <v>179</v>
      </c>
      <c r="M2693" s="16">
        <v>409</v>
      </c>
      <c r="N2693" s="16">
        <v>0</v>
      </c>
      <c r="O2693" s="17"/>
      <c r="P2693" s="18">
        <v>42213.375879629632</v>
      </c>
      <c r="Q2693" s="7"/>
      <c r="R2693" s="7" t="s">
        <v>16293</v>
      </c>
      <c r="S2693" s="7"/>
      <c r="T2693" s="8"/>
      <c r="U2693" s="19" t="str">
        <f>HYPERLINK("https://pbs.twimg.com/profile_images/1158255201691865089/tchLb6cx.jpg","View")</f>
        <v>View</v>
      </c>
      <c r="V2693" s="8"/>
      <c r="W2693" s="8"/>
      <c r="X2693" s="8"/>
      <c r="Y2693" s="8"/>
      <c r="Z2693" s="8"/>
    </row>
    <row r="2694" spans="1:26" ht="12.75">
      <c r="A2694" s="11">
        <v>43747.196574074071</v>
      </c>
      <c r="B2694" s="12" t="str">
        <f>HYPERLINK("https://twitter.com/tunaozdalga2","@tunaozdalga2")</f>
        <v>@tunaozdalga2</v>
      </c>
      <c r="C2694" s="7" t="s">
        <v>16294</v>
      </c>
      <c r="D2694" s="7" t="s">
        <v>16295</v>
      </c>
      <c r="E2694" s="12" t="str">
        <f>HYPERLINK("https://twitter.com/tunaozdalga2/status/1181897866698203136","1181897866698203136")</f>
        <v>1181897866698203136</v>
      </c>
      <c r="F2694" s="8"/>
      <c r="G2694" s="14" t="s">
        <v>16296</v>
      </c>
      <c r="H2694" s="12" t="str">
        <f>HYPERLINK("https://ctrlq.org/maps/address/#41.037626,28.96811","Map")</f>
        <v>Map</v>
      </c>
      <c r="I2694" s="15">
        <v>0</v>
      </c>
      <c r="J2694" s="15">
        <v>0</v>
      </c>
      <c r="K2694" s="12" t="str">
        <f>HYPERLINK("http://twitter.com/download/iphone","Twitter for iPhone")</f>
        <v>Twitter for iPhone</v>
      </c>
      <c r="L2694" s="16">
        <v>0</v>
      </c>
      <c r="M2694" s="16">
        <v>0</v>
      </c>
      <c r="N2694" s="16">
        <v>0</v>
      </c>
      <c r="O2694" s="17"/>
      <c r="P2694" s="18">
        <v>43704.509571759263</v>
      </c>
      <c r="Q2694" s="7" t="s">
        <v>16297</v>
      </c>
      <c r="R2694" s="7" t="s">
        <v>16298</v>
      </c>
      <c r="S2694" s="14" t="s">
        <v>16299</v>
      </c>
      <c r="T2694" s="8"/>
      <c r="U2694" s="19" t="str">
        <f>HYPERLINK("https://pbs.twimg.com/profile_images/1167798379080036353/5mGD6wn1.jpg","View")</f>
        <v>View</v>
      </c>
      <c r="V2694" s="8"/>
      <c r="W2694" s="8"/>
      <c r="X2694" s="8"/>
      <c r="Y2694" s="8"/>
      <c r="Z2694" s="8"/>
    </row>
    <row r="2695" spans="1:26" ht="12.75">
      <c r="A2695" s="11">
        <v>43747.196516203709</v>
      </c>
      <c r="B2695" s="12" t="str">
        <f>HYPERLINK("https://twitter.com/ayseipekpinar","@ayseipekpinar")</f>
        <v>@ayseipekpinar</v>
      </c>
      <c r="C2695" s="7" t="s">
        <v>16300</v>
      </c>
      <c r="D2695" s="7" t="s">
        <v>16301</v>
      </c>
      <c r="E2695" s="12" t="str">
        <f>HYPERLINK("https://twitter.com/ayseipekpinar/status/1181897844090904576","1181897844090904576")</f>
        <v>1181897844090904576</v>
      </c>
      <c r="F2695" s="8"/>
      <c r="G2695" s="7"/>
      <c r="H2695" s="8"/>
      <c r="I2695" s="15">
        <v>0</v>
      </c>
      <c r="J2695" s="15">
        <v>1</v>
      </c>
      <c r="K2695" s="12" t="str">
        <f>HYPERLINK("http://twitter.com/download/iphone","Twitter for iPhone")</f>
        <v>Twitter for iPhone</v>
      </c>
      <c r="L2695" s="16">
        <v>251</v>
      </c>
      <c r="M2695" s="16">
        <v>449</v>
      </c>
      <c r="N2695" s="16">
        <v>0</v>
      </c>
      <c r="O2695" s="17"/>
      <c r="P2695" s="18">
        <v>41107.999120370368</v>
      </c>
      <c r="Q2695" s="7"/>
      <c r="R2695" s="7" t="s">
        <v>16302</v>
      </c>
      <c r="S2695" s="7"/>
      <c r="T2695" s="8"/>
      <c r="U2695" s="19" t="str">
        <f>HYPERLINK("https://pbs.twimg.com/profile_images/1024195229530902528/afWwXMzL.jpg","View")</f>
        <v>View</v>
      </c>
      <c r="V2695" s="8"/>
      <c r="W2695" s="8"/>
      <c r="X2695" s="8"/>
      <c r="Y2695" s="8"/>
      <c r="Z2695" s="8"/>
    </row>
    <row r="2696" spans="1:26" ht="12.75">
      <c r="A2696" s="11">
        <v>43747.196446759262</v>
      </c>
      <c r="B2696" s="12" t="str">
        <f>HYPERLINK("https://twitter.com/m_tandogann","@m_tandogann")</f>
        <v>@m_tandogann</v>
      </c>
      <c r="C2696" s="7" t="s">
        <v>16303</v>
      </c>
      <c r="D2696" s="7" t="s">
        <v>3552</v>
      </c>
      <c r="E2696" s="12" t="str">
        <f>HYPERLINK("https://twitter.com/m_tandogann/status/1181897821663817728","1181897821663817728")</f>
        <v>1181897821663817728</v>
      </c>
      <c r="F2696" s="8"/>
      <c r="G2696" s="14" t="s">
        <v>16304</v>
      </c>
      <c r="H2696" s="8"/>
      <c r="I2696" s="15">
        <v>0</v>
      </c>
      <c r="J2696" s="15">
        <v>0</v>
      </c>
      <c r="K2696" s="12" t="str">
        <f>HYPERLINK("http://twitter.com/download/android","Twitter for Android")</f>
        <v>Twitter for Android</v>
      </c>
      <c r="L2696" s="16">
        <v>90</v>
      </c>
      <c r="M2696" s="16">
        <v>108</v>
      </c>
      <c r="N2696" s="16">
        <v>0</v>
      </c>
      <c r="O2696" s="17"/>
      <c r="P2696" s="18">
        <v>43036.33185185185</v>
      </c>
      <c r="Q2696" s="7" t="s">
        <v>16305</v>
      </c>
      <c r="R2696" s="7" t="s">
        <v>16306</v>
      </c>
      <c r="S2696" s="14" t="s">
        <v>16307</v>
      </c>
      <c r="T2696" s="8"/>
      <c r="U2696" s="19" t="str">
        <f>HYPERLINK("https://pbs.twimg.com/profile_images/1152203515546128384/nSp4rTKM.jpg","View")</f>
        <v>View</v>
      </c>
      <c r="V2696" s="8"/>
      <c r="W2696" s="8"/>
      <c r="X2696" s="8"/>
      <c r="Y2696" s="8"/>
      <c r="Z2696" s="8"/>
    </row>
    <row r="2697" spans="1:26" ht="12.75">
      <c r="A2697" s="11">
        <v>43747.196250000001</v>
      </c>
      <c r="B2697" s="12" t="str">
        <f>HYPERLINK("https://twitter.com/__FaMeH__","@__FaMeH__")</f>
        <v>@__FaMeH__</v>
      </c>
      <c r="C2697" s="7" t="s">
        <v>16308</v>
      </c>
      <c r="D2697" s="7" t="s">
        <v>160</v>
      </c>
      <c r="E2697" s="12" t="str">
        <f>HYPERLINK("https://twitter.com/__FaMeH__/status/1181897749752664064","1181897749752664064")</f>
        <v>1181897749752664064</v>
      </c>
      <c r="F2697" s="8"/>
      <c r="G2697" s="14" t="s">
        <v>16309</v>
      </c>
      <c r="H2697" s="8"/>
      <c r="I2697" s="15">
        <v>0</v>
      </c>
      <c r="J2697" s="15">
        <v>0</v>
      </c>
      <c r="K2697" s="12" t="str">
        <f>HYPERLINK("http://twitter.com/download/android","Twitter for Android")</f>
        <v>Twitter for Android</v>
      </c>
      <c r="L2697" s="16">
        <v>81</v>
      </c>
      <c r="M2697" s="16">
        <v>221</v>
      </c>
      <c r="N2697" s="16">
        <v>0</v>
      </c>
      <c r="O2697" s="17"/>
      <c r="P2697" s="18">
        <v>41428.368680555555</v>
      </c>
      <c r="Q2697" s="7" t="s">
        <v>16310</v>
      </c>
      <c r="R2697" s="7" t="s">
        <v>16311</v>
      </c>
      <c r="S2697" s="7"/>
      <c r="T2697" s="8"/>
      <c r="U2697" s="19" t="str">
        <f>HYPERLINK("https://pbs.twimg.com/profile_images/888374369579397121/9f-NcZ1c.jpg","View")</f>
        <v>View</v>
      </c>
      <c r="V2697" s="8"/>
      <c r="W2697" s="8"/>
      <c r="X2697" s="8"/>
      <c r="Y2697" s="8"/>
      <c r="Z2697" s="8"/>
    </row>
    <row r="2698" spans="1:26" ht="12.75">
      <c r="A2698" s="11">
        <v>43747.196192129632</v>
      </c>
      <c r="B2698" s="12" t="str">
        <f>HYPERLINK("https://twitter.com/baturay_ars","@baturay_ars")</f>
        <v>@baturay_ars</v>
      </c>
      <c r="C2698" s="7" t="s">
        <v>16312</v>
      </c>
      <c r="D2698" s="7" t="s">
        <v>16313</v>
      </c>
      <c r="E2698" s="12" t="str">
        <f>HYPERLINK("https://twitter.com/baturay_ars/status/1181897727153758212","1181897727153758212")</f>
        <v>1181897727153758212</v>
      </c>
      <c r="F2698" s="8"/>
      <c r="G2698" s="7"/>
      <c r="H2698" s="8"/>
      <c r="I2698" s="15">
        <v>0</v>
      </c>
      <c r="J2698" s="15">
        <v>0</v>
      </c>
      <c r="K2698" s="12" t="str">
        <f>HYPERLINK("http://twitter.com/download/iphone","Twitter for iPhone")</f>
        <v>Twitter for iPhone</v>
      </c>
      <c r="L2698" s="16">
        <v>12</v>
      </c>
      <c r="M2698" s="16">
        <v>287</v>
      </c>
      <c r="N2698" s="16">
        <v>0</v>
      </c>
      <c r="O2698" s="17"/>
      <c r="P2698" s="18">
        <v>43591.455266203702</v>
      </c>
      <c r="Q2698" s="7"/>
      <c r="R2698" s="7" t="s">
        <v>16314</v>
      </c>
      <c r="S2698" s="15"/>
      <c r="T2698" s="8"/>
      <c r="U2698" s="19" t="str">
        <f>HYPERLINK("https://pbs.twimg.com/profile_images/1125490188761874434/VVUDR1-w.jpg","View")</f>
        <v>View</v>
      </c>
      <c r="V2698" s="8"/>
      <c r="W2698" s="8"/>
      <c r="X2698" s="8"/>
      <c r="Y2698" s="8"/>
      <c r="Z2698" s="8"/>
    </row>
    <row r="2699" spans="1:26" ht="12.75">
      <c r="A2699" s="11">
        <v>43747.196018518516</v>
      </c>
      <c r="B2699" s="12" t="str">
        <f>HYPERLINK("https://twitter.com/westerosvalisi","@westerosvalisi")</f>
        <v>@westerosvalisi</v>
      </c>
      <c r="C2699" s="7" t="s">
        <v>16315</v>
      </c>
      <c r="D2699" s="7" t="s">
        <v>16316</v>
      </c>
      <c r="E2699" s="12" t="str">
        <f>HYPERLINK("https://twitter.com/westerosvalisi/status/1181897665388437511","1181897665388437511")</f>
        <v>1181897665388437511</v>
      </c>
      <c r="F2699" s="8"/>
      <c r="G2699" s="7"/>
      <c r="H2699" s="8"/>
      <c r="I2699" s="15">
        <v>0</v>
      </c>
      <c r="J2699" s="15">
        <v>0</v>
      </c>
      <c r="K2699" s="12" t="str">
        <f>HYPERLINK("http://twitter.com/download/iphone","Twitter for iPhone")</f>
        <v>Twitter for iPhone</v>
      </c>
      <c r="L2699" s="16">
        <v>48</v>
      </c>
      <c r="M2699" s="16">
        <v>293</v>
      </c>
      <c r="N2699" s="16">
        <v>0</v>
      </c>
      <c r="O2699" s="17"/>
      <c r="P2699" s="18">
        <v>43128.224293981482</v>
      </c>
      <c r="Q2699" s="7" t="s">
        <v>1622</v>
      </c>
      <c r="R2699" s="7" t="s">
        <v>16317</v>
      </c>
      <c r="S2699" s="7"/>
      <c r="T2699" s="8"/>
      <c r="U2699" s="19" t="str">
        <f>HYPERLINK("https://pbs.twimg.com/profile_images/1134632820184428544/4k7DcIAk.jpg","View")</f>
        <v>View</v>
      </c>
      <c r="V2699" s="8"/>
      <c r="W2699" s="8"/>
      <c r="X2699" s="8"/>
      <c r="Y2699" s="8"/>
      <c r="Z2699" s="8"/>
    </row>
    <row r="2700" spans="1:26" ht="12.75">
      <c r="A2700" s="11">
        <v>43747.195902777778</v>
      </c>
      <c r="B2700" s="12" t="str">
        <f>HYPERLINK("https://twitter.com/dikkatkediii","@dikkatkediii")</f>
        <v>@dikkatkediii</v>
      </c>
      <c r="C2700" s="7" t="s">
        <v>16318</v>
      </c>
      <c r="D2700" s="7" t="s">
        <v>16319</v>
      </c>
      <c r="E2700" s="12" t="str">
        <f>HYPERLINK("https://twitter.com/dikkatkediii/status/1181897624548515840","1181897624548515840")</f>
        <v>1181897624548515840</v>
      </c>
      <c r="F2700" s="8"/>
      <c r="G2700" s="7"/>
      <c r="H2700" s="8"/>
      <c r="I2700" s="15">
        <v>0</v>
      </c>
      <c r="J2700" s="15">
        <v>1</v>
      </c>
      <c r="K2700" s="12" t="str">
        <f>HYPERLINK("http://twitter.com/download/android","Twitter for Android")</f>
        <v>Twitter for Android</v>
      </c>
      <c r="L2700" s="16">
        <v>311</v>
      </c>
      <c r="M2700" s="16">
        <v>271</v>
      </c>
      <c r="N2700" s="16">
        <v>0</v>
      </c>
      <c r="O2700" s="17"/>
      <c r="P2700" s="18">
        <v>40279.377592592595</v>
      </c>
      <c r="Q2700" s="7" t="s">
        <v>16320</v>
      </c>
      <c r="R2700" s="7" t="s">
        <v>16321</v>
      </c>
      <c r="S2700" s="7"/>
      <c r="T2700" s="8"/>
      <c r="U2700" s="19" t="str">
        <f>HYPERLINK("https://pbs.twimg.com/profile_images/1173650256459964416/-r3tx01n.jpg","View")</f>
        <v>View</v>
      </c>
      <c r="V2700" s="8"/>
      <c r="W2700" s="8"/>
      <c r="X2700" s="8"/>
      <c r="Y2700" s="8"/>
      <c r="Z2700" s="8"/>
    </row>
    <row r="2701" spans="1:26" ht="12.75">
      <c r="A2701" s="11">
        <v>43747.195787037039</v>
      </c>
      <c r="B2701" s="12" t="str">
        <f>HYPERLINK("https://twitter.com/volgacam","@volgacam")</f>
        <v>@volgacam</v>
      </c>
      <c r="C2701" s="7" t="s">
        <v>16322</v>
      </c>
      <c r="D2701" s="7" t="s">
        <v>16323</v>
      </c>
      <c r="E2701" s="12" t="str">
        <f>HYPERLINK("https://twitter.com/volgacam/status/1181897580793532416","1181897580793532416")</f>
        <v>1181897580793532416</v>
      </c>
      <c r="F2701" s="8"/>
      <c r="G2701" s="15"/>
      <c r="H2701" s="8"/>
      <c r="I2701" s="15">
        <v>0</v>
      </c>
      <c r="J2701" s="15">
        <v>0</v>
      </c>
      <c r="K2701" s="12" t="str">
        <f>HYPERLINK("http://twitter.com/download/iphone","Twitter for iPhone")</f>
        <v>Twitter for iPhone</v>
      </c>
      <c r="L2701" s="16">
        <v>316</v>
      </c>
      <c r="M2701" s="16">
        <v>196</v>
      </c>
      <c r="N2701" s="16">
        <v>0</v>
      </c>
      <c r="O2701" s="17"/>
      <c r="P2701" s="18">
        <v>40535.613842592589</v>
      </c>
      <c r="Q2701" s="7" t="s">
        <v>2062</v>
      </c>
      <c r="R2701" s="7" t="s">
        <v>16324</v>
      </c>
      <c r="S2701" s="7"/>
      <c r="T2701" s="8"/>
      <c r="U2701" s="19" t="str">
        <f>HYPERLINK("https://pbs.twimg.com/profile_images/3252101110/27287b77b2d324ba48aced644470ec9d.jpeg","View")</f>
        <v>View</v>
      </c>
      <c r="V2701" s="8"/>
      <c r="W2701" s="8"/>
      <c r="X2701" s="8"/>
      <c r="Y2701" s="8"/>
      <c r="Z2701" s="8"/>
    </row>
    <row r="2702" spans="1:26" ht="12.75">
      <c r="A2702" s="11">
        <v>43747.195787037039</v>
      </c>
      <c r="B2702" s="12" t="str">
        <f>HYPERLINK("https://twitter.com/GunesAk__","@GunesAk__")</f>
        <v>@GunesAk__</v>
      </c>
      <c r="C2702" s="7" t="s">
        <v>16325</v>
      </c>
      <c r="D2702" s="7" t="s">
        <v>16326</v>
      </c>
      <c r="E2702" s="12" t="str">
        <f>HYPERLINK("https://twitter.com/GunesAk__/status/1181897579061223426","1181897579061223426")</f>
        <v>1181897579061223426</v>
      </c>
      <c r="F2702" s="15"/>
      <c r="G2702" s="14" t="s">
        <v>16327</v>
      </c>
      <c r="H2702" s="8"/>
      <c r="I2702" s="15">
        <v>2</v>
      </c>
      <c r="J2702" s="15">
        <v>9</v>
      </c>
      <c r="K2702" s="12" t="str">
        <f>HYPERLINK("http://twitter.com/download/android","Twitter for Android")</f>
        <v>Twitter for Android</v>
      </c>
      <c r="L2702" s="16">
        <v>13252</v>
      </c>
      <c r="M2702" s="16">
        <v>10567</v>
      </c>
      <c r="N2702" s="16">
        <v>8</v>
      </c>
      <c r="O2702" s="17"/>
      <c r="P2702" s="18">
        <v>41342.460798611108</v>
      </c>
      <c r="Q2702" s="7" t="s">
        <v>4422</v>
      </c>
      <c r="R2702" s="7" t="s">
        <v>16328</v>
      </c>
      <c r="S2702" s="15"/>
      <c r="T2702" s="8"/>
      <c r="U2702" s="19" t="str">
        <f>HYPERLINK("https://pbs.twimg.com/profile_images/1165002310273183749/yQHYPlAc.jpg","View")</f>
        <v>View</v>
      </c>
      <c r="V2702" s="8"/>
      <c r="W2702" s="8"/>
      <c r="X2702" s="8"/>
      <c r="Y2702" s="8"/>
      <c r="Z2702" s="8"/>
    </row>
    <row r="2703" spans="1:26" ht="12.75">
      <c r="A2703" s="11">
        <v>43747.195763888885</v>
      </c>
      <c r="B2703" s="12" t="str">
        <f>HYPERLINK("https://twitter.com/celalkirilmaz","@celalkirilmaz")</f>
        <v>@celalkirilmaz</v>
      </c>
      <c r="C2703" s="7" t="s">
        <v>16329</v>
      </c>
      <c r="D2703" s="7" t="s">
        <v>16330</v>
      </c>
      <c r="E2703" s="12" t="str">
        <f>HYPERLINK("https://twitter.com/celalkirilmaz/status/1181897573029646336","1181897573029646336")</f>
        <v>1181897573029646336</v>
      </c>
      <c r="F2703" s="8"/>
      <c r="G2703" s="15"/>
      <c r="H2703" s="8"/>
      <c r="I2703" s="15">
        <v>4</v>
      </c>
      <c r="J2703" s="15">
        <v>7</v>
      </c>
      <c r="K2703" s="12" t="str">
        <f>HYPERLINK("https://mobile.twitter.com","Twitter Web App")</f>
        <v>Twitter Web App</v>
      </c>
      <c r="L2703" s="16">
        <v>1878</v>
      </c>
      <c r="M2703" s="16">
        <v>1394</v>
      </c>
      <c r="N2703" s="16">
        <v>2</v>
      </c>
      <c r="O2703" s="17"/>
      <c r="P2703" s="18">
        <v>41807.147696759261</v>
      </c>
      <c r="Q2703" s="7" t="s">
        <v>576</v>
      </c>
      <c r="R2703" s="7" t="s">
        <v>16331</v>
      </c>
      <c r="S2703" s="7"/>
      <c r="T2703" s="8"/>
      <c r="U2703" s="19" t="str">
        <f>HYPERLINK("https://pbs.twimg.com/profile_images/478853130772164608/2rpYIkoJ.png","View")</f>
        <v>View</v>
      </c>
      <c r="V2703" s="8"/>
      <c r="W2703" s="8"/>
      <c r="X2703" s="8"/>
      <c r="Y2703" s="8"/>
      <c r="Z2703" s="8"/>
    </row>
    <row r="2704" spans="1:26" ht="12.75">
      <c r="A2704" s="11">
        <v>43747.195763888885</v>
      </c>
      <c r="B2704" s="12" t="str">
        <f>HYPERLINK("https://twitter.com/utkornk","@utkornk")</f>
        <v>@utkornk</v>
      </c>
      <c r="C2704" s="7" t="s">
        <v>16332</v>
      </c>
      <c r="D2704" s="7" t="s">
        <v>9019</v>
      </c>
      <c r="E2704" s="12" t="str">
        <f>HYPERLINK("https://twitter.com/utkornk/status/1181897571331186690","1181897571331186690")</f>
        <v>1181897571331186690</v>
      </c>
      <c r="F2704" s="8"/>
      <c r="G2704" s="14" t="s">
        <v>16333</v>
      </c>
      <c r="H2704" s="8"/>
      <c r="I2704" s="15">
        <v>0</v>
      </c>
      <c r="J2704" s="15">
        <v>1</v>
      </c>
      <c r="K2704" s="12" t="str">
        <f>HYPERLINK("http://twitter.com/download/android","Twitter for Android")</f>
        <v>Twitter for Android</v>
      </c>
      <c r="L2704" s="16">
        <v>94</v>
      </c>
      <c r="M2704" s="16">
        <v>49</v>
      </c>
      <c r="N2704" s="16">
        <v>0</v>
      </c>
      <c r="O2704" s="17"/>
      <c r="P2704" s="18">
        <v>42087.427858796298</v>
      </c>
      <c r="Q2704" s="7"/>
      <c r="R2704" s="7" t="s">
        <v>16334</v>
      </c>
      <c r="S2704" s="7"/>
      <c r="T2704" s="8"/>
      <c r="U2704" s="19" t="str">
        <f>HYPERLINK("https://pbs.twimg.com/profile_images/1178107060346642434/FAOfnRof.jpg","View")</f>
        <v>View</v>
      </c>
      <c r="V2704" s="8"/>
      <c r="W2704" s="8"/>
      <c r="X2704" s="8"/>
      <c r="Y2704" s="8"/>
      <c r="Z2704" s="8"/>
    </row>
    <row r="2705" spans="1:26" ht="12.75">
      <c r="A2705" s="11">
        <v>43747.195740740739</v>
      </c>
      <c r="B2705" s="12" t="str">
        <f>HYPERLINK("https://twitter.com/krmkyy","@krmkyy")</f>
        <v>@krmkyy</v>
      </c>
      <c r="C2705" s="7" t="s">
        <v>16335</v>
      </c>
      <c r="D2705" s="7" t="s">
        <v>16336</v>
      </c>
      <c r="E2705" s="12" t="str">
        <f>HYPERLINK("https://twitter.com/krmkyy/status/1181897562997039104","1181897562997039104")</f>
        <v>1181897562997039104</v>
      </c>
      <c r="F2705" s="8"/>
      <c r="G2705" s="14" t="s">
        <v>16337</v>
      </c>
      <c r="H2705" s="8"/>
      <c r="I2705" s="15">
        <v>0</v>
      </c>
      <c r="J2705" s="15">
        <v>0</v>
      </c>
      <c r="K2705" s="12" t="str">
        <f>HYPERLINK("http://twitter.com/download/android","Twitter for Android")</f>
        <v>Twitter for Android</v>
      </c>
      <c r="L2705" s="16">
        <v>81</v>
      </c>
      <c r="M2705" s="16">
        <v>223</v>
      </c>
      <c r="N2705" s="16">
        <v>0</v>
      </c>
      <c r="O2705" s="17"/>
      <c r="P2705" s="18">
        <v>41716.439305555556</v>
      </c>
      <c r="Q2705" s="7" t="s">
        <v>200</v>
      </c>
      <c r="R2705" s="7" t="s">
        <v>16338</v>
      </c>
      <c r="S2705" s="7"/>
      <c r="T2705" s="8"/>
      <c r="U2705" s="19" t="str">
        <f>HYPERLINK("https://pbs.twimg.com/profile_images/777195071309570048/yuIq97Ou.jpg","View")</f>
        <v>View</v>
      </c>
      <c r="V2705" s="8"/>
      <c r="W2705" s="8"/>
      <c r="X2705" s="8"/>
      <c r="Y2705" s="8"/>
      <c r="Z2705" s="8"/>
    </row>
    <row r="2706" spans="1:26" ht="12.75">
      <c r="A2706" s="11">
        <v>43747.195729166662</v>
      </c>
      <c r="B2706" s="12" t="str">
        <f>HYPERLINK("https://twitter.com/galip_3529","@galip_3529")</f>
        <v>@galip_3529</v>
      </c>
      <c r="C2706" s="7" t="s">
        <v>16339</v>
      </c>
      <c r="D2706" s="7" t="s">
        <v>16340</v>
      </c>
      <c r="E2706" s="12" t="str">
        <f>HYPERLINK("https://twitter.com/galip_3529/status/1181897559817756674","1181897559817756674")</f>
        <v>1181897559817756674</v>
      </c>
      <c r="F2706" s="8"/>
      <c r="G2706" s="7"/>
      <c r="H2706" s="8"/>
      <c r="I2706" s="15">
        <v>0</v>
      </c>
      <c r="J2706" s="15">
        <v>0</v>
      </c>
      <c r="K2706" s="12" t="str">
        <f>HYPERLINK("http://twitter.com/download/iphone","Twitter for iPhone")</f>
        <v>Twitter for iPhone</v>
      </c>
      <c r="L2706" s="16">
        <v>31</v>
      </c>
      <c r="M2706" s="16">
        <v>48</v>
      </c>
      <c r="N2706" s="16">
        <v>0</v>
      </c>
      <c r="O2706" s="17"/>
      <c r="P2706" s="18">
        <v>42791.218449074076</v>
      </c>
      <c r="Q2706" s="7"/>
      <c r="R2706" s="7" t="s">
        <v>16341</v>
      </c>
      <c r="S2706" s="7"/>
      <c r="T2706" s="8"/>
      <c r="U2706" s="19" t="str">
        <f>HYPERLINK("https://pbs.twimg.com/profile_images/1163902166467338240/EsT_TO9e.jpg","View")</f>
        <v>View</v>
      </c>
      <c r="V2706" s="8"/>
      <c r="W2706" s="8"/>
      <c r="X2706" s="8"/>
      <c r="Y2706" s="8"/>
      <c r="Z2706" s="8"/>
    </row>
    <row r="2707" spans="1:26" ht="12.75">
      <c r="A2707" s="11">
        <v>43747.195601851854</v>
      </c>
      <c r="B2707" s="12" t="str">
        <f>HYPERLINK("https://twitter.com/zaferuzuner","@zaferuzuner")</f>
        <v>@zaferuzuner</v>
      </c>
      <c r="C2707" s="7" t="s">
        <v>16342</v>
      </c>
      <c r="D2707" s="7" t="s">
        <v>160</v>
      </c>
      <c r="E2707" s="12" t="str">
        <f>HYPERLINK("https://twitter.com/zaferuzuner/status/1181897513139355651","1181897513139355651")</f>
        <v>1181897513139355651</v>
      </c>
      <c r="F2707" s="8"/>
      <c r="G2707" s="14" t="s">
        <v>16343</v>
      </c>
      <c r="H2707" s="8"/>
      <c r="I2707" s="15">
        <v>0</v>
      </c>
      <c r="J2707" s="15">
        <v>0</v>
      </c>
      <c r="K2707" s="12" t="str">
        <f>HYPERLINK("http://twitter.com/download/iphone","Twitter for iPhone")</f>
        <v>Twitter for iPhone</v>
      </c>
      <c r="L2707" s="16">
        <v>588</v>
      </c>
      <c r="M2707" s="16">
        <v>1126</v>
      </c>
      <c r="N2707" s="16">
        <v>2</v>
      </c>
      <c r="O2707" s="17"/>
      <c r="P2707" s="18">
        <v>41628.384421296294</v>
      </c>
      <c r="Q2707" s="7"/>
      <c r="R2707" s="7"/>
      <c r="S2707" s="7"/>
      <c r="T2707" s="8"/>
      <c r="U2707" s="19" t="str">
        <f>HYPERLINK("https://pbs.twimg.com/profile_images/683759929715458050/SUjE-qfB.jpg","View")</f>
        <v>View</v>
      </c>
      <c r="V2707" s="8"/>
      <c r="W2707" s="8"/>
      <c r="X2707" s="8"/>
      <c r="Y2707" s="8"/>
      <c r="Z2707" s="8"/>
    </row>
    <row r="2708" spans="1:26" ht="12.75">
      <c r="A2708" s="11">
        <v>43747.195474537039</v>
      </c>
      <c r="B2708" s="12" t="str">
        <f>HYPERLINK("https://twitter.com/Dagli1453","@Dagli1453")</f>
        <v>@Dagli1453</v>
      </c>
      <c r="C2708" s="7" t="s">
        <v>16344</v>
      </c>
      <c r="D2708" s="7" t="s">
        <v>16345</v>
      </c>
      <c r="E2708" s="12" t="str">
        <f>HYPERLINK("https://twitter.com/Dagli1453/status/1181897468457492481","1181897468457492481")</f>
        <v>1181897468457492481</v>
      </c>
      <c r="F2708" s="8"/>
      <c r="G2708" s="14" t="s">
        <v>16346</v>
      </c>
      <c r="H2708" s="8"/>
      <c r="I2708" s="15">
        <v>0</v>
      </c>
      <c r="J2708" s="15">
        <v>0</v>
      </c>
      <c r="K2708" s="12" t="str">
        <f>HYPERLINK("http://twitter.com/download/iphone","Twitter for iPhone")</f>
        <v>Twitter for iPhone</v>
      </c>
      <c r="L2708" s="16">
        <v>3637</v>
      </c>
      <c r="M2708" s="16">
        <v>4663</v>
      </c>
      <c r="N2708" s="16">
        <v>0</v>
      </c>
      <c r="O2708" s="17"/>
      <c r="P2708" s="18">
        <v>42000.62709490741</v>
      </c>
      <c r="Q2708" s="7" t="s">
        <v>898</v>
      </c>
      <c r="R2708" s="7" t="s">
        <v>16347</v>
      </c>
      <c r="S2708" s="14" t="s">
        <v>16348</v>
      </c>
      <c r="T2708" s="8"/>
      <c r="U2708" s="19" t="str">
        <f>HYPERLINK("https://pbs.twimg.com/profile_images/1120444262389358592/O0VFComa.jpg","View")</f>
        <v>View</v>
      </c>
      <c r="V2708" s="8"/>
      <c r="W2708" s="8"/>
      <c r="X2708" s="8"/>
      <c r="Y2708" s="8"/>
      <c r="Z2708" s="8"/>
    </row>
    <row r="2709" spans="1:26" ht="12.75">
      <c r="A2709" s="11">
        <v>43747.195462962962</v>
      </c>
      <c r="B2709" s="12" t="str">
        <f>HYPERLINK("https://twitter.com/MurAtinannnnn","@MurAtinannnnn")</f>
        <v>@MurAtinannnnn</v>
      </c>
      <c r="C2709" s="7" t="s">
        <v>16349</v>
      </c>
      <c r="D2709" s="7" t="s">
        <v>16350</v>
      </c>
      <c r="E2709" s="12" t="str">
        <f>HYPERLINK("https://twitter.com/MurAtinannnnn/status/1181897461796933632","1181897461796933632")</f>
        <v>1181897461796933632</v>
      </c>
      <c r="F2709" s="8"/>
      <c r="G2709" s="7"/>
      <c r="H2709" s="8"/>
      <c r="I2709" s="15">
        <v>0</v>
      </c>
      <c r="J2709" s="15">
        <v>0</v>
      </c>
      <c r="K2709" s="12" t="str">
        <f>HYPERLINK("http://twitter.com/download/android","Twitter for Android")</f>
        <v>Twitter for Android</v>
      </c>
      <c r="L2709" s="16">
        <v>1645</v>
      </c>
      <c r="M2709" s="16">
        <v>1753</v>
      </c>
      <c r="N2709" s="16">
        <v>1</v>
      </c>
      <c r="O2709" s="17"/>
      <c r="P2709" s="18">
        <v>41271.210324074076</v>
      </c>
      <c r="Q2709" s="7" t="s">
        <v>313</v>
      </c>
      <c r="R2709" s="7" t="s">
        <v>16351</v>
      </c>
      <c r="S2709" s="7"/>
      <c r="T2709" s="8"/>
      <c r="U2709" s="19" t="str">
        <f>HYPERLINK("https://pbs.twimg.com/profile_images/989290157793857536/2Ql1gjs0.jpg","View")</f>
        <v>View</v>
      </c>
      <c r="V2709" s="8"/>
      <c r="W2709" s="8"/>
      <c r="X2709" s="8"/>
      <c r="Y2709" s="8"/>
      <c r="Z2709" s="8"/>
    </row>
    <row r="2710" spans="1:26" ht="12.75">
      <c r="A2710" s="11">
        <v>43747.195428240739</v>
      </c>
      <c r="B2710" s="12" t="str">
        <f>HYPERLINK("https://twitter.com/elnin0l","@elnin0l")</f>
        <v>@elnin0l</v>
      </c>
      <c r="C2710" s="7" t="s">
        <v>16352</v>
      </c>
      <c r="D2710" s="7" t="s">
        <v>16353</v>
      </c>
      <c r="E2710" s="12" t="str">
        <f>HYPERLINK("https://twitter.com/elnin0l/status/1181897449775992837","1181897449775992837")</f>
        <v>1181897449775992837</v>
      </c>
      <c r="F2710" s="8"/>
      <c r="G2710" s="14" t="s">
        <v>16354</v>
      </c>
      <c r="H2710" s="8"/>
      <c r="I2710" s="15">
        <v>0</v>
      </c>
      <c r="J2710" s="15">
        <v>1</v>
      </c>
      <c r="K2710" s="12" t="str">
        <f>HYPERLINK("https://mobile.twitter.com","Twitter Web App")</f>
        <v>Twitter Web App</v>
      </c>
      <c r="L2710" s="16">
        <v>276</v>
      </c>
      <c r="M2710" s="16">
        <v>201</v>
      </c>
      <c r="N2710" s="16">
        <v>0</v>
      </c>
      <c r="O2710" s="17"/>
      <c r="P2710" s="18">
        <v>42083.433287037042</v>
      </c>
      <c r="Q2710" s="7"/>
      <c r="R2710" s="7" t="s">
        <v>16355</v>
      </c>
      <c r="S2710" s="7"/>
      <c r="T2710" s="8"/>
      <c r="U2710" s="19" t="str">
        <f>HYPERLINK("https://pbs.twimg.com/profile_images/994168780170432512/RVKGJsXR.jpg","View")</f>
        <v>View</v>
      </c>
      <c r="V2710" s="8"/>
      <c r="W2710" s="8"/>
      <c r="X2710" s="8"/>
      <c r="Y2710" s="8"/>
      <c r="Z2710" s="8"/>
    </row>
    <row r="2711" spans="1:26" ht="12.75">
      <c r="A2711" s="11">
        <v>43747.195393518516</v>
      </c>
      <c r="B2711" s="12" t="str">
        <f>HYPERLINK("https://twitter.com/Kartal56341","@Kartal56341")</f>
        <v>@Kartal56341</v>
      </c>
      <c r="C2711" s="7" t="s">
        <v>16356</v>
      </c>
      <c r="D2711" s="7" t="s">
        <v>16357</v>
      </c>
      <c r="E2711" s="12" t="str">
        <f>HYPERLINK("https://twitter.com/Kartal56341/status/1181897436576518145","1181897436576518145")</f>
        <v>1181897436576518145</v>
      </c>
      <c r="F2711" s="8"/>
      <c r="G2711" s="7"/>
      <c r="H2711" s="8"/>
      <c r="I2711" s="15">
        <v>0</v>
      </c>
      <c r="J2711" s="15">
        <v>0</v>
      </c>
      <c r="K2711" s="12" t="str">
        <f>HYPERLINK("http://twitter.com/download/android","Twitter for Android")</f>
        <v>Twitter for Android</v>
      </c>
      <c r="L2711" s="16">
        <v>36</v>
      </c>
      <c r="M2711" s="16">
        <v>44</v>
      </c>
      <c r="N2711" s="16">
        <v>0</v>
      </c>
      <c r="O2711" s="17"/>
      <c r="P2711" s="18">
        <v>42473.445162037038</v>
      </c>
      <c r="Q2711" s="7" t="s">
        <v>313</v>
      </c>
      <c r="R2711" s="7" t="s">
        <v>16358</v>
      </c>
      <c r="S2711" s="7"/>
      <c r="T2711" s="8"/>
      <c r="U2711" s="19" t="str">
        <f>HYPERLINK("https://pbs.twimg.com/profile_images/1100428897705963520/qYAHhzB2.jpg","View")</f>
        <v>View</v>
      </c>
      <c r="V2711" s="8"/>
      <c r="W2711" s="8"/>
      <c r="X2711" s="8"/>
      <c r="Y2711" s="8"/>
      <c r="Z2711" s="8"/>
    </row>
    <row r="2712" spans="1:26" ht="12.75">
      <c r="A2712" s="11">
        <v>43747.195370370369</v>
      </c>
      <c r="B2712" s="12" t="str">
        <f>HYPERLINK("https://twitter.com/omergoze_5528","@omergoze_5528")</f>
        <v>@omergoze_5528</v>
      </c>
      <c r="C2712" s="7" t="s">
        <v>16359</v>
      </c>
      <c r="D2712" s="7" t="s">
        <v>15645</v>
      </c>
      <c r="E2712" s="12" t="str">
        <f>HYPERLINK("https://twitter.com/omergoze_5528/status/1181897429077102598","1181897429077102598")</f>
        <v>1181897429077102598</v>
      </c>
      <c r="F2712" s="8"/>
      <c r="G2712" s="15"/>
      <c r="H2712" s="8"/>
      <c r="I2712" s="15">
        <v>9</v>
      </c>
      <c r="J2712" s="15">
        <v>27</v>
      </c>
      <c r="K2712" s="12" t="str">
        <f>HYPERLINK("http://twitter.com/download/android","Twitter for Android")</f>
        <v>Twitter for Android</v>
      </c>
      <c r="L2712" s="16">
        <v>13725</v>
      </c>
      <c r="M2712" s="16">
        <v>5087</v>
      </c>
      <c r="N2712" s="16">
        <v>21</v>
      </c>
      <c r="O2712" s="17"/>
      <c r="P2712" s="18">
        <v>41151.587488425925</v>
      </c>
      <c r="Q2712" s="7" t="s">
        <v>16360</v>
      </c>
      <c r="R2712" s="7" t="s">
        <v>16361</v>
      </c>
      <c r="S2712" s="14" t="s">
        <v>16362</v>
      </c>
      <c r="T2712" s="8"/>
      <c r="U2712" s="19" t="str">
        <f>HYPERLINK("https://pbs.twimg.com/profile_images/969659688622133248/_c0uFtQS.jpg","View")</f>
        <v>View</v>
      </c>
      <c r="V2712" s="8"/>
      <c r="W2712" s="8"/>
      <c r="X2712" s="8"/>
      <c r="Y2712" s="8"/>
      <c r="Z2712" s="8"/>
    </row>
    <row r="2713" spans="1:26" ht="12.75">
      <c r="A2713" s="11">
        <v>43747.19532407407</v>
      </c>
      <c r="B2713" s="12" t="str">
        <f>HYPERLINK("https://twitter.com/OTTOMAN__TURK","@OTTOMAN__TURK")</f>
        <v>@OTTOMAN__TURK</v>
      </c>
      <c r="C2713" s="7" t="s">
        <v>16363</v>
      </c>
      <c r="D2713" s="7" t="s">
        <v>16364</v>
      </c>
      <c r="E2713" s="12" t="str">
        <f>HYPERLINK("https://twitter.com/OTTOMAN__TURK/status/1181897412027310080","1181897412027310080")</f>
        <v>1181897412027310080</v>
      </c>
      <c r="F2713" s="8"/>
      <c r="G2713" s="15"/>
      <c r="H2713" s="8"/>
      <c r="I2713" s="15">
        <v>0</v>
      </c>
      <c r="J2713" s="15">
        <v>0</v>
      </c>
      <c r="K2713" s="12" t="str">
        <f>HYPERLINK("http://twitter.com/download/android","Twitter for Android")</f>
        <v>Twitter for Android</v>
      </c>
      <c r="L2713" s="16">
        <v>18</v>
      </c>
      <c r="M2713" s="16">
        <v>22</v>
      </c>
      <c r="N2713" s="16">
        <v>0</v>
      </c>
      <c r="O2713" s="17"/>
      <c r="P2713" s="18">
        <v>40491.533483796295</v>
      </c>
      <c r="Q2713" s="7"/>
      <c r="R2713" s="7" t="s">
        <v>16365</v>
      </c>
      <c r="S2713" s="7"/>
      <c r="T2713" s="8"/>
      <c r="U2713" s="19" t="str">
        <f>HYPERLINK("https://pbs.twimg.com/profile_images/1140545571482165248/bH1wXuXg.jpg","View")</f>
        <v>View</v>
      </c>
      <c r="V2713" s="8"/>
      <c r="W2713" s="8"/>
      <c r="X2713" s="8"/>
      <c r="Y2713" s="8"/>
      <c r="Z2713" s="8"/>
    </row>
    <row r="2714" spans="1:26" ht="12.75">
      <c r="A2714" s="11">
        <v>43747.195289351846</v>
      </c>
      <c r="B2714" s="12" t="str">
        <f>HYPERLINK("https://twitter.com/ZAFERAYLN","@ZAFERAYLN")</f>
        <v>@ZAFERAYLN</v>
      </c>
      <c r="C2714" s="7" t="s">
        <v>16366</v>
      </c>
      <c r="D2714" s="7" t="s">
        <v>16367</v>
      </c>
      <c r="E2714" s="12" t="str">
        <f>HYPERLINK("https://twitter.com/ZAFERAYLN/status/1181897402279776257","1181897402279776257")</f>
        <v>1181897402279776257</v>
      </c>
      <c r="F2714" s="8"/>
      <c r="G2714" s="7"/>
      <c r="H2714" s="8"/>
      <c r="I2714" s="15">
        <v>0</v>
      </c>
      <c r="J2714" s="15">
        <v>0</v>
      </c>
      <c r="K2714" s="12" t="str">
        <f>HYPERLINK("http://twitter.com/download/iphone","Twitter for iPhone")</f>
        <v>Twitter for iPhone</v>
      </c>
      <c r="L2714" s="16">
        <v>1072</v>
      </c>
      <c r="M2714" s="16">
        <v>1024</v>
      </c>
      <c r="N2714" s="16">
        <v>7</v>
      </c>
      <c r="O2714" s="17"/>
      <c r="P2714" s="18">
        <v>40619.408715277779</v>
      </c>
      <c r="Q2714" s="7" t="s">
        <v>16368</v>
      </c>
      <c r="R2714" s="7" t="s">
        <v>16369</v>
      </c>
      <c r="S2714" s="14" t="s">
        <v>16370</v>
      </c>
      <c r="T2714" s="8"/>
      <c r="U2714" s="19" t="str">
        <f>HYPERLINK("https://pbs.twimg.com/profile_images/1118903909534380033/zgViQAuz.jpg","View")</f>
        <v>View</v>
      </c>
      <c r="V2714" s="8"/>
      <c r="W2714" s="8"/>
      <c r="X2714" s="8"/>
      <c r="Y2714" s="8"/>
      <c r="Z2714" s="8"/>
    </row>
    <row r="2715" spans="1:26" ht="12.75">
      <c r="A2715" s="11">
        <v>43747.195231481484</v>
      </c>
      <c r="B2715" s="12" t="str">
        <f>HYPERLINK("https://twitter.com/_lionforever_","@_lionforever_")</f>
        <v>@_lionforever_</v>
      </c>
      <c r="C2715" s="7" t="s">
        <v>16371</v>
      </c>
      <c r="D2715" s="7" t="s">
        <v>16372</v>
      </c>
      <c r="E2715" s="12" t="str">
        <f>HYPERLINK("https://twitter.com/_lionforever_/status/1181897379701825536","1181897379701825536")</f>
        <v>1181897379701825536</v>
      </c>
      <c r="F2715" s="8"/>
      <c r="G2715" s="15"/>
      <c r="H2715" s="8"/>
      <c r="I2715" s="15">
        <v>0</v>
      </c>
      <c r="J2715" s="15">
        <v>0</v>
      </c>
      <c r="K2715" s="12" t="str">
        <f>HYPERLINK("https://mobile.twitter.com","Twitter Web App")</f>
        <v>Twitter Web App</v>
      </c>
      <c r="L2715" s="16">
        <v>10</v>
      </c>
      <c r="M2715" s="16">
        <v>57</v>
      </c>
      <c r="N2715" s="16">
        <v>0</v>
      </c>
      <c r="O2715" s="20"/>
      <c r="P2715" s="18">
        <v>43662.095520833333</v>
      </c>
      <c r="Q2715" s="7"/>
      <c r="R2715" s="7"/>
      <c r="S2715" s="15"/>
      <c r="T2715" s="8"/>
      <c r="U2715" s="19" t="str">
        <f>HYPERLINK("https://pbs.twimg.com/profile_images/1157301944660238338/cBGLXpxg.jpg","View")</f>
        <v>View</v>
      </c>
      <c r="V2715" s="8"/>
      <c r="W2715" s="8"/>
      <c r="X2715" s="8"/>
      <c r="Y2715" s="8"/>
      <c r="Z2715" s="8"/>
    </row>
    <row r="2716" spans="1:26" ht="12.75">
      <c r="A2716" s="11">
        <v>43747.195208333331</v>
      </c>
      <c r="B2716" s="12" t="str">
        <f>HYPERLINK("https://twitter.com/ivanatif21","@ivanatif21")</f>
        <v>@ivanatif21</v>
      </c>
      <c r="C2716" s="7" t="s">
        <v>16373</v>
      </c>
      <c r="D2716" s="7" t="s">
        <v>16374</v>
      </c>
      <c r="E2716" s="12" t="str">
        <f>HYPERLINK("https://twitter.com/ivanatif21/status/1181897372462395397","1181897372462395397")</f>
        <v>1181897372462395397</v>
      </c>
      <c r="F2716" s="8"/>
      <c r="G2716" s="7"/>
      <c r="H2716" s="8"/>
      <c r="I2716" s="15">
        <v>0</v>
      </c>
      <c r="J2716" s="15">
        <v>0</v>
      </c>
      <c r="K2716" s="12" t="str">
        <f>HYPERLINK("http://twitter.com/download/iphone","Twitter for iPhone")</f>
        <v>Twitter for iPhone</v>
      </c>
      <c r="L2716" s="16">
        <v>10</v>
      </c>
      <c r="M2716" s="16">
        <v>55</v>
      </c>
      <c r="N2716" s="16">
        <v>0</v>
      </c>
      <c r="O2716" s="17"/>
      <c r="P2716" s="18">
        <v>42235.771481481483</v>
      </c>
      <c r="Q2716" s="7" t="s">
        <v>200</v>
      </c>
      <c r="R2716" s="7"/>
      <c r="S2716" s="7"/>
      <c r="T2716" s="8"/>
      <c r="U2716" s="19" t="str">
        <f>HYPERLINK("https://pbs.twimg.com/profile_images/639086310741934084/zPiEwIMf.png","View")</f>
        <v>View</v>
      </c>
      <c r="V2716" s="8"/>
      <c r="W2716" s="8"/>
      <c r="X2716" s="8"/>
      <c r="Y2716" s="8"/>
      <c r="Z2716" s="8"/>
    </row>
    <row r="2717" spans="1:26" ht="12.75">
      <c r="A2717" s="11">
        <v>43747.195162037038</v>
      </c>
      <c r="B2717" s="12" t="str">
        <f>HYPERLINK("https://twitter.com/selcukucles","@selcukucles")</f>
        <v>@selcukucles</v>
      </c>
      <c r="C2717" s="7" t="s">
        <v>16375</v>
      </c>
      <c r="D2717" s="7" t="s">
        <v>16376</v>
      </c>
      <c r="E2717" s="12" t="str">
        <f>HYPERLINK("https://twitter.com/selcukucles/status/1181897355223810049","1181897355223810049")</f>
        <v>1181897355223810049</v>
      </c>
      <c r="F2717" s="8"/>
      <c r="G2717" s="15"/>
      <c r="H2717" s="8"/>
      <c r="I2717" s="15">
        <v>0</v>
      </c>
      <c r="J2717" s="15">
        <v>0</v>
      </c>
      <c r="K2717" s="12" t="str">
        <f>HYPERLINK("http://twitter.com/download/android","Twitter for Android")</f>
        <v>Twitter for Android</v>
      </c>
      <c r="L2717" s="16">
        <v>11</v>
      </c>
      <c r="M2717" s="16">
        <v>22</v>
      </c>
      <c r="N2717" s="16">
        <v>0</v>
      </c>
      <c r="O2717" s="17"/>
      <c r="P2717" s="18">
        <v>43730.00644675926</v>
      </c>
      <c r="Q2717" s="7" t="s">
        <v>12482</v>
      </c>
      <c r="R2717" s="7" t="s">
        <v>16377</v>
      </c>
      <c r="S2717" s="14" t="s">
        <v>16378</v>
      </c>
      <c r="T2717" s="8"/>
      <c r="U2717" s="19" t="str">
        <f>HYPERLINK("https://pbs.twimg.com/profile_images/1175669067971268608/ZsDnr7hP.jpg","View")</f>
        <v>View</v>
      </c>
      <c r="V2717" s="8"/>
      <c r="W2717" s="8"/>
      <c r="X2717" s="8"/>
      <c r="Y2717" s="8"/>
      <c r="Z2717" s="8"/>
    </row>
    <row r="2718" spans="1:26" ht="12.75">
      <c r="A2718" s="11">
        <v>43747.195150462961</v>
      </c>
      <c r="B2718" s="12" t="str">
        <f>HYPERLINK("https://twitter.com/AnkaraDavutcan","@AnkaraDavutcan")</f>
        <v>@AnkaraDavutcan</v>
      </c>
      <c r="C2718" s="7" t="s">
        <v>16379</v>
      </c>
      <c r="D2718" s="7" t="s">
        <v>16380</v>
      </c>
      <c r="E2718" s="12" t="str">
        <f>HYPERLINK("https://twitter.com/AnkaraDavutcan/status/1181897351520231424","1181897351520231424")</f>
        <v>1181897351520231424</v>
      </c>
      <c r="F2718" s="8"/>
      <c r="G2718" s="7"/>
      <c r="H2718" s="8"/>
      <c r="I2718" s="15">
        <v>0</v>
      </c>
      <c r="J2718" s="15">
        <v>0</v>
      </c>
      <c r="K2718" s="12" t="str">
        <f>HYPERLINK("http://twitter.com","Twitter Web Client")</f>
        <v>Twitter Web Client</v>
      </c>
      <c r="L2718" s="16">
        <v>2</v>
      </c>
      <c r="M2718" s="16">
        <v>0</v>
      </c>
      <c r="N2718" s="16">
        <v>0</v>
      </c>
      <c r="O2718" s="17"/>
      <c r="P2718" s="18">
        <v>43669.847442129627</v>
      </c>
      <c r="Q2718" s="7" t="s">
        <v>16381</v>
      </c>
      <c r="R2718" s="7" t="s">
        <v>16382</v>
      </c>
      <c r="S2718" s="15"/>
      <c r="T2718" s="8"/>
      <c r="U2718" s="19" t="str">
        <f>HYPERLINK("https://pbs.twimg.com/profile_images/1154293938049732609/EhlY0wMn.jpg","View")</f>
        <v>View</v>
      </c>
      <c r="V2718" s="8"/>
      <c r="W2718" s="8"/>
      <c r="X2718" s="8"/>
      <c r="Y2718" s="8"/>
      <c r="Z2718" s="8"/>
    </row>
    <row r="2719" spans="1:26" ht="12.75">
      <c r="A2719" s="11">
        <v>43747.195069444446</v>
      </c>
      <c r="B2719" s="12" t="str">
        <f>HYPERLINK("https://twitter.com/biyikliLaik","@biyikliLaik")</f>
        <v>@biyikliLaik</v>
      </c>
      <c r="C2719" s="7" t="s">
        <v>16383</v>
      </c>
      <c r="D2719" s="7" t="s">
        <v>16384</v>
      </c>
      <c r="E2719" s="12" t="str">
        <f>HYPERLINK("https://twitter.com/biyikliLaik/status/1181897320562081794","1181897320562081794")</f>
        <v>1181897320562081794</v>
      </c>
      <c r="F2719" s="8"/>
      <c r="G2719" s="14" t="s">
        <v>16385</v>
      </c>
      <c r="H2719" s="8"/>
      <c r="I2719" s="15">
        <v>0</v>
      </c>
      <c r="J2719" s="15">
        <v>0</v>
      </c>
      <c r="K2719" s="12" t="str">
        <f>HYPERLINK("http://twitter.com/download/iphone","Twitter for iPhone")</f>
        <v>Twitter for iPhone</v>
      </c>
      <c r="L2719" s="16">
        <v>324</v>
      </c>
      <c r="M2719" s="16">
        <v>440</v>
      </c>
      <c r="N2719" s="16">
        <v>0</v>
      </c>
      <c r="O2719" s="17"/>
      <c r="P2719" s="18">
        <v>43578.440555555557</v>
      </c>
      <c r="Q2719" s="7"/>
      <c r="R2719" s="7" t="s">
        <v>16386</v>
      </c>
      <c r="S2719" s="7"/>
      <c r="T2719" s="8"/>
      <c r="U2719" s="19" t="str">
        <f>HYPERLINK("https://pbs.twimg.com/profile_images/1125845728453103617/p_UPfKWw.jpg","View")</f>
        <v>View</v>
      </c>
      <c r="V2719" s="8"/>
      <c r="W2719" s="8"/>
      <c r="X2719" s="8"/>
      <c r="Y2719" s="8"/>
      <c r="Z2719" s="8"/>
    </row>
    <row r="2720" spans="1:26" ht="12.75">
      <c r="A2720" s="11">
        <v>43747.195023148146</v>
      </c>
      <c r="B2720" s="12" t="str">
        <f>HYPERLINK("https://twitter.com/nuri6294","@nuri6294")</f>
        <v>@nuri6294</v>
      </c>
      <c r="C2720" s="7" t="s">
        <v>16387</v>
      </c>
      <c r="D2720" s="7" t="s">
        <v>16388</v>
      </c>
      <c r="E2720" s="12" t="str">
        <f>HYPERLINK("https://twitter.com/nuri6294/status/1181897304577585152","1181897304577585152")</f>
        <v>1181897304577585152</v>
      </c>
      <c r="F2720" s="15"/>
      <c r="G2720" s="14" t="s">
        <v>16389</v>
      </c>
      <c r="H2720" s="8"/>
      <c r="I2720" s="15">
        <v>0</v>
      </c>
      <c r="J2720" s="15">
        <v>0</v>
      </c>
      <c r="K2720" s="12" t="str">
        <f>HYPERLINK("http://twitter.com/download/android","Twitter for Android")</f>
        <v>Twitter for Android</v>
      </c>
      <c r="L2720" s="16">
        <v>17</v>
      </c>
      <c r="M2720" s="16">
        <v>48</v>
      </c>
      <c r="N2720" s="16">
        <v>0</v>
      </c>
      <c r="O2720" s="17"/>
      <c r="P2720" s="18">
        <v>40780.356296296297</v>
      </c>
      <c r="Q2720" s="7"/>
      <c r="R2720" s="7"/>
      <c r="S2720" s="7"/>
      <c r="T2720" s="8"/>
      <c r="U2720" s="19" t="str">
        <f>HYPERLINK("https://pbs.twimg.com/profile_images/739408053179711489/B4E-p_8N.jpg","View")</f>
        <v>View</v>
      </c>
      <c r="V2720" s="8"/>
      <c r="W2720" s="8"/>
      <c r="X2720" s="8"/>
      <c r="Y2720" s="8"/>
      <c r="Z2720" s="8"/>
    </row>
    <row r="2721" spans="1:26" ht="12.75">
      <c r="A2721" s="11">
        <v>43747.194965277777</v>
      </c>
      <c r="B2721" s="12" t="str">
        <f>HYPERLINK("https://twitter.com/ErdalMUSLUK","@ErdalMUSLUK")</f>
        <v>@ErdalMUSLUK</v>
      </c>
      <c r="C2721" s="7" t="s">
        <v>16390</v>
      </c>
      <c r="D2721" s="7" t="s">
        <v>16391</v>
      </c>
      <c r="E2721" s="12" t="str">
        <f>HYPERLINK("https://twitter.com/ErdalMUSLUK/status/1181897282314223616","1181897282314223616")</f>
        <v>1181897282314223616</v>
      </c>
      <c r="F2721" s="8"/>
      <c r="G2721" s="14" t="s">
        <v>16392</v>
      </c>
      <c r="H2721" s="8"/>
      <c r="I2721" s="15">
        <v>0</v>
      </c>
      <c r="J2721" s="15">
        <v>1</v>
      </c>
      <c r="K2721" s="12" t="str">
        <f>HYPERLINK("http://twitter.com/download/android","Twitter for Android")</f>
        <v>Twitter for Android</v>
      </c>
      <c r="L2721" s="16">
        <v>0</v>
      </c>
      <c r="M2721" s="16">
        <v>11</v>
      </c>
      <c r="N2721" s="16">
        <v>0</v>
      </c>
      <c r="O2721" s="17"/>
      <c r="P2721" s="18">
        <v>41117.105046296296</v>
      </c>
      <c r="Q2721" s="7"/>
      <c r="R2721" s="7"/>
      <c r="S2721" s="7"/>
      <c r="T2721" s="8"/>
      <c r="U2721" s="19" t="str">
        <f>HYPERLINK("https://pbs.twimg.com/profile_images/2437826999/16jqldrhamia8fbgm18d.jpeg","View")</f>
        <v>View</v>
      </c>
      <c r="V2721" s="8"/>
      <c r="W2721" s="8"/>
      <c r="X2721" s="8"/>
      <c r="Y2721" s="8"/>
      <c r="Z2721" s="8"/>
    </row>
    <row r="2722" spans="1:26" ht="12.75">
      <c r="A2722" s="11">
        <v>43747.194849537038</v>
      </c>
      <c r="B2722" s="12" t="str">
        <f>HYPERLINK("https://twitter.com/AslanBurhan2","@AslanBurhan2")</f>
        <v>@AslanBurhan2</v>
      </c>
      <c r="C2722" s="7" t="s">
        <v>16393</v>
      </c>
      <c r="D2722" s="7" t="s">
        <v>16394</v>
      </c>
      <c r="E2722" s="12" t="str">
        <f>HYPERLINK("https://twitter.com/AslanBurhan2/status/1181897242585833474","1181897242585833474")</f>
        <v>1181897242585833474</v>
      </c>
      <c r="F2722" s="15"/>
      <c r="G2722" s="14" t="s">
        <v>16395</v>
      </c>
      <c r="H2722" s="8"/>
      <c r="I2722" s="15">
        <v>0</v>
      </c>
      <c r="J2722" s="15">
        <v>1</v>
      </c>
      <c r="K2722" s="12" t="str">
        <f>HYPERLINK("http://twitter.com/download/android","Twitter for Android")</f>
        <v>Twitter for Android</v>
      </c>
      <c r="L2722" s="16">
        <v>9</v>
      </c>
      <c r="M2722" s="16">
        <v>26</v>
      </c>
      <c r="N2722" s="16">
        <v>0</v>
      </c>
      <c r="O2722" s="17"/>
      <c r="P2722" s="18">
        <v>43724.292766203704</v>
      </c>
      <c r="Q2722" s="7" t="s">
        <v>1343</v>
      </c>
      <c r="R2722" s="7" t="s">
        <v>16396</v>
      </c>
      <c r="S2722" s="15"/>
      <c r="T2722" s="8"/>
      <c r="U2722" s="19" t="str">
        <f>HYPERLINK("https://pbs.twimg.com/profile_images/1174635552072708097/m6wbYOmL.jpg","View")</f>
        <v>View</v>
      </c>
      <c r="V2722" s="8"/>
      <c r="W2722" s="8"/>
      <c r="X2722" s="8"/>
      <c r="Y2722" s="8"/>
      <c r="Z2722" s="8"/>
    </row>
    <row r="2723" spans="1:26" ht="12.75">
      <c r="A2723" s="11">
        <v>43747.194745370369</v>
      </c>
      <c r="B2723" s="12" t="str">
        <f>HYPERLINK("https://twitter.com/emreonuraykut","@emreonuraykut")</f>
        <v>@emreonuraykut</v>
      </c>
      <c r="C2723" s="13" t="s">
        <v>16397</v>
      </c>
      <c r="D2723" s="7" t="s">
        <v>16398</v>
      </c>
      <c r="E2723" s="12" t="str">
        <f>HYPERLINK("https://twitter.com/emreonuraykut/status/1181897203582930945","1181897203582930945")</f>
        <v>1181897203582930945</v>
      </c>
      <c r="F2723" s="8"/>
      <c r="G2723" s="7"/>
      <c r="H2723" s="8"/>
      <c r="I2723" s="15">
        <v>0</v>
      </c>
      <c r="J2723" s="15">
        <v>0</v>
      </c>
      <c r="K2723" s="12" t="str">
        <f>HYPERLINK("http://twitter.com/download/iphone","Twitter for iPhone")</f>
        <v>Twitter for iPhone</v>
      </c>
      <c r="L2723" s="16">
        <v>61</v>
      </c>
      <c r="M2723" s="16">
        <v>107</v>
      </c>
      <c r="N2723" s="16">
        <v>0</v>
      </c>
      <c r="O2723" s="17"/>
      <c r="P2723" s="18">
        <v>42423.597962962958</v>
      </c>
      <c r="Q2723" s="7" t="s">
        <v>16399</v>
      </c>
      <c r="R2723" s="7" t="s">
        <v>16400</v>
      </c>
      <c r="S2723" s="15"/>
      <c r="T2723" s="8"/>
      <c r="U2723" s="19" t="str">
        <f>HYPERLINK("https://pbs.twimg.com/profile_images/1158482815006248962/8DUJ-aw-.jpg","View")</f>
        <v>View</v>
      </c>
      <c r="V2723" s="8"/>
      <c r="W2723" s="8"/>
      <c r="X2723" s="8"/>
      <c r="Y2723" s="8"/>
      <c r="Z2723" s="8"/>
    </row>
    <row r="2724" spans="1:26" ht="12.75">
      <c r="A2724" s="11">
        <v>43747.194710648153</v>
      </c>
      <c r="B2724" s="12" t="str">
        <f>HYPERLINK("https://twitter.com/4hmet_Arsan","@4hmet_Arsan")</f>
        <v>@4hmet_Arsan</v>
      </c>
      <c r="C2724" s="13" t="s">
        <v>16401</v>
      </c>
      <c r="D2724" s="7" t="s">
        <v>16402</v>
      </c>
      <c r="E2724" s="12" t="str">
        <f>HYPERLINK("https://twitter.com/4hmet_Arsan/status/1181897189846597632","1181897189846597632")</f>
        <v>1181897189846597632</v>
      </c>
      <c r="F2724" s="15"/>
      <c r="G2724" s="14" t="s">
        <v>16403</v>
      </c>
      <c r="H2724" s="8"/>
      <c r="I2724" s="15">
        <v>0</v>
      </c>
      <c r="J2724" s="15">
        <v>0</v>
      </c>
      <c r="K2724" s="12" t="str">
        <f>HYPERLINK("http://twitter.com/download/android","Twitter for Android")</f>
        <v>Twitter for Android</v>
      </c>
      <c r="L2724" s="16">
        <v>1882</v>
      </c>
      <c r="M2724" s="16">
        <v>1876</v>
      </c>
      <c r="N2724" s="16">
        <v>0</v>
      </c>
      <c r="O2724" s="17"/>
      <c r="P2724" s="18">
        <v>43405.177060185189</v>
      </c>
      <c r="Q2724" s="7"/>
      <c r="R2724" s="13"/>
      <c r="S2724" s="7"/>
      <c r="T2724" s="8"/>
      <c r="U2724" s="19" t="str">
        <f>HYPERLINK("https://pbs.twimg.com/profile_images/1179103721235587074/zw62fHPg.jpg","View")</f>
        <v>View</v>
      </c>
      <c r="V2724" s="8"/>
      <c r="W2724" s="8"/>
      <c r="X2724" s="8"/>
      <c r="Y2724" s="8"/>
      <c r="Z2724" s="8"/>
    </row>
    <row r="2725" spans="1:26" ht="12.75">
      <c r="A2725" s="11">
        <v>43747.19467592593</v>
      </c>
      <c r="B2725" s="12" t="str">
        <f>HYPERLINK("https://twitter.com/54yet","@54yet")</f>
        <v>@54yet</v>
      </c>
      <c r="C2725" s="7" t="s">
        <v>16404</v>
      </c>
      <c r="D2725" s="7" t="s">
        <v>16405</v>
      </c>
      <c r="E2725" s="12" t="str">
        <f>HYPERLINK("https://twitter.com/54yet/status/1181897177423069184","1181897177423069184")</f>
        <v>1181897177423069184</v>
      </c>
      <c r="F2725" s="15"/>
      <c r="G2725" s="15"/>
      <c r="H2725" s="8"/>
      <c r="I2725" s="15">
        <v>0</v>
      </c>
      <c r="J2725" s="15">
        <v>1</v>
      </c>
      <c r="K2725" s="12" t="str">
        <f>HYPERLINK("http://twitter.com/download/android","Twitter for Android")</f>
        <v>Twitter for Android</v>
      </c>
      <c r="L2725" s="16">
        <v>199</v>
      </c>
      <c r="M2725" s="16">
        <v>164</v>
      </c>
      <c r="N2725" s="16">
        <v>0</v>
      </c>
      <c r="O2725" s="17"/>
      <c r="P2725" s="18">
        <v>42885.685810185183</v>
      </c>
      <c r="Q2725" s="7"/>
      <c r="R2725" s="7" t="s">
        <v>16406</v>
      </c>
      <c r="S2725" s="7"/>
      <c r="T2725" s="8"/>
      <c r="U2725" s="19" t="str">
        <f>HYPERLINK("https://pbs.twimg.com/profile_images/1179805682700374016/wbvzJ_3f.jpg","View")</f>
        <v>View</v>
      </c>
      <c r="V2725" s="8"/>
      <c r="W2725" s="8"/>
      <c r="X2725" s="8"/>
      <c r="Y2725" s="8"/>
      <c r="Z2725" s="8"/>
    </row>
    <row r="2726" spans="1:26" ht="12.75">
      <c r="A2726" s="11">
        <v>43747.194409722222</v>
      </c>
      <c r="B2726" s="12" t="str">
        <f>HYPERLINK("https://twitter.com/Aleyna96983618","@Aleyna96983618")</f>
        <v>@Aleyna96983618</v>
      </c>
      <c r="C2726" s="7" t="s">
        <v>16407</v>
      </c>
      <c r="D2726" s="7" t="s">
        <v>16408</v>
      </c>
      <c r="E2726" s="12" t="str">
        <f>HYPERLINK("https://twitter.com/Aleyna96983618/status/1181897081843277824","1181897081843277824")</f>
        <v>1181897081843277824</v>
      </c>
      <c r="F2726" s="14" t="s">
        <v>16409</v>
      </c>
      <c r="G2726" s="15"/>
      <c r="H2726" s="8"/>
      <c r="I2726" s="15">
        <v>0</v>
      </c>
      <c r="J2726" s="15">
        <v>1</v>
      </c>
      <c r="K2726" s="12" t="str">
        <f>HYPERLINK("http://twitter.com/download/android","Twitter for Android")</f>
        <v>Twitter for Android</v>
      </c>
      <c r="L2726" s="16">
        <v>1</v>
      </c>
      <c r="M2726" s="16">
        <v>13</v>
      </c>
      <c r="N2726" s="16">
        <v>0</v>
      </c>
      <c r="O2726" s="17"/>
      <c r="P2726" s="18">
        <v>43712.665208333332</v>
      </c>
      <c r="Q2726" s="7"/>
      <c r="R2726" s="7"/>
      <c r="S2726" s="7"/>
      <c r="T2726" s="8"/>
      <c r="U2726" s="19" t="str">
        <f>HYPERLINK("https://pbs.twimg.com/profile_images/1181644563145986050/ExNWp8A2.jpg","View")</f>
        <v>View</v>
      </c>
      <c r="V2726" s="8"/>
      <c r="W2726" s="8"/>
      <c r="X2726" s="8"/>
      <c r="Y2726" s="8"/>
      <c r="Z2726" s="8"/>
    </row>
    <row r="2727" spans="1:26" ht="12.75">
      <c r="A2727" s="11">
        <v>43747.194224537037</v>
      </c>
      <c r="B2727" s="12" t="str">
        <f>HYPERLINK("https://twitter.com/hanfendizade","@hanfendizade")</f>
        <v>@hanfendizade</v>
      </c>
      <c r="C2727" s="7" t="s">
        <v>16410</v>
      </c>
      <c r="D2727" s="7" t="s">
        <v>16411</v>
      </c>
      <c r="E2727" s="12" t="str">
        <f>HYPERLINK("https://twitter.com/hanfendizade/status/1181897013295747072","1181897013295747072")</f>
        <v>1181897013295747072</v>
      </c>
      <c r="F2727" s="8"/>
      <c r="G2727" s="14" t="s">
        <v>16412</v>
      </c>
      <c r="H2727" s="8"/>
      <c r="I2727" s="15">
        <v>0</v>
      </c>
      <c r="J2727" s="15">
        <v>0</v>
      </c>
      <c r="K2727" s="12" t="str">
        <f>HYPERLINK("http://twitter.com/download/android","Twitter for Android")</f>
        <v>Twitter for Android</v>
      </c>
      <c r="L2727" s="16">
        <v>207</v>
      </c>
      <c r="M2727" s="16">
        <v>570</v>
      </c>
      <c r="N2727" s="16">
        <v>0</v>
      </c>
      <c r="O2727" s="17"/>
      <c r="P2727" s="18">
        <v>42973.470613425925</v>
      </c>
      <c r="Q2727" s="7" t="s">
        <v>3321</v>
      </c>
      <c r="R2727" s="7" t="s">
        <v>16413</v>
      </c>
      <c r="S2727" s="7"/>
      <c r="T2727" s="8"/>
      <c r="U2727" s="19" t="str">
        <f>HYPERLINK("https://pbs.twimg.com/profile_images/1181890300744216581/OC4mSFpb.jpg","View")</f>
        <v>View</v>
      </c>
      <c r="V2727" s="8"/>
      <c r="W2727" s="8"/>
      <c r="X2727" s="8"/>
      <c r="Y2727" s="8"/>
      <c r="Z2727" s="8"/>
    </row>
    <row r="2728" spans="1:26" ht="12.75">
      <c r="A2728" s="11">
        <v>43747.193912037037</v>
      </c>
      <c r="B2728" s="12" t="str">
        <f>HYPERLINK("https://twitter.com/mooliikee","@mooliikee")</f>
        <v>@mooliikee</v>
      </c>
      <c r="C2728" s="7" t="s">
        <v>2280</v>
      </c>
      <c r="D2728" s="7" t="s">
        <v>16414</v>
      </c>
      <c r="E2728" s="12" t="str">
        <f>HYPERLINK("https://twitter.com/mooliikee/status/1181896901886713856","1181896901886713856")</f>
        <v>1181896901886713856</v>
      </c>
      <c r="F2728" s="8"/>
      <c r="G2728" s="15"/>
      <c r="H2728" s="8"/>
      <c r="I2728" s="15">
        <v>0</v>
      </c>
      <c r="J2728" s="15">
        <v>5</v>
      </c>
      <c r="K2728" s="12" t="str">
        <f>HYPERLINK("http://twitter.com/download/android","Twitter for Android")</f>
        <v>Twitter for Android</v>
      </c>
      <c r="L2728" s="16">
        <v>553</v>
      </c>
      <c r="M2728" s="16">
        <v>406</v>
      </c>
      <c r="N2728" s="16">
        <v>0</v>
      </c>
      <c r="O2728" s="17"/>
      <c r="P2728" s="18">
        <v>43281.202372685184</v>
      </c>
      <c r="Q2728" s="7" t="s">
        <v>2201</v>
      </c>
      <c r="R2728" s="7" t="s">
        <v>16415</v>
      </c>
      <c r="S2728" s="7"/>
      <c r="T2728" s="8"/>
      <c r="U2728" s="19" t="str">
        <f>HYPERLINK("https://pbs.twimg.com/profile_images/1156300777671073792/htN86RKv.jpg","View")</f>
        <v>View</v>
      </c>
      <c r="V2728" s="8"/>
      <c r="W2728" s="8"/>
      <c r="X2728" s="8"/>
      <c r="Y2728" s="8"/>
      <c r="Z2728" s="8"/>
    </row>
    <row r="2729" spans="1:26" ht="12.75">
      <c r="A2729" s="11">
        <v>43747.193738425922</v>
      </c>
      <c r="B2729" s="12" t="str">
        <f>HYPERLINK("https://twitter.com/61_Trbzn_34","@61_Trbzn_34")</f>
        <v>@61_Trbzn_34</v>
      </c>
      <c r="C2729" s="7" t="s">
        <v>16416</v>
      </c>
      <c r="D2729" s="7" t="s">
        <v>16417</v>
      </c>
      <c r="E2729" s="12" t="str">
        <f>HYPERLINK("https://twitter.com/61_Trbzn_34/status/1181896839341182976","1181896839341182976")</f>
        <v>1181896839341182976</v>
      </c>
      <c r="F2729" s="8"/>
      <c r="G2729" s="14" t="s">
        <v>16418</v>
      </c>
      <c r="H2729" s="8"/>
      <c r="I2729" s="15">
        <v>0</v>
      </c>
      <c r="J2729" s="15">
        <v>3</v>
      </c>
      <c r="K2729" s="12" t="str">
        <f>HYPERLINK("http://twitter.com/download/android","Twitter for Android")</f>
        <v>Twitter for Android</v>
      </c>
      <c r="L2729" s="16">
        <v>5</v>
      </c>
      <c r="M2729" s="16">
        <v>105</v>
      </c>
      <c r="N2729" s="16">
        <v>0</v>
      </c>
      <c r="O2729" s="17"/>
      <c r="P2729" s="18">
        <v>43745.232256944444</v>
      </c>
      <c r="Q2729" s="7"/>
      <c r="R2729" s="7"/>
      <c r="S2729" s="7"/>
      <c r="T2729" s="8"/>
      <c r="U2729" s="19" t="str">
        <f>HYPERLINK("https://pbs.twimg.com/profile_images/1181186314143703043/0XxCIyUL.jpg","View")</f>
        <v>View</v>
      </c>
      <c r="V2729" s="8"/>
      <c r="W2729" s="8"/>
      <c r="X2729" s="8"/>
      <c r="Y2729" s="8"/>
      <c r="Z2729" s="8"/>
    </row>
    <row r="2730" spans="1:26" ht="12.75">
      <c r="A2730" s="11">
        <v>43747.193622685183</v>
      </c>
      <c r="B2730" s="12" t="str">
        <f>HYPERLINK("https://twitter.com/harunsayn2","@harunsayn2")</f>
        <v>@harunsayn2</v>
      </c>
      <c r="C2730" s="7" t="s">
        <v>10265</v>
      </c>
      <c r="D2730" s="7" t="s">
        <v>16419</v>
      </c>
      <c r="E2730" s="12" t="str">
        <f>HYPERLINK("https://twitter.com/harunsayn2/status/1181896795204521984","1181896795204521984")</f>
        <v>1181896795204521984</v>
      </c>
      <c r="F2730" s="8"/>
      <c r="G2730" s="7"/>
      <c r="H2730" s="8"/>
      <c r="I2730" s="15">
        <v>0</v>
      </c>
      <c r="J2730" s="15">
        <v>0</v>
      </c>
      <c r="K2730" s="12" t="str">
        <f>HYPERLINK("http://twitter.com/download/android","Twitter for Android")</f>
        <v>Twitter for Android</v>
      </c>
      <c r="L2730" s="16">
        <v>307</v>
      </c>
      <c r="M2730" s="16">
        <v>402</v>
      </c>
      <c r="N2730" s="16">
        <v>0</v>
      </c>
      <c r="O2730" s="17"/>
      <c r="P2730" s="18">
        <v>40922.440057870372</v>
      </c>
      <c r="Q2730" s="7" t="s">
        <v>4645</v>
      </c>
      <c r="R2730" s="7" t="s">
        <v>16420</v>
      </c>
      <c r="S2730" s="7"/>
      <c r="T2730" s="8"/>
      <c r="U2730" s="19" t="str">
        <f>HYPERLINK("https://pbs.twimg.com/profile_images/1178233078088638466/wyZbWbVi.jpg","View")</f>
        <v>View</v>
      </c>
      <c r="V2730" s="8"/>
      <c r="W2730" s="8"/>
      <c r="X2730" s="8"/>
      <c r="Y2730" s="8"/>
      <c r="Z2730" s="8"/>
    </row>
    <row r="2731" spans="1:26" ht="12.75">
      <c r="A2731" s="11">
        <v>43747.193576388891</v>
      </c>
      <c r="B2731" s="12" t="str">
        <f>HYPERLINK("https://twitter.com/ObjektifAdam5","@ObjektifAdam5")</f>
        <v>@ObjektifAdam5</v>
      </c>
      <c r="C2731" s="7" t="s">
        <v>16421</v>
      </c>
      <c r="D2731" s="7" t="s">
        <v>16422</v>
      </c>
      <c r="E2731" s="12" t="str">
        <f>HYPERLINK("https://twitter.com/ObjektifAdam5/status/1181896778343419905","1181896778343419905")</f>
        <v>1181896778343419905</v>
      </c>
      <c r="F2731" s="8"/>
      <c r="G2731" s="7"/>
      <c r="H2731" s="8"/>
      <c r="I2731" s="15">
        <v>0</v>
      </c>
      <c r="J2731" s="15">
        <v>0</v>
      </c>
      <c r="K2731" s="12" t="str">
        <f>HYPERLINK("https://mobile.twitter.com","Twitter Web App")</f>
        <v>Twitter Web App</v>
      </c>
      <c r="L2731" s="16">
        <v>10</v>
      </c>
      <c r="M2731" s="16">
        <v>73</v>
      </c>
      <c r="N2731" s="16">
        <v>0</v>
      </c>
      <c r="O2731" s="17"/>
      <c r="P2731" s="18">
        <v>43666.606388888889</v>
      </c>
      <c r="Q2731" s="7"/>
      <c r="R2731" s="7" t="s">
        <v>16423</v>
      </c>
      <c r="S2731" s="15"/>
      <c r="T2731" s="8"/>
      <c r="U2731" s="19" t="str">
        <f>HYPERLINK("https://pbs.twimg.com/profile_images/1152701942449299456/vY1Sx19g.jpg","View")</f>
        <v>View</v>
      </c>
      <c r="V2731" s="8"/>
      <c r="W2731" s="8"/>
      <c r="X2731" s="8"/>
      <c r="Y2731" s="8"/>
      <c r="Z2731" s="8"/>
    </row>
    <row r="2732" spans="1:26" ht="12.75">
      <c r="A2732" s="11">
        <v>43747.193460648152</v>
      </c>
      <c r="B2732" s="12" t="str">
        <f>HYPERLINK("https://twitter.com/mehmedcavdar","@mehmedcavdar")</f>
        <v>@mehmedcavdar</v>
      </c>
      <c r="C2732" s="7" t="s">
        <v>16424</v>
      </c>
      <c r="D2732" s="7" t="s">
        <v>16425</v>
      </c>
      <c r="E2732" s="12" t="str">
        <f>HYPERLINK("https://twitter.com/mehmedcavdar/status/1181896736010313728","1181896736010313728")</f>
        <v>1181896736010313728</v>
      </c>
      <c r="F2732" s="8"/>
      <c r="G2732" s="15"/>
      <c r="H2732" s="8"/>
      <c r="I2732" s="15">
        <v>0</v>
      </c>
      <c r="J2732" s="15">
        <v>0</v>
      </c>
      <c r="K2732" s="12" t="str">
        <f>HYPERLINK("http://twitter.com/download/android","Twitter for Android")</f>
        <v>Twitter for Android</v>
      </c>
      <c r="L2732" s="16">
        <v>59</v>
      </c>
      <c r="M2732" s="16">
        <v>162</v>
      </c>
      <c r="N2732" s="16">
        <v>0</v>
      </c>
      <c r="O2732" s="17"/>
      <c r="P2732" s="18">
        <v>42337.449444444443</v>
      </c>
      <c r="Q2732" s="7"/>
      <c r="R2732" s="7"/>
      <c r="S2732" s="7"/>
      <c r="T2732" s="8"/>
      <c r="U2732" s="19" t="str">
        <f>HYPERLINK("https://pbs.twimg.com/profile_images/1151771502318116864/oTb_laEg.jpg","View")</f>
        <v>View</v>
      </c>
      <c r="V2732" s="8"/>
      <c r="W2732" s="8"/>
      <c r="X2732" s="8"/>
      <c r="Y2732" s="8"/>
      <c r="Z2732" s="8"/>
    </row>
    <row r="2733" spans="1:26" ht="12.75">
      <c r="A2733" s="11">
        <v>43747.193449074075</v>
      </c>
      <c r="B2733" s="12" t="str">
        <f>HYPERLINK("https://twitter.com/mrtclskn68","@mrtclskn68")</f>
        <v>@mrtclskn68</v>
      </c>
      <c r="C2733" s="7" t="s">
        <v>16426</v>
      </c>
      <c r="D2733" s="7" t="s">
        <v>16427</v>
      </c>
      <c r="E2733" s="12" t="str">
        <f>HYPERLINK("https://twitter.com/mrtclskn68/status/1181896733757988866","1181896733757988866")</f>
        <v>1181896733757988866</v>
      </c>
      <c r="F2733" s="8"/>
      <c r="G2733" s="15"/>
      <c r="H2733" s="8"/>
      <c r="I2733" s="15">
        <v>0</v>
      </c>
      <c r="J2733" s="15">
        <v>0</v>
      </c>
      <c r="K2733" s="12" t="str">
        <f>HYPERLINK("http://twitter.com/download/android","Twitter for Android")</f>
        <v>Twitter for Android</v>
      </c>
      <c r="L2733" s="16">
        <v>6</v>
      </c>
      <c r="M2733" s="16">
        <v>34</v>
      </c>
      <c r="N2733" s="16">
        <v>0</v>
      </c>
      <c r="O2733" s="17"/>
      <c r="P2733" s="18">
        <v>41442.248668981483</v>
      </c>
      <c r="Q2733" s="7"/>
      <c r="R2733" s="7"/>
      <c r="S2733" s="7"/>
      <c r="T2733" s="8"/>
      <c r="U2733" s="19" t="str">
        <f>HYPERLINK("https://pbs.twimg.com/profile_images/378800000005942965/9aba173214415fe2a9004a531c4c50e0.jpeg","View")</f>
        <v>View</v>
      </c>
      <c r="V2733" s="8"/>
      <c r="W2733" s="8"/>
      <c r="X2733" s="8"/>
      <c r="Y2733" s="8"/>
      <c r="Z2733" s="8"/>
    </row>
    <row r="2734" spans="1:26" ht="12.75">
      <c r="A2734" s="11">
        <v>43747.193402777775</v>
      </c>
      <c r="B2734" s="12" t="str">
        <f>HYPERLINK("https://twitter.com/Makuszewskii","@Makuszewskii")</f>
        <v>@Makuszewskii</v>
      </c>
      <c r="C2734" s="7" t="s">
        <v>16428</v>
      </c>
      <c r="D2734" s="7" t="s">
        <v>16429</v>
      </c>
      <c r="E2734" s="12" t="str">
        <f>HYPERLINK("https://twitter.com/Makuszewskii/status/1181896715877650432","1181896715877650432")</f>
        <v>1181896715877650432</v>
      </c>
      <c r="F2734" s="8"/>
      <c r="G2734" s="14" t="s">
        <v>16430</v>
      </c>
      <c r="H2734" s="8"/>
      <c r="I2734" s="15">
        <v>0</v>
      </c>
      <c r="J2734" s="15">
        <v>0</v>
      </c>
      <c r="K2734" s="12" t="str">
        <f>HYPERLINK("http://twitter.com/download/iphone","Twitter for iPhone")</f>
        <v>Twitter for iPhone</v>
      </c>
      <c r="L2734" s="16">
        <v>9</v>
      </c>
      <c r="M2734" s="16">
        <v>18</v>
      </c>
      <c r="N2734" s="16">
        <v>0</v>
      </c>
      <c r="O2734" s="17"/>
      <c r="P2734" s="18">
        <v>43414.433923611112</v>
      </c>
      <c r="Q2734" s="7" t="s">
        <v>200</v>
      </c>
      <c r="R2734" s="7"/>
      <c r="S2734" s="7"/>
      <c r="T2734" s="8"/>
      <c r="U2734" s="19" t="str">
        <f>HYPERLINK("https://pbs.twimg.com/profile_images/1169706156836687872/bcIQdPR8.jpg","View")</f>
        <v>View</v>
      </c>
      <c r="V2734" s="8"/>
      <c r="W2734" s="8"/>
      <c r="X2734" s="8"/>
      <c r="Y2734" s="8"/>
      <c r="Z2734" s="8"/>
    </row>
    <row r="2735" spans="1:26" ht="12.75">
      <c r="A2735" s="11">
        <v>43747.193391203706</v>
      </c>
      <c r="B2735" s="12" t="str">
        <f>HYPERLINK("https://twitter.com/ObuzRamazan","@ObuzRamazan")</f>
        <v>@ObuzRamazan</v>
      </c>
      <c r="C2735" s="7" t="s">
        <v>16431</v>
      </c>
      <c r="D2735" s="7" t="s">
        <v>16432</v>
      </c>
      <c r="E2735" s="12" t="str">
        <f>HYPERLINK("https://twitter.com/ObuzRamazan/status/1181896712065097728","1181896712065097728")</f>
        <v>1181896712065097728</v>
      </c>
      <c r="F2735" s="8"/>
      <c r="G2735" s="15"/>
      <c r="H2735" s="8"/>
      <c r="I2735" s="15">
        <v>0</v>
      </c>
      <c r="J2735" s="15">
        <v>0</v>
      </c>
      <c r="K2735" s="12" t="str">
        <f>HYPERLINK("http://twitter.com/download/android","Twitter for Android")</f>
        <v>Twitter for Android</v>
      </c>
      <c r="L2735" s="16">
        <v>532</v>
      </c>
      <c r="M2735" s="16">
        <v>535</v>
      </c>
      <c r="N2735" s="16">
        <v>0</v>
      </c>
      <c r="O2735" s="17"/>
      <c r="P2735" s="18">
        <v>43641.416851851856</v>
      </c>
      <c r="Q2735" s="7"/>
      <c r="R2735" s="7" t="s">
        <v>16433</v>
      </c>
      <c r="S2735" s="7"/>
      <c r="T2735" s="8"/>
      <c r="U2735" s="19" t="str">
        <f>HYPERLINK("https://pbs.twimg.com/profile_images/1159805840532148225/_3AgUrow.jpg","View")</f>
        <v>View</v>
      </c>
      <c r="V2735" s="8"/>
      <c r="W2735" s="8"/>
      <c r="X2735" s="8"/>
      <c r="Y2735" s="8"/>
      <c r="Z2735" s="8"/>
    </row>
    <row r="2736" spans="1:26" ht="12.75">
      <c r="A2736" s="11">
        <v>43747.193298611106</v>
      </c>
      <c r="B2736" s="12" t="str">
        <f>HYPERLINK("https://twitter.com/kosretas","@kosretas")</f>
        <v>@kosretas</v>
      </c>
      <c r="C2736" s="7" t="s">
        <v>16434</v>
      </c>
      <c r="D2736" s="7" t="s">
        <v>16435</v>
      </c>
      <c r="E2736" s="12" t="str">
        <f>HYPERLINK("https://twitter.com/kosretas/status/1181896678128963585","1181896678128963585")</f>
        <v>1181896678128963585</v>
      </c>
      <c r="F2736" s="8"/>
      <c r="G2736" s="14" t="s">
        <v>16436</v>
      </c>
      <c r="H2736" s="8"/>
      <c r="I2736" s="15">
        <v>0</v>
      </c>
      <c r="J2736" s="15">
        <v>0</v>
      </c>
      <c r="K2736" s="12" t="str">
        <f>HYPERLINK("http://twitter.com/download/android","Twitter for Android")</f>
        <v>Twitter for Android</v>
      </c>
      <c r="L2736" s="16">
        <v>2</v>
      </c>
      <c r="M2736" s="16">
        <v>9</v>
      </c>
      <c r="N2736" s="16">
        <v>0</v>
      </c>
      <c r="O2736" s="17"/>
      <c r="P2736" s="18">
        <v>43721.295590277776</v>
      </c>
      <c r="Q2736" s="7"/>
      <c r="R2736" s="7" t="s">
        <v>16437</v>
      </c>
      <c r="S2736" s="7"/>
      <c r="T2736" s="8"/>
      <c r="U2736" s="20" t="s">
        <v>354</v>
      </c>
      <c r="V2736" s="8"/>
      <c r="W2736" s="8"/>
      <c r="X2736" s="8"/>
      <c r="Y2736" s="8"/>
      <c r="Z2736" s="8"/>
    </row>
    <row r="2737" spans="1:26" ht="12.75">
      <c r="A2737" s="11">
        <v>43747.193229166667</v>
      </c>
      <c r="B2737" s="12" t="str">
        <f>HYPERLINK("https://twitter.com/huseyingamsiz","@huseyingamsiz")</f>
        <v>@huseyingamsiz</v>
      </c>
      <c r="C2737" s="7" t="s">
        <v>16438</v>
      </c>
      <c r="D2737" s="7" t="s">
        <v>16439</v>
      </c>
      <c r="E2737" s="12" t="str">
        <f>HYPERLINK("https://twitter.com/huseyingamsiz/status/1181896652061396994","1181896652061396994")</f>
        <v>1181896652061396994</v>
      </c>
      <c r="F2737" s="8"/>
      <c r="G2737" s="15"/>
      <c r="H2737" s="8"/>
      <c r="I2737" s="15">
        <v>0</v>
      </c>
      <c r="J2737" s="15">
        <v>0</v>
      </c>
      <c r="K2737" s="12" t="str">
        <f>HYPERLINK("http://twitter.com/download/iphone","Twitter for iPhone")</f>
        <v>Twitter for iPhone</v>
      </c>
      <c r="L2737" s="16">
        <v>115</v>
      </c>
      <c r="M2737" s="16">
        <v>247</v>
      </c>
      <c r="N2737" s="16">
        <v>0</v>
      </c>
      <c r="O2737" s="17"/>
      <c r="P2737" s="18">
        <v>41647.381828703699</v>
      </c>
      <c r="Q2737" s="7" t="s">
        <v>860</v>
      </c>
      <c r="R2737" s="7"/>
      <c r="S2737" s="7"/>
      <c r="T2737" s="8"/>
      <c r="U2737" s="19" t="str">
        <f>HYPERLINK("https://pbs.twimg.com/profile_images/904790522912530432/30GBSHlV.jpg","View")</f>
        <v>View</v>
      </c>
      <c r="V2737" s="8"/>
      <c r="W2737" s="8"/>
      <c r="X2737" s="8"/>
      <c r="Y2737" s="8"/>
      <c r="Z2737" s="8"/>
    </row>
    <row r="2738" spans="1:26" ht="12.75">
      <c r="A2738" s="11">
        <v>43747.193125000005</v>
      </c>
      <c r="B2738" s="12" t="str">
        <f>HYPERLINK("https://twitter.com/90a95000baa24fe","@90a95000baa24fe")</f>
        <v>@90a95000baa24fe</v>
      </c>
      <c r="C2738" s="7" t="s">
        <v>16440</v>
      </c>
      <c r="D2738" s="7" t="s">
        <v>16441</v>
      </c>
      <c r="E2738" s="12" t="str">
        <f>HYPERLINK("https://twitter.com/90a95000baa24fe/status/1181896614790778883","1181896614790778883")</f>
        <v>1181896614790778883</v>
      </c>
      <c r="F2738" s="8"/>
      <c r="G2738" s="14" t="s">
        <v>16442</v>
      </c>
      <c r="H2738" s="8"/>
      <c r="I2738" s="15">
        <v>0</v>
      </c>
      <c r="J2738" s="15">
        <v>0</v>
      </c>
      <c r="K2738" s="12" t="str">
        <f>HYPERLINK("http://twitter.com/download/android","Twitter for Android")</f>
        <v>Twitter for Android</v>
      </c>
      <c r="L2738" s="16">
        <v>3761</v>
      </c>
      <c r="M2738" s="16">
        <v>3003</v>
      </c>
      <c r="N2738" s="16">
        <v>0</v>
      </c>
      <c r="O2738" s="17"/>
      <c r="P2738" s="18">
        <v>41945.39738425926</v>
      </c>
      <c r="Q2738" s="7"/>
      <c r="R2738" s="13" t="s">
        <v>16443</v>
      </c>
      <c r="S2738" s="7"/>
      <c r="T2738" s="8"/>
      <c r="U2738" s="19" t="str">
        <f>HYPERLINK("https://pbs.twimg.com/profile_images/1113140283867361282/KX0f4OhR.jpg","View")</f>
        <v>View</v>
      </c>
      <c r="V2738" s="8"/>
      <c r="W2738" s="8"/>
      <c r="X2738" s="8"/>
      <c r="Y2738" s="8"/>
      <c r="Z2738" s="8"/>
    </row>
    <row r="2739" spans="1:26" ht="12.75">
      <c r="A2739" s="11">
        <v>43747.193055555559</v>
      </c>
      <c r="B2739" s="12" t="str">
        <f>HYPERLINK("https://twitter.com/hlyyrt","@hlyyrt")</f>
        <v>@hlyyrt</v>
      </c>
      <c r="C2739" s="7" t="s">
        <v>16444</v>
      </c>
      <c r="D2739" s="7" t="s">
        <v>16445</v>
      </c>
      <c r="E2739" s="12" t="str">
        <f>HYPERLINK("https://twitter.com/hlyyrt/status/1181896590912622598","1181896590912622598")</f>
        <v>1181896590912622598</v>
      </c>
      <c r="F2739" s="8"/>
      <c r="G2739" s="14" t="s">
        <v>16446</v>
      </c>
      <c r="H2739" s="8"/>
      <c r="I2739" s="15">
        <v>6</v>
      </c>
      <c r="J2739" s="15">
        <v>14</v>
      </c>
      <c r="K2739" s="12" t="str">
        <f>HYPERLINK("http://twitter.com/download/iphone","Twitter for iPhone")</f>
        <v>Twitter for iPhone</v>
      </c>
      <c r="L2739" s="16">
        <v>30104</v>
      </c>
      <c r="M2739" s="16">
        <v>8546</v>
      </c>
      <c r="N2739" s="16">
        <v>36</v>
      </c>
      <c r="O2739" s="17"/>
      <c r="P2739" s="18">
        <v>42763.577824074076</v>
      </c>
      <c r="Q2739" s="7"/>
      <c r="R2739" s="7" t="s">
        <v>16447</v>
      </c>
      <c r="S2739" s="7"/>
      <c r="T2739" s="8"/>
      <c r="U2739" s="19" t="str">
        <f>HYPERLINK("https://pbs.twimg.com/profile_images/1031852498527690753/oJVBwRv3.jpg","View")</f>
        <v>View</v>
      </c>
      <c r="V2739" s="8"/>
      <c r="W2739" s="8"/>
      <c r="X2739" s="8"/>
      <c r="Y2739" s="8"/>
      <c r="Z2739" s="8"/>
    </row>
    <row r="2740" spans="1:26" ht="12.75">
      <c r="A2740" s="11">
        <v>43747.193020833336</v>
      </c>
      <c r="B2740" s="12" t="str">
        <f>HYPERLINK("https://twitter.com/eyyubkarabayra1","@eyyubkarabayra1")</f>
        <v>@eyyubkarabayra1</v>
      </c>
      <c r="C2740" s="7" t="s">
        <v>16448</v>
      </c>
      <c r="D2740" s="7" t="s">
        <v>16449</v>
      </c>
      <c r="E2740" s="12" t="str">
        <f>HYPERLINK("https://twitter.com/eyyubkarabayra1/status/1181896578937901063","1181896578937901063")</f>
        <v>1181896578937901063</v>
      </c>
      <c r="F2740" s="8"/>
      <c r="G2740" s="7"/>
      <c r="H2740" s="8"/>
      <c r="I2740" s="15">
        <v>0</v>
      </c>
      <c r="J2740" s="15">
        <v>0</v>
      </c>
      <c r="K2740" s="12" t="str">
        <f>HYPERLINK("http://twitter.com","Twitter Web Client")</f>
        <v>Twitter Web Client</v>
      </c>
      <c r="L2740" s="16">
        <v>5</v>
      </c>
      <c r="M2740" s="16">
        <v>0</v>
      </c>
      <c r="N2740" s="16">
        <v>0</v>
      </c>
      <c r="O2740" s="17"/>
      <c r="P2740" s="18">
        <v>43669.866875</v>
      </c>
      <c r="Q2740" s="7" t="s">
        <v>14688</v>
      </c>
      <c r="R2740" s="7" t="s">
        <v>16450</v>
      </c>
      <c r="S2740" s="15"/>
      <c r="T2740" s="8"/>
      <c r="U2740" s="19" t="str">
        <f>HYPERLINK("https://pbs.twimg.com/profile_images/1154295560075173888/rKXL37fc.jpg","View")</f>
        <v>View</v>
      </c>
      <c r="V2740" s="8"/>
      <c r="W2740" s="8"/>
      <c r="X2740" s="8"/>
      <c r="Y2740" s="8"/>
      <c r="Z2740" s="8"/>
    </row>
    <row r="2741" spans="1:26" ht="12.75">
      <c r="A2741" s="11">
        <v>43747.193009259259</v>
      </c>
      <c r="B2741" s="12" t="str">
        <f>HYPERLINK("https://twitter.com/HavvaUckcgl","@HavvaUckcgl")</f>
        <v>@HavvaUckcgl</v>
      </c>
      <c r="C2741" s="7" t="s">
        <v>16451</v>
      </c>
      <c r="D2741" s="7" t="s">
        <v>16452</v>
      </c>
      <c r="E2741" s="12" t="str">
        <f>HYPERLINK("https://twitter.com/HavvaUckcgl/status/1181896573766307840","1181896573766307840")</f>
        <v>1181896573766307840</v>
      </c>
      <c r="F2741" s="8"/>
      <c r="G2741" s="14" t="s">
        <v>16453</v>
      </c>
      <c r="H2741" s="8"/>
      <c r="I2741" s="15">
        <v>0</v>
      </c>
      <c r="J2741" s="15">
        <v>2</v>
      </c>
      <c r="K2741" s="12" t="str">
        <f>HYPERLINK("http://twitter.com/download/android","Twitter for Android")</f>
        <v>Twitter for Android</v>
      </c>
      <c r="L2741" s="16">
        <v>132</v>
      </c>
      <c r="M2741" s="16">
        <v>157</v>
      </c>
      <c r="N2741" s="16">
        <v>0</v>
      </c>
      <c r="O2741" s="17"/>
      <c r="P2741" s="18">
        <v>41459.343009259261</v>
      </c>
      <c r="Q2741" s="7"/>
      <c r="R2741" s="7" t="s">
        <v>16454</v>
      </c>
      <c r="S2741" s="7"/>
      <c r="T2741" s="8"/>
      <c r="U2741" s="19" t="str">
        <f>HYPERLINK("https://pbs.twimg.com/profile_images/1181231434494861312/ksihZzAU.jpg","View")</f>
        <v>View</v>
      </c>
      <c r="V2741" s="8"/>
      <c r="W2741" s="8"/>
      <c r="X2741" s="8"/>
      <c r="Y2741" s="8"/>
      <c r="Z2741" s="8"/>
    </row>
    <row r="2742" spans="1:26" ht="12.75">
      <c r="A2742" s="11">
        <v>43747.192997685182</v>
      </c>
      <c r="B2742" s="12" t="str">
        <f>HYPERLINK("https://twitter.com/_mirac","@_mirac")</f>
        <v>@_mirac</v>
      </c>
      <c r="C2742" s="7" t="s">
        <v>16455</v>
      </c>
      <c r="D2742" s="7" t="s">
        <v>16456</v>
      </c>
      <c r="E2742" s="12" t="str">
        <f>HYPERLINK("https://twitter.com/_mirac/status/1181896569974661122","1181896569974661122")</f>
        <v>1181896569974661122</v>
      </c>
      <c r="F2742" s="8"/>
      <c r="G2742" s="14" t="s">
        <v>16457</v>
      </c>
      <c r="H2742" s="8"/>
      <c r="I2742" s="15">
        <v>0</v>
      </c>
      <c r="J2742" s="15">
        <v>0</v>
      </c>
      <c r="K2742" s="12" t="str">
        <f>HYPERLINK("http://twitter.com/download/iphone","Twitter for iPhone")</f>
        <v>Twitter for iPhone</v>
      </c>
      <c r="L2742" s="16">
        <v>194</v>
      </c>
      <c r="M2742" s="16">
        <v>833</v>
      </c>
      <c r="N2742" s="16">
        <v>0</v>
      </c>
      <c r="O2742" s="17"/>
      <c r="P2742" s="18">
        <v>43553.175925925927</v>
      </c>
      <c r="Q2742" s="7" t="s">
        <v>857</v>
      </c>
      <c r="R2742" s="7" t="s">
        <v>16458</v>
      </c>
      <c r="S2742" s="7"/>
      <c r="T2742" s="8"/>
      <c r="U2742" s="19" t="str">
        <f>HYPERLINK("https://pbs.twimg.com/profile_images/1116838662539567107/twOZpeN_.jpg","View")</f>
        <v>View</v>
      </c>
      <c r="V2742" s="8"/>
      <c r="W2742" s="8"/>
      <c r="X2742" s="8"/>
      <c r="Y2742" s="8"/>
      <c r="Z2742" s="8"/>
    </row>
    <row r="2743" spans="1:26" ht="12.75">
      <c r="A2743" s="11">
        <v>43747.192997685182</v>
      </c>
      <c r="B2743" s="12" t="str">
        <f>HYPERLINK("https://twitter.com/adem_pilot","@adem_pilot")</f>
        <v>@adem_pilot</v>
      </c>
      <c r="C2743" s="7" t="s">
        <v>16459</v>
      </c>
      <c r="D2743" s="7" t="s">
        <v>16460</v>
      </c>
      <c r="E2743" s="12" t="str">
        <f>HYPERLINK("https://twitter.com/adem_pilot/status/1181896568087158786","1181896568087158786")</f>
        <v>1181896568087158786</v>
      </c>
      <c r="F2743" s="8"/>
      <c r="G2743" s="14" t="s">
        <v>16461</v>
      </c>
      <c r="H2743" s="8"/>
      <c r="I2743" s="15">
        <v>0</v>
      </c>
      <c r="J2743" s="15">
        <v>1</v>
      </c>
      <c r="K2743" s="12" t="str">
        <f>HYPERLINK("http://twitter.com/download/iphone","Twitter for iPhone")</f>
        <v>Twitter for iPhone</v>
      </c>
      <c r="L2743" s="16">
        <v>1320</v>
      </c>
      <c r="M2743" s="16">
        <v>1483</v>
      </c>
      <c r="N2743" s="16">
        <v>0</v>
      </c>
      <c r="O2743" s="17"/>
      <c r="P2743" s="18">
        <v>43578.365775462968</v>
      </c>
      <c r="Q2743" s="7" t="s">
        <v>313</v>
      </c>
      <c r="R2743" s="7" t="s">
        <v>16462</v>
      </c>
      <c r="S2743" s="15"/>
      <c r="T2743" s="8"/>
      <c r="U2743" s="19" t="str">
        <f>HYPERLINK("https://pbs.twimg.com/profile_images/1148454636854153218/P92yiLAW.jpg","View")</f>
        <v>View</v>
      </c>
      <c r="V2743" s="8"/>
      <c r="W2743" s="8"/>
      <c r="X2743" s="8"/>
      <c r="Y2743" s="8"/>
      <c r="Z2743" s="8"/>
    </row>
    <row r="2744" spans="1:26" ht="12.75">
      <c r="A2744" s="11">
        <v>43747.192962962959</v>
      </c>
      <c r="B2744" s="12" t="str">
        <f>HYPERLINK("https://twitter.com/EdmondD49509809","@EdmondD49509809")</f>
        <v>@EdmondD49509809</v>
      </c>
      <c r="C2744" s="7" t="s">
        <v>16463</v>
      </c>
      <c r="D2744" s="7" t="s">
        <v>160</v>
      </c>
      <c r="E2744" s="12" t="str">
        <f>HYPERLINK("https://twitter.com/EdmondD49509809/status/1181896559031652353","1181896559031652353")</f>
        <v>1181896559031652353</v>
      </c>
      <c r="F2744" s="8"/>
      <c r="G2744" s="14" t="s">
        <v>16464</v>
      </c>
      <c r="H2744" s="8"/>
      <c r="I2744" s="15">
        <v>0</v>
      </c>
      <c r="J2744" s="15">
        <v>0</v>
      </c>
      <c r="K2744" s="12" t="str">
        <f>HYPERLINK("https://mobile.twitter.com","Twitter Web App")</f>
        <v>Twitter Web App</v>
      </c>
      <c r="L2744" s="16">
        <v>1</v>
      </c>
      <c r="M2744" s="16">
        <v>24</v>
      </c>
      <c r="N2744" s="16">
        <v>0</v>
      </c>
      <c r="O2744" s="17"/>
      <c r="P2744" s="18">
        <v>43745.578460648147</v>
      </c>
      <c r="Q2744" s="7"/>
      <c r="R2744" s="7" t="s">
        <v>16465</v>
      </c>
      <c r="S2744" s="7"/>
      <c r="T2744" s="8"/>
      <c r="U2744" s="19" t="str">
        <f>HYPERLINK("https://pbs.twimg.com/profile_images/1181313868234014721/DgvBXTRt.jpg","View")</f>
        <v>View</v>
      </c>
      <c r="V2744" s="8"/>
      <c r="W2744" s="8"/>
      <c r="X2744" s="8"/>
      <c r="Y2744" s="8"/>
      <c r="Z2744" s="8"/>
    </row>
    <row r="2745" spans="1:26" ht="12.75">
      <c r="A2745" s="11">
        <v>43747.192893518513</v>
      </c>
      <c r="B2745" s="12" t="str">
        <f>HYPERLINK("https://twitter.com/tansuizmir35","@tansuizmir35")</f>
        <v>@tansuizmir35</v>
      </c>
      <c r="C2745" s="7" t="s">
        <v>16466</v>
      </c>
      <c r="D2745" s="7" t="s">
        <v>16467</v>
      </c>
      <c r="E2745" s="12" t="str">
        <f>HYPERLINK("https://twitter.com/tansuizmir35/status/1181896533907771399","1181896533907771399")</f>
        <v>1181896533907771399</v>
      </c>
      <c r="F2745" s="8"/>
      <c r="G2745" s="7"/>
      <c r="H2745" s="8"/>
      <c r="I2745" s="15">
        <v>0</v>
      </c>
      <c r="J2745" s="15">
        <v>0</v>
      </c>
      <c r="K2745" s="12" t="str">
        <f>HYPERLINK("http://twitter.com/download/android","Twitter for Android")</f>
        <v>Twitter for Android</v>
      </c>
      <c r="L2745" s="16">
        <v>204</v>
      </c>
      <c r="M2745" s="16">
        <v>727</v>
      </c>
      <c r="N2745" s="16">
        <v>0</v>
      </c>
      <c r="O2745" s="17"/>
      <c r="P2745" s="18">
        <v>40527.719988425924</v>
      </c>
      <c r="Q2745" s="7"/>
      <c r="R2745" s="7" t="s">
        <v>16468</v>
      </c>
      <c r="S2745" s="7"/>
      <c r="T2745" s="8"/>
      <c r="U2745" s="19" t="str">
        <f>HYPERLINK("https://pbs.twimg.com/profile_images/762430936910671873/l_a9dEow.jpg","View")</f>
        <v>View</v>
      </c>
      <c r="V2745" s="8"/>
      <c r="W2745" s="8"/>
      <c r="X2745" s="8"/>
      <c r="Y2745" s="8"/>
      <c r="Z2745" s="8"/>
    </row>
    <row r="2746" spans="1:26" ht="12.75">
      <c r="A2746" s="11">
        <v>43747.192870370374</v>
      </c>
      <c r="B2746" s="12" t="str">
        <f>HYPERLINK("https://twitter.com/emelhancii","@emelhancii")</f>
        <v>@emelhancii</v>
      </c>
      <c r="C2746" s="7" t="s">
        <v>16469</v>
      </c>
      <c r="D2746" s="7" t="s">
        <v>16470</v>
      </c>
      <c r="E2746" s="12" t="str">
        <f>HYPERLINK("https://twitter.com/emelhancii/status/1181896521912131584","1181896521912131584")</f>
        <v>1181896521912131584</v>
      </c>
      <c r="F2746" s="8"/>
      <c r="G2746" s="7"/>
      <c r="H2746" s="8"/>
      <c r="I2746" s="15">
        <v>0</v>
      </c>
      <c r="J2746" s="15">
        <v>1</v>
      </c>
      <c r="K2746" s="12" t="str">
        <f>HYPERLINK("http://twitter.com/download/android","Twitter for Android")</f>
        <v>Twitter for Android</v>
      </c>
      <c r="L2746" s="16">
        <v>6338</v>
      </c>
      <c r="M2746" s="16">
        <v>6347</v>
      </c>
      <c r="N2746" s="16">
        <v>4</v>
      </c>
      <c r="O2746" s="17"/>
      <c r="P2746" s="18">
        <v>41773.339525462965</v>
      </c>
      <c r="Q2746" s="7" t="s">
        <v>16471</v>
      </c>
      <c r="R2746" s="7" t="s">
        <v>16472</v>
      </c>
      <c r="S2746" s="7"/>
      <c r="T2746" s="8"/>
      <c r="U2746" s="19" t="str">
        <f>HYPERLINK("https://pbs.twimg.com/profile_images/1164278354863894529/72VawImC.jpg","View")</f>
        <v>View</v>
      </c>
      <c r="V2746" s="8"/>
      <c r="W2746" s="8"/>
      <c r="X2746" s="8"/>
      <c r="Y2746" s="8"/>
      <c r="Z2746" s="8"/>
    </row>
    <row r="2747" spans="1:26" ht="12.75">
      <c r="A2747" s="11">
        <v>43747.192858796298</v>
      </c>
      <c r="B2747" s="12" t="str">
        <f>HYPERLINK("https://twitter.com/1forza1903","@1forza1903")</f>
        <v>@1forza1903</v>
      </c>
      <c r="C2747" s="7" t="s">
        <v>16473</v>
      </c>
      <c r="D2747" s="7" t="s">
        <v>16474</v>
      </c>
      <c r="E2747" s="12" t="str">
        <f>HYPERLINK("https://twitter.com/1forza1903/status/1181896518082674688","1181896518082674688")</f>
        <v>1181896518082674688</v>
      </c>
      <c r="F2747" s="8"/>
      <c r="G2747" s="14" t="s">
        <v>16475</v>
      </c>
      <c r="H2747" s="8"/>
      <c r="I2747" s="15">
        <v>1</v>
      </c>
      <c r="J2747" s="15">
        <v>1</v>
      </c>
      <c r="K2747" s="12" t="str">
        <f>HYPERLINK("http://twitter.com/download/iphone","Twitter for iPhone")</f>
        <v>Twitter for iPhone</v>
      </c>
      <c r="L2747" s="16">
        <v>19788</v>
      </c>
      <c r="M2747" s="16">
        <v>19774</v>
      </c>
      <c r="N2747" s="16">
        <v>6</v>
      </c>
      <c r="O2747" s="17"/>
      <c r="P2747" s="18">
        <v>43126.983726851853</v>
      </c>
      <c r="Q2747" s="7" t="s">
        <v>69</v>
      </c>
      <c r="R2747" s="7" t="s">
        <v>16476</v>
      </c>
      <c r="S2747" s="7"/>
      <c r="T2747" s="8"/>
      <c r="U2747" s="19" t="str">
        <f>HYPERLINK("https://pbs.twimg.com/profile_images/1093204952976158720/lhQlscis.jpg","View")</f>
        <v>View</v>
      </c>
      <c r="V2747" s="8"/>
      <c r="W2747" s="8"/>
      <c r="X2747" s="8"/>
      <c r="Y2747" s="8"/>
      <c r="Z2747" s="8"/>
    </row>
    <row r="2748" spans="1:26" ht="12.75">
      <c r="A2748" s="11">
        <v>43747.192835648151</v>
      </c>
      <c r="B2748" s="12" t="str">
        <f>HYPERLINK("https://twitter.com/OguzhanAyyilmaz","@OguzhanAyyilmaz")</f>
        <v>@OguzhanAyyilmaz</v>
      </c>
      <c r="C2748" s="7" t="s">
        <v>16477</v>
      </c>
      <c r="D2748" s="7" t="s">
        <v>16478</v>
      </c>
      <c r="E2748" s="12" t="str">
        <f>HYPERLINK("https://twitter.com/OguzhanAyyilmaz/status/1181896512298770435","1181896512298770435")</f>
        <v>1181896512298770435</v>
      </c>
      <c r="F2748" s="8"/>
      <c r="G2748" s="15"/>
      <c r="H2748" s="8"/>
      <c r="I2748" s="15">
        <v>0</v>
      </c>
      <c r="J2748" s="15">
        <v>0</v>
      </c>
      <c r="K2748" s="12" t="str">
        <f>HYPERLINK("http://twitter.com/download/android","Twitter for Android")</f>
        <v>Twitter for Android</v>
      </c>
      <c r="L2748" s="16">
        <v>201</v>
      </c>
      <c r="M2748" s="16">
        <v>130</v>
      </c>
      <c r="N2748" s="16">
        <v>0</v>
      </c>
      <c r="O2748" s="17"/>
      <c r="P2748" s="18">
        <v>40941.212326388893</v>
      </c>
      <c r="Q2748" s="7" t="s">
        <v>16479</v>
      </c>
      <c r="R2748" s="7" t="s">
        <v>16480</v>
      </c>
      <c r="S2748" s="7"/>
      <c r="T2748" s="8"/>
      <c r="U2748" s="19" t="str">
        <f>HYPERLINK("https://pbs.twimg.com/profile_images/1131262148863246337/VW6zY7O8.jpg","View")</f>
        <v>View</v>
      </c>
      <c r="V2748" s="8"/>
      <c r="W2748" s="8"/>
      <c r="X2748" s="8"/>
      <c r="Y2748" s="8"/>
      <c r="Z2748" s="8"/>
    </row>
    <row r="2749" spans="1:26" ht="12.75">
      <c r="A2749" s="11">
        <v>43747.192719907413</v>
      </c>
      <c r="B2749" s="12" t="str">
        <f>HYPERLINK("https://twitter.com/10AIex","@10AIex")</f>
        <v>@10AIex</v>
      </c>
      <c r="C2749" s="7" t="s">
        <v>16481</v>
      </c>
      <c r="D2749" s="7" t="s">
        <v>16482</v>
      </c>
      <c r="E2749" s="12" t="str">
        <f>HYPERLINK("https://twitter.com/10AIex/status/1181896469969883139","1181896469969883139")</f>
        <v>1181896469969883139</v>
      </c>
      <c r="F2749" s="8"/>
      <c r="G2749" s="15"/>
      <c r="H2749" s="8"/>
      <c r="I2749" s="15">
        <v>0</v>
      </c>
      <c r="J2749" s="15">
        <v>2</v>
      </c>
      <c r="K2749" s="12" t="str">
        <f>HYPERLINK("http://twitter.com/download/android","Twitter for Android")</f>
        <v>Twitter for Android</v>
      </c>
      <c r="L2749" s="16">
        <v>1020</v>
      </c>
      <c r="M2749" s="16">
        <v>76</v>
      </c>
      <c r="N2749" s="16">
        <v>1</v>
      </c>
      <c r="O2749" s="17"/>
      <c r="P2749" s="18">
        <v>43596.482268518521</v>
      </c>
      <c r="Q2749" s="7"/>
      <c r="R2749" s="7" t="s">
        <v>16483</v>
      </c>
      <c r="S2749" s="14" t="s">
        <v>16484</v>
      </c>
      <c r="T2749" s="8"/>
      <c r="U2749" s="19" t="str">
        <f>HYPERLINK("https://pbs.twimg.com/profile_images/1176168463557111810/HnvBNfCV.jpg","View")</f>
        <v>View</v>
      </c>
      <c r="V2749" s="8"/>
      <c r="W2749" s="8"/>
      <c r="X2749" s="8"/>
      <c r="Y2749" s="8"/>
      <c r="Z2749" s="8"/>
    </row>
    <row r="2750" spans="1:26" ht="12.75">
      <c r="A2750" s="11">
        <v>43747.192708333328</v>
      </c>
      <c r="B2750" s="12" t="str">
        <f>HYPERLINK("https://twitter.com/yaseminaricii","@yaseminaricii")</f>
        <v>@yaseminaricii</v>
      </c>
      <c r="C2750" s="7" t="s">
        <v>16485</v>
      </c>
      <c r="D2750" s="7" t="s">
        <v>160</v>
      </c>
      <c r="E2750" s="12" t="str">
        <f>HYPERLINK("https://twitter.com/yaseminaricii/status/1181896465058324480","1181896465058324480")</f>
        <v>1181896465058324480</v>
      </c>
      <c r="F2750" s="8"/>
      <c r="G2750" s="15"/>
      <c r="H2750" s="8"/>
      <c r="I2750" s="15">
        <v>0</v>
      </c>
      <c r="J2750" s="15">
        <v>0</v>
      </c>
      <c r="K2750" s="12" t="str">
        <f>HYPERLINK("http://twitter.com/download/iphone","Twitter for iPhone")</f>
        <v>Twitter for iPhone</v>
      </c>
      <c r="L2750" s="16">
        <v>58</v>
      </c>
      <c r="M2750" s="16">
        <v>289</v>
      </c>
      <c r="N2750" s="16">
        <v>0</v>
      </c>
      <c r="O2750" s="17"/>
      <c r="P2750" s="18">
        <v>43009.397974537038</v>
      </c>
      <c r="Q2750" s="7" t="s">
        <v>313</v>
      </c>
      <c r="R2750" s="7"/>
      <c r="S2750" s="7"/>
      <c r="T2750" s="8"/>
      <c r="U2750" s="19" t="str">
        <f>HYPERLINK("https://pbs.twimg.com/profile_images/1175118931868172288/z6PVCSNU.jpg","View")</f>
        <v>View</v>
      </c>
      <c r="V2750" s="8"/>
      <c r="W2750" s="8"/>
      <c r="X2750" s="8"/>
      <c r="Y2750" s="8"/>
      <c r="Z2750" s="8"/>
    </row>
    <row r="2751" spans="1:26" ht="12.75">
      <c r="A2751" s="11">
        <v>43747.192696759259</v>
      </c>
      <c r="B2751" s="12" t="str">
        <f>HYPERLINK("https://twitter.com/ismailersoy61","@ismailersoy61")</f>
        <v>@ismailersoy61</v>
      </c>
      <c r="C2751" s="7" t="s">
        <v>16486</v>
      </c>
      <c r="D2751" s="7" t="s">
        <v>16487</v>
      </c>
      <c r="E2751" s="12" t="str">
        <f>HYPERLINK("https://twitter.com/ismailersoy61/status/1181896459450494978","1181896459450494978")</f>
        <v>1181896459450494978</v>
      </c>
      <c r="F2751" s="14" t="s">
        <v>16488</v>
      </c>
      <c r="G2751" s="14" t="s">
        <v>16489</v>
      </c>
      <c r="H2751" s="8"/>
      <c r="I2751" s="15">
        <v>1</v>
      </c>
      <c r="J2751" s="15">
        <v>1</v>
      </c>
      <c r="K2751" s="12" t="str">
        <f>HYPERLINK("http://twitter.com/download/android","Twitter for Android")</f>
        <v>Twitter for Android</v>
      </c>
      <c r="L2751" s="16">
        <v>59</v>
      </c>
      <c r="M2751" s="16">
        <v>62</v>
      </c>
      <c r="N2751" s="16">
        <v>0</v>
      </c>
      <c r="O2751" s="17"/>
      <c r="P2751" s="18">
        <v>41272.378194444442</v>
      </c>
      <c r="Q2751" s="7" t="s">
        <v>685</v>
      </c>
      <c r="R2751" s="7" t="s">
        <v>16490</v>
      </c>
      <c r="S2751" s="7"/>
      <c r="T2751" s="8"/>
      <c r="U2751" s="19" t="str">
        <f>HYPERLINK("https://pbs.twimg.com/profile_images/975784595403747329/GFZsE-N8.jpg","View")</f>
        <v>View</v>
      </c>
      <c r="V2751" s="8"/>
      <c r="W2751" s="8"/>
      <c r="X2751" s="8"/>
      <c r="Y2751" s="8"/>
      <c r="Z2751" s="8"/>
    </row>
    <row r="2752" spans="1:26" ht="12.75">
      <c r="A2752" s="11">
        <v>43747.192673611113</v>
      </c>
      <c r="B2752" s="12" t="str">
        <f>HYPERLINK("https://twitter.com/gercege_dair","@gercege_dair")</f>
        <v>@gercege_dair</v>
      </c>
      <c r="C2752" s="7" t="s">
        <v>16491</v>
      </c>
      <c r="D2752" s="7" t="s">
        <v>16492</v>
      </c>
      <c r="E2752" s="12" t="str">
        <f>HYPERLINK("https://twitter.com/gercege_dair/status/1181896454182522882","1181896454182522882")</f>
        <v>1181896454182522882</v>
      </c>
      <c r="F2752" s="8"/>
      <c r="G2752" s="14" t="s">
        <v>16493</v>
      </c>
      <c r="H2752" s="8"/>
      <c r="I2752" s="15">
        <v>0</v>
      </c>
      <c r="J2752" s="15">
        <v>0</v>
      </c>
      <c r="K2752" s="12" t="str">
        <f>HYPERLINK("http://twitter.com/download/android","Twitter for Android")</f>
        <v>Twitter for Android</v>
      </c>
      <c r="L2752" s="16">
        <v>152</v>
      </c>
      <c r="M2752" s="16">
        <v>143</v>
      </c>
      <c r="N2752" s="16">
        <v>0</v>
      </c>
      <c r="O2752" s="17"/>
      <c r="P2752" s="18">
        <v>43722.619155092594</v>
      </c>
      <c r="Q2752" s="7"/>
      <c r="R2752" s="7" t="s">
        <v>16494</v>
      </c>
      <c r="S2752" s="14" t="s">
        <v>16495</v>
      </c>
      <c r="T2752" s="8"/>
      <c r="U2752" s="19" t="str">
        <f>HYPERLINK("https://pbs.twimg.com/profile_images/1173233139143139331/sUmTmIdH.jpg","View")</f>
        <v>View</v>
      </c>
      <c r="V2752" s="8"/>
      <c r="W2752" s="8"/>
      <c r="X2752" s="8"/>
      <c r="Y2752" s="8"/>
      <c r="Z2752" s="8"/>
    </row>
    <row r="2753" spans="1:26" ht="12.75">
      <c r="A2753" s="11">
        <v>43747.19253472222</v>
      </c>
      <c r="B2753" s="12" t="str">
        <f>HYPERLINK("https://twitter.com/sahabettinakyo7","@sahabettinakyo7")</f>
        <v>@sahabettinakyo7</v>
      </c>
      <c r="C2753" s="7" t="s">
        <v>16496</v>
      </c>
      <c r="D2753" s="7" t="s">
        <v>16497</v>
      </c>
      <c r="E2753" s="12" t="str">
        <f>HYPERLINK("https://twitter.com/sahabettinakyo7/status/1181896403909595136","1181896403909595136")</f>
        <v>1181896403909595136</v>
      </c>
      <c r="F2753" s="8"/>
      <c r="G2753" s="14" t="s">
        <v>16498</v>
      </c>
      <c r="H2753" s="8"/>
      <c r="I2753" s="15">
        <v>0</v>
      </c>
      <c r="J2753" s="15">
        <v>1</v>
      </c>
      <c r="K2753" s="12" t="str">
        <f>HYPERLINK("http://twitter.com","Twitter Web Client")</f>
        <v>Twitter Web Client</v>
      </c>
      <c r="L2753" s="16">
        <v>5</v>
      </c>
      <c r="M2753" s="16">
        <v>0</v>
      </c>
      <c r="N2753" s="16">
        <v>0</v>
      </c>
      <c r="O2753" s="17"/>
      <c r="P2753" s="18">
        <v>43675.127199074079</v>
      </c>
      <c r="Q2753" s="7" t="s">
        <v>7005</v>
      </c>
      <c r="R2753" s="7" t="s">
        <v>16499</v>
      </c>
      <c r="S2753" s="7"/>
      <c r="T2753" s="8"/>
      <c r="U2753" s="19" t="str">
        <f>HYPERLINK("https://pbs.twimg.com/profile_images/1158840964913537026/BCeOGwhL.jpg","View")</f>
        <v>View</v>
      </c>
      <c r="V2753" s="8"/>
      <c r="W2753" s="8"/>
      <c r="X2753" s="8"/>
      <c r="Y2753" s="8"/>
      <c r="Z2753" s="8"/>
    </row>
    <row r="2754" spans="1:26" ht="12.75">
      <c r="A2754" s="11">
        <v>43747.192476851851</v>
      </c>
      <c r="B2754" s="12" t="str">
        <f>HYPERLINK("https://twitter.com/erhancelil","@erhancelil")</f>
        <v>@erhancelil</v>
      </c>
      <c r="C2754" s="7" t="s">
        <v>2936</v>
      </c>
      <c r="D2754" s="7" t="s">
        <v>16500</v>
      </c>
      <c r="E2754" s="12" t="str">
        <f>HYPERLINK("https://twitter.com/erhancelil/status/1181896380627001346","1181896380627001346")</f>
        <v>1181896380627001346</v>
      </c>
      <c r="F2754" s="8"/>
      <c r="G2754" s="15"/>
      <c r="H2754" s="8"/>
      <c r="I2754" s="15">
        <v>0</v>
      </c>
      <c r="J2754" s="15">
        <v>1</v>
      </c>
      <c r="K2754" s="12" t="str">
        <f>HYPERLINK("http://twitter.com/download/iphone","Twitter for iPhone")</f>
        <v>Twitter for iPhone</v>
      </c>
      <c r="L2754" s="16">
        <v>141</v>
      </c>
      <c r="M2754" s="16">
        <v>115</v>
      </c>
      <c r="N2754" s="16">
        <v>0</v>
      </c>
      <c r="O2754" s="17"/>
      <c r="P2754" s="18">
        <v>39886.179282407407</v>
      </c>
      <c r="Q2754" s="7"/>
      <c r="R2754" s="7" t="s">
        <v>16501</v>
      </c>
      <c r="S2754" s="7"/>
      <c r="T2754" s="8"/>
      <c r="U2754" s="19" t="str">
        <f>HYPERLINK("https://pbs.twimg.com/profile_images/1144832753197899776/oYvUsInU.jpg","View")</f>
        <v>View</v>
      </c>
      <c r="V2754" s="8"/>
      <c r="W2754" s="8"/>
      <c r="X2754" s="8"/>
      <c r="Y2754" s="8"/>
      <c r="Z2754" s="8"/>
    </row>
    <row r="2755" spans="1:26" ht="12.75">
      <c r="A2755" s="11">
        <v>43747.192349537036</v>
      </c>
      <c r="B2755" s="12" t="str">
        <f>HYPERLINK("https://twitter.com/investinginMor1","@investinginMor1")</f>
        <v>@investinginMor1</v>
      </c>
      <c r="C2755" s="7" t="s">
        <v>16502</v>
      </c>
      <c r="D2755" s="7" t="s">
        <v>16503</v>
      </c>
      <c r="E2755" s="12" t="str">
        <f>HYPERLINK("https://twitter.com/investinginMor1/status/1181896337069133826","1181896337069133826")</f>
        <v>1181896337069133826</v>
      </c>
      <c r="F2755" s="14" t="s">
        <v>16504</v>
      </c>
      <c r="G2755" s="14" t="s">
        <v>16505</v>
      </c>
      <c r="H2755" s="8"/>
      <c r="I2755" s="15">
        <v>0</v>
      </c>
      <c r="J2755" s="15">
        <v>1</v>
      </c>
      <c r="K2755" s="12" t="str">
        <f>HYPERLINK("https://mobile.twitter.com","Twitter Web App")</f>
        <v>Twitter Web App</v>
      </c>
      <c r="L2755" s="16">
        <v>17</v>
      </c>
      <c r="M2755" s="16">
        <v>27</v>
      </c>
      <c r="N2755" s="16">
        <v>0</v>
      </c>
      <c r="O2755" s="17"/>
      <c r="P2755" s="18">
        <v>43479.168425925927</v>
      </c>
      <c r="Q2755" s="7" t="s">
        <v>16506</v>
      </c>
      <c r="R2755" s="7" t="s">
        <v>16507</v>
      </c>
      <c r="S2755" s="14" t="s">
        <v>16508</v>
      </c>
      <c r="T2755" s="8"/>
      <c r="U2755" s="19" t="str">
        <f>HYPERLINK("https://pbs.twimg.com/profile_images/1084785050833559552/IEQBNZT-.jpg","View")</f>
        <v>View</v>
      </c>
      <c r="V2755" s="8"/>
      <c r="W2755" s="8"/>
      <c r="X2755" s="8"/>
      <c r="Y2755" s="8"/>
      <c r="Z2755" s="8"/>
    </row>
    <row r="2756" spans="1:26" ht="12.75">
      <c r="A2756" s="11">
        <v>43747.192129629635</v>
      </c>
      <c r="B2756" s="12" t="str">
        <f>HYPERLINK("https://twitter.com/duaevim","@duaevim")</f>
        <v>@duaevim</v>
      </c>
      <c r="C2756" s="7" t="s">
        <v>16509</v>
      </c>
      <c r="D2756" s="7" t="s">
        <v>16510</v>
      </c>
      <c r="E2756" s="12" t="str">
        <f>HYPERLINK("https://twitter.com/duaevim/status/1181896256307781632","1181896256307781632")</f>
        <v>1181896256307781632</v>
      </c>
      <c r="F2756" s="8"/>
      <c r="G2756" s="14" t="s">
        <v>16511</v>
      </c>
      <c r="H2756" s="8"/>
      <c r="I2756" s="15">
        <v>0</v>
      </c>
      <c r="J2756" s="15">
        <v>2</v>
      </c>
      <c r="K2756" s="12" t="str">
        <f>HYPERLINK("http://twitter.com/download/android","Twitter for Android")</f>
        <v>Twitter for Android</v>
      </c>
      <c r="L2756" s="16">
        <v>422</v>
      </c>
      <c r="M2756" s="16">
        <v>157</v>
      </c>
      <c r="N2756" s="16">
        <v>1</v>
      </c>
      <c r="O2756" s="17"/>
      <c r="P2756" s="18">
        <v>42900.682708333334</v>
      </c>
      <c r="Q2756" s="7"/>
      <c r="R2756" s="7" t="s">
        <v>16512</v>
      </c>
      <c r="S2756" s="7"/>
      <c r="T2756" s="8"/>
      <c r="U2756" s="19" t="str">
        <f>HYPERLINK("https://pbs.twimg.com/profile_images/970939970700660736/Kydt1oCz.jpg","View")</f>
        <v>View</v>
      </c>
      <c r="V2756" s="8"/>
      <c r="W2756" s="8"/>
      <c r="X2756" s="8"/>
      <c r="Y2756" s="8"/>
      <c r="Z2756" s="8"/>
    </row>
    <row r="2757" spans="1:26" ht="12.75">
      <c r="A2757" s="11">
        <v>43747.192118055551</v>
      </c>
      <c r="B2757" s="12" t="str">
        <f>HYPERLINK("https://twitter.com/apo888888","@apo888888")</f>
        <v>@apo888888</v>
      </c>
      <c r="C2757" s="7" t="s">
        <v>16513</v>
      </c>
      <c r="D2757" s="7" t="s">
        <v>160</v>
      </c>
      <c r="E2757" s="12" t="str">
        <f>HYPERLINK("https://twitter.com/apo888888/status/1181896250402234368","1181896250402234368")</f>
        <v>1181896250402234368</v>
      </c>
      <c r="F2757" s="8"/>
      <c r="G2757" s="15"/>
      <c r="H2757" s="8"/>
      <c r="I2757" s="15">
        <v>0</v>
      </c>
      <c r="J2757" s="15">
        <v>1</v>
      </c>
      <c r="K2757" s="12" t="str">
        <f>HYPERLINK("http://twitter.com/download/android","Twitter for Android")</f>
        <v>Twitter for Android</v>
      </c>
      <c r="L2757" s="16">
        <v>0</v>
      </c>
      <c r="M2757" s="16">
        <v>5</v>
      </c>
      <c r="N2757" s="16">
        <v>0</v>
      </c>
      <c r="O2757" s="17"/>
      <c r="P2757" s="18">
        <v>43746.48269675926</v>
      </c>
      <c r="Q2757" s="7"/>
      <c r="R2757" s="7"/>
      <c r="S2757" s="7"/>
      <c r="T2757" s="8"/>
      <c r="U2757" s="20" t="s">
        <v>354</v>
      </c>
      <c r="V2757" s="8"/>
      <c r="W2757" s="8"/>
      <c r="X2757" s="8"/>
      <c r="Y2757" s="8"/>
      <c r="Z2757" s="8"/>
    </row>
    <row r="2758" spans="1:26" ht="12.75">
      <c r="A2758" s="11">
        <v>43747.192106481481</v>
      </c>
      <c r="B2758" s="12" t="str">
        <f>HYPERLINK("https://twitter.com/HattabMachina","@HattabMachina")</f>
        <v>@HattabMachina</v>
      </c>
      <c r="C2758" s="7" t="s">
        <v>16514</v>
      </c>
      <c r="D2758" s="7" t="s">
        <v>160</v>
      </c>
      <c r="E2758" s="12" t="str">
        <f>HYPERLINK("https://twitter.com/HattabMachina/status/1181896245704572928","1181896245704572928")</f>
        <v>1181896245704572928</v>
      </c>
      <c r="F2758" s="14" t="s">
        <v>16515</v>
      </c>
      <c r="G2758" s="7"/>
      <c r="H2758" s="8"/>
      <c r="I2758" s="15">
        <v>0</v>
      </c>
      <c r="J2758" s="15">
        <v>0</v>
      </c>
      <c r="K2758" s="12" t="str">
        <f>HYPERLINK("https://mobile.twitter.com","Twitter Web App")</f>
        <v>Twitter Web App</v>
      </c>
      <c r="L2758" s="16">
        <v>206</v>
      </c>
      <c r="M2758" s="16">
        <v>40</v>
      </c>
      <c r="N2758" s="16">
        <v>0</v>
      </c>
      <c r="O2758" s="17"/>
      <c r="P2758" s="18">
        <v>43467.532094907408</v>
      </c>
      <c r="Q2758" s="7" t="s">
        <v>668</v>
      </c>
      <c r="R2758" s="7" t="s">
        <v>16516</v>
      </c>
      <c r="S2758" s="14" t="s">
        <v>16517</v>
      </c>
      <c r="T2758" s="8"/>
      <c r="U2758" s="19" t="str">
        <f>HYPERLINK("https://pbs.twimg.com/profile_images/1163312448847392770/xw7gqOhD.jpg","View")</f>
        <v>View</v>
      </c>
      <c r="V2758" s="8"/>
      <c r="W2758" s="8"/>
      <c r="X2758" s="8"/>
      <c r="Y2758" s="8"/>
      <c r="Z2758" s="8"/>
    </row>
    <row r="2759" spans="1:26" ht="12.75">
      <c r="A2759" s="11">
        <v>43747.192071759258</v>
      </c>
      <c r="B2759" s="12" t="str">
        <f>HYPERLINK("https://twitter.com/turgutyavuz25","@turgutyavuz25")</f>
        <v>@turgutyavuz25</v>
      </c>
      <c r="C2759" s="7" t="s">
        <v>16518</v>
      </c>
      <c r="D2759" s="7" t="s">
        <v>16519</v>
      </c>
      <c r="E2759" s="12" t="str">
        <f>HYPERLINK("https://twitter.com/turgutyavuz25/status/1181896234732269568","1181896234732269568")</f>
        <v>1181896234732269568</v>
      </c>
      <c r="F2759" s="8"/>
      <c r="G2759" s="14" t="s">
        <v>16520</v>
      </c>
      <c r="H2759" s="8"/>
      <c r="I2759" s="15">
        <v>0</v>
      </c>
      <c r="J2759" s="15">
        <v>1</v>
      </c>
      <c r="K2759" s="12" t="str">
        <f>HYPERLINK("http://twitter.com/download/android","Twitter for Android")</f>
        <v>Twitter for Android</v>
      </c>
      <c r="L2759" s="16">
        <v>133</v>
      </c>
      <c r="M2759" s="16">
        <v>523</v>
      </c>
      <c r="N2759" s="16">
        <v>0</v>
      </c>
      <c r="O2759" s="17"/>
      <c r="P2759" s="18">
        <v>41454.695185185185</v>
      </c>
      <c r="Q2759" s="7"/>
      <c r="R2759" s="7"/>
      <c r="S2759" s="7"/>
      <c r="T2759" s="8"/>
      <c r="U2759" s="19" t="str">
        <f>HYPERLINK("https://pbs.twimg.com/profile_images/1148215114199384065/94yW4wWQ.jpg","View")</f>
        <v>View</v>
      </c>
      <c r="V2759" s="8"/>
      <c r="W2759" s="8"/>
      <c r="X2759" s="8"/>
      <c r="Y2759" s="8"/>
      <c r="Z2759" s="8"/>
    </row>
    <row r="2760" spans="1:26" ht="12.75">
      <c r="A2760" s="11">
        <v>43747.192060185189</v>
      </c>
      <c r="B2760" s="12" t="str">
        <f>HYPERLINK("https://twitter.com/SalihaUzun38","@SalihaUzun38")</f>
        <v>@SalihaUzun38</v>
      </c>
      <c r="C2760" s="7" t="s">
        <v>16521</v>
      </c>
      <c r="D2760" s="7" t="s">
        <v>16522</v>
      </c>
      <c r="E2760" s="12" t="str">
        <f>HYPERLINK("https://twitter.com/SalihaUzun38/status/1181896230978441222","1181896230978441222")</f>
        <v>1181896230978441222</v>
      </c>
      <c r="F2760" s="15"/>
      <c r="G2760" s="15"/>
      <c r="H2760" s="8"/>
      <c r="I2760" s="15">
        <v>0</v>
      </c>
      <c r="J2760" s="15">
        <v>0</v>
      </c>
      <c r="K2760" s="12" t="str">
        <f>HYPERLINK("http://twitter.com/download/android","Twitter for Android")</f>
        <v>Twitter for Android</v>
      </c>
      <c r="L2760" s="16">
        <v>19</v>
      </c>
      <c r="M2760" s="16">
        <v>90</v>
      </c>
      <c r="N2760" s="16">
        <v>0</v>
      </c>
      <c r="O2760" s="17"/>
      <c r="P2760" s="18">
        <v>41627.953067129631</v>
      </c>
      <c r="Q2760" s="7"/>
      <c r="R2760" s="7"/>
      <c r="S2760" s="15"/>
      <c r="T2760" s="8"/>
      <c r="U2760" s="19" t="str">
        <f>HYPERLINK("https://pbs.twimg.com/profile_images/829686307513327616/ox1mPx3r.jpg","View")</f>
        <v>View</v>
      </c>
      <c r="V2760" s="8"/>
      <c r="W2760" s="8"/>
      <c r="X2760" s="8"/>
      <c r="Y2760" s="8"/>
      <c r="Z2760" s="8"/>
    </row>
    <row r="2761" spans="1:26" ht="12.75">
      <c r="A2761" s="11">
        <v>43747.192060185189</v>
      </c>
      <c r="B2761" s="12" t="str">
        <f>HYPERLINK("https://twitter.com/ArsimaApatay","@ArsimaApatay")</f>
        <v>@ArsimaApatay</v>
      </c>
      <c r="C2761" s="7" t="s">
        <v>16523</v>
      </c>
      <c r="D2761" s="7" t="s">
        <v>16524</v>
      </c>
      <c r="E2761" s="12" t="str">
        <f>HYPERLINK("https://twitter.com/ArsimaApatay/status/1181896228277280770","1181896228277280770")</f>
        <v>1181896228277280770</v>
      </c>
      <c r="F2761" s="8"/>
      <c r="G2761" s="14" t="s">
        <v>16525</v>
      </c>
      <c r="H2761" s="8"/>
      <c r="I2761" s="15">
        <v>0</v>
      </c>
      <c r="J2761" s="15">
        <v>1</v>
      </c>
      <c r="K2761" s="12" t="str">
        <f>HYPERLINK("http://twitter.com","Twitter Web Client")</f>
        <v>Twitter Web Client</v>
      </c>
      <c r="L2761" s="16">
        <v>13</v>
      </c>
      <c r="M2761" s="16">
        <v>0</v>
      </c>
      <c r="N2761" s="16">
        <v>0</v>
      </c>
      <c r="O2761" s="17"/>
      <c r="P2761" s="18">
        <v>43669.009398148148</v>
      </c>
      <c r="Q2761" s="7" t="s">
        <v>5418</v>
      </c>
      <c r="R2761" s="7" t="s">
        <v>2481</v>
      </c>
      <c r="S2761" s="7"/>
      <c r="T2761" s="8"/>
      <c r="U2761" s="19" t="str">
        <f>HYPERLINK("https://pbs.twimg.com/profile_images/1154292094955073536/Q7BGfPgB.jpg","View")</f>
        <v>View</v>
      </c>
      <c r="V2761" s="8"/>
      <c r="W2761" s="8"/>
      <c r="X2761" s="8"/>
      <c r="Y2761" s="8"/>
      <c r="Z2761" s="8"/>
    </row>
    <row r="2762" spans="1:26" ht="12.75">
      <c r="A2762" s="11">
        <v>43747.192037037035</v>
      </c>
      <c r="B2762" s="12" t="str">
        <f>HYPERLINK("https://twitter.com/pusatckr","@pusatckr")</f>
        <v>@pusatckr</v>
      </c>
      <c r="C2762" s="7" t="s">
        <v>16526</v>
      </c>
      <c r="D2762" s="7" t="s">
        <v>16527</v>
      </c>
      <c r="E2762" s="12" t="str">
        <f>HYPERLINK("https://twitter.com/pusatckr/status/1181896223206318081","1181896223206318081")</f>
        <v>1181896223206318081</v>
      </c>
      <c r="F2762" s="8"/>
      <c r="G2762" s="15"/>
      <c r="H2762" s="8"/>
      <c r="I2762" s="15">
        <v>1</v>
      </c>
      <c r="J2762" s="15">
        <v>34</v>
      </c>
      <c r="K2762" s="12" t="str">
        <f>HYPERLINK("http://twitter.com/download/iphone","Twitter for iPhone")</f>
        <v>Twitter for iPhone</v>
      </c>
      <c r="L2762" s="16">
        <v>962</v>
      </c>
      <c r="M2762" s="16">
        <v>591</v>
      </c>
      <c r="N2762" s="16">
        <v>0</v>
      </c>
      <c r="O2762" s="17"/>
      <c r="P2762" s="18">
        <v>43677.240497685183</v>
      </c>
      <c r="Q2762" s="7"/>
      <c r="R2762" s="7" t="s">
        <v>16528</v>
      </c>
      <c r="S2762" s="7"/>
      <c r="T2762" s="8"/>
      <c r="U2762" s="19" t="str">
        <f>HYPERLINK("https://pbs.twimg.com/profile_images/1156546797348818944/o92q_k1C.jpg","View")</f>
        <v>View</v>
      </c>
      <c r="V2762" s="8"/>
      <c r="W2762" s="8"/>
      <c r="X2762" s="8"/>
      <c r="Y2762" s="8"/>
      <c r="Z2762" s="8"/>
    </row>
    <row r="2763" spans="1:26" ht="12.75">
      <c r="A2763" s="11">
        <v>43747.191944444443</v>
      </c>
      <c r="B2763" s="12" t="str">
        <f>HYPERLINK("https://twitter.com/HalilCenebasi","@HalilCenebasi")</f>
        <v>@HalilCenebasi</v>
      </c>
      <c r="C2763" s="13" t="s">
        <v>16529</v>
      </c>
      <c r="D2763" s="7" t="s">
        <v>16530</v>
      </c>
      <c r="E2763" s="12" t="str">
        <f>HYPERLINK("https://twitter.com/HalilCenebasi/status/1181896188750176257","1181896188750176257")</f>
        <v>1181896188750176257</v>
      </c>
      <c r="F2763" s="14" t="s">
        <v>16531</v>
      </c>
      <c r="G2763" s="14" t="s">
        <v>14430</v>
      </c>
      <c r="H2763" s="8"/>
      <c r="I2763" s="15">
        <v>0</v>
      </c>
      <c r="J2763" s="15">
        <v>2</v>
      </c>
      <c r="K2763" s="12" t="str">
        <f>HYPERLINK("http://twitter.com/download/iphone","Twitter for iPhone")</f>
        <v>Twitter for iPhone</v>
      </c>
      <c r="L2763" s="16">
        <v>483</v>
      </c>
      <c r="M2763" s="16">
        <v>330</v>
      </c>
      <c r="N2763" s="16">
        <v>1</v>
      </c>
      <c r="O2763" s="17"/>
      <c r="P2763" s="18">
        <v>41828.298888888887</v>
      </c>
      <c r="Q2763" s="7" t="s">
        <v>313</v>
      </c>
      <c r="R2763" s="7" t="s">
        <v>16532</v>
      </c>
      <c r="S2763" s="7"/>
      <c r="T2763" s="8"/>
      <c r="U2763" s="19" t="str">
        <f>HYPERLINK("https://pbs.twimg.com/profile_images/1133871575160295424/SgQGgUMw.jpg","View")</f>
        <v>View</v>
      </c>
      <c r="V2763" s="8"/>
      <c r="W2763" s="8"/>
      <c r="X2763" s="8"/>
      <c r="Y2763" s="8"/>
      <c r="Z2763" s="8"/>
    </row>
    <row r="2764" spans="1:26" ht="12.75">
      <c r="A2764" s="11">
        <v>43747.191932870366</v>
      </c>
      <c r="B2764" s="12" t="str">
        <f>HYPERLINK("https://twitter.com/omeragdogan","@omeragdogan")</f>
        <v>@omeragdogan</v>
      </c>
      <c r="C2764" s="7" t="s">
        <v>16533</v>
      </c>
      <c r="D2764" s="7" t="s">
        <v>16534</v>
      </c>
      <c r="E2764" s="12" t="str">
        <f>HYPERLINK("https://twitter.com/omeragdogan/status/1181896184346157056","1181896184346157056")</f>
        <v>1181896184346157056</v>
      </c>
      <c r="F2764" s="8"/>
      <c r="G2764" s="14" t="s">
        <v>16535</v>
      </c>
      <c r="H2764" s="8"/>
      <c r="I2764" s="15">
        <v>0</v>
      </c>
      <c r="J2764" s="15">
        <v>1</v>
      </c>
      <c r="K2764" s="12" t="str">
        <f>HYPERLINK("https://mobile.twitter.com","Twitter Web App")</f>
        <v>Twitter Web App</v>
      </c>
      <c r="L2764" s="16">
        <v>1458</v>
      </c>
      <c r="M2764" s="16">
        <v>425</v>
      </c>
      <c r="N2764" s="16">
        <v>8</v>
      </c>
      <c r="O2764" s="17"/>
      <c r="P2764" s="18">
        <v>40731.946597222224</v>
      </c>
      <c r="Q2764" s="7" t="s">
        <v>16536</v>
      </c>
      <c r="R2764" s="7" t="s">
        <v>16537</v>
      </c>
      <c r="S2764" s="14" t="s">
        <v>16538</v>
      </c>
      <c r="T2764" s="8"/>
      <c r="U2764" s="19" t="str">
        <f>HYPERLINK("https://pbs.twimg.com/profile_images/1004749444728999936/Qc0s7f5w.jpg","View")</f>
        <v>View</v>
      </c>
      <c r="V2764" s="8"/>
      <c r="W2764" s="8"/>
      <c r="X2764" s="8"/>
      <c r="Y2764" s="8"/>
      <c r="Z2764" s="8"/>
    </row>
    <row r="2765" spans="1:26" ht="12.75">
      <c r="A2765" s="11">
        <v>43747.191921296297</v>
      </c>
      <c r="B2765" s="12" t="str">
        <f>HYPERLINK("https://twitter.com/MedyaEge","@MedyaEge")</f>
        <v>@MedyaEge</v>
      </c>
      <c r="C2765" s="7" t="s">
        <v>16539</v>
      </c>
      <c r="D2765" s="7" t="s">
        <v>16540</v>
      </c>
      <c r="E2765" s="12" t="str">
        <f>HYPERLINK("https://twitter.com/MedyaEge/status/1181896179069673472","1181896179069673472")</f>
        <v>1181896179069673472</v>
      </c>
      <c r="F2765" s="14" t="s">
        <v>16541</v>
      </c>
      <c r="G2765" s="14" t="s">
        <v>16542</v>
      </c>
      <c r="H2765" s="8"/>
      <c r="I2765" s="15">
        <v>0</v>
      </c>
      <c r="J2765" s="15">
        <v>7</v>
      </c>
      <c r="K2765" s="12" t="str">
        <f>HYPERLINK("https://mobile.twitter.com","Twitter Web App")</f>
        <v>Twitter Web App</v>
      </c>
      <c r="L2765" s="16">
        <v>285969</v>
      </c>
      <c r="M2765" s="16">
        <v>226663</v>
      </c>
      <c r="N2765" s="16">
        <v>137</v>
      </c>
      <c r="O2765" s="17" t="s">
        <v>984</v>
      </c>
      <c r="P2765" s="18">
        <v>42163.217858796299</v>
      </c>
      <c r="Q2765" s="7" t="s">
        <v>200</v>
      </c>
      <c r="R2765" s="7" t="s">
        <v>16543</v>
      </c>
      <c r="S2765" s="14" t="s">
        <v>16544</v>
      </c>
      <c r="T2765" s="8"/>
      <c r="U2765" s="19" t="str">
        <f>HYPERLINK("https://pbs.twimg.com/profile_images/819205385068355584/BrsLKe1E.jpg","View")</f>
        <v>View</v>
      </c>
      <c r="V2765" s="8"/>
      <c r="W2765" s="8"/>
      <c r="X2765" s="8"/>
      <c r="Y2765" s="8"/>
      <c r="Z2765" s="8"/>
    </row>
    <row r="2766" spans="1:26" ht="12.75">
      <c r="A2766" s="11">
        <v>43747.191666666666</v>
      </c>
      <c r="B2766" s="12" t="str">
        <f>HYPERLINK("https://twitter.com/munip_morali","@munip_morali")</f>
        <v>@munip_morali</v>
      </c>
      <c r="C2766" s="7" t="s">
        <v>16545</v>
      </c>
      <c r="D2766" s="7" t="s">
        <v>16546</v>
      </c>
      <c r="E2766" s="12" t="str">
        <f>HYPERLINK("https://twitter.com/munip_morali/status/1181896088481124352","1181896088481124352")</f>
        <v>1181896088481124352</v>
      </c>
      <c r="F2766" s="8"/>
      <c r="G2766" s="14" t="s">
        <v>16547</v>
      </c>
      <c r="H2766" s="12" t="str">
        <f>HYPERLINK("https://ctrlq.org/maps/address/#41.037511,28.968376","Map")</f>
        <v>Map</v>
      </c>
      <c r="I2766" s="15">
        <v>0</v>
      </c>
      <c r="J2766" s="15">
        <v>1</v>
      </c>
      <c r="K2766" s="12" t="str">
        <f>HYPERLINK("http://twitter.com/download/iphone","Twitter for iPhone")</f>
        <v>Twitter for iPhone</v>
      </c>
      <c r="L2766" s="16">
        <v>0</v>
      </c>
      <c r="M2766" s="16">
        <v>0</v>
      </c>
      <c r="N2766" s="16">
        <v>0</v>
      </c>
      <c r="O2766" s="17"/>
      <c r="P2766" s="18">
        <v>43685.837083333332</v>
      </c>
      <c r="Q2766" s="7" t="s">
        <v>576</v>
      </c>
      <c r="R2766" s="7" t="s">
        <v>16548</v>
      </c>
      <c r="S2766" s="14" t="s">
        <v>16549</v>
      </c>
      <c r="T2766" s="8"/>
      <c r="U2766" s="19" t="str">
        <f>HYPERLINK("https://pbs.twimg.com/profile_images/1160841995679686656/_Xcb4wb6.jpg","View")</f>
        <v>View</v>
      </c>
      <c r="V2766" s="8"/>
      <c r="W2766" s="8"/>
      <c r="X2766" s="8"/>
      <c r="Y2766" s="8"/>
      <c r="Z2766" s="8"/>
    </row>
    <row r="2767" spans="1:26" ht="12.75">
      <c r="A2767" s="11">
        <v>43747.19131944445</v>
      </c>
      <c r="B2767" s="12" t="str">
        <f>HYPERLINK("https://twitter.com/nowalkalone","@nowalkalone")</f>
        <v>@nowalkalone</v>
      </c>
      <c r="C2767" s="7" t="s">
        <v>16550</v>
      </c>
      <c r="D2767" s="7" t="s">
        <v>16551</v>
      </c>
      <c r="E2767" s="12" t="str">
        <f>HYPERLINK("https://twitter.com/nowalkalone/status/1181895961095888899","1181895961095888899")</f>
        <v>1181895961095888899</v>
      </c>
      <c r="F2767" s="8"/>
      <c r="G2767" s="7"/>
      <c r="H2767" s="8"/>
      <c r="I2767" s="15">
        <v>0</v>
      </c>
      <c r="J2767" s="15">
        <v>0</v>
      </c>
      <c r="K2767" s="12" t="str">
        <f>HYPERLINK("http://twitter.com/download/iphone","Twitter for iPhone")</f>
        <v>Twitter for iPhone</v>
      </c>
      <c r="L2767" s="16">
        <v>98</v>
      </c>
      <c r="M2767" s="16">
        <v>391</v>
      </c>
      <c r="N2767" s="16">
        <v>1</v>
      </c>
      <c r="O2767" s="17"/>
      <c r="P2767" s="18">
        <v>41662.209201388891</v>
      </c>
      <c r="Q2767" s="7" t="s">
        <v>16552</v>
      </c>
      <c r="R2767" s="7" t="s">
        <v>16553</v>
      </c>
      <c r="S2767" s="15"/>
      <c r="T2767" s="8"/>
      <c r="U2767" s="19" t="str">
        <f>HYPERLINK("https://pbs.twimg.com/profile_images/892512704933634048/XmtpXc4s.jpg","View")</f>
        <v>View</v>
      </c>
      <c r="V2767" s="8"/>
      <c r="W2767" s="8"/>
      <c r="X2767" s="8"/>
      <c r="Y2767" s="8"/>
      <c r="Z2767" s="8"/>
    </row>
    <row r="2768" spans="1:26" ht="12.75">
      <c r="A2768" s="11">
        <v>43747.19131944445</v>
      </c>
      <c r="B2768" s="12" t="str">
        <f>HYPERLINK("https://twitter.com/KhanzadMajid","@KhanzadMajid")</f>
        <v>@KhanzadMajid</v>
      </c>
      <c r="C2768" s="7" t="s">
        <v>16554</v>
      </c>
      <c r="D2768" s="7" t="s">
        <v>16555</v>
      </c>
      <c r="E2768" s="12" t="str">
        <f>HYPERLINK("https://twitter.com/KhanzadMajid/status/1181895960814854144","1181895960814854144")</f>
        <v>1181895960814854144</v>
      </c>
      <c r="F2768" s="8"/>
      <c r="G2768" s="15"/>
      <c r="H2768" s="8"/>
      <c r="I2768" s="15">
        <v>0</v>
      </c>
      <c r="J2768" s="15">
        <v>0</v>
      </c>
      <c r="K2768" s="12" t="str">
        <f>HYPERLINK("http://twitter.com/download/android","Twitter for Android")</f>
        <v>Twitter for Android</v>
      </c>
      <c r="L2768" s="16">
        <v>33</v>
      </c>
      <c r="M2768" s="16">
        <v>75</v>
      </c>
      <c r="N2768" s="16">
        <v>0</v>
      </c>
      <c r="O2768" s="17"/>
      <c r="P2768" s="18">
        <v>43432.343854166669</v>
      </c>
      <c r="Q2768" s="7" t="s">
        <v>16556</v>
      </c>
      <c r="R2768" s="7" t="s">
        <v>16557</v>
      </c>
      <c r="S2768" s="7"/>
      <c r="T2768" s="8"/>
      <c r="U2768" s="19" t="str">
        <f>HYPERLINK("https://pbs.twimg.com/profile_images/1149206154662285312/EbsAXlQw.jpg","View")</f>
        <v>View</v>
      </c>
      <c r="V2768" s="8"/>
      <c r="W2768" s="8"/>
      <c r="X2768" s="8"/>
      <c r="Y2768" s="8"/>
      <c r="Z2768" s="8"/>
    </row>
    <row r="2769" spans="1:26" ht="12.75">
      <c r="A2769" s="11">
        <v>43747.191261574073</v>
      </c>
      <c r="B2769" s="12" t="str">
        <f>HYPERLINK("https://twitter.com/SivilKuvvet001","@SivilKuvvet001")</f>
        <v>@SivilKuvvet001</v>
      </c>
      <c r="C2769" s="7" t="s">
        <v>16558</v>
      </c>
      <c r="D2769" s="7" t="s">
        <v>16559</v>
      </c>
      <c r="E2769" s="12" t="str">
        <f>HYPERLINK("https://twitter.com/SivilKuvvet001/status/1181895941378457600","1181895941378457600")</f>
        <v>1181895941378457600</v>
      </c>
      <c r="F2769" s="8"/>
      <c r="G2769" s="14" t="s">
        <v>16560</v>
      </c>
      <c r="H2769" s="8"/>
      <c r="I2769" s="15">
        <v>0</v>
      </c>
      <c r="J2769" s="15">
        <v>0</v>
      </c>
      <c r="K2769" s="12" t="str">
        <f>HYPERLINK("http://twitter.com/download/android","Twitter for Android")</f>
        <v>Twitter for Android</v>
      </c>
      <c r="L2769" s="16">
        <v>2309</v>
      </c>
      <c r="M2769" s="16">
        <v>3054</v>
      </c>
      <c r="N2769" s="16">
        <v>0</v>
      </c>
      <c r="O2769" s="17"/>
      <c r="P2769" s="18">
        <v>41955.309537037036</v>
      </c>
      <c r="Q2769" s="7" t="s">
        <v>13095</v>
      </c>
      <c r="R2769" s="7" t="s">
        <v>16561</v>
      </c>
      <c r="S2769" s="7"/>
      <c r="T2769" s="8"/>
      <c r="U2769" s="19" t="str">
        <f>HYPERLINK("https://pbs.twimg.com/profile_images/1181328595941285888/soH2c6qW.jpg","View")</f>
        <v>View</v>
      </c>
      <c r="V2769" s="8"/>
      <c r="W2769" s="8"/>
      <c r="X2769" s="8"/>
      <c r="Y2769" s="8"/>
      <c r="Z2769" s="8"/>
    </row>
    <row r="2770" spans="1:26" ht="12.75">
      <c r="A2770" s="11">
        <v>43747.19121527778</v>
      </c>
      <c r="B2770" s="12" t="str">
        <f>HYPERLINK("https://twitter.com/sen_hayirdirYha","@sen_hayirdirYha")</f>
        <v>@sen_hayirdirYha</v>
      </c>
      <c r="C2770" s="7" t="s">
        <v>16562</v>
      </c>
      <c r="D2770" s="7" t="s">
        <v>16563</v>
      </c>
      <c r="E2770" s="12" t="str">
        <f>HYPERLINK("https://twitter.com/sen_hayirdirYha/status/1181895925167468544","1181895925167468544")</f>
        <v>1181895925167468544</v>
      </c>
      <c r="F2770" s="8"/>
      <c r="G2770" s="15"/>
      <c r="H2770" s="8"/>
      <c r="I2770" s="15">
        <v>0</v>
      </c>
      <c r="J2770" s="15">
        <v>0</v>
      </c>
      <c r="K2770" s="12" t="str">
        <f>HYPERLINK("http://twitter.com/download/android","Twitter for Android")</f>
        <v>Twitter for Android</v>
      </c>
      <c r="L2770" s="16">
        <v>15</v>
      </c>
      <c r="M2770" s="16">
        <v>74</v>
      </c>
      <c r="N2770" s="16">
        <v>0</v>
      </c>
      <c r="O2770" s="17"/>
      <c r="P2770" s="18">
        <v>43482.475706018522</v>
      </c>
      <c r="Q2770" s="7"/>
      <c r="R2770" s="7" t="s">
        <v>16564</v>
      </c>
      <c r="S2770" s="7"/>
      <c r="T2770" s="8"/>
      <c r="U2770" s="19" t="str">
        <f>HYPERLINK("https://pbs.twimg.com/profile_images/1097462577221812226/lv_waoBN.jpg","View")</f>
        <v>View</v>
      </c>
      <c r="V2770" s="8"/>
      <c r="W2770" s="8"/>
      <c r="X2770" s="8"/>
      <c r="Y2770" s="8"/>
      <c r="Z2770" s="8"/>
    </row>
    <row r="2771" spans="1:26" ht="12.75">
      <c r="A2771" s="11">
        <v>43747.191180555557</v>
      </c>
      <c r="B2771" s="12" t="str">
        <f>HYPERLINK("https://twitter.com/AydinKemal46","@AydinKemal46")</f>
        <v>@AydinKemal46</v>
      </c>
      <c r="C2771" s="7" t="s">
        <v>16565</v>
      </c>
      <c r="D2771" s="7" t="s">
        <v>16566</v>
      </c>
      <c r="E2771" s="12" t="str">
        <f>HYPERLINK("https://twitter.com/AydinKemal46/status/1181895911439515648","1181895911439515648")</f>
        <v>1181895911439515648</v>
      </c>
      <c r="F2771" s="15"/>
      <c r="G2771" s="7"/>
      <c r="H2771" s="8"/>
      <c r="I2771" s="15">
        <v>0</v>
      </c>
      <c r="J2771" s="15">
        <v>1</v>
      </c>
      <c r="K2771" s="12" t="str">
        <f>HYPERLINK("https://mobile.twitter.com","Twitter Web App")</f>
        <v>Twitter Web App</v>
      </c>
      <c r="L2771" s="16">
        <v>9162</v>
      </c>
      <c r="M2771" s="16">
        <v>8059</v>
      </c>
      <c r="N2771" s="16">
        <v>1</v>
      </c>
      <c r="O2771" s="17"/>
      <c r="P2771" s="18">
        <v>42362.949745370366</v>
      </c>
      <c r="Q2771" s="7" t="s">
        <v>200</v>
      </c>
      <c r="R2771" s="7" t="s">
        <v>16567</v>
      </c>
      <c r="S2771" s="7"/>
      <c r="T2771" s="8"/>
      <c r="U2771" s="19" t="str">
        <f>HYPERLINK("https://pbs.twimg.com/profile_images/1151026385533767680/cTsgURyy.jpg","View")</f>
        <v>View</v>
      </c>
      <c r="V2771" s="8"/>
      <c r="W2771" s="8"/>
      <c r="X2771" s="8"/>
      <c r="Y2771" s="8"/>
      <c r="Z2771" s="8"/>
    </row>
    <row r="2772" spans="1:26" ht="12.75">
      <c r="A2772" s="11">
        <v>43747.191076388888</v>
      </c>
      <c r="B2772" s="12" t="str">
        <f>HYPERLINK("https://twitter.com/sedat_derin","@sedat_derin")</f>
        <v>@sedat_derin</v>
      </c>
      <c r="C2772" s="7" t="s">
        <v>16568</v>
      </c>
      <c r="D2772" s="7" t="s">
        <v>16569</v>
      </c>
      <c r="E2772" s="12" t="str">
        <f>HYPERLINK("https://twitter.com/sedat_derin/status/1181895872302465024","1181895872302465024")</f>
        <v>1181895872302465024</v>
      </c>
      <c r="F2772" s="8"/>
      <c r="G2772" s="14" t="s">
        <v>16570</v>
      </c>
      <c r="H2772" s="8"/>
      <c r="I2772" s="15">
        <v>1</v>
      </c>
      <c r="J2772" s="15">
        <v>2</v>
      </c>
      <c r="K2772" s="12" t="str">
        <f>HYPERLINK("http://twitter.com/download/android","Twitter for Android")</f>
        <v>Twitter for Android</v>
      </c>
      <c r="L2772" s="16">
        <v>260</v>
      </c>
      <c r="M2772" s="16">
        <v>92</v>
      </c>
      <c r="N2772" s="16">
        <v>0</v>
      </c>
      <c r="O2772" s="17"/>
      <c r="P2772" s="18">
        <v>43399.455208333333</v>
      </c>
      <c r="Q2772" s="7" t="s">
        <v>313</v>
      </c>
      <c r="R2772" s="7" t="s">
        <v>16571</v>
      </c>
      <c r="S2772" s="7"/>
      <c r="T2772" s="8"/>
      <c r="U2772" s="19" t="str">
        <f>HYPERLINK("https://pbs.twimg.com/profile_images/1179450107508465664/8xsGfsrs.jpg","View")</f>
        <v>View</v>
      </c>
      <c r="V2772" s="8"/>
      <c r="W2772" s="8"/>
      <c r="X2772" s="8"/>
      <c r="Y2772" s="8"/>
      <c r="Z2772" s="8"/>
    </row>
    <row r="2773" spans="1:26" ht="12.75">
      <c r="A2773" s="11">
        <v>43747.190995370373</v>
      </c>
      <c r="B2773" s="12" t="str">
        <f>HYPERLINK("https://twitter.com/MertGlt72906881","@MertGlt72906881")</f>
        <v>@MertGlt72906881</v>
      </c>
      <c r="C2773" s="7" t="s">
        <v>16572</v>
      </c>
      <c r="D2773" s="7" t="s">
        <v>160</v>
      </c>
      <c r="E2773" s="12" t="str">
        <f>HYPERLINK("https://twitter.com/MertGlt72906881/status/1181895843554762752","1181895843554762752")</f>
        <v>1181895843554762752</v>
      </c>
      <c r="F2773" s="8"/>
      <c r="G2773" s="7"/>
      <c r="H2773" s="8"/>
      <c r="I2773" s="15">
        <v>0</v>
      </c>
      <c r="J2773" s="15">
        <v>0</v>
      </c>
      <c r="K2773" s="12" t="str">
        <f>HYPERLINK("http://twitter.com/download/android","Twitter for Android")</f>
        <v>Twitter for Android</v>
      </c>
      <c r="L2773" s="16">
        <v>31</v>
      </c>
      <c r="M2773" s="16">
        <v>63</v>
      </c>
      <c r="N2773" s="16">
        <v>0</v>
      </c>
      <c r="O2773" s="17"/>
      <c r="P2773" s="18">
        <v>43304.341342592597</v>
      </c>
      <c r="Q2773" s="7"/>
      <c r="R2773" s="7" t="s">
        <v>16573</v>
      </c>
      <c r="S2773" s="15"/>
      <c r="T2773" s="8"/>
      <c r="U2773" s="19" t="str">
        <f>HYPERLINK("https://pbs.twimg.com/profile_images/1084554183083208705/EdJgwKEv.jpg","View")</f>
        <v>View</v>
      </c>
      <c r="V2773" s="8"/>
      <c r="W2773" s="8"/>
      <c r="X2773" s="8"/>
      <c r="Y2773" s="8"/>
      <c r="Z2773" s="8"/>
    </row>
    <row r="2774" spans="1:26" ht="12.75">
      <c r="A2774" s="11">
        <v>43747.190891203703</v>
      </c>
      <c r="B2774" s="12" t="str">
        <f>HYPERLINK("https://twitter.com/yavuziyik0","@yavuziyik0")</f>
        <v>@yavuziyik0</v>
      </c>
      <c r="C2774" s="7" t="s">
        <v>16574</v>
      </c>
      <c r="D2774" s="7" t="s">
        <v>16575</v>
      </c>
      <c r="E2774" s="12" t="str">
        <f>HYPERLINK("https://twitter.com/yavuziyik0/status/1181895808310009857","1181895808310009857")</f>
        <v>1181895808310009857</v>
      </c>
      <c r="F2774" s="8"/>
      <c r="G2774" s="7"/>
      <c r="H2774" s="8"/>
      <c r="I2774" s="15">
        <v>0</v>
      </c>
      <c r="J2774" s="15">
        <v>1</v>
      </c>
      <c r="K2774" s="12" t="str">
        <f>HYPERLINK("http://twitter.com/download/iphone","Twitter for iPhone")</f>
        <v>Twitter for iPhone</v>
      </c>
      <c r="L2774" s="16">
        <v>32</v>
      </c>
      <c r="M2774" s="16">
        <v>48</v>
      </c>
      <c r="N2774" s="16">
        <v>0</v>
      </c>
      <c r="O2774" s="17"/>
      <c r="P2774" s="18">
        <v>43654.795451388884</v>
      </c>
      <c r="Q2774" s="7"/>
      <c r="R2774" s="7" t="s">
        <v>6539</v>
      </c>
      <c r="S2774" s="7"/>
      <c r="T2774" s="8"/>
      <c r="U2774" s="19" t="str">
        <f>HYPERLINK("https://pbs.twimg.com/profile_images/1159750229396250624/DsR7sbN2.jpg","View")</f>
        <v>View</v>
      </c>
      <c r="V2774" s="8"/>
      <c r="W2774" s="8"/>
      <c r="X2774" s="8"/>
      <c r="Y2774" s="8"/>
      <c r="Z2774" s="8"/>
    </row>
    <row r="2775" spans="1:26" ht="12.75">
      <c r="A2775" s="11">
        <v>43747.190775462965</v>
      </c>
      <c r="B2775" s="12" t="str">
        <f>HYPERLINK("https://twitter.com/upolat34","@upolat34")</f>
        <v>@upolat34</v>
      </c>
      <c r="C2775" s="7" t="s">
        <v>16021</v>
      </c>
      <c r="D2775" s="7" t="s">
        <v>16576</v>
      </c>
      <c r="E2775" s="12" t="str">
        <f>HYPERLINK("https://twitter.com/upolat34/status/1181895764513038336","1181895764513038336")</f>
        <v>1181895764513038336</v>
      </c>
      <c r="F2775" s="8"/>
      <c r="G2775" s="7"/>
      <c r="H2775" s="8"/>
      <c r="I2775" s="15">
        <v>0</v>
      </c>
      <c r="J2775" s="15">
        <v>0</v>
      </c>
      <c r="K2775" s="12" t="str">
        <f>HYPERLINK("https://mobile.twitter.com","Twitter Web App")</f>
        <v>Twitter Web App</v>
      </c>
      <c r="L2775" s="16">
        <v>94</v>
      </c>
      <c r="M2775" s="16">
        <v>61</v>
      </c>
      <c r="N2775" s="16">
        <v>0</v>
      </c>
      <c r="O2775" s="17"/>
      <c r="P2775" s="18">
        <v>41147.350370370368</v>
      </c>
      <c r="Q2775" s="7" t="s">
        <v>576</v>
      </c>
      <c r="R2775" s="7"/>
      <c r="S2775" s="7"/>
      <c r="T2775" s="8"/>
      <c r="U2775" s="19" t="str">
        <f>HYPERLINK("https://pbs.twimg.com/profile_images/1175033836465508353/LRR4JgFc.jpg","View")</f>
        <v>View</v>
      </c>
      <c r="V2775" s="8"/>
      <c r="W2775" s="8"/>
      <c r="X2775" s="8"/>
      <c r="Y2775" s="8"/>
      <c r="Z2775" s="8"/>
    </row>
    <row r="2776" spans="1:26" ht="12.75">
      <c r="A2776" s="11">
        <v>43747.190729166672</v>
      </c>
      <c r="B2776" s="12" t="str">
        <f>HYPERLINK("https://twitter.com/officialsevgi","@officialsevgi")</f>
        <v>@officialsevgi</v>
      </c>
      <c r="C2776" s="7" t="s">
        <v>16577</v>
      </c>
      <c r="D2776" s="7" t="s">
        <v>16578</v>
      </c>
      <c r="E2776" s="12" t="str">
        <f>HYPERLINK("https://twitter.com/officialsevgi/status/1181895746808946688","1181895746808946688")</f>
        <v>1181895746808946688</v>
      </c>
      <c r="F2776" s="8"/>
      <c r="G2776" s="14" t="s">
        <v>16579</v>
      </c>
      <c r="H2776" s="8"/>
      <c r="I2776" s="15">
        <v>0</v>
      </c>
      <c r="J2776" s="15">
        <v>2</v>
      </c>
      <c r="K2776" s="12" t="str">
        <f>HYPERLINK("http://twitter.com/download/android","Twitter for Android")</f>
        <v>Twitter for Android</v>
      </c>
      <c r="L2776" s="16">
        <v>692</v>
      </c>
      <c r="M2776" s="16">
        <v>863</v>
      </c>
      <c r="N2776" s="16">
        <v>0</v>
      </c>
      <c r="O2776" s="17"/>
      <c r="P2776" s="18">
        <v>41132.529629629629</v>
      </c>
      <c r="Q2776" s="7" t="s">
        <v>2277</v>
      </c>
      <c r="R2776" s="7" t="s">
        <v>16580</v>
      </c>
      <c r="S2776" s="7"/>
      <c r="T2776" s="8"/>
      <c r="U2776" s="19" t="str">
        <f>HYPERLINK("https://pbs.twimg.com/profile_images/1181248857616916481/waMD1I22.jpg","View")</f>
        <v>View</v>
      </c>
      <c r="V2776" s="8"/>
      <c r="W2776" s="8"/>
      <c r="X2776" s="8"/>
      <c r="Y2776" s="8"/>
      <c r="Z2776" s="8"/>
    </row>
    <row r="2777" spans="1:26" ht="12.75">
      <c r="A2777" s="11">
        <v>43747.190717592588</v>
      </c>
      <c r="B2777" s="12" t="str">
        <f>HYPERLINK("https://twitter.com/BozkurtOta1","@BozkurtOta1")</f>
        <v>@BozkurtOta1</v>
      </c>
      <c r="C2777" s="7" t="s">
        <v>16581</v>
      </c>
      <c r="D2777" s="7" t="s">
        <v>16582</v>
      </c>
      <c r="E2777" s="12" t="str">
        <f>HYPERLINK("https://twitter.com/BozkurtOta1/status/1181895743579275264","1181895743579275264")</f>
        <v>1181895743579275264</v>
      </c>
      <c r="F2777" s="8"/>
      <c r="G2777" s="14" t="s">
        <v>16583</v>
      </c>
      <c r="H2777" s="8"/>
      <c r="I2777" s="15">
        <v>0</v>
      </c>
      <c r="J2777" s="15">
        <v>3</v>
      </c>
      <c r="K2777" s="12" t="str">
        <f>HYPERLINK("http://twitter.com/download/android","Twitter for Android")</f>
        <v>Twitter for Android</v>
      </c>
      <c r="L2777" s="16">
        <v>920</v>
      </c>
      <c r="M2777" s="16">
        <v>970</v>
      </c>
      <c r="N2777" s="16">
        <v>0</v>
      </c>
      <c r="O2777" s="17"/>
      <c r="P2777" s="18">
        <v>43672.183715277773</v>
      </c>
      <c r="Q2777" s="7"/>
      <c r="R2777" s="7" t="s">
        <v>16584</v>
      </c>
      <c r="S2777" s="7"/>
      <c r="T2777" s="8"/>
      <c r="U2777" s="19" t="str">
        <f>HYPERLINK("https://pbs.twimg.com/profile_images/1177897284903849989/RrANA4Px.jpg","View")</f>
        <v>View</v>
      </c>
      <c r="V2777" s="8"/>
      <c r="W2777" s="8"/>
      <c r="X2777" s="8"/>
      <c r="Y2777" s="8"/>
      <c r="Z2777" s="8"/>
    </row>
    <row r="2778" spans="1:26" ht="12.75">
      <c r="A2778" s="11">
        <v>43747.190717592588</v>
      </c>
      <c r="B2778" s="12" t="str">
        <f>HYPERLINK("https://twitter.com/antoinecassand","@antoinecassand")</f>
        <v>@antoinecassand</v>
      </c>
      <c r="C2778" s="7" t="s">
        <v>16585</v>
      </c>
      <c r="D2778" s="7" t="s">
        <v>160</v>
      </c>
      <c r="E2778" s="12" t="str">
        <f>HYPERLINK("https://twitter.com/antoinecassand/status/1181895743021473799","1181895743021473799")</f>
        <v>1181895743021473799</v>
      </c>
      <c r="F2778" s="8"/>
      <c r="G2778" s="15"/>
      <c r="H2778" s="8"/>
      <c r="I2778" s="15">
        <v>0</v>
      </c>
      <c r="J2778" s="15">
        <v>0</v>
      </c>
      <c r="K2778" s="12" t="str">
        <f>HYPERLINK("http://twitter.com/download/android","Twitter for Android")</f>
        <v>Twitter for Android</v>
      </c>
      <c r="L2778" s="16">
        <v>239</v>
      </c>
      <c r="M2778" s="16">
        <v>863</v>
      </c>
      <c r="N2778" s="16">
        <v>0</v>
      </c>
      <c r="O2778" s="17"/>
      <c r="P2778" s="18">
        <v>40199.472361111111</v>
      </c>
      <c r="Q2778" s="7" t="s">
        <v>16586</v>
      </c>
      <c r="R2778" s="7"/>
      <c r="S2778" s="7"/>
      <c r="T2778" s="8"/>
      <c r="U2778" s="19" t="str">
        <f>HYPERLINK("https://pbs.twimg.com/profile_images/1170241897467715589/1EWrH5vq.jpg","View")</f>
        <v>View</v>
      </c>
      <c r="V2778" s="8"/>
      <c r="W2778" s="8"/>
      <c r="X2778" s="8"/>
      <c r="Y2778" s="8"/>
      <c r="Z2778" s="8"/>
    </row>
    <row r="2779" spans="1:26" ht="12.75">
      <c r="A2779" s="11">
        <v>43747.190706018519</v>
      </c>
      <c r="B2779" s="12" t="str">
        <f>HYPERLINK("https://twitter.com/Crenbas","@Crenbas")</f>
        <v>@Crenbas</v>
      </c>
      <c r="C2779" s="7" t="s">
        <v>16587</v>
      </c>
      <c r="D2779" s="7" t="s">
        <v>16588</v>
      </c>
      <c r="E2779" s="12" t="str">
        <f>HYPERLINK("https://twitter.com/Crenbas/status/1181895739066191878","1181895739066191878")</f>
        <v>1181895739066191878</v>
      </c>
      <c r="F2779" s="8"/>
      <c r="G2779" s="7"/>
      <c r="H2779" s="8"/>
      <c r="I2779" s="15">
        <v>1</v>
      </c>
      <c r="J2779" s="15">
        <v>2</v>
      </c>
      <c r="K2779" s="12" t="str">
        <f>HYPERLINK("http://twitter.com/download/iphone","Twitter for iPhone")</f>
        <v>Twitter for iPhone</v>
      </c>
      <c r="L2779" s="16">
        <v>4329</v>
      </c>
      <c r="M2779" s="16">
        <v>2399</v>
      </c>
      <c r="N2779" s="16">
        <v>6</v>
      </c>
      <c r="O2779" s="17"/>
      <c r="P2779" s="18">
        <v>41342.466747685183</v>
      </c>
      <c r="Q2779" s="7" t="s">
        <v>1850</v>
      </c>
      <c r="R2779" s="7" t="s">
        <v>16589</v>
      </c>
      <c r="S2779" s="7"/>
      <c r="T2779" s="8"/>
      <c r="U2779" s="19" t="str">
        <f>HYPERLINK("https://pbs.twimg.com/profile_images/1181896438424444928/WuTE9Uk5.jpg","View")</f>
        <v>View</v>
      </c>
      <c r="V2779" s="8"/>
      <c r="W2779" s="8"/>
      <c r="X2779" s="8"/>
      <c r="Y2779" s="8"/>
      <c r="Z2779" s="8"/>
    </row>
    <row r="2780" spans="1:26" ht="12.75">
      <c r="A2780" s="11">
        <v>43747.190567129626</v>
      </c>
      <c r="B2780" s="12" t="str">
        <f>HYPERLINK("https://twitter.com/EmirFatih_1453","@EmirFatih_1453")</f>
        <v>@EmirFatih_1453</v>
      </c>
      <c r="C2780" s="7" t="s">
        <v>16590</v>
      </c>
      <c r="D2780" s="7" t="s">
        <v>16591</v>
      </c>
      <c r="E2780" s="12" t="str">
        <f>HYPERLINK("https://twitter.com/EmirFatih_1453/status/1181895687090397185","1181895687090397185")</f>
        <v>1181895687090397185</v>
      </c>
      <c r="F2780" s="8"/>
      <c r="G2780" s="14" t="s">
        <v>16592</v>
      </c>
      <c r="H2780" s="8"/>
      <c r="I2780" s="15">
        <v>0</v>
      </c>
      <c r="J2780" s="15">
        <v>0</v>
      </c>
      <c r="K2780" s="12" t="str">
        <f>HYPERLINK("http://twitter.com/download/android","Twitter for Android")</f>
        <v>Twitter for Android</v>
      </c>
      <c r="L2780" s="16">
        <v>400</v>
      </c>
      <c r="M2780" s="16">
        <v>684</v>
      </c>
      <c r="N2780" s="16">
        <v>1</v>
      </c>
      <c r="O2780" s="17"/>
      <c r="P2780" s="18">
        <v>41466.983414351853</v>
      </c>
      <c r="Q2780" s="7" t="s">
        <v>313</v>
      </c>
      <c r="R2780" s="7" t="s">
        <v>16593</v>
      </c>
      <c r="S2780" s="7"/>
      <c r="T2780" s="8"/>
      <c r="U2780" s="19" t="str">
        <f>HYPERLINK("https://pbs.twimg.com/profile_images/1181895957585301504/vF_4efIh.jpg","View")</f>
        <v>View</v>
      </c>
      <c r="V2780" s="8"/>
      <c r="W2780" s="8"/>
      <c r="X2780" s="8"/>
      <c r="Y2780" s="8"/>
      <c r="Z2780" s="8"/>
    </row>
    <row r="2781" spans="1:26" ht="12.75">
      <c r="A2781" s="11">
        <v>43747.19054398148</v>
      </c>
      <c r="B2781" s="12" t="str">
        <f>HYPERLINK("https://twitter.com/SPAMCI_SIPALAR","@SPAMCI_SIPALAR")</f>
        <v>@SPAMCI_SIPALAR</v>
      </c>
      <c r="C2781" s="7" t="s">
        <v>16594</v>
      </c>
      <c r="D2781" s="15" t="s">
        <v>16595</v>
      </c>
      <c r="E2781" s="12" t="str">
        <f>HYPERLINK("https://twitter.com/SPAMCI_SIPALAR/status/1181895681235148800","1181895681235148800")</f>
        <v>1181895681235148800</v>
      </c>
      <c r="F2781" s="8"/>
      <c r="G2781" s="7"/>
      <c r="H2781" s="8"/>
      <c r="I2781" s="15">
        <v>0</v>
      </c>
      <c r="J2781" s="15">
        <v>6</v>
      </c>
      <c r="K2781" s="12" t="str">
        <f>HYPERLINK("https://mobile.twitter.com","Twitter Web App")</f>
        <v>Twitter Web App</v>
      </c>
      <c r="L2781" s="16">
        <v>13652</v>
      </c>
      <c r="M2781" s="16">
        <v>11331</v>
      </c>
      <c r="N2781" s="16">
        <v>17</v>
      </c>
      <c r="O2781" s="17"/>
      <c r="P2781" s="18">
        <v>42636.288263888884</v>
      </c>
      <c r="Q2781" s="7" t="s">
        <v>287</v>
      </c>
      <c r="R2781" s="7" t="s">
        <v>16596</v>
      </c>
      <c r="S2781" s="7"/>
      <c r="T2781" s="8"/>
      <c r="U2781" s="19" t="str">
        <f>HYPERLINK("https://pbs.twimg.com/profile_images/1180798385026142208/G8S4DIrb.jpg","View")</f>
        <v>View</v>
      </c>
      <c r="V2781" s="8"/>
      <c r="W2781" s="8"/>
      <c r="X2781" s="8"/>
      <c r="Y2781" s="8"/>
      <c r="Z2781" s="8"/>
    </row>
    <row r="2782" spans="1:26" ht="12.75">
      <c r="A2782" s="11">
        <v>43747.19049768518</v>
      </c>
      <c r="B2782" s="12" t="str">
        <f>HYPERLINK("https://twitter.com/ylmzzzmehmet","@ylmzzzmehmet")</f>
        <v>@ylmzzzmehmet</v>
      </c>
      <c r="C2782" s="7" t="s">
        <v>16597</v>
      </c>
      <c r="D2782" s="7" t="s">
        <v>9019</v>
      </c>
      <c r="E2782" s="12" t="str">
        <f>HYPERLINK("https://twitter.com/ylmzzzmehmet/status/1181895662474027008","1181895662474027008")</f>
        <v>1181895662474027008</v>
      </c>
      <c r="F2782" s="8"/>
      <c r="G2782" s="14" t="s">
        <v>16598</v>
      </c>
      <c r="H2782" s="8"/>
      <c r="I2782" s="15">
        <v>1</v>
      </c>
      <c r="J2782" s="15">
        <v>3</v>
      </c>
      <c r="K2782" s="12" t="str">
        <f>HYPERLINK("http://twitter.com/download/android","Twitter for Android")</f>
        <v>Twitter for Android</v>
      </c>
      <c r="L2782" s="16">
        <v>442</v>
      </c>
      <c r="M2782" s="16">
        <v>321</v>
      </c>
      <c r="N2782" s="16">
        <v>0</v>
      </c>
      <c r="O2782" s="17"/>
      <c r="P2782" s="18">
        <v>40670.699513888889</v>
      </c>
      <c r="Q2782" s="7" t="s">
        <v>9403</v>
      </c>
      <c r="R2782" s="7" t="s">
        <v>16599</v>
      </c>
      <c r="S2782" s="14" t="s">
        <v>16600</v>
      </c>
      <c r="T2782" s="8"/>
      <c r="U2782" s="19" t="str">
        <f>HYPERLINK("https://pbs.twimg.com/profile_images/1107689872532389893/t0qXGRJd.jpg","View")</f>
        <v>View</v>
      </c>
      <c r="V2782" s="8"/>
      <c r="W2782" s="8"/>
      <c r="X2782" s="8"/>
      <c r="Y2782" s="8"/>
      <c r="Z2782" s="8"/>
    </row>
    <row r="2783" spans="1:26" ht="12.75">
      <c r="A2783" s="11">
        <v>43747.190289351856</v>
      </c>
      <c r="B2783" s="12" t="str">
        <f>HYPERLINK("https://twitter.com/EmrahCingoz","@EmrahCingoz")</f>
        <v>@EmrahCingoz</v>
      </c>
      <c r="C2783" s="7" t="s">
        <v>16601</v>
      </c>
      <c r="D2783" s="7" t="s">
        <v>16602</v>
      </c>
      <c r="E2783" s="12" t="str">
        <f>HYPERLINK("https://twitter.com/EmrahCingoz/status/1181895589086339073","1181895589086339073")</f>
        <v>1181895589086339073</v>
      </c>
      <c r="F2783" s="8"/>
      <c r="G2783" s="14" t="s">
        <v>16603</v>
      </c>
      <c r="H2783" s="8"/>
      <c r="I2783" s="15">
        <v>0</v>
      </c>
      <c r="J2783" s="15">
        <v>0</v>
      </c>
      <c r="K2783" s="12" t="str">
        <f>HYPERLINK("http://twitter.com/download/iphone","Twitter for iPhone")</f>
        <v>Twitter for iPhone</v>
      </c>
      <c r="L2783" s="16">
        <v>249</v>
      </c>
      <c r="M2783" s="16">
        <v>555</v>
      </c>
      <c r="N2783" s="16">
        <v>1</v>
      </c>
      <c r="O2783" s="17"/>
      <c r="P2783" s="18">
        <v>40353.393182870372</v>
      </c>
      <c r="Q2783" s="7" t="s">
        <v>69</v>
      </c>
      <c r="R2783" s="7"/>
      <c r="S2783" s="7"/>
      <c r="T2783" s="8"/>
      <c r="U2783" s="19" t="str">
        <f>HYPERLINK("https://pbs.twimg.com/profile_images/1079415893808107520/SjItH_Gg.jpg","View")</f>
        <v>View</v>
      </c>
      <c r="V2783" s="8"/>
      <c r="W2783" s="8"/>
      <c r="X2783" s="8"/>
      <c r="Y2783" s="8"/>
      <c r="Z2783" s="8"/>
    </row>
    <row r="2784" spans="1:26" ht="12.75">
      <c r="A2784" s="11">
        <v>43747.190034722225</v>
      </c>
      <c r="B2784" s="12" t="str">
        <f>HYPERLINK("https://twitter.com/ogzck","@ogzck")</f>
        <v>@ogzck</v>
      </c>
      <c r="C2784" s="7" t="s">
        <v>16604</v>
      </c>
      <c r="D2784" s="7" t="s">
        <v>16605</v>
      </c>
      <c r="E2784" s="12" t="str">
        <f>HYPERLINK("https://twitter.com/ogzck/status/1181895495314264065","1181895495314264065")</f>
        <v>1181895495314264065</v>
      </c>
      <c r="F2784" s="8"/>
      <c r="G2784" s="14" t="s">
        <v>16606</v>
      </c>
      <c r="H2784" s="8"/>
      <c r="I2784" s="15">
        <v>0</v>
      </c>
      <c r="J2784" s="15">
        <v>0</v>
      </c>
      <c r="K2784" s="12" t="str">
        <f>HYPERLINK("http://twitter.com/download/android","Twitter for Android")</f>
        <v>Twitter for Android</v>
      </c>
      <c r="L2784" s="16">
        <v>364</v>
      </c>
      <c r="M2784" s="16">
        <v>566</v>
      </c>
      <c r="N2784" s="16">
        <v>0</v>
      </c>
      <c r="O2784" s="17"/>
      <c r="P2784" s="18">
        <v>42204.253125000003</v>
      </c>
      <c r="Q2784" s="7" t="s">
        <v>16607</v>
      </c>
      <c r="R2784" s="7" t="s">
        <v>16608</v>
      </c>
      <c r="S2784" s="7"/>
      <c r="T2784" s="8"/>
      <c r="U2784" s="19" t="str">
        <f>HYPERLINK("https://pbs.twimg.com/profile_images/1092107084173398017/K3PGepI6.jpg","View")</f>
        <v>View</v>
      </c>
      <c r="V2784" s="8"/>
      <c r="W2784" s="8"/>
      <c r="X2784" s="8"/>
      <c r="Y2784" s="8"/>
      <c r="Z2784" s="8"/>
    </row>
    <row r="2785" spans="1:26" ht="12.75">
      <c r="A2785" s="11">
        <v>43747.189988425926</v>
      </c>
      <c r="B2785" s="12" t="str">
        <f>HYPERLINK("https://twitter.com/tokgozali","@tokgozali")</f>
        <v>@tokgozali</v>
      </c>
      <c r="C2785" s="7" t="s">
        <v>16609</v>
      </c>
      <c r="D2785" s="7" t="s">
        <v>16610</v>
      </c>
      <c r="E2785" s="12" t="str">
        <f>HYPERLINK("https://twitter.com/tokgozali/status/1181895477601738752","1181895477601738752")</f>
        <v>1181895477601738752</v>
      </c>
      <c r="F2785" s="8"/>
      <c r="G2785" s="14" t="s">
        <v>16611</v>
      </c>
      <c r="H2785" s="8"/>
      <c r="I2785" s="15">
        <v>0</v>
      </c>
      <c r="J2785" s="15">
        <v>0</v>
      </c>
      <c r="K2785" s="12" t="str">
        <f>HYPERLINK("http://twitter.com/download/android","Twitter for Android")</f>
        <v>Twitter for Android</v>
      </c>
      <c r="L2785" s="16">
        <v>99</v>
      </c>
      <c r="M2785" s="16">
        <v>235</v>
      </c>
      <c r="N2785" s="16">
        <v>0</v>
      </c>
      <c r="O2785" s="17"/>
      <c r="P2785" s="18">
        <v>40426.250115740739</v>
      </c>
      <c r="Q2785" s="7" t="s">
        <v>10826</v>
      </c>
      <c r="R2785" s="7" t="s">
        <v>16612</v>
      </c>
      <c r="S2785" s="14" t="s">
        <v>16613</v>
      </c>
      <c r="T2785" s="8"/>
      <c r="U2785" s="19" t="str">
        <f>HYPERLINK("https://pbs.twimg.com/profile_images/985905402763272200/Y8kBNBO4.jpg","View")</f>
        <v>View</v>
      </c>
      <c r="V2785" s="8"/>
      <c r="W2785" s="8"/>
      <c r="X2785" s="8"/>
      <c r="Y2785" s="8"/>
      <c r="Z2785" s="8"/>
    </row>
    <row r="2786" spans="1:26" ht="12.75">
      <c r="A2786" s="11">
        <v>43747.189942129626</v>
      </c>
      <c r="B2786" s="12" t="str">
        <f>HYPERLINK("https://twitter.com/AliKara12020811","@AliKara12020811")</f>
        <v>@AliKara12020811</v>
      </c>
      <c r="C2786" s="7" t="s">
        <v>16614</v>
      </c>
      <c r="D2786" s="7" t="s">
        <v>160</v>
      </c>
      <c r="E2786" s="12" t="str">
        <f>HYPERLINK("https://twitter.com/AliKara12020811/status/1181895463106224129","1181895463106224129")</f>
        <v>1181895463106224129</v>
      </c>
      <c r="F2786" s="8"/>
      <c r="G2786" s="14" t="s">
        <v>16615</v>
      </c>
      <c r="H2786" s="8"/>
      <c r="I2786" s="15">
        <v>0</v>
      </c>
      <c r="J2786" s="15">
        <v>0</v>
      </c>
      <c r="K2786" s="12" t="str">
        <f>HYPERLINK("http://twitter.com/download/android","Twitter for Android")</f>
        <v>Twitter for Android</v>
      </c>
      <c r="L2786" s="16">
        <v>10</v>
      </c>
      <c r="M2786" s="16">
        <v>184</v>
      </c>
      <c r="N2786" s="16">
        <v>0</v>
      </c>
      <c r="O2786" s="17"/>
      <c r="P2786" s="18">
        <v>43188.0234375</v>
      </c>
      <c r="Q2786" s="7" t="s">
        <v>16616</v>
      </c>
      <c r="R2786" s="7" t="s">
        <v>16617</v>
      </c>
      <c r="S2786" s="7"/>
      <c r="T2786" s="8"/>
      <c r="U2786" s="20" t="s">
        <v>354</v>
      </c>
      <c r="V2786" s="8"/>
      <c r="W2786" s="8"/>
      <c r="X2786" s="8"/>
      <c r="Y2786" s="8"/>
      <c r="Z2786" s="8"/>
    </row>
    <row r="2787" spans="1:26" ht="12.75">
      <c r="A2787" s="11">
        <v>43747.189895833333</v>
      </c>
      <c r="B2787" s="12" t="str">
        <f>HYPERLINK("https://twitter.com/AkgEmin","@AkgEmin")</f>
        <v>@AkgEmin</v>
      </c>
      <c r="C2787" s="7" t="s">
        <v>16618</v>
      </c>
      <c r="D2787" s="7" t="s">
        <v>16619</v>
      </c>
      <c r="E2787" s="12" t="str">
        <f>HYPERLINK("https://twitter.com/AkgEmin/status/1181895446077333506","1181895446077333506")</f>
        <v>1181895446077333506</v>
      </c>
      <c r="F2787" s="8"/>
      <c r="G2787" s="14" t="s">
        <v>16620</v>
      </c>
      <c r="H2787" s="8"/>
      <c r="I2787" s="15">
        <v>0</v>
      </c>
      <c r="J2787" s="15">
        <v>0</v>
      </c>
      <c r="K2787" s="12" t="str">
        <f>HYPERLINK("http://twitter.com/download/android","Twitter for Android")</f>
        <v>Twitter for Android</v>
      </c>
      <c r="L2787" s="16">
        <v>323</v>
      </c>
      <c r="M2787" s="16">
        <v>356</v>
      </c>
      <c r="N2787" s="16">
        <v>0</v>
      </c>
      <c r="O2787" s="17"/>
      <c r="P2787" s="18">
        <v>41589.476875</v>
      </c>
      <c r="Q2787" s="7" t="s">
        <v>313</v>
      </c>
      <c r="R2787" s="7" t="s">
        <v>16621</v>
      </c>
      <c r="S2787" s="14" t="s">
        <v>16622</v>
      </c>
      <c r="T2787" s="8"/>
      <c r="U2787" s="19" t="str">
        <f>HYPERLINK("https://pbs.twimg.com/profile_images/1172259845090742297/G7dFvRCS.jpg","View")</f>
        <v>View</v>
      </c>
      <c r="V2787" s="8"/>
      <c r="W2787" s="8"/>
      <c r="X2787" s="8"/>
      <c r="Y2787" s="8"/>
      <c r="Z2787" s="8"/>
    </row>
    <row r="2788" spans="1:26" ht="12.75">
      <c r="A2788" s="11">
        <v>43747.189791666664</v>
      </c>
      <c r="B2788" s="12" t="str">
        <f>HYPERLINK("https://twitter.com/ozdmir_25","@ozdmir_25")</f>
        <v>@ozdmir_25</v>
      </c>
      <c r="C2788" s="7" t="s">
        <v>16623</v>
      </c>
      <c r="D2788" s="7" t="s">
        <v>16624</v>
      </c>
      <c r="E2788" s="12" t="str">
        <f>HYPERLINK("https://twitter.com/ozdmir_25/status/1181895407644921856","1181895407644921856")</f>
        <v>1181895407644921856</v>
      </c>
      <c r="F2788" s="8"/>
      <c r="G2788" s="14" t="s">
        <v>16625</v>
      </c>
      <c r="H2788" s="8"/>
      <c r="I2788" s="15">
        <v>1</v>
      </c>
      <c r="J2788" s="15">
        <v>5</v>
      </c>
      <c r="K2788" s="12" t="str">
        <f>HYPERLINK("http://twitter.com/download/android","Twitter for Android")</f>
        <v>Twitter for Android</v>
      </c>
      <c r="L2788" s="16">
        <v>97</v>
      </c>
      <c r="M2788" s="16">
        <v>139</v>
      </c>
      <c r="N2788" s="16">
        <v>0</v>
      </c>
      <c r="O2788" s="17"/>
      <c r="P2788" s="18">
        <v>42593.306585648148</v>
      </c>
      <c r="Q2788" s="7" t="s">
        <v>16626</v>
      </c>
      <c r="R2788" s="7" t="s">
        <v>16627</v>
      </c>
      <c r="S2788" s="7"/>
      <c r="T2788" s="8"/>
      <c r="U2788" s="19" t="str">
        <f>HYPERLINK("https://pbs.twimg.com/profile_images/1172222999765950464/yLXV7cEp.jpg","View")</f>
        <v>View</v>
      </c>
      <c r="V2788" s="8"/>
      <c r="W2788" s="8"/>
      <c r="X2788" s="8"/>
      <c r="Y2788" s="8"/>
      <c r="Z2788" s="8"/>
    </row>
    <row r="2789" spans="1:26" ht="12.75">
      <c r="A2789" s="11">
        <v>43747.189768518518</v>
      </c>
      <c r="B2789" s="12" t="str">
        <f>HYPERLINK("https://twitter.com/BBAATTEESS","@BBAATTEESS")</f>
        <v>@BBAATTEESS</v>
      </c>
      <c r="C2789" s="7" t="s">
        <v>16628</v>
      </c>
      <c r="D2789" s="7" t="s">
        <v>16629</v>
      </c>
      <c r="E2789" s="12" t="str">
        <f>HYPERLINK("https://twitter.com/BBAATTEESS/status/1181895401038893057","1181895401038893057")</f>
        <v>1181895401038893057</v>
      </c>
      <c r="F2789" s="8"/>
      <c r="G2789" s="7"/>
      <c r="H2789" s="8"/>
      <c r="I2789" s="15">
        <v>0</v>
      </c>
      <c r="J2789" s="15">
        <v>0</v>
      </c>
      <c r="K2789" s="12" t="str">
        <f>HYPERLINK("http://twitter.com/download/android","Twitter for Android")</f>
        <v>Twitter for Android</v>
      </c>
      <c r="L2789" s="16">
        <v>344</v>
      </c>
      <c r="M2789" s="16">
        <v>227</v>
      </c>
      <c r="N2789" s="16">
        <v>2</v>
      </c>
      <c r="O2789" s="17"/>
      <c r="P2789" s="18">
        <v>40879.490300925929</v>
      </c>
      <c r="Q2789" s="7" t="s">
        <v>2851</v>
      </c>
      <c r="R2789" s="7"/>
      <c r="S2789" s="7"/>
      <c r="T2789" s="8"/>
      <c r="U2789" s="19" t="str">
        <f>HYPERLINK("https://pbs.twimg.com/profile_images/1024996501771169793/bhGQ2Uf_.jpg","View")</f>
        <v>View</v>
      </c>
      <c r="V2789" s="8"/>
      <c r="W2789" s="8"/>
      <c r="X2789" s="8"/>
      <c r="Y2789" s="8"/>
      <c r="Z2789" s="8"/>
    </row>
    <row r="2790" spans="1:26" ht="12.75">
      <c r="A2790" s="11">
        <v>43747.189722222218</v>
      </c>
      <c r="B2790" s="12" t="str">
        <f>HYPERLINK("https://twitter.com/surfagel","@surfagel")</f>
        <v>@surfagel</v>
      </c>
      <c r="C2790" s="7" t="s">
        <v>16630</v>
      </c>
      <c r="D2790" s="7" t="s">
        <v>16631</v>
      </c>
      <c r="E2790" s="12" t="str">
        <f>HYPERLINK("https://twitter.com/surfagel/status/1181895384047783937","1181895384047783937")</f>
        <v>1181895384047783937</v>
      </c>
      <c r="F2790" s="14" t="s">
        <v>16632</v>
      </c>
      <c r="G2790" s="14" t="s">
        <v>16633</v>
      </c>
      <c r="H2790" s="8"/>
      <c r="I2790" s="15">
        <v>0</v>
      </c>
      <c r="J2790" s="15">
        <v>0</v>
      </c>
      <c r="K2790" s="12" t="str">
        <f>HYPERLINK("http://twitter.com/download/iphone","Twitter for iPhone")</f>
        <v>Twitter for iPhone</v>
      </c>
      <c r="L2790" s="16">
        <v>12</v>
      </c>
      <c r="M2790" s="16">
        <v>52</v>
      </c>
      <c r="N2790" s="16">
        <v>0</v>
      </c>
      <c r="O2790" s="17"/>
      <c r="P2790" s="18">
        <v>40363.979444444441</v>
      </c>
      <c r="Q2790" s="7"/>
      <c r="R2790" s="7"/>
      <c r="S2790" s="7"/>
      <c r="T2790" s="8"/>
      <c r="U2790" s="19" t="str">
        <f>HYPERLINK("https://pbs.twimg.com/profile_images/1179512924127281154/cJTBMhwd.jpg","View")</f>
        <v>View</v>
      </c>
      <c r="V2790" s="8"/>
      <c r="W2790" s="8"/>
      <c r="X2790" s="8"/>
      <c r="Y2790" s="8"/>
      <c r="Z2790" s="8"/>
    </row>
    <row r="2791" spans="1:26" ht="12.75">
      <c r="A2791" s="11">
        <v>43747.189710648148</v>
      </c>
      <c r="B2791" s="12" t="str">
        <f>HYPERLINK("https://twitter.com/Tixe61","@Tixe61")</f>
        <v>@Tixe61</v>
      </c>
      <c r="C2791" s="7" t="s">
        <v>16634</v>
      </c>
      <c r="D2791" s="7" t="s">
        <v>16635</v>
      </c>
      <c r="E2791" s="12" t="str">
        <f>HYPERLINK("https://twitter.com/Tixe61/status/1181895380042166273","1181895380042166273")</f>
        <v>1181895380042166273</v>
      </c>
      <c r="F2791" s="15"/>
      <c r="G2791" s="15"/>
      <c r="H2791" s="8"/>
      <c r="I2791" s="15">
        <v>0</v>
      </c>
      <c r="J2791" s="15">
        <v>0</v>
      </c>
      <c r="K2791" s="12" t="str">
        <f>HYPERLINK("http://twitter.com/download/android","Twitter for Android")</f>
        <v>Twitter for Android</v>
      </c>
      <c r="L2791" s="16">
        <v>174</v>
      </c>
      <c r="M2791" s="16">
        <v>63</v>
      </c>
      <c r="N2791" s="16">
        <v>1</v>
      </c>
      <c r="O2791" s="17"/>
      <c r="P2791" s="18">
        <v>41714.259814814817</v>
      </c>
      <c r="Q2791" s="7"/>
      <c r="R2791" s="7" t="s">
        <v>16636</v>
      </c>
      <c r="S2791" s="15"/>
      <c r="T2791" s="8"/>
      <c r="U2791" s="19" t="str">
        <f>HYPERLINK("https://pbs.twimg.com/profile_images/888353675348934660/I_EkKyWi.jpg","View")</f>
        <v>View</v>
      </c>
      <c r="V2791" s="8"/>
      <c r="W2791" s="8"/>
      <c r="X2791" s="8"/>
      <c r="Y2791" s="8"/>
      <c r="Z2791" s="8"/>
    </row>
    <row r="2792" spans="1:26" ht="12.75">
      <c r="A2792" s="11">
        <v>43747.189641203702</v>
      </c>
      <c r="B2792" s="12" t="str">
        <f>HYPERLINK("https://twitter.com/turkishbear","@turkishbear")</f>
        <v>@turkishbear</v>
      </c>
      <c r="C2792" s="7" t="s">
        <v>16637</v>
      </c>
      <c r="D2792" s="7" t="s">
        <v>16638</v>
      </c>
      <c r="E2792" s="12" t="str">
        <f>HYPERLINK("https://twitter.com/turkishbear/status/1181895354427564032","1181895354427564032")</f>
        <v>1181895354427564032</v>
      </c>
      <c r="F2792" s="8"/>
      <c r="G2792" s="14" t="s">
        <v>16639</v>
      </c>
      <c r="H2792" s="8"/>
      <c r="I2792" s="15">
        <v>0</v>
      </c>
      <c r="J2792" s="15">
        <v>0</v>
      </c>
      <c r="K2792" s="12" t="str">
        <f>HYPERLINK("http://twitter.com","Twitter Web Client")</f>
        <v>Twitter Web Client</v>
      </c>
      <c r="L2792" s="16">
        <v>657</v>
      </c>
      <c r="M2792" s="16">
        <v>180</v>
      </c>
      <c r="N2792" s="16">
        <v>0</v>
      </c>
      <c r="O2792" s="17"/>
      <c r="P2792" s="18">
        <v>40224.512789351851</v>
      </c>
      <c r="Q2792" s="7" t="s">
        <v>16640</v>
      </c>
      <c r="R2792" s="7" t="s">
        <v>16641</v>
      </c>
      <c r="S2792" s="7"/>
      <c r="T2792" s="8"/>
      <c r="U2792" s="19" t="str">
        <f>HYPERLINK("https://pbs.twimg.com/profile_images/975373055118708738/HEQyqonm.jpg","View")</f>
        <v>View</v>
      </c>
      <c r="V2792" s="8"/>
      <c r="W2792" s="8"/>
      <c r="X2792" s="8"/>
      <c r="Y2792" s="8"/>
      <c r="Z2792" s="8"/>
    </row>
    <row r="2793" spans="1:26" ht="12.75">
      <c r="A2793" s="11">
        <v>43747.189618055556</v>
      </c>
      <c r="B2793" s="12" t="str">
        <f>HYPERLINK("https://twitter.com/cakmakburak54","@cakmakburak54")</f>
        <v>@cakmakburak54</v>
      </c>
      <c r="C2793" s="7" t="s">
        <v>16642</v>
      </c>
      <c r="D2793" s="7" t="s">
        <v>16643</v>
      </c>
      <c r="E2793" s="12" t="str">
        <f>HYPERLINK("https://twitter.com/cakmakburak54/status/1181895344520617984","1181895344520617984")</f>
        <v>1181895344520617984</v>
      </c>
      <c r="F2793" s="8"/>
      <c r="G2793" s="14" t="s">
        <v>16644</v>
      </c>
      <c r="H2793" s="8"/>
      <c r="I2793" s="15">
        <v>0</v>
      </c>
      <c r="J2793" s="15">
        <v>0</v>
      </c>
      <c r="K2793" s="12" t="str">
        <f>HYPERLINK("http://twitter.com/download/android","Twitter for Android")</f>
        <v>Twitter for Android</v>
      </c>
      <c r="L2793" s="16">
        <v>32</v>
      </c>
      <c r="M2793" s="16">
        <v>43</v>
      </c>
      <c r="N2793" s="16">
        <v>0</v>
      </c>
      <c r="O2793" s="17"/>
      <c r="P2793" s="18">
        <v>43413.188252314816</v>
      </c>
      <c r="Q2793" s="7"/>
      <c r="R2793" s="7"/>
      <c r="S2793" s="15"/>
      <c r="T2793" s="8"/>
      <c r="U2793" s="19" t="str">
        <f>HYPERLINK("https://pbs.twimg.com/profile_images/1129404341348179968/sJcg5ZkC.jpg","View")</f>
        <v>View</v>
      </c>
      <c r="V2793" s="8"/>
      <c r="W2793" s="8"/>
      <c r="X2793" s="8"/>
      <c r="Y2793" s="8"/>
      <c r="Z2793" s="8"/>
    </row>
    <row r="2794" spans="1:26" ht="12.75">
      <c r="A2794" s="11">
        <v>43747.18959490741</v>
      </c>
      <c r="B2794" s="12" t="str">
        <f>HYPERLINK("https://twitter.com/nurullahhhim","@nurullahhhim")</f>
        <v>@nurullahhhim</v>
      </c>
      <c r="C2794" s="7" t="s">
        <v>16645</v>
      </c>
      <c r="D2794" s="7" t="s">
        <v>16646</v>
      </c>
      <c r="E2794" s="12" t="str">
        <f>HYPERLINK("https://twitter.com/nurullahhhim/status/1181895336157224960","1181895336157224960")</f>
        <v>1181895336157224960</v>
      </c>
      <c r="F2794" s="8"/>
      <c r="G2794" s="15"/>
      <c r="H2794" s="8"/>
      <c r="I2794" s="15">
        <v>0</v>
      </c>
      <c r="J2794" s="15">
        <v>0</v>
      </c>
      <c r="K2794" s="12" t="str">
        <f>HYPERLINK("http://twitter.com/download/android","Twitter for Android")</f>
        <v>Twitter for Android</v>
      </c>
      <c r="L2794" s="16">
        <v>22</v>
      </c>
      <c r="M2794" s="16">
        <v>140</v>
      </c>
      <c r="N2794" s="16">
        <v>0</v>
      </c>
      <c r="O2794" s="17"/>
      <c r="P2794" s="18">
        <v>41566.634212962963</v>
      </c>
      <c r="Q2794" s="7"/>
      <c r="R2794" s="7" t="s">
        <v>16647</v>
      </c>
      <c r="S2794" s="7"/>
      <c r="T2794" s="8"/>
      <c r="U2794" s="19" t="str">
        <f>HYPERLINK("https://pbs.twimg.com/profile_images/1178634362411261953/fMj_z5KV.jpg","View")</f>
        <v>View</v>
      </c>
      <c r="V2794" s="8"/>
      <c r="W2794" s="8"/>
      <c r="X2794" s="8"/>
      <c r="Y2794" s="8"/>
      <c r="Z2794" s="8"/>
    </row>
    <row r="2795" spans="1:26" ht="12.75">
      <c r="A2795" s="11">
        <v>43747.189560185187</v>
      </c>
      <c r="B2795" s="12" t="str">
        <f>HYPERLINK("https://twitter.com/TR_Pala","@TR_Pala")</f>
        <v>@TR_Pala</v>
      </c>
      <c r="C2795" s="13" t="s">
        <v>16648</v>
      </c>
      <c r="D2795" s="7" t="s">
        <v>16649</v>
      </c>
      <c r="E2795" s="12" t="str">
        <f>HYPERLINK("https://twitter.com/TR_Pala/status/1181895322840309760","1181895322840309760")</f>
        <v>1181895322840309760</v>
      </c>
      <c r="F2795" s="15"/>
      <c r="G2795" s="14" t="s">
        <v>16650</v>
      </c>
      <c r="H2795" s="8"/>
      <c r="I2795" s="15">
        <v>0</v>
      </c>
      <c r="J2795" s="15">
        <v>0</v>
      </c>
      <c r="K2795" s="12" t="str">
        <f>HYPERLINK("https://mobile.twitter.com","Twitter Web App")</f>
        <v>Twitter Web App</v>
      </c>
      <c r="L2795" s="16">
        <v>548</v>
      </c>
      <c r="M2795" s="16">
        <v>260</v>
      </c>
      <c r="N2795" s="16">
        <v>1</v>
      </c>
      <c r="O2795" s="17"/>
      <c r="P2795" s="18">
        <v>41162.279502314814</v>
      </c>
      <c r="Q2795" s="7" t="s">
        <v>16651</v>
      </c>
      <c r="R2795" s="7" t="s">
        <v>16652</v>
      </c>
      <c r="S2795" s="7"/>
      <c r="T2795" s="8"/>
      <c r="U2795" s="19" t="str">
        <f>HYPERLINK("https://pbs.twimg.com/profile_images/1110275133485268993/TdHnC7FZ.jpg","View")</f>
        <v>View</v>
      </c>
      <c r="V2795" s="8"/>
      <c r="W2795" s="8"/>
      <c r="X2795" s="8"/>
      <c r="Y2795" s="8"/>
      <c r="Z2795" s="8"/>
    </row>
    <row r="2796" spans="1:26" ht="12.75">
      <c r="A2796" s="11">
        <v>43747.189513888894</v>
      </c>
      <c r="B2796" s="12" t="str">
        <f>HYPERLINK("https://twitter.com/AlpVahitAlp","@AlpVahitAlp")</f>
        <v>@AlpVahitAlp</v>
      </c>
      <c r="C2796" s="7" t="s">
        <v>16653</v>
      </c>
      <c r="D2796" s="7" t="s">
        <v>160</v>
      </c>
      <c r="E2796" s="12" t="str">
        <f>HYPERLINK("https://twitter.com/AlpVahitAlp/status/1181895309158432769","1181895309158432769")</f>
        <v>1181895309158432769</v>
      </c>
      <c r="F2796" s="8"/>
      <c r="G2796" s="14" t="s">
        <v>16654</v>
      </c>
      <c r="H2796" s="8"/>
      <c r="I2796" s="15">
        <v>0</v>
      </c>
      <c r="J2796" s="15">
        <v>0</v>
      </c>
      <c r="K2796" s="12" t="str">
        <f>HYPERLINK("http://twitter.com/download/iphone","Twitter for iPhone")</f>
        <v>Twitter for iPhone</v>
      </c>
      <c r="L2796" s="16">
        <v>27</v>
      </c>
      <c r="M2796" s="16">
        <v>52</v>
      </c>
      <c r="N2796" s="16">
        <v>0</v>
      </c>
      <c r="O2796" s="17"/>
      <c r="P2796" s="18">
        <v>42395.604988425926</v>
      </c>
      <c r="Q2796" s="7"/>
      <c r="R2796" s="7" t="s">
        <v>16655</v>
      </c>
      <c r="S2796" s="14" t="s">
        <v>16656</v>
      </c>
      <c r="T2796" s="8"/>
      <c r="U2796" s="19" t="str">
        <f>HYPERLINK("https://pbs.twimg.com/profile_images/715294702090772482/3OJvStTj.jpg","View")</f>
        <v>View</v>
      </c>
      <c r="V2796" s="8"/>
      <c r="W2796" s="8"/>
      <c r="X2796" s="8"/>
      <c r="Y2796" s="8"/>
      <c r="Z2796" s="8"/>
    </row>
    <row r="2797" spans="1:26" ht="12.75">
      <c r="A2797" s="11">
        <v>43747.18949074074</v>
      </c>
      <c r="B2797" s="12" t="str">
        <f>HYPERLINK("https://twitter.com/okursevercizer","@okursevercizer")</f>
        <v>@okursevercizer</v>
      </c>
      <c r="C2797" s="7" t="s">
        <v>16657</v>
      </c>
      <c r="D2797" s="7" t="s">
        <v>16658</v>
      </c>
      <c r="E2797" s="12" t="str">
        <f>HYPERLINK("https://twitter.com/okursevercizer/status/1181895300346195968","1181895300346195968")</f>
        <v>1181895300346195968</v>
      </c>
      <c r="F2797" s="14" t="s">
        <v>16659</v>
      </c>
      <c r="G2797" s="15"/>
      <c r="H2797" s="8"/>
      <c r="I2797" s="15">
        <v>0</v>
      </c>
      <c r="J2797" s="15">
        <v>0</v>
      </c>
      <c r="K2797" s="12" t="str">
        <f>HYPERLINK("http://twitter.com/download/iphone","Twitter for iPhone")</f>
        <v>Twitter for iPhone</v>
      </c>
      <c r="L2797" s="16">
        <v>98</v>
      </c>
      <c r="M2797" s="16">
        <v>78</v>
      </c>
      <c r="N2797" s="16">
        <v>0</v>
      </c>
      <c r="O2797" s="17"/>
      <c r="P2797" s="18">
        <v>43572.407175925924</v>
      </c>
      <c r="Q2797" s="7" t="s">
        <v>16660</v>
      </c>
      <c r="R2797" s="7" t="s">
        <v>16661</v>
      </c>
      <c r="S2797" s="7"/>
      <c r="T2797" s="8"/>
      <c r="U2797" s="19" t="str">
        <f>HYPERLINK("https://pbs.twimg.com/profile_images/1146082335546380288/H-QtVG8j.jpg","View")</f>
        <v>View</v>
      </c>
      <c r="V2797" s="8"/>
      <c r="W2797" s="8"/>
      <c r="X2797" s="8"/>
      <c r="Y2797" s="8"/>
      <c r="Z2797" s="8"/>
    </row>
    <row r="2798" spans="1:26" ht="12.75">
      <c r="A2798" s="11">
        <v>43747.18949074074</v>
      </c>
      <c r="B2798" s="12" t="str">
        <f>HYPERLINK("https://twitter.com/arslan_gokoglan","@arslan_gokoglan")</f>
        <v>@arslan_gokoglan</v>
      </c>
      <c r="C2798" s="7" t="s">
        <v>16662</v>
      </c>
      <c r="D2798" s="7" t="s">
        <v>16663</v>
      </c>
      <c r="E2798" s="12" t="str">
        <f>HYPERLINK("https://twitter.com/arslan_gokoglan/status/1181895298148438016","1181895298148438016")</f>
        <v>1181895298148438016</v>
      </c>
      <c r="F2798" s="8"/>
      <c r="G2798" s="14" t="s">
        <v>16664</v>
      </c>
      <c r="H2798" s="8"/>
      <c r="I2798" s="15">
        <v>0</v>
      </c>
      <c r="J2798" s="15">
        <v>5</v>
      </c>
      <c r="K2798" s="12" t="str">
        <f>HYPERLINK("http://twitter.com/download/android","Twitter for Android")</f>
        <v>Twitter for Android</v>
      </c>
      <c r="L2798" s="16">
        <v>5</v>
      </c>
      <c r="M2798" s="16">
        <v>151</v>
      </c>
      <c r="N2798" s="16">
        <v>0</v>
      </c>
      <c r="O2798" s="17"/>
      <c r="P2798" s="18">
        <v>43089.130370370374</v>
      </c>
      <c r="Q2798" s="7" t="s">
        <v>12072</v>
      </c>
      <c r="R2798" s="7" t="s">
        <v>10467</v>
      </c>
      <c r="S2798" s="15"/>
      <c r="T2798" s="8"/>
      <c r="U2798" s="19" t="str">
        <f>HYPERLINK("https://pbs.twimg.com/profile_images/1170150650753310720/YSxChLad.jpg","View")</f>
        <v>View</v>
      </c>
      <c r="V2798" s="8"/>
      <c r="W2798" s="8"/>
      <c r="X2798" s="8"/>
      <c r="Y2798" s="8"/>
      <c r="Z2798" s="8"/>
    </row>
    <row r="2799" spans="1:26" ht="12.75">
      <c r="A2799" s="11">
        <v>43747.189456018517</v>
      </c>
      <c r="B2799" s="12" t="str">
        <f>HYPERLINK("https://twitter.com/minyooon_kiz_","@minyooon_kiz_")</f>
        <v>@minyooon_kiz_</v>
      </c>
      <c r="C2799" s="7" t="s">
        <v>16665</v>
      </c>
      <c r="D2799" s="7" t="s">
        <v>16666</v>
      </c>
      <c r="E2799" s="12" t="str">
        <f>HYPERLINK("https://twitter.com/minyooon_kiz_/status/1181895285737435136","1181895285737435136")</f>
        <v>1181895285737435136</v>
      </c>
      <c r="F2799" s="8"/>
      <c r="G2799" s="14" t="s">
        <v>16667</v>
      </c>
      <c r="H2799" s="8"/>
      <c r="I2799" s="15">
        <v>0</v>
      </c>
      <c r="J2799" s="15">
        <v>1</v>
      </c>
      <c r="K2799" s="12" t="str">
        <f>HYPERLINK("http://twitter.com/download/android","Twitter for Android")</f>
        <v>Twitter for Android</v>
      </c>
      <c r="L2799" s="16">
        <v>502</v>
      </c>
      <c r="M2799" s="16">
        <v>442</v>
      </c>
      <c r="N2799" s="16">
        <v>0</v>
      </c>
      <c r="O2799" s="17"/>
      <c r="P2799" s="18">
        <v>43048.478784722218</v>
      </c>
      <c r="Q2799" s="7"/>
      <c r="R2799" s="7" t="s">
        <v>16668</v>
      </c>
      <c r="S2799" s="7"/>
      <c r="T2799" s="8"/>
      <c r="U2799" s="19" t="str">
        <f>HYPERLINK("https://pbs.twimg.com/profile_images/1159814806582562816/wfipuoVL.jpg","View")</f>
        <v>View</v>
      </c>
      <c r="V2799" s="8"/>
      <c r="W2799" s="8"/>
      <c r="X2799" s="8"/>
      <c r="Y2799" s="8"/>
      <c r="Z2799" s="8"/>
    </row>
    <row r="2800" spans="1:26" ht="12.75">
      <c r="A2800" s="11">
        <v>43747.189444444448</v>
      </c>
      <c r="B2800" s="12" t="str">
        <f>HYPERLINK("https://twitter.com/34RTE1903","@34RTE1903")</f>
        <v>@34RTE1903</v>
      </c>
      <c r="C2800" s="7" t="s">
        <v>16669</v>
      </c>
      <c r="D2800" s="7" t="s">
        <v>16670</v>
      </c>
      <c r="E2800" s="12" t="str">
        <f>HYPERLINK("https://twitter.com/34RTE1903/status/1181895280570114050","1181895280570114050")</f>
        <v>1181895280570114050</v>
      </c>
      <c r="F2800" s="8"/>
      <c r="G2800" s="14" t="s">
        <v>16671</v>
      </c>
      <c r="H2800" s="8"/>
      <c r="I2800" s="15">
        <v>0</v>
      </c>
      <c r="J2800" s="15">
        <v>0</v>
      </c>
      <c r="K2800" s="12" t="str">
        <f>HYPERLINK("http://twitter.com/download/iphone","Twitter for iPhone")</f>
        <v>Twitter for iPhone</v>
      </c>
      <c r="L2800" s="16">
        <v>442</v>
      </c>
      <c r="M2800" s="16">
        <v>359</v>
      </c>
      <c r="N2800" s="16">
        <v>0</v>
      </c>
      <c r="O2800" s="17"/>
      <c r="P2800" s="18">
        <v>40918.193761574075</v>
      </c>
      <c r="Q2800" s="7" t="s">
        <v>313</v>
      </c>
      <c r="R2800" s="7" t="s">
        <v>16672</v>
      </c>
      <c r="S2800" s="7"/>
      <c r="T2800" s="8"/>
      <c r="U2800" s="19" t="str">
        <f>HYPERLINK("https://pbs.twimg.com/profile_images/1180626322344861697/VN1pYlhF.jpg","View")</f>
        <v>View</v>
      </c>
      <c r="V2800" s="8"/>
      <c r="W2800" s="8"/>
      <c r="X2800" s="8"/>
      <c r="Y2800" s="8"/>
      <c r="Z2800" s="8"/>
    </row>
    <row r="2801" spans="1:26" ht="12.75">
      <c r="A2801" s="11">
        <v>43747.189409722225</v>
      </c>
      <c r="B2801" s="12" t="str">
        <f>HYPERLINK("https://twitter.com/srkncylnn","@srkncylnn")</f>
        <v>@srkncylnn</v>
      </c>
      <c r="C2801" s="7" t="s">
        <v>16673</v>
      </c>
      <c r="D2801" s="7" t="s">
        <v>16674</v>
      </c>
      <c r="E2801" s="12" t="str">
        <f>HYPERLINK("https://twitter.com/srkncylnn/status/1181895271543967745","1181895271543967745")</f>
        <v>1181895271543967745</v>
      </c>
      <c r="F2801" s="8"/>
      <c r="G2801" s="14" t="s">
        <v>16675</v>
      </c>
      <c r="H2801" s="8"/>
      <c r="I2801" s="15">
        <v>0</v>
      </c>
      <c r="J2801" s="15">
        <v>0</v>
      </c>
      <c r="K2801" s="12" t="str">
        <f>HYPERLINK("http://twitter.com/download/android","Twitter for Android")</f>
        <v>Twitter for Android</v>
      </c>
      <c r="L2801" s="16">
        <v>94</v>
      </c>
      <c r="M2801" s="16">
        <v>146</v>
      </c>
      <c r="N2801" s="16">
        <v>0</v>
      </c>
      <c r="O2801" s="17"/>
      <c r="P2801" s="18">
        <v>42283.670173611114</v>
      </c>
      <c r="Q2801" s="7" t="s">
        <v>313</v>
      </c>
      <c r="R2801" s="7" t="s">
        <v>16676</v>
      </c>
      <c r="S2801" s="7"/>
      <c r="T2801" s="8"/>
      <c r="U2801" s="19" t="str">
        <f>HYPERLINK("https://pbs.twimg.com/profile_images/1062419840663724032/APX2TONb.jpg","View")</f>
        <v>View</v>
      </c>
      <c r="V2801" s="8"/>
      <c r="W2801" s="8"/>
      <c r="X2801" s="8"/>
      <c r="Y2801" s="8"/>
      <c r="Z2801" s="8"/>
    </row>
    <row r="2802" spans="1:26" ht="12.75">
      <c r="A2802" s="11">
        <v>43747.189363425925</v>
      </c>
      <c r="B2802" s="12" t="str">
        <f>HYPERLINK("https://twitter.com/lesyeuxdejichu","@lesyeuxdejichu")</f>
        <v>@lesyeuxdejichu</v>
      </c>
      <c r="C2802" s="7" t="s">
        <v>16677</v>
      </c>
      <c r="D2802" s="7" t="s">
        <v>160</v>
      </c>
      <c r="E2802" s="12" t="str">
        <f>HYPERLINK("https://twitter.com/lesyeuxdejichu/status/1181895250996019200","1181895250996019200")</f>
        <v>1181895250996019200</v>
      </c>
      <c r="F2802" s="8"/>
      <c r="G2802" s="15"/>
      <c r="H2802" s="8"/>
      <c r="I2802" s="15">
        <v>0</v>
      </c>
      <c r="J2802" s="15">
        <v>0</v>
      </c>
      <c r="K2802" s="12" t="str">
        <f>HYPERLINK("http://twitter.com/download/android","Twitter for Android")</f>
        <v>Twitter for Android</v>
      </c>
      <c r="L2802" s="16">
        <v>84</v>
      </c>
      <c r="M2802" s="16">
        <v>260</v>
      </c>
      <c r="N2802" s="16">
        <v>0</v>
      </c>
      <c r="O2802" s="17"/>
      <c r="P2802" s="18">
        <v>43672.062303240746</v>
      </c>
      <c r="Q2802" s="7" t="s">
        <v>16678</v>
      </c>
      <c r="R2802" s="7" t="s">
        <v>16679</v>
      </c>
      <c r="S2802" s="7"/>
      <c r="T2802" s="8"/>
      <c r="U2802" s="19" t="str">
        <f>HYPERLINK("https://pbs.twimg.com/profile_images/1179835924710080513/wj2u2PXR.jpg","View")</f>
        <v>View</v>
      </c>
      <c r="V2802" s="8"/>
      <c r="W2802" s="8"/>
      <c r="X2802" s="8"/>
      <c r="Y2802" s="8"/>
      <c r="Z2802" s="8"/>
    </row>
    <row r="2803" spans="1:26" ht="12.75">
      <c r="A2803" s="11">
        <v>43747.189340277779</v>
      </c>
      <c r="B2803" s="12" t="str">
        <f>HYPERLINK("https://twitter.com/ozbudak_emine","@ozbudak_emine")</f>
        <v>@ozbudak_emine</v>
      </c>
      <c r="C2803" s="7" t="s">
        <v>16680</v>
      </c>
      <c r="D2803" s="7" t="s">
        <v>16681</v>
      </c>
      <c r="E2803" s="12" t="str">
        <f>HYPERLINK("https://twitter.com/ozbudak_emine/status/1181895244847226882","1181895244847226882")</f>
        <v>1181895244847226882</v>
      </c>
      <c r="F2803" s="8"/>
      <c r="G2803" s="7"/>
      <c r="H2803" s="8"/>
      <c r="I2803" s="15">
        <v>0</v>
      </c>
      <c r="J2803" s="15">
        <v>0</v>
      </c>
      <c r="K2803" s="12" t="str">
        <f>HYPERLINK("https://mobile.twitter.com","Twitter Web App")</f>
        <v>Twitter Web App</v>
      </c>
      <c r="L2803" s="16">
        <v>53</v>
      </c>
      <c r="M2803" s="16">
        <v>207</v>
      </c>
      <c r="N2803" s="16">
        <v>0</v>
      </c>
      <c r="O2803" s="17"/>
      <c r="P2803" s="18">
        <v>43645.094178240739</v>
      </c>
      <c r="Q2803" s="7"/>
      <c r="R2803" s="7"/>
      <c r="S2803" s="15"/>
      <c r="T2803" s="8"/>
      <c r="U2803" s="19" t="str">
        <f>HYPERLINK("https://pbs.twimg.com/profile_images/1144898870624870400/MByAp7vq.jpg","View")</f>
        <v>View</v>
      </c>
      <c r="V2803" s="8"/>
      <c r="W2803" s="8"/>
      <c r="X2803" s="8"/>
      <c r="Y2803" s="8"/>
      <c r="Z2803" s="8"/>
    </row>
    <row r="2804" spans="1:26" ht="12.75">
      <c r="A2804" s="11">
        <v>43747.189155092594</v>
      </c>
      <c r="B2804" s="12" t="str">
        <f>HYPERLINK("https://twitter.com/CLEVERXYX","@CLEVERXYX")</f>
        <v>@CLEVERXYX</v>
      </c>
      <c r="C2804" s="7" t="s">
        <v>16682</v>
      </c>
      <c r="D2804" s="7" t="s">
        <v>16683</v>
      </c>
      <c r="E2804" s="12" t="str">
        <f>HYPERLINK("https://twitter.com/CLEVERXYX/status/1181895176228347904","1181895176228347904")</f>
        <v>1181895176228347904</v>
      </c>
      <c r="F2804" s="8"/>
      <c r="G2804" s="15"/>
      <c r="H2804" s="8"/>
      <c r="I2804" s="15">
        <v>0</v>
      </c>
      <c r="J2804" s="15">
        <v>3</v>
      </c>
      <c r="K2804" s="12" t="str">
        <f>HYPERLINK("http://twitter.com/download/android","Twitter for Android")</f>
        <v>Twitter for Android</v>
      </c>
      <c r="L2804" s="16">
        <v>12044</v>
      </c>
      <c r="M2804" s="16">
        <v>12105</v>
      </c>
      <c r="N2804" s="16">
        <v>28</v>
      </c>
      <c r="O2804" s="17"/>
      <c r="P2804" s="18">
        <v>40197.278692129628</v>
      </c>
      <c r="Q2804" s="7" t="s">
        <v>16684</v>
      </c>
      <c r="R2804" s="7" t="s">
        <v>16685</v>
      </c>
      <c r="S2804" s="15"/>
      <c r="T2804" s="8"/>
      <c r="U2804" s="19" t="str">
        <f>HYPERLINK("https://pbs.twimg.com/profile_images/3428551428/ca688c8c27b195f2ba2d54ccd6de3507.jpeg","View")</f>
        <v>View</v>
      </c>
      <c r="V2804" s="8"/>
      <c r="W2804" s="8"/>
      <c r="X2804" s="8"/>
      <c r="Y2804" s="8"/>
      <c r="Z2804" s="8"/>
    </row>
    <row r="2805" spans="1:26" ht="12.75">
      <c r="A2805" s="11">
        <v>43747.189016203702</v>
      </c>
      <c r="B2805" s="12" t="str">
        <f>HYPERLINK("https://twitter.com/BisginTunay","@BisginTunay")</f>
        <v>@BisginTunay</v>
      </c>
      <c r="C2805" s="7" t="s">
        <v>16686</v>
      </c>
      <c r="D2805" s="7" t="s">
        <v>16687</v>
      </c>
      <c r="E2805" s="12" t="str">
        <f>HYPERLINK("https://twitter.com/BisginTunay/status/1181895125829652481","1181895125829652481")</f>
        <v>1181895125829652481</v>
      </c>
      <c r="F2805" s="8"/>
      <c r="G2805" s="15"/>
      <c r="H2805" s="8"/>
      <c r="I2805" s="15">
        <v>0</v>
      </c>
      <c r="J2805" s="15">
        <v>0</v>
      </c>
      <c r="K2805" s="12" t="str">
        <f>HYPERLINK("http://twitter.com","Twitter Web Client")</f>
        <v>Twitter Web Client</v>
      </c>
      <c r="L2805" s="16">
        <v>8</v>
      </c>
      <c r="M2805" s="16">
        <v>0</v>
      </c>
      <c r="N2805" s="16">
        <v>0</v>
      </c>
      <c r="O2805" s="17"/>
      <c r="P2805" s="18">
        <v>43668.864699074074</v>
      </c>
      <c r="Q2805" s="7" t="s">
        <v>6929</v>
      </c>
      <c r="R2805" s="7" t="s">
        <v>16688</v>
      </c>
      <c r="S2805" s="7"/>
      <c r="T2805" s="8"/>
      <c r="U2805" s="19" t="str">
        <f>HYPERLINK("https://pbs.twimg.com/profile_images/1153752533027958784/U5j2KENm.jpg","View")</f>
        <v>View</v>
      </c>
      <c r="V2805" s="8"/>
      <c r="W2805" s="8"/>
      <c r="X2805" s="8"/>
      <c r="Y2805" s="8"/>
      <c r="Z2805" s="8"/>
    </row>
    <row r="2806" spans="1:26" ht="12.75">
      <c r="A2806" s="11">
        <v>43747.188935185186</v>
      </c>
      <c r="B2806" s="12" t="str">
        <f>HYPERLINK("https://twitter.com/bksmhtrn","@bksmhtrn")</f>
        <v>@bksmhtrn</v>
      </c>
      <c r="C2806" s="7" t="s">
        <v>16689</v>
      </c>
      <c r="D2806" s="7" t="s">
        <v>16690</v>
      </c>
      <c r="E2806" s="12" t="str">
        <f>HYPERLINK("https://twitter.com/bksmhtrn/status/1181895098965078017","1181895098965078017")</f>
        <v>1181895098965078017</v>
      </c>
      <c r="F2806" s="15"/>
      <c r="G2806" s="7"/>
      <c r="H2806" s="8"/>
      <c r="I2806" s="15">
        <v>0</v>
      </c>
      <c r="J2806" s="15">
        <v>2</v>
      </c>
      <c r="K2806" s="12" t="str">
        <f>HYPERLINK("http://twitter.com/download/iphone","Twitter for iPhone")</f>
        <v>Twitter for iPhone</v>
      </c>
      <c r="L2806" s="16">
        <v>640</v>
      </c>
      <c r="M2806" s="16">
        <v>364</v>
      </c>
      <c r="N2806" s="16">
        <v>0</v>
      </c>
      <c r="O2806" s="17"/>
      <c r="P2806" s="18">
        <v>41658.498935185184</v>
      </c>
      <c r="Q2806" s="7"/>
      <c r="R2806" s="7" t="s">
        <v>16691</v>
      </c>
      <c r="S2806" s="15"/>
      <c r="T2806" s="8"/>
      <c r="U2806" s="19" t="str">
        <f>HYPERLINK("https://pbs.twimg.com/profile_images/1181198191296950272/9N_-eqVA.jpg","View")</f>
        <v>View</v>
      </c>
      <c r="V2806" s="8"/>
      <c r="W2806" s="8"/>
      <c r="X2806" s="8"/>
      <c r="Y2806" s="8"/>
      <c r="Z2806" s="8"/>
    </row>
    <row r="2807" spans="1:26" ht="12.75">
      <c r="A2807" s="11">
        <v>43747.188935185186</v>
      </c>
      <c r="B2807" s="12" t="str">
        <f>HYPERLINK("https://twitter.com/medyaadami","@medyaadami")</f>
        <v>@medyaadami</v>
      </c>
      <c r="C2807" s="7" t="s">
        <v>16692</v>
      </c>
      <c r="D2807" s="7" t="s">
        <v>15123</v>
      </c>
      <c r="E2807" s="12" t="str">
        <f>HYPERLINK("https://twitter.com/medyaadami/status/1181895097287430145","1181895097287430145")</f>
        <v>1181895097287430145</v>
      </c>
      <c r="F2807" s="8"/>
      <c r="G2807" s="15"/>
      <c r="H2807" s="8"/>
      <c r="I2807" s="15">
        <v>8</v>
      </c>
      <c r="J2807" s="15">
        <v>41</v>
      </c>
      <c r="K2807" s="12" t="str">
        <f>HYPERLINK("http://twitter.com/download/iphone","Twitter for iPhone")</f>
        <v>Twitter for iPhone</v>
      </c>
      <c r="L2807" s="16">
        <v>84743</v>
      </c>
      <c r="M2807" s="16">
        <v>4185</v>
      </c>
      <c r="N2807" s="16">
        <v>280</v>
      </c>
      <c r="O2807" s="17"/>
      <c r="P2807" s="18">
        <v>40924.361759259264</v>
      </c>
      <c r="Q2807" s="7"/>
      <c r="R2807" s="7" t="s">
        <v>16693</v>
      </c>
      <c r="S2807" s="7"/>
      <c r="T2807" s="8"/>
      <c r="U2807" s="19" t="str">
        <f>HYPERLINK("https://pbs.twimg.com/profile_images/1172915250015932420/-s3GQzUr.jpg","View")</f>
        <v>View</v>
      </c>
      <c r="V2807" s="8"/>
      <c r="W2807" s="8"/>
      <c r="X2807" s="8"/>
      <c r="Y2807" s="8"/>
      <c r="Z2807" s="8"/>
    </row>
    <row r="2808" spans="1:26" ht="12.75">
      <c r="A2808" s="11">
        <v>43747.188935185186</v>
      </c>
      <c r="B2808" s="12" t="str">
        <f>HYPERLINK("https://twitter.com/dirilistrky","@dirilistrky")</f>
        <v>@dirilistrky</v>
      </c>
      <c r="C2808" s="7" t="s">
        <v>16694</v>
      </c>
      <c r="D2808" s="7" t="s">
        <v>16624</v>
      </c>
      <c r="E2808" s="12" t="str">
        <f>HYPERLINK("https://twitter.com/dirilistrky/status/1181895095689318400","1181895095689318400")</f>
        <v>1181895095689318400</v>
      </c>
      <c r="F2808" s="8"/>
      <c r="G2808" s="14" t="s">
        <v>16695</v>
      </c>
      <c r="H2808" s="8"/>
      <c r="I2808" s="15">
        <v>7</v>
      </c>
      <c r="J2808" s="15">
        <v>41</v>
      </c>
      <c r="K2808" s="12" t="str">
        <f>HYPERLINK("http://twitter.com/download/android","Twitter for Android")</f>
        <v>Twitter for Android</v>
      </c>
      <c r="L2808" s="16">
        <v>45853</v>
      </c>
      <c r="M2808" s="16">
        <v>44591</v>
      </c>
      <c r="N2808" s="16">
        <v>21</v>
      </c>
      <c r="O2808" s="17"/>
      <c r="P2808" s="18">
        <v>41914.206296296295</v>
      </c>
      <c r="Q2808" s="7"/>
      <c r="R2808" s="7" t="s">
        <v>16696</v>
      </c>
      <c r="S2808" s="7"/>
      <c r="T2808" s="8"/>
      <c r="U2808" s="19" t="str">
        <f>HYPERLINK("https://pbs.twimg.com/profile_images/927862373125427200/csRR-J0T.jpg","View")</f>
        <v>View</v>
      </c>
      <c r="V2808" s="8"/>
      <c r="W2808" s="8"/>
      <c r="X2808" s="8"/>
      <c r="Y2808" s="8"/>
      <c r="Z2808" s="8"/>
    </row>
    <row r="2809" spans="1:26" ht="12.75">
      <c r="A2809" s="11">
        <v>43747.188888888893</v>
      </c>
      <c r="B2809" s="12" t="str">
        <f>HYPERLINK("https://twitter.com/Ali_34_53","@Ali_34_53")</f>
        <v>@Ali_34_53</v>
      </c>
      <c r="C2809" s="13" t="s">
        <v>16697</v>
      </c>
      <c r="D2809" s="7" t="s">
        <v>16698</v>
      </c>
      <c r="E2809" s="12" t="str">
        <f>HYPERLINK("https://twitter.com/Ali_34_53/status/1181895081877479424","1181895081877479424")</f>
        <v>1181895081877479424</v>
      </c>
      <c r="F2809" s="15"/>
      <c r="G2809" s="14" t="s">
        <v>16699</v>
      </c>
      <c r="H2809" s="8"/>
      <c r="I2809" s="15">
        <v>0</v>
      </c>
      <c r="J2809" s="15">
        <v>5</v>
      </c>
      <c r="K2809" s="12" t="str">
        <f>HYPERLINK("http://twitter.com/download/android","Twitter for Android")</f>
        <v>Twitter for Android</v>
      </c>
      <c r="L2809" s="16">
        <v>8311</v>
      </c>
      <c r="M2809" s="16">
        <v>8127</v>
      </c>
      <c r="N2809" s="16">
        <v>9</v>
      </c>
      <c r="O2809" s="17"/>
      <c r="P2809" s="18">
        <v>41344.454502314817</v>
      </c>
      <c r="Q2809" s="7" t="s">
        <v>2026</v>
      </c>
      <c r="R2809" s="13" t="s">
        <v>16700</v>
      </c>
      <c r="S2809" s="14" t="s">
        <v>16701</v>
      </c>
      <c r="T2809" s="8"/>
      <c r="U2809" s="19" t="str">
        <f>HYPERLINK("https://pbs.twimg.com/profile_images/1151450880434159617/Aep1pqwb.jpg","View")</f>
        <v>View</v>
      </c>
      <c r="V2809" s="8"/>
      <c r="W2809" s="8"/>
      <c r="X2809" s="8"/>
      <c r="Y2809" s="8"/>
      <c r="Z2809" s="8"/>
    </row>
    <row r="2810" spans="1:26" ht="12.75">
      <c r="A2810" s="11">
        <v>43747.18885416667</v>
      </c>
      <c r="B2810" s="12" t="str">
        <f>HYPERLINK("https://twitter.com/jakulta","@jakulta")</f>
        <v>@jakulta</v>
      </c>
      <c r="C2810" s="7" t="s">
        <v>16702</v>
      </c>
      <c r="D2810" s="7" t="s">
        <v>16703</v>
      </c>
      <c r="E2810" s="12" t="str">
        <f>HYPERLINK("https://twitter.com/jakulta/status/1181895070217314305","1181895070217314305")</f>
        <v>1181895070217314305</v>
      </c>
      <c r="F2810" s="8"/>
      <c r="G2810" s="7"/>
      <c r="H2810" s="8"/>
      <c r="I2810" s="15">
        <v>0</v>
      </c>
      <c r="J2810" s="15">
        <v>0</v>
      </c>
      <c r="K2810" s="12" t="str">
        <f>HYPERLINK("https://mobile.twitter.com","Twitter Web App")</f>
        <v>Twitter Web App</v>
      </c>
      <c r="L2810" s="16">
        <v>60</v>
      </c>
      <c r="M2810" s="16">
        <v>189</v>
      </c>
      <c r="N2810" s="16">
        <v>0</v>
      </c>
      <c r="O2810" s="17"/>
      <c r="P2810" s="18">
        <v>40167.50886574074</v>
      </c>
      <c r="Q2810" s="7" t="s">
        <v>16704</v>
      </c>
      <c r="R2810" s="7" t="s">
        <v>16705</v>
      </c>
      <c r="S2810" s="7"/>
      <c r="T2810" s="8"/>
      <c r="U2810" s="19" t="str">
        <f>HYPERLINK("https://pbs.twimg.com/profile_images/810182744559026176/izJNGYr6.jpg","View")</f>
        <v>View</v>
      </c>
      <c r="V2810" s="8"/>
      <c r="W2810" s="8"/>
      <c r="X2810" s="8"/>
      <c r="Y2810" s="8"/>
      <c r="Z2810" s="8"/>
    </row>
    <row r="2811" spans="1:26" ht="12.75">
      <c r="A2811" s="11">
        <v>43747.188796296294</v>
      </c>
      <c r="B2811" s="12" t="str">
        <f>HYPERLINK("https://twitter.com/EgeyonEge","@EgeyonEge")</f>
        <v>@EgeyonEge</v>
      </c>
      <c r="C2811" s="14" t="s">
        <v>16706</v>
      </c>
      <c r="D2811" s="7" t="s">
        <v>16707</v>
      </c>
      <c r="E2811" s="12" t="str">
        <f>HYPERLINK("https://twitter.com/EgeyonEge/status/1181895048306335744","1181895048306335744")</f>
        <v>1181895048306335744</v>
      </c>
      <c r="F2811" s="14" t="s">
        <v>16708</v>
      </c>
      <c r="G2811" s="7"/>
      <c r="H2811" s="8"/>
      <c r="I2811" s="15">
        <v>1</v>
      </c>
      <c r="J2811" s="15">
        <v>0</v>
      </c>
      <c r="K2811" s="12" t="str">
        <f>HYPERLINK("https://mobile.twitter.com","Twitter Web App")</f>
        <v>Twitter Web App</v>
      </c>
      <c r="L2811" s="16">
        <v>732</v>
      </c>
      <c r="M2811" s="16">
        <v>1281</v>
      </c>
      <c r="N2811" s="16">
        <v>0</v>
      </c>
      <c r="O2811" s="17"/>
      <c r="P2811" s="18">
        <v>42829.981666666667</v>
      </c>
      <c r="Q2811" s="7" t="s">
        <v>80</v>
      </c>
      <c r="R2811" s="7" t="s">
        <v>16709</v>
      </c>
      <c r="S2811" s="14" t="s">
        <v>16710</v>
      </c>
      <c r="T2811" s="8"/>
      <c r="U2811" s="19" t="str">
        <f>HYPERLINK("https://pbs.twimg.com/profile_images/955402131380555776/Pe8153ey.jpg","View")</f>
        <v>View</v>
      </c>
      <c r="V2811" s="8"/>
      <c r="W2811" s="8"/>
      <c r="X2811" s="8"/>
      <c r="Y2811" s="8"/>
      <c r="Z2811" s="8"/>
    </row>
    <row r="2812" spans="1:26" ht="12.75">
      <c r="A2812" s="11">
        <v>43747.188796296294</v>
      </c>
      <c r="B2812" s="12" t="str">
        <f>HYPERLINK("https://twitter.com/MesutOKUTAN7","@MesutOKUTAN7")</f>
        <v>@MesutOKUTAN7</v>
      </c>
      <c r="C2812" s="7" t="s">
        <v>16711</v>
      </c>
      <c r="D2812" s="7" t="s">
        <v>16712</v>
      </c>
      <c r="E2812" s="12" t="str">
        <f>HYPERLINK("https://twitter.com/MesutOKUTAN7/status/1181895047068946433","1181895047068946433")</f>
        <v>1181895047068946433</v>
      </c>
      <c r="F2812" s="8"/>
      <c r="G2812" s="14" t="s">
        <v>16713</v>
      </c>
      <c r="H2812" s="8"/>
      <c r="I2812" s="15">
        <v>0</v>
      </c>
      <c r="J2812" s="15">
        <v>0</v>
      </c>
      <c r="K2812" s="12" t="str">
        <f>HYPERLINK("http://twitter.com/download/android","Twitter for Android")</f>
        <v>Twitter for Android</v>
      </c>
      <c r="L2812" s="16">
        <v>2</v>
      </c>
      <c r="M2812" s="16">
        <v>28</v>
      </c>
      <c r="N2812" s="16">
        <v>0</v>
      </c>
      <c r="O2812" s="17"/>
      <c r="P2812" s="18">
        <v>43745.500081018516</v>
      </c>
      <c r="Q2812" s="7"/>
      <c r="R2812" s="7"/>
      <c r="S2812" s="7"/>
      <c r="T2812" s="8"/>
      <c r="U2812" s="19" t="str">
        <f>HYPERLINK("https://pbs.twimg.com/profile_images/1181289830845566976/ULrv5GWf.jpg","View")</f>
        <v>View</v>
      </c>
      <c r="V2812" s="8"/>
      <c r="W2812" s="8"/>
      <c r="X2812" s="8"/>
      <c r="Y2812" s="8"/>
      <c r="Z2812" s="8"/>
    </row>
    <row r="2813" spans="1:26" ht="12.75">
      <c r="A2813" s="11">
        <v>43747.188738425924</v>
      </c>
      <c r="B2813" s="12" t="str">
        <f>HYPERLINK("https://twitter.com/24erzv","@24erzv")</f>
        <v>@24erzv</v>
      </c>
      <c r="C2813" s="7" t="s">
        <v>16714</v>
      </c>
      <c r="D2813" s="7" t="s">
        <v>16715</v>
      </c>
      <c r="E2813" s="12" t="str">
        <f>HYPERLINK("https://twitter.com/24erzv/status/1181895025124356097","1181895025124356097")</f>
        <v>1181895025124356097</v>
      </c>
      <c r="F2813" s="8"/>
      <c r="G2813" s="14" t="s">
        <v>16716</v>
      </c>
      <c r="H2813" s="8"/>
      <c r="I2813" s="15">
        <v>0</v>
      </c>
      <c r="J2813" s="15">
        <v>3</v>
      </c>
      <c r="K2813" s="12" t="str">
        <f>HYPERLINK("http://twitter.com/download/android","Twitter for Android")</f>
        <v>Twitter for Android</v>
      </c>
      <c r="L2813" s="16">
        <v>1085</v>
      </c>
      <c r="M2813" s="16">
        <v>1207</v>
      </c>
      <c r="N2813" s="16">
        <v>1</v>
      </c>
      <c r="O2813" s="17"/>
      <c r="P2813" s="18">
        <v>43117.411030092597</v>
      </c>
      <c r="Q2813" s="7"/>
      <c r="R2813" s="7" t="s">
        <v>10265</v>
      </c>
      <c r="S2813" s="7"/>
      <c r="T2813" s="8"/>
      <c r="U2813" s="19" t="str">
        <f>HYPERLINK("https://pbs.twimg.com/profile_images/1045052973695606786/El25_Xzl.jpg","View")</f>
        <v>View</v>
      </c>
      <c r="V2813" s="8"/>
      <c r="W2813" s="8"/>
      <c r="X2813" s="8"/>
      <c r="Y2813" s="8"/>
      <c r="Z2813" s="8"/>
    </row>
    <row r="2814" spans="1:26" ht="12.75">
      <c r="A2814" s="11">
        <v>43747.188564814816</v>
      </c>
      <c r="B2814" s="12" t="str">
        <f>HYPERLINK("https://twitter.com/furkancskn1071","@furkancskn1071")</f>
        <v>@furkancskn1071</v>
      </c>
      <c r="C2814" s="7" t="s">
        <v>16717</v>
      </c>
      <c r="D2814" s="7" t="s">
        <v>16718</v>
      </c>
      <c r="E2814" s="12" t="str">
        <f>HYPERLINK("https://twitter.com/furkancskn1071/status/1181894963539402753","1181894963539402753")</f>
        <v>1181894963539402753</v>
      </c>
      <c r="F2814" s="15"/>
      <c r="G2814" s="14" t="s">
        <v>16719</v>
      </c>
      <c r="H2814" s="8"/>
      <c r="I2814" s="15">
        <v>0</v>
      </c>
      <c r="J2814" s="15">
        <v>0</v>
      </c>
      <c r="K2814" s="12" t="str">
        <f>HYPERLINK("https://mobile.twitter.com","Twitter Web App")</f>
        <v>Twitter Web App</v>
      </c>
      <c r="L2814" s="16">
        <v>70</v>
      </c>
      <c r="M2814" s="16">
        <v>26</v>
      </c>
      <c r="N2814" s="16">
        <v>0</v>
      </c>
      <c r="O2814" s="17"/>
      <c r="P2814" s="18">
        <v>42710.117245370369</v>
      </c>
      <c r="Q2814" s="7" t="s">
        <v>1193</v>
      </c>
      <c r="R2814" s="7" t="s">
        <v>16720</v>
      </c>
      <c r="S2814" s="14" t="s">
        <v>16721</v>
      </c>
      <c r="T2814" s="8"/>
      <c r="U2814" s="19" t="str">
        <f>HYPERLINK("https://pbs.twimg.com/profile_images/1136759307578617856/7ZR-5PP1.jpg","View")</f>
        <v>View</v>
      </c>
      <c r="V2814" s="8"/>
      <c r="W2814" s="8"/>
      <c r="X2814" s="8"/>
      <c r="Y2814" s="8"/>
      <c r="Z2814" s="8"/>
    </row>
    <row r="2815" spans="1:26" ht="12.75">
      <c r="A2815" s="11">
        <v>43747.18849537037</v>
      </c>
      <c r="B2815" s="12" t="str">
        <f>HYPERLINK("https://twitter.com/KurtgelSaziye","@KurtgelSaziye")</f>
        <v>@KurtgelSaziye</v>
      </c>
      <c r="C2815" s="7" t="s">
        <v>16722</v>
      </c>
      <c r="D2815" s="7" t="s">
        <v>16723</v>
      </c>
      <c r="E2815" s="12" t="str">
        <f>HYPERLINK("https://twitter.com/KurtgelSaziye/status/1181894940034555904","1181894940034555904")</f>
        <v>1181894940034555904</v>
      </c>
      <c r="F2815" s="8"/>
      <c r="G2815" s="14" t="s">
        <v>16724</v>
      </c>
      <c r="H2815" s="8"/>
      <c r="I2815" s="15">
        <v>0</v>
      </c>
      <c r="J2815" s="15">
        <v>0</v>
      </c>
      <c r="K2815" s="12" t="str">
        <f>HYPERLINK("http://twitter.com","Twitter Web Client")</f>
        <v>Twitter Web Client</v>
      </c>
      <c r="L2815" s="16">
        <v>12</v>
      </c>
      <c r="M2815" s="16">
        <v>0</v>
      </c>
      <c r="N2815" s="16">
        <v>0</v>
      </c>
      <c r="O2815" s="17"/>
      <c r="P2815" s="18">
        <v>43703.853425925925</v>
      </c>
      <c r="Q2815" s="7" t="s">
        <v>16725</v>
      </c>
      <c r="R2815" s="7" t="s">
        <v>16726</v>
      </c>
      <c r="S2815" s="7"/>
      <c r="T2815" s="8"/>
      <c r="U2815" s="19" t="str">
        <f>HYPERLINK("https://pbs.twimg.com/profile_images/1166788989837352961/Ul5jwiKw.jpg","View")</f>
        <v>View</v>
      </c>
      <c r="V2815" s="8"/>
      <c r="W2815" s="8"/>
      <c r="X2815" s="8"/>
      <c r="Y2815" s="8"/>
      <c r="Z2815" s="8"/>
    </row>
    <row r="2816" spans="1:26" ht="12.75">
      <c r="A2816" s="11">
        <v>43747.188391203701</v>
      </c>
      <c r="B2816" s="12" t="str">
        <f>HYPERLINK("https://twitter.com/Mehmets46525780","@Mehmets46525780")</f>
        <v>@Mehmets46525780</v>
      </c>
      <c r="C2816" s="7" t="s">
        <v>16727</v>
      </c>
      <c r="D2816" s="7" t="s">
        <v>16728</v>
      </c>
      <c r="E2816" s="12" t="str">
        <f>HYPERLINK("https://twitter.com/Mehmets46525780/status/1181894899081338882","1181894899081338882")</f>
        <v>1181894899081338882</v>
      </c>
      <c r="F2816" s="8"/>
      <c r="G2816" s="7"/>
      <c r="H2816" s="8"/>
      <c r="I2816" s="15">
        <v>0</v>
      </c>
      <c r="J2816" s="15">
        <v>0</v>
      </c>
      <c r="K2816" s="12" t="str">
        <f>HYPERLINK("http://twitter.com/download/android","Twitter for Android")</f>
        <v>Twitter for Android</v>
      </c>
      <c r="L2816" s="16">
        <v>34</v>
      </c>
      <c r="M2816" s="16">
        <v>304</v>
      </c>
      <c r="N2816" s="16">
        <v>0</v>
      </c>
      <c r="O2816" s="17"/>
      <c r="P2816" s="18">
        <v>43645.123182870375</v>
      </c>
      <c r="Q2816" s="7"/>
      <c r="R2816" s="7" t="s">
        <v>16729</v>
      </c>
      <c r="S2816" s="7"/>
      <c r="T2816" s="8"/>
      <c r="U2816" s="19" t="str">
        <f>HYPERLINK("https://pbs.twimg.com/profile_images/1144908440181104641/NrApIo6C.jpg","View")</f>
        <v>View</v>
      </c>
      <c r="V2816" s="8"/>
      <c r="W2816" s="8"/>
      <c r="X2816" s="8"/>
      <c r="Y2816" s="8"/>
      <c r="Z2816" s="8"/>
    </row>
    <row r="2817" spans="1:26" ht="12.75">
      <c r="A2817" s="11">
        <v>43747.188368055555</v>
      </c>
      <c r="B2817" s="12" t="str">
        <f>HYPERLINK("https://twitter.com/Istennom","@Istennom")</f>
        <v>@Istennom</v>
      </c>
      <c r="C2817" s="7" t="s">
        <v>16730</v>
      </c>
      <c r="D2817" s="7" t="s">
        <v>16731</v>
      </c>
      <c r="E2817" s="12" t="str">
        <f>HYPERLINK("https://twitter.com/Istennom/status/1181894893309960193","1181894893309960193")</f>
        <v>1181894893309960193</v>
      </c>
      <c r="F2817" s="14" t="s">
        <v>16732</v>
      </c>
      <c r="G2817" s="15"/>
      <c r="H2817" s="8"/>
      <c r="I2817" s="15">
        <v>0</v>
      </c>
      <c r="J2817" s="15">
        <v>0</v>
      </c>
      <c r="K2817" s="12" t="str">
        <f>HYPERLINK("http://twitter.com/download/android","Twitter for Android")</f>
        <v>Twitter for Android</v>
      </c>
      <c r="L2817" s="16">
        <v>508</v>
      </c>
      <c r="M2817" s="16">
        <v>458</v>
      </c>
      <c r="N2817" s="16">
        <v>0</v>
      </c>
      <c r="O2817" s="17"/>
      <c r="P2817" s="18">
        <v>40656.674224537041</v>
      </c>
      <c r="Q2817" s="7"/>
      <c r="R2817" s="7" t="s">
        <v>16733</v>
      </c>
      <c r="S2817" s="7"/>
      <c r="T2817" s="8"/>
      <c r="U2817" s="19" t="str">
        <f>HYPERLINK("https://pbs.twimg.com/profile_images/554600439887712256/K8fOu5eG.jpeg","View")</f>
        <v>View</v>
      </c>
      <c r="V2817" s="8"/>
      <c r="W2817" s="8"/>
      <c r="X2817" s="8"/>
      <c r="Y2817" s="8"/>
      <c r="Z2817" s="8"/>
    </row>
    <row r="2818" spans="1:26" ht="12.75">
      <c r="A2818" s="11">
        <v>43747.188356481478</v>
      </c>
      <c r="B2818" s="12" t="str">
        <f>HYPERLINK("https://twitter.com/34AAK53","@34AAK53")</f>
        <v>@34AAK53</v>
      </c>
      <c r="C2818" s="7" t="s">
        <v>16734</v>
      </c>
      <c r="D2818" s="7" t="s">
        <v>16735</v>
      </c>
      <c r="E2818" s="12" t="str">
        <f>HYPERLINK("https://twitter.com/34AAK53/status/1181894888889241602","1181894888889241602")</f>
        <v>1181894888889241602</v>
      </c>
      <c r="F2818" s="8"/>
      <c r="G2818" s="14" t="s">
        <v>16736</v>
      </c>
      <c r="H2818" s="8"/>
      <c r="I2818" s="15">
        <v>0</v>
      </c>
      <c r="J2818" s="15">
        <v>1</v>
      </c>
      <c r="K2818" s="12" t="str">
        <f>HYPERLINK("http://twitter.com/download/iphone","Twitter for iPhone")</f>
        <v>Twitter for iPhone</v>
      </c>
      <c r="L2818" s="16">
        <v>89</v>
      </c>
      <c r="M2818" s="16">
        <v>164</v>
      </c>
      <c r="N2818" s="16">
        <v>0</v>
      </c>
      <c r="O2818" s="17"/>
      <c r="P2818" s="18">
        <v>42254.519317129627</v>
      </c>
      <c r="Q2818" s="7" t="s">
        <v>313</v>
      </c>
      <c r="R2818" s="7"/>
      <c r="S2818" s="7"/>
      <c r="T2818" s="8"/>
      <c r="U2818" s="19" t="str">
        <f>HYPERLINK("https://pbs.twimg.com/profile_images/840175243234811908/ZBOeACO6.jpg","View")</f>
        <v>View</v>
      </c>
      <c r="V2818" s="8"/>
      <c r="W2818" s="8"/>
      <c r="X2818" s="8"/>
      <c r="Y2818" s="8"/>
      <c r="Z2818" s="8"/>
    </row>
    <row r="2819" spans="1:26" ht="12.75">
      <c r="A2819" s="11">
        <v>43747.188333333332</v>
      </c>
      <c r="B2819" s="12" t="str">
        <f>HYPERLINK("https://twitter.com/uluyanulukurt","@uluyanulukurt")</f>
        <v>@uluyanulukurt</v>
      </c>
      <c r="C2819" s="7" t="s">
        <v>16737</v>
      </c>
      <c r="D2819" s="7" t="s">
        <v>16738</v>
      </c>
      <c r="E2819" s="12" t="str">
        <f>HYPERLINK("https://twitter.com/uluyanulukurt/status/1181894880936779776","1181894880936779776")</f>
        <v>1181894880936779776</v>
      </c>
      <c r="F2819" s="8"/>
      <c r="G2819" s="14" t="s">
        <v>16739</v>
      </c>
      <c r="H2819" s="8"/>
      <c r="I2819" s="15">
        <v>0</v>
      </c>
      <c r="J2819" s="15">
        <v>1</v>
      </c>
      <c r="K2819" s="12" t="str">
        <f>HYPERLINK("http://twitter.com/download/android","Twitter for Android")</f>
        <v>Twitter for Android</v>
      </c>
      <c r="L2819" s="16">
        <v>164</v>
      </c>
      <c r="M2819" s="16">
        <v>346</v>
      </c>
      <c r="N2819" s="16">
        <v>0</v>
      </c>
      <c r="O2819" s="17"/>
      <c r="P2819" s="18">
        <v>43478.955532407403</v>
      </c>
      <c r="Q2819" s="7" t="s">
        <v>200</v>
      </c>
      <c r="R2819" s="7" t="s">
        <v>16740</v>
      </c>
      <c r="S2819" s="15"/>
      <c r="T2819" s="8"/>
      <c r="U2819" s="19" t="str">
        <f>HYPERLINK("https://pbs.twimg.com/profile_images/1084710140253753344/XK2ccGTw.jpg","View")</f>
        <v>View</v>
      </c>
      <c r="V2819" s="8"/>
      <c r="W2819" s="8"/>
      <c r="X2819" s="8"/>
      <c r="Y2819" s="8"/>
      <c r="Z2819" s="8"/>
    </row>
    <row r="2820" spans="1:26" ht="12.75">
      <c r="A2820" s="11">
        <v>43747.188310185185</v>
      </c>
      <c r="B2820" s="12" t="str">
        <f>HYPERLINK("https://twitter.com/Mahmutpoy_raz","@Mahmutpoy_raz")</f>
        <v>@Mahmutpoy_raz</v>
      </c>
      <c r="C2820" s="7" t="s">
        <v>16741</v>
      </c>
      <c r="D2820" s="7" t="s">
        <v>16742</v>
      </c>
      <c r="E2820" s="12" t="str">
        <f>HYPERLINK("https://twitter.com/Mahmutpoy_raz/status/1181894871210176512","1181894871210176512")</f>
        <v>1181894871210176512</v>
      </c>
      <c r="F2820" s="8"/>
      <c r="G2820" s="14" t="s">
        <v>16743</v>
      </c>
      <c r="H2820" s="8"/>
      <c r="I2820" s="15">
        <v>0</v>
      </c>
      <c r="J2820" s="15">
        <v>1</v>
      </c>
      <c r="K2820" s="12" t="str">
        <f>HYPERLINK("http://twitter.com/download/iphone","Twitter for iPhone")</f>
        <v>Twitter for iPhone</v>
      </c>
      <c r="L2820" s="16">
        <v>27</v>
      </c>
      <c r="M2820" s="16">
        <v>119</v>
      </c>
      <c r="N2820" s="16">
        <v>0</v>
      </c>
      <c r="O2820" s="17"/>
      <c r="P2820" s="18">
        <v>43690.336423611108</v>
      </c>
      <c r="Q2820" s="7"/>
      <c r="R2820" s="7"/>
      <c r="S2820" s="7"/>
      <c r="T2820" s="8"/>
      <c r="U2820" s="19" t="str">
        <f>HYPERLINK("https://pbs.twimg.com/profile_images/1161310389126217728/wPdURqGk.jpg","View")</f>
        <v>View</v>
      </c>
      <c r="V2820" s="8"/>
      <c r="W2820" s="8"/>
      <c r="X2820" s="8"/>
      <c r="Y2820" s="8"/>
      <c r="Z2820" s="8"/>
    </row>
    <row r="2821" spans="1:26" ht="12.75">
      <c r="A2821" s="11">
        <v>43747.188287037032</v>
      </c>
      <c r="B2821" s="12" t="str">
        <f>HYPERLINK("https://twitter.com/0MerhabaTurkiye","@0MerhabaTurkiye")</f>
        <v>@0MerhabaTurkiye</v>
      </c>
      <c r="C2821" s="7" t="s">
        <v>16744</v>
      </c>
      <c r="D2821" s="7" t="s">
        <v>16745</v>
      </c>
      <c r="E2821" s="12" t="str">
        <f>HYPERLINK("https://twitter.com/0MerhabaTurkiye/status/1181894861592526849","1181894861592526849")</f>
        <v>1181894861592526849</v>
      </c>
      <c r="F2821" s="14" t="s">
        <v>16746</v>
      </c>
      <c r="G2821" s="7"/>
      <c r="H2821" s="8"/>
      <c r="I2821" s="15">
        <v>1</v>
      </c>
      <c r="J2821" s="15">
        <v>2</v>
      </c>
      <c r="K2821" s="12" t="str">
        <f>HYPERLINK("http://twitter.com/download/iphone","Twitter for iPhone")</f>
        <v>Twitter for iPhone</v>
      </c>
      <c r="L2821" s="16">
        <v>3052</v>
      </c>
      <c r="M2821" s="16">
        <v>3177</v>
      </c>
      <c r="N2821" s="16">
        <v>1</v>
      </c>
      <c r="O2821" s="17"/>
      <c r="P2821" s="18">
        <v>43420.098437499997</v>
      </c>
      <c r="Q2821" s="7" t="s">
        <v>668</v>
      </c>
      <c r="R2821" s="7"/>
      <c r="S2821" s="7"/>
      <c r="T2821" s="8"/>
      <c r="U2821" s="19" t="str">
        <f>HYPERLINK("https://pbs.twimg.com/profile_images/1171173457901555713/Baa0bMt_.jpg","View")</f>
        <v>View</v>
      </c>
      <c r="V2821" s="8"/>
      <c r="W2821" s="8"/>
      <c r="X2821" s="8"/>
      <c r="Y2821" s="8"/>
      <c r="Z2821" s="8"/>
    </row>
    <row r="2822" spans="1:26" ht="12.75">
      <c r="A2822" s="11">
        <v>43747.188113425931</v>
      </c>
      <c r="B2822" s="12" t="str">
        <f>HYPERLINK("https://twitter.com/gozucutr","@gozucutr")</f>
        <v>@gozucutr</v>
      </c>
      <c r="C2822" s="7" t="s">
        <v>16747</v>
      </c>
      <c r="D2822" s="7" t="s">
        <v>16748</v>
      </c>
      <c r="E2822" s="12" t="str">
        <f>HYPERLINK("https://twitter.com/gozucutr/status/1181894798619242497","1181894798619242497")</f>
        <v>1181894798619242497</v>
      </c>
      <c r="F2822" s="14" t="s">
        <v>16749</v>
      </c>
      <c r="G2822" s="15"/>
      <c r="H2822" s="8"/>
      <c r="I2822" s="15">
        <v>0</v>
      </c>
      <c r="J2822" s="15">
        <v>0</v>
      </c>
      <c r="K2822" s="12" t="str">
        <f>HYPERLINK("https://mobile.twitter.com","Twitter Web App")</f>
        <v>Twitter Web App</v>
      </c>
      <c r="L2822" s="16">
        <v>149</v>
      </c>
      <c r="M2822" s="16">
        <v>0</v>
      </c>
      <c r="N2822" s="16">
        <v>0</v>
      </c>
      <c r="O2822" s="17"/>
      <c r="P2822" s="18">
        <v>43449.597372685181</v>
      </c>
      <c r="Q2822" s="7" t="s">
        <v>200</v>
      </c>
      <c r="R2822" s="7" t="s">
        <v>16750</v>
      </c>
      <c r="S2822" s="14" t="s">
        <v>16751</v>
      </c>
      <c r="T2822" s="8"/>
      <c r="U2822" s="19" t="str">
        <f>HYPERLINK("https://pbs.twimg.com/profile_images/1151973881735000069/loS5T6Bl.jpg","View")</f>
        <v>View</v>
      </c>
      <c r="V2822" s="8"/>
      <c r="W2822" s="8"/>
      <c r="X2822" s="8"/>
      <c r="Y2822" s="8"/>
      <c r="Z2822" s="8"/>
    </row>
    <row r="2823" spans="1:26" ht="12.75">
      <c r="A2823" s="11">
        <v>43747.187974537039</v>
      </c>
      <c r="B2823" s="12" t="str">
        <f>HYPERLINK("https://twitter.com/Erturulzkan44","@Erturulzkan44")</f>
        <v>@Erturulzkan44</v>
      </c>
      <c r="C2823" s="7" t="s">
        <v>16752</v>
      </c>
      <c r="D2823" s="7" t="s">
        <v>16753</v>
      </c>
      <c r="E2823" s="12" t="str">
        <f>HYPERLINK("https://twitter.com/Erturulzkan44/status/1181894751374716929","1181894751374716929")</f>
        <v>1181894751374716929</v>
      </c>
      <c r="F2823" s="8"/>
      <c r="G2823" s="15"/>
      <c r="H2823" s="8"/>
      <c r="I2823" s="15">
        <v>0</v>
      </c>
      <c r="J2823" s="15">
        <v>0</v>
      </c>
      <c r="K2823" s="12" t="str">
        <f>HYPERLINK("http://twitter.com/download/android","Twitter for Android")</f>
        <v>Twitter for Android</v>
      </c>
      <c r="L2823" s="16">
        <v>57</v>
      </c>
      <c r="M2823" s="16">
        <v>139</v>
      </c>
      <c r="N2823" s="16">
        <v>0</v>
      </c>
      <c r="O2823" s="17"/>
      <c r="P2823" s="18">
        <v>42244.835497685184</v>
      </c>
      <c r="Q2823" s="7" t="s">
        <v>313</v>
      </c>
      <c r="R2823" s="7" t="s">
        <v>16754</v>
      </c>
      <c r="S2823" s="7"/>
      <c r="T2823" s="8"/>
      <c r="U2823" s="19" t="str">
        <f>HYPERLINK("https://pbs.twimg.com/profile_images/1176949053558611968/SHGdlRgB.jpg","View")</f>
        <v>View</v>
      </c>
      <c r="V2823" s="8"/>
      <c r="W2823" s="8"/>
      <c r="X2823" s="8"/>
      <c r="Y2823" s="8"/>
      <c r="Z2823" s="8"/>
    </row>
    <row r="2824" spans="1:26" ht="12.75">
      <c r="A2824" s="11">
        <v>43747.187905092593</v>
      </c>
      <c r="B2824" s="12" t="str">
        <f>HYPERLINK("https://twitter.com/turkaholic007","@turkaholic007")</f>
        <v>@turkaholic007</v>
      </c>
      <c r="C2824" s="7" t="s">
        <v>16755</v>
      </c>
      <c r="D2824" s="7" t="s">
        <v>16756</v>
      </c>
      <c r="E2824" s="12" t="str">
        <f>HYPERLINK("https://twitter.com/turkaholic007/status/1181894726011822080","1181894726011822080")</f>
        <v>1181894726011822080</v>
      </c>
      <c r="F2824" s="8"/>
      <c r="G2824" s="14" t="s">
        <v>16757</v>
      </c>
      <c r="H2824" s="8"/>
      <c r="I2824" s="15">
        <v>0</v>
      </c>
      <c r="J2824" s="15">
        <v>0</v>
      </c>
      <c r="K2824" s="12" t="str">
        <f>HYPERLINK("http://twitter.com/download/android","Twitter for Android")</f>
        <v>Twitter for Android</v>
      </c>
      <c r="L2824" s="16">
        <v>412</v>
      </c>
      <c r="M2824" s="16">
        <v>801</v>
      </c>
      <c r="N2824" s="16">
        <v>0</v>
      </c>
      <c r="O2824" s="17"/>
      <c r="P2824" s="18">
        <v>40383.931527777779</v>
      </c>
      <c r="Q2824" s="7" t="s">
        <v>668</v>
      </c>
      <c r="R2824" s="7"/>
      <c r="S2824" s="7"/>
      <c r="T2824" s="8"/>
      <c r="U2824" s="19" t="str">
        <f>HYPERLINK("https://pbs.twimg.com/profile_images/1094667025505492993/5CMU_Du8.jpg","View")</f>
        <v>View</v>
      </c>
      <c r="V2824" s="8"/>
      <c r="W2824" s="8"/>
      <c r="X2824" s="8"/>
      <c r="Y2824" s="8"/>
      <c r="Z2824" s="8"/>
    </row>
    <row r="2825" spans="1:26" ht="12.75">
      <c r="A2825" s="11">
        <v>43747.1878125</v>
      </c>
      <c r="B2825" s="12" t="str">
        <f>HYPERLINK("https://twitter.com/OzdagTeam","@OzdagTeam")</f>
        <v>@OzdagTeam</v>
      </c>
      <c r="C2825" s="7" t="s">
        <v>16758</v>
      </c>
      <c r="D2825" s="7" t="s">
        <v>16759</v>
      </c>
      <c r="E2825" s="12" t="str">
        <f>HYPERLINK("https://twitter.com/OzdagTeam/status/1181894691022934018","1181894691022934018")</f>
        <v>1181894691022934018</v>
      </c>
      <c r="F2825" s="8"/>
      <c r="G2825" s="7"/>
      <c r="H2825" s="8"/>
      <c r="I2825" s="15">
        <v>0</v>
      </c>
      <c r="J2825" s="15">
        <v>1</v>
      </c>
      <c r="K2825" s="12" t="str">
        <f>HYPERLINK("https://mobile.twitter.com","Twitter Web App")</f>
        <v>Twitter Web App</v>
      </c>
      <c r="L2825" s="16">
        <v>185</v>
      </c>
      <c r="M2825" s="16">
        <v>599</v>
      </c>
      <c r="N2825" s="16">
        <v>0</v>
      </c>
      <c r="O2825" s="17"/>
      <c r="P2825" s="18">
        <v>43740.550451388888</v>
      </c>
      <c r="Q2825" s="7" t="s">
        <v>4577</v>
      </c>
      <c r="R2825" s="7" t="s">
        <v>16760</v>
      </c>
      <c r="S2825" s="7"/>
      <c r="T2825" s="8"/>
      <c r="U2825" s="19" t="str">
        <f>HYPERLINK("https://pbs.twimg.com/profile_images/1180589935302045697/gr7okYYm.jpg","View")</f>
        <v>View</v>
      </c>
      <c r="V2825" s="8"/>
      <c r="W2825" s="8"/>
      <c r="X2825" s="8"/>
      <c r="Y2825" s="8"/>
      <c r="Z2825" s="8"/>
    </row>
    <row r="2826" spans="1:26" ht="12.75">
      <c r="A2826" s="11">
        <v>43747.187696759254</v>
      </c>
      <c r="B2826" s="12" t="str">
        <f>HYPERLINK("https://twitter.com/leventn68","@leventn68")</f>
        <v>@leventn68</v>
      </c>
      <c r="C2826" s="7" t="s">
        <v>16761</v>
      </c>
      <c r="D2826" s="7" t="s">
        <v>16762</v>
      </c>
      <c r="E2826" s="12" t="str">
        <f>HYPERLINK("https://twitter.com/leventn68/status/1181894648593293312","1181894648593293312")</f>
        <v>1181894648593293312</v>
      </c>
      <c r="F2826" s="14" t="s">
        <v>16763</v>
      </c>
      <c r="G2826" s="14" t="s">
        <v>16764</v>
      </c>
      <c r="H2826" s="8"/>
      <c r="I2826" s="15">
        <v>0</v>
      </c>
      <c r="J2826" s="15">
        <v>0</v>
      </c>
      <c r="K2826" s="12" t="str">
        <f>HYPERLINK("https://mobile.twitter.com","Twitter Web App")</f>
        <v>Twitter Web App</v>
      </c>
      <c r="L2826" s="16">
        <v>395</v>
      </c>
      <c r="M2826" s="16">
        <v>119</v>
      </c>
      <c r="N2826" s="16">
        <v>1</v>
      </c>
      <c r="O2826" s="17"/>
      <c r="P2826" s="18">
        <v>42010.971388888887</v>
      </c>
      <c r="Q2826" s="7" t="s">
        <v>313</v>
      </c>
      <c r="R2826" s="7" t="s">
        <v>16765</v>
      </c>
      <c r="S2826" s="7"/>
      <c r="T2826" s="8"/>
      <c r="U2826" s="19" t="str">
        <f>HYPERLINK("https://pbs.twimg.com/profile_images/1134891217886601217/rttWd1Ni.png","View")</f>
        <v>View</v>
      </c>
      <c r="V2826" s="8"/>
      <c r="W2826" s="8"/>
      <c r="X2826" s="8"/>
      <c r="Y2826" s="8"/>
      <c r="Z2826" s="8"/>
    </row>
    <row r="2827" spans="1:26" ht="12.75">
      <c r="A2827" s="11">
        <v>43747.187581018516</v>
      </c>
      <c r="B2827" s="12" t="str">
        <f>HYPERLINK("https://twitter.com/YasirYesiltepe","@YasirYesiltepe")</f>
        <v>@YasirYesiltepe</v>
      </c>
      <c r="C2827" s="7" t="s">
        <v>16766</v>
      </c>
      <c r="D2827" s="7" t="s">
        <v>16767</v>
      </c>
      <c r="E2827" s="12" t="str">
        <f>HYPERLINK("https://twitter.com/YasirYesiltepe/status/1181894608898449414","1181894608898449414")</f>
        <v>1181894608898449414</v>
      </c>
      <c r="F2827" s="8"/>
      <c r="G2827" s="7"/>
      <c r="H2827" s="8"/>
      <c r="I2827" s="15">
        <v>0</v>
      </c>
      <c r="J2827" s="15">
        <v>0</v>
      </c>
      <c r="K2827" s="12" t="str">
        <f>HYPERLINK("https://mobile.twitter.com","Twitter Web App")</f>
        <v>Twitter Web App</v>
      </c>
      <c r="L2827" s="16">
        <v>9</v>
      </c>
      <c r="M2827" s="16">
        <v>8</v>
      </c>
      <c r="N2827" s="16">
        <v>0</v>
      </c>
      <c r="O2827" s="17"/>
      <c r="P2827" s="18">
        <v>41088.104710648149</v>
      </c>
      <c r="Q2827" s="7" t="s">
        <v>576</v>
      </c>
      <c r="R2827" s="7"/>
      <c r="S2827" s="7"/>
      <c r="T2827" s="8"/>
      <c r="U2827" s="19" t="str">
        <f>HYPERLINK("https://pbs.twimg.com/profile_images/1169237995326779393/q8-Jfz91.jpg","View")</f>
        <v>View</v>
      </c>
      <c r="V2827" s="8"/>
      <c r="W2827" s="8"/>
      <c r="X2827" s="8"/>
      <c r="Y2827" s="8"/>
      <c r="Z2827" s="8"/>
    </row>
    <row r="2828" spans="1:26" ht="12.75">
      <c r="A2828" s="11">
        <v>43747.187569444446</v>
      </c>
      <c r="B2828" s="12" t="str">
        <f>HYPERLINK("https://twitter.com/hamzakrkt1","@hamzakrkt1")</f>
        <v>@hamzakrkt1</v>
      </c>
      <c r="C2828" s="7" t="s">
        <v>16768</v>
      </c>
      <c r="D2828" s="7" t="s">
        <v>16769</v>
      </c>
      <c r="E2828" s="12" t="str">
        <f>HYPERLINK("https://twitter.com/hamzakrkt1/status/1181894601843630081","1181894601843630081")</f>
        <v>1181894601843630081</v>
      </c>
      <c r="F2828" s="14" t="s">
        <v>16770</v>
      </c>
      <c r="G2828" s="14" t="s">
        <v>16489</v>
      </c>
      <c r="H2828" s="8"/>
      <c r="I2828" s="15">
        <v>0</v>
      </c>
      <c r="J2828" s="15">
        <v>1</v>
      </c>
      <c r="K2828" s="12" t="str">
        <f>HYPERLINK("http://twitter.com/download/iphone","Twitter for iPhone")</f>
        <v>Twitter for iPhone</v>
      </c>
      <c r="L2828" s="16">
        <v>26</v>
      </c>
      <c r="M2828" s="16">
        <v>29</v>
      </c>
      <c r="N2828" s="16">
        <v>0</v>
      </c>
      <c r="O2828" s="17"/>
      <c r="P2828" s="18">
        <v>43684.103333333333</v>
      </c>
      <c r="Q2828" s="7"/>
      <c r="R2828" s="7"/>
      <c r="S2828" s="7"/>
      <c r="T2828" s="8"/>
      <c r="U2828" s="19" t="str">
        <f>HYPERLINK("https://pbs.twimg.com/profile_images/1167753253544759296/vjs_Qh0S.jpg","View")</f>
        <v>View</v>
      </c>
      <c r="V2828" s="8"/>
      <c r="W2828" s="8"/>
      <c r="X2828" s="8"/>
      <c r="Y2828" s="8"/>
      <c r="Z2828" s="8"/>
    </row>
    <row r="2829" spans="1:26" ht="12.75">
      <c r="A2829" s="11">
        <v>43747.187337962961</v>
      </c>
      <c r="B2829" s="12" t="str">
        <f>HYPERLINK("https://twitter.com/5m_muhendis","@5m_muhendis")</f>
        <v>@5m_muhendis</v>
      </c>
      <c r="C2829" s="7" t="s">
        <v>16771</v>
      </c>
      <c r="D2829" s="7" t="s">
        <v>16772</v>
      </c>
      <c r="E2829" s="12" t="str">
        <f>HYPERLINK("https://twitter.com/5m_muhendis/status/1181894517844320256","1181894517844320256")</f>
        <v>1181894517844320256</v>
      </c>
      <c r="F2829" s="8"/>
      <c r="G2829" s="14" t="s">
        <v>16773</v>
      </c>
      <c r="H2829" s="8"/>
      <c r="I2829" s="15">
        <v>0</v>
      </c>
      <c r="J2829" s="15">
        <v>1</v>
      </c>
      <c r="K2829" s="12" t="str">
        <f>HYPERLINK("https://mobile.twitter.com","Twitter Web App")</f>
        <v>Twitter Web App</v>
      </c>
      <c r="L2829" s="16">
        <v>18</v>
      </c>
      <c r="M2829" s="16">
        <v>70</v>
      </c>
      <c r="N2829" s="16">
        <v>0</v>
      </c>
      <c r="O2829" s="17"/>
      <c r="P2829" s="18">
        <v>43195.016886574071</v>
      </c>
      <c r="Q2829" s="7"/>
      <c r="R2829" s="7" t="s">
        <v>16774</v>
      </c>
      <c r="S2829" s="7"/>
      <c r="T2829" s="8"/>
      <c r="U2829" s="19" t="str">
        <f>HYPERLINK("https://pbs.twimg.com/profile_images/981799369853857792/R3OFb0sG.jpg","View")</f>
        <v>View</v>
      </c>
      <c r="V2829" s="8"/>
      <c r="W2829" s="8"/>
      <c r="X2829" s="8"/>
      <c r="Y2829" s="8"/>
      <c r="Z2829" s="8"/>
    </row>
    <row r="2830" spans="1:26" ht="12.75">
      <c r="A2830" s="11">
        <v>43747.187291666662</v>
      </c>
      <c r="B2830" s="12" t="str">
        <f>HYPERLINK("https://twitter.com/ozturan_menekse","@ozturan_menekse")</f>
        <v>@ozturan_menekse</v>
      </c>
      <c r="C2830" s="7" t="s">
        <v>16775</v>
      </c>
      <c r="D2830" s="7" t="s">
        <v>16776</v>
      </c>
      <c r="E2830" s="12" t="str">
        <f>HYPERLINK("https://twitter.com/ozturan_menekse/status/1181894504196050944","1181894504196050944")</f>
        <v>1181894504196050944</v>
      </c>
      <c r="F2830" s="15"/>
      <c r="G2830" s="15"/>
      <c r="H2830" s="8"/>
      <c r="I2830" s="15">
        <v>0</v>
      </c>
      <c r="J2830" s="15">
        <v>0</v>
      </c>
      <c r="K2830" s="12" t="str">
        <f>HYPERLINK("http://twitter.com","Twitter Web Client")</f>
        <v>Twitter Web Client</v>
      </c>
      <c r="L2830" s="16">
        <v>3</v>
      </c>
      <c r="M2830" s="16">
        <v>0</v>
      </c>
      <c r="N2830" s="16">
        <v>0</v>
      </c>
      <c r="O2830" s="17"/>
      <c r="P2830" s="18">
        <v>43685.01667824074</v>
      </c>
      <c r="Q2830" s="7" t="s">
        <v>16777</v>
      </c>
      <c r="R2830" s="7" t="s">
        <v>16778</v>
      </c>
      <c r="S2830" s="7"/>
      <c r="T2830" s="8"/>
      <c r="U2830" s="19" t="str">
        <f>HYPERLINK("https://pbs.twimg.com/profile_images/1164259220226809856/U4Ao111-.jpg","View")</f>
        <v>View</v>
      </c>
      <c r="V2830" s="8"/>
      <c r="W2830" s="8"/>
      <c r="X2830" s="8"/>
      <c r="Y2830" s="8"/>
      <c r="Z2830" s="8"/>
    </row>
    <row r="2831" spans="1:26" ht="12.75">
      <c r="A2831" s="11">
        <v>43747.187291666662</v>
      </c>
      <c r="B2831" s="12" t="str">
        <f>HYPERLINK("https://twitter.com/Ercunyo","@Ercunyo")</f>
        <v>@Ercunyo</v>
      </c>
      <c r="C2831" s="7" t="s">
        <v>16779</v>
      </c>
      <c r="D2831" s="7" t="s">
        <v>16780</v>
      </c>
      <c r="E2831" s="12" t="str">
        <f>HYPERLINK("https://twitter.com/Ercunyo/status/1181894501259976705","1181894501259976705")</f>
        <v>1181894501259976705</v>
      </c>
      <c r="F2831" s="8"/>
      <c r="G2831" s="7"/>
      <c r="H2831" s="8"/>
      <c r="I2831" s="15">
        <v>0</v>
      </c>
      <c r="J2831" s="15">
        <v>1</v>
      </c>
      <c r="K2831" s="12" t="str">
        <f>HYPERLINK("https://mobile.twitter.com","Twitter Web App")</f>
        <v>Twitter Web App</v>
      </c>
      <c r="L2831" s="16">
        <v>5920</v>
      </c>
      <c r="M2831" s="16">
        <v>50</v>
      </c>
      <c r="N2831" s="16">
        <v>0</v>
      </c>
      <c r="O2831" s="17"/>
      <c r="P2831" s="18">
        <v>43087.284953703704</v>
      </c>
      <c r="Q2831" s="7"/>
      <c r="R2831" s="7" t="s">
        <v>16781</v>
      </c>
      <c r="S2831" s="7"/>
      <c r="T2831" s="8"/>
      <c r="U2831" s="19" t="str">
        <f>HYPERLINK("https://pbs.twimg.com/profile_images/1181801900003467264/W3JVFmPb.jpg","View")</f>
        <v>View</v>
      </c>
      <c r="V2831" s="8"/>
      <c r="W2831" s="8"/>
      <c r="X2831" s="8"/>
      <c r="Y2831" s="8"/>
      <c r="Z2831" s="8"/>
    </row>
    <row r="2832" spans="1:26" ht="12.75">
      <c r="A2832" s="11">
        <v>43747.187256944446</v>
      </c>
      <c r="B2832" s="12" t="str">
        <f>HYPERLINK("https://twitter.com/Venceremoss1917","@Venceremoss1917")</f>
        <v>@Venceremoss1917</v>
      </c>
      <c r="C2832" s="7" t="s">
        <v>16782</v>
      </c>
      <c r="D2832" s="7" t="s">
        <v>16783</v>
      </c>
      <c r="E2832" s="12" t="str">
        <f>HYPERLINK("https://twitter.com/Venceremoss1917/status/1181894489851486208","1181894489851486208")</f>
        <v>1181894489851486208</v>
      </c>
      <c r="F2832" s="8"/>
      <c r="G2832" s="14" t="s">
        <v>16784</v>
      </c>
      <c r="H2832" s="8"/>
      <c r="I2832" s="15">
        <v>0</v>
      </c>
      <c r="J2832" s="15">
        <v>0</v>
      </c>
      <c r="K2832" s="12" t="str">
        <f>HYPERLINK("http://twitter.com/download/android","Twitter for Android")</f>
        <v>Twitter for Android</v>
      </c>
      <c r="L2832" s="16">
        <v>163</v>
      </c>
      <c r="M2832" s="16">
        <v>104</v>
      </c>
      <c r="N2832" s="16">
        <v>0</v>
      </c>
      <c r="O2832" s="17"/>
      <c r="P2832" s="18">
        <v>42957.437407407408</v>
      </c>
      <c r="Q2832" s="7"/>
      <c r="R2832" s="7" t="s">
        <v>16785</v>
      </c>
      <c r="S2832" s="7"/>
      <c r="T2832" s="8"/>
      <c r="U2832" s="19" t="str">
        <f>HYPERLINK("https://pbs.twimg.com/profile_images/895700445053816832/pJzTuDgb.jpg","View")</f>
        <v>View</v>
      </c>
      <c r="V2832" s="8"/>
      <c r="W2832" s="8"/>
      <c r="X2832" s="8"/>
      <c r="Y2832" s="8"/>
      <c r="Z2832" s="8"/>
    </row>
    <row r="2833" spans="1:26" ht="12.75">
      <c r="A2833" s="11">
        <v>43747.187210648146</v>
      </c>
      <c r="B2833" s="12" t="str">
        <f>HYPERLINK("https://twitter.com/ikbali77","@ikbali77")</f>
        <v>@ikbali77</v>
      </c>
      <c r="C2833" s="7" t="s">
        <v>16786</v>
      </c>
      <c r="D2833" s="7" t="s">
        <v>16787</v>
      </c>
      <c r="E2833" s="12" t="str">
        <f>HYPERLINK("https://twitter.com/ikbali77/status/1181894472122191873","1181894472122191873")</f>
        <v>1181894472122191873</v>
      </c>
      <c r="F2833" s="8"/>
      <c r="G2833" s="7"/>
      <c r="H2833" s="8"/>
      <c r="I2833" s="15">
        <v>0</v>
      </c>
      <c r="J2833" s="15">
        <v>0</v>
      </c>
      <c r="K2833" s="12" t="str">
        <f>HYPERLINK("http://twitter.com/download/android","Twitter for Android")</f>
        <v>Twitter for Android</v>
      </c>
      <c r="L2833" s="16">
        <v>40</v>
      </c>
      <c r="M2833" s="16">
        <v>37</v>
      </c>
      <c r="N2833" s="16">
        <v>0</v>
      </c>
      <c r="O2833" s="17"/>
      <c r="P2833" s="18">
        <v>40312.620520833334</v>
      </c>
      <c r="Q2833" s="7"/>
      <c r="R2833" s="7" t="s">
        <v>16788</v>
      </c>
      <c r="S2833" s="7"/>
      <c r="T2833" s="8"/>
      <c r="U2833" s="19" t="str">
        <f>HYPERLINK("https://pbs.twimg.com/profile_images/1150626465563729920/WDmF3rpq.jpg","View")</f>
        <v>View</v>
      </c>
      <c r="V2833" s="8"/>
      <c r="W2833" s="8"/>
      <c r="X2833" s="8"/>
      <c r="Y2833" s="8"/>
      <c r="Z2833" s="8"/>
    </row>
    <row r="2834" spans="1:26" ht="12.75">
      <c r="A2834" s="11">
        <v>43747.187083333338</v>
      </c>
      <c r="B2834" s="12" t="str">
        <f>HYPERLINK("https://twitter.com/aozkull","@aozkull")</f>
        <v>@aozkull</v>
      </c>
      <c r="C2834" s="7" t="s">
        <v>16789</v>
      </c>
      <c r="D2834" s="7" t="s">
        <v>160</v>
      </c>
      <c r="E2834" s="12" t="str">
        <f>HYPERLINK("https://twitter.com/aozkull/status/1181894427742232577","1181894427742232577")</f>
        <v>1181894427742232577</v>
      </c>
      <c r="F2834" s="8"/>
      <c r="G2834" s="14" t="s">
        <v>16790</v>
      </c>
      <c r="H2834" s="8"/>
      <c r="I2834" s="15">
        <v>1</v>
      </c>
      <c r="J2834" s="15">
        <v>1</v>
      </c>
      <c r="K2834" s="12" t="str">
        <f>HYPERLINK("http://twitter.com/download/android","Twitter for Android")</f>
        <v>Twitter for Android</v>
      </c>
      <c r="L2834" s="16">
        <v>122</v>
      </c>
      <c r="M2834" s="16">
        <v>24</v>
      </c>
      <c r="N2834" s="16">
        <v>1</v>
      </c>
      <c r="O2834" s="17"/>
      <c r="P2834" s="18">
        <v>43382.00105324074</v>
      </c>
      <c r="Q2834" s="7" t="s">
        <v>313</v>
      </c>
      <c r="R2834" s="7" t="s">
        <v>16791</v>
      </c>
      <c r="S2834" s="7"/>
      <c r="T2834" s="8"/>
      <c r="U2834" s="19" t="str">
        <f>HYPERLINK("https://pbs.twimg.com/profile_images/1181336272473935877/C_Orv_LV.jpg","View")</f>
        <v>View</v>
      </c>
      <c r="V2834" s="8"/>
      <c r="W2834" s="8"/>
      <c r="X2834" s="8"/>
      <c r="Y2834" s="8"/>
      <c r="Z2834" s="8"/>
    </row>
    <row r="2835" spans="1:26" ht="12.75">
      <c r="A2835" s="11">
        <v>43747.186979166669</v>
      </c>
      <c r="B2835" s="12" t="str">
        <f>HYPERLINK("https://twitter.com/ismbnckc53","@ismbnckc53")</f>
        <v>@ismbnckc53</v>
      </c>
      <c r="C2835" s="7" t="s">
        <v>16792</v>
      </c>
      <c r="D2835" s="7" t="s">
        <v>16793</v>
      </c>
      <c r="E2835" s="12" t="str">
        <f>HYPERLINK("https://twitter.com/ismbnckc53/status/1181894388856868864","1181894388856868864")</f>
        <v>1181894388856868864</v>
      </c>
      <c r="F2835" s="8"/>
      <c r="G2835" s="14" t="s">
        <v>16794</v>
      </c>
      <c r="H2835" s="8"/>
      <c r="I2835" s="15">
        <v>9</v>
      </c>
      <c r="J2835" s="15">
        <v>14</v>
      </c>
      <c r="K2835" s="12" t="str">
        <f>HYPERLINK("http://twitter.com/download/android","Twitter for Android")</f>
        <v>Twitter for Android</v>
      </c>
      <c r="L2835" s="16">
        <v>7360</v>
      </c>
      <c r="M2835" s="16">
        <v>7930</v>
      </c>
      <c r="N2835" s="16">
        <v>8</v>
      </c>
      <c r="O2835" s="17"/>
      <c r="P2835" s="18">
        <v>41830.430555555555</v>
      </c>
      <c r="Q2835" s="7" t="s">
        <v>200</v>
      </c>
      <c r="R2835" s="7" t="s">
        <v>16795</v>
      </c>
      <c r="S2835" s="7"/>
      <c r="T2835" s="8"/>
      <c r="U2835" s="19" t="str">
        <f>HYPERLINK("https://pbs.twimg.com/profile_images/1148603630444060672/Rqh8bm0u.jpg","View")</f>
        <v>View</v>
      </c>
      <c r="V2835" s="8"/>
      <c r="W2835" s="8"/>
      <c r="X2835" s="8"/>
      <c r="Y2835" s="8"/>
      <c r="Z2835" s="8"/>
    </row>
    <row r="2836" spans="1:26" ht="12.75">
      <c r="A2836" s="11">
        <v>43747.186944444446</v>
      </c>
      <c r="B2836" s="12" t="str">
        <f>HYPERLINK("https://twitter.com/bugraarc38","@bugraarc38")</f>
        <v>@bugraarc38</v>
      </c>
      <c r="C2836" s="7" t="s">
        <v>16796</v>
      </c>
      <c r="D2836" s="7" t="s">
        <v>16797</v>
      </c>
      <c r="E2836" s="12" t="str">
        <f>HYPERLINK("https://twitter.com/bugraarc38/status/1181894374357110784","1181894374357110784")</f>
        <v>1181894374357110784</v>
      </c>
      <c r="F2836" s="8"/>
      <c r="G2836" s="15"/>
      <c r="H2836" s="8"/>
      <c r="I2836" s="15">
        <v>0</v>
      </c>
      <c r="J2836" s="15">
        <v>2</v>
      </c>
      <c r="K2836" s="12" t="str">
        <f>HYPERLINK("http://twitter.com/download/android","Twitter for Android")</f>
        <v>Twitter for Android</v>
      </c>
      <c r="L2836" s="16">
        <v>300</v>
      </c>
      <c r="M2836" s="16">
        <v>589</v>
      </c>
      <c r="N2836" s="16">
        <v>0</v>
      </c>
      <c r="O2836" s="17"/>
      <c r="P2836" s="18">
        <v>42310.493101851855</v>
      </c>
      <c r="Q2836" s="7"/>
      <c r="R2836" s="7" t="s">
        <v>16798</v>
      </c>
      <c r="S2836" s="7"/>
      <c r="T2836" s="8"/>
      <c r="U2836" s="19" t="str">
        <f>HYPERLINK("https://pbs.twimg.com/profile_images/856159010780852233/k8QGZ2BG.jpg","View")</f>
        <v>View</v>
      </c>
      <c r="V2836" s="8"/>
      <c r="W2836" s="8"/>
      <c r="X2836" s="8"/>
      <c r="Y2836" s="8"/>
      <c r="Z2836" s="8"/>
    </row>
    <row r="2837" spans="1:26" ht="12.75">
      <c r="A2837" s="11">
        <v>43747.186932870369</v>
      </c>
      <c r="B2837" s="12" t="str">
        <f>HYPERLINK("https://twitter.com/siyamglu","@siyamglu")</f>
        <v>@siyamglu</v>
      </c>
      <c r="C2837" s="7" t="s">
        <v>16799</v>
      </c>
      <c r="D2837" s="7" t="s">
        <v>16800</v>
      </c>
      <c r="E2837" s="12" t="str">
        <f>HYPERLINK("https://twitter.com/siyamglu/status/1181894372239040512","1181894372239040512")</f>
        <v>1181894372239040512</v>
      </c>
      <c r="F2837" s="8"/>
      <c r="G2837" s="14" t="s">
        <v>16801</v>
      </c>
      <c r="H2837" s="8"/>
      <c r="I2837" s="15">
        <v>0</v>
      </c>
      <c r="J2837" s="15">
        <v>1</v>
      </c>
      <c r="K2837" s="12" t="str">
        <f>HYPERLINK("http://twitter.com/download/iphone","Twitter for iPhone")</f>
        <v>Twitter for iPhone</v>
      </c>
      <c r="L2837" s="16">
        <v>104</v>
      </c>
      <c r="M2837" s="16">
        <v>134</v>
      </c>
      <c r="N2837" s="16">
        <v>0</v>
      </c>
      <c r="O2837" s="17"/>
      <c r="P2837" s="18">
        <v>41645.436840277776</v>
      </c>
      <c r="Q2837" s="7"/>
      <c r="R2837" s="7"/>
      <c r="S2837" s="7"/>
      <c r="T2837" s="8"/>
      <c r="U2837" s="19" t="str">
        <f>HYPERLINK("https://pbs.twimg.com/profile_images/681604983389851648/f6KKqBMs.jpg","View")</f>
        <v>View</v>
      </c>
      <c r="V2837" s="8"/>
      <c r="W2837" s="8"/>
      <c r="X2837" s="8"/>
      <c r="Y2837" s="8"/>
      <c r="Z2837" s="8"/>
    </row>
    <row r="2838" spans="1:26" ht="12.75">
      <c r="A2838" s="11">
        <v>43747.18677083333</v>
      </c>
      <c r="B2838" s="12" t="str">
        <f>HYPERLINK("https://twitter.com/degirmenci_38","@degirmenci_38")</f>
        <v>@degirmenci_38</v>
      </c>
      <c r="C2838" s="7" t="s">
        <v>16802</v>
      </c>
      <c r="D2838" s="7" t="s">
        <v>16803</v>
      </c>
      <c r="E2838" s="12" t="str">
        <f>HYPERLINK("https://twitter.com/degirmenci_38/status/1181894312738594821","1181894312738594821")</f>
        <v>1181894312738594821</v>
      </c>
      <c r="F2838" s="8"/>
      <c r="G2838" s="15"/>
      <c r="H2838" s="8"/>
      <c r="I2838" s="15">
        <v>0</v>
      </c>
      <c r="J2838" s="15">
        <v>1</v>
      </c>
      <c r="K2838" s="12" t="str">
        <f>HYPERLINK("http://twitter.com/download/android","Twitter for Android")</f>
        <v>Twitter for Android</v>
      </c>
      <c r="L2838" s="16">
        <v>14820</v>
      </c>
      <c r="M2838" s="16">
        <v>2745</v>
      </c>
      <c r="N2838" s="16">
        <v>16</v>
      </c>
      <c r="O2838" s="17"/>
      <c r="P2838" s="18">
        <v>40812.094953703701</v>
      </c>
      <c r="Q2838" s="7" t="s">
        <v>200</v>
      </c>
      <c r="R2838" s="7" t="s">
        <v>16804</v>
      </c>
      <c r="S2838" s="7"/>
      <c r="T2838" s="8"/>
      <c r="U2838" s="19" t="str">
        <f>HYPERLINK("https://pbs.twimg.com/profile_images/1151072912620904451/mg5OssF0.jpg","View")</f>
        <v>View</v>
      </c>
      <c r="V2838" s="8"/>
      <c r="W2838" s="8"/>
      <c r="X2838" s="8"/>
      <c r="Y2838" s="8"/>
      <c r="Z2838" s="8"/>
    </row>
    <row r="2839" spans="1:26" ht="12.75">
      <c r="A2839" s="11">
        <v>43747.186736111107</v>
      </c>
      <c r="B2839" s="12" t="str">
        <f>HYPERLINK("https://twitter.com/HackerAcemi","@HackerAcemi")</f>
        <v>@HackerAcemi</v>
      </c>
      <c r="C2839" s="7" t="s">
        <v>16805</v>
      </c>
      <c r="D2839" s="7" t="s">
        <v>16806</v>
      </c>
      <c r="E2839" s="12" t="str">
        <f>HYPERLINK("https://twitter.com/HackerAcemi/status/1181894301288189952","1181894301288189952")</f>
        <v>1181894301288189952</v>
      </c>
      <c r="F2839" s="14" t="s">
        <v>16807</v>
      </c>
      <c r="G2839" s="15"/>
      <c r="H2839" s="8"/>
      <c r="I2839" s="15">
        <v>0</v>
      </c>
      <c r="J2839" s="15">
        <v>1</v>
      </c>
      <c r="K2839" s="12" t="str">
        <f>HYPERLINK("http://twitter.com/download/android","Twitter for Android")</f>
        <v>Twitter for Android</v>
      </c>
      <c r="L2839" s="16">
        <v>26</v>
      </c>
      <c r="M2839" s="16">
        <v>54</v>
      </c>
      <c r="N2839" s="16">
        <v>0</v>
      </c>
      <c r="O2839" s="17"/>
      <c r="P2839" s="18">
        <v>43451.451504629629</v>
      </c>
      <c r="Q2839" s="7" t="s">
        <v>16808</v>
      </c>
      <c r="R2839" s="7" t="s">
        <v>16809</v>
      </c>
      <c r="S2839" s="15"/>
      <c r="T2839" s="8"/>
      <c r="U2839" s="19" t="str">
        <f>HYPERLINK("https://pbs.twimg.com/profile_images/1074743583482232837/T4u-oB97.jpg","View")</f>
        <v>View</v>
      </c>
      <c r="V2839" s="8"/>
      <c r="W2839" s="8"/>
      <c r="X2839" s="8"/>
      <c r="Y2839" s="8"/>
      <c r="Z2839" s="8"/>
    </row>
    <row r="2840" spans="1:26" ht="12.75">
      <c r="A2840" s="11">
        <v>43747.186689814815</v>
      </c>
      <c r="B2840" s="12" t="str">
        <f>HYPERLINK("https://twitter.com/BalcioluTurgut","@BalcioluTurgut")</f>
        <v>@BalcioluTurgut</v>
      </c>
      <c r="C2840" s="7" t="s">
        <v>16810</v>
      </c>
      <c r="D2840" s="7" t="s">
        <v>16811</v>
      </c>
      <c r="E2840" s="12" t="str">
        <f>HYPERLINK("https://twitter.com/BalcioluTurgut/status/1181894284997476352","1181894284997476352")</f>
        <v>1181894284997476352</v>
      </c>
      <c r="F2840" s="8"/>
      <c r="G2840" s="14" t="s">
        <v>16812</v>
      </c>
      <c r="H2840" s="8"/>
      <c r="I2840" s="15">
        <v>0</v>
      </c>
      <c r="J2840" s="15">
        <v>4</v>
      </c>
      <c r="K2840" s="12" t="str">
        <f>HYPERLINK("https://mobile.twitter.com","Twitter Web App")</f>
        <v>Twitter Web App</v>
      </c>
      <c r="L2840" s="16">
        <v>6471</v>
      </c>
      <c r="M2840" s="16">
        <v>6097</v>
      </c>
      <c r="N2840" s="16">
        <v>3</v>
      </c>
      <c r="O2840" s="17"/>
      <c r="P2840" s="18">
        <v>41227.011064814811</v>
      </c>
      <c r="Q2840" s="7" t="s">
        <v>16813</v>
      </c>
      <c r="R2840" s="7" t="s">
        <v>16814</v>
      </c>
      <c r="S2840" s="7"/>
      <c r="T2840" s="8"/>
      <c r="U2840" s="19" t="str">
        <f>HYPERLINK("https://pbs.twimg.com/profile_images/908676698287337472/Iash5r7k.jpg","View")</f>
        <v>View</v>
      </c>
      <c r="V2840" s="8"/>
      <c r="W2840" s="8"/>
      <c r="X2840" s="8"/>
      <c r="Y2840" s="8"/>
      <c r="Z2840" s="8"/>
    </row>
    <row r="2841" spans="1:26" ht="12.75">
      <c r="A2841" s="11">
        <v>43747.186620370368</v>
      </c>
      <c r="B2841" s="12" t="str">
        <f>HYPERLINK("https://twitter.com/NedretKizilelma","@NedretKizilelma")</f>
        <v>@NedretKizilelma</v>
      </c>
      <c r="C2841" s="7" t="s">
        <v>16815</v>
      </c>
      <c r="D2841" s="7" t="s">
        <v>16816</v>
      </c>
      <c r="E2841" s="12" t="str">
        <f>HYPERLINK("https://twitter.com/NedretKizilelma/status/1181894256962736128","1181894256962736128")</f>
        <v>1181894256962736128</v>
      </c>
      <c r="F2841" s="8"/>
      <c r="G2841" s="14" t="s">
        <v>16817</v>
      </c>
      <c r="H2841" s="8"/>
      <c r="I2841" s="15">
        <v>0</v>
      </c>
      <c r="J2841" s="15">
        <v>0</v>
      </c>
      <c r="K2841" s="12" t="str">
        <f>HYPERLINK("http://twitter.com","Twitter Web Client")</f>
        <v>Twitter Web Client</v>
      </c>
      <c r="L2841" s="16">
        <v>22</v>
      </c>
      <c r="M2841" s="16">
        <v>0</v>
      </c>
      <c r="N2841" s="16">
        <v>1</v>
      </c>
      <c r="O2841" s="17"/>
      <c r="P2841" s="18">
        <v>43683.837835648148</v>
      </c>
      <c r="Q2841" s="7" t="s">
        <v>15593</v>
      </c>
      <c r="R2841" s="7" t="s">
        <v>16818</v>
      </c>
      <c r="S2841" s="7"/>
      <c r="T2841" s="8"/>
      <c r="U2841" s="19" t="str">
        <f>HYPERLINK("https://pbs.twimg.com/profile_images/1167219705150615553/xZ6S6q--.jpg","View")</f>
        <v>View</v>
      </c>
      <c r="V2841" s="8"/>
      <c r="W2841" s="8"/>
      <c r="X2841" s="8"/>
      <c r="Y2841" s="8"/>
      <c r="Z2841" s="8"/>
    </row>
    <row r="2842" spans="1:26" ht="12.75">
      <c r="A2842" s="11">
        <v>43747.186585648145</v>
      </c>
      <c r="B2842" s="12" t="str">
        <f>HYPERLINK("https://twitter.com/semraonay","@semraonay")</f>
        <v>@semraonay</v>
      </c>
      <c r="C2842" s="7" t="s">
        <v>16819</v>
      </c>
      <c r="D2842" s="7" t="s">
        <v>16820</v>
      </c>
      <c r="E2842" s="12" t="str">
        <f>HYPERLINK("https://twitter.com/semraonay/status/1181894244736421891","1181894244736421891")</f>
        <v>1181894244736421891</v>
      </c>
      <c r="F2842" s="14" t="s">
        <v>16821</v>
      </c>
      <c r="G2842" s="14" t="s">
        <v>16822</v>
      </c>
      <c r="H2842" s="8"/>
      <c r="I2842" s="15">
        <v>0</v>
      </c>
      <c r="J2842" s="15">
        <v>1</v>
      </c>
      <c r="K2842" s="12" t="str">
        <f>HYPERLINK("http://twitter.com/download/android","Twitter for Android")</f>
        <v>Twitter for Android</v>
      </c>
      <c r="L2842" s="16">
        <v>41</v>
      </c>
      <c r="M2842" s="16">
        <v>203</v>
      </c>
      <c r="N2842" s="16">
        <v>0</v>
      </c>
      <c r="O2842" s="17"/>
      <c r="P2842" s="18">
        <v>40689.309444444443</v>
      </c>
      <c r="Q2842" s="7" t="s">
        <v>200</v>
      </c>
      <c r="R2842" s="7" t="s">
        <v>16823</v>
      </c>
      <c r="S2842" s="7"/>
      <c r="T2842" s="8"/>
      <c r="U2842" s="19" t="str">
        <f>HYPERLINK("https://pbs.twimg.com/profile_images/1181693503526572033/Iit3W6yV.jpg","View")</f>
        <v>View</v>
      </c>
      <c r="V2842" s="8"/>
      <c r="W2842" s="8"/>
      <c r="X2842" s="8"/>
      <c r="Y2842" s="8"/>
      <c r="Z2842" s="8"/>
    </row>
    <row r="2843" spans="1:26" ht="12.75">
      <c r="A2843" s="11">
        <v>43747.186550925922</v>
      </c>
      <c r="B2843" s="12" t="str">
        <f>HYPERLINK("https://twitter.com/UmutDemirer18","@UmutDemirer18")</f>
        <v>@UmutDemirer18</v>
      </c>
      <c r="C2843" s="7" t="s">
        <v>16824</v>
      </c>
      <c r="D2843" s="7" t="s">
        <v>16825</v>
      </c>
      <c r="E2843" s="12" t="str">
        <f>HYPERLINK("https://twitter.com/UmutDemirer18/status/1181894235215290368","1181894235215290368")</f>
        <v>1181894235215290368</v>
      </c>
      <c r="F2843" s="8"/>
      <c r="G2843" s="14" t="s">
        <v>16826</v>
      </c>
      <c r="H2843" s="8"/>
      <c r="I2843" s="15">
        <v>0</v>
      </c>
      <c r="J2843" s="15">
        <v>0</v>
      </c>
      <c r="K2843" s="12" t="str">
        <f>HYPERLINK("http://twitter.com/download/iphone","Twitter for iPhone")</f>
        <v>Twitter for iPhone</v>
      </c>
      <c r="L2843" s="16">
        <v>1</v>
      </c>
      <c r="M2843" s="16">
        <v>6</v>
      </c>
      <c r="N2843" s="16">
        <v>0</v>
      </c>
      <c r="O2843" s="17"/>
      <c r="P2843" s="18">
        <v>43740.406585648147</v>
      </c>
      <c r="Q2843" s="7"/>
      <c r="R2843" s="7" t="s">
        <v>16827</v>
      </c>
      <c r="S2843" s="7"/>
      <c r="T2843" s="8"/>
      <c r="U2843" s="19" t="str">
        <f>HYPERLINK("https://pbs.twimg.com/profile_images/1179437347286503425/bHOatosN.jpg","View")</f>
        <v>View</v>
      </c>
      <c r="V2843" s="8"/>
      <c r="W2843" s="8"/>
      <c r="X2843" s="8"/>
      <c r="Y2843" s="8"/>
      <c r="Z2843" s="8"/>
    </row>
    <row r="2844" spans="1:26" ht="12.75">
      <c r="A2844" s="11">
        <v>43747.186458333337</v>
      </c>
      <c r="B2844" s="12" t="str">
        <f>HYPERLINK("https://twitter.com/AhmetAliGOK","@AhmetAliGOK")</f>
        <v>@AhmetAliGOK</v>
      </c>
      <c r="C2844" s="7" t="s">
        <v>16828</v>
      </c>
      <c r="D2844" s="7" t="s">
        <v>16829</v>
      </c>
      <c r="E2844" s="12" t="str">
        <f>HYPERLINK("https://twitter.com/AhmetAliGOK/status/1181894200520040449","1181894200520040449")</f>
        <v>1181894200520040449</v>
      </c>
      <c r="F2844" s="8"/>
      <c r="G2844" s="15"/>
      <c r="H2844" s="8"/>
      <c r="I2844" s="15">
        <v>0</v>
      </c>
      <c r="J2844" s="15">
        <v>0</v>
      </c>
      <c r="K2844" s="12" t="str">
        <f>HYPERLINK("http://twitter.com/download/android","Twitter for Android")</f>
        <v>Twitter for Android</v>
      </c>
      <c r="L2844" s="16">
        <v>62</v>
      </c>
      <c r="M2844" s="16">
        <v>266</v>
      </c>
      <c r="N2844" s="16">
        <v>1</v>
      </c>
      <c r="O2844" s="17"/>
      <c r="P2844" s="18">
        <v>40840.169907407406</v>
      </c>
      <c r="Q2844" s="7" t="s">
        <v>16830</v>
      </c>
      <c r="R2844" s="7"/>
      <c r="S2844" s="14" t="s">
        <v>16831</v>
      </c>
      <c r="T2844" s="8"/>
      <c r="U2844" s="19" t="str">
        <f>HYPERLINK("https://pbs.twimg.com/profile_images/1154136587183280129/kC4ZKDwy.jpg","View")</f>
        <v>View</v>
      </c>
      <c r="V2844" s="8"/>
      <c r="W2844" s="8"/>
      <c r="X2844" s="8"/>
      <c r="Y2844" s="8"/>
      <c r="Z2844" s="8"/>
    </row>
    <row r="2845" spans="1:26" ht="12.75">
      <c r="A2845" s="11">
        <v>43747.186365740738</v>
      </c>
      <c r="B2845" s="12" t="str">
        <f>HYPERLINK("https://twitter.com/bizimbaykus","@bizimbaykus")</f>
        <v>@bizimbaykus</v>
      </c>
      <c r="C2845" s="7" t="s">
        <v>16832</v>
      </c>
      <c r="D2845" s="7" t="s">
        <v>16833</v>
      </c>
      <c r="E2845" s="12" t="str">
        <f>HYPERLINK("https://twitter.com/bizimbaykus/status/1181894164709068801","1181894164709068801")</f>
        <v>1181894164709068801</v>
      </c>
      <c r="F2845" s="15"/>
      <c r="G2845" s="7"/>
      <c r="H2845" s="8"/>
      <c r="I2845" s="15">
        <v>0</v>
      </c>
      <c r="J2845" s="15">
        <v>0</v>
      </c>
      <c r="K2845" s="12" t="str">
        <f>HYPERLINK("http://twitter.com/download/android","Twitter for Android")</f>
        <v>Twitter for Android</v>
      </c>
      <c r="L2845" s="16">
        <v>22</v>
      </c>
      <c r="M2845" s="16">
        <v>478</v>
      </c>
      <c r="N2845" s="16">
        <v>0</v>
      </c>
      <c r="O2845" s="17"/>
      <c r="P2845" s="18">
        <v>42984.385138888887</v>
      </c>
      <c r="Q2845" s="7"/>
      <c r="R2845" s="7"/>
      <c r="S2845" s="15"/>
      <c r="T2845" s="8"/>
      <c r="U2845" s="19" t="str">
        <f>HYPERLINK("https://pbs.twimg.com/profile_images/1002291798650310657/4y8P37uW.jpg","View")</f>
        <v>View</v>
      </c>
      <c r="V2845" s="8"/>
      <c r="W2845" s="8"/>
      <c r="X2845" s="8"/>
      <c r="Y2845" s="8"/>
      <c r="Z2845" s="8"/>
    </row>
    <row r="2846" spans="1:26" ht="12.75">
      <c r="A2846" s="11">
        <v>43747.186296296291</v>
      </c>
      <c r="B2846" s="12" t="str">
        <f>HYPERLINK("https://twitter.com/KapitalistGand1","@KapitalistGand1")</f>
        <v>@KapitalistGand1</v>
      </c>
      <c r="C2846" s="7" t="s">
        <v>16834</v>
      </c>
      <c r="D2846" s="7" t="s">
        <v>16835</v>
      </c>
      <c r="E2846" s="12" t="str">
        <f>HYPERLINK("https://twitter.com/KapitalistGand1/status/1181894142747648000","1181894142747648000")</f>
        <v>1181894142747648000</v>
      </c>
      <c r="F2846" s="8"/>
      <c r="G2846" s="14" t="s">
        <v>16836</v>
      </c>
      <c r="H2846" s="8"/>
      <c r="I2846" s="15">
        <v>0</v>
      </c>
      <c r="J2846" s="15">
        <v>2</v>
      </c>
      <c r="K2846" s="12" t="str">
        <f>HYPERLINK("http://twitter.com/download/android","Twitter for Android")</f>
        <v>Twitter for Android</v>
      </c>
      <c r="L2846" s="16">
        <v>3</v>
      </c>
      <c r="M2846" s="16">
        <v>21</v>
      </c>
      <c r="N2846" s="16">
        <v>0</v>
      </c>
      <c r="O2846" s="17"/>
      <c r="P2846" s="18">
        <v>43680.579733796301</v>
      </c>
      <c r="Q2846" s="7"/>
      <c r="R2846" s="7" t="s">
        <v>16837</v>
      </c>
      <c r="S2846" s="7"/>
      <c r="T2846" s="8"/>
      <c r="U2846" s="19" t="str">
        <f>HYPERLINK("https://pbs.twimg.com/profile_images/1157756879541587968/YetVDqlN.jpg","View")</f>
        <v>View</v>
      </c>
      <c r="V2846" s="8"/>
      <c r="W2846" s="8"/>
      <c r="X2846" s="8"/>
      <c r="Y2846" s="8"/>
      <c r="Z2846" s="8"/>
    </row>
    <row r="2847" spans="1:26" ht="12.75">
      <c r="A2847" s="11">
        <v>43747.186064814814</v>
      </c>
      <c r="B2847" s="12" t="str">
        <f>HYPERLINK("https://twitter.com/ilknureda","@ilknureda")</f>
        <v>@ilknureda</v>
      </c>
      <c r="C2847" s="7" t="s">
        <v>16838</v>
      </c>
      <c r="D2847" s="7" t="s">
        <v>16839</v>
      </c>
      <c r="E2847" s="12" t="str">
        <f>HYPERLINK("https://twitter.com/ilknureda/status/1181894056525336577","1181894056525336577")</f>
        <v>1181894056525336577</v>
      </c>
      <c r="F2847" s="8"/>
      <c r="G2847" s="14" t="s">
        <v>16840</v>
      </c>
      <c r="H2847" s="8"/>
      <c r="I2847" s="15">
        <v>0</v>
      </c>
      <c r="J2847" s="15">
        <v>0</v>
      </c>
      <c r="K2847" s="12" t="str">
        <f>HYPERLINK("http://twitter.com/download/iphone","Twitter for iPhone")</f>
        <v>Twitter for iPhone</v>
      </c>
      <c r="L2847" s="16">
        <v>488</v>
      </c>
      <c r="M2847" s="16">
        <v>303</v>
      </c>
      <c r="N2847" s="16">
        <v>3</v>
      </c>
      <c r="O2847" s="17"/>
      <c r="P2847" s="18">
        <v>40242.345335648148</v>
      </c>
      <c r="Q2847" s="7" t="s">
        <v>576</v>
      </c>
      <c r="R2847" s="7" t="s">
        <v>16841</v>
      </c>
      <c r="S2847" s="7"/>
      <c r="T2847" s="8"/>
      <c r="U2847" s="19" t="str">
        <f>HYPERLINK("https://pbs.twimg.com/profile_images/1154538787323686912/71yac8xo.jpg","View")</f>
        <v>View</v>
      </c>
      <c r="V2847" s="8"/>
      <c r="W2847" s="8"/>
      <c r="X2847" s="8"/>
      <c r="Y2847" s="8"/>
      <c r="Z2847" s="8"/>
    </row>
    <row r="2848" spans="1:26" ht="12.75">
      <c r="A2848" s="11">
        <v>43747.186018518521</v>
      </c>
      <c r="B2848" s="12" t="str">
        <f>HYPERLINK("https://twitter.com/AlkandanArel","@AlkandanArel")</f>
        <v>@AlkandanArel</v>
      </c>
      <c r="C2848" s="7" t="s">
        <v>16842</v>
      </c>
      <c r="D2848" s="7" t="s">
        <v>16843</v>
      </c>
      <c r="E2848" s="12" t="str">
        <f>HYPERLINK("https://twitter.com/AlkandanArel/status/1181894039119056896","1181894039119056896")</f>
        <v>1181894039119056896</v>
      </c>
      <c r="F2848" s="8"/>
      <c r="G2848" s="15"/>
      <c r="H2848" s="8"/>
      <c r="I2848" s="15">
        <v>0</v>
      </c>
      <c r="J2848" s="15">
        <v>0</v>
      </c>
      <c r="K2848" s="12" t="str">
        <f>HYPERLINK("http://twitter.com","Twitter Web Client")</f>
        <v>Twitter Web Client</v>
      </c>
      <c r="L2848" s="16">
        <v>4</v>
      </c>
      <c r="M2848" s="16">
        <v>0</v>
      </c>
      <c r="N2848" s="16">
        <v>0</v>
      </c>
      <c r="O2848" s="17"/>
      <c r="P2848" s="18">
        <v>43668.960393518515</v>
      </c>
      <c r="Q2848" s="7" t="s">
        <v>16844</v>
      </c>
      <c r="R2848" s="7" t="s">
        <v>16845</v>
      </c>
      <c r="S2848" s="7"/>
      <c r="T2848" s="8"/>
      <c r="U2848" s="19" t="str">
        <f>HYPERLINK("https://pbs.twimg.com/profile_images/1153754350201856000/Z8hOeqQQ.jpg","View")</f>
        <v>View</v>
      </c>
      <c r="V2848" s="8"/>
      <c r="W2848" s="8"/>
      <c r="X2848" s="8"/>
      <c r="Y2848" s="8"/>
      <c r="Z2848" s="8"/>
    </row>
    <row r="2849" spans="1:26" ht="12.75">
      <c r="A2849" s="11">
        <v>43747.185914351852</v>
      </c>
      <c r="B2849" s="12" t="str">
        <f>HYPERLINK("https://twitter.com/ertanbjk83","@ertanbjk83")</f>
        <v>@ertanbjk83</v>
      </c>
      <c r="C2849" s="7" t="s">
        <v>16847</v>
      </c>
      <c r="D2849" s="7" t="s">
        <v>16848</v>
      </c>
      <c r="E2849" s="12" t="str">
        <f>HYPERLINK("https://twitter.com/ertanbjk83/status/1181894000938225665","1181894000938225665")</f>
        <v>1181894000938225665</v>
      </c>
      <c r="F2849" s="8"/>
      <c r="G2849" s="15"/>
      <c r="H2849" s="8"/>
      <c r="I2849" s="15">
        <v>0</v>
      </c>
      <c r="J2849" s="15">
        <v>1</v>
      </c>
      <c r="K2849" s="12" t="str">
        <f>HYPERLINK("http://twitter.com/download/android","Twitter for Android")</f>
        <v>Twitter for Android</v>
      </c>
      <c r="L2849" s="16">
        <v>3740</v>
      </c>
      <c r="M2849" s="16">
        <v>3726</v>
      </c>
      <c r="N2849" s="16">
        <v>0</v>
      </c>
      <c r="O2849" s="17"/>
      <c r="P2849" s="18">
        <v>42777.073217592595</v>
      </c>
      <c r="Q2849" s="7" t="s">
        <v>313</v>
      </c>
      <c r="R2849" s="7" t="s">
        <v>16849</v>
      </c>
      <c r="S2849" s="7"/>
      <c r="T2849" s="8"/>
      <c r="U2849" s="19" t="str">
        <f>HYPERLINK("https://pbs.twimg.com/profile_images/1141381420084080640/3rfxiKJW.jpg","View")</f>
        <v>View</v>
      </c>
      <c r="V2849" s="8"/>
      <c r="W2849" s="8"/>
      <c r="X2849" s="8"/>
      <c r="Y2849" s="8"/>
      <c r="Z2849" s="8"/>
    </row>
    <row r="2850" spans="1:26" ht="12.75">
      <c r="A2850" s="11">
        <v>43747.185902777783</v>
      </c>
      <c r="B2850" s="12" t="str">
        <f>HYPERLINK("https://twitter.com/XTechnology4","@XTechnology4")</f>
        <v>@XTechnology4</v>
      </c>
      <c r="C2850" s="7" t="s">
        <v>16850</v>
      </c>
      <c r="D2850" s="7" t="s">
        <v>16851</v>
      </c>
      <c r="E2850" s="12" t="str">
        <f>HYPERLINK("https://twitter.com/XTechnology4/status/1181893999663177730","1181893999663177730")</f>
        <v>1181893999663177730</v>
      </c>
      <c r="F2850" s="8"/>
      <c r="G2850" s="15"/>
      <c r="H2850" s="8"/>
      <c r="I2850" s="15">
        <v>0</v>
      </c>
      <c r="J2850" s="15">
        <v>2</v>
      </c>
      <c r="K2850" s="12" t="str">
        <f>HYPERLINK("https://mobile.twitter.com","Twitter Web App")</f>
        <v>Twitter Web App</v>
      </c>
      <c r="L2850" s="16">
        <v>0</v>
      </c>
      <c r="M2850" s="16">
        <v>30</v>
      </c>
      <c r="N2850" s="16">
        <v>0</v>
      </c>
      <c r="O2850" s="17"/>
      <c r="P2850" s="18">
        <v>43747.176423611112</v>
      </c>
      <c r="Q2850" s="7"/>
      <c r="R2850" s="7" t="s">
        <v>16852</v>
      </c>
      <c r="S2850" s="7"/>
      <c r="T2850" s="8"/>
      <c r="U2850" s="19" t="str">
        <f>HYPERLINK("https://pbs.twimg.com/profile_images/1181890620857733125/dj_xsYhk.jpg","View")</f>
        <v>View</v>
      </c>
      <c r="V2850" s="8"/>
      <c r="W2850" s="8"/>
      <c r="X2850" s="8"/>
      <c r="Y2850" s="8"/>
      <c r="Z2850" s="8"/>
    </row>
    <row r="2851" spans="1:26" ht="12.75">
      <c r="A2851" s="11">
        <v>43747.185891203699</v>
      </c>
      <c r="B2851" s="12" t="str">
        <f>HYPERLINK("https://twitter.com/irkcidegilturk","@irkcidegilturk")</f>
        <v>@irkcidegilturk</v>
      </c>
      <c r="C2851" s="7" t="s">
        <v>16853</v>
      </c>
      <c r="D2851" s="7" t="s">
        <v>16854</v>
      </c>
      <c r="E2851" s="12" t="str">
        <f>HYPERLINK("https://twitter.com/irkcidegilturk/status/1181893993325576192","1181893993325576192")</f>
        <v>1181893993325576192</v>
      </c>
      <c r="F2851" s="8"/>
      <c r="G2851" s="14" t="s">
        <v>16855</v>
      </c>
      <c r="H2851" s="8"/>
      <c r="I2851" s="15">
        <v>0</v>
      </c>
      <c r="J2851" s="15">
        <v>0</v>
      </c>
      <c r="K2851" s="12" t="str">
        <f>HYPERLINK("https://mobile.twitter.com","Twitter Web App")</f>
        <v>Twitter Web App</v>
      </c>
      <c r="L2851" s="16">
        <v>56</v>
      </c>
      <c r="M2851" s="16">
        <v>97</v>
      </c>
      <c r="N2851" s="16">
        <v>1</v>
      </c>
      <c r="O2851" s="17"/>
      <c r="P2851" s="18">
        <v>43026.572939814811</v>
      </c>
      <c r="Q2851" s="7" t="s">
        <v>16856</v>
      </c>
      <c r="R2851" s="7" t="s">
        <v>16857</v>
      </c>
      <c r="S2851" s="14" t="s">
        <v>16858</v>
      </c>
      <c r="T2851" s="8"/>
      <c r="U2851" s="19" t="str">
        <f>HYPERLINK("https://pbs.twimg.com/profile_images/1168469773770006529/UnWM1igs.jpg","View")</f>
        <v>View</v>
      </c>
      <c r="V2851" s="8"/>
      <c r="W2851" s="8"/>
      <c r="X2851" s="8"/>
      <c r="Y2851" s="8"/>
      <c r="Z2851" s="8"/>
    </row>
    <row r="2852" spans="1:26" ht="12.75">
      <c r="A2852" s="11">
        <v>43747.185833333337</v>
      </c>
      <c r="B2852" s="12" t="str">
        <f>HYPERLINK("https://twitter.com/leodakamyonci","@leodakamyonci")</f>
        <v>@leodakamyonci</v>
      </c>
      <c r="C2852" s="7" t="s">
        <v>16859</v>
      </c>
      <c r="D2852" s="13" t="s">
        <v>16860</v>
      </c>
      <c r="E2852" s="12" t="str">
        <f>HYPERLINK("https://twitter.com/leodakamyonci/status/1181893975394914304","1181893975394914304")</f>
        <v>1181893975394914304</v>
      </c>
      <c r="F2852" s="15"/>
      <c r="G2852" s="15"/>
      <c r="H2852" s="8"/>
      <c r="I2852" s="15">
        <v>0</v>
      </c>
      <c r="J2852" s="15">
        <v>2</v>
      </c>
      <c r="K2852" s="12" t="str">
        <f>HYPERLINK("http://twitter.com/download/android","Twitter for Android")</f>
        <v>Twitter for Android</v>
      </c>
      <c r="L2852" s="16">
        <v>105</v>
      </c>
      <c r="M2852" s="16">
        <v>226</v>
      </c>
      <c r="N2852" s="16">
        <v>0</v>
      </c>
      <c r="O2852" s="17"/>
      <c r="P2852" s="18">
        <v>43676.354895833334</v>
      </c>
      <c r="Q2852" s="7"/>
      <c r="R2852" s="7" t="s">
        <v>16861</v>
      </c>
      <c r="S2852" s="15"/>
      <c r="T2852" s="8"/>
      <c r="U2852" s="19" t="str">
        <f>HYPERLINK("https://pbs.twimg.com/profile_images/1170273311361765377/g37sWRTS.jpg","View")</f>
        <v>View</v>
      </c>
      <c r="V2852" s="8"/>
      <c r="W2852" s="8"/>
      <c r="X2852" s="8"/>
      <c r="Y2852" s="8"/>
      <c r="Z2852" s="8"/>
    </row>
    <row r="2853" spans="1:26" ht="12.75">
      <c r="A2853" s="11">
        <v>43747.185833333337</v>
      </c>
      <c r="B2853" s="12" t="str">
        <f>HYPERLINK("https://twitter.com/KDenizin","@KDenizin")</f>
        <v>@KDenizin</v>
      </c>
      <c r="C2853" s="7" t="s">
        <v>16862</v>
      </c>
      <c r="D2853" s="7" t="s">
        <v>16863</v>
      </c>
      <c r="E2853" s="12" t="str">
        <f>HYPERLINK("https://twitter.com/KDenizin/status/1181893975302647808","1181893975302647808")</f>
        <v>1181893975302647808</v>
      </c>
      <c r="F2853" s="15"/>
      <c r="G2853" s="15"/>
      <c r="H2853" s="8"/>
      <c r="I2853" s="15">
        <v>0</v>
      </c>
      <c r="J2853" s="15">
        <v>0</v>
      </c>
      <c r="K2853" s="12" t="str">
        <f>HYPERLINK("http://twitter.com/download/iphone","Twitter for iPhone")</f>
        <v>Twitter for iPhone</v>
      </c>
      <c r="L2853" s="16">
        <v>536</v>
      </c>
      <c r="M2853" s="16">
        <v>786</v>
      </c>
      <c r="N2853" s="16">
        <v>0</v>
      </c>
      <c r="O2853" s="17"/>
      <c r="P2853" s="18">
        <v>40674.029270833329</v>
      </c>
      <c r="Q2853" s="7" t="s">
        <v>313</v>
      </c>
      <c r="R2853" s="7" t="s">
        <v>16864</v>
      </c>
      <c r="S2853" s="15"/>
      <c r="T2853" s="8"/>
      <c r="U2853" s="19" t="str">
        <f>HYPERLINK("https://pbs.twimg.com/profile_images/1157730829109465088/fUDhaFpx.jpg","View")</f>
        <v>View</v>
      </c>
      <c r="V2853" s="8"/>
      <c r="W2853" s="8"/>
      <c r="X2853" s="8"/>
      <c r="Y2853" s="8"/>
      <c r="Z2853" s="8"/>
    </row>
    <row r="2854" spans="1:26" ht="12.75">
      <c r="A2854" s="11">
        <v>43747.18582175926</v>
      </c>
      <c r="B2854" s="12" t="str">
        <f>HYPERLINK("https://twitter.com/praecipitem_","@praecipitem_")</f>
        <v>@praecipitem_</v>
      </c>
      <c r="C2854" s="7" t="s">
        <v>16865</v>
      </c>
      <c r="D2854" s="7" t="s">
        <v>16866</v>
      </c>
      <c r="E2854" s="12" t="str">
        <f>HYPERLINK("https://twitter.com/praecipitem_/status/1181893969132838912","1181893969132838912")</f>
        <v>1181893969132838912</v>
      </c>
      <c r="F2854" s="8"/>
      <c r="G2854" s="14" t="s">
        <v>16867</v>
      </c>
      <c r="H2854" s="8"/>
      <c r="I2854" s="15">
        <v>1</v>
      </c>
      <c r="J2854" s="15">
        <v>2</v>
      </c>
      <c r="K2854" s="12" t="str">
        <f>HYPERLINK("http://twitter.com/download/iphone","Twitter for iPhone")</f>
        <v>Twitter for iPhone</v>
      </c>
      <c r="L2854" s="16">
        <v>948</v>
      </c>
      <c r="M2854" s="16">
        <v>191</v>
      </c>
      <c r="N2854" s="16">
        <v>3</v>
      </c>
      <c r="O2854" s="17"/>
      <c r="P2854" s="18">
        <v>43222.209791666668</v>
      </c>
      <c r="Q2854" s="7"/>
      <c r="R2854" s="7" t="s">
        <v>16868</v>
      </c>
      <c r="S2854" s="7"/>
      <c r="T2854" s="8"/>
      <c r="U2854" s="19" t="str">
        <f>HYPERLINK("https://pbs.twimg.com/profile_images/1166842023783161858/8mQBUBri.jpg","View")</f>
        <v>View</v>
      </c>
      <c r="V2854" s="8"/>
      <c r="W2854" s="8"/>
      <c r="X2854" s="8"/>
      <c r="Y2854" s="8"/>
      <c r="Z2854" s="8"/>
    </row>
    <row r="2855" spans="1:26" ht="12.75">
      <c r="A2855" s="11">
        <v>43747.18577546296</v>
      </c>
      <c r="B2855" s="12" t="str">
        <f>HYPERLINK("https://twitter.com/caddeberberi","@caddeberberi")</f>
        <v>@caddeberberi</v>
      </c>
      <c r="C2855" s="7" t="s">
        <v>16869</v>
      </c>
      <c r="D2855" s="7" t="s">
        <v>14166</v>
      </c>
      <c r="E2855" s="12" t="str">
        <f>HYPERLINK("https://twitter.com/caddeberberi/status/1181893952120741888","1181893952120741888")</f>
        <v>1181893952120741888</v>
      </c>
      <c r="F2855" s="15"/>
      <c r="G2855" s="14" t="s">
        <v>16870</v>
      </c>
      <c r="H2855" s="8"/>
      <c r="I2855" s="15">
        <v>0</v>
      </c>
      <c r="J2855" s="15">
        <v>2</v>
      </c>
      <c r="K2855" s="12" t="str">
        <f>HYPERLINK("http://twitter.com/download/iphone","Twitter for iPhone")</f>
        <v>Twitter for iPhone</v>
      </c>
      <c r="L2855" s="16">
        <v>26</v>
      </c>
      <c r="M2855" s="16">
        <v>26</v>
      </c>
      <c r="N2855" s="16">
        <v>0</v>
      </c>
      <c r="O2855" s="17"/>
      <c r="P2855" s="18">
        <v>43476.178888888884</v>
      </c>
      <c r="Q2855" s="7" t="s">
        <v>69</v>
      </c>
      <c r="R2855" s="7"/>
      <c r="S2855" s="7"/>
      <c r="T2855" s="8"/>
      <c r="U2855" s="19" t="str">
        <f>HYPERLINK("https://pbs.twimg.com/profile_images/1181334133739544576/Sjbhiqc2.jpg","View")</f>
        <v>View</v>
      </c>
      <c r="V2855" s="8"/>
      <c r="W2855" s="8"/>
      <c r="X2855" s="8"/>
      <c r="Y2855" s="8"/>
      <c r="Z2855" s="8"/>
    </row>
    <row r="2856" spans="1:26" ht="12.75">
      <c r="A2856" s="11">
        <v>43747.185717592598</v>
      </c>
      <c r="B2856" s="12" t="str">
        <f>HYPERLINK("https://twitter.com/yavuzse66657958","@yavuzse66657958")</f>
        <v>@yavuzse66657958</v>
      </c>
      <c r="C2856" s="7" t="s">
        <v>16871</v>
      </c>
      <c r="D2856" s="7" t="s">
        <v>16872</v>
      </c>
      <c r="E2856" s="12" t="str">
        <f>HYPERLINK("https://twitter.com/yavuzse66657958/status/1181893932889919488","1181893932889919488")</f>
        <v>1181893932889919488</v>
      </c>
      <c r="F2856" s="8"/>
      <c r="G2856" s="14" t="s">
        <v>16873</v>
      </c>
      <c r="H2856" s="8"/>
      <c r="I2856" s="15">
        <v>1</v>
      </c>
      <c r="J2856" s="15">
        <v>2</v>
      </c>
      <c r="K2856" s="12" t="str">
        <f>HYPERLINK("http://twitter.com/download/android","Twitter for Android")</f>
        <v>Twitter for Android</v>
      </c>
      <c r="L2856" s="16">
        <v>19</v>
      </c>
      <c r="M2856" s="16">
        <v>18</v>
      </c>
      <c r="N2856" s="16">
        <v>0</v>
      </c>
      <c r="O2856" s="17"/>
      <c r="P2856" s="18">
        <v>43355.536956018521</v>
      </c>
      <c r="Q2856" s="7"/>
      <c r="R2856" s="7" t="s">
        <v>16874</v>
      </c>
      <c r="S2856" s="7"/>
      <c r="T2856" s="8"/>
      <c r="U2856" s="19" t="str">
        <f>HYPERLINK("https://pbs.twimg.com/profile_images/1080837627203457024/ykW3_Xih.jpg","View")</f>
        <v>View</v>
      </c>
      <c r="V2856" s="8"/>
      <c r="W2856" s="8"/>
      <c r="X2856" s="8"/>
      <c r="Y2856" s="8"/>
      <c r="Z2856" s="8"/>
    </row>
    <row r="2857" spans="1:26" ht="12.75">
      <c r="A2857" s="11">
        <v>43747.185671296298</v>
      </c>
      <c r="B2857" s="12" t="str">
        <f>HYPERLINK("https://twitter.com/hissedensenet","@hissedensenet")</f>
        <v>@hissedensenet</v>
      </c>
      <c r="C2857" s="7" t="s">
        <v>16875</v>
      </c>
      <c r="D2857" s="7" t="s">
        <v>16876</v>
      </c>
      <c r="E2857" s="12" t="str">
        <f>HYPERLINK("https://twitter.com/hissedensenet/status/1181893916418826241","1181893916418826241")</f>
        <v>1181893916418826241</v>
      </c>
      <c r="F2857" s="8"/>
      <c r="G2857" s="15"/>
      <c r="H2857" s="8"/>
      <c r="I2857" s="15">
        <v>0</v>
      </c>
      <c r="J2857" s="15">
        <v>0</v>
      </c>
      <c r="K2857" s="12" t="str">
        <f>HYPERLINK("http://twitter.com/download/android","Twitter for Android")</f>
        <v>Twitter for Android</v>
      </c>
      <c r="L2857" s="16">
        <v>66</v>
      </c>
      <c r="M2857" s="16">
        <v>50</v>
      </c>
      <c r="N2857" s="16">
        <v>0</v>
      </c>
      <c r="O2857" s="17"/>
      <c r="P2857" s="18">
        <v>43144.290648148148</v>
      </c>
      <c r="Q2857" s="7" t="s">
        <v>313</v>
      </c>
      <c r="R2857" s="7" t="s">
        <v>16877</v>
      </c>
      <c r="S2857" s="7"/>
      <c r="T2857" s="8"/>
      <c r="U2857" s="19" t="str">
        <f>HYPERLINK("https://pbs.twimg.com/profile_images/985460369333325824/RghbIRQE.jpg","View")</f>
        <v>View</v>
      </c>
      <c r="V2857" s="8"/>
      <c r="W2857" s="8"/>
      <c r="X2857" s="8"/>
      <c r="Y2857" s="8"/>
      <c r="Z2857" s="8"/>
    </row>
    <row r="2858" spans="1:26" ht="12.75">
      <c r="A2858" s="11">
        <v>43747.185671296298</v>
      </c>
      <c r="B2858" s="12" t="str">
        <f>HYPERLINK("https://twitter.com/sendemiizmir","@sendemiizmir")</f>
        <v>@sendemiizmir</v>
      </c>
      <c r="C2858" s="7" t="s">
        <v>16878</v>
      </c>
      <c r="D2858" s="7" t="s">
        <v>16879</v>
      </c>
      <c r="E2858" s="12" t="str">
        <f>HYPERLINK("https://twitter.com/sendemiizmir/status/1181893915777089537","1181893915777089537")</f>
        <v>1181893915777089537</v>
      </c>
      <c r="F2858" s="15"/>
      <c r="G2858" s="14" t="s">
        <v>16880</v>
      </c>
      <c r="H2858" s="8"/>
      <c r="I2858" s="15">
        <v>0</v>
      </c>
      <c r="J2858" s="15">
        <v>0</v>
      </c>
      <c r="K2858" s="12" t="str">
        <f>HYPERLINK("https://about.twitter.com/products/tweetdeck","TweetDeck")</f>
        <v>TweetDeck</v>
      </c>
      <c r="L2858" s="16">
        <v>28202</v>
      </c>
      <c r="M2858" s="16">
        <v>33597</v>
      </c>
      <c r="N2858" s="16">
        <v>6</v>
      </c>
      <c r="O2858" s="17"/>
      <c r="P2858" s="18">
        <v>42906.612037037034</v>
      </c>
      <c r="Q2858" s="7" t="s">
        <v>80</v>
      </c>
      <c r="R2858" s="7" t="s">
        <v>16881</v>
      </c>
      <c r="S2858" s="15"/>
      <c r="T2858" s="8"/>
      <c r="U2858" s="19" t="str">
        <f>HYPERLINK("https://pbs.twimg.com/profile_images/931251990469935104/srsePhGl.jpg","View")</f>
        <v>View</v>
      </c>
      <c r="V2858" s="8"/>
      <c r="W2858" s="8"/>
      <c r="X2858" s="8"/>
      <c r="Y2858" s="8"/>
      <c r="Z2858" s="8"/>
    </row>
    <row r="2859" spans="1:26" ht="12.75">
      <c r="A2859" s="11">
        <v>43747.185648148152</v>
      </c>
      <c r="B2859" s="12" t="str">
        <f>HYPERLINK("https://twitter.com/drfvzttn","@drfvzttn")</f>
        <v>@drfvzttn</v>
      </c>
      <c r="C2859" s="7" t="s">
        <v>16882</v>
      </c>
      <c r="D2859" s="7" t="s">
        <v>16883</v>
      </c>
      <c r="E2859" s="12" t="str">
        <f>HYPERLINK("https://twitter.com/drfvzttn/status/1181893905341652993","1181893905341652993")</f>
        <v>1181893905341652993</v>
      </c>
      <c r="F2859" s="8"/>
      <c r="G2859" s="14" t="s">
        <v>16884</v>
      </c>
      <c r="H2859" s="8"/>
      <c r="I2859" s="15">
        <v>0</v>
      </c>
      <c r="J2859" s="15">
        <v>2</v>
      </c>
      <c r="K2859" s="12" t="str">
        <f>HYPERLINK("http://twitter.com/download/android","Twitter for Android")</f>
        <v>Twitter for Android</v>
      </c>
      <c r="L2859" s="16">
        <v>95</v>
      </c>
      <c r="M2859" s="16">
        <v>113</v>
      </c>
      <c r="N2859" s="16">
        <v>0</v>
      </c>
      <c r="O2859" s="17"/>
      <c r="P2859" s="18">
        <v>43039.250717592593</v>
      </c>
      <c r="Q2859" s="7"/>
      <c r="R2859" s="7"/>
      <c r="S2859" s="7"/>
      <c r="T2859" s="8"/>
      <c r="U2859" s="19" t="str">
        <f>HYPERLINK("https://pbs.twimg.com/profile_images/1180551728753729538/Laa_aafy.jpg","View")</f>
        <v>View</v>
      </c>
      <c r="V2859" s="8"/>
      <c r="W2859" s="8"/>
      <c r="X2859" s="8"/>
      <c r="Y2859" s="8"/>
      <c r="Z2859" s="8"/>
    </row>
    <row r="2860" spans="1:26" ht="12.75">
      <c r="A2860" s="11">
        <v>43747.185601851852</v>
      </c>
      <c r="B2860" s="12" t="str">
        <f>HYPERLINK("https://twitter.com/MuhammetAliKl18","@MuhammetAliKl18")</f>
        <v>@MuhammetAliKl18</v>
      </c>
      <c r="C2860" s="7" t="s">
        <v>16885</v>
      </c>
      <c r="D2860" s="7" t="s">
        <v>160</v>
      </c>
      <c r="E2860" s="12" t="str">
        <f>HYPERLINK("https://twitter.com/MuhammetAliKl18/status/1181893888228970496","1181893888228970496")</f>
        <v>1181893888228970496</v>
      </c>
      <c r="F2860" s="8"/>
      <c r="G2860" s="14" t="s">
        <v>16886</v>
      </c>
      <c r="H2860" s="8"/>
      <c r="I2860" s="15">
        <v>1</v>
      </c>
      <c r="J2860" s="15">
        <v>1</v>
      </c>
      <c r="K2860" s="12" t="str">
        <f>HYPERLINK("http://twitter.com/download/android","Twitter for Android")</f>
        <v>Twitter for Android</v>
      </c>
      <c r="L2860" s="16">
        <v>15</v>
      </c>
      <c r="M2860" s="16">
        <v>325</v>
      </c>
      <c r="N2860" s="16">
        <v>0</v>
      </c>
      <c r="O2860" s="17"/>
      <c r="P2860" s="18">
        <v>43091.019236111111</v>
      </c>
      <c r="Q2860" s="7"/>
      <c r="R2860" s="7"/>
      <c r="S2860" s="7"/>
      <c r="T2860" s="8"/>
      <c r="U2860" s="19" t="str">
        <f>HYPERLINK("https://pbs.twimg.com/profile_images/1151375219652775941/PD2KtlKZ.jpg","View")</f>
        <v>View</v>
      </c>
      <c r="V2860" s="8"/>
      <c r="W2860" s="8"/>
      <c r="X2860" s="8"/>
      <c r="Y2860" s="8"/>
      <c r="Z2860" s="8"/>
    </row>
    <row r="2861" spans="1:26" ht="12.75">
      <c r="A2861" s="11">
        <v>43747.185590277775</v>
      </c>
      <c r="B2861" s="12" t="str">
        <f>HYPERLINK("https://twitter.com/tasarikeriki","@tasarikeriki")</f>
        <v>@tasarikeriki</v>
      </c>
      <c r="C2861" s="7" t="s">
        <v>16887</v>
      </c>
      <c r="D2861" s="7" t="s">
        <v>16888</v>
      </c>
      <c r="E2861" s="12" t="str">
        <f>HYPERLINK("https://twitter.com/tasarikeriki/status/1181893883925540864","1181893883925540864")</f>
        <v>1181893883925540864</v>
      </c>
      <c r="F2861" s="8"/>
      <c r="G2861" s="7"/>
      <c r="H2861" s="8"/>
      <c r="I2861" s="15">
        <v>0</v>
      </c>
      <c r="J2861" s="15">
        <v>0</v>
      </c>
      <c r="K2861" s="12" t="str">
        <f>HYPERLINK("https://mobile.twitter.com","Twitter Web App")</f>
        <v>Twitter Web App</v>
      </c>
      <c r="L2861" s="16">
        <v>50</v>
      </c>
      <c r="M2861" s="16">
        <v>465</v>
      </c>
      <c r="N2861" s="16">
        <v>0</v>
      </c>
      <c r="O2861" s="17"/>
      <c r="P2861" s="18">
        <v>43593.076180555552</v>
      </c>
      <c r="Q2861" s="14" t="s">
        <v>16889</v>
      </c>
      <c r="R2861" s="7" t="s">
        <v>16890</v>
      </c>
      <c r="S2861" s="14" t="s">
        <v>16891</v>
      </c>
      <c r="T2861" s="8"/>
      <c r="U2861" s="19" t="str">
        <f>HYPERLINK("https://pbs.twimg.com/profile_images/1126046647547518976/6Q6NIhtz.jpg","View")</f>
        <v>View</v>
      </c>
      <c r="V2861" s="8"/>
      <c r="W2861" s="8"/>
      <c r="X2861" s="8"/>
      <c r="Y2861" s="8"/>
      <c r="Z2861" s="8"/>
    </row>
    <row r="2862" spans="1:26" ht="12.75">
      <c r="A2862" s="11">
        <v>43747.185543981483</v>
      </c>
      <c r="B2862" s="12" t="str">
        <f>HYPERLINK("https://twitter.com/CumaliKooval15","@CumaliKooval15")</f>
        <v>@CumaliKooval15</v>
      </c>
      <c r="C2862" s="7" t="s">
        <v>16892</v>
      </c>
      <c r="D2862" s="7" t="s">
        <v>16893</v>
      </c>
      <c r="E2862" s="12" t="str">
        <f>HYPERLINK("https://twitter.com/CumaliKooval15/status/1181893867936849920","1181893867936849920")</f>
        <v>1181893867936849920</v>
      </c>
      <c r="F2862" s="8"/>
      <c r="G2862" s="14" t="s">
        <v>16894</v>
      </c>
      <c r="H2862" s="8"/>
      <c r="I2862" s="15">
        <v>0</v>
      </c>
      <c r="J2862" s="15">
        <v>2</v>
      </c>
      <c r="K2862" s="12" t="str">
        <f>HYPERLINK("http://twitter.com/download/android","Twitter for Android")</f>
        <v>Twitter for Android</v>
      </c>
      <c r="L2862" s="16">
        <v>33</v>
      </c>
      <c r="M2862" s="16">
        <v>22</v>
      </c>
      <c r="N2862" s="16">
        <v>0</v>
      </c>
      <c r="O2862" s="17"/>
      <c r="P2862" s="18">
        <v>43365.617245370369</v>
      </c>
      <c r="Q2862" s="7" t="s">
        <v>16895</v>
      </c>
      <c r="R2862" s="7" t="s">
        <v>16896</v>
      </c>
      <c r="S2862" s="7"/>
      <c r="T2862" s="8"/>
      <c r="U2862" s="19" t="str">
        <f>HYPERLINK("https://pbs.twimg.com/profile_images/1130536409440428035/vJ8MoMQc.jpg","View")</f>
        <v>View</v>
      </c>
      <c r="V2862" s="8"/>
      <c r="W2862" s="8"/>
      <c r="X2862" s="8"/>
      <c r="Y2862" s="8"/>
      <c r="Z2862" s="8"/>
    </row>
    <row r="2863" spans="1:26" ht="12.75">
      <c r="A2863" s="11">
        <v>43747.185532407406</v>
      </c>
      <c r="B2863" s="12" t="str">
        <f>HYPERLINK("https://twitter.com/AlpdoganKoz","@AlpdoganKoz")</f>
        <v>@AlpdoganKoz</v>
      </c>
      <c r="C2863" s="7" t="s">
        <v>16897</v>
      </c>
      <c r="D2863" s="7" t="s">
        <v>16898</v>
      </c>
      <c r="E2863" s="12" t="str">
        <f>HYPERLINK("https://twitter.com/AlpdoganKoz/status/1181893863239225349","1181893863239225349")</f>
        <v>1181893863239225349</v>
      </c>
      <c r="F2863" s="8"/>
      <c r="G2863" s="7"/>
      <c r="H2863" s="8"/>
      <c r="I2863" s="15">
        <v>0</v>
      </c>
      <c r="J2863" s="15">
        <v>0</v>
      </c>
      <c r="K2863" s="12" t="str">
        <f>HYPERLINK("http://twitter.com","Twitter Web Client")</f>
        <v>Twitter Web Client</v>
      </c>
      <c r="L2863" s="16">
        <v>3</v>
      </c>
      <c r="M2863" s="16">
        <v>0</v>
      </c>
      <c r="N2863" s="16">
        <v>0</v>
      </c>
      <c r="O2863" s="17"/>
      <c r="P2863" s="18">
        <v>43668.984212962961</v>
      </c>
      <c r="Q2863" s="7" t="s">
        <v>252</v>
      </c>
      <c r="R2863" s="7" t="s">
        <v>16899</v>
      </c>
      <c r="S2863" s="7"/>
      <c r="T2863" s="8"/>
      <c r="U2863" s="19" t="str">
        <f>HYPERLINK("https://pbs.twimg.com/profile_images/1153755993853112320/UYOX1m4M.jpg","View")</f>
        <v>View</v>
      </c>
      <c r="V2863" s="8"/>
      <c r="W2863" s="8"/>
      <c r="X2863" s="8"/>
      <c r="Y2863" s="8"/>
      <c r="Z2863" s="8"/>
    </row>
    <row r="2864" spans="1:26" ht="12.75">
      <c r="A2864" s="11">
        <v>43747.185474537036</v>
      </c>
      <c r="B2864" s="12" t="str">
        <f>HYPERLINK("https://twitter.com/ugursevim06","@ugursevim06")</f>
        <v>@ugursevim06</v>
      </c>
      <c r="C2864" s="7" t="s">
        <v>16900</v>
      </c>
      <c r="D2864" s="7" t="s">
        <v>16901</v>
      </c>
      <c r="E2864" s="12" t="str">
        <f>HYPERLINK("https://twitter.com/ugursevim06/status/1181893844968841216","1181893844968841216")</f>
        <v>1181893844968841216</v>
      </c>
      <c r="F2864" s="8"/>
      <c r="G2864" s="14" t="s">
        <v>16902</v>
      </c>
      <c r="H2864" s="8"/>
      <c r="I2864" s="15">
        <v>0</v>
      </c>
      <c r="J2864" s="15">
        <v>0</v>
      </c>
      <c r="K2864" s="12" t="str">
        <f>HYPERLINK("http://twitter.com/download/android","Twitter for Android")</f>
        <v>Twitter for Android</v>
      </c>
      <c r="L2864" s="16">
        <v>41</v>
      </c>
      <c r="M2864" s="16">
        <v>138</v>
      </c>
      <c r="N2864" s="16">
        <v>1</v>
      </c>
      <c r="O2864" s="17"/>
      <c r="P2864" s="18">
        <v>41987.13386574074</v>
      </c>
      <c r="Q2864" s="7" t="s">
        <v>668</v>
      </c>
      <c r="R2864" s="7"/>
      <c r="S2864" s="7"/>
      <c r="T2864" s="8"/>
      <c r="U2864" s="19" t="str">
        <f>HYPERLINK("https://pbs.twimg.com/profile_images/1148594240894775297/E63h_UbS.jpg","View")</f>
        <v>View</v>
      </c>
      <c r="V2864" s="8"/>
      <c r="W2864" s="8"/>
      <c r="X2864" s="8"/>
      <c r="Y2864" s="8"/>
      <c r="Z2864" s="8"/>
    </row>
    <row r="2865" spans="1:26" ht="12.75">
      <c r="A2865" s="11">
        <v>43747.185474537036</v>
      </c>
      <c r="B2865" s="12" t="str">
        <f>HYPERLINK("https://twitter.com/eyuprncbr","@eyuprncbr")</f>
        <v>@eyuprncbr</v>
      </c>
      <c r="C2865" s="7" t="s">
        <v>16903</v>
      </c>
      <c r="D2865" s="7" t="s">
        <v>16904</v>
      </c>
      <c r="E2865" s="12" t="str">
        <f>HYPERLINK("https://twitter.com/eyuprncbr/status/1181893842230005762","1181893842230005762")</f>
        <v>1181893842230005762</v>
      </c>
      <c r="F2865" s="8"/>
      <c r="G2865" s="15"/>
      <c r="H2865" s="8"/>
      <c r="I2865" s="15">
        <v>0</v>
      </c>
      <c r="J2865" s="15">
        <v>0</v>
      </c>
      <c r="K2865" s="12" t="str">
        <f>HYPERLINK("http://twitter.com/download/android","Twitter for Android")</f>
        <v>Twitter for Android</v>
      </c>
      <c r="L2865" s="16">
        <v>113</v>
      </c>
      <c r="M2865" s="16">
        <v>151</v>
      </c>
      <c r="N2865" s="16">
        <v>0</v>
      </c>
      <c r="O2865" s="17"/>
      <c r="P2865" s="18">
        <v>40817.388101851851</v>
      </c>
      <c r="Q2865" s="7"/>
      <c r="R2865" s="7" t="s">
        <v>16905</v>
      </c>
      <c r="S2865" s="7"/>
      <c r="T2865" s="8"/>
      <c r="U2865" s="19" t="str">
        <f>HYPERLINK("https://pbs.twimg.com/profile_images/1031436996038803456/0QTLi_67.jpg","View")</f>
        <v>View</v>
      </c>
      <c r="V2865" s="8"/>
      <c r="W2865" s="8"/>
      <c r="X2865" s="8"/>
      <c r="Y2865" s="8"/>
      <c r="Z2865" s="8"/>
    </row>
    <row r="2866" spans="1:26" ht="12.75">
      <c r="A2866" s="11">
        <v>43747.185462962967</v>
      </c>
      <c r="B2866" s="12" t="str">
        <f>HYPERLINK("https://twitter.com/tufan_ky","@tufan_ky")</f>
        <v>@tufan_ky</v>
      </c>
      <c r="C2866" s="7" t="s">
        <v>16906</v>
      </c>
      <c r="D2866" s="7" t="s">
        <v>160</v>
      </c>
      <c r="E2866" s="12" t="str">
        <f>HYPERLINK("https://twitter.com/tufan_ky/status/1181893841282048000","1181893841282048000")</f>
        <v>1181893841282048000</v>
      </c>
      <c r="F2866" s="8"/>
      <c r="G2866" s="14" t="s">
        <v>16907</v>
      </c>
      <c r="H2866" s="8"/>
      <c r="I2866" s="15">
        <v>0</v>
      </c>
      <c r="J2866" s="15">
        <v>1</v>
      </c>
      <c r="K2866" s="12" t="str">
        <f>HYPERLINK("https://mobile.twitter.com","Twitter Web App")</f>
        <v>Twitter Web App</v>
      </c>
      <c r="L2866" s="16">
        <v>644</v>
      </c>
      <c r="M2866" s="16">
        <v>679</v>
      </c>
      <c r="N2866" s="16">
        <v>0</v>
      </c>
      <c r="O2866" s="17"/>
      <c r="P2866" s="18">
        <v>41452.074247685188</v>
      </c>
      <c r="Q2866" s="7"/>
      <c r="R2866" s="7" t="s">
        <v>16908</v>
      </c>
      <c r="S2866" s="7"/>
      <c r="T2866" s="8"/>
      <c r="U2866" s="19" t="str">
        <f>HYPERLINK("https://pbs.twimg.com/profile_images/1180764591929868288/ZSM_grvl.jpg","View")</f>
        <v>View</v>
      </c>
      <c r="V2866" s="8"/>
      <c r="W2866" s="8"/>
      <c r="X2866" s="8"/>
      <c r="Y2866" s="8"/>
      <c r="Z2866" s="8"/>
    </row>
    <row r="2867" spans="1:26" ht="12.75">
      <c r="A2867" s="11">
        <v>43747.185416666667</v>
      </c>
      <c r="B2867" s="12" t="str">
        <f>HYPERLINK("https://twitter.com/mevlutkaplan88","@mevlutkaplan88")</f>
        <v>@mevlutkaplan88</v>
      </c>
      <c r="C2867" s="7" t="s">
        <v>16909</v>
      </c>
      <c r="D2867" s="7" t="s">
        <v>16910</v>
      </c>
      <c r="E2867" s="12" t="str">
        <f>HYPERLINK("https://twitter.com/mevlutkaplan88/status/1181893822734884864","1181893822734884864")</f>
        <v>1181893822734884864</v>
      </c>
      <c r="F2867" s="8"/>
      <c r="G2867" s="7"/>
      <c r="H2867" s="8"/>
      <c r="I2867" s="15">
        <v>0</v>
      </c>
      <c r="J2867" s="15">
        <v>0</v>
      </c>
      <c r="K2867" s="12" t="str">
        <f>HYPERLINK("http://twitter.com/download/android","Twitter for Android")</f>
        <v>Twitter for Android</v>
      </c>
      <c r="L2867" s="16">
        <v>0</v>
      </c>
      <c r="M2867" s="16">
        <v>13</v>
      </c>
      <c r="N2867" s="16">
        <v>0</v>
      </c>
      <c r="O2867" s="17"/>
      <c r="P2867" s="18">
        <v>40948.389143518521</v>
      </c>
      <c r="Q2867" s="7"/>
      <c r="R2867" s="7"/>
      <c r="S2867" s="7"/>
      <c r="T2867" s="8"/>
      <c r="U2867" s="19" t="str">
        <f>HYPERLINK("https://pbs.twimg.com/profile_images/1117499451130765312/kMzbg5ps.jpg","View")</f>
        <v>View</v>
      </c>
      <c r="V2867" s="8"/>
      <c r="W2867" s="8"/>
      <c r="X2867" s="8"/>
      <c r="Y2867" s="8"/>
      <c r="Z2867" s="8"/>
    </row>
    <row r="2868" spans="1:26" ht="12.75">
      <c r="A2868" s="11">
        <v>43747.185324074075</v>
      </c>
      <c r="B2868" s="12" t="str">
        <f>HYPERLINK("https://twitter.com/brahimToz5","@brahimToz5")</f>
        <v>@brahimToz5</v>
      </c>
      <c r="C2868" s="7" t="s">
        <v>16911</v>
      </c>
      <c r="D2868" s="7" t="s">
        <v>14293</v>
      </c>
      <c r="E2868" s="12" t="str">
        <f>HYPERLINK("https://twitter.com/brahimToz5/status/1181893787410403328","1181893787410403328")</f>
        <v>1181893787410403328</v>
      </c>
      <c r="F2868" s="8"/>
      <c r="G2868" s="14" t="s">
        <v>16912</v>
      </c>
      <c r="H2868" s="8"/>
      <c r="I2868" s="15">
        <v>0</v>
      </c>
      <c r="J2868" s="15">
        <v>0</v>
      </c>
      <c r="K2868" s="12" t="str">
        <f>HYPERLINK("http://twitter.com/download/android","Twitter for Android")</f>
        <v>Twitter for Android</v>
      </c>
      <c r="L2868" s="16">
        <v>7</v>
      </c>
      <c r="M2868" s="16">
        <v>71</v>
      </c>
      <c r="N2868" s="16">
        <v>0</v>
      </c>
      <c r="O2868" s="17"/>
      <c r="P2868" s="18">
        <v>43745.813321759255</v>
      </c>
      <c r="Q2868" s="7" t="s">
        <v>1639</v>
      </c>
      <c r="R2868" s="7" t="s">
        <v>16913</v>
      </c>
      <c r="S2868" s="7"/>
      <c r="T2868" s="8"/>
      <c r="U2868" s="19" t="str">
        <f>HYPERLINK("https://pbs.twimg.com/profile_images/1181396701862596608/bLEve_o2.jpg","View")</f>
        <v>View</v>
      </c>
      <c r="V2868" s="8"/>
      <c r="W2868" s="8"/>
      <c r="X2868" s="8"/>
      <c r="Y2868" s="8"/>
      <c r="Z2868" s="8"/>
    </row>
    <row r="2869" spans="1:26" ht="12.75">
      <c r="A2869" s="11">
        <v>43747.185231481482</v>
      </c>
      <c r="B2869" s="12" t="str">
        <f>HYPERLINK("https://twitter.com/Aye10955280","@Aye10955280")</f>
        <v>@Aye10955280</v>
      </c>
      <c r="C2869" s="7" t="s">
        <v>16914</v>
      </c>
      <c r="D2869" s="7" t="s">
        <v>16915</v>
      </c>
      <c r="E2869" s="12" t="str">
        <f>HYPERLINK("https://twitter.com/Aye10955280/status/1181893756586471424","1181893756586471424")</f>
        <v>1181893756586471424</v>
      </c>
      <c r="F2869" s="8"/>
      <c r="G2869" s="14" t="s">
        <v>16916</v>
      </c>
      <c r="H2869" s="8"/>
      <c r="I2869" s="15">
        <v>0</v>
      </c>
      <c r="J2869" s="15">
        <v>0</v>
      </c>
      <c r="K2869" s="12" t="str">
        <f>HYPERLINK("https://mobile.twitter.com","Twitter Web App")</f>
        <v>Twitter Web App</v>
      </c>
      <c r="L2869" s="16">
        <v>20</v>
      </c>
      <c r="M2869" s="16">
        <v>112</v>
      </c>
      <c r="N2869" s="16">
        <v>0</v>
      </c>
      <c r="O2869" s="17"/>
      <c r="P2869" s="18">
        <v>43684.068645833337</v>
      </c>
      <c r="Q2869" s="7"/>
      <c r="R2869" s="7" t="s">
        <v>16917</v>
      </c>
      <c r="S2869" s="7"/>
      <c r="T2869" s="8"/>
      <c r="U2869" s="19" t="str">
        <f>HYPERLINK("https://pbs.twimg.com/profile_images/1162715332714348545/t4GM49fY.jpg","View")</f>
        <v>View</v>
      </c>
      <c r="V2869" s="8"/>
      <c r="W2869" s="8"/>
      <c r="X2869" s="8"/>
      <c r="Y2869" s="8"/>
      <c r="Z2869" s="8"/>
    </row>
    <row r="2870" spans="1:26" ht="12.75">
      <c r="A2870" s="11">
        <v>43747.185231481482</v>
      </c>
      <c r="B2870" s="12" t="str">
        <f>HYPERLINK("https://twitter.com/MuhammedDogann","@MuhammedDogann")</f>
        <v>@MuhammedDogann</v>
      </c>
      <c r="C2870" s="7" t="s">
        <v>16918</v>
      </c>
      <c r="D2870" s="7" t="s">
        <v>16919</v>
      </c>
      <c r="E2870" s="12" t="str">
        <f>HYPERLINK("https://twitter.com/MuhammedDogann/status/1181893754111873029","1181893754111873029")</f>
        <v>1181893754111873029</v>
      </c>
      <c r="F2870" s="15"/>
      <c r="G2870" s="14" t="s">
        <v>16920</v>
      </c>
      <c r="H2870" s="8"/>
      <c r="I2870" s="15">
        <v>0</v>
      </c>
      <c r="J2870" s="15">
        <v>0</v>
      </c>
      <c r="K2870" s="12" t="str">
        <f>HYPERLINK("http://twitter.com/download/android","Twitter for Android")</f>
        <v>Twitter for Android</v>
      </c>
      <c r="L2870" s="16">
        <v>214</v>
      </c>
      <c r="M2870" s="16">
        <v>642</v>
      </c>
      <c r="N2870" s="16">
        <v>0</v>
      </c>
      <c r="O2870" s="17"/>
      <c r="P2870" s="18">
        <v>42205.891851851848</v>
      </c>
      <c r="Q2870" s="7"/>
      <c r="R2870" s="7"/>
      <c r="S2870" s="7"/>
      <c r="T2870" s="8"/>
      <c r="U2870" s="19" t="str">
        <f>HYPERLINK("https://pbs.twimg.com/profile_images/994239249783369733/hIM47aE1.jpg","View")</f>
        <v>View</v>
      </c>
      <c r="V2870" s="8"/>
      <c r="W2870" s="8"/>
      <c r="X2870" s="8"/>
      <c r="Y2870" s="8"/>
      <c r="Z2870" s="8"/>
    </row>
    <row r="2871" spans="1:26" ht="12.75">
      <c r="A2871" s="11">
        <v>43747.185173611113</v>
      </c>
      <c r="B2871" s="12" t="str">
        <f>HYPERLINK("https://twitter.com/nihatcad","@nihatcad")</f>
        <v>@nihatcad</v>
      </c>
      <c r="C2871" s="7" t="s">
        <v>16921</v>
      </c>
      <c r="D2871" s="7" t="s">
        <v>16922</v>
      </c>
      <c r="E2871" s="12" t="str">
        <f>HYPERLINK("https://twitter.com/nihatcad/status/1181893735367544833","1181893735367544833")</f>
        <v>1181893735367544833</v>
      </c>
      <c r="F2871" s="8"/>
      <c r="G2871" s="15"/>
      <c r="H2871" s="8"/>
      <c r="I2871" s="15">
        <v>3</v>
      </c>
      <c r="J2871" s="15">
        <v>11</v>
      </c>
      <c r="K2871" s="12" t="str">
        <f>HYPERLINK("https://mobile.twitter.com","Twitter Web App")</f>
        <v>Twitter Web App</v>
      </c>
      <c r="L2871" s="16">
        <v>22566</v>
      </c>
      <c r="M2871" s="16">
        <v>20712</v>
      </c>
      <c r="N2871" s="16">
        <v>7</v>
      </c>
      <c r="O2871" s="17"/>
      <c r="P2871" s="18">
        <v>41192.393750000003</v>
      </c>
      <c r="Q2871" s="7" t="s">
        <v>16923</v>
      </c>
      <c r="R2871" s="7" t="s">
        <v>16924</v>
      </c>
      <c r="S2871" s="7"/>
      <c r="T2871" s="8"/>
      <c r="U2871" s="19" t="str">
        <f>HYPERLINK("https://pbs.twimg.com/profile_images/1168442842781560834/i_FyS-nk.jpg","View")</f>
        <v>View</v>
      </c>
      <c r="V2871" s="8"/>
      <c r="W2871" s="8"/>
      <c r="X2871" s="8"/>
      <c r="Y2871" s="8"/>
      <c r="Z2871" s="8"/>
    </row>
    <row r="2872" spans="1:26" ht="12.75">
      <c r="A2872" s="11">
        <v>43747.185150462959</v>
      </c>
      <c r="B2872" s="12" t="str">
        <f>HYPERLINK("https://twitter.com/AdibahHanis4","@AdibahHanis4")</f>
        <v>@AdibahHanis4</v>
      </c>
      <c r="C2872" s="7" t="s">
        <v>16925</v>
      </c>
      <c r="D2872" s="7" t="s">
        <v>16926</v>
      </c>
      <c r="E2872" s="12" t="str">
        <f>HYPERLINK("https://twitter.com/AdibahHanis4/status/1181893724751589376","1181893724751589376")</f>
        <v>1181893724751589376</v>
      </c>
      <c r="F2872" s="8"/>
      <c r="G2872" s="14" t="s">
        <v>16927</v>
      </c>
      <c r="H2872" s="8"/>
      <c r="I2872" s="15">
        <v>1</v>
      </c>
      <c r="J2872" s="15">
        <v>1</v>
      </c>
      <c r="K2872" s="12" t="str">
        <f>HYPERLINK("http://twitter.com/download/android","Twitter for Android")</f>
        <v>Twitter for Android</v>
      </c>
      <c r="L2872" s="16">
        <v>35</v>
      </c>
      <c r="M2872" s="16">
        <v>46</v>
      </c>
      <c r="N2872" s="16">
        <v>0</v>
      </c>
      <c r="O2872" s="17"/>
      <c r="P2872" s="18">
        <v>43552.290949074071</v>
      </c>
      <c r="Q2872" s="7"/>
      <c r="R2872" s="7" t="s">
        <v>16928</v>
      </c>
      <c r="S2872" s="7"/>
      <c r="T2872" s="8"/>
      <c r="U2872" s="19" t="str">
        <f>HYPERLINK("https://pbs.twimg.com/profile_images/1140866809840541697/iOM8J7eE.jpg","View")</f>
        <v>View</v>
      </c>
      <c r="V2872" s="8"/>
      <c r="W2872" s="8"/>
      <c r="X2872" s="8"/>
      <c r="Y2872" s="8"/>
      <c r="Z2872" s="8"/>
    </row>
    <row r="2873" spans="1:26" ht="12.75">
      <c r="A2873" s="11">
        <v>43747.185115740736</v>
      </c>
      <c r="B2873" s="12" t="str">
        <f>HYPERLINK("https://twitter.com/Akparti_hilvan","@Akparti_hilvan")</f>
        <v>@Akparti_hilvan</v>
      </c>
      <c r="C2873" s="7" t="s">
        <v>16929</v>
      </c>
      <c r="D2873" s="15" t="s">
        <v>15087</v>
      </c>
      <c r="E2873" s="12" t="str">
        <f>HYPERLINK("https://twitter.com/Akparti_hilvan/status/1181893714391830529","1181893714391830529")</f>
        <v>1181893714391830529</v>
      </c>
      <c r="F2873" s="8"/>
      <c r="G2873" s="14" t="s">
        <v>16930</v>
      </c>
      <c r="H2873" s="8"/>
      <c r="I2873" s="15">
        <v>2</v>
      </c>
      <c r="J2873" s="15">
        <v>5</v>
      </c>
      <c r="K2873" s="12" t="str">
        <f>HYPERLINK("http://twitter.com/download/android","Twitter for Android")</f>
        <v>Twitter for Android</v>
      </c>
      <c r="L2873" s="16">
        <v>109</v>
      </c>
      <c r="M2873" s="16">
        <v>53</v>
      </c>
      <c r="N2873" s="16">
        <v>0</v>
      </c>
      <c r="O2873" s="17"/>
      <c r="P2873" s="18">
        <v>43651.420011574075</v>
      </c>
      <c r="Q2873" s="7"/>
      <c r="R2873" s="7" t="s">
        <v>16931</v>
      </c>
      <c r="S2873" s="7"/>
      <c r="T2873" s="8"/>
      <c r="U2873" s="19" t="str">
        <f>HYPERLINK("https://pbs.twimg.com/profile_images/1151267156392370177/MbKlkymo.jpg","View")</f>
        <v>View</v>
      </c>
      <c r="V2873" s="8"/>
      <c r="W2873" s="8"/>
      <c r="X2873" s="8"/>
      <c r="Y2873" s="8"/>
      <c r="Z2873" s="8"/>
    </row>
    <row r="2874" spans="1:26" ht="12.75">
      <c r="A2874" s="11">
        <v>43747.185057870374</v>
      </c>
      <c r="B2874" s="12" t="str">
        <f>HYPERLINK("https://twitter.com/ilknuurr97","@ilknuurr97")</f>
        <v>@ilknuurr97</v>
      </c>
      <c r="C2874" s="7" t="s">
        <v>16932</v>
      </c>
      <c r="D2874" s="7" t="s">
        <v>16933</v>
      </c>
      <c r="E2874" s="12" t="str">
        <f>HYPERLINK("https://twitter.com/ilknuurr97/status/1181893692044525569","1181893692044525569")</f>
        <v>1181893692044525569</v>
      </c>
      <c r="F2874" s="8"/>
      <c r="G2874" s="15"/>
      <c r="H2874" s="8"/>
      <c r="I2874" s="15">
        <v>0</v>
      </c>
      <c r="J2874" s="15">
        <v>1</v>
      </c>
      <c r="K2874" s="12" t="str">
        <f>HYPERLINK("http://twitter.com/download/iphone","Twitter for iPhone")</f>
        <v>Twitter for iPhone</v>
      </c>
      <c r="L2874" s="16">
        <v>41</v>
      </c>
      <c r="M2874" s="16">
        <v>44</v>
      </c>
      <c r="N2874" s="16">
        <v>0</v>
      </c>
      <c r="O2874" s="17"/>
      <c r="P2874" s="18">
        <v>43735.53601851852</v>
      </c>
      <c r="Q2874" s="7"/>
      <c r="R2874" s="7" t="s">
        <v>16934</v>
      </c>
      <c r="S2874" s="7"/>
      <c r="T2874" s="8"/>
      <c r="U2874" s="19" t="str">
        <f>HYPERLINK("https://pbs.twimg.com/profile_images/1177681415829368832/VVkl4rrn.jpg","View")</f>
        <v>View</v>
      </c>
      <c r="V2874" s="8"/>
      <c r="W2874" s="8"/>
      <c r="X2874" s="8"/>
      <c r="Y2874" s="8"/>
      <c r="Z2874" s="8"/>
    </row>
    <row r="2875" spans="1:26" ht="12.75">
      <c r="A2875" s="11">
        <v>43747.185034722221</v>
      </c>
      <c r="B2875" s="12" t="str">
        <f>HYPERLINK("https://twitter.com/alisutas1","@alisutas1")</f>
        <v>@alisutas1</v>
      </c>
      <c r="C2875" s="7" t="s">
        <v>16935</v>
      </c>
      <c r="D2875" s="7" t="s">
        <v>16936</v>
      </c>
      <c r="E2875" s="12" t="str">
        <f>HYPERLINK("https://twitter.com/alisutas1/status/1181893684746489856","1181893684746489856")</f>
        <v>1181893684746489856</v>
      </c>
      <c r="F2875" s="8"/>
      <c r="G2875" s="14" t="s">
        <v>16937</v>
      </c>
      <c r="H2875" s="8"/>
      <c r="I2875" s="15">
        <v>0</v>
      </c>
      <c r="J2875" s="15">
        <v>0</v>
      </c>
      <c r="K2875" s="12" t="str">
        <f>HYPERLINK("http://twitter.com","Twitter Web Client")</f>
        <v>Twitter Web Client</v>
      </c>
      <c r="L2875" s="16">
        <v>6</v>
      </c>
      <c r="M2875" s="16">
        <v>0</v>
      </c>
      <c r="N2875" s="16">
        <v>0</v>
      </c>
      <c r="O2875" s="17"/>
      <c r="P2875" s="18">
        <v>43668.966400462959</v>
      </c>
      <c r="Q2875" s="7" t="s">
        <v>16381</v>
      </c>
      <c r="R2875" s="7" t="s">
        <v>16938</v>
      </c>
      <c r="S2875" s="7"/>
      <c r="T2875" s="8"/>
      <c r="U2875" s="19" t="str">
        <f>HYPERLINK("https://pbs.twimg.com/profile_images/1153754824049090565/ZEOwMvL-.jpg","View")</f>
        <v>View</v>
      </c>
      <c r="V2875" s="8"/>
      <c r="W2875" s="8"/>
      <c r="X2875" s="8"/>
      <c r="Y2875" s="8"/>
      <c r="Z2875" s="8"/>
    </row>
    <row r="2876" spans="1:26" ht="12.75">
      <c r="A2876" s="11">
        <v>43747.184884259259</v>
      </c>
      <c r="B2876" s="12" t="str">
        <f>HYPERLINK("https://twitter.com/chnfth70","@chnfth70")</f>
        <v>@chnfth70</v>
      </c>
      <c r="C2876" s="7" t="s">
        <v>16939</v>
      </c>
      <c r="D2876" s="7" t="s">
        <v>160</v>
      </c>
      <c r="E2876" s="12" t="str">
        <f>HYPERLINK("https://twitter.com/chnfth70/status/1181893629968883719","1181893629968883719")</f>
        <v>1181893629968883719</v>
      </c>
      <c r="F2876" s="8"/>
      <c r="G2876" s="14" t="s">
        <v>16940</v>
      </c>
      <c r="H2876" s="8"/>
      <c r="I2876" s="15">
        <v>0</v>
      </c>
      <c r="J2876" s="15">
        <v>0</v>
      </c>
      <c r="K2876" s="12" t="str">
        <f>HYPERLINK("http://twitter.com/download/android","Twitter for Android")</f>
        <v>Twitter for Android</v>
      </c>
      <c r="L2876" s="16">
        <v>136</v>
      </c>
      <c r="M2876" s="16">
        <v>50</v>
      </c>
      <c r="N2876" s="16">
        <v>0</v>
      </c>
      <c r="O2876" s="17"/>
      <c r="P2876" s="18">
        <v>42448.614421296297</v>
      </c>
      <c r="Q2876" s="7" t="s">
        <v>16941</v>
      </c>
      <c r="R2876" s="7" t="s">
        <v>16942</v>
      </c>
      <c r="S2876" s="7"/>
      <c r="T2876" s="8"/>
      <c r="U2876" s="19" t="str">
        <f>HYPERLINK("https://pbs.twimg.com/profile_images/1172264672109715457/HcOymW89.jpg","View")</f>
        <v>View</v>
      </c>
      <c r="V2876" s="8"/>
      <c r="W2876" s="8"/>
      <c r="X2876" s="8"/>
      <c r="Y2876" s="8"/>
      <c r="Z2876" s="8"/>
    </row>
    <row r="2877" spans="1:26" ht="12.75">
      <c r="A2877" s="11">
        <v>43747.184803240743</v>
      </c>
      <c r="B2877" s="12" t="str">
        <f>HYPERLINK("https://twitter.com/aliemregul","@aliemregul")</f>
        <v>@aliemregul</v>
      </c>
      <c r="C2877" s="7" t="s">
        <v>16943</v>
      </c>
      <c r="D2877" s="7" t="s">
        <v>160</v>
      </c>
      <c r="E2877" s="12" t="str">
        <f>HYPERLINK("https://twitter.com/aliemregul/status/1181893599690215424","1181893599690215424")</f>
        <v>1181893599690215424</v>
      </c>
      <c r="F2877" s="14" t="s">
        <v>16944</v>
      </c>
      <c r="G2877" s="7"/>
      <c r="H2877" s="8"/>
      <c r="I2877" s="15">
        <v>0</v>
      </c>
      <c r="J2877" s="15">
        <v>0</v>
      </c>
      <c r="K2877" s="12" t="str">
        <f>HYPERLINK("http://twitter.com/download/iphone","Twitter for iPhone")</f>
        <v>Twitter for iPhone</v>
      </c>
      <c r="L2877" s="16">
        <v>22</v>
      </c>
      <c r="M2877" s="16">
        <v>37</v>
      </c>
      <c r="N2877" s="16">
        <v>0</v>
      </c>
      <c r="O2877" s="17"/>
      <c r="P2877" s="18">
        <v>42667.269375000003</v>
      </c>
      <c r="Q2877" s="7" t="s">
        <v>898</v>
      </c>
      <c r="R2877" s="7" t="s">
        <v>16945</v>
      </c>
      <c r="S2877" s="7"/>
      <c r="T2877" s="8"/>
      <c r="U2877" s="19" t="str">
        <f>HYPERLINK("https://pbs.twimg.com/profile_images/1175049460910608387/GcHEgNDP.jpg","View")</f>
        <v>View</v>
      </c>
      <c r="V2877" s="8"/>
      <c r="W2877" s="8"/>
      <c r="X2877" s="8"/>
      <c r="Y2877" s="8"/>
      <c r="Z2877" s="8"/>
    </row>
    <row r="2878" spans="1:26" ht="12.75">
      <c r="A2878" s="11">
        <v>43747.184791666667</v>
      </c>
      <c r="B2878" s="12" t="str">
        <f>HYPERLINK("https://twitter.com/ertenlice2746","@ertenlice2746")</f>
        <v>@ertenlice2746</v>
      </c>
      <c r="C2878" s="7" t="s">
        <v>16946</v>
      </c>
      <c r="D2878" s="7" t="s">
        <v>16947</v>
      </c>
      <c r="E2878" s="12" t="str">
        <f>HYPERLINK("https://twitter.com/ertenlice2746/status/1181893597647507456","1181893597647507456")</f>
        <v>1181893597647507456</v>
      </c>
      <c r="F2878" s="15"/>
      <c r="G2878" s="14" t="s">
        <v>16948</v>
      </c>
      <c r="H2878" s="8"/>
      <c r="I2878" s="15">
        <v>0</v>
      </c>
      <c r="J2878" s="15">
        <v>0</v>
      </c>
      <c r="K2878" s="12" t="str">
        <f>HYPERLINK("http://twitter.com/download/iphone","Twitter for iPhone")</f>
        <v>Twitter for iPhone</v>
      </c>
      <c r="L2878" s="16">
        <v>41</v>
      </c>
      <c r="M2878" s="16">
        <v>133</v>
      </c>
      <c r="N2878" s="16">
        <v>0</v>
      </c>
      <c r="O2878" s="17"/>
      <c r="P2878" s="18">
        <v>42105.268958333334</v>
      </c>
      <c r="Q2878" s="7" t="s">
        <v>313</v>
      </c>
      <c r="R2878" s="7" t="s">
        <v>16949</v>
      </c>
      <c r="S2878" s="7"/>
      <c r="T2878" s="8"/>
      <c r="U2878" s="19" t="str">
        <f>HYPERLINK("https://pbs.twimg.com/profile_images/1125573799901048834/XM4YaZ01.jpg","View")</f>
        <v>View</v>
      </c>
      <c r="V2878" s="8"/>
      <c r="W2878" s="8"/>
      <c r="X2878" s="8"/>
      <c r="Y2878" s="8"/>
      <c r="Z2878" s="8"/>
    </row>
    <row r="2879" spans="1:26" ht="12.75">
      <c r="A2879" s="11">
        <v>43747.184756944444</v>
      </c>
      <c r="B2879" s="12" t="str">
        <f>HYPERLINK("https://twitter.com/heakesinondan","@heakesinondan")</f>
        <v>@heakesinondan</v>
      </c>
      <c r="C2879" s="7" t="s">
        <v>16950</v>
      </c>
      <c r="D2879" s="7" t="s">
        <v>160</v>
      </c>
      <c r="E2879" s="12" t="str">
        <f>HYPERLINK("https://twitter.com/heakesinondan/status/1181893584448032773","1181893584448032773")</f>
        <v>1181893584448032773</v>
      </c>
      <c r="F2879" s="15"/>
      <c r="G2879" s="7"/>
      <c r="H2879" s="8"/>
      <c r="I2879" s="15">
        <v>0</v>
      </c>
      <c r="J2879" s="15">
        <v>0</v>
      </c>
      <c r="K2879" s="12" t="str">
        <f>HYPERLINK("http://twitter.com/download/iphone","Twitter for iPhone")</f>
        <v>Twitter for iPhone</v>
      </c>
      <c r="L2879" s="16">
        <v>92</v>
      </c>
      <c r="M2879" s="16">
        <v>135</v>
      </c>
      <c r="N2879" s="16">
        <v>0</v>
      </c>
      <c r="O2879" s="17"/>
      <c r="P2879" s="18">
        <v>43331.538136574076</v>
      </c>
      <c r="Q2879" s="7" t="s">
        <v>16951</v>
      </c>
      <c r="R2879" s="7" t="s">
        <v>16952</v>
      </c>
      <c r="S2879" s="7"/>
      <c r="T2879" s="8"/>
      <c r="U2879" s="19" t="str">
        <f>HYPERLINK("https://pbs.twimg.com/profile_images/1173874577409269760/8AhMgDOx.jpg","View")</f>
        <v>View</v>
      </c>
      <c r="V2879" s="8"/>
      <c r="W2879" s="8"/>
      <c r="X2879" s="8"/>
      <c r="Y2879" s="8"/>
      <c r="Z2879" s="8"/>
    </row>
    <row r="2880" spans="1:26" ht="12.75">
      <c r="A2880" s="11">
        <v>43747.18472222222</v>
      </c>
      <c r="B2880" s="12" t="str">
        <f>HYPERLINK("https://twitter.com/ErgencBirand","@ErgencBirand")</f>
        <v>@ErgencBirand</v>
      </c>
      <c r="C2880" s="7" t="s">
        <v>16953</v>
      </c>
      <c r="D2880" s="7" t="s">
        <v>16954</v>
      </c>
      <c r="E2880" s="12" t="str">
        <f>HYPERLINK("https://twitter.com/ErgencBirand/status/1181893571936444417","1181893571936444417")</f>
        <v>1181893571936444417</v>
      </c>
      <c r="F2880" s="8"/>
      <c r="G2880" s="14" t="s">
        <v>16955</v>
      </c>
      <c r="H2880" s="8"/>
      <c r="I2880" s="15">
        <v>2</v>
      </c>
      <c r="J2880" s="15">
        <v>0</v>
      </c>
      <c r="K2880" s="12" t="str">
        <f>HYPERLINK("http://twitter.com/download/iphone","Twitter for iPhone")</f>
        <v>Twitter for iPhone</v>
      </c>
      <c r="L2880" s="16">
        <v>1</v>
      </c>
      <c r="M2880" s="16">
        <v>0</v>
      </c>
      <c r="N2880" s="16">
        <v>0</v>
      </c>
      <c r="O2880" s="17"/>
      <c r="P2880" s="18">
        <v>43650.913877314815</v>
      </c>
      <c r="Q2880" s="7" t="s">
        <v>16956</v>
      </c>
      <c r="R2880" s="7" t="s">
        <v>16957</v>
      </c>
      <c r="S2880" s="7"/>
      <c r="T2880" s="8"/>
      <c r="U2880" s="19" t="str">
        <f>HYPERLINK("https://pbs.twimg.com/profile_images/1147212040735461376/uIS_cCqh.jpg","View")</f>
        <v>View</v>
      </c>
      <c r="V2880" s="8"/>
      <c r="W2880" s="8"/>
      <c r="X2880" s="8"/>
      <c r="Y2880" s="8"/>
      <c r="Z2880" s="8"/>
    </row>
    <row r="2881" spans="1:26" ht="12.75">
      <c r="A2881" s="11">
        <v>43747.18472222222</v>
      </c>
      <c r="B2881" s="12" t="str">
        <f>HYPERLINK("https://twitter.com/oguzuguzz","@oguzuguzz")</f>
        <v>@oguzuguzz</v>
      </c>
      <c r="C2881" s="7" t="s">
        <v>16958</v>
      </c>
      <c r="D2881" s="7" t="s">
        <v>16959</v>
      </c>
      <c r="E2881" s="12" t="str">
        <f>HYPERLINK("https://twitter.com/oguzuguzz/status/1181893569646403584","1181893569646403584")</f>
        <v>1181893569646403584</v>
      </c>
      <c r="F2881" s="8"/>
      <c r="G2881" s="15"/>
      <c r="H2881" s="8"/>
      <c r="I2881" s="15">
        <v>0</v>
      </c>
      <c r="J2881" s="15">
        <v>0</v>
      </c>
      <c r="K2881" s="12" t="str">
        <f>HYPERLINK("http://twitter.com/download/iphone","Twitter for iPhone")</f>
        <v>Twitter for iPhone</v>
      </c>
      <c r="L2881" s="16">
        <v>319</v>
      </c>
      <c r="M2881" s="16">
        <v>102</v>
      </c>
      <c r="N2881" s="16">
        <v>2</v>
      </c>
      <c r="O2881" s="17"/>
      <c r="P2881" s="18">
        <v>40346.022013888891</v>
      </c>
      <c r="Q2881" s="7" t="s">
        <v>287</v>
      </c>
      <c r="R2881" s="7" t="s">
        <v>16960</v>
      </c>
      <c r="S2881" s="15"/>
      <c r="T2881" s="8"/>
      <c r="U2881" s="19" t="str">
        <f>HYPERLINK("https://pbs.twimg.com/profile_images/928697911701012480/7zyUgZOc.jpg","View")</f>
        <v>View</v>
      </c>
      <c r="V2881" s="8"/>
      <c r="W2881" s="8"/>
      <c r="X2881" s="8"/>
      <c r="Y2881" s="8"/>
      <c r="Z2881" s="8"/>
    </row>
    <row r="2882" spans="1:26" ht="12.75">
      <c r="A2882" s="11">
        <v>43747.184710648144</v>
      </c>
      <c r="B2882" s="12" t="str">
        <f>HYPERLINK("https://twitter.com/Mcahit37863071","@Mcahit37863071")</f>
        <v>@Mcahit37863071</v>
      </c>
      <c r="C2882" s="7" t="s">
        <v>5161</v>
      </c>
      <c r="D2882" s="7" t="s">
        <v>160</v>
      </c>
      <c r="E2882" s="12" t="str">
        <f>HYPERLINK("https://twitter.com/Mcahit37863071/status/1181893567037542400","1181893567037542400")</f>
        <v>1181893567037542400</v>
      </c>
      <c r="F2882" s="8"/>
      <c r="G2882" s="14" t="s">
        <v>16961</v>
      </c>
      <c r="H2882" s="8"/>
      <c r="I2882" s="15">
        <v>0</v>
      </c>
      <c r="J2882" s="15">
        <v>0</v>
      </c>
      <c r="K2882" s="12" t="str">
        <f>HYPERLINK("http://twitter.com/download/android","Twitter for Android")</f>
        <v>Twitter for Android</v>
      </c>
      <c r="L2882" s="16">
        <v>4</v>
      </c>
      <c r="M2882" s="16">
        <v>83</v>
      </c>
      <c r="N2882" s="16">
        <v>0</v>
      </c>
      <c r="O2882" s="17"/>
      <c r="P2882" s="18">
        <v>42901.79011574074</v>
      </c>
      <c r="Q2882" s="7"/>
      <c r="R2882" s="7"/>
      <c r="S2882" s="7"/>
      <c r="T2882" s="8"/>
      <c r="U2882" s="20" t="s">
        <v>354</v>
      </c>
      <c r="V2882" s="8"/>
      <c r="W2882" s="8"/>
      <c r="X2882" s="8"/>
      <c r="Y2882" s="8"/>
      <c r="Z2882" s="8"/>
    </row>
    <row r="2883" spans="1:26" ht="12.75">
      <c r="A2883" s="11">
        <v>43747.184641203705</v>
      </c>
      <c r="B2883" s="12" t="str">
        <f>HYPERLINK("https://twitter.com/sarayli__","@sarayli__")</f>
        <v>@sarayli__</v>
      </c>
      <c r="C2883" s="7" t="s">
        <v>16962</v>
      </c>
      <c r="D2883" s="7" t="s">
        <v>16963</v>
      </c>
      <c r="E2883" s="12" t="str">
        <f>HYPERLINK("https://twitter.com/sarayli__/status/1181893541934620673","1181893541934620673")</f>
        <v>1181893541934620673</v>
      </c>
      <c r="F2883" s="8"/>
      <c r="G2883" s="14" t="s">
        <v>16964</v>
      </c>
      <c r="H2883" s="8"/>
      <c r="I2883" s="15">
        <v>0</v>
      </c>
      <c r="J2883" s="15">
        <v>0</v>
      </c>
      <c r="K2883" s="12" t="str">
        <f>HYPERLINK("http://twitter.com/download/android","Twitter for Android")</f>
        <v>Twitter for Android</v>
      </c>
      <c r="L2883" s="16">
        <v>1886</v>
      </c>
      <c r="M2883" s="16">
        <v>1100</v>
      </c>
      <c r="N2883" s="16">
        <v>6</v>
      </c>
      <c r="O2883" s="17"/>
      <c r="P2883" s="18">
        <v>42630.020300925928</v>
      </c>
      <c r="Q2883" s="7" t="s">
        <v>16965</v>
      </c>
      <c r="R2883" s="7" t="s">
        <v>16966</v>
      </c>
      <c r="S2883" s="7"/>
      <c r="T2883" s="8"/>
      <c r="U2883" s="19" t="str">
        <f>HYPERLINK("https://pbs.twimg.com/profile_images/1163722957677649922/Xqgu9mVl.jpg","View")</f>
        <v>View</v>
      </c>
      <c r="V2883" s="8"/>
      <c r="W2883" s="8"/>
      <c r="X2883" s="8"/>
      <c r="Y2883" s="8"/>
      <c r="Z2883" s="8"/>
    </row>
    <row r="2884" spans="1:26" ht="12.75">
      <c r="A2884" s="11">
        <v>43747.184618055559</v>
      </c>
      <c r="B2884" s="12" t="str">
        <f>HYPERLINK("https://twitter.com/erdalerdem60","@erdalerdem60")</f>
        <v>@erdalerdem60</v>
      </c>
      <c r="C2884" s="7" t="s">
        <v>16967</v>
      </c>
      <c r="D2884" s="7" t="s">
        <v>16968</v>
      </c>
      <c r="E2884" s="12" t="str">
        <f>HYPERLINK("https://twitter.com/erdalerdem60/status/1181893533831172096","1181893533831172096")</f>
        <v>1181893533831172096</v>
      </c>
      <c r="F2884" s="8"/>
      <c r="G2884" s="15"/>
      <c r="H2884" s="8"/>
      <c r="I2884" s="15">
        <v>0</v>
      </c>
      <c r="J2884" s="15">
        <v>0</v>
      </c>
      <c r="K2884" s="12" t="str">
        <f>HYPERLINK("https://mobile.twitter.com","Twitter Web App")</f>
        <v>Twitter Web App</v>
      </c>
      <c r="L2884" s="16">
        <v>269</v>
      </c>
      <c r="M2884" s="16">
        <v>1421</v>
      </c>
      <c r="N2884" s="16">
        <v>0</v>
      </c>
      <c r="O2884" s="17"/>
      <c r="P2884" s="18">
        <v>41705.417997685188</v>
      </c>
      <c r="Q2884" s="7"/>
      <c r="R2884" s="7" t="s">
        <v>16969</v>
      </c>
      <c r="S2884" s="7"/>
      <c r="T2884" s="8"/>
      <c r="U2884" s="19" t="str">
        <f>HYPERLINK("https://pbs.twimg.com/profile_images/872458607136309248/pLG3J4O8.jpg","View")</f>
        <v>View</v>
      </c>
      <c r="V2884" s="8"/>
      <c r="W2884" s="8"/>
      <c r="X2884" s="8"/>
      <c r="Y2884" s="8"/>
      <c r="Z2884" s="8"/>
    </row>
    <row r="2885" spans="1:26" ht="12.75">
      <c r="A2885" s="11">
        <v>43747.184583333335</v>
      </c>
      <c r="B2885" s="12" t="str">
        <f>HYPERLINK("https://twitter.com/BurhanKomsu","@BurhanKomsu")</f>
        <v>@BurhanKomsu</v>
      </c>
      <c r="C2885" s="7" t="s">
        <v>16970</v>
      </c>
      <c r="D2885" s="7" t="s">
        <v>16971</v>
      </c>
      <c r="E2885" s="12" t="str">
        <f>HYPERLINK("https://twitter.com/BurhanKomsu/status/1181893519633457152","1181893519633457152")</f>
        <v>1181893519633457152</v>
      </c>
      <c r="F2885" s="8"/>
      <c r="G2885" s="15"/>
      <c r="H2885" s="8"/>
      <c r="I2885" s="15">
        <v>0</v>
      </c>
      <c r="J2885" s="15">
        <v>0</v>
      </c>
      <c r="K2885" s="12" t="str">
        <f>HYPERLINK("http://twitter.com/download/iphone","Twitter for iPhone")</f>
        <v>Twitter for iPhone</v>
      </c>
      <c r="L2885" s="16">
        <v>57</v>
      </c>
      <c r="M2885" s="16">
        <v>15</v>
      </c>
      <c r="N2885" s="16">
        <v>0</v>
      </c>
      <c r="O2885" s="17"/>
      <c r="P2885" s="18">
        <v>43216.406909722224</v>
      </c>
      <c r="Q2885" s="7" t="s">
        <v>14731</v>
      </c>
      <c r="R2885" s="7" t="s">
        <v>16972</v>
      </c>
      <c r="S2885" s="7"/>
      <c r="T2885" s="8"/>
      <c r="U2885" s="19" t="str">
        <f>HYPERLINK("https://pbs.twimg.com/profile_images/1153759588157665280/QNBuz4at.jpg","View")</f>
        <v>View</v>
      </c>
      <c r="V2885" s="8"/>
      <c r="W2885" s="8"/>
      <c r="X2885" s="8"/>
      <c r="Y2885" s="8"/>
      <c r="Z2885" s="8"/>
    </row>
    <row r="2886" spans="1:26" ht="12.75">
      <c r="A2886" s="11">
        <v>43747.184583333335</v>
      </c>
      <c r="B2886" s="12" t="str">
        <f>HYPERLINK("https://twitter.com/FettahogluNihal","@FettahogluNihal")</f>
        <v>@FettahogluNihal</v>
      </c>
      <c r="C2886" s="7" t="s">
        <v>16973</v>
      </c>
      <c r="D2886" s="7" t="s">
        <v>16974</v>
      </c>
      <c r="E2886" s="12" t="str">
        <f>HYPERLINK("https://twitter.com/FettahogluNihal/status/1181893518727487488","1181893518727487488")</f>
        <v>1181893518727487488</v>
      </c>
      <c r="F2886" s="8"/>
      <c r="G2886" s="14" t="s">
        <v>16975</v>
      </c>
      <c r="H2886" s="8"/>
      <c r="I2886" s="15">
        <v>1</v>
      </c>
      <c r="J2886" s="15">
        <v>11</v>
      </c>
      <c r="K2886" s="12" t="str">
        <f>HYPERLINK("http://twitter.com/download/android","Twitter for Android")</f>
        <v>Twitter for Android</v>
      </c>
      <c r="L2886" s="16">
        <v>3391</v>
      </c>
      <c r="M2886" s="16">
        <v>126</v>
      </c>
      <c r="N2886" s="16">
        <v>3</v>
      </c>
      <c r="O2886" s="17"/>
      <c r="P2886" s="18">
        <v>43436.625</v>
      </c>
      <c r="Q2886" s="7" t="s">
        <v>6551</v>
      </c>
      <c r="R2886" s="7" t="s">
        <v>16976</v>
      </c>
      <c r="S2886" s="14" t="s">
        <v>16977</v>
      </c>
      <c r="T2886" s="8"/>
      <c r="U2886" s="19" t="str">
        <f>HYPERLINK("https://pbs.twimg.com/profile_images/1134460013089644544/4D_b9n1o.jpg","View")</f>
        <v>View</v>
      </c>
      <c r="V2886" s="8"/>
      <c r="W2886" s="8"/>
      <c r="X2886" s="8"/>
      <c r="Y2886" s="8"/>
      <c r="Z2886" s="8"/>
    </row>
    <row r="2887" spans="1:26" ht="12.75">
      <c r="A2887" s="11">
        <v>43747.184560185182</v>
      </c>
      <c r="B2887" s="12" t="str">
        <f>HYPERLINK("https://twitter.com/cakici_minel","@cakici_minel")</f>
        <v>@cakici_minel</v>
      </c>
      <c r="C2887" s="7" t="s">
        <v>16978</v>
      </c>
      <c r="D2887" s="7" t="s">
        <v>16979</v>
      </c>
      <c r="E2887" s="12" t="str">
        <f>HYPERLINK("https://twitter.com/cakici_minel/status/1181893511408504832","1181893511408504832")</f>
        <v>1181893511408504832</v>
      </c>
      <c r="F2887" s="7"/>
      <c r="G2887" s="14" t="s">
        <v>16980</v>
      </c>
      <c r="H2887" s="8"/>
      <c r="I2887" s="15">
        <v>0</v>
      </c>
      <c r="J2887" s="15">
        <v>1</v>
      </c>
      <c r="K2887" s="12" t="str">
        <f>HYPERLINK("http://twitter.com","Twitter Web Client")</f>
        <v>Twitter Web Client</v>
      </c>
      <c r="L2887" s="16">
        <v>20</v>
      </c>
      <c r="M2887" s="16">
        <v>0</v>
      </c>
      <c r="N2887" s="16">
        <v>0</v>
      </c>
      <c r="O2887" s="17"/>
      <c r="P2887" s="18">
        <v>43703.809664351851</v>
      </c>
      <c r="Q2887" s="7" t="s">
        <v>16844</v>
      </c>
      <c r="R2887" s="7" t="s">
        <v>16981</v>
      </c>
      <c r="S2887" s="7"/>
      <c r="T2887" s="8"/>
      <c r="U2887" s="19" t="str">
        <f>HYPERLINK("https://pbs.twimg.com/profile_images/1166788274024833024/8ur4RHRV.jpg","View")</f>
        <v>View</v>
      </c>
      <c r="V2887" s="8"/>
      <c r="W2887" s="8"/>
      <c r="X2887" s="8"/>
      <c r="Y2887" s="8"/>
      <c r="Z2887" s="8"/>
    </row>
    <row r="2888" spans="1:26" ht="12.75">
      <c r="A2888" s="11">
        <v>43747.184363425928</v>
      </c>
      <c r="B2888" s="12" t="str">
        <f>HYPERLINK("https://twitter.com/keskinisa61","@keskinisa61")</f>
        <v>@keskinisa61</v>
      </c>
      <c r="C2888" s="7" t="s">
        <v>16982</v>
      </c>
      <c r="D2888" s="7" t="s">
        <v>16983</v>
      </c>
      <c r="E2888" s="12" t="str">
        <f>HYPERLINK("https://twitter.com/keskinisa61/status/1181893440243687425","1181893440243687425")</f>
        <v>1181893440243687425</v>
      </c>
      <c r="F2888" s="8"/>
      <c r="G2888" s="15"/>
      <c r="H2888" s="8"/>
      <c r="I2888" s="15">
        <v>0</v>
      </c>
      <c r="J2888" s="15">
        <v>0</v>
      </c>
      <c r="K2888" s="12" t="str">
        <f>HYPERLINK("http://twitter.com/download/iphone","Twitter for iPhone")</f>
        <v>Twitter for iPhone</v>
      </c>
      <c r="L2888" s="16">
        <v>106</v>
      </c>
      <c r="M2888" s="16">
        <v>32</v>
      </c>
      <c r="N2888" s="16">
        <v>0</v>
      </c>
      <c r="O2888" s="17"/>
      <c r="P2888" s="18">
        <v>42587.274050925931</v>
      </c>
      <c r="Q2888" s="7" t="s">
        <v>313</v>
      </c>
      <c r="R2888" s="7" t="s">
        <v>16984</v>
      </c>
      <c r="S2888" s="15"/>
      <c r="T2888" s="8"/>
      <c r="U2888" s="19" t="str">
        <f>HYPERLINK("https://pbs.twimg.com/profile_images/941558710186463232/HdCW-ghm.jpg","View")</f>
        <v>View</v>
      </c>
      <c r="V2888" s="8"/>
      <c r="W2888" s="8"/>
      <c r="X2888" s="8"/>
      <c r="Y2888" s="8"/>
      <c r="Z2888" s="8"/>
    </row>
    <row r="2889" spans="1:26" ht="12.75">
      <c r="A2889" s="11">
        <v>43747.184340277774</v>
      </c>
      <c r="B2889" s="12" t="str">
        <f>HYPERLINK("https://twitter.com/Mhmt_zz","@Mhmt_zz")</f>
        <v>@Mhmt_zz</v>
      </c>
      <c r="C2889" s="7" t="s">
        <v>4984</v>
      </c>
      <c r="D2889" s="7" t="s">
        <v>16985</v>
      </c>
      <c r="E2889" s="12" t="str">
        <f>HYPERLINK("https://twitter.com/Mhmt_zz/status/1181893434128420865","1181893434128420865")</f>
        <v>1181893434128420865</v>
      </c>
      <c r="F2889" s="8"/>
      <c r="G2889" s="14" t="s">
        <v>16986</v>
      </c>
      <c r="H2889" s="8"/>
      <c r="I2889" s="15">
        <v>0</v>
      </c>
      <c r="J2889" s="15">
        <v>4</v>
      </c>
      <c r="K2889" s="12" t="str">
        <f>HYPERLINK("http://twitter.com/download/android","Twitter for Android")</f>
        <v>Twitter for Android</v>
      </c>
      <c r="L2889" s="16">
        <v>273</v>
      </c>
      <c r="M2889" s="16">
        <v>420</v>
      </c>
      <c r="N2889" s="16">
        <v>0</v>
      </c>
      <c r="O2889" s="17"/>
      <c r="P2889" s="18">
        <v>40755.505740740744</v>
      </c>
      <c r="Q2889" s="7" t="s">
        <v>3784</v>
      </c>
      <c r="R2889" s="7" t="s">
        <v>16987</v>
      </c>
      <c r="S2889" s="15"/>
      <c r="T2889" s="8"/>
      <c r="U2889" s="19" t="str">
        <f>HYPERLINK("https://pbs.twimg.com/profile_images/1153591847736020992/HnwmsIc2.jpg","View")</f>
        <v>View</v>
      </c>
      <c r="V2889" s="8"/>
      <c r="W2889" s="8"/>
      <c r="X2889" s="8"/>
      <c r="Y2889" s="8"/>
      <c r="Z2889" s="8"/>
    </row>
    <row r="2890" spans="1:26" ht="12.75">
      <c r="A2890" s="11">
        <v>43747.184131944443</v>
      </c>
      <c r="B2890" s="12" t="str">
        <f>HYPERLINK("https://twitter.com/memur_i","@memur_i")</f>
        <v>@memur_i</v>
      </c>
      <c r="C2890" s="7" t="s">
        <v>16988</v>
      </c>
      <c r="D2890" s="7" t="s">
        <v>16989</v>
      </c>
      <c r="E2890" s="12" t="str">
        <f>HYPERLINK("https://twitter.com/memur_i/status/1181893356122714112","1181893356122714112")</f>
        <v>1181893356122714112</v>
      </c>
      <c r="F2890" s="8"/>
      <c r="G2890" s="15"/>
      <c r="H2890" s="8"/>
      <c r="I2890" s="15">
        <v>0</v>
      </c>
      <c r="J2890" s="15">
        <v>0</v>
      </c>
      <c r="K2890" s="12" t="str">
        <f>HYPERLINK("https://about.twitter.com/products/tweetdeck","TweetDeck")</f>
        <v>TweetDeck</v>
      </c>
      <c r="L2890" s="16">
        <v>127</v>
      </c>
      <c r="M2890" s="16">
        <v>306</v>
      </c>
      <c r="N2890" s="16">
        <v>0</v>
      </c>
      <c r="O2890" s="17"/>
      <c r="P2890" s="18">
        <v>43438.364976851852</v>
      </c>
      <c r="Q2890" s="7"/>
      <c r="R2890" s="7"/>
      <c r="S2890" s="15"/>
      <c r="T2890" s="8"/>
      <c r="U2890" s="19" t="str">
        <f>HYPERLINK("https://pbs.twimg.com/profile_images/1069996609923112960/-DM3smHh.jpg","View")</f>
        <v>View</v>
      </c>
      <c r="V2890" s="8"/>
      <c r="W2890" s="8"/>
      <c r="X2890" s="8"/>
      <c r="Y2890" s="8"/>
      <c r="Z2890" s="8"/>
    </row>
    <row r="2891" spans="1:26" ht="12.75">
      <c r="A2891" s="11">
        <v>43747.184097222227</v>
      </c>
      <c r="B2891" s="12" t="str">
        <f>HYPERLINK("https://twitter.com/yldz_yell","@yldz_yell")</f>
        <v>@yldz_yell</v>
      </c>
      <c r="C2891" s="7" t="s">
        <v>16990</v>
      </c>
      <c r="D2891" s="7" t="s">
        <v>9019</v>
      </c>
      <c r="E2891" s="12" t="str">
        <f>HYPERLINK("https://twitter.com/yldz_yell/status/1181893346215768065","1181893346215768065")</f>
        <v>1181893346215768065</v>
      </c>
      <c r="F2891" s="8"/>
      <c r="G2891" s="7"/>
      <c r="H2891" s="8"/>
      <c r="I2891" s="15">
        <v>0</v>
      </c>
      <c r="J2891" s="15">
        <v>1</v>
      </c>
      <c r="K2891" s="12" t="str">
        <f>HYPERLINK("http://twitter.com/download/android","Twitter for Android")</f>
        <v>Twitter for Android</v>
      </c>
      <c r="L2891" s="16">
        <v>632</v>
      </c>
      <c r="M2891" s="16">
        <v>194</v>
      </c>
      <c r="N2891" s="16">
        <v>1</v>
      </c>
      <c r="O2891" s="17"/>
      <c r="P2891" s="18">
        <v>42726.127754629633</v>
      </c>
      <c r="Q2891" s="7" t="s">
        <v>2050</v>
      </c>
      <c r="R2891" s="7" t="s">
        <v>16991</v>
      </c>
      <c r="S2891" s="8"/>
      <c r="T2891" s="8"/>
      <c r="U2891" s="19" t="str">
        <f>HYPERLINK("https://pbs.twimg.com/profile_images/1180114852364333056/rd-qZZ9G.jpg","View")</f>
        <v>View</v>
      </c>
      <c r="V2891" s="8"/>
      <c r="W2891" s="8"/>
      <c r="X2891" s="8"/>
      <c r="Y2891" s="8"/>
      <c r="Z2891" s="8"/>
    </row>
    <row r="2892" spans="1:26" ht="12.75">
      <c r="A2892" s="11">
        <v>43747.184085648143</v>
      </c>
      <c r="B2892" s="12" t="str">
        <f>HYPERLINK("https://twitter.com/Dlaal89y","@Dlaal89y")</f>
        <v>@Dlaal89y</v>
      </c>
      <c r="C2892" s="7" t="s">
        <v>16992</v>
      </c>
      <c r="D2892" s="7" t="s">
        <v>16993</v>
      </c>
      <c r="E2892" s="12" t="str">
        <f>HYPERLINK("https://twitter.com/Dlaal89y/status/1181893341753102340","1181893341753102340")</f>
        <v>1181893341753102340</v>
      </c>
      <c r="F2892" s="8"/>
      <c r="G2892" s="14" t="s">
        <v>16994</v>
      </c>
      <c r="H2892" s="8"/>
      <c r="I2892" s="15">
        <v>0</v>
      </c>
      <c r="J2892" s="15">
        <v>0</v>
      </c>
      <c r="K2892" s="12" t="str">
        <f>HYPERLINK("http://twitter.com/download/android","Twitter for Android")</f>
        <v>Twitter for Android</v>
      </c>
      <c r="L2892" s="16">
        <v>17</v>
      </c>
      <c r="M2892" s="16">
        <v>415</v>
      </c>
      <c r="N2892" s="16">
        <v>0</v>
      </c>
      <c r="O2892" s="17"/>
      <c r="P2892" s="18">
        <v>43292.051469907412</v>
      </c>
      <c r="Q2892" s="7" t="s">
        <v>3435</v>
      </c>
      <c r="R2892" s="7"/>
      <c r="S2892" s="8"/>
      <c r="T2892" s="8"/>
      <c r="U2892" s="19" t="str">
        <f>HYPERLINK("https://pbs.twimg.com/profile_images/1166566209220960259/-lrm8xBI.jpg","View")</f>
        <v>View</v>
      </c>
      <c r="V2892" s="8"/>
      <c r="W2892" s="8"/>
      <c r="X2892" s="8"/>
      <c r="Y2892" s="8"/>
      <c r="Z2892" s="8"/>
    </row>
    <row r="2893" spans="1:26" ht="12.75">
      <c r="A2893" s="11">
        <v>43747.184062500004</v>
      </c>
      <c r="B2893" s="12" t="str">
        <f>HYPERLINK("https://twitter.com/SuatY__28","@SuatY__28")</f>
        <v>@SuatY__28</v>
      </c>
      <c r="C2893" s="7" t="s">
        <v>16995</v>
      </c>
      <c r="D2893" s="7" t="s">
        <v>16996</v>
      </c>
      <c r="E2893" s="12" t="str">
        <f>HYPERLINK("https://twitter.com/SuatY__28/status/1181893333435768832","1181893333435768832")</f>
        <v>1181893333435768832</v>
      </c>
      <c r="F2893" s="8"/>
      <c r="G2893" s="15"/>
      <c r="H2893" s="8"/>
      <c r="I2893" s="15">
        <v>4</v>
      </c>
      <c r="J2893" s="15">
        <v>12</v>
      </c>
      <c r="K2893" s="12" t="str">
        <f>HYPERLINK("http://twitter.com/download/android","Twitter for Android")</f>
        <v>Twitter for Android</v>
      </c>
      <c r="L2893" s="16">
        <v>7822</v>
      </c>
      <c r="M2893" s="16">
        <v>7861</v>
      </c>
      <c r="N2893" s="16">
        <v>2</v>
      </c>
      <c r="O2893" s="17"/>
      <c r="P2893" s="18">
        <v>43579.356851851851</v>
      </c>
      <c r="Q2893" s="7" t="s">
        <v>8508</v>
      </c>
      <c r="R2893" s="7" t="s">
        <v>16997</v>
      </c>
      <c r="S2893" s="8"/>
      <c r="T2893" s="8"/>
      <c r="U2893" s="19" t="str">
        <f>HYPERLINK("https://pbs.twimg.com/profile_images/1157357277675999233/zXpnvZi-.jpg","View")</f>
        <v>View</v>
      </c>
      <c r="V2893" s="8"/>
      <c r="W2893" s="8"/>
      <c r="X2893" s="8"/>
      <c r="Y2893" s="8"/>
      <c r="Z2893" s="8"/>
    </row>
    <row r="2894" spans="1:26" ht="12.75">
      <c r="A2894" s="11">
        <v>43747.184050925927</v>
      </c>
      <c r="B2894" s="12" t="str">
        <f>HYPERLINK("https://twitter.com/Mahmutfurkanka1","@Mahmutfurkanka1")</f>
        <v>@Mahmutfurkanka1</v>
      </c>
      <c r="C2894" s="7" t="s">
        <v>16998</v>
      </c>
      <c r="D2894" s="7" t="s">
        <v>16999</v>
      </c>
      <c r="E2894" s="12" t="str">
        <f>HYPERLINK("https://twitter.com/Mahmutfurkanka1/status/1181893328775913474","1181893328775913474")</f>
        <v>1181893328775913474</v>
      </c>
      <c r="F2894" s="14" t="s">
        <v>17000</v>
      </c>
      <c r="G2894" s="14" t="s">
        <v>17001</v>
      </c>
      <c r="H2894" s="8"/>
      <c r="I2894" s="15">
        <v>3</v>
      </c>
      <c r="J2894" s="15">
        <v>2</v>
      </c>
      <c r="K2894" s="12" t="str">
        <f>HYPERLINK("http://twitter.com/download/android","Twitter for Android")</f>
        <v>Twitter for Android</v>
      </c>
      <c r="L2894" s="16">
        <v>993</v>
      </c>
      <c r="M2894" s="16">
        <v>646</v>
      </c>
      <c r="N2894" s="16">
        <v>1</v>
      </c>
      <c r="O2894" s="17"/>
      <c r="P2894" s="18">
        <v>43352.074594907404</v>
      </c>
      <c r="Q2894" s="7" t="s">
        <v>287</v>
      </c>
      <c r="R2894" s="7" t="s">
        <v>17002</v>
      </c>
      <c r="S2894" s="8"/>
      <c r="T2894" s="8"/>
      <c r="U2894" s="19" t="str">
        <f>HYPERLINK("https://pbs.twimg.com/profile_images/1174141179430100992/LURou6py.jpg","View")</f>
        <v>View</v>
      </c>
      <c r="V2894" s="8"/>
      <c r="W2894" s="8"/>
      <c r="X2894" s="8"/>
      <c r="Y2894" s="8"/>
      <c r="Z2894" s="8"/>
    </row>
    <row r="2895" spans="1:26" ht="12.75">
      <c r="A2895" s="11">
        <v>43747.183981481481</v>
      </c>
      <c r="B2895" s="12" t="str">
        <f>HYPERLINK("https://twitter.com/alpersenpai","@alpersenpai")</f>
        <v>@alpersenpai</v>
      </c>
      <c r="C2895" s="7" t="s">
        <v>17003</v>
      </c>
      <c r="D2895" s="7" t="s">
        <v>17004</v>
      </c>
      <c r="E2895" s="12" t="str">
        <f>HYPERLINK("https://twitter.com/alpersenpai/status/1181893300569157634","1181893300569157634")</f>
        <v>1181893300569157634</v>
      </c>
      <c r="F2895" s="8"/>
      <c r="G2895" s="15"/>
      <c r="H2895" s="8"/>
      <c r="I2895" s="15">
        <v>0</v>
      </c>
      <c r="J2895" s="15">
        <v>0</v>
      </c>
      <c r="K2895" s="12" t="str">
        <f>HYPERLINK("http://twitter.com/download/iphone","Twitter for iPhone")</f>
        <v>Twitter for iPhone</v>
      </c>
      <c r="L2895" s="16">
        <v>22</v>
      </c>
      <c r="M2895" s="16">
        <v>58</v>
      </c>
      <c r="N2895" s="16">
        <v>0</v>
      </c>
      <c r="O2895" s="17"/>
      <c r="P2895" s="18">
        <v>43471.493530092594</v>
      </c>
      <c r="Q2895" s="7" t="s">
        <v>17005</v>
      </c>
      <c r="R2895" s="7" t="s">
        <v>17006</v>
      </c>
      <c r="S2895" s="8"/>
      <c r="T2895" s="8"/>
      <c r="U2895" s="19" t="str">
        <f>HYPERLINK("https://pbs.twimg.com/profile_images/1179651657409482752/C3-iYxJK.jpg","View")</f>
        <v>View</v>
      </c>
      <c r="V2895" s="8"/>
      <c r="W2895" s="8"/>
      <c r="X2895" s="8"/>
      <c r="Y2895" s="8"/>
      <c r="Z2895" s="8"/>
    </row>
    <row r="2896" spans="1:26" ht="12.75">
      <c r="A2896" s="11">
        <v>43747.183958333335</v>
      </c>
      <c r="B2896" s="12" t="str">
        <f>HYPERLINK("https://twitter.com/CancigerNursima","@CancigerNursima")</f>
        <v>@CancigerNursima</v>
      </c>
      <c r="C2896" s="15" t="s">
        <v>17007</v>
      </c>
      <c r="D2896" s="7" t="s">
        <v>16289</v>
      </c>
      <c r="E2896" s="12" t="str">
        <f>HYPERLINK("https://twitter.com/CancigerNursima/status/1181893293619253249","1181893293619253249")</f>
        <v>1181893293619253249</v>
      </c>
      <c r="F2896" s="15"/>
      <c r="G2896" s="15"/>
      <c r="H2896" s="8"/>
      <c r="I2896" s="15">
        <v>0</v>
      </c>
      <c r="J2896" s="15">
        <v>1</v>
      </c>
      <c r="K2896" s="12" t="str">
        <f>HYPERLINK("http://twitter.com","Twitter Web Client")</f>
        <v>Twitter Web Client</v>
      </c>
      <c r="L2896" s="16">
        <v>8</v>
      </c>
      <c r="M2896" s="16">
        <v>0</v>
      </c>
      <c r="N2896" s="16">
        <v>0</v>
      </c>
      <c r="O2896" s="20"/>
      <c r="P2896" s="18">
        <v>43683.869027777779</v>
      </c>
      <c r="Q2896" s="7" t="s">
        <v>1748</v>
      </c>
      <c r="R2896" s="7" t="s">
        <v>17008</v>
      </c>
      <c r="S2896" s="15"/>
      <c r="T2896" s="8"/>
      <c r="U2896" s="19" t="str">
        <f>HYPERLINK("https://pbs.twimg.com/profile_images/1167222432677146625/f1GqLqxE.jpg","View")</f>
        <v>View</v>
      </c>
      <c r="V2896" s="8"/>
      <c r="W2896" s="8"/>
      <c r="X2896" s="8"/>
      <c r="Y2896" s="8"/>
      <c r="Z2896" s="8"/>
    </row>
    <row r="2897" spans="1:26" ht="12.75">
      <c r="A2897" s="11">
        <v>43747.183946759258</v>
      </c>
      <c r="B2897" s="12" t="str">
        <f>HYPERLINK("https://twitter.com/Ahmet0zdemirr","@Ahmet0zdemirr")</f>
        <v>@Ahmet0zdemirr</v>
      </c>
      <c r="C2897" s="7" t="s">
        <v>17009</v>
      </c>
      <c r="D2897" s="7" t="s">
        <v>160</v>
      </c>
      <c r="E2897" s="12" t="str">
        <f>HYPERLINK("https://twitter.com/Ahmet0zdemirr/status/1181893288070193152","1181893288070193152")</f>
        <v>1181893288070193152</v>
      </c>
      <c r="F2897" s="8"/>
      <c r="G2897" s="14" t="s">
        <v>17010</v>
      </c>
      <c r="H2897" s="8"/>
      <c r="I2897" s="15">
        <v>0</v>
      </c>
      <c r="J2897" s="15">
        <v>1</v>
      </c>
      <c r="K2897" s="12" t="str">
        <f>HYPERLINK("http://twitter.com/download/android","Twitter for Android")</f>
        <v>Twitter for Android</v>
      </c>
      <c r="L2897" s="16">
        <v>6</v>
      </c>
      <c r="M2897" s="16">
        <v>30</v>
      </c>
      <c r="N2897" s="16">
        <v>0</v>
      </c>
      <c r="O2897" s="17"/>
      <c r="P2897" s="18">
        <v>43571.322152777779</v>
      </c>
      <c r="Q2897" s="7"/>
      <c r="R2897" s="7" t="s">
        <v>17011</v>
      </c>
      <c r="S2897" s="8"/>
      <c r="T2897" s="8"/>
      <c r="U2897" s="19" t="str">
        <f>HYPERLINK("https://pbs.twimg.com/profile_images/1118163263248850944/esSH4Tye.jpg","View")</f>
        <v>View</v>
      </c>
      <c r="V2897" s="8"/>
      <c r="W2897" s="8"/>
      <c r="X2897" s="8"/>
      <c r="Y2897" s="8"/>
      <c r="Z2897" s="8"/>
    </row>
    <row r="2898" spans="1:26" ht="12.75">
      <c r="A2898" s="11">
        <v>43747.183796296296</v>
      </c>
      <c r="B2898" s="12" t="str">
        <f>HYPERLINK("https://twitter.com/dogrucuadam5","@dogrucuadam5")</f>
        <v>@dogrucuadam5</v>
      </c>
      <c r="C2898" s="7" t="s">
        <v>17012</v>
      </c>
      <c r="D2898" s="7" t="s">
        <v>17013</v>
      </c>
      <c r="E2898" s="12" t="str">
        <f>HYPERLINK("https://twitter.com/dogrucuadam5/status/1181893235662299136","1181893235662299136")</f>
        <v>1181893235662299136</v>
      </c>
      <c r="F2898" s="8"/>
      <c r="G2898" s="14" t="s">
        <v>17014</v>
      </c>
      <c r="H2898" s="8"/>
      <c r="I2898" s="15">
        <v>0</v>
      </c>
      <c r="J2898" s="15">
        <v>0</v>
      </c>
      <c r="K2898" s="12" t="str">
        <f>HYPERLINK("https://mobile.twitter.com","Twitter Web App")</f>
        <v>Twitter Web App</v>
      </c>
      <c r="L2898" s="16">
        <v>14</v>
      </c>
      <c r="M2898" s="16">
        <v>14</v>
      </c>
      <c r="N2898" s="16">
        <v>0</v>
      </c>
      <c r="O2898" s="17"/>
      <c r="P2898" s="18">
        <v>43591.744201388894</v>
      </c>
      <c r="Q2898" s="7" t="s">
        <v>17015</v>
      </c>
      <c r="R2898" s="7" t="s">
        <v>17016</v>
      </c>
      <c r="S2898" s="8"/>
      <c r="T2898" s="8"/>
      <c r="U2898" s="19" t="str">
        <f>HYPERLINK("https://pbs.twimg.com/profile_images/1125564240218198018/2_kJObB5.jpg","View")</f>
        <v>View</v>
      </c>
      <c r="V2898" s="8"/>
      <c r="W2898" s="8"/>
      <c r="X2898" s="8"/>
      <c r="Y2898" s="8"/>
      <c r="Z2898" s="8"/>
    </row>
    <row r="2899" spans="1:26" ht="12.75">
      <c r="A2899" s="11">
        <v>43747.183761574073</v>
      </c>
      <c r="B2899" s="12" t="str">
        <f>HYPERLINK("https://twitter.com/OzelHarekaTR","@OzelHarekaTR")</f>
        <v>@OzelHarekaTR</v>
      </c>
      <c r="C2899" s="7" t="s">
        <v>17017</v>
      </c>
      <c r="D2899" s="7" t="s">
        <v>160</v>
      </c>
      <c r="E2899" s="12" t="str">
        <f>HYPERLINK("https://twitter.com/OzelHarekaTR/status/1181893220919382017","1181893220919382017")</f>
        <v>1181893220919382017</v>
      </c>
      <c r="F2899" s="8"/>
      <c r="G2899" s="14" t="s">
        <v>17018</v>
      </c>
      <c r="H2899" s="8"/>
      <c r="I2899" s="15">
        <v>7</v>
      </c>
      <c r="J2899" s="15">
        <v>41</v>
      </c>
      <c r="K2899" s="12" t="str">
        <f>HYPERLINK("https://mobile.twitter.com","Twitter Web App")</f>
        <v>Twitter Web App</v>
      </c>
      <c r="L2899" s="16">
        <v>115700</v>
      </c>
      <c r="M2899" s="16">
        <v>421</v>
      </c>
      <c r="N2899" s="16">
        <v>172</v>
      </c>
      <c r="O2899" s="17"/>
      <c r="P2899" s="18">
        <v>41942.416539351849</v>
      </c>
      <c r="Q2899" s="7" t="s">
        <v>200</v>
      </c>
      <c r="R2899" s="7" t="s">
        <v>17019</v>
      </c>
      <c r="S2899" s="14" t="s">
        <v>17020</v>
      </c>
      <c r="T2899" s="8"/>
      <c r="U2899" s="19" t="str">
        <f>HYPERLINK("https://pbs.twimg.com/profile_images/1049609496492986369/ptequMkj.jpg","View")</f>
        <v>View</v>
      </c>
      <c r="V2899" s="8"/>
      <c r="W2899" s="8"/>
      <c r="X2899" s="8"/>
      <c r="Y2899" s="8"/>
      <c r="Z2899" s="8"/>
    </row>
    <row r="2900" spans="1:26" ht="12.75">
      <c r="A2900" s="11">
        <v>43747.183692129634</v>
      </c>
      <c r="B2900" s="12" t="str">
        <f>HYPERLINK("https://twitter.com/emirbereket","@emirbereket")</f>
        <v>@emirbereket</v>
      </c>
      <c r="C2900" s="7" t="s">
        <v>17021</v>
      </c>
      <c r="D2900" s="7" t="s">
        <v>17022</v>
      </c>
      <c r="E2900" s="12" t="str">
        <f>HYPERLINK("https://twitter.com/emirbereket/status/1181893198274318339","1181893198274318339")</f>
        <v>1181893198274318339</v>
      </c>
      <c r="F2900" s="8"/>
      <c r="G2900" s="15"/>
      <c r="H2900" s="8"/>
      <c r="I2900" s="15">
        <v>5</v>
      </c>
      <c r="J2900" s="15">
        <v>88</v>
      </c>
      <c r="K2900" s="12" t="str">
        <f>HYPERLINK("http://twitter.com/download/iphone","Twitter for iPhone")</f>
        <v>Twitter for iPhone</v>
      </c>
      <c r="L2900" s="16">
        <v>127332</v>
      </c>
      <c r="M2900" s="16">
        <v>24156</v>
      </c>
      <c r="N2900" s="16">
        <v>381</v>
      </c>
      <c r="O2900" s="17"/>
      <c r="P2900" s="18">
        <v>40918.213530092595</v>
      </c>
      <c r="Q2900" s="7"/>
      <c r="R2900" s="7" t="s">
        <v>17023</v>
      </c>
      <c r="S2900" s="8"/>
      <c r="T2900" s="8"/>
      <c r="U2900" s="19" t="str">
        <f>HYPERLINK("https://pbs.twimg.com/profile_images/1151092718032097280/dwfNpkSm.jpg","View")</f>
        <v>View</v>
      </c>
      <c r="V2900" s="8"/>
      <c r="W2900" s="8"/>
      <c r="X2900" s="8"/>
      <c r="Y2900" s="8"/>
      <c r="Z2900" s="8"/>
    </row>
    <row r="2901" spans="1:26" ht="12.75">
      <c r="A2901" s="11">
        <v>43747.18368055555</v>
      </c>
      <c r="B2901" s="12" t="str">
        <f>HYPERLINK("https://twitter.com/serhatc2023","@serhatc2023")</f>
        <v>@serhatc2023</v>
      </c>
      <c r="C2901" s="7" t="s">
        <v>17024</v>
      </c>
      <c r="D2901" s="7" t="s">
        <v>17025</v>
      </c>
      <c r="E2901" s="12" t="str">
        <f>HYPERLINK("https://twitter.com/serhatc2023/status/1181893194767900674","1181893194767900674")</f>
        <v>1181893194767900674</v>
      </c>
      <c r="F2901" s="8"/>
      <c r="G2901" s="7"/>
      <c r="H2901" s="8"/>
      <c r="I2901" s="15">
        <v>0</v>
      </c>
      <c r="J2901" s="15">
        <v>0</v>
      </c>
      <c r="K2901" s="12" t="str">
        <f>HYPERLINK("http://twitter.com/download/iphone","Twitter for iPhone")</f>
        <v>Twitter for iPhone</v>
      </c>
      <c r="L2901" s="16">
        <v>3055</v>
      </c>
      <c r="M2901" s="16">
        <v>276</v>
      </c>
      <c r="N2901" s="16">
        <v>3</v>
      </c>
      <c r="O2901" s="17"/>
      <c r="P2901" s="18">
        <v>42745.289363425924</v>
      </c>
      <c r="Q2901" s="7"/>
      <c r="R2901" s="7" t="s">
        <v>807</v>
      </c>
      <c r="S2901" s="14" t="s">
        <v>17026</v>
      </c>
      <c r="T2901" s="8"/>
      <c r="U2901" s="19" t="str">
        <f>HYPERLINK("https://pbs.twimg.com/profile_images/1178464631783907328/L5C9NEZz.jpg","View")</f>
        <v>View</v>
      </c>
      <c r="V2901" s="8"/>
      <c r="W2901" s="8"/>
      <c r="X2901" s="8"/>
      <c r="Y2901" s="8"/>
      <c r="Z2901" s="8"/>
    </row>
    <row r="2902" spans="1:26" ht="12.75">
      <c r="A2902" s="11">
        <v>43747.183657407411</v>
      </c>
      <c r="B2902" s="12" t="str">
        <f>HYPERLINK("https://twitter.com/Lazpirin_100_Mg","@Lazpirin_100_Mg")</f>
        <v>@Lazpirin_100_Mg</v>
      </c>
      <c r="C2902" s="7" t="s">
        <v>17027</v>
      </c>
      <c r="D2902" s="7" t="s">
        <v>17028</v>
      </c>
      <c r="E2902" s="12" t="str">
        <f>HYPERLINK("https://twitter.com/Lazpirin_100_Mg/status/1181893183183171584","1181893183183171584")</f>
        <v>1181893183183171584</v>
      </c>
      <c r="F2902" s="8"/>
      <c r="G2902" s="15"/>
      <c r="H2902" s="8"/>
      <c r="I2902" s="15">
        <v>1</v>
      </c>
      <c r="J2902" s="15">
        <v>3</v>
      </c>
      <c r="K2902" s="12" t="str">
        <f>HYPERLINK("https://mobile.twitter.com","Twitter Web App")</f>
        <v>Twitter Web App</v>
      </c>
      <c r="L2902" s="16">
        <v>1395</v>
      </c>
      <c r="M2902" s="16">
        <v>138</v>
      </c>
      <c r="N2902" s="16">
        <v>3</v>
      </c>
      <c r="O2902" s="17"/>
      <c r="P2902" s="18">
        <v>41269.609722222223</v>
      </c>
      <c r="Q2902" s="7" t="s">
        <v>668</v>
      </c>
      <c r="R2902" s="7" t="s">
        <v>17029</v>
      </c>
      <c r="S2902" s="15"/>
      <c r="T2902" s="8"/>
      <c r="U2902" s="19" t="str">
        <f>HYPERLINK("https://pbs.twimg.com/profile_images/1169308522003275777/_-LzVT9j.jpg","View")</f>
        <v>View</v>
      </c>
      <c r="V2902" s="8"/>
      <c r="W2902" s="8"/>
      <c r="X2902" s="8"/>
      <c r="Y2902" s="8"/>
      <c r="Z2902" s="8"/>
    </row>
    <row r="2903" spans="1:26" ht="12.75">
      <c r="A2903" s="11">
        <v>43747.183587962965</v>
      </c>
      <c r="B2903" s="12" t="str">
        <f>HYPERLINK("https://twitter.com/UyanRoda","@UyanRoda")</f>
        <v>@UyanRoda</v>
      </c>
      <c r="C2903" s="7" t="s">
        <v>17030</v>
      </c>
      <c r="D2903" s="7" t="s">
        <v>17031</v>
      </c>
      <c r="E2903" s="12" t="str">
        <f>HYPERLINK("https://twitter.com/UyanRoda/status/1181893161251160070","1181893161251160070")</f>
        <v>1181893161251160070</v>
      </c>
      <c r="F2903" s="14" t="s">
        <v>17032</v>
      </c>
      <c r="G2903" s="14" t="s">
        <v>17033</v>
      </c>
      <c r="H2903" s="8"/>
      <c r="I2903" s="15">
        <v>1</v>
      </c>
      <c r="J2903" s="15">
        <v>0</v>
      </c>
      <c r="K2903" s="12" t="str">
        <f>HYPERLINK("http://twitter.com/download/android","Twitter for Android")</f>
        <v>Twitter for Android</v>
      </c>
      <c r="L2903" s="16">
        <v>95</v>
      </c>
      <c r="M2903" s="16">
        <v>123</v>
      </c>
      <c r="N2903" s="16">
        <v>0</v>
      </c>
      <c r="O2903" s="17"/>
      <c r="P2903" s="18">
        <v>43535.996469907404</v>
      </c>
      <c r="Q2903" s="7" t="s">
        <v>17034</v>
      </c>
      <c r="R2903" s="7" t="s">
        <v>17035</v>
      </c>
      <c r="S2903" s="15"/>
      <c r="T2903" s="8"/>
      <c r="U2903" s="19" t="str">
        <f>HYPERLINK("https://pbs.twimg.com/profile_images/1129824637842542597/VNAizZpS.jpg","View")</f>
        <v>View</v>
      </c>
      <c r="V2903" s="8"/>
      <c r="W2903" s="8"/>
      <c r="X2903" s="8"/>
      <c r="Y2903" s="8"/>
      <c r="Z2903" s="8"/>
    </row>
    <row r="2904" spans="1:26" ht="12.75">
      <c r="A2904" s="11">
        <v>43747.183564814812</v>
      </c>
      <c r="B2904" s="12" t="str">
        <f>HYPERLINK("https://twitter.com/kunyesiz_1881","@kunyesiz_1881")</f>
        <v>@kunyesiz_1881</v>
      </c>
      <c r="C2904" s="7" t="s">
        <v>17036</v>
      </c>
      <c r="D2904" s="7" t="s">
        <v>17037</v>
      </c>
      <c r="E2904" s="12" t="str">
        <f>HYPERLINK("https://twitter.com/kunyesiz_1881/status/1181893151558119424","1181893151558119424")</f>
        <v>1181893151558119424</v>
      </c>
      <c r="F2904" s="8"/>
      <c r="G2904" s="14" t="s">
        <v>17038</v>
      </c>
      <c r="H2904" s="8"/>
      <c r="I2904" s="15">
        <v>0</v>
      </c>
      <c r="J2904" s="15">
        <v>0</v>
      </c>
      <c r="K2904" s="12" t="str">
        <f>HYPERLINK("http://twitter.com/download/iphone","Twitter for iPhone")</f>
        <v>Twitter for iPhone</v>
      </c>
      <c r="L2904" s="16">
        <v>120</v>
      </c>
      <c r="M2904" s="16">
        <v>1201</v>
      </c>
      <c r="N2904" s="16">
        <v>0</v>
      </c>
      <c r="O2904" s="17"/>
      <c r="P2904" s="18">
        <v>43683.439687499995</v>
      </c>
      <c r="Q2904" s="7"/>
      <c r="R2904" s="7" t="s">
        <v>17039</v>
      </c>
      <c r="S2904" s="14" t="s">
        <v>17040</v>
      </c>
      <c r="T2904" s="8"/>
      <c r="U2904" s="19" t="str">
        <f>HYPERLINK("https://pbs.twimg.com/profile_images/1177705898149629952/-AVFVXbw.jpg","View")</f>
        <v>View</v>
      </c>
      <c r="V2904" s="8"/>
      <c r="W2904" s="8"/>
      <c r="X2904" s="8"/>
      <c r="Y2904" s="8"/>
      <c r="Z2904" s="8"/>
    </row>
    <row r="2905" spans="1:26" ht="12.75">
      <c r="A2905" s="11">
        <v>43747.183483796296</v>
      </c>
      <c r="B2905" s="12" t="str">
        <f>HYPERLINK("https://twitter.com/SBeslik","@SBeslik")</f>
        <v>@SBeslik</v>
      </c>
      <c r="C2905" s="7" t="s">
        <v>17041</v>
      </c>
      <c r="D2905" s="7" t="s">
        <v>17042</v>
      </c>
      <c r="E2905" s="12" t="str">
        <f>HYPERLINK("https://twitter.com/SBeslik/status/1181893123716390912","1181893123716390912")</f>
        <v>1181893123716390912</v>
      </c>
      <c r="F2905" s="8"/>
      <c r="G2905" s="14" t="s">
        <v>17043</v>
      </c>
      <c r="H2905" s="8"/>
      <c r="I2905" s="15">
        <v>0</v>
      </c>
      <c r="J2905" s="15">
        <v>0</v>
      </c>
      <c r="K2905" s="12" t="str">
        <f>HYPERLINK("http://twitter.com/download/android","Twitter for Android")</f>
        <v>Twitter for Android</v>
      </c>
      <c r="L2905" s="16">
        <v>1810</v>
      </c>
      <c r="M2905" s="16">
        <v>1890</v>
      </c>
      <c r="N2905" s="16">
        <v>6</v>
      </c>
      <c r="O2905" s="17"/>
      <c r="P2905" s="18">
        <v>41802.503530092596</v>
      </c>
      <c r="Q2905" s="7"/>
      <c r="R2905" s="7" t="s">
        <v>17044</v>
      </c>
      <c r="S2905" s="8"/>
      <c r="T2905" s="8"/>
      <c r="U2905" s="19" t="str">
        <f>HYPERLINK("https://pbs.twimg.com/profile_images/567235272753307648/49uv-91w.jpeg","View")</f>
        <v>View</v>
      </c>
      <c r="V2905" s="8"/>
      <c r="W2905" s="8"/>
      <c r="X2905" s="8"/>
      <c r="Y2905" s="8"/>
      <c r="Z2905" s="8"/>
    </row>
    <row r="2906" spans="1:26" ht="12.75">
      <c r="A2906" s="11">
        <v>43747.183483796296</v>
      </c>
      <c r="B2906" s="12" t="str">
        <f>HYPERLINK("https://twitter.com/DemiralpHalisd1","@DemiralpHalisd1")</f>
        <v>@DemiralpHalisd1</v>
      </c>
      <c r="C2906" s="7" t="s">
        <v>17045</v>
      </c>
      <c r="D2906" s="7" t="s">
        <v>17046</v>
      </c>
      <c r="E2906" s="12" t="str">
        <f>HYPERLINK("https://twitter.com/DemiralpHalisd1/status/1181893122399309826","1181893122399309826")</f>
        <v>1181893122399309826</v>
      </c>
      <c r="F2906" s="8"/>
      <c r="G2906" s="15"/>
      <c r="H2906" s="8"/>
      <c r="I2906" s="15">
        <v>0</v>
      </c>
      <c r="J2906" s="15">
        <v>0</v>
      </c>
      <c r="K2906" s="12" t="str">
        <f>HYPERLINK("http://twitter.com","Twitter Web Client")</f>
        <v>Twitter Web Client</v>
      </c>
      <c r="L2906" s="16">
        <v>12</v>
      </c>
      <c r="M2906" s="16">
        <v>0</v>
      </c>
      <c r="N2906" s="16">
        <v>0</v>
      </c>
      <c r="O2906" s="17"/>
      <c r="P2906" s="18">
        <v>43639.670914351853</v>
      </c>
      <c r="Q2906" s="7" t="s">
        <v>13632</v>
      </c>
      <c r="R2906" s="7" t="s">
        <v>17047</v>
      </c>
      <c r="S2906" s="8"/>
      <c r="T2906" s="8"/>
      <c r="U2906" s="19" t="str">
        <f>HYPERLINK("https://pbs.twimg.com/profile_images/1143823287866351616/e9uhprR4.jpg","View")</f>
        <v>View</v>
      </c>
      <c r="V2906" s="8"/>
      <c r="W2906" s="8"/>
      <c r="X2906" s="8"/>
      <c r="Y2906" s="8"/>
      <c r="Z2906" s="8"/>
    </row>
    <row r="2907" spans="1:26" ht="12.75">
      <c r="A2907" s="11">
        <v>43747.183391203704</v>
      </c>
      <c r="B2907" s="12" t="str">
        <f>HYPERLINK("https://twitter.com/muallimmedia","@muallimmedia")</f>
        <v>@muallimmedia</v>
      </c>
      <c r="C2907" s="7" t="s">
        <v>17048</v>
      </c>
      <c r="D2907" s="7" t="s">
        <v>17049</v>
      </c>
      <c r="E2907" s="12" t="str">
        <f>HYPERLINK("https://twitter.com/muallimmedia/status/1181893089859981312","1181893089859981312")</f>
        <v>1181893089859981312</v>
      </c>
      <c r="F2907" s="8"/>
      <c r="G2907" s="15"/>
      <c r="H2907" s="8"/>
      <c r="I2907" s="15">
        <v>0</v>
      </c>
      <c r="J2907" s="15">
        <v>0</v>
      </c>
      <c r="K2907" s="12" t="str">
        <f>HYPERLINK("http://twitter.com/download/android","Twitter for Android")</f>
        <v>Twitter for Android</v>
      </c>
      <c r="L2907" s="16">
        <v>26</v>
      </c>
      <c r="M2907" s="16">
        <v>92</v>
      </c>
      <c r="N2907" s="16">
        <v>0</v>
      </c>
      <c r="O2907" s="17"/>
      <c r="P2907" s="18">
        <v>40937.476365740738</v>
      </c>
      <c r="Q2907" s="7"/>
      <c r="R2907" s="7" t="s">
        <v>17050</v>
      </c>
      <c r="S2907" s="8"/>
      <c r="T2907" s="8"/>
      <c r="U2907" s="19" t="str">
        <f>HYPERLINK("https://pbs.twimg.com/profile_images/2175206949/imagest86.jpg","View")</f>
        <v>View</v>
      </c>
      <c r="V2907" s="8"/>
      <c r="W2907" s="8"/>
      <c r="X2907" s="8"/>
      <c r="Y2907" s="8"/>
      <c r="Z2907" s="8"/>
    </row>
    <row r="2908" spans="1:26" ht="12.75">
      <c r="A2908" s="11">
        <v>43747.183310185181</v>
      </c>
      <c r="B2908" s="12" t="str">
        <f>HYPERLINK("https://twitter.com/metinkav_44","@metinkav_44")</f>
        <v>@metinkav_44</v>
      </c>
      <c r="C2908" s="7" t="s">
        <v>17051</v>
      </c>
      <c r="D2908" s="7" t="s">
        <v>17052</v>
      </c>
      <c r="E2908" s="12" t="str">
        <f>HYPERLINK("https://twitter.com/metinkav_44/status/1181893060705345536","1181893060705345536")</f>
        <v>1181893060705345536</v>
      </c>
      <c r="F2908" s="8"/>
      <c r="G2908" s="14" t="s">
        <v>17053</v>
      </c>
      <c r="H2908" s="8"/>
      <c r="I2908" s="15">
        <v>0</v>
      </c>
      <c r="J2908" s="15">
        <v>0</v>
      </c>
      <c r="K2908" s="12" t="str">
        <f>HYPERLINK("http://twitter.com/download/android","Twitter for Android")</f>
        <v>Twitter for Android</v>
      </c>
      <c r="L2908" s="16">
        <v>332</v>
      </c>
      <c r="M2908" s="16">
        <v>315</v>
      </c>
      <c r="N2908" s="16">
        <v>0</v>
      </c>
      <c r="O2908" s="17"/>
      <c r="P2908" s="18">
        <v>42377.525752314818</v>
      </c>
      <c r="Q2908" s="7"/>
      <c r="R2908" s="7"/>
      <c r="S2908" s="8"/>
      <c r="T2908" s="8"/>
      <c r="U2908" s="19" t="str">
        <f>HYPERLINK("https://pbs.twimg.com/profile_images/685563896481054721/ydG01_Xy.jpg","View")</f>
        <v>View</v>
      </c>
      <c r="V2908" s="8"/>
      <c r="W2908" s="8"/>
      <c r="X2908" s="8"/>
      <c r="Y2908" s="8"/>
      <c r="Z2908" s="8"/>
    </row>
    <row r="2909" spans="1:26" ht="12.75">
      <c r="A2909" s="11">
        <v>43747.183275462958</v>
      </c>
      <c r="B2909" s="12" t="str">
        <f>HYPERLINK("https://twitter.com/alimtunc","@alimtunc")</f>
        <v>@alimtunc</v>
      </c>
      <c r="C2909" s="7" t="s">
        <v>17054</v>
      </c>
      <c r="D2909" s="7" t="s">
        <v>17055</v>
      </c>
      <c r="E2909" s="12" t="str">
        <f>HYPERLINK("https://twitter.com/alimtunc/status/1181893047677792256","1181893047677792256")</f>
        <v>1181893047677792256</v>
      </c>
      <c r="F2909" s="15"/>
      <c r="G2909" s="7"/>
      <c r="H2909" s="8"/>
      <c r="I2909" s="15">
        <v>4</v>
      </c>
      <c r="J2909" s="15">
        <v>8</v>
      </c>
      <c r="K2909" s="12" t="str">
        <f>HYPERLINK("https://mobile.twitter.com","Twitter Web App")</f>
        <v>Twitter Web App</v>
      </c>
      <c r="L2909" s="16">
        <v>15659</v>
      </c>
      <c r="M2909" s="16">
        <v>4743</v>
      </c>
      <c r="N2909" s="16">
        <v>37</v>
      </c>
      <c r="O2909" s="17" t="s">
        <v>984</v>
      </c>
      <c r="P2909" s="18">
        <v>40595.595173611109</v>
      </c>
      <c r="Q2909" s="7" t="s">
        <v>17056</v>
      </c>
      <c r="R2909" s="7" t="s">
        <v>17057</v>
      </c>
      <c r="S2909" s="14" t="s">
        <v>17058</v>
      </c>
      <c r="T2909" s="8"/>
      <c r="U2909" s="19" t="str">
        <f>HYPERLINK("https://pbs.twimg.com/profile_images/1148263572285329408/cBiH9Nre.png","View")</f>
        <v>View</v>
      </c>
      <c r="V2909" s="8"/>
      <c r="W2909" s="8"/>
      <c r="X2909" s="8"/>
      <c r="Y2909" s="8"/>
      <c r="Z2909" s="8"/>
    </row>
    <row r="2910" spans="1:26" ht="12.75">
      <c r="A2910" s="11">
        <v>43747.183252314819</v>
      </c>
      <c r="B2910" s="12" t="str">
        <f>HYPERLINK("https://twitter.com/sevilirkibu","@sevilirkibu")</f>
        <v>@sevilirkibu</v>
      </c>
      <c r="C2910" s="7" t="s">
        <v>17059</v>
      </c>
      <c r="D2910" s="7" t="s">
        <v>17060</v>
      </c>
      <c r="E2910" s="12" t="str">
        <f>HYPERLINK("https://twitter.com/sevilirkibu/status/1181893040300003328","1181893040300003328")</f>
        <v>1181893040300003328</v>
      </c>
      <c r="F2910" s="8"/>
      <c r="G2910" s="14" t="s">
        <v>17061</v>
      </c>
      <c r="H2910" s="8"/>
      <c r="I2910" s="15">
        <v>0</v>
      </c>
      <c r="J2910" s="15">
        <v>0</v>
      </c>
      <c r="K2910" s="12" t="str">
        <f>HYPERLINK("http://twitter.com/download/iphone","Twitter for iPhone")</f>
        <v>Twitter for iPhone</v>
      </c>
      <c r="L2910" s="16">
        <v>90</v>
      </c>
      <c r="M2910" s="16">
        <v>43</v>
      </c>
      <c r="N2910" s="16">
        <v>0</v>
      </c>
      <c r="O2910" s="17"/>
      <c r="P2910" s="18">
        <v>41279.37259259259</v>
      </c>
      <c r="Q2910" s="7" t="s">
        <v>17062</v>
      </c>
      <c r="R2910" s="7" t="s">
        <v>17063</v>
      </c>
      <c r="S2910" s="8"/>
      <c r="T2910" s="8"/>
      <c r="U2910" s="19" t="str">
        <f>HYPERLINK("https://pbs.twimg.com/profile_images/967010554379427840/a9SmKl0A.jpg","View")</f>
        <v>View</v>
      </c>
      <c r="V2910" s="8"/>
      <c r="W2910" s="8"/>
      <c r="X2910" s="8"/>
      <c r="Y2910" s="8"/>
      <c r="Z2910" s="8"/>
    </row>
    <row r="2911" spans="1:26" ht="12.75">
      <c r="A2911" s="11">
        <v>43747.183229166665</v>
      </c>
      <c r="B2911" s="12" t="str">
        <f>HYPERLINK("https://twitter.com/sanattvpro","@sanattvpro")</f>
        <v>@sanattvpro</v>
      </c>
      <c r="C2911" s="7" t="s">
        <v>17064</v>
      </c>
      <c r="D2911" s="7" t="s">
        <v>17065</v>
      </c>
      <c r="E2911" s="12" t="str">
        <f>HYPERLINK("https://twitter.com/sanattvpro/status/1181893030493769728","1181893030493769728")</f>
        <v>1181893030493769728</v>
      </c>
      <c r="F2911" s="14" t="s">
        <v>17066</v>
      </c>
      <c r="G2911" s="15"/>
      <c r="H2911" s="8"/>
      <c r="I2911" s="15">
        <v>0</v>
      </c>
      <c r="J2911" s="15">
        <v>1</v>
      </c>
      <c r="K2911" s="12" t="str">
        <f>HYPERLINK("https://mobile.twitter.com","Twitter Web App")</f>
        <v>Twitter Web App</v>
      </c>
      <c r="L2911" s="16">
        <v>3</v>
      </c>
      <c r="M2911" s="16">
        <v>0</v>
      </c>
      <c r="N2911" s="16">
        <v>0</v>
      </c>
      <c r="O2911" s="17"/>
      <c r="P2911" s="18">
        <v>43730.532523148147</v>
      </c>
      <c r="Q2911" s="7"/>
      <c r="R2911" s="7" t="s">
        <v>17067</v>
      </c>
      <c r="S2911" s="14" t="s">
        <v>17068</v>
      </c>
      <c r="T2911" s="8"/>
      <c r="U2911" s="19" t="str">
        <f>HYPERLINK("https://pbs.twimg.com/profile_images/1180166227077091331/GQBCJxQP.jpg","View")</f>
        <v>View</v>
      </c>
      <c r="V2911" s="8"/>
      <c r="W2911" s="8"/>
      <c r="X2911" s="8"/>
      <c r="Y2911" s="8"/>
      <c r="Z2911" s="8"/>
    </row>
    <row r="2912" spans="1:26" ht="12.75">
      <c r="A2912" s="11">
        <v>43747.183124999996</v>
      </c>
      <c r="B2912" s="12" t="str">
        <f>HYPERLINK("https://twitter.com/pesimik","@pesimik")</f>
        <v>@pesimik</v>
      </c>
      <c r="C2912" s="7" t="s">
        <v>17069</v>
      </c>
      <c r="D2912" s="7" t="s">
        <v>17070</v>
      </c>
      <c r="E2912" s="12" t="str">
        <f>HYPERLINK("https://twitter.com/pesimik/status/1181892991771926529","1181892991771926529")</f>
        <v>1181892991771926529</v>
      </c>
      <c r="F2912" s="8"/>
      <c r="G2912" s="7"/>
      <c r="H2912" s="8"/>
      <c r="I2912" s="15">
        <v>0</v>
      </c>
      <c r="J2912" s="15">
        <v>0</v>
      </c>
      <c r="K2912" s="12" t="str">
        <f>HYPERLINK("https://mobile.twitter.com","Twitter Web App")</f>
        <v>Twitter Web App</v>
      </c>
      <c r="L2912" s="16">
        <v>11</v>
      </c>
      <c r="M2912" s="16">
        <v>276</v>
      </c>
      <c r="N2912" s="16">
        <v>0</v>
      </c>
      <c r="O2912" s="17"/>
      <c r="P2912" s="18">
        <v>43487.026828703703</v>
      </c>
      <c r="Q2912" s="7" t="s">
        <v>313</v>
      </c>
      <c r="R2912" s="7" t="s">
        <v>17071</v>
      </c>
      <c r="S2912" s="8"/>
      <c r="T2912" s="8"/>
      <c r="U2912" s="19" t="str">
        <f>HYPERLINK("https://pbs.twimg.com/profile_images/1126188973305495554/a3tHBtAt.jpg","View")</f>
        <v>View</v>
      </c>
      <c r="V2912" s="8"/>
      <c r="W2912" s="8"/>
      <c r="X2912" s="8"/>
      <c r="Y2912" s="8"/>
      <c r="Z2912" s="8"/>
    </row>
    <row r="2913" spans="1:26" ht="12.75">
      <c r="A2913" s="11">
        <v>43747.183009259257</v>
      </c>
      <c r="B2913" s="12" t="str">
        <f>HYPERLINK("https://twitter.com/53_ben_yoruldum","@53_ben_yoruldum")</f>
        <v>@53_ben_yoruldum</v>
      </c>
      <c r="C2913" s="7" t="s">
        <v>17072</v>
      </c>
      <c r="D2913" s="7" t="s">
        <v>17073</v>
      </c>
      <c r="E2913" s="12" t="str">
        <f>HYPERLINK("https://twitter.com/53_ben_yoruldum/status/1181892950797754368","1181892950797754368")</f>
        <v>1181892950797754368</v>
      </c>
      <c r="F2913" s="8"/>
      <c r="G2913" s="14" t="s">
        <v>17074</v>
      </c>
      <c r="H2913" s="8"/>
      <c r="I2913" s="15">
        <v>3</v>
      </c>
      <c r="J2913" s="15">
        <v>16</v>
      </c>
      <c r="K2913" s="12" t="str">
        <f>HYPERLINK("http://twitter.com/download/android","Twitter for Android")</f>
        <v>Twitter for Android</v>
      </c>
      <c r="L2913" s="16">
        <v>10493</v>
      </c>
      <c r="M2913" s="16">
        <v>10281</v>
      </c>
      <c r="N2913" s="16">
        <v>8</v>
      </c>
      <c r="O2913" s="17"/>
      <c r="P2913" s="18">
        <v>42910.22865740741</v>
      </c>
      <c r="Q2913" s="7" t="s">
        <v>200</v>
      </c>
      <c r="R2913" s="7" t="s">
        <v>17075</v>
      </c>
      <c r="S2913" s="8"/>
      <c r="T2913" s="8"/>
      <c r="U2913" s="19" t="str">
        <f>HYPERLINK("https://pbs.twimg.com/profile_images/1056431300834418688/USZ9osby.jpg","View")</f>
        <v>View</v>
      </c>
      <c r="V2913" s="8"/>
      <c r="W2913" s="8"/>
      <c r="X2913" s="8"/>
      <c r="Y2913" s="8"/>
      <c r="Z2913" s="8"/>
    </row>
    <row r="2914" spans="1:26" ht="12.75">
      <c r="A2914" s="11">
        <v>43747.182997685188</v>
      </c>
      <c r="B2914" s="12" t="str">
        <f>HYPERLINK("https://twitter.com/mooseIvr","@mooseIvr")</f>
        <v>@mooseIvr</v>
      </c>
      <c r="C2914" s="7" t="s">
        <v>17076</v>
      </c>
      <c r="D2914" s="7" t="s">
        <v>160</v>
      </c>
      <c r="E2914" s="12" t="str">
        <f>HYPERLINK("https://twitter.com/mooseIvr/status/1181892944405651458","1181892944405651458")</f>
        <v>1181892944405651458</v>
      </c>
      <c r="F2914" s="8"/>
      <c r="G2914" s="14" t="s">
        <v>17077</v>
      </c>
      <c r="H2914" s="8"/>
      <c r="I2914" s="15">
        <v>0</v>
      </c>
      <c r="J2914" s="15">
        <v>0</v>
      </c>
      <c r="K2914" s="12" t="str">
        <f>HYPERLINK("http://twitter.com/download/iphone","Twitter for iPhone")</f>
        <v>Twitter for iPhone</v>
      </c>
      <c r="L2914" s="16">
        <v>85</v>
      </c>
      <c r="M2914" s="16">
        <v>100</v>
      </c>
      <c r="N2914" s="16">
        <v>0</v>
      </c>
      <c r="O2914" s="17"/>
      <c r="P2914" s="18">
        <v>42608.372187500005</v>
      </c>
      <c r="Q2914" s="7"/>
      <c r="R2914" s="7" t="s">
        <v>17078</v>
      </c>
      <c r="S2914" s="14" t="s">
        <v>17079</v>
      </c>
      <c r="T2914" s="8"/>
      <c r="U2914" s="19" t="str">
        <f>HYPERLINK("https://pbs.twimg.com/profile_images/1176669422142070785/SPPFtJhY.jpg","View")</f>
        <v>View</v>
      </c>
      <c r="V2914" s="8"/>
      <c r="W2914" s="8"/>
      <c r="X2914" s="8"/>
      <c r="Y2914" s="8"/>
      <c r="Z2914" s="8"/>
    </row>
    <row r="2915" spans="1:26" ht="12.75">
      <c r="A2915" s="11">
        <v>43747.182986111111</v>
      </c>
      <c r="B2915" s="12" t="str">
        <f>HYPERLINK("https://twitter.com/ergokhansez","@ergokhansez")</f>
        <v>@ergokhansez</v>
      </c>
      <c r="C2915" s="7" t="s">
        <v>17080</v>
      </c>
      <c r="D2915" s="7" t="s">
        <v>17081</v>
      </c>
      <c r="E2915" s="12" t="str">
        <f>HYPERLINK("https://twitter.com/ergokhansez/status/1181892942102970369","1181892942102970369")</f>
        <v>1181892942102970369</v>
      </c>
      <c r="F2915" s="8"/>
      <c r="G2915" s="7"/>
      <c r="H2915" s="8"/>
      <c r="I2915" s="15">
        <v>0</v>
      </c>
      <c r="J2915" s="15">
        <v>0</v>
      </c>
      <c r="K2915" s="12" t="str">
        <f>HYPERLINK("http://twitter.com/download/android","Twitter for Android")</f>
        <v>Twitter for Android</v>
      </c>
      <c r="L2915" s="16">
        <v>506</v>
      </c>
      <c r="M2915" s="16">
        <v>951</v>
      </c>
      <c r="N2915" s="16">
        <v>1</v>
      </c>
      <c r="O2915" s="17"/>
      <c r="P2915" s="18">
        <v>40352.560115740736</v>
      </c>
      <c r="Q2915" s="7" t="s">
        <v>1622</v>
      </c>
      <c r="R2915" s="7" t="s">
        <v>17082</v>
      </c>
      <c r="S2915" s="8"/>
      <c r="T2915" s="8"/>
      <c r="U2915" s="19" t="str">
        <f>HYPERLINK("https://pbs.twimg.com/profile_images/1062752945312284673/MKBms65v.jpg","View")</f>
        <v>View</v>
      </c>
      <c r="V2915" s="8"/>
      <c r="W2915" s="8"/>
      <c r="X2915" s="8"/>
      <c r="Y2915" s="8"/>
      <c r="Z2915" s="8"/>
    </row>
    <row r="2916" spans="1:26" ht="12.75">
      <c r="A2916" s="11">
        <v>43747.182974537034</v>
      </c>
      <c r="B2916" s="12" t="str">
        <f>HYPERLINK("https://twitter.com/sahicikukla","@sahicikukla")</f>
        <v>@sahicikukla</v>
      </c>
      <c r="C2916" s="7" t="s">
        <v>17083</v>
      </c>
      <c r="D2916" s="7" t="s">
        <v>17084</v>
      </c>
      <c r="E2916" s="12" t="str">
        <f>HYPERLINK("https://twitter.com/sahicikukla/status/1181892936688119809","1181892936688119809")</f>
        <v>1181892936688119809</v>
      </c>
      <c r="F2916" s="8"/>
      <c r="G2916" s="7"/>
      <c r="H2916" s="8"/>
      <c r="I2916" s="15">
        <v>0</v>
      </c>
      <c r="J2916" s="15">
        <v>0</v>
      </c>
      <c r="K2916" s="12" t="str">
        <f>HYPERLINK("https://mobile.twitter.com","Twitter Web App")</f>
        <v>Twitter Web App</v>
      </c>
      <c r="L2916" s="16">
        <v>28</v>
      </c>
      <c r="M2916" s="16">
        <v>70</v>
      </c>
      <c r="N2916" s="16">
        <v>0</v>
      </c>
      <c r="O2916" s="17"/>
      <c r="P2916" s="18">
        <v>42595.588946759264</v>
      </c>
      <c r="Q2916" s="7" t="s">
        <v>668</v>
      </c>
      <c r="R2916" s="7" t="s">
        <v>17085</v>
      </c>
      <c r="S2916" s="8"/>
      <c r="T2916" s="8"/>
      <c r="U2916" s="19" t="str">
        <f>HYPERLINK("https://pbs.twimg.com/profile_images/1176969170178777089/ku3uE4Ti.jpg","View")</f>
        <v>View</v>
      </c>
      <c r="V2916" s="8"/>
      <c r="W2916" s="8"/>
      <c r="X2916" s="8"/>
      <c r="Y2916" s="8"/>
      <c r="Z2916" s="8"/>
    </row>
    <row r="2917" spans="1:26" ht="12.75">
      <c r="A2917" s="11">
        <v>43747.182928240742</v>
      </c>
      <c r="B2917" s="12" t="str">
        <f>HYPERLINK("https://twitter.com/hesabimresmidir","@hesabimresmidir")</f>
        <v>@hesabimresmidir</v>
      </c>
      <c r="C2917" s="7" t="s">
        <v>17086</v>
      </c>
      <c r="D2917" s="7" t="s">
        <v>160</v>
      </c>
      <c r="E2917" s="12" t="str">
        <f>HYPERLINK("https://twitter.com/hesabimresmidir/status/1181892922075226114","1181892922075226114")</f>
        <v>1181892922075226114</v>
      </c>
      <c r="F2917" s="8"/>
      <c r="G2917" s="15"/>
      <c r="H2917" s="8"/>
      <c r="I2917" s="15">
        <v>0</v>
      </c>
      <c r="J2917" s="15">
        <v>0</v>
      </c>
      <c r="K2917" s="12" t="str">
        <f>HYPERLINK("http://twitter.com/download/android","Twitter for Android")</f>
        <v>Twitter for Android</v>
      </c>
      <c r="L2917" s="16">
        <v>21</v>
      </c>
      <c r="M2917" s="16">
        <v>12</v>
      </c>
      <c r="N2917" s="16">
        <v>0</v>
      </c>
      <c r="O2917" s="17"/>
      <c r="P2917" s="18">
        <v>41838.313738425924</v>
      </c>
      <c r="Q2917" s="7" t="s">
        <v>17087</v>
      </c>
      <c r="R2917" s="7" t="s">
        <v>17088</v>
      </c>
      <c r="S2917" s="14" t="s">
        <v>17089</v>
      </c>
      <c r="T2917" s="8"/>
      <c r="U2917" s="19" t="str">
        <f>HYPERLINK("https://pbs.twimg.com/profile_images/1148325620893532160/FFX6wtIw.jpg","View")</f>
        <v>View</v>
      </c>
      <c r="V2917" s="8"/>
      <c r="W2917" s="8"/>
      <c r="X2917" s="8"/>
      <c r="Y2917" s="8"/>
      <c r="Z2917" s="8"/>
    </row>
    <row r="2918" spans="1:26" ht="12.75">
      <c r="A2918" s="11">
        <v>43747.18277777778</v>
      </c>
      <c r="B2918" s="12" t="str">
        <f>HYPERLINK("https://twitter.com/sweetboyRY","@sweetboyRY")</f>
        <v>@sweetboyRY</v>
      </c>
      <c r="C2918" s="7" t="s">
        <v>17090</v>
      </c>
      <c r="D2918" s="7" t="s">
        <v>17091</v>
      </c>
      <c r="E2918" s="12" t="str">
        <f>HYPERLINK("https://twitter.com/sweetboyRY/status/1181892867486343170","1181892867486343170")</f>
        <v>1181892867486343170</v>
      </c>
      <c r="F2918" s="8"/>
      <c r="G2918" s="15"/>
      <c r="H2918" s="8"/>
      <c r="I2918" s="15">
        <v>0</v>
      </c>
      <c r="J2918" s="15">
        <v>0</v>
      </c>
      <c r="K2918" s="12" t="str">
        <f>HYPERLINK("http://twitter.com/download/android","Twitter for Android")</f>
        <v>Twitter for Android</v>
      </c>
      <c r="L2918" s="16">
        <v>83</v>
      </c>
      <c r="M2918" s="16">
        <v>200</v>
      </c>
      <c r="N2918" s="16">
        <v>0</v>
      </c>
      <c r="O2918" s="17"/>
      <c r="P2918" s="18">
        <v>43723.152418981481</v>
      </c>
      <c r="Q2918" s="7" t="s">
        <v>17092</v>
      </c>
      <c r="R2918" s="7" t="s">
        <v>17093</v>
      </c>
      <c r="S2918" s="8"/>
      <c r="T2918" s="8"/>
      <c r="U2918" s="19" t="str">
        <f>HYPERLINK("https://pbs.twimg.com/profile_images/1173184860200083456/UatJTDKP.jpg","View")</f>
        <v>View</v>
      </c>
      <c r="V2918" s="8"/>
      <c r="W2918" s="8"/>
      <c r="X2918" s="8"/>
      <c r="Y2918" s="8"/>
      <c r="Z2918" s="8"/>
    </row>
    <row r="2919" spans="1:26" ht="12.75">
      <c r="A2919" s="11">
        <v>43747.182766203703</v>
      </c>
      <c r="B2919" s="12" t="str">
        <f>HYPERLINK("https://twitter.com/okaasoyledim","@okaasoyledim")</f>
        <v>@okaasoyledim</v>
      </c>
      <c r="C2919" s="7" t="s">
        <v>17094</v>
      </c>
      <c r="D2919" s="7" t="s">
        <v>17095</v>
      </c>
      <c r="E2919" s="12" t="str">
        <f>HYPERLINK("https://twitter.com/okaasoyledim/status/1181892860129492992","1181892860129492992")</f>
        <v>1181892860129492992</v>
      </c>
      <c r="F2919" s="8"/>
      <c r="G2919" s="14" t="s">
        <v>17096</v>
      </c>
      <c r="H2919" s="8"/>
      <c r="I2919" s="15">
        <v>0</v>
      </c>
      <c r="J2919" s="15">
        <v>1</v>
      </c>
      <c r="K2919" s="12" t="str">
        <f>HYPERLINK("http://twitter.com/download/android","Twitter for Android")</f>
        <v>Twitter for Android</v>
      </c>
      <c r="L2919" s="16">
        <v>157</v>
      </c>
      <c r="M2919" s="16">
        <v>542</v>
      </c>
      <c r="N2919" s="16">
        <v>0</v>
      </c>
      <c r="O2919" s="17"/>
      <c r="P2919" s="18">
        <v>41215.507986111115</v>
      </c>
      <c r="Q2919" s="7" t="s">
        <v>860</v>
      </c>
      <c r="R2919" s="7"/>
      <c r="S2919" s="8"/>
      <c r="T2919" s="8"/>
      <c r="U2919" s="19" t="str">
        <f>HYPERLINK("https://pbs.twimg.com/profile_images/492024302280404992/L98_aTCD.jpeg","View")</f>
        <v>View</v>
      </c>
      <c r="V2919" s="8"/>
      <c r="W2919" s="8"/>
      <c r="X2919" s="8"/>
      <c r="Y2919" s="8"/>
      <c r="Z2919" s="8"/>
    </row>
    <row r="2920" spans="1:26" ht="12.75">
      <c r="A2920" s="11">
        <v>43747.182627314818</v>
      </c>
      <c r="B2920" s="12" t="str">
        <f>HYPERLINK("https://twitter.com/turktelakkisi","@turktelakkisi")</f>
        <v>@turktelakkisi</v>
      </c>
      <c r="C2920" s="7" t="s">
        <v>17097</v>
      </c>
      <c r="D2920" s="7" t="s">
        <v>17098</v>
      </c>
      <c r="E2920" s="12" t="str">
        <f>HYPERLINK("https://twitter.com/turktelakkisi/status/1181892810020151296","1181892810020151296")</f>
        <v>1181892810020151296</v>
      </c>
      <c r="F2920" s="8"/>
      <c r="G2920" s="14" t="s">
        <v>17099</v>
      </c>
      <c r="H2920" s="8"/>
      <c r="I2920" s="15">
        <v>1</v>
      </c>
      <c r="J2920" s="15">
        <v>2</v>
      </c>
      <c r="K2920" s="12" t="str">
        <f>HYPERLINK("https://mobile.twitter.com","Twitter Web App")</f>
        <v>Twitter Web App</v>
      </c>
      <c r="L2920" s="16">
        <v>255</v>
      </c>
      <c r="M2920" s="16">
        <v>262</v>
      </c>
      <c r="N2920" s="16">
        <v>0</v>
      </c>
      <c r="O2920" s="17"/>
      <c r="P2920" s="18">
        <v>43695.616342592592</v>
      </c>
      <c r="Q2920" s="7"/>
      <c r="R2920" s="7" t="s">
        <v>17100</v>
      </c>
      <c r="S2920" s="8"/>
      <c r="T2920" s="8"/>
      <c r="U2920" s="19" t="str">
        <f>HYPERLINK("https://pbs.twimg.com/profile_images/1163380416704843777/q4NMCPTT.jpg","View")</f>
        <v>View</v>
      </c>
      <c r="V2920" s="8"/>
      <c r="W2920" s="8"/>
      <c r="X2920" s="8"/>
      <c r="Y2920" s="8"/>
      <c r="Z2920" s="8"/>
    </row>
    <row r="2921" spans="1:26" ht="12.75">
      <c r="A2921" s="11">
        <v>43747.182349537034</v>
      </c>
      <c r="B2921" s="12" t="str">
        <f>HYPERLINK("https://twitter.com/TahaTaylanTopal","@TahaTaylanTopal")</f>
        <v>@TahaTaylanTopal</v>
      </c>
      <c r="C2921" s="7" t="s">
        <v>17101</v>
      </c>
      <c r="D2921" s="7" t="s">
        <v>17102</v>
      </c>
      <c r="E2921" s="12" t="str">
        <f>HYPERLINK("https://twitter.com/TahaTaylanTopal/status/1181892710564814848","1181892710564814848")</f>
        <v>1181892710564814848</v>
      </c>
      <c r="F2921" s="8"/>
      <c r="G2921" s="14" t="s">
        <v>17103</v>
      </c>
      <c r="H2921" s="8"/>
      <c r="I2921" s="15">
        <v>0</v>
      </c>
      <c r="J2921" s="15">
        <v>3</v>
      </c>
      <c r="K2921" s="12" t="str">
        <f>HYPERLINK("https://mobile.twitter.com","Twitter Web App")</f>
        <v>Twitter Web App</v>
      </c>
      <c r="L2921" s="16">
        <v>1701</v>
      </c>
      <c r="M2921" s="16">
        <v>1841</v>
      </c>
      <c r="N2921" s="16">
        <v>0</v>
      </c>
      <c r="O2921" s="17"/>
      <c r="P2921" s="18">
        <v>43370.11824074074</v>
      </c>
      <c r="Q2921" s="7" t="s">
        <v>313</v>
      </c>
      <c r="R2921" s="7" t="s">
        <v>17104</v>
      </c>
      <c r="S2921" s="8"/>
      <c r="T2921" s="8"/>
      <c r="U2921" s="19" t="str">
        <f>HYPERLINK("https://pbs.twimg.com/profile_images/1180084916370989056/P8RAs_H4.jpg","View")</f>
        <v>View</v>
      </c>
      <c r="V2921" s="8"/>
      <c r="W2921" s="8"/>
      <c r="X2921" s="8"/>
      <c r="Y2921" s="8"/>
      <c r="Z2921" s="8"/>
    </row>
    <row r="2922" spans="1:26" ht="12.75">
      <c r="A2922" s="11">
        <v>43747.182187500002</v>
      </c>
      <c r="B2922" s="12" t="str">
        <f>HYPERLINK("https://twitter.com/AtAvratSiha","@AtAvratSiha")</f>
        <v>@AtAvratSiha</v>
      </c>
      <c r="C2922" s="7" t="s">
        <v>17105</v>
      </c>
      <c r="D2922" s="7" t="s">
        <v>17106</v>
      </c>
      <c r="E2922" s="12" t="str">
        <f>HYPERLINK("https://twitter.com/AtAvratSiha/status/1181892653815861248","1181892653815861248")</f>
        <v>1181892653815861248</v>
      </c>
      <c r="F2922" s="15"/>
      <c r="G2922" s="14" t="s">
        <v>17107</v>
      </c>
      <c r="H2922" s="8"/>
      <c r="I2922" s="15">
        <v>0</v>
      </c>
      <c r="J2922" s="15">
        <v>2</v>
      </c>
      <c r="K2922" s="12" t="str">
        <f>HYPERLINK("http://twitter.com/download/android","Twitter for Android")</f>
        <v>Twitter for Android</v>
      </c>
      <c r="L2922" s="16">
        <v>379</v>
      </c>
      <c r="M2922" s="16">
        <v>383</v>
      </c>
      <c r="N2922" s="16">
        <v>0</v>
      </c>
      <c r="O2922" s="17"/>
      <c r="P2922" s="18">
        <v>43674.031655092593</v>
      </c>
      <c r="Q2922" s="7"/>
      <c r="R2922" s="7" t="s">
        <v>17108</v>
      </c>
      <c r="S2922" s="8"/>
      <c r="T2922" s="8"/>
      <c r="U2922" s="19" t="str">
        <f>HYPERLINK("https://pbs.twimg.com/profile_images/1159307880337727495/aajrziT3.jpg","View")</f>
        <v>View</v>
      </c>
      <c r="V2922" s="8"/>
      <c r="W2922" s="8"/>
      <c r="X2922" s="8"/>
      <c r="Y2922" s="8"/>
      <c r="Z2922" s="8"/>
    </row>
    <row r="2923" spans="1:26" ht="12.75">
      <c r="A2923" s="11">
        <v>43747.182037037041</v>
      </c>
      <c r="B2923" s="12" t="str">
        <f>HYPERLINK("https://twitter.com/BehiyeNasircan","@BehiyeNasircan")</f>
        <v>@BehiyeNasircan</v>
      </c>
      <c r="C2923" s="7" t="s">
        <v>17109</v>
      </c>
      <c r="D2923" s="7" t="s">
        <v>17110</v>
      </c>
      <c r="E2923" s="12" t="str">
        <f>HYPERLINK("https://twitter.com/BehiyeNasircan/status/1181892598547566592","1181892598547566592")</f>
        <v>1181892598547566592</v>
      </c>
      <c r="F2923" s="8"/>
      <c r="G2923" s="14" t="s">
        <v>17111</v>
      </c>
      <c r="H2923" s="8"/>
      <c r="I2923" s="15">
        <v>0</v>
      </c>
      <c r="J2923" s="15">
        <v>0</v>
      </c>
      <c r="K2923" s="12" t="str">
        <f>HYPERLINK("http://twitter.com","Twitter Web Client")</f>
        <v>Twitter Web Client</v>
      </c>
      <c r="L2923" s="16">
        <v>5</v>
      </c>
      <c r="M2923" s="16">
        <v>0</v>
      </c>
      <c r="N2923" s="16">
        <v>1</v>
      </c>
      <c r="O2923" s="17"/>
      <c r="P2923" s="18">
        <v>43683.808796296296</v>
      </c>
      <c r="Q2923" s="7" t="s">
        <v>4987</v>
      </c>
      <c r="R2923" s="7" t="s">
        <v>17112</v>
      </c>
      <c r="S2923" s="8"/>
      <c r="T2923" s="8"/>
      <c r="U2923" s="19" t="str">
        <f>HYPERLINK("https://pbs.twimg.com/profile_images/1167217381791457287/WjKuAwdv.jpg","View")</f>
        <v>View</v>
      </c>
      <c r="V2923" s="8"/>
      <c r="W2923" s="8"/>
      <c r="X2923" s="8"/>
      <c r="Y2923" s="8"/>
      <c r="Z2923" s="8"/>
    </row>
    <row r="2924" spans="1:26" ht="12.75">
      <c r="A2924" s="11">
        <v>43747.181909722218</v>
      </c>
      <c r="B2924" s="12" t="str">
        <f>HYPERLINK("https://twitter.com/55denizci","@55denizci")</f>
        <v>@55denizci</v>
      </c>
      <c r="C2924" s="7" t="s">
        <v>17113</v>
      </c>
      <c r="D2924" s="7" t="s">
        <v>17114</v>
      </c>
      <c r="E2924" s="12" t="str">
        <f>HYPERLINK("https://twitter.com/55denizci/status/1181892550346657794","1181892550346657794")</f>
        <v>1181892550346657794</v>
      </c>
      <c r="F2924" s="8"/>
      <c r="G2924" s="14" t="s">
        <v>17115</v>
      </c>
      <c r="H2924" s="8"/>
      <c r="I2924" s="15">
        <v>0</v>
      </c>
      <c r="J2924" s="15">
        <v>2</v>
      </c>
      <c r="K2924" s="12" t="str">
        <f>HYPERLINK("http://twitter.com/download/android","Twitter for Android")</f>
        <v>Twitter for Android</v>
      </c>
      <c r="L2924" s="16">
        <v>136</v>
      </c>
      <c r="M2924" s="16">
        <v>35</v>
      </c>
      <c r="N2924" s="16">
        <v>0</v>
      </c>
      <c r="O2924" s="17"/>
      <c r="P2924" s="18">
        <v>41057.316527777773</v>
      </c>
      <c r="Q2924" s="7"/>
      <c r="R2924" s="7" t="s">
        <v>807</v>
      </c>
      <c r="S2924" s="8"/>
      <c r="T2924" s="8"/>
      <c r="U2924" s="19" t="str">
        <f>HYPERLINK("https://pbs.twimg.com/profile_images/1179103850193674240/6LD1GsW1.jpg","View")</f>
        <v>View</v>
      </c>
      <c r="V2924" s="8"/>
      <c r="W2924" s="8"/>
      <c r="X2924" s="8"/>
      <c r="Y2924" s="8"/>
      <c r="Z2924" s="8"/>
    </row>
    <row r="2925" spans="1:26" ht="12.75">
      <c r="A2925" s="11">
        <v>43747.181770833333</v>
      </c>
      <c r="B2925" s="12" t="str">
        <f>HYPERLINK("https://twitter.com/benfurkansteel","@benfurkansteel")</f>
        <v>@benfurkansteel</v>
      </c>
      <c r="C2925" s="7" t="s">
        <v>17116</v>
      </c>
      <c r="D2925" s="7" t="s">
        <v>160</v>
      </c>
      <c r="E2925" s="12" t="str">
        <f>HYPERLINK("https://twitter.com/benfurkansteel/status/1181892501818548224","1181892501818548224")</f>
        <v>1181892501818548224</v>
      </c>
      <c r="F2925" s="8"/>
      <c r="G2925" s="14" t="s">
        <v>17117</v>
      </c>
      <c r="H2925" s="8"/>
      <c r="I2925" s="15">
        <v>0</v>
      </c>
      <c r="J2925" s="15">
        <v>0</v>
      </c>
      <c r="K2925" s="12" t="str">
        <f>HYPERLINK("http://twitter.com/download/android","Twitter for Android")</f>
        <v>Twitter for Android</v>
      </c>
      <c r="L2925" s="16">
        <v>28</v>
      </c>
      <c r="M2925" s="16">
        <v>49</v>
      </c>
      <c r="N2925" s="16">
        <v>0</v>
      </c>
      <c r="O2925" s="17"/>
      <c r="P2925" s="18">
        <v>43021.520416666666</v>
      </c>
      <c r="Q2925" s="7" t="s">
        <v>17118</v>
      </c>
      <c r="R2925" s="7" t="s">
        <v>17119</v>
      </c>
      <c r="S2925" s="14" t="s">
        <v>17120</v>
      </c>
      <c r="T2925" s="8"/>
      <c r="U2925" s="19" t="str">
        <f>HYPERLINK("https://pbs.twimg.com/profile_images/1151222512723877888/OgEZFjpw.jpg","View")</f>
        <v>View</v>
      </c>
      <c r="V2925" s="8"/>
      <c r="W2925" s="8"/>
      <c r="X2925" s="8"/>
      <c r="Y2925" s="8"/>
      <c r="Z2925" s="8"/>
    </row>
    <row r="2926" spans="1:26" ht="12.75">
      <c r="A2926" s="11">
        <v>43747.18173611111</v>
      </c>
      <c r="B2926" s="12" t="str">
        <f>HYPERLINK("https://twitter.com/alphashine34","@alphashine34")</f>
        <v>@alphashine34</v>
      </c>
      <c r="C2926" s="7" t="s">
        <v>17121</v>
      </c>
      <c r="D2926" s="7" t="s">
        <v>17122</v>
      </c>
      <c r="E2926" s="12" t="str">
        <f>HYPERLINK("https://twitter.com/alphashine34/status/1181892487625035784","1181892487625035784")</f>
        <v>1181892487625035784</v>
      </c>
      <c r="F2926" s="8"/>
      <c r="G2926" s="15"/>
      <c r="H2926" s="8"/>
      <c r="I2926" s="15">
        <v>0</v>
      </c>
      <c r="J2926" s="15">
        <v>0</v>
      </c>
      <c r="K2926" s="12" t="str">
        <f>HYPERLINK("https://mobile.twitter.com","Twitter Web App")</f>
        <v>Twitter Web App</v>
      </c>
      <c r="L2926" s="16">
        <v>50</v>
      </c>
      <c r="M2926" s="16">
        <v>196</v>
      </c>
      <c r="N2926" s="16">
        <v>0</v>
      </c>
      <c r="O2926" s="17"/>
      <c r="P2926" s="18">
        <v>42768.604166666672</v>
      </c>
      <c r="Q2926" s="7" t="s">
        <v>14904</v>
      </c>
      <c r="R2926" s="7"/>
      <c r="S2926" s="14" t="s">
        <v>17123</v>
      </c>
      <c r="T2926" s="8"/>
      <c r="U2926" s="19" t="str">
        <f>HYPERLINK("https://pbs.twimg.com/profile_images/1159982698125045761/4PaJWz21.jpg","View")</f>
        <v>View</v>
      </c>
      <c r="V2926" s="8"/>
      <c r="W2926" s="8"/>
      <c r="X2926" s="8"/>
      <c r="Y2926" s="8"/>
      <c r="Z2926" s="8"/>
    </row>
    <row r="2927" spans="1:26" ht="12.75">
      <c r="A2927" s="11">
        <v>43747.181701388894</v>
      </c>
      <c r="B2927" s="12" t="str">
        <f>HYPERLINK("https://twitter.com/Quzilqurt3","@Quzilqurt3")</f>
        <v>@Quzilqurt3</v>
      </c>
      <c r="C2927" s="7" t="s">
        <v>17124</v>
      </c>
      <c r="D2927" s="7" t="s">
        <v>17125</v>
      </c>
      <c r="E2927" s="12" t="str">
        <f>HYPERLINK("https://twitter.com/Quzilqurt3/status/1181892476191285248","1181892476191285248")</f>
        <v>1181892476191285248</v>
      </c>
      <c r="F2927" s="8"/>
      <c r="G2927" s="15"/>
      <c r="H2927" s="8"/>
      <c r="I2927" s="15">
        <v>0</v>
      </c>
      <c r="J2927" s="15">
        <v>0</v>
      </c>
      <c r="K2927" s="12" t="str">
        <f>HYPERLINK("http://twitter.com/download/android","Twitter for Android")</f>
        <v>Twitter for Android</v>
      </c>
      <c r="L2927" s="16">
        <v>1</v>
      </c>
      <c r="M2927" s="16">
        <v>192</v>
      </c>
      <c r="N2927" s="16">
        <v>0</v>
      </c>
      <c r="O2927" s="17"/>
      <c r="P2927" s="18">
        <v>43682.061655092592</v>
      </c>
      <c r="Q2927" s="7"/>
      <c r="R2927" s="7"/>
      <c r="S2927" s="15"/>
      <c r="T2927" s="8"/>
      <c r="U2927" s="20" t="s">
        <v>354</v>
      </c>
      <c r="V2927" s="8"/>
      <c r="W2927" s="8"/>
      <c r="X2927" s="8"/>
      <c r="Y2927" s="8"/>
      <c r="Z2927" s="8"/>
    </row>
    <row r="2928" spans="1:26" ht="12.75">
      <c r="A2928" s="11">
        <v>43747.181562500002</v>
      </c>
      <c r="B2928" s="12" t="str">
        <f>HYPERLINK("https://twitter.com/weltschmeerz","@weltschmeerz")</f>
        <v>@weltschmeerz</v>
      </c>
      <c r="C2928" s="7" t="s">
        <v>17126</v>
      </c>
      <c r="D2928" s="7" t="s">
        <v>160</v>
      </c>
      <c r="E2928" s="12" t="str">
        <f>HYPERLINK("https://twitter.com/weltschmeerz/status/1181892426295848961","1181892426295848961")</f>
        <v>1181892426295848961</v>
      </c>
      <c r="F2928" s="8"/>
      <c r="G2928" s="14" t="s">
        <v>17127</v>
      </c>
      <c r="H2928" s="8"/>
      <c r="I2928" s="15">
        <v>1</v>
      </c>
      <c r="J2928" s="15">
        <v>3</v>
      </c>
      <c r="K2928" s="12" t="str">
        <f>HYPERLINK("http://twitter.com/download/android","Twitter for Android")</f>
        <v>Twitter for Android</v>
      </c>
      <c r="L2928" s="16">
        <v>301</v>
      </c>
      <c r="M2928" s="16">
        <v>204</v>
      </c>
      <c r="N2928" s="16">
        <v>0</v>
      </c>
      <c r="O2928" s="17"/>
      <c r="P2928" s="18">
        <v>42859.54965277778</v>
      </c>
      <c r="Q2928" s="7" t="s">
        <v>17128</v>
      </c>
      <c r="R2928" s="7" t="s">
        <v>17129</v>
      </c>
      <c r="S2928" s="14" t="s">
        <v>17130</v>
      </c>
      <c r="T2928" s="8"/>
      <c r="U2928" s="19" t="str">
        <f>HYPERLINK("https://pbs.twimg.com/profile_images/1114340230042140672/3iQPCj8j.jpg","View")</f>
        <v>View</v>
      </c>
      <c r="V2928" s="8"/>
      <c r="W2928" s="8"/>
      <c r="X2928" s="8"/>
      <c r="Y2928" s="8"/>
      <c r="Z2928" s="8"/>
    </row>
    <row r="2929" spans="1:26" ht="12.75">
      <c r="A2929" s="11">
        <v>43747.181354166663</v>
      </c>
      <c r="B2929" s="12" t="str">
        <f>HYPERLINK("https://twitter.com/IB__012","@IB__012")</f>
        <v>@IB__012</v>
      </c>
      <c r="C2929" s="7" t="s">
        <v>807</v>
      </c>
      <c r="D2929" s="7" t="s">
        <v>17131</v>
      </c>
      <c r="E2929" s="12" t="str">
        <f>HYPERLINK("https://twitter.com/IB__012/status/1181892348898349057","1181892348898349057")</f>
        <v>1181892348898349057</v>
      </c>
      <c r="F2929" s="8"/>
      <c r="G2929" s="14" t="s">
        <v>17132</v>
      </c>
      <c r="H2929" s="8"/>
      <c r="I2929" s="15">
        <v>0</v>
      </c>
      <c r="J2929" s="15">
        <v>0</v>
      </c>
      <c r="K2929" s="12" t="str">
        <f>HYPERLINK("http://twitter.com/download/iphone","Twitter for iPhone")</f>
        <v>Twitter for iPhone</v>
      </c>
      <c r="L2929" s="16">
        <v>1969</v>
      </c>
      <c r="M2929" s="16">
        <v>1562</v>
      </c>
      <c r="N2929" s="16">
        <v>3</v>
      </c>
      <c r="O2929" s="17"/>
      <c r="P2929" s="18">
        <v>40862.407777777778</v>
      </c>
      <c r="Q2929" s="7"/>
      <c r="R2929" s="7" t="s">
        <v>17133</v>
      </c>
      <c r="S2929" s="8"/>
      <c r="T2929" s="8"/>
      <c r="U2929" s="19" t="str">
        <f>HYPERLINK("https://pbs.twimg.com/profile_images/1181622965731041280/M3ljaaw2.jpg","View")</f>
        <v>View</v>
      </c>
      <c r="V2929" s="8"/>
      <c r="W2929" s="8"/>
      <c r="X2929" s="8"/>
      <c r="Y2929" s="8"/>
      <c r="Z2929" s="8"/>
    </row>
    <row r="2930" spans="1:26" ht="12.75">
      <c r="A2930" s="11">
        <v>43747.181331018517</v>
      </c>
      <c r="B2930" s="12" t="str">
        <f>HYPERLINK("https://twitter.com/PelinayZ","@PelinayZ")</f>
        <v>@PelinayZ</v>
      </c>
      <c r="C2930" s="7" t="s">
        <v>17134</v>
      </c>
      <c r="D2930" s="7" t="s">
        <v>17135</v>
      </c>
      <c r="E2930" s="12" t="str">
        <f>HYPERLINK("https://twitter.com/PelinayZ/status/1181892340212027392","1181892340212027392")</f>
        <v>1181892340212027392</v>
      </c>
      <c r="F2930" s="8"/>
      <c r="G2930" s="14" t="s">
        <v>17136</v>
      </c>
      <c r="H2930" s="8"/>
      <c r="I2930" s="15">
        <v>0</v>
      </c>
      <c r="J2930" s="15">
        <v>0</v>
      </c>
      <c r="K2930" s="12" t="str">
        <f>HYPERLINK("http://twitter.com","Twitter Web Client")</f>
        <v>Twitter Web Client</v>
      </c>
      <c r="L2930" s="16">
        <v>7</v>
      </c>
      <c r="M2930" s="16">
        <v>0</v>
      </c>
      <c r="N2930" s="16">
        <v>0</v>
      </c>
      <c r="O2930" s="17"/>
      <c r="P2930" s="18">
        <v>43683.875509259262</v>
      </c>
      <c r="Q2930" s="7" t="s">
        <v>17137</v>
      </c>
      <c r="R2930" s="7" t="s">
        <v>17138</v>
      </c>
      <c r="S2930" s="8"/>
      <c r="T2930" s="8"/>
      <c r="U2930" s="19" t="str">
        <f>HYPERLINK("https://pbs.twimg.com/profile_images/1167223090495053824/4AIkXm5b.jpg","View")</f>
        <v>View</v>
      </c>
      <c r="V2930" s="8"/>
      <c r="W2930" s="8"/>
      <c r="X2930" s="8"/>
      <c r="Y2930" s="8"/>
      <c r="Z2930" s="8"/>
    </row>
    <row r="2931" spans="1:26" ht="12.75">
      <c r="A2931" s="11">
        <v>43747.18131944444</v>
      </c>
      <c r="B2931" s="12" t="str">
        <f>HYPERLINK("https://twitter.com/afsinkaraTR","@afsinkaraTR")</f>
        <v>@afsinkaraTR</v>
      </c>
      <c r="C2931" s="7" t="s">
        <v>17139</v>
      </c>
      <c r="D2931" s="7" t="s">
        <v>17140</v>
      </c>
      <c r="E2931" s="12" t="str">
        <f>HYPERLINK("https://twitter.com/afsinkaraTR/status/1181892338496540672","1181892338496540672")</f>
        <v>1181892338496540672</v>
      </c>
      <c r="F2931" s="8"/>
      <c r="G2931" s="14" t="s">
        <v>17141</v>
      </c>
      <c r="H2931" s="8"/>
      <c r="I2931" s="15">
        <v>4</v>
      </c>
      <c r="J2931" s="15">
        <v>32</v>
      </c>
      <c r="K2931" s="12" t="str">
        <f>HYPERLINK("http://twitter.com/download/android","Twitter for Android")</f>
        <v>Twitter for Android</v>
      </c>
      <c r="L2931" s="16">
        <v>20423</v>
      </c>
      <c r="M2931" s="16">
        <v>22460</v>
      </c>
      <c r="N2931" s="16">
        <v>6</v>
      </c>
      <c r="O2931" s="17"/>
      <c r="P2931" s="18">
        <v>42570.235671296294</v>
      </c>
      <c r="Q2931" s="7"/>
      <c r="R2931" s="7" t="s">
        <v>17142</v>
      </c>
      <c r="S2931" s="8"/>
      <c r="T2931" s="8"/>
      <c r="U2931" s="19" t="str">
        <f>HYPERLINK("https://pbs.twimg.com/profile_images/1096114737073569794/YeAWVhQJ.jpg","View")</f>
        <v>View</v>
      </c>
      <c r="V2931" s="8"/>
      <c r="W2931" s="8"/>
      <c r="X2931" s="8"/>
      <c r="Y2931" s="8"/>
      <c r="Z2931" s="8"/>
    </row>
    <row r="2932" spans="1:26" ht="12.75">
      <c r="A2932" s="11">
        <v>43747.181296296301</v>
      </c>
      <c r="B2932" s="12" t="str">
        <f>HYPERLINK("https://twitter.com/sun77yilmaz","@sun77yilmaz")</f>
        <v>@sun77yilmaz</v>
      </c>
      <c r="C2932" s="7" t="s">
        <v>17143</v>
      </c>
      <c r="D2932" s="7" t="s">
        <v>17144</v>
      </c>
      <c r="E2932" s="12" t="str">
        <f>HYPERLINK("https://twitter.com/sun77yilmaz/status/1181892329516523521","1181892329516523521")</f>
        <v>1181892329516523521</v>
      </c>
      <c r="F2932" s="8"/>
      <c r="G2932" s="14" t="s">
        <v>17145</v>
      </c>
      <c r="H2932" s="8"/>
      <c r="I2932" s="15">
        <v>0</v>
      </c>
      <c r="J2932" s="15">
        <v>1</v>
      </c>
      <c r="K2932" s="12" t="str">
        <f>HYPERLINK("http://twitter.com/download/android","Twitter for Android")</f>
        <v>Twitter for Android</v>
      </c>
      <c r="L2932" s="16">
        <v>889</v>
      </c>
      <c r="M2932" s="16">
        <v>1693</v>
      </c>
      <c r="N2932" s="16">
        <v>0</v>
      </c>
      <c r="O2932" s="17"/>
      <c r="P2932" s="18">
        <v>41642.149953703702</v>
      </c>
      <c r="Q2932" s="7"/>
      <c r="R2932" s="7" t="s">
        <v>17146</v>
      </c>
      <c r="S2932" s="8"/>
      <c r="T2932" s="8"/>
      <c r="U2932" s="19" t="str">
        <f>HYPERLINK("https://pbs.twimg.com/profile_images/905007320551305216/vlyzmKxG.jpg","View")</f>
        <v>View</v>
      </c>
      <c r="V2932" s="8"/>
      <c r="W2932" s="8"/>
      <c r="X2932" s="8"/>
      <c r="Y2932" s="8"/>
      <c r="Z2932" s="8"/>
    </row>
    <row r="2933" spans="1:26" ht="12.75">
      <c r="A2933" s="11">
        <v>43747.181215277778</v>
      </c>
      <c r="B2933" s="12" t="str">
        <f>HYPERLINK("https://twitter.com/godkilsme","@godkilsme")</f>
        <v>@godkilsme</v>
      </c>
      <c r="C2933" s="7" t="s">
        <v>17147</v>
      </c>
      <c r="D2933" s="7" t="s">
        <v>1313</v>
      </c>
      <c r="E2933" s="12" t="str">
        <f>HYPERLINK("https://twitter.com/godkilsme/status/1181892300647084032","1181892300647084032")</f>
        <v>1181892300647084032</v>
      </c>
      <c r="F2933" s="8"/>
      <c r="G2933" s="15"/>
      <c r="H2933" s="8"/>
      <c r="I2933" s="15">
        <v>0</v>
      </c>
      <c r="J2933" s="15">
        <v>0</v>
      </c>
      <c r="K2933" s="12" t="str">
        <f>HYPERLINK("http://twitter.com/download/android","Twitter for Android")</f>
        <v>Twitter for Android</v>
      </c>
      <c r="L2933" s="16">
        <v>148</v>
      </c>
      <c r="M2933" s="16">
        <v>192</v>
      </c>
      <c r="N2933" s="16">
        <v>0</v>
      </c>
      <c r="O2933" s="17"/>
      <c r="P2933" s="18">
        <v>42673.309803240743</v>
      </c>
      <c r="Q2933" s="7"/>
      <c r="R2933" s="7" t="s">
        <v>17148</v>
      </c>
      <c r="S2933" s="8"/>
      <c r="T2933" s="8"/>
      <c r="U2933" s="19" t="str">
        <f>HYPERLINK("https://pbs.twimg.com/profile_images/1133812776709840896/E5x6lC0f.jpg","View")</f>
        <v>View</v>
      </c>
      <c r="V2933" s="8"/>
      <c r="W2933" s="8"/>
      <c r="X2933" s="8"/>
      <c r="Y2933" s="8"/>
      <c r="Z2933" s="8"/>
    </row>
    <row r="2934" spans="1:26" ht="12.75">
      <c r="A2934" s="11">
        <v>43747.181203703702</v>
      </c>
      <c r="B2934" s="12" t="str">
        <f>HYPERLINK("https://twitter.com/gazi_murat","@gazi_murat")</f>
        <v>@gazi_murat</v>
      </c>
      <c r="C2934" s="7" t="s">
        <v>17149</v>
      </c>
      <c r="D2934" s="7" t="s">
        <v>17150</v>
      </c>
      <c r="E2934" s="12" t="str">
        <f>HYPERLINK("https://twitter.com/gazi_murat/status/1181892294796034048","1181892294796034048")</f>
        <v>1181892294796034048</v>
      </c>
      <c r="F2934" s="8"/>
      <c r="G2934" s="14" t="s">
        <v>17151</v>
      </c>
      <c r="H2934" s="8"/>
      <c r="I2934" s="15">
        <v>0</v>
      </c>
      <c r="J2934" s="15">
        <v>3</v>
      </c>
      <c r="K2934" s="12" t="str">
        <f>HYPERLINK("https://mobile.twitter.com","Twitter Web App")</f>
        <v>Twitter Web App</v>
      </c>
      <c r="L2934" s="16">
        <v>104</v>
      </c>
      <c r="M2934" s="16">
        <v>88</v>
      </c>
      <c r="N2934" s="16">
        <v>0</v>
      </c>
      <c r="O2934" s="17"/>
      <c r="P2934" s="18">
        <v>41029.029710648145</v>
      </c>
      <c r="Q2934" s="7" t="s">
        <v>6808</v>
      </c>
      <c r="R2934" s="7" t="s">
        <v>17152</v>
      </c>
      <c r="S2934" s="8"/>
      <c r="T2934" s="8"/>
      <c r="U2934" s="19" t="str">
        <f>HYPERLINK("https://pbs.twimg.com/profile_images/1152690110355398659/LBmLLGDC.jpg","View")</f>
        <v>View</v>
      </c>
      <c r="V2934" s="8"/>
      <c r="W2934" s="8"/>
      <c r="X2934" s="8"/>
      <c r="Y2934" s="8"/>
      <c r="Z2934" s="8"/>
    </row>
    <row r="2935" spans="1:26" ht="12.75">
      <c r="A2935" s="11">
        <v>43747.181064814809</v>
      </c>
      <c r="B2935" s="12" t="str">
        <f>HYPERLINK("https://twitter.com/5_EvladiFatihan","@5_EvladiFatihan")</f>
        <v>@5_EvladiFatihan</v>
      </c>
      <c r="C2935" s="7" t="s">
        <v>17153</v>
      </c>
      <c r="D2935" s="7" t="s">
        <v>17154</v>
      </c>
      <c r="E2935" s="12" t="str">
        <f>HYPERLINK("https://twitter.com/5_EvladiFatihan/status/1181892243571068928","1181892243571068928")</f>
        <v>1181892243571068928</v>
      </c>
      <c r="F2935" s="8"/>
      <c r="G2935" s="14" t="s">
        <v>17155</v>
      </c>
      <c r="H2935" s="8"/>
      <c r="I2935" s="15">
        <v>0</v>
      </c>
      <c r="J2935" s="15">
        <v>0</v>
      </c>
      <c r="K2935" s="12" t="str">
        <f>HYPERLINK("http://twitter.com/download/android","Twitter for Android")</f>
        <v>Twitter for Android</v>
      </c>
      <c r="L2935" s="16">
        <v>112</v>
      </c>
      <c r="M2935" s="16">
        <v>129</v>
      </c>
      <c r="N2935" s="16">
        <v>0</v>
      </c>
      <c r="O2935" s="17"/>
      <c r="P2935" s="18">
        <v>43725.870462962965</v>
      </c>
      <c r="Q2935" s="7"/>
      <c r="R2935" s="7"/>
      <c r="S2935" s="8"/>
      <c r="T2935" s="8"/>
      <c r="U2935" s="19" t="str">
        <f>HYPERLINK("https://pbs.twimg.com/profile_images/1174204250047561729/9nesobdG.jpg","View")</f>
        <v>View</v>
      </c>
      <c r="V2935" s="8"/>
      <c r="W2935" s="8"/>
      <c r="X2935" s="8"/>
      <c r="Y2935" s="8"/>
      <c r="Z2935" s="8"/>
    </row>
    <row r="2936" spans="1:26" ht="12.75">
      <c r="A2936" s="11">
        <v>43747.181030092594</v>
      </c>
      <c r="B2936" s="12" t="str">
        <f>HYPERLINK("https://twitter.com/1yusufayar","@1yusufayar")</f>
        <v>@1yusufayar</v>
      </c>
      <c r="C2936" s="7" t="s">
        <v>17156</v>
      </c>
      <c r="D2936" s="7" t="s">
        <v>14293</v>
      </c>
      <c r="E2936" s="12" t="str">
        <f>HYPERLINK("https://twitter.com/1yusufayar/status/1181892232099614720","1181892232099614720")</f>
        <v>1181892232099614720</v>
      </c>
      <c r="F2936" s="15"/>
      <c r="G2936" s="14" t="s">
        <v>17157</v>
      </c>
      <c r="H2936" s="8"/>
      <c r="I2936" s="15">
        <v>0</v>
      </c>
      <c r="J2936" s="15">
        <v>0</v>
      </c>
      <c r="K2936" s="12" t="str">
        <f>HYPERLINK("https://mobile.twitter.com","Twitter Web App")</f>
        <v>Twitter Web App</v>
      </c>
      <c r="L2936" s="16">
        <v>76</v>
      </c>
      <c r="M2936" s="16">
        <v>226</v>
      </c>
      <c r="N2936" s="16">
        <v>0</v>
      </c>
      <c r="O2936" s="17"/>
      <c r="P2936" s="18">
        <v>43564.042291666672</v>
      </c>
      <c r="Q2936" s="7" t="s">
        <v>69</v>
      </c>
      <c r="R2936" s="7" t="s">
        <v>17158</v>
      </c>
      <c r="S2936" s="8"/>
      <c r="T2936" s="8"/>
      <c r="U2936" s="19" t="str">
        <f>HYPERLINK("https://pbs.twimg.com/profile_images/1115559145095221249/ZZT1So3r.jpg","View")</f>
        <v>View</v>
      </c>
      <c r="V2936" s="8"/>
      <c r="W2936" s="8"/>
      <c r="X2936" s="8"/>
      <c r="Y2936" s="8"/>
      <c r="Z2936" s="8"/>
    </row>
    <row r="2937" spans="1:26" ht="12.75">
      <c r="A2937" s="11">
        <v>43747.181030092594</v>
      </c>
      <c r="B2937" s="12" t="str">
        <f>HYPERLINK("https://twitter.com/AyazBalamir","@AyazBalamir")</f>
        <v>@AyazBalamir</v>
      </c>
      <c r="C2937" s="7" t="s">
        <v>17159</v>
      </c>
      <c r="D2937" s="7" t="s">
        <v>17160</v>
      </c>
      <c r="E2937" s="12" t="str">
        <f>HYPERLINK("https://twitter.com/AyazBalamir/status/1181892231264911361","1181892231264911361")</f>
        <v>1181892231264911361</v>
      </c>
      <c r="F2937" s="8"/>
      <c r="G2937" s="14" t="s">
        <v>17161</v>
      </c>
      <c r="H2937" s="8"/>
      <c r="I2937" s="15">
        <v>0</v>
      </c>
      <c r="J2937" s="15">
        <v>0</v>
      </c>
      <c r="K2937" s="12" t="str">
        <f>HYPERLINK("http://twitter.com/download/android","Twitter for Android")</f>
        <v>Twitter for Android</v>
      </c>
      <c r="L2937" s="16">
        <v>1</v>
      </c>
      <c r="M2937" s="16">
        <v>11</v>
      </c>
      <c r="N2937" s="16">
        <v>0</v>
      </c>
      <c r="O2937" s="17"/>
      <c r="P2937" s="18">
        <v>43707.047962962963</v>
      </c>
      <c r="Q2937" s="7"/>
      <c r="R2937" s="7"/>
      <c r="S2937" s="15"/>
      <c r="T2937" s="8"/>
      <c r="U2937" s="19" t="str">
        <f>HYPERLINK("https://pbs.twimg.com/profile_images/1167349787596922880/5CSb0lYL.jpg","View")</f>
        <v>View</v>
      </c>
      <c r="V2937" s="8"/>
      <c r="W2937" s="8"/>
      <c r="X2937" s="8"/>
      <c r="Y2937" s="8"/>
      <c r="Z2937" s="8"/>
    </row>
    <row r="2938" spans="1:26" ht="12.75">
      <c r="A2938" s="11">
        <v>43747.180949074071</v>
      </c>
      <c r="B2938" s="12" t="str">
        <f>HYPERLINK("https://twitter.com/AlihanTekin13","@AlihanTekin13")</f>
        <v>@AlihanTekin13</v>
      </c>
      <c r="C2938" s="7" t="s">
        <v>17162</v>
      </c>
      <c r="D2938" s="7" t="s">
        <v>17163</v>
      </c>
      <c r="E2938" s="12" t="str">
        <f>HYPERLINK("https://twitter.com/AlihanTekin13/status/1181892204517888001","1181892204517888001")</f>
        <v>1181892204517888001</v>
      </c>
      <c r="F2938" s="15"/>
      <c r="G2938" s="7"/>
      <c r="H2938" s="8"/>
      <c r="I2938" s="15">
        <v>0</v>
      </c>
      <c r="J2938" s="15">
        <v>0</v>
      </c>
      <c r="K2938" s="12" t="str">
        <f>HYPERLINK("http://twitter.com/download/android","Twitter for Android")</f>
        <v>Twitter for Android</v>
      </c>
      <c r="L2938" s="16">
        <v>14</v>
      </c>
      <c r="M2938" s="16">
        <v>26</v>
      </c>
      <c r="N2938" s="16">
        <v>0</v>
      </c>
      <c r="O2938" s="17"/>
      <c r="P2938" s="18">
        <v>43736.520856481482</v>
      </c>
      <c r="Q2938" s="7"/>
      <c r="R2938" s="7" t="s">
        <v>17164</v>
      </c>
      <c r="S2938" s="15"/>
      <c r="T2938" s="8"/>
      <c r="U2938" s="19" t="str">
        <f>HYPERLINK("https://pbs.twimg.com/profile_images/1178029367148060679/1YFfrZJX.jpg","View")</f>
        <v>View</v>
      </c>
      <c r="V2938" s="8"/>
      <c r="W2938" s="8"/>
      <c r="X2938" s="8"/>
      <c r="Y2938" s="8"/>
      <c r="Z2938" s="8"/>
    </row>
    <row r="2939" spans="1:26" ht="12.75">
      <c r="A2939" s="11">
        <v>43747.180925925924</v>
      </c>
      <c r="B2939" s="12" t="str">
        <f>HYPERLINK("https://twitter.com/azizlerr","@azizlerr")</f>
        <v>@azizlerr</v>
      </c>
      <c r="C2939" s="7" t="s">
        <v>17165</v>
      </c>
      <c r="D2939" s="7" t="s">
        <v>17166</v>
      </c>
      <c r="E2939" s="12" t="str">
        <f>HYPERLINK("https://twitter.com/azizlerr/status/1181892193419706370","1181892193419706370")</f>
        <v>1181892193419706370</v>
      </c>
      <c r="F2939" s="15"/>
      <c r="G2939" s="15"/>
      <c r="H2939" s="8"/>
      <c r="I2939" s="15">
        <v>0</v>
      </c>
      <c r="J2939" s="15">
        <v>0</v>
      </c>
      <c r="K2939" s="12" t="str">
        <f>HYPERLINK("http://twitter.com/download/android","Twitter for Android")</f>
        <v>Twitter for Android</v>
      </c>
      <c r="L2939" s="16">
        <v>5784</v>
      </c>
      <c r="M2939" s="16">
        <v>6272</v>
      </c>
      <c r="N2939" s="16">
        <v>9</v>
      </c>
      <c r="O2939" s="17"/>
      <c r="P2939" s="18">
        <v>40591.928368055553</v>
      </c>
      <c r="Q2939" s="7" t="s">
        <v>17167</v>
      </c>
      <c r="R2939" s="7" t="s">
        <v>17168</v>
      </c>
      <c r="S2939" s="8"/>
      <c r="T2939" s="8"/>
      <c r="U2939" s="19" t="str">
        <f>HYPERLINK("https://pbs.twimg.com/profile_images/1124273960013717504/j3xwO_QZ.jpg","View")</f>
        <v>View</v>
      </c>
      <c r="V2939" s="8"/>
      <c r="W2939" s="8"/>
      <c r="X2939" s="8"/>
      <c r="Y2939" s="8"/>
      <c r="Z2939" s="8"/>
    </row>
    <row r="2940" spans="1:26" ht="12.75">
      <c r="A2940" s="11">
        <v>43747.180844907409</v>
      </c>
      <c r="B2940" s="12" t="str">
        <f>HYPERLINK("https://twitter.com/HasipSomer","@HasipSomer")</f>
        <v>@HasipSomer</v>
      </c>
      <c r="C2940" s="7" t="s">
        <v>17169</v>
      </c>
      <c r="D2940" s="7" t="s">
        <v>15260</v>
      </c>
      <c r="E2940" s="12" t="str">
        <f>HYPERLINK("https://twitter.com/HasipSomer/status/1181892166521675776","1181892166521675776")</f>
        <v>1181892166521675776</v>
      </c>
      <c r="F2940" s="8"/>
      <c r="G2940" s="15"/>
      <c r="H2940" s="8"/>
      <c r="I2940" s="15">
        <v>0</v>
      </c>
      <c r="J2940" s="15">
        <v>0</v>
      </c>
      <c r="K2940" s="12" t="str">
        <f>HYPERLINK("http://twitter.com","Twitter Web Client")</f>
        <v>Twitter Web Client</v>
      </c>
      <c r="L2940" s="16">
        <v>7</v>
      </c>
      <c r="M2940" s="16">
        <v>0</v>
      </c>
      <c r="N2940" s="16">
        <v>0</v>
      </c>
      <c r="O2940" s="17"/>
      <c r="P2940" s="18">
        <v>43669.013460648144</v>
      </c>
      <c r="Q2940" s="7" t="s">
        <v>14435</v>
      </c>
      <c r="R2940" s="7" t="s">
        <v>17170</v>
      </c>
      <c r="S2940" s="8"/>
      <c r="T2940" s="8"/>
      <c r="U2940" s="19" t="str">
        <f>HYPERLINK("https://pbs.twimg.com/profile_images/1154292333447393280/wlqA-6az.jpg","View")</f>
        <v>View</v>
      </c>
      <c r="V2940" s="8"/>
      <c r="W2940" s="8"/>
      <c r="X2940" s="8"/>
      <c r="Y2940" s="8"/>
      <c r="Z2940" s="8"/>
    </row>
    <row r="2941" spans="1:26" ht="12.75">
      <c r="A2941" s="11">
        <v>43747.180798611109</v>
      </c>
      <c r="B2941" s="12" t="str">
        <f>HYPERLINK("https://twitter.com/emreyksll9","@emreyksll9")</f>
        <v>@emreyksll9</v>
      </c>
      <c r="C2941" s="7" t="s">
        <v>17171</v>
      </c>
      <c r="D2941" s="7" t="s">
        <v>17172</v>
      </c>
      <c r="E2941" s="12" t="str">
        <f>HYPERLINK("https://twitter.com/emreyksll9/status/1181892150314844162","1181892150314844162")</f>
        <v>1181892150314844162</v>
      </c>
      <c r="F2941" s="8"/>
      <c r="G2941" s="14" t="s">
        <v>17173</v>
      </c>
      <c r="H2941" s="8"/>
      <c r="I2941" s="15">
        <v>0</v>
      </c>
      <c r="J2941" s="15">
        <v>1</v>
      </c>
      <c r="K2941" s="12" t="str">
        <f>HYPERLINK("http://twitter.com/download/iphone","Twitter for iPhone")</f>
        <v>Twitter for iPhone</v>
      </c>
      <c r="L2941" s="16">
        <v>40</v>
      </c>
      <c r="M2941" s="16">
        <v>51</v>
      </c>
      <c r="N2941" s="16">
        <v>0</v>
      </c>
      <c r="O2941" s="17"/>
      <c r="P2941" s="18">
        <v>43716.099259259259</v>
      </c>
      <c r="Q2941" s="7"/>
      <c r="R2941" s="7" t="s">
        <v>17174</v>
      </c>
      <c r="S2941" s="8"/>
      <c r="T2941" s="8"/>
      <c r="U2941" s="19" t="str">
        <f>HYPERLINK("https://pbs.twimg.com/profile_images/1171364716536651777/_w-gQZii.jpg","View")</f>
        <v>View</v>
      </c>
      <c r="V2941" s="8"/>
      <c r="W2941" s="8"/>
      <c r="X2941" s="8"/>
      <c r="Y2941" s="8"/>
      <c r="Z2941" s="8"/>
    </row>
    <row r="2942" spans="1:26" ht="12.75">
      <c r="A2942" s="11">
        <v>43747.180798611109</v>
      </c>
      <c r="B2942" s="12" t="str">
        <f>HYPERLINK("https://twitter.com/muhammetalii58","@muhammetalii58")</f>
        <v>@muhammetalii58</v>
      </c>
      <c r="C2942" s="7" t="s">
        <v>17175</v>
      </c>
      <c r="D2942" s="7" t="s">
        <v>160</v>
      </c>
      <c r="E2942" s="12" t="str">
        <f>HYPERLINK("https://twitter.com/muhammetalii58/status/1181892150121906176","1181892150121906176")</f>
        <v>1181892150121906176</v>
      </c>
      <c r="F2942" s="8"/>
      <c r="G2942" s="15"/>
      <c r="H2942" s="8"/>
      <c r="I2942" s="15">
        <v>0</v>
      </c>
      <c r="J2942" s="15">
        <v>0</v>
      </c>
      <c r="K2942" s="12" t="str">
        <f>HYPERLINK("http://twitter.com/download/iphone","Twitter for iPhone")</f>
        <v>Twitter for iPhone</v>
      </c>
      <c r="L2942" s="16">
        <v>275</v>
      </c>
      <c r="M2942" s="16">
        <v>249</v>
      </c>
      <c r="N2942" s="16">
        <v>0</v>
      </c>
      <c r="O2942" s="17"/>
      <c r="P2942" s="18">
        <v>42964.137442129635</v>
      </c>
      <c r="Q2942" s="7" t="s">
        <v>2225</v>
      </c>
      <c r="R2942" s="7" t="s">
        <v>17176</v>
      </c>
      <c r="S2942" s="8"/>
      <c r="T2942" s="8"/>
      <c r="U2942" s="19" t="str">
        <f>HYPERLINK("https://pbs.twimg.com/profile_images/1129139639917391872/wnOLLWLN.jpg","View")</f>
        <v>View</v>
      </c>
      <c r="V2942" s="8"/>
      <c r="W2942" s="8"/>
      <c r="X2942" s="8"/>
      <c r="Y2942" s="8"/>
      <c r="Z2942" s="8"/>
    </row>
    <row r="2943" spans="1:26" ht="12.75">
      <c r="A2943" s="11">
        <v>43747.18074074074</v>
      </c>
      <c r="B2943" s="12" t="str">
        <f>HYPERLINK("https://twitter.com/MaadayK","@MaadayK")</f>
        <v>@MaadayK</v>
      </c>
      <c r="C2943" s="7" t="s">
        <v>17177</v>
      </c>
      <c r="D2943" s="7" t="s">
        <v>17178</v>
      </c>
      <c r="E2943" s="12" t="str">
        <f>HYPERLINK("https://twitter.com/MaadayK/status/1181892126424129536","1181892126424129536")</f>
        <v>1181892126424129536</v>
      </c>
      <c r="F2943" s="8"/>
      <c r="G2943" s="14" t="s">
        <v>17179</v>
      </c>
      <c r="H2943" s="8"/>
      <c r="I2943" s="15">
        <v>0</v>
      </c>
      <c r="J2943" s="15">
        <v>1</v>
      </c>
      <c r="K2943" s="12" t="str">
        <f>HYPERLINK("http://twitter.com/download/android","Twitter for Android")</f>
        <v>Twitter for Android</v>
      </c>
      <c r="L2943" s="16">
        <v>79</v>
      </c>
      <c r="M2943" s="16">
        <v>167</v>
      </c>
      <c r="N2943" s="16">
        <v>0</v>
      </c>
      <c r="O2943" s="17"/>
      <c r="P2943" s="18">
        <v>43353.593148148153</v>
      </c>
      <c r="Q2943" s="7"/>
      <c r="R2943" s="7" t="s">
        <v>17180</v>
      </c>
      <c r="S2943" s="15"/>
      <c r="T2943" s="8"/>
      <c r="U2943" s="19" t="str">
        <f>HYPERLINK("https://pbs.twimg.com/profile_images/1126885923826884608/8Jw5dkcE.jpg","View")</f>
        <v>View</v>
      </c>
      <c r="V2943" s="8"/>
      <c r="W2943" s="8"/>
      <c r="X2943" s="8"/>
      <c r="Y2943" s="8"/>
      <c r="Z2943" s="8"/>
    </row>
    <row r="2944" spans="1:26" ht="12.75">
      <c r="A2944" s="11">
        <v>43747.180659722224</v>
      </c>
      <c r="B2944" s="12" t="str">
        <f>HYPERLINK("https://twitter.com/emreakkaya1905","@emreakkaya1905")</f>
        <v>@emreakkaya1905</v>
      </c>
      <c r="C2944" s="7" t="s">
        <v>17181</v>
      </c>
      <c r="D2944" s="7" t="s">
        <v>17182</v>
      </c>
      <c r="E2944" s="12" t="str">
        <f>HYPERLINK("https://twitter.com/emreakkaya1905/status/1181892099538669568","1181892099538669568")</f>
        <v>1181892099538669568</v>
      </c>
      <c r="F2944" s="15"/>
      <c r="G2944" s="14" t="s">
        <v>17183</v>
      </c>
      <c r="H2944" s="8"/>
      <c r="I2944" s="15">
        <v>7</v>
      </c>
      <c r="J2944" s="15">
        <v>39</v>
      </c>
      <c r="K2944" s="12" t="str">
        <f>HYPERLINK("https://mobile.twitter.com","Twitter Web App")</f>
        <v>Twitter Web App</v>
      </c>
      <c r="L2944" s="16">
        <v>17297</v>
      </c>
      <c r="M2944" s="16">
        <v>15930</v>
      </c>
      <c r="N2944" s="16">
        <v>34</v>
      </c>
      <c r="O2944" s="17"/>
      <c r="P2944" s="18">
        <v>40704.530104166668</v>
      </c>
      <c r="Q2944" s="7" t="s">
        <v>17184</v>
      </c>
      <c r="R2944" s="7" t="s">
        <v>17185</v>
      </c>
      <c r="S2944" s="14" t="s">
        <v>17186</v>
      </c>
      <c r="T2944" s="8"/>
      <c r="U2944" s="19" t="str">
        <f>HYPERLINK("https://pbs.twimg.com/profile_images/1021414429328662528/4_5IDkDR.jpg","View")</f>
        <v>View</v>
      </c>
      <c r="V2944" s="8"/>
      <c r="W2944" s="8"/>
      <c r="X2944" s="8"/>
      <c r="Y2944" s="8"/>
      <c r="Z2944" s="8"/>
    </row>
    <row r="2945" spans="1:26" ht="12.75">
      <c r="A2945" s="11">
        <v>43747.180590277778</v>
      </c>
      <c r="B2945" s="12" t="str">
        <f>HYPERLINK("https://twitter.com/AlkinGuresciog2","@AlkinGuresciog2")</f>
        <v>@AlkinGuresciog2</v>
      </c>
      <c r="C2945" s="7" t="s">
        <v>17187</v>
      </c>
      <c r="D2945" s="7" t="s">
        <v>17188</v>
      </c>
      <c r="E2945" s="12" t="str">
        <f>HYPERLINK("https://twitter.com/AlkinGuresciog2/status/1181892075043852288","1181892075043852288")</f>
        <v>1181892075043852288</v>
      </c>
      <c r="F2945" s="15"/>
      <c r="G2945" s="14" t="s">
        <v>17189</v>
      </c>
      <c r="H2945" s="8"/>
      <c r="I2945" s="15">
        <v>1</v>
      </c>
      <c r="J2945" s="15">
        <v>2</v>
      </c>
      <c r="K2945" s="12" t="str">
        <f>HYPERLINK("http://twitter.com/download/android","Twitter for Android")</f>
        <v>Twitter for Android</v>
      </c>
      <c r="L2945" s="16">
        <v>0</v>
      </c>
      <c r="M2945" s="16">
        <v>0</v>
      </c>
      <c r="N2945" s="16">
        <v>0</v>
      </c>
      <c r="O2945" s="17"/>
      <c r="P2945" s="18">
        <v>43578.160081018519</v>
      </c>
      <c r="Q2945" s="7" t="s">
        <v>918</v>
      </c>
      <c r="R2945" s="7" t="s">
        <v>17190</v>
      </c>
      <c r="S2945" s="8"/>
      <c r="T2945" s="8"/>
      <c r="U2945" s="19" t="str">
        <f>HYPERLINK("https://pbs.twimg.com/profile_images/1121056673936891904/-uWR8uT_.jpg","View")</f>
        <v>View</v>
      </c>
      <c r="V2945" s="8"/>
      <c r="W2945" s="8"/>
      <c r="X2945" s="8"/>
      <c r="Y2945" s="8"/>
      <c r="Z2945" s="8"/>
    </row>
    <row r="2946" spans="1:26" ht="12.75">
      <c r="A2946" s="11">
        <v>43747.180555555555</v>
      </c>
      <c r="B2946" s="12" t="str">
        <f>HYPERLINK("https://twitter.com/CAVDAROGLU61","@CAVDAROGLU61")</f>
        <v>@CAVDAROGLU61</v>
      </c>
      <c r="C2946" s="7" t="s">
        <v>17191</v>
      </c>
      <c r="D2946" s="7" t="s">
        <v>17192</v>
      </c>
      <c r="E2946" s="12" t="str">
        <f>HYPERLINK("https://twitter.com/CAVDAROGLU61/status/1181892061148143616","1181892061148143616")</f>
        <v>1181892061148143616</v>
      </c>
      <c r="F2946" s="14" t="s">
        <v>17193</v>
      </c>
      <c r="G2946" s="14" t="s">
        <v>17194</v>
      </c>
      <c r="H2946" s="8"/>
      <c r="I2946" s="15">
        <v>0</v>
      </c>
      <c r="J2946" s="15">
        <v>0</v>
      </c>
      <c r="K2946" s="12" t="str">
        <f>HYPERLINK("http://twitter.com/download/iphone","Twitter for iPhone")</f>
        <v>Twitter for iPhone</v>
      </c>
      <c r="L2946" s="16">
        <v>1183</v>
      </c>
      <c r="M2946" s="16">
        <v>2061</v>
      </c>
      <c r="N2946" s="16">
        <v>0</v>
      </c>
      <c r="O2946" s="17"/>
      <c r="P2946" s="18">
        <v>40394.259189814817</v>
      </c>
      <c r="Q2946" s="7" t="s">
        <v>17195</v>
      </c>
      <c r="R2946" s="7"/>
      <c r="S2946" s="15"/>
      <c r="T2946" s="8"/>
      <c r="U2946" s="19" t="str">
        <f>HYPERLINK("https://pbs.twimg.com/profile_images/930427805103423490/uqlpcOc2.jpg","View")</f>
        <v>View</v>
      </c>
      <c r="V2946" s="8"/>
      <c r="W2946" s="8"/>
      <c r="X2946" s="8"/>
      <c r="Y2946" s="8"/>
      <c r="Z2946" s="8"/>
    </row>
    <row r="2947" spans="1:26" ht="12.75">
      <c r="A2947" s="11">
        <v>43747.180509259255</v>
      </c>
      <c r="B2947" s="12" t="str">
        <f>HYPERLINK("https://twitter.com/fth5807","@fth5807")</f>
        <v>@fth5807</v>
      </c>
      <c r="C2947" s="7" t="s">
        <v>17196</v>
      </c>
      <c r="D2947" s="7" t="s">
        <v>17197</v>
      </c>
      <c r="E2947" s="12" t="str">
        <f>HYPERLINK("https://twitter.com/fth5807/status/1181892042902900736","1181892042902900736")</f>
        <v>1181892042902900736</v>
      </c>
      <c r="F2947" s="15"/>
      <c r="G2947" s="14" t="s">
        <v>17198</v>
      </c>
      <c r="H2947" s="8"/>
      <c r="I2947" s="15">
        <v>1</v>
      </c>
      <c r="J2947" s="15">
        <v>1</v>
      </c>
      <c r="K2947" s="12" t="str">
        <f>HYPERLINK("http://twitter.com/download/android","Twitter for Android")</f>
        <v>Twitter for Android</v>
      </c>
      <c r="L2947" s="16">
        <v>471</v>
      </c>
      <c r="M2947" s="16">
        <v>209</v>
      </c>
      <c r="N2947" s="16">
        <v>0</v>
      </c>
      <c r="O2947" s="17"/>
      <c r="P2947" s="18">
        <v>42704.975659722222</v>
      </c>
      <c r="Q2947" s="7" t="s">
        <v>200</v>
      </c>
      <c r="R2947" s="7" t="s">
        <v>17199</v>
      </c>
      <c r="S2947" s="15"/>
      <c r="T2947" s="8"/>
      <c r="U2947" s="19" t="str">
        <f>HYPERLINK("https://pbs.twimg.com/profile_images/1165142145931599872/v645qhfu.jpg","View")</f>
        <v>View</v>
      </c>
      <c r="V2947" s="8"/>
      <c r="W2947" s="8"/>
      <c r="X2947" s="8"/>
      <c r="Y2947" s="8"/>
      <c r="Z2947" s="8"/>
    </row>
    <row r="2948" spans="1:26" ht="12.75">
      <c r="A2948" s="11">
        <v>43747.180312500001</v>
      </c>
      <c r="B2948" s="12" t="str">
        <f>HYPERLINK("https://twitter.com/haberinsiyatif","@haberinsiyatif")</f>
        <v>@haberinsiyatif</v>
      </c>
      <c r="C2948" s="7" t="s">
        <v>17200</v>
      </c>
      <c r="D2948" s="7" t="s">
        <v>17201</v>
      </c>
      <c r="E2948" s="12" t="str">
        <f>HYPERLINK("https://twitter.com/haberinsiyatif/status/1181891971725574144","1181891971725574144")</f>
        <v>1181891971725574144</v>
      </c>
      <c r="F2948" s="14" t="s">
        <v>17202</v>
      </c>
      <c r="G2948" s="14" t="s">
        <v>17203</v>
      </c>
      <c r="H2948" s="8"/>
      <c r="I2948" s="15">
        <v>1</v>
      </c>
      <c r="J2948" s="15">
        <v>4</v>
      </c>
      <c r="K2948" s="12" t="str">
        <f>HYPERLINK("https://mobile.twitter.com","Twitter Web App")</f>
        <v>Twitter Web App</v>
      </c>
      <c r="L2948" s="16">
        <v>288</v>
      </c>
      <c r="M2948" s="16">
        <v>266</v>
      </c>
      <c r="N2948" s="16">
        <v>0</v>
      </c>
      <c r="O2948" s="17"/>
      <c r="P2948" s="18">
        <v>43684.228587962964</v>
      </c>
      <c r="Q2948" s="7"/>
      <c r="R2948" s="7" t="s">
        <v>17204</v>
      </c>
      <c r="S2948" s="14" t="s">
        <v>17205</v>
      </c>
      <c r="T2948" s="8"/>
      <c r="U2948" s="19" t="str">
        <f>HYPERLINK("https://pbs.twimg.com/profile_images/1159079998701080577/aIjYYf8j.jpg","View")</f>
        <v>View</v>
      </c>
      <c r="V2948" s="8"/>
      <c r="W2948" s="8"/>
      <c r="X2948" s="8"/>
      <c r="Y2948" s="8"/>
      <c r="Z2948" s="8"/>
    </row>
    <row r="2949" spans="1:26" ht="12.75">
      <c r="A2949" s="11">
        <v>43747.180289351847</v>
      </c>
      <c r="B2949" s="12" t="str">
        <f>HYPERLINK("https://twitter.com/tazan_mustafa","@tazan_mustafa")</f>
        <v>@tazan_mustafa</v>
      </c>
      <c r="C2949" s="7" t="s">
        <v>17206</v>
      </c>
      <c r="D2949" s="7" t="s">
        <v>17207</v>
      </c>
      <c r="E2949" s="12" t="str">
        <f>HYPERLINK("https://twitter.com/tazan_mustafa/status/1181891965853548544","1181891965853548544")</f>
        <v>1181891965853548544</v>
      </c>
      <c r="F2949" s="8"/>
      <c r="G2949" s="7"/>
      <c r="H2949" s="8"/>
      <c r="I2949" s="15">
        <v>0</v>
      </c>
      <c r="J2949" s="15">
        <v>2</v>
      </c>
      <c r="K2949" s="12" t="str">
        <f>HYPERLINK("http://twitter.com/download/iphone","Twitter for iPhone")</f>
        <v>Twitter for iPhone</v>
      </c>
      <c r="L2949" s="16">
        <v>7</v>
      </c>
      <c r="M2949" s="16">
        <v>16</v>
      </c>
      <c r="N2949" s="16">
        <v>0</v>
      </c>
      <c r="O2949" s="17"/>
      <c r="P2949" s="18">
        <v>42991.542673611111</v>
      </c>
      <c r="Q2949" s="7" t="s">
        <v>12236</v>
      </c>
      <c r="R2949" s="7"/>
      <c r="S2949" s="8"/>
      <c r="T2949" s="8"/>
      <c r="U2949" s="19" t="str">
        <f>HYPERLINK("https://pbs.twimg.com/profile_images/1094642392408440833/5dFEb3rM.jpg","View")</f>
        <v>View</v>
      </c>
      <c r="V2949" s="8"/>
      <c r="W2949" s="8"/>
      <c r="X2949" s="8"/>
      <c r="Y2949" s="8"/>
      <c r="Z2949" s="8"/>
    </row>
    <row r="2950" spans="1:26" ht="12.75">
      <c r="A2950" s="11">
        <v>43747.180219907408</v>
      </c>
      <c r="B2950" s="12" t="str">
        <f>HYPERLINK("https://twitter.com/rokxybella","@rokxybella")</f>
        <v>@rokxybella</v>
      </c>
      <c r="C2950" s="7" t="s">
        <v>17208</v>
      </c>
      <c r="D2950" s="7" t="s">
        <v>17209</v>
      </c>
      <c r="E2950" s="12" t="str">
        <f>HYPERLINK("https://twitter.com/rokxybella/status/1181891940058648576","1181891940058648576")</f>
        <v>1181891940058648576</v>
      </c>
      <c r="F2950" s="8"/>
      <c r="G2950" s="15"/>
      <c r="H2950" s="8"/>
      <c r="I2950" s="15">
        <v>0</v>
      </c>
      <c r="J2950" s="15">
        <v>3</v>
      </c>
      <c r="K2950" s="12" t="str">
        <f>HYPERLINK("http://twitter.com/download/android","Twitter for Android")</f>
        <v>Twitter for Android</v>
      </c>
      <c r="L2950" s="16">
        <v>3014</v>
      </c>
      <c r="M2950" s="16">
        <v>2913</v>
      </c>
      <c r="N2950" s="16">
        <v>3</v>
      </c>
      <c r="O2950" s="17"/>
      <c r="P2950" s="18">
        <v>40519.6328125</v>
      </c>
      <c r="Q2950" s="7"/>
      <c r="R2950" s="7" t="s">
        <v>17210</v>
      </c>
      <c r="S2950" s="8"/>
      <c r="T2950" s="8"/>
      <c r="U2950" s="19" t="str">
        <f>HYPERLINK("https://pbs.twimg.com/profile_images/979459187901165568/vT5vyv7O.jpg","View")</f>
        <v>View</v>
      </c>
      <c r="V2950" s="8"/>
      <c r="W2950" s="8"/>
      <c r="X2950" s="8"/>
      <c r="Y2950" s="8"/>
      <c r="Z2950" s="8"/>
    </row>
    <row r="2951" spans="1:26" ht="12.75">
      <c r="A2951" s="11">
        <v>43747.180219907408</v>
      </c>
      <c r="B2951" s="12" t="str">
        <f>HYPERLINK("https://twitter.com/Aydnn9","@Aydnn9")</f>
        <v>@Aydnn9</v>
      </c>
      <c r="C2951" s="7" t="s">
        <v>17211</v>
      </c>
      <c r="D2951" s="7" t="s">
        <v>17212</v>
      </c>
      <c r="E2951" s="12" t="str">
        <f>HYPERLINK("https://twitter.com/Aydnn9/status/1181891938829688832","1181891938829688832")</f>
        <v>1181891938829688832</v>
      </c>
      <c r="F2951" s="8"/>
      <c r="G2951" s="14" t="s">
        <v>17213</v>
      </c>
      <c r="H2951" s="8"/>
      <c r="I2951" s="15">
        <v>0</v>
      </c>
      <c r="J2951" s="15">
        <v>3</v>
      </c>
      <c r="K2951" s="12" t="str">
        <f>HYPERLINK("http://twitter.com/download/android","Twitter for Android")</f>
        <v>Twitter for Android</v>
      </c>
      <c r="L2951" s="16">
        <v>161</v>
      </c>
      <c r="M2951" s="16">
        <v>184</v>
      </c>
      <c r="N2951" s="16">
        <v>0</v>
      </c>
      <c r="O2951" s="17"/>
      <c r="P2951" s="18">
        <v>43203.740613425922</v>
      </c>
      <c r="Q2951" s="7" t="s">
        <v>17214</v>
      </c>
      <c r="R2951" s="7" t="s">
        <v>17215</v>
      </c>
      <c r="S2951" s="14" t="s">
        <v>17216</v>
      </c>
      <c r="T2951" s="8"/>
      <c r="U2951" s="19" t="str">
        <f>HYPERLINK("https://pbs.twimg.com/profile_images/1176913575966838785/lBSmzvMr.jpg","View")</f>
        <v>View</v>
      </c>
      <c r="V2951" s="8"/>
      <c r="W2951" s="8"/>
      <c r="X2951" s="8"/>
      <c r="Y2951" s="8"/>
      <c r="Z2951" s="8"/>
    </row>
    <row r="2952" spans="1:26" ht="12.75">
      <c r="A2952" s="11">
        <v>43747.180219907408</v>
      </c>
      <c r="B2952" s="12" t="str">
        <f>HYPERLINK("https://twitter.com/YaganReyyan","@YaganReyyan")</f>
        <v>@YaganReyyan</v>
      </c>
      <c r="C2952" s="7" t="s">
        <v>17217</v>
      </c>
      <c r="D2952" s="7" t="s">
        <v>17218</v>
      </c>
      <c r="E2952" s="12" t="str">
        <f>HYPERLINK("https://twitter.com/YaganReyyan/status/1181891938049544192","1181891938049544192")</f>
        <v>1181891938049544192</v>
      </c>
      <c r="F2952" s="8"/>
      <c r="G2952" s="14" t="s">
        <v>17219</v>
      </c>
      <c r="H2952" s="8"/>
      <c r="I2952" s="15">
        <v>0</v>
      </c>
      <c r="J2952" s="15">
        <v>0</v>
      </c>
      <c r="K2952" s="12" t="str">
        <f>HYPERLINK("http://twitter.com","Twitter Web Client")</f>
        <v>Twitter Web Client</v>
      </c>
      <c r="L2952" s="16">
        <v>2</v>
      </c>
      <c r="M2952" s="16">
        <v>0</v>
      </c>
      <c r="N2952" s="16">
        <v>0</v>
      </c>
      <c r="O2952" s="17"/>
      <c r="P2952" s="18">
        <v>43683.881377314814</v>
      </c>
      <c r="Q2952" s="7" t="s">
        <v>2277</v>
      </c>
      <c r="R2952" s="7" t="s">
        <v>15380</v>
      </c>
      <c r="S2952" s="8"/>
      <c r="T2952" s="8"/>
      <c r="U2952" s="19" t="str">
        <f>HYPERLINK("https://pbs.twimg.com/profile_images/1167223591643095041/FAq3nIxk.jpg","View")</f>
        <v>View</v>
      </c>
      <c r="V2952" s="8"/>
      <c r="W2952" s="8"/>
      <c r="X2952" s="8"/>
      <c r="Y2952" s="8"/>
      <c r="Z2952" s="8"/>
    </row>
    <row r="2953" spans="1:26" ht="12.75">
      <c r="A2953" s="11">
        <v>43747.180127314816</v>
      </c>
      <c r="B2953" s="12" t="str">
        <f>HYPERLINK("https://twitter.com/yildizbeyli","@yildizbeyli")</f>
        <v>@yildizbeyli</v>
      </c>
      <c r="C2953" s="7" t="s">
        <v>17220</v>
      </c>
      <c r="D2953" s="7" t="s">
        <v>12365</v>
      </c>
      <c r="E2953" s="12" t="str">
        <f>HYPERLINK("https://twitter.com/yildizbeyli/status/1181891904851660800","1181891904851660800")</f>
        <v>1181891904851660800</v>
      </c>
      <c r="F2953" s="8"/>
      <c r="G2953" s="14" t="s">
        <v>17221</v>
      </c>
      <c r="H2953" s="8"/>
      <c r="I2953" s="15">
        <v>0</v>
      </c>
      <c r="J2953" s="15">
        <v>2</v>
      </c>
      <c r="K2953" s="12" t="str">
        <f>HYPERLINK("http://twitter.com/download/android","Twitter for Android")</f>
        <v>Twitter for Android</v>
      </c>
      <c r="L2953" s="16">
        <v>70</v>
      </c>
      <c r="M2953" s="16">
        <v>25</v>
      </c>
      <c r="N2953" s="16">
        <v>0</v>
      </c>
      <c r="O2953" s="17"/>
      <c r="P2953" s="18">
        <v>42355.286435185189</v>
      </c>
      <c r="Q2953" s="7" t="s">
        <v>10009</v>
      </c>
      <c r="R2953" s="7" t="s">
        <v>17222</v>
      </c>
      <c r="S2953" s="8"/>
      <c r="T2953" s="8"/>
      <c r="U2953" s="19" t="str">
        <f>HYPERLINK("https://pbs.twimg.com/profile_images/857947055528046594/t7sFC_gQ.jpg","View")</f>
        <v>View</v>
      </c>
      <c r="V2953" s="8"/>
      <c r="W2953" s="8"/>
      <c r="X2953" s="8"/>
      <c r="Y2953" s="8"/>
      <c r="Z2953" s="8"/>
    </row>
    <row r="2954" spans="1:26" ht="12.75">
      <c r="A2954" s="11">
        <v>43747.180081018523</v>
      </c>
      <c r="B2954" s="12" t="str">
        <f>HYPERLINK("https://twitter.com/yyirmibesahmet","@yyirmibesahmet")</f>
        <v>@yyirmibesahmet</v>
      </c>
      <c r="C2954" s="7" t="s">
        <v>15486</v>
      </c>
      <c r="D2954" s="7" t="s">
        <v>17223</v>
      </c>
      <c r="E2954" s="12" t="str">
        <f>HYPERLINK("https://twitter.com/yyirmibesahmet/status/1181891888766472193","1181891888766472193")</f>
        <v>1181891888766472193</v>
      </c>
      <c r="F2954" s="8"/>
      <c r="G2954" s="14" t="s">
        <v>17224</v>
      </c>
      <c r="H2954" s="8"/>
      <c r="I2954" s="15">
        <v>0</v>
      </c>
      <c r="J2954" s="15">
        <v>7</v>
      </c>
      <c r="K2954" s="12" t="str">
        <f>HYPERLINK("http://twitter.com/download/iphone","Twitter for iPhone")</f>
        <v>Twitter for iPhone</v>
      </c>
      <c r="L2954" s="16">
        <v>1723</v>
      </c>
      <c r="M2954" s="16">
        <v>1065</v>
      </c>
      <c r="N2954" s="16">
        <v>2</v>
      </c>
      <c r="O2954" s="17"/>
      <c r="P2954" s="18">
        <v>42010.055914351848</v>
      </c>
      <c r="Q2954" s="7" t="s">
        <v>17225</v>
      </c>
      <c r="R2954" s="7" t="s">
        <v>17226</v>
      </c>
      <c r="S2954" s="14" t="s">
        <v>17227</v>
      </c>
      <c r="T2954" s="8"/>
      <c r="U2954" s="19" t="str">
        <f>HYPERLINK("https://pbs.twimg.com/profile_images/1163869636884127744/UkliERB6.jpg","View")</f>
        <v>View</v>
      </c>
      <c r="V2954" s="8"/>
      <c r="W2954" s="8"/>
      <c r="X2954" s="8"/>
      <c r="Y2954" s="8"/>
      <c r="Z2954" s="8"/>
    </row>
    <row r="2955" spans="1:26" ht="12.75">
      <c r="A2955" s="11">
        <v>43747.180081018523</v>
      </c>
      <c r="B2955" s="12" t="str">
        <f>HYPERLINK("https://twitter.com/IstihbaratMavi","@IstihbaratMavi")</f>
        <v>@IstihbaratMavi</v>
      </c>
      <c r="C2955" s="7" t="s">
        <v>17228</v>
      </c>
      <c r="D2955" s="7" t="s">
        <v>17229</v>
      </c>
      <c r="E2955" s="12" t="str">
        <f>HYPERLINK("https://twitter.com/IstihbaratMavi/status/1181891888170885120","1181891888170885120")</f>
        <v>1181891888170885120</v>
      </c>
      <c r="F2955" s="8"/>
      <c r="G2955" s="14" t="s">
        <v>17230</v>
      </c>
      <c r="H2955" s="8"/>
      <c r="I2955" s="15">
        <v>0</v>
      </c>
      <c r="J2955" s="15">
        <v>0</v>
      </c>
      <c r="K2955" s="12" t="str">
        <f>HYPERLINK("http://twitter.com/download/android","Twitter for Android")</f>
        <v>Twitter for Android</v>
      </c>
      <c r="L2955" s="16">
        <v>0</v>
      </c>
      <c r="M2955" s="16">
        <v>0</v>
      </c>
      <c r="N2955" s="16">
        <v>0</v>
      </c>
      <c r="O2955" s="17"/>
      <c r="P2955" s="18">
        <v>43747.176250000004</v>
      </c>
      <c r="Q2955" s="7"/>
      <c r="R2955" s="7"/>
      <c r="S2955" s="8"/>
      <c r="T2955" s="8"/>
      <c r="U2955" s="19" t="str">
        <f>HYPERLINK("https://pbs.twimg.com/profile_images/1181890546887008256/gdEhKMe2.jpg","View")</f>
        <v>View</v>
      </c>
      <c r="V2955" s="8"/>
      <c r="W2955" s="8"/>
      <c r="X2955" s="8"/>
      <c r="Y2955" s="8"/>
      <c r="Z2955" s="8"/>
    </row>
    <row r="2956" spans="1:26" ht="12.75">
      <c r="A2956" s="11">
        <v>43747.180069444439</v>
      </c>
      <c r="B2956" s="12" t="str">
        <f>HYPERLINK("https://twitter.com/yiitbalkanl","@yiitbalkanl")</f>
        <v>@yiitbalkanl</v>
      </c>
      <c r="C2956" s="7" t="s">
        <v>17231</v>
      </c>
      <c r="D2956" s="7" t="s">
        <v>17232</v>
      </c>
      <c r="E2956" s="12" t="str">
        <f>HYPERLINK("https://twitter.com/yiitbalkanl/status/1181891885184540679","1181891885184540679")</f>
        <v>1181891885184540679</v>
      </c>
      <c r="F2956" s="15"/>
      <c r="G2956" s="14" t="s">
        <v>17233</v>
      </c>
      <c r="H2956" s="8"/>
      <c r="I2956" s="15">
        <v>0</v>
      </c>
      <c r="J2956" s="15">
        <v>4</v>
      </c>
      <c r="K2956" s="12" t="str">
        <f>HYPERLINK("http://twitter.com/download/android","Twitter for Android")</f>
        <v>Twitter for Android</v>
      </c>
      <c r="L2956" s="16">
        <v>340</v>
      </c>
      <c r="M2956" s="16">
        <v>827</v>
      </c>
      <c r="N2956" s="16">
        <v>0</v>
      </c>
      <c r="O2956" s="17"/>
      <c r="P2956" s="18">
        <v>41281.189756944441</v>
      </c>
      <c r="Q2956" s="7" t="s">
        <v>17234</v>
      </c>
      <c r="R2956" s="7"/>
      <c r="S2956" s="8"/>
      <c r="T2956" s="8"/>
      <c r="U2956" s="19" t="str">
        <f>HYPERLINK("https://pbs.twimg.com/profile_images/1171438285664616454/GSqYvNDd.jpg","View")</f>
        <v>View</v>
      </c>
      <c r="V2956" s="8"/>
      <c r="W2956" s="8"/>
      <c r="X2956" s="8"/>
      <c r="Y2956" s="8"/>
      <c r="Z2956" s="8"/>
    </row>
    <row r="2957" spans="1:26" ht="12.75">
      <c r="A2957" s="11">
        <v>43747.18</v>
      </c>
      <c r="B2957" s="12" t="str">
        <f>HYPERLINK("https://twitter.com/bluee_man00","@bluee_man00")</f>
        <v>@bluee_man00</v>
      </c>
      <c r="C2957" s="7" t="s">
        <v>17235</v>
      </c>
      <c r="D2957" s="15" t="s">
        <v>17236</v>
      </c>
      <c r="E2957" s="12" t="str">
        <f>HYPERLINK("https://twitter.com/bluee_man00/status/1181891859058188288","1181891859058188288")</f>
        <v>1181891859058188288</v>
      </c>
      <c r="F2957" s="8"/>
      <c r="G2957" s="14" t="s">
        <v>17237</v>
      </c>
      <c r="H2957" s="8"/>
      <c r="I2957" s="15">
        <v>0</v>
      </c>
      <c r="J2957" s="15">
        <v>1</v>
      </c>
      <c r="K2957" s="12" t="str">
        <f>HYPERLINK("http://twitter.com/download/android","Twitter for Android")</f>
        <v>Twitter for Android</v>
      </c>
      <c r="L2957" s="16">
        <v>3194</v>
      </c>
      <c r="M2957" s="16">
        <v>2677</v>
      </c>
      <c r="N2957" s="16">
        <v>1</v>
      </c>
      <c r="O2957" s="17"/>
      <c r="P2957" s="18">
        <v>42199.751064814816</v>
      </c>
      <c r="Q2957" s="7" t="s">
        <v>17238</v>
      </c>
      <c r="R2957" s="7" t="s">
        <v>17239</v>
      </c>
      <c r="S2957" s="8"/>
      <c r="T2957" s="8"/>
      <c r="U2957" s="19" t="str">
        <f>HYPERLINK("https://pbs.twimg.com/profile_images/1173693465751957504/GV8Kh-65.jpg","View")</f>
        <v>View</v>
      </c>
      <c r="V2957" s="8"/>
      <c r="W2957" s="8"/>
      <c r="X2957" s="8"/>
      <c r="Y2957" s="8"/>
      <c r="Z2957" s="8"/>
    </row>
    <row r="2958" spans="1:26" ht="12.75">
      <c r="A2958" s="11">
        <v>43747.179907407408</v>
      </c>
      <c r="B2958" s="12" t="str">
        <f>HYPERLINK("https://twitter.com/mtahakbulut","@mtahakbulut")</f>
        <v>@mtahakbulut</v>
      </c>
      <c r="C2958" s="7" t="s">
        <v>17241</v>
      </c>
      <c r="D2958" s="7" t="s">
        <v>17242</v>
      </c>
      <c r="E2958" s="12" t="str">
        <f>HYPERLINK("https://twitter.com/mtahakbulut/status/1181891825109483520","1181891825109483520")</f>
        <v>1181891825109483520</v>
      </c>
      <c r="F2958" s="8"/>
      <c r="G2958" s="15"/>
      <c r="H2958" s="8"/>
      <c r="I2958" s="15">
        <v>1</v>
      </c>
      <c r="J2958" s="15">
        <v>2</v>
      </c>
      <c r="K2958" s="12" t="str">
        <f>HYPERLINK("http://twitter.com/download/android","Twitter for Android")</f>
        <v>Twitter for Android</v>
      </c>
      <c r="L2958" s="16">
        <v>513</v>
      </c>
      <c r="M2958" s="16">
        <v>173</v>
      </c>
      <c r="N2958" s="16">
        <v>1</v>
      </c>
      <c r="O2958" s="17"/>
      <c r="P2958" s="18">
        <v>41341.640879629631</v>
      </c>
      <c r="Q2958" s="7" t="s">
        <v>1193</v>
      </c>
      <c r="R2958" s="7" t="s">
        <v>17243</v>
      </c>
      <c r="S2958" s="14" t="s">
        <v>17244</v>
      </c>
      <c r="T2958" s="8"/>
      <c r="U2958" s="19" t="str">
        <f>HYPERLINK("https://pbs.twimg.com/profile_images/1179720372779917312/PfZshXSm.jpg","View")</f>
        <v>View</v>
      </c>
      <c r="V2958" s="8"/>
      <c r="W2958" s="8"/>
      <c r="X2958" s="8"/>
      <c r="Y2958" s="8"/>
      <c r="Z2958" s="8"/>
    </row>
    <row r="2959" spans="1:26" ht="12.75">
      <c r="A2959" s="11">
        <v>43747.179872685185</v>
      </c>
      <c r="B2959" s="12" t="str">
        <f>HYPERLINK("https://twitter.com/aydogangun26","@aydogangun26")</f>
        <v>@aydogangun26</v>
      </c>
      <c r="C2959" s="7" t="s">
        <v>17245</v>
      </c>
      <c r="D2959" s="7" t="s">
        <v>17246</v>
      </c>
      <c r="E2959" s="12" t="str">
        <f>HYPERLINK("https://twitter.com/aydogangun26/status/1181891815584272385","1181891815584272385")</f>
        <v>1181891815584272385</v>
      </c>
      <c r="F2959" s="8"/>
      <c r="G2959" s="14" t="s">
        <v>17247</v>
      </c>
      <c r="H2959" s="8"/>
      <c r="I2959" s="15">
        <v>0</v>
      </c>
      <c r="J2959" s="15">
        <v>3</v>
      </c>
      <c r="K2959" s="12" t="str">
        <f>HYPERLINK("http://twitter.com/download/android","Twitter for Android")</f>
        <v>Twitter for Android</v>
      </c>
      <c r="L2959" s="16">
        <v>4</v>
      </c>
      <c r="M2959" s="16">
        <v>30</v>
      </c>
      <c r="N2959" s="16">
        <v>0</v>
      </c>
      <c r="O2959" s="17"/>
      <c r="P2959" s="18">
        <v>43683.424583333333</v>
      </c>
      <c r="Q2959" s="7"/>
      <c r="R2959" s="7"/>
      <c r="S2959" s="8"/>
      <c r="T2959" s="8"/>
      <c r="U2959" s="19" t="str">
        <f>HYPERLINK("https://pbs.twimg.com/profile_images/1158791058786070528/PCN4zpG5.jpg","View")</f>
        <v>View</v>
      </c>
      <c r="V2959" s="8"/>
      <c r="W2959" s="8"/>
      <c r="X2959" s="8"/>
      <c r="Y2959" s="8"/>
      <c r="Z2959" s="8"/>
    </row>
    <row r="2960" spans="1:26" ht="12.75">
      <c r="A2960" s="11">
        <v>43747.179780092592</v>
      </c>
      <c r="B2960" s="12" t="str">
        <f>HYPERLINK("https://twitter.com/HMacar","@HMacar")</f>
        <v>@HMacar</v>
      </c>
      <c r="C2960" s="7" t="s">
        <v>17248</v>
      </c>
      <c r="D2960" s="7" t="s">
        <v>17249</v>
      </c>
      <c r="E2960" s="12" t="str">
        <f>HYPERLINK("https://twitter.com/HMacar/status/1181891780515639297","1181891780515639297")</f>
        <v>1181891780515639297</v>
      </c>
      <c r="F2960" s="8"/>
      <c r="G2960" s="7"/>
      <c r="H2960" s="8"/>
      <c r="I2960" s="15">
        <v>0</v>
      </c>
      <c r="J2960" s="15">
        <v>3</v>
      </c>
      <c r="K2960" s="12" t="str">
        <f>HYPERLINK("http://twitter.com/download/android","Twitter for Android")</f>
        <v>Twitter for Android</v>
      </c>
      <c r="L2960" s="16">
        <v>254</v>
      </c>
      <c r="M2960" s="16">
        <v>960</v>
      </c>
      <c r="N2960" s="16">
        <v>0</v>
      </c>
      <c r="O2960" s="17"/>
      <c r="P2960" s="18">
        <v>40713.465555555558</v>
      </c>
      <c r="Q2960" s="7" t="s">
        <v>313</v>
      </c>
      <c r="R2960" s="7" t="s">
        <v>17250</v>
      </c>
      <c r="S2960" s="8"/>
      <c r="T2960" s="8"/>
      <c r="U2960" s="19" t="str">
        <f>HYPERLINK("https://pbs.twimg.com/profile_images/910251877899661317/C-zTF0_9.jpg","View")</f>
        <v>View</v>
      </c>
      <c r="V2960" s="8"/>
      <c r="W2960" s="8"/>
      <c r="X2960" s="8"/>
      <c r="Y2960" s="8"/>
      <c r="Z2960" s="8"/>
    </row>
    <row r="2961" spans="1:26" ht="12.75">
      <c r="A2961" s="11">
        <v>43747.179756944446</v>
      </c>
      <c r="B2961" s="12" t="str">
        <f>HYPERLINK("https://twitter.com/himmetcetin802","@himmetcetin802")</f>
        <v>@himmetcetin802</v>
      </c>
      <c r="C2961" s="7" t="s">
        <v>17251</v>
      </c>
      <c r="D2961" s="7" t="s">
        <v>17252</v>
      </c>
      <c r="E2961" s="12" t="str">
        <f>HYPERLINK("https://twitter.com/himmetcetin802/status/1181891770810093568","1181891770810093568")</f>
        <v>1181891770810093568</v>
      </c>
      <c r="F2961" s="14" t="s">
        <v>17253</v>
      </c>
      <c r="G2961" s="15"/>
      <c r="H2961" s="8"/>
      <c r="I2961" s="15">
        <v>0</v>
      </c>
      <c r="J2961" s="15">
        <v>1</v>
      </c>
      <c r="K2961" s="12" t="str">
        <f>HYPERLINK("http://instagram.com","Instagram")</f>
        <v>Instagram</v>
      </c>
      <c r="L2961" s="16">
        <v>61</v>
      </c>
      <c r="M2961" s="16">
        <v>295</v>
      </c>
      <c r="N2961" s="16">
        <v>0</v>
      </c>
      <c r="O2961" s="17"/>
      <c r="P2961" s="18">
        <v>42350.142650462964</v>
      </c>
      <c r="Q2961" s="7" t="s">
        <v>80</v>
      </c>
      <c r="R2961" s="7" t="s">
        <v>17254</v>
      </c>
      <c r="S2961" s="8"/>
      <c r="T2961" s="8"/>
      <c r="U2961" s="19" t="str">
        <f>HYPERLINK("https://pbs.twimg.com/profile_images/1067356105389629445/xjUDdvSe.jpg","View")</f>
        <v>View</v>
      </c>
      <c r="V2961" s="8"/>
      <c r="W2961" s="8"/>
      <c r="X2961" s="8"/>
      <c r="Y2961" s="8"/>
      <c r="Z2961" s="8"/>
    </row>
    <row r="2962" spans="1:26" ht="12.75">
      <c r="A2962" s="11">
        <v>43747.179664351846</v>
      </c>
      <c r="B2962" s="12" t="str">
        <f>HYPERLINK("https://twitter.com/elmasakn666","@elmasakn666")</f>
        <v>@elmasakn666</v>
      </c>
      <c r="C2962" s="7" t="s">
        <v>17255</v>
      </c>
      <c r="D2962" s="7" t="s">
        <v>160</v>
      </c>
      <c r="E2962" s="12" t="str">
        <f>HYPERLINK("https://twitter.com/elmasakn666/status/1181891736248946689","1181891736248946689")</f>
        <v>1181891736248946689</v>
      </c>
      <c r="F2962" s="8"/>
      <c r="G2962" s="14" t="s">
        <v>17256</v>
      </c>
      <c r="H2962" s="8"/>
      <c r="I2962" s="15">
        <v>0</v>
      </c>
      <c r="J2962" s="15">
        <v>1</v>
      </c>
      <c r="K2962" s="12" t="str">
        <f>HYPERLINK("http://twitter.com/download/android","Twitter for Android")</f>
        <v>Twitter for Android</v>
      </c>
      <c r="L2962" s="16">
        <v>512</v>
      </c>
      <c r="M2962" s="16">
        <v>1017</v>
      </c>
      <c r="N2962" s="16">
        <v>0</v>
      </c>
      <c r="O2962" s="17"/>
      <c r="P2962" s="18">
        <v>41493.677800925929</v>
      </c>
      <c r="Q2962" s="7"/>
      <c r="R2962" s="7" t="s">
        <v>17257</v>
      </c>
      <c r="S2962" s="8"/>
      <c r="T2962" s="8"/>
      <c r="U2962" s="19" t="str">
        <f>HYPERLINK("https://pbs.twimg.com/profile_images/1148495999188574208/JfKxIYtI.jpg","View")</f>
        <v>View</v>
      </c>
      <c r="V2962" s="8"/>
      <c r="W2962" s="8"/>
      <c r="X2962" s="8"/>
      <c r="Y2962" s="8"/>
      <c r="Z2962" s="8"/>
    </row>
    <row r="2963" spans="1:26" ht="12.75">
      <c r="A2963" s="11">
        <v>43747.179641203707</v>
      </c>
      <c r="B2963" s="12" t="str">
        <f>HYPERLINK("https://twitter.com/Deli_dalga_","@Deli_dalga_")</f>
        <v>@Deli_dalga_</v>
      </c>
      <c r="C2963" s="7" t="s">
        <v>17258</v>
      </c>
      <c r="D2963" s="7" t="s">
        <v>17259</v>
      </c>
      <c r="E2963" s="12" t="str">
        <f>HYPERLINK("https://twitter.com/Deli_dalga_/status/1181891731647799296","1181891731647799296")</f>
        <v>1181891731647799296</v>
      </c>
      <c r="F2963" s="8"/>
      <c r="G2963" s="14" t="s">
        <v>17260</v>
      </c>
      <c r="H2963" s="8"/>
      <c r="I2963" s="15">
        <v>5</v>
      </c>
      <c r="J2963" s="15">
        <v>23</v>
      </c>
      <c r="K2963" s="12" t="str">
        <f>HYPERLINK("http://twitter.com/download/android","Twitter for Android")</f>
        <v>Twitter for Android</v>
      </c>
      <c r="L2963" s="16">
        <v>23183</v>
      </c>
      <c r="M2963" s="16">
        <v>12105</v>
      </c>
      <c r="N2963" s="16">
        <v>36</v>
      </c>
      <c r="O2963" s="17"/>
      <c r="P2963" s="18">
        <v>42388.393935185188</v>
      </c>
      <c r="Q2963" s="7" t="s">
        <v>17261</v>
      </c>
      <c r="R2963" s="7" t="s">
        <v>17262</v>
      </c>
      <c r="S2963" s="8"/>
      <c r="T2963" s="8"/>
      <c r="U2963" s="19" t="str">
        <f>HYPERLINK("https://pbs.twimg.com/profile_images/1179684937294852097/gZp_8Sg-.jpg","View")</f>
        <v>View</v>
      </c>
      <c r="V2963" s="8"/>
      <c r="W2963" s="8"/>
      <c r="X2963" s="8"/>
      <c r="Y2963" s="8"/>
      <c r="Z2963" s="8"/>
    </row>
    <row r="2964" spans="1:26" ht="12.75">
      <c r="A2964" s="11">
        <v>43747.179502314815</v>
      </c>
      <c r="B2964" s="12" t="str">
        <f>HYPERLINK("https://twitter.com/CalukPerisu","@CalukPerisu")</f>
        <v>@CalukPerisu</v>
      </c>
      <c r="C2964" s="7" t="s">
        <v>17263</v>
      </c>
      <c r="D2964" s="7" t="s">
        <v>17264</v>
      </c>
      <c r="E2964" s="12" t="str">
        <f>HYPERLINK("https://twitter.com/CalukPerisu/status/1181891680489873409","1181891680489873409")</f>
        <v>1181891680489873409</v>
      </c>
      <c r="F2964" s="8"/>
      <c r="G2964" s="7"/>
      <c r="H2964" s="8"/>
      <c r="I2964" s="15">
        <v>0</v>
      </c>
      <c r="J2964" s="15">
        <v>1</v>
      </c>
      <c r="K2964" s="12" t="str">
        <f>HYPERLINK("http://twitter.com","Twitter Web Client")</f>
        <v>Twitter Web Client</v>
      </c>
      <c r="L2964" s="16">
        <v>18</v>
      </c>
      <c r="M2964" s="16">
        <v>0</v>
      </c>
      <c r="N2964" s="16">
        <v>0</v>
      </c>
      <c r="O2964" s="17"/>
      <c r="P2964" s="18">
        <v>43703.273530092592</v>
      </c>
      <c r="Q2964" s="7" t="s">
        <v>13157</v>
      </c>
      <c r="R2964" s="7" t="s">
        <v>17265</v>
      </c>
      <c r="S2964" s="8"/>
      <c r="T2964" s="8"/>
      <c r="U2964" s="19" t="str">
        <f>HYPERLINK("https://pbs.twimg.com/profile_images/1166786355726364682/uINqvNQ0.jpg","View")</f>
        <v>View</v>
      </c>
      <c r="V2964" s="8"/>
      <c r="W2964" s="8"/>
      <c r="X2964" s="8"/>
      <c r="Y2964" s="8"/>
      <c r="Z2964" s="8"/>
    </row>
    <row r="2965" spans="1:26" ht="12.75">
      <c r="A2965" s="11">
        <v>43747.179444444446</v>
      </c>
      <c r="B2965" s="12" t="str">
        <f>HYPERLINK("https://twitter.com/Gen_Zeki_mah","@Gen_Zeki_mah")</f>
        <v>@Gen_Zeki_mah</v>
      </c>
      <c r="C2965" s="7" t="s">
        <v>17266</v>
      </c>
      <c r="D2965" s="7" t="s">
        <v>15087</v>
      </c>
      <c r="E2965" s="12" t="str">
        <f>HYPERLINK("https://twitter.com/Gen_Zeki_mah/status/1181891660168474626","1181891660168474626")</f>
        <v>1181891660168474626</v>
      </c>
      <c r="F2965" s="8"/>
      <c r="G2965" s="14" t="s">
        <v>17267</v>
      </c>
      <c r="H2965" s="8"/>
      <c r="I2965" s="15">
        <v>1</v>
      </c>
      <c r="J2965" s="15">
        <v>8</v>
      </c>
      <c r="K2965" s="12" t="str">
        <f>HYPERLINK("http://twitter.com/download/android","Twitter for Android")</f>
        <v>Twitter for Android</v>
      </c>
      <c r="L2965" s="16">
        <v>223</v>
      </c>
      <c r="M2965" s="16">
        <v>155</v>
      </c>
      <c r="N2965" s="16">
        <v>0</v>
      </c>
      <c r="O2965" s="17"/>
      <c r="P2965" s="18">
        <v>43079.052662037036</v>
      </c>
      <c r="Q2965" s="7" t="s">
        <v>287</v>
      </c>
      <c r="R2965" s="7" t="s">
        <v>17268</v>
      </c>
      <c r="S2965" s="8"/>
      <c r="T2965" s="8"/>
      <c r="U2965" s="19" t="str">
        <f>HYPERLINK("https://pbs.twimg.com/profile_images/1151798970215276545/UVVSsFKR.jpg","View")</f>
        <v>View</v>
      </c>
      <c r="V2965" s="8"/>
      <c r="W2965" s="8"/>
      <c r="X2965" s="8"/>
      <c r="Y2965" s="8"/>
      <c r="Z2965" s="8"/>
    </row>
    <row r="2966" spans="1:26" ht="12.75">
      <c r="A2966" s="11">
        <v>43747.179386574076</v>
      </c>
      <c r="B2966" s="12" t="str">
        <f>HYPERLINK("https://twitter.com/YusufAlak13","@YusufAlak13")</f>
        <v>@YusufAlak13</v>
      </c>
      <c r="C2966" s="7" t="s">
        <v>17269</v>
      </c>
      <c r="D2966" s="7" t="s">
        <v>17270</v>
      </c>
      <c r="E2966" s="12" t="str">
        <f>HYPERLINK("https://twitter.com/YusufAlak13/status/1181891636793679872","1181891636793679872")</f>
        <v>1181891636793679872</v>
      </c>
      <c r="F2966" s="8"/>
      <c r="G2966" s="7"/>
      <c r="H2966" s="8"/>
      <c r="I2966" s="15">
        <v>0</v>
      </c>
      <c r="J2966" s="15">
        <v>1</v>
      </c>
      <c r="K2966" s="12" t="str">
        <f>HYPERLINK("http://twitter.com/download/android","Twitter for Android")</f>
        <v>Twitter for Android</v>
      </c>
      <c r="L2966" s="16">
        <v>113</v>
      </c>
      <c r="M2966" s="16">
        <v>301</v>
      </c>
      <c r="N2966" s="16">
        <v>0</v>
      </c>
      <c r="O2966" s="17"/>
      <c r="P2966" s="18">
        <v>43596.27407407407</v>
      </c>
      <c r="Q2966" s="7"/>
      <c r="R2966" s="7" t="s">
        <v>17271</v>
      </c>
      <c r="S2966" s="8"/>
      <c r="T2966" s="8"/>
      <c r="U2966" s="19" t="str">
        <f>HYPERLINK("https://pbs.twimg.com/profile_images/1151583693842059265/cfUQcgRS.jpg","View")</f>
        <v>View</v>
      </c>
      <c r="V2966" s="8"/>
      <c r="W2966" s="8"/>
      <c r="X2966" s="8"/>
      <c r="Y2966" s="8"/>
      <c r="Z2966" s="8"/>
    </row>
    <row r="2967" spans="1:26" ht="12.75">
      <c r="A2967" s="11">
        <v>43747.179386574076</v>
      </c>
      <c r="B2967" s="12" t="str">
        <f>HYPERLINK("https://twitter.com/enginkarayasar","@enginkarayasar")</f>
        <v>@enginkarayasar</v>
      </c>
      <c r="C2967" s="7" t="s">
        <v>17272</v>
      </c>
      <c r="D2967" s="7" t="s">
        <v>160</v>
      </c>
      <c r="E2967" s="12" t="str">
        <f>HYPERLINK("https://twitter.com/enginkarayasar/status/1181891636369997824","1181891636369997824")</f>
        <v>1181891636369997824</v>
      </c>
      <c r="F2967" s="7"/>
      <c r="G2967" s="14" t="s">
        <v>17273</v>
      </c>
      <c r="H2967" s="8"/>
      <c r="I2967" s="15">
        <v>0</v>
      </c>
      <c r="J2967" s="15">
        <v>2</v>
      </c>
      <c r="K2967" s="12" t="str">
        <f>HYPERLINK("http://twitter.com/download/iphone","Twitter for iPhone")</f>
        <v>Twitter for iPhone</v>
      </c>
      <c r="L2967" s="16">
        <v>273</v>
      </c>
      <c r="M2967" s="16">
        <v>459</v>
      </c>
      <c r="N2967" s="16">
        <v>2</v>
      </c>
      <c r="O2967" s="17"/>
      <c r="P2967" s="18">
        <v>40731.524826388893</v>
      </c>
      <c r="Q2967" s="7"/>
      <c r="R2967" s="7" t="s">
        <v>17274</v>
      </c>
      <c r="S2967" s="8"/>
      <c r="T2967" s="8"/>
      <c r="U2967" s="19" t="str">
        <f>HYPERLINK("https://pbs.twimg.com/profile_images/1138354848674529281/WCPxPkyq.jpg","View")</f>
        <v>View</v>
      </c>
      <c r="V2967" s="8"/>
      <c r="W2967" s="8"/>
      <c r="X2967" s="8"/>
      <c r="Y2967" s="8"/>
      <c r="Z2967" s="8"/>
    </row>
    <row r="2968" spans="1:26" ht="12.75">
      <c r="A2968" s="11">
        <v>43747.179363425923</v>
      </c>
      <c r="B2968" s="12" t="str">
        <f>HYPERLINK("https://twitter.com/6kattugba","@6kattugba")</f>
        <v>@6kattugba</v>
      </c>
      <c r="C2968" s="7" t="s">
        <v>17275</v>
      </c>
      <c r="D2968" s="7" t="s">
        <v>17276</v>
      </c>
      <c r="E2968" s="12" t="str">
        <f>HYPERLINK("https://twitter.com/6kattugba/status/1181891628820291584","1181891628820291584")</f>
        <v>1181891628820291584</v>
      </c>
      <c r="F2968" s="8"/>
      <c r="G2968" s="7"/>
      <c r="H2968" s="8"/>
      <c r="I2968" s="15">
        <v>0</v>
      </c>
      <c r="J2968" s="15">
        <v>2</v>
      </c>
      <c r="K2968" s="12" t="str">
        <f>HYPERLINK("http://twitter.com/download/android","Twitter for Android")</f>
        <v>Twitter for Android</v>
      </c>
      <c r="L2968" s="16">
        <v>72</v>
      </c>
      <c r="M2968" s="16">
        <v>92</v>
      </c>
      <c r="N2968" s="16">
        <v>0</v>
      </c>
      <c r="O2968" s="17"/>
      <c r="P2968" s="18">
        <v>43714.482164351852</v>
      </c>
      <c r="Q2968" s="7"/>
      <c r="R2968" s="7" t="s">
        <v>17277</v>
      </c>
      <c r="S2968" s="8"/>
      <c r="T2968" s="8"/>
      <c r="U2968" s="19" t="str">
        <f>HYPERLINK("https://pbs.twimg.com/profile_images/1179404758156763136/UtxZb07n.jpg","View")</f>
        <v>View</v>
      </c>
      <c r="V2968" s="8"/>
      <c r="W2968" s="8"/>
      <c r="X2968" s="8"/>
      <c r="Y2968" s="8"/>
      <c r="Z2968" s="8"/>
    </row>
    <row r="2969" spans="1:26" ht="12.75">
      <c r="A2969" s="11">
        <v>43747.179282407407</v>
      </c>
      <c r="B2969" s="12" t="str">
        <f>HYPERLINK("https://twitter.com/serhatkymk","@serhatkymk")</f>
        <v>@serhatkymk</v>
      </c>
      <c r="C2969" s="7" t="s">
        <v>17278</v>
      </c>
      <c r="D2969" s="7" t="s">
        <v>17279</v>
      </c>
      <c r="E2969" s="12" t="str">
        <f>HYPERLINK("https://twitter.com/serhatkymk/status/1181891599158140929","1181891599158140929")</f>
        <v>1181891599158140929</v>
      </c>
      <c r="F2969" s="8"/>
      <c r="G2969" s="14" t="s">
        <v>17280</v>
      </c>
      <c r="H2969" s="8"/>
      <c r="I2969" s="15">
        <v>0</v>
      </c>
      <c r="J2969" s="15">
        <v>4</v>
      </c>
      <c r="K2969" s="12" t="str">
        <f>HYPERLINK("http://twitter.com/download/iphone","Twitter for iPhone")</f>
        <v>Twitter for iPhone</v>
      </c>
      <c r="L2969" s="16">
        <v>851</v>
      </c>
      <c r="M2969" s="16">
        <v>512</v>
      </c>
      <c r="N2969" s="16">
        <v>1</v>
      </c>
      <c r="O2969" s="17"/>
      <c r="P2969" s="18">
        <v>40556.577789351853</v>
      </c>
      <c r="Q2969" s="7" t="s">
        <v>313</v>
      </c>
      <c r="R2969" s="7" t="s">
        <v>17281</v>
      </c>
      <c r="S2969" s="8"/>
      <c r="T2969" s="8"/>
      <c r="U2969" s="19" t="str">
        <f>HYPERLINK("https://pbs.twimg.com/profile_images/1163156215985311745/W9_xh3q1.jpg","View")</f>
        <v>View</v>
      </c>
      <c r="V2969" s="8"/>
      <c r="W2969" s="8"/>
      <c r="X2969" s="8"/>
      <c r="Y2969" s="8"/>
      <c r="Z2969" s="8"/>
    </row>
    <row r="2970" spans="1:26" ht="12.75">
      <c r="A2970" s="11">
        <v>43747.179259259261</v>
      </c>
      <c r="B2970" s="12" t="str">
        <f>HYPERLINK("https://twitter.com/EmineErdemsoy","@EmineErdemsoy")</f>
        <v>@EmineErdemsoy</v>
      </c>
      <c r="C2970" s="7" t="s">
        <v>17282</v>
      </c>
      <c r="D2970" s="7" t="s">
        <v>17283</v>
      </c>
      <c r="E2970" s="12" t="str">
        <f>HYPERLINK("https://twitter.com/EmineErdemsoy/status/1181891590891151360","1181891590891151360")</f>
        <v>1181891590891151360</v>
      </c>
      <c r="F2970" s="15"/>
      <c r="G2970" s="15"/>
      <c r="H2970" s="8"/>
      <c r="I2970" s="15">
        <v>0</v>
      </c>
      <c r="J2970" s="15">
        <v>2</v>
      </c>
      <c r="K2970" s="12" t="str">
        <f>HYPERLINK("http://twitter.com/download/android","Twitter for Android")</f>
        <v>Twitter for Android</v>
      </c>
      <c r="L2970" s="16">
        <v>295</v>
      </c>
      <c r="M2970" s="16">
        <v>400</v>
      </c>
      <c r="N2970" s="16">
        <v>2</v>
      </c>
      <c r="O2970" s="17"/>
      <c r="P2970" s="18">
        <v>43071.325046296297</v>
      </c>
      <c r="Q2970" s="7" t="s">
        <v>3210</v>
      </c>
      <c r="R2970" s="7" t="s">
        <v>17284</v>
      </c>
      <c r="S2970" s="8"/>
      <c r="T2970" s="8"/>
      <c r="U2970" s="19" t="str">
        <f>HYPERLINK("https://pbs.twimg.com/profile_images/1151226649066782725/5phnI-yE.jpg","View")</f>
        <v>View</v>
      </c>
      <c r="V2970" s="8"/>
      <c r="W2970" s="8"/>
      <c r="X2970" s="8"/>
      <c r="Y2970" s="8"/>
      <c r="Z2970" s="8"/>
    </row>
    <row r="2971" spans="1:26" ht="12.75">
      <c r="A2971" s="11">
        <v>43747.179178240738</v>
      </c>
      <c r="B2971" s="12" t="str">
        <f>HYPERLINK("https://twitter.com/gokhancico","@gokhancico")</f>
        <v>@gokhancico</v>
      </c>
      <c r="C2971" s="7" t="s">
        <v>17285</v>
      </c>
      <c r="D2971" s="7" t="s">
        <v>17286</v>
      </c>
      <c r="E2971" s="12" t="str">
        <f>HYPERLINK("https://twitter.com/gokhancico/status/1181891562269265920","1181891562269265920")</f>
        <v>1181891562269265920</v>
      </c>
      <c r="F2971" s="8"/>
      <c r="G2971" s="15"/>
      <c r="H2971" s="8"/>
      <c r="I2971" s="15">
        <v>0</v>
      </c>
      <c r="J2971" s="15">
        <v>1</v>
      </c>
      <c r="K2971" s="12" t="str">
        <f>HYPERLINK("http://twitter.com/download/android","Twitter for Android")</f>
        <v>Twitter for Android</v>
      </c>
      <c r="L2971" s="16">
        <v>38</v>
      </c>
      <c r="M2971" s="16">
        <v>119</v>
      </c>
      <c r="N2971" s="16">
        <v>0</v>
      </c>
      <c r="O2971" s="17"/>
      <c r="P2971" s="18">
        <v>41134.519479166665</v>
      </c>
      <c r="Q2971" s="7" t="s">
        <v>80</v>
      </c>
      <c r="R2971" s="7" t="s">
        <v>17287</v>
      </c>
      <c r="S2971" s="8"/>
      <c r="T2971" s="8"/>
      <c r="U2971" s="19" t="str">
        <f>HYPERLINK("https://pbs.twimg.com/profile_images/1179638047853469696/gcWY047V.jpg","View")</f>
        <v>View</v>
      </c>
      <c r="V2971" s="8"/>
      <c r="W2971" s="8"/>
      <c r="X2971" s="8"/>
      <c r="Y2971" s="8"/>
      <c r="Z2971" s="8"/>
    </row>
    <row r="2972" spans="1:26" ht="12.75">
      <c r="A2972" s="11">
        <v>43747.179085648153</v>
      </c>
      <c r="B2972" s="12" t="str">
        <f>HYPERLINK("https://twitter.com/madeinallyos","@madeinallyos")</f>
        <v>@madeinallyos</v>
      </c>
      <c r="C2972" s="7" t="s">
        <v>17288</v>
      </c>
      <c r="D2972" s="7" t="s">
        <v>17289</v>
      </c>
      <c r="E2972" s="12" t="str">
        <f>HYPERLINK("https://twitter.com/madeinallyos/status/1181891528693862400","1181891528693862400")</f>
        <v>1181891528693862400</v>
      </c>
      <c r="F2972" s="8"/>
      <c r="G2972" s="14" t="s">
        <v>17290</v>
      </c>
      <c r="H2972" s="8"/>
      <c r="I2972" s="15">
        <v>0</v>
      </c>
      <c r="J2972" s="15">
        <v>4</v>
      </c>
      <c r="K2972" s="12" t="str">
        <f>HYPERLINK("http://twitter.com/download/android","Twitter for Android")</f>
        <v>Twitter for Android</v>
      </c>
      <c r="L2972" s="16">
        <v>576</v>
      </c>
      <c r="M2972" s="16">
        <v>942</v>
      </c>
      <c r="N2972" s="16">
        <v>0</v>
      </c>
      <c r="O2972" s="17"/>
      <c r="P2972" s="18">
        <v>40358.532453703701</v>
      </c>
      <c r="Q2972" s="7"/>
      <c r="R2972" s="7"/>
      <c r="S2972" s="8"/>
      <c r="T2972" s="8"/>
      <c r="U2972" s="19" t="str">
        <f>HYPERLINK("https://pbs.twimg.com/profile_images/1146299020249354243/oXVJ9TWH.jpg","View")</f>
        <v>View</v>
      </c>
      <c r="V2972" s="8"/>
      <c r="W2972" s="8"/>
      <c r="X2972" s="8"/>
      <c r="Y2972" s="8"/>
      <c r="Z2972" s="8"/>
    </row>
    <row r="2973" spans="1:26" ht="12.75">
      <c r="A2973" s="11">
        <v>43747.179062499999</v>
      </c>
      <c r="B2973" s="12" t="str">
        <f>HYPERLINK("https://twitter.com/yc_kayaa","@yc_kayaa")</f>
        <v>@yc_kayaa</v>
      </c>
      <c r="C2973" s="7" t="s">
        <v>17291</v>
      </c>
      <c r="D2973" s="7" t="s">
        <v>17292</v>
      </c>
      <c r="E2973" s="12" t="str">
        <f>HYPERLINK("https://twitter.com/yc_kayaa/status/1181891519369957377","1181891519369957377")</f>
        <v>1181891519369957377</v>
      </c>
      <c r="F2973" s="14" t="s">
        <v>14429</v>
      </c>
      <c r="G2973" s="14" t="s">
        <v>14430</v>
      </c>
      <c r="H2973" s="8"/>
      <c r="I2973" s="15">
        <v>0</v>
      </c>
      <c r="J2973" s="15">
        <v>5</v>
      </c>
      <c r="K2973" s="12" t="str">
        <f>HYPERLINK("http://twitter.com/download/android","Twitter for Android")</f>
        <v>Twitter for Android</v>
      </c>
      <c r="L2973" s="16">
        <v>1223</v>
      </c>
      <c r="M2973" s="16">
        <v>273</v>
      </c>
      <c r="N2973" s="16">
        <v>1</v>
      </c>
      <c r="O2973" s="17"/>
      <c r="P2973" s="18">
        <v>43178.741863425923</v>
      </c>
      <c r="Q2973" s="7" t="s">
        <v>1193</v>
      </c>
      <c r="R2973" s="7" t="s">
        <v>17293</v>
      </c>
      <c r="S2973" s="14" t="s">
        <v>17294</v>
      </c>
      <c r="T2973" s="8"/>
      <c r="U2973" s="19" t="str">
        <f>HYPERLINK("https://pbs.twimg.com/profile_images/1181616960980869120/xWZpTFA2.jpg","View")</f>
        <v>View</v>
      </c>
      <c r="V2973" s="8"/>
      <c r="W2973" s="8"/>
      <c r="X2973" s="8"/>
      <c r="Y2973" s="8"/>
      <c r="Z2973" s="8"/>
    </row>
    <row r="2974" spans="1:26" ht="12.75">
      <c r="A2974" s="11">
        <v>43747.17905092593</v>
      </c>
      <c r="B2974" s="12" t="str">
        <f>HYPERLINK("https://twitter.com/no0oha21","@no0oha21")</f>
        <v>@no0oha21</v>
      </c>
      <c r="C2974" s="7" t="s">
        <v>17295</v>
      </c>
      <c r="D2974" s="7" t="s">
        <v>17296</v>
      </c>
      <c r="E2974" s="12" t="str">
        <f>HYPERLINK("https://twitter.com/no0oha21/status/1181891514408079365","1181891514408079365")</f>
        <v>1181891514408079365</v>
      </c>
      <c r="F2974" s="14" t="s">
        <v>17297</v>
      </c>
      <c r="G2974" s="7"/>
      <c r="H2974" s="8"/>
      <c r="I2974" s="15">
        <v>0</v>
      </c>
      <c r="J2974" s="15">
        <v>1</v>
      </c>
      <c r="K2974" s="12" t="str">
        <f>HYPERLINK("https://ifttt.com","IFTTT")</f>
        <v>IFTTT</v>
      </c>
      <c r="L2974" s="16">
        <v>89</v>
      </c>
      <c r="M2974" s="16">
        <v>168</v>
      </c>
      <c r="N2974" s="16">
        <v>0</v>
      </c>
      <c r="O2974" s="17"/>
      <c r="P2974" s="18">
        <v>41424.886018518519</v>
      </c>
      <c r="Q2974" s="7"/>
      <c r="R2974" s="7" t="s">
        <v>17298</v>
      </c>
      <c r="S2974" s="15"/>
      <c r="T2974" s="8"/>
      <c r="U2974" s="19" t="str">
        <f>HYPERLINK("https://pbs.twimg.com/profile_images/477655492190146560/Ok-einNi.jpeg","View")</f>
        <v>View</v>
      </c>
      <c r="V2974" s="8"/>
      <c r="W2974" s="8"/>
      <c r="X2974" s="8"/>
      <c r="Y2974" s="8"/>
      <c r="Z2974" s="8"/>
    </row>
    <row r="2975" spans="1:26" ht="12.75">
      <c r="A2975" s="11">
        <v>43747.179039351853</v>
      </c>
      <c r="B2975" s="12" t="str">
        <f>HYPERLINK("https://twitter.com/MustafaTekinBey","@MustafaTekinBey")</f>
        <v>@MustafaTekinBey</v>
      </c>
      <c r="C2975" s="7" t="s">
        <v>4769</v>
      </c>
      <c r="D2975" s="7" t="s">
        <v>17299</v>
      </c>
      <c r="E2975" s="12" t="str">
        <f>HYPERLINK("https://twitter.com/MustafaTekinBey/status/1181891512369594368","1181891512369594368")</f>
        <v>1181891512369594368</v>
      </c>
      <c r="F2975" s="8"/>
      <c r="G2975" s="14" t="s">
        <v>17300</v>
      </c>
      <c r="H2975" s="8"/>
      <c r="I2975" s="15">
        <v>0</v>
      </c>
      <c r="J2975" s="15">
        <v>4</v>
      </c>
      <c r="K2975" s="12" t="str">
        <f>HYPERLINK("http://twitter.com/download/android","Twitter for Android")</f>
        <v>Twitter for Android</v>
      </c>
      <c r="L2975" s="16">
        <v>26</v>
      </c>
      <c r="M2975" s="16">
        <v>7</v>
      </c>
      <c r="N2975" s="16">
        <v>0</v>
      </c>
      <c r="O2975" s="17"/>
      <c r="P2975" s="18">
        <v>43637.168923611112</v>
      </c>
      <c r="Q2975" s="7" t="s">
        <v>7359</v>
      </c>
      <c r="R2975" s="7" t="s">
        <v>17301</v>
      </c>
      <c r="S2975" s="8"/>
      <c r="T2975" s="8"/>
      <c r="U2975" s="19" t="str">
        <f>HYPERLINK("https://pbs.twimg.com/profile_images/1158822957076111362/0nQBR8Xf.jpg","View")</f>
        <v>View</v>
      </c>
      <c r="V2975" s="8"/>
      <c r="W2975" s="8"/>
      <c r="X2975" s="8"/>
      <c r="Y2975" s="8"/>
      <c r="Z2975" s="8"/>
    </row>
    <row r="2976" spans="1:26" ht="12.75">
      <c r="A2976" s="11">
        <v>43747.179039351853</v>
      </c>
      <c r="B2976" s="12" t="str">
        <f>HYPERLINK("https://twitter.com/KerimBerke0","@KerimBerke0")</f>
        <v>@KerimBerke0</v>
      </c>
      <c r="C2976" s="7" t="s">
        <v>17302</v>
      </c>
      <c r="D2976" s="7" t="s">
        <v>17303</v>
      </c>
      <c r="E2976" s="12" t="str">
        <f>HYPERLINK("https://twitter.com/KerimBerke0/status/1181891511404896256","1181891511404896256")</f>
        <v>1181891511404896256</v>
      </c>
      <c r="F2976" s="8"/>
      <c r="G2976" s="7"/>
      <c r="H2976" s="8"/>
      <c r="I2976" s="15">
        <v>0</v>
      </c>
      <c r="J2976" s="15">
        <v>2</v>
      </c>
      <c r="K2976" s="12" t="str">
        <f>HYPERLINK("http://twitter.com/download/android","Twitter for Android")</f>
        <v>Twitter for Android</v>
      </c>
      <c r="L2976" s="16">
        <v>2</v>
      </c>
      <c r="M2976" s="16">
        <v>7</v>
      </c>
      <c r="N2976" s="16">
        <v>0</v>
      </c>
      <c r="O2976" s="17"/>
      <c r="P2976" s="18">
        <v>43695.259340277778</v>
      </c>
      <c r="Q2976" s="7"/>
      <c r="R2976" s="7"/>
      <c r="S2976" s="8"/>
      <c r="T2976" s="8"/>
      <c r="U2976" s="19" t="str">
        <f>HYPERLINK("https://pbs.twimg.com/profile_images/1163076544270651392/6zUHLD5R.jpg","View")</f>
        <v>View</v>
      </c>
      <c r="V2976" s="8"/>
      <c r="W2976" s="8"/>
      <c r="X2976" s="8"/>
      <c r="Y2976" s="8"/>
      <c r="Z2976" s="8"/>
    </row>
    <row r="2977" spans="1:26" ht="12.75">
      <c r="A2977" s="11">
        <v>43747.179039351853</v>
      </c>
      <c r="B2977" s="12" t="str">
        <f>HYPERLINK("https://twitter.com/IncirTanay","@IncirTanay")</f>
        <v>@IncirTanay</v>
      </c>
      <c r="C2977" s="7" t="s">
        <v>17304</v>
      </c>
      <c r="D2977" s="7" t="s">
        <v>17305</v>
      </c>
      <c r="E2977" s="12" t="str">
        <f>HYPERLINK("https://twitter.com/IncirTanay/status/1181891509710413825","1181891509710413825")</f>
        <v>1181891509710413825</v>
      </c>
      <c r="F2977" s="8"/>
      <c r="G2977" s="14" t="s">
        <v>17306</v>
      </c>
      <c r="H2977" s="8"/>
      <c r="I2977" s="15">
        <v>0</v>
      </c>
      <c r="J2977" s="15">
        <v>1</v>
      </c>
      <c r="K2977" s="12" t="str">
        <f>HYPERLINK("http://twitter.com","Twitter Web Client")</f>
        <v>Twitter Web Client</v>
      </c>
      <c r="L2977" s="16">
        <v>8</v>
      </c>
      <c r="M2977" s="16">
        <v>0</v>
      </c>
      <c r="N2977" s="16">
        <v>0</v>
      </c>
      <c r="O2977" s="17"/>
      <c r="P2977" s="18">
        <v>43668.959687499999</v>
      </c>
      <c r="Q2977" s="7" t="s">
        <v>898</v>
      </c>
      <c r="R2977" s="7" t="s">
        <v>17307</v>
      </c>
      <c r="S2977" s="8"/>
      <c r="T2977" s="8"/>
      <c r="U2977" s="19" t="str">
        <f>HYPERLINK("https://pbs.twimg.com/profile_images/1153754306287460352/B4T0J4i6.jpg","View")</f>
        <v>View</v>
      </c>
      <c r="V2977" s="8"/>
      <c r="W2977" s="8"/>
      <c r="X2977" s="8"/>
      <c r="Y2977" s="8"/>
      <c r="Z2977" s="8"/>
    </row>
    <row r="2978" spans="1:26" ht="12.75">
      <c r="A2978" s="11">
        <v>43747.178923611107</v>
      </c>
      <c r="B2978" s="12" t="str">
        <f>HYPERLINK("https://twitter.com/gerilim54","@gerilim54")</f>
        <v>@gerilim54</v>
      </c>
      <c r="C2978" s="7" t="s">
        <v>17308</v>
      </c>
      <c r="D2978" s="7" t="s">
        <v>17309</v>
      </c>
      <c r="E2978" s="12" t="str">
        <f>HYPERLINK("https://twitter.com/gerilim54/status/1181891470061637632","1181891470061637632")</f>
        <v>1181891470061637632</v>
      </c>
      <c r="F2978" s="8"/>
      <c r="G2978" s="7"/>
      <c r="H2978" s="8"/>
      <c r="I2978" s="15">
        <v>0</v>
      </c>
      <c r="J2978" s="15">
        <v>6</v>
      </c>
      <c r="K2978" s="12" t="str">
        <f>HYPERLINK("http://twitter.com/download/android","Twitter for Android")</f>
        <v>Twitter for Android</v>
      </c>
      <c r="L2978" s="16">
        <v>9408</v>
      </c>
      <c r="M2978" s="16">
        <v>3799</v>
      </c>
      <c r="N2978" s="16">
        <v>34</v>
      </c>
      <c r="O2978" s="17"/>
      <c r="P2978" s="18">
        <v>40696.359780092593</v>
      </c>
      <c r="Q2978" s="7" t="s">
        <v>17310</v>
      </c>
      <c r="R2978" s="7" t="s">
        <v>17311</v>
      </c>
      <c r="S2978" s="8"/>
      <c r="T2978" s="8"/>
      <c r="U2978" s="19" t="str">
        <f>HYPERLINK("https://pbs.twimg.com/profile_images/1181374045889208322/JSjaRlD9.jpg","View")</f>
        <v>View</v>
      </c>
      <c r="V2978" s="8"/>
      <c r="W2978" s="8"/>
      <c r="X2978" s="8"/>
      <c r="Y2978" s="8"/>
      <c r="Z2978" s="8"/>
    </row>
    <row r="2979" spans="1:26" ht="12.75">
      <c r="A2979" s="11">
        <v>43747.178807870368</v>
      </c>
      <c r="B2979" s="12" t="str">
        <f>HYPERLINK("https://twitter.com/_MehmetOzcan","@_MehmetOzcan")</f>
        <v>@_MehmetOzcan</v>
      </c>
      <c r="C2979" s="7" t="s">
        <v>17312</v>
      </c>
      <c r="D2979" s="7" t="s">
        <v>17313</v>
      </c>
      <c r="E2979" s="12" t="str">
        <f>HYPERLINK("https://twitter.com/_MehmetOzcan/status/1181891429116862466","1181891429116862466")</f>
        <v>1181891429116862466</v>
      </c>
      <c r="F2979" s="8"/>
      <c r="G2979" s="7"/>
      <c r="H2979" s="8"/>
      <c r="I2979" s="15">
        <v>0</v>
      </c>
      <c r="J2979" s="15">
        <v>1</v>
      </c>
      <c r="K2979" s="12" t="str">
        <f>HYPERLINK("http://twitter.com/download/android","Twitter for Android")</f>
        <v>Twitter for Android</v>
      </c>
      <c r="L2979" s="16">
        <v>625</v>
      </c>
      <c r="M2979" s="16">
        <v>259</v>
      </c>
      <c r="N2979" s="16">
        <v>10</v>
      </c>
      <c r="O2979" s="17"/>
      <c r="P2979" s="18">
        <v>40419.575196759259</v>
      </c>
      <c r="Q2979" s="7" t="s">
        <v>287</v>
      </c>
      <c r="R2979" s="7" t="s">
        <v>17314</v>
      </c>
      <c r="S2979" s="14" t="s">
        <v>17315</v>
      </c>
      <c r="T2979" s="8"/>
      <c r="U2979" s="19" t="str">
        <f>HYPERLINK("https://pbs.twimg.com/profile_images/1072531706245234694/Jy94aA8p.jpg","View")</f>
        <v>View</v>
      </c>
      <c r="V2979" s="8"/>
      <c r="W2979" s="8"/>
      <c r="X2979" s="8"/>
      <c r="Y2979" s="8"/>
      <c r="Z2979" s="8"/>
    </row>
    <row r="2980" spans="1:26" ht="12.75">
      <c r="A2980" s="11">
        <v>43747.178796296299</v>
      </c>
      <c r="B2980" s="12" t="str">
        <f>HYPERLINK("https://twitter.com/sawetcetin","@sawetcetin")</f>
        <v>@sawetcetin</v>
      </c>
      <c r="C2980" s="7" t="s">
        <v>17316</v>
      </c>
      <c r="D2980" s="7" t="s">
        <v>160</v>
      </c>
      <c r="E2980" s="12" t="str">
        <f>HYPERLINK("https://twitter.com/sawetcetin/status/1181891423727161344","1181891423727161344")</f>
        <v>1181891423727161344</v>
      </c>
      <c r="F2980" s="15"/>
      <c r="G2980" s="7"/>
      <c r="H2980" s="8"/>
      <c r="I2980" s="15">
        <v>0</v>
      </c>
      <c r="J2980" s="15">
        <v>1</v>
      </c>
      <c r="K2980" s="12" t="str">
        <f>HYPERLINK("http://twitter.com/download/iphone","Twitter for iPhone")</f>
        <v>Twitter for iPhone</v>
      </c>
      <c r="L2980" s="16">
        <v>2050</v>
      </c>
      <c r="M2980" s="16">
        <v>1510</v>
      </c>
      <c r="N2980" s="16">
        <v>0</v>
      </c>
      <c r="O2980" s="17"/>
      <c r="P2980" s="18">
        <v>41883.040937500002</v>
      </c>
      <c r="Q2980" s="7" t="s">
        <v>287</v>
      </c>
      <c r="R2980" s="7" t="s">
        <v>17317</v>
      </c>
      <c r="S2980" s="8"/>
      <c r="T2980" s="8"/>
      <c r="U2980" s="19" t="str">
        <f>HYPERLINK("https://pbs.twimg.com/profile_images/1147648961978740738/lmoqI9eI.jpg","View")</f>
        <v>View</v>
      </c>
      <c r="V2980" s="8"/>
      <c r="W2980" s="8"/>
      <c r="X2980" s="8"/>
      <c r="Y2980" s="8"/>
      <c r="Z2980" s="8"/>
    </row>
    <row r="2981" spans="1:26" ht="12.75">
      <c r="A2981" s="11">
        <v>43747.178726851853</v>
      </c>
      <c r="B2981" s="12" t="str">
        <f>HYPERLINK("https://twitter.com/zeynep_akyurtt","@zeynep_akyurtt")</f>
        <v>@zeynep_akyurtt</v>
      </c>
      <c r="C2981" s="7" t="s">
        <v>17318</v>
      </c>
      <c r="D2981" s="7" t="s">
        <v>17319</v>
      </c>
      <c r="E2981" s="12" t="str">
        <f>HYPERLINK("https://twitter.com/zeynep_akyurtt/status/1181891400050327552","1181891400050327552")</f>
        <v>1181891400050327552</v>
      </c>
      <c r="F2981" s="8"/>
      <c r="G2981" s="15"/>
      <c r="H2981" s="8"/>
      <c r="I2981" s="15">
        <v>0</v>
      </c>
      <c r="J2981" s="15">
        <v>1</v>
      </c>
      <c r="K2981" s="12" t="str">
        <f>HYPERLINK("https://mobile.twitter.com","Twitter Web App")</f>
        <v>Twitter Web App</v>
      </c>
      <c r="L2981" s="16">
        <v>0</v>
      </c>
      <c r="M2981" s="16">
        <v>11</v>
      </c>
      <c r="N2981" s="16">
        <v>0</v>
      </c>
      <c r="O2981" s="17"/>
      <c r="P2981" s="18">
        <v>43747.16128472222</v>
      </c>
      <c r="Q2981" s="7"/>
      <c r="R2981" s="7"/>
      <c r="S2981" s="8"/>
      <c r="T2981" s="8"/>
      <c r="U2981" s="19" t="str">
        <f>HYPERLINK("https://pbs.twimg.com/profile_images/1181888682665693184/repMpMl6.jpg","View")</f>
        <v>View</v>
      </c>
      <c r="V2981" s="8"/>
      <c r="W2981" s="8"/>
      <c r="X2981" s="8"/>
      <c r="Y2981" s="8"/>
      <c r="Z2981" s="8"/>
    </row>
    <row r="2982" spans="1:26" ht="12.75">
      <c r="A2982" s="11">
        <v>43747.178726851853</v>
      </c>
      <c r="B2982" s="12" t="str">
        <f>HYPERLINK("https://twitter.com/WolfofBeast100","@WolfofBeast100")</f>
        <v>@WolfofBeast100</v>
      </c>
      <c r="C2982" s="7" t="s">
        <v>17320</v>
      </c>
      <c r="D2982" s="7" t="s">
        <v>17321</v>
      </c>
      <c r="E2982" s="12" t="str">
        <f>HYPERLINK("https://twitter.com/WolfofBeast100/status/1181891399521902595","1181891399521902595")</f>
        <v>1181891399521902595</v>
      </c>
      <c r="F2982" s="7"/>
      <c r="G2982" s="14" t="s">
        <v>17322</v>
      </c>
      <c r="H2982" s="8"/>
      <c r="I2982" s="15">
        <v>0</v>
      </c>
      <c r="J2982" s="15">
        <v>3</v>
      </c>
      <c r="K2982" s="12" t="str">
        <f>HYPERLINK("http://twitter.com/download/android","Twitter for Android")</f>
        <v>Twitter for Android</v>
      </c>
      <c r="L2982" s="16">
        <v>166</v>
      </c>
      <c r="M2982" s="16">
        <v>59</v>
      </c>
      <c r="N2982" s="16">
        <v>0</v>
      </c>
      <c r="O2982" s="17"/>
      <c r="P2982" s="18">
        <v>43418.379907407405</v>
      </c>
      <c r="Q2982" s="7"/>
      <c r="R2982" s="7" t="s">
        <v>17323</v>
      </c>
      <c r="S2982" s="8"/>
      <c r="T2982" s="8"/>
      <c r="U2982" s="19" t="str">
        <f>HYPERLINK("https://pbs.twimg.com/profile_images/1062755487115083778/hg64hxt8.jpg","View")</f>
        <v>View</v>
      </c>
      <c r="V2982" s="8"/>
      <c r="W2982" s="8"/>
      <c r="X2982" s="8"/>
      <c r="Y2982" s="8"/>
      <c r="Z2982" s="8"/>
    </row>
    <row r="2983" spans="1:26" ht="12.75">
      <c r="A2983" s="11">
        <v>43747.178703703699</v>
      </c>
      <c r="B2983" s="12" t="str">
        <f>HYPERLINK("https://twitter.com/Firat11815278","@Firat11815278")</f>
        <v>@Firat11815278</v>
      </c>
      <c r="C2983" s="7" t="s">
        <v>17324</v>
      </c>
      <c r="D2983" s="7" t="s">
        <v>17325</v>
      </c>
      <c r="E2983" s="12" t="str">
        <f>HYPERLINK("https://twitter.com/Firat11815278/status/1181891389547782144","1181891389547782144")</f>
        <v>1181891389547782144</v>
      </c>
      <c r="F2983" s="8"/>
      <c r="G2983" s="15"/>
      <c r="H2983" s="8"/>
      <c r="I2983" s="15">
        <v>0</v>
      </c>
      <c r="J2983" s="15">
        <v>1</v>
      </c>
      <c r="K2983" s="12" t="str">
        <f>HYPERLINK("http://twitter.com/download/android","Twitter for Android")</f>
        <v>Twitter for Android</v>
      </c>
      <c r="L2983" s="16">
        <v>0</v>
      </c>
      <c r="M2983" s="16">
        <v>1</v>
      </c>
      <c r="N2983" s="16">
        <v>0</v>
      </c>
      <c r="O2983" s="17"/>
      <c r="P2983" s="18">
        <v>43726.5934375</v>
      </c>
      <c r="Q2983" s="7"/>
      <c r="R2983" s="7"/>
      <c r="S2983" s="8"/>
      <c r="T2983" s="8"/>
      <c r="U2983" s="20" t="s">
        <v>354</v>
      </c>
      <c r="V2983" s="8"/>
      <c r="W2983" s="8"/>
      <c r="X2983" s="8"/>
      <c r="Y2983" s="8"/>
      <c r="Z2983" s="8"/>
    </row>
    <row r="2984" spans="1:26" ht="12.75">
      <c r="A2984" s="11">
        <v>43747.17863425926</v>
      </c>
      <c r="B2984" s="12" t="str">
        <f>HYPERLINK("https://twitter.com/osmaneren45","@osmaneren45")</f>
        <v>@osmaneren45</v>
      </c>
      <c r="C2984" s="7" t="s">
        <v>17326</v>
      </c>
      <c r="D2984" s="7" t="s">
        <v>17327</v>
      </c>
      <c r="E2984" s="12" t="str">
        <f>HYPERLINK("https://twitter.com/osmaneren45/status/1181891365787045888","1181891365787045888")</f>
        <v>1181891365787045888</v>
      </c>
      <c r="F2984" s="8"/>
      <c r="G2984" s="7"/>
      <c r="H2984" s="8"/>
      <c r="I2984" s="15">
        <v>0</v>
      </c>
      <c r="J2984" s="15">
        <v>1</v>
      </c>
      <c r="K2984" s="12" t="str">
        <f>HYPERLINK("http://twitter.com/download/android","Twitter for Android")</f>
        <v>Twitter for Android</v>
      </c>
      <c r="L2984" s="16">
        <v>994</v>
      </c>
      <c r="M2984" s="16">
        <v>1214</v>
      </c>
      <c r="N2984" s="16">
        <v>0</v>
      </c>
      <c r="O2984" s="17"/>
      <c r="P2984" s="18">
        <v>43356.286423611113</v>
      </c>
      <c r="Q2984" s="7" t="s">
        <v>17328</v>
      </c>
      <c r="R2984" s="7" t="s">
        <v>17329</v>
      </c>
      <c r="S2984" s="8"/>
      <c r="T2984" s="8"/>
      <c r="U2984" s="19" t="str">
        <f>HYPERLINK("https://pbs.twimg.com/profile_images/1143910179504873472/2g5JyllF.jpg","View")</f>
        <v>View</v>
      </c>
      <c r="V2984" s="8"/>
      <c r="W2984" s="8"/>
      <c r="X2984" s="8"/>
      <c r="Y2984" s="8"/>
      <c r="Z2984" s="8"/>
    </row>
    <row r="2985" spans="1:26" ht="12.75">
      <c r="A2985" s="11">
        <v>43747.178530092591</v>
      </c>
      <c r="B2985" s="12" t="str">
        <f>HYPERLINK("https://twitter.com/fikirsahibim","@fikirsahibim")</f>
        <v>@fikirsahibim</v>
      </c>
      <c r="C2985" s="7" t="s">
        <v>17330</v>
      </c>
      <c r="D2985" s="7" t="s">
        <v>17331</v>
      </c>
      <c r="E2985" s="12" t="str">
        <f>HYPERLINK("https://twitter.com/fikirsahibim/status/1181891326973026305","1181891326973026305")</f>
        <v>1181891326973026305</v>
      </c>
      <c r="F2985" s="8"/>
      <c r="G2985" s="14" t="s">
        <v>17332</v>
      </c>
      <c r="H2985" s="8"/>
      <c r="I2985" s="15">
        <v>2</v>
      </c>
      <c r="J2985" s="15">
        <v>17</v>
      </c>
      <c r="K2985" s="12" t="str">
        <f>HYPERLINK("http://twitter.com/download/android","Twitter for Android")</f>
        <v>Twitter for Android</v>
      </c>
      <c r="L2985" s="16">
        <v>1801</v>
      </c>
      <c r="M2985" s="16">
        <v>1809</v>
      </c>
      <c r="N2985" s="16">
        <v>0</v>
      </c>
      <c r="O2985" s="17"/>
      <c r="P2985" s="18">
        <v>43722.125983796301</v>
      </c>
      <c r="Q2985" s="7"/>
      <c r="R2985" s="7" t="s">
        <v>17333</v>
      </c>
      <c r="S2985" s="15"/>
      <c r="T2985" s="8"/>
      <c r="U2985" s="19" t="str">
        <f>HYPERLINK("https://pbs.twimg.com/profile_images/1172812747198861312/IXdX8m3N.jpg","View")</f>
        <v>View</v>
      </c>
      <c r="V2985" s="8"/>
      <c r="W2985" s="8"/>
      <c r="X2985" s="8"/>
      <c r="Y2985" s="8"/>
      <c r="Z2985" s="8"/>
    </row>
    <row r="2986" spans="1:26" ht="12.75">
      <c r="A2986" s="11">
        <v>43747.178530092591</v>
      </c>
      <c r="B2986" s="12" t="str">
        <f>HYPERLINK("https://twitter.com/beyzanrhtpgl","@beyzanrhtpgl")</f>
        <v>@beyzanrhtpgl</v>
      </c>
      <c r="C2986" s="7" t="s">
        <v>17334</v>
      </c>
      <c r="D2986" s="7" t="s">
        <v>17335</v>
      </c>
      <c r="E2986" s="12" t="str">
        <f>HYPERLINK("https://twitter.com/beyzanrhtpgl/status/1181891325605634049","1181891325605634049")</f>
        <v>1181891325605634049</v>
      </c>
      <c r="F2986" s="8"/>
      <c r="G2986" s="14" t="s">
        <v>17336</v>
      </c>
      <c r="H2986" s="8"/>
      <c r="I2986" s="15">
        <v>0</v>
      </c>
      <c r="J2986" s="15">
        <v>2</v>
      </c>
      <c r="K2986" s="12" t="str">
        <f>HYPERLINK("http://twitter.com/download/android","Twitter for Android")</f>
        <v>Twitter for Android</v>
      </c>
      <c r="L2986" s="16">
        <v>68</v>
      </c>
      <c r="M2986" s="16">
        <v>131</v>
      </c>
      <c r="N2986" s="16">
        <v>0</v>
      </c>
      <c r="O2986" s="17"/>
      <c r="P2986" s="18">
        <v>42508.273657407408</v>
      </c>
      <c r="Q2986" s="7"/>
      <c r="R2986" s="7" t="s">
        <v>17337</v>
      </c>
      <c r="S2986" s="8"/>
      <c r="T2986" s="8"/>
      <c r="U2986" s="19" t="str">
        <f>HYPERLINK("https://pbs.twimg.com/profile_images/1180860623795736576/CJfHuQ8F.jpg","View")</f>
        <v>View</v>
      </c>
      <c r="V2986" s="8"/>
      <c r="W2986" s="8"/>
      <c r="X2986" s="8"/>
      <c r="Y2986" s="8"/>
      <c r="Z2986" s="8"/>
    </row>
    <row r="2987" spans="1:26" ht="12.75">
      <c r="A2987" s="11">
        <v>43747.178506944445</v>
      </c>
      <c r="B2987" s="12" t="str">
        <f>HYPERLINK("https://twitter.com/Naamyee","@Naamyee")</f>
        <v>@Naamyee</v>
      </c>
      <c r="C2987" s="7" t="s">
        <v>17338</v>
      </c>
      <c r="D2987" s="7" t="s">
        <v>17339</v>
      </c>
      <c r="E2987" s="12" t="str">
        <f>HYPERLINK("https://twitter.com/Naamyee/status/1181891320648011777","1181891320648011777")</f>
        <v>1181891320648011777</v>
      </c>
      <c r="F2987" s="8"/>
      <c r="G2987" s="15"/>
      <c r="H2987" s="8"/>
      <c r="I2987" s="15">
        <v>0</v>
      </c>
      <c r="J2987" s="15">
        <v>1</v>
      </c>
      <c r="K2987" s="12" t="str">
        <f>HYPERLINK("https://mobile.twitter.com","Twitter Web App")</f>
        <v>Twitter Web App</v>
      </c>
      <c r="L2987" s="16">
        <v>195</v>
      </c>
      <c r="M2987" s="16">
        <v>295</v>
      </c>
      <c r="N2987" s="16">
        <v>0</v>
      </c>
      <c r="O2987" s="17"/>
      <c r="P2987" s="18">
        <v>43020.309247685189</v>
      </c>
      <c r="Q2987" s="7"/>
      <c r="R2987" s="7" t="s">
        <v>17340</v>
      </c>
      <c r="S2987" s="15"/>
      <c r="T2987" s="8"/>
      <c r="U2987" s="19" t="str">
        <f>HYPERLINK("https://pbs.twimg.com/profile_images/1149284804833292288/-2ALcNZk.png","View")</f>
        <v>View</v>
      </c>
      <c r="V2987" s="8"/>
      <c r="W2987" s="8"/>
      <c r="X2987" s="8"/>
      <c r="Y2987" s="8"/>
      <c r="Z2987" s="8"/>
    </row>
    <row r="2988" spans="1:26" ht="12.75">
      <c r="A2988" s="11">
        <v>43747.178414351853</v>
      </c>
      <c r="B2988" s="12" t="str">
        <f>HYPERLINK("https://twitter.com/OganSeccat","@OganSeccat")</f>
        <v>@OganSeccat</v>
      </c>
      <c r="C2988" s="7" t="s">
        <v>17341</v>
      </c>
      <c r="D2988" s="7" t="s">
        <v>160</v>
      </c>
      <c r="E2988" s="12" t="str">
        <f>HYPERLINK("https://twitter.com/OganSeccat/status/1181891286695137282","1181891286695137282")</f>
        <v>1181891286695137282</v>
      </c>
      <c r="F2988" s="8"/>
      <c r="G2988" s="15"/>
      <c r="H2988" s="8"/>
      <c r="I2988" s="15">
        <v>0</v>
      </c>
      <c r="J2988" s="15">
        <v>0</v>
      </c>
      <c r="K2988" s="12" t="str">
        <f>HYPERLINK("http://twitter.com/download/android","Twitter for Android")</f>
        <v>Twitter for Android</v>
      </c>
      <c r="L2988" s="16">
        <v>0</v>
      </c>
      <c r="M2988" s="16">
        <v>4</v>
      </c>
      <c r="N2988" s="16">
        <v>0</v>
      </c>
      <c r="O2988" s="17"/>
      <c r="P2988" s="18">
        <v>43373.742060185185</v>
      </c>
      <c r="Q2988" s="7"/>
      <c r="R2988" s="7"/>
      <c r="S2988" s="8"/>
      <c r="T2988" s="8"/>
      <c r="U2988" s="19" t="str">
        <f>HYPERLINK("https://pbs.twimg.com/profile_images/1055651826274582529/Ki_sgBaA.jpg","View")</f>
        <v>View</v>
      </c>
      <c r="V2988" s="8"/>
      <c r="W2988" s="8"/>
      <c r="X2988" s="8"/>
      <c r="Y2988" s="8"/>
      <c r="Z2988" s="8"/>
    </row>
    <row r="2989" spans="1:26" ht="12.75">
      <c r="A2989" s="11">
        <v>43747.178391203706</v>
      </c>
      <c r="B2989" s="12" t="str">
        <f>HYPERLINK("https://twitter.com/_Thracian","@_Thracian")</f>
        <v>@_Thracian</v>
      </c>
      <c r="C2989" s="7" t="s">
        <v>17342</v>
      </c>
      <c r="D2989" s="7" t="s">
        <v>17343</v>
      </c>
      <c r="E2989" s="12" t="str">
        <f>HYPERLINK("https://twitter.com/_Thracian/status/1181891276729442305","1181891276729442305")</f>
        <v>1181891276729442305</v>
      </c>
      <c r="F2989" s="8" t="s">
        <v>17344</v>
      </c>
      <c r="G2989" s="15"/>
      <c r="H2989" s="8"/>
      <c r="I2989" s="15">
        <v>0</v>
      </c>
      <c r="J2989" s="15">
        <v>0</v>
      </c>
      <c r="K2989" s="12" t="str">
        <f>HYPERLINK("https://mobile.twitter.com","Twitter Web App")</f>
        <v>Twitter Web App</v>
      </c>
      <c r="L2989" s="16">
        <v>21</v>
      </c>
      <c r="M2989" s="16">
        <v>331</v>
      </c>
      <c r="N2989" s="16">
        <v>0</v>
      </c>
      <c r="O2989" s="17"/>
      <c r="P2989" s="18">
        <v>43410.126111111109</v>
      </c>
      <c r="Q2989" s="7"/>
      <c r="R2989" s="7" t="s">
        <v>17345</v>
      </c>
      <c r="S2989" s="8"/>
      <c r="T2989" s="8"/>
      <c r="U2989" s="19" t="str">
        <f>HYPERLINK("https://pbs.twimg.com/profile_images/1172520908566798336/KJhnxCTm.jpg","View")</f>
        <v>View</v>
      </c>
      <c r="V2989" s="8"/>
      <c r="W2989" s="8"/>
      <c r="X2989" s="8"/>
      <c r="Y2989" s="8"/>
      <c r="Z2989" s="8"/>
    </row>
    <row r="2990" spans="1:26" ht="12.75">
      <c r="A2990" s="11">
        <v>43747.178356481483</v>
      </c>
      <c r="B2990" s="12" t="str">
        <f>HYPERLINK("https://twitter.com/siyasi_yoba","@siyasi_yoba")</f>
        <v>@siyasi_yoba</v>
      </c>
      <c r="C2990" s="7" t="s">
        <v>17346</v>
      </c>
      <c r="D2990" s="7" t="s">
        <v>15493</v>
      </c>
      <c r="E2990" s="12" t="str">
        <f>HYPERLINK("https://twitter.com/siyasi_yoba/status/1181891265241255937","1181891265241255937")</f>
        <v>1181891265241255937</v>
      </c>
      <c r="F2990" s="8"/>
      <c r="G2990" s="14" t="s">
        <v>17347</v>
      </c>
      <c r="H2990" s="8"/>
      <c r="I2990" s="15">
        <v>2</v>
      </c>
      <c r="J2990" s="15">
        <v>6</v>
      </c>
      <c r="K2990" s="12" t="str">
        <f>HYPERLINK("http://twitter.com/download/android","Twitter for Android")</f>
        <v>Twitter for Android</v>
      </c>
      <c r="L2990" s="16">
        <v>638</v>
      </c>
      <c r="M2990" s="16">
        <v>724</v>
      </c>
      <c r="N2990" s="16">
        <v>0</v>
      </c>
      <c r="O2990" s="17"/>
      <c r="P2990" s="18">
        <v>40384.587708333333</v>
      </c>
      <c r="Q2990" s="7" t="s">
        <v>17348</v>
      </c>
      <c r="R2990" s="7" t="s">
        <v>17349</v>
      </c>
      <c r="S2990" s="8"/>
      <c r="T2990" s="8"/>
      <c r="U2990" s="19" t="str">
        <f>HYPERLINK("https://pbs.twimg.com/profile_images/1166838331356979201/UtMfdfol.jpg","View")</f>
        <v>View</v>
      </c>
      <c r="V2990" s="8"/>
      <c r="W2990" s="8"/>
      <c r="X2990" s="8"/>
      <c r="Y2990" s="8"/>
      <c r="Z2990" s="8"/>
    </row>
    <row r="2991" spans="1:26" ht="12.75">
      <c r="A2991" s="11">
        <v>43747.17833333333</v>
      </c>
      <c r="B2991" s="12" t="str">
        <f>HYPERLINK("https://twitter.com/pt__ny","@pt__ny")</f>
        <v>@pt__ny</v>
      </c>
      <c r="C2991" s="7" t="s">
        <v>17350</v>
      </c>
      <c r="D2991" s="7" t="s">
        <v>17351</v>
      </c>
      <c r="E2991" s="12" t="str">
        <f>HYPERLINK("https://twitter.com/pt__ny/status/1181891257456627712","1181891257456627712")</f>
        <v>1181891257456627712</v>
      </c>
      <c r="F2991" s="8"/>
      <c r="G2991" s="7"/>
      <c r="H2991" s="8"/>
      <c r="I2991" s="15">
        <v>0</v>
      </c>
      <c r="J2991" s="15">
        <v>0</v>
      </c>
      <c r="K2991" s="12" t="str">
        <f>HYPERLINK("http://twitter.com/download/android","Twitter for Android")</f>
        <v>Twitter for Android</v>
      </c>
      <c r="L2991" s="16">
        <v>9</v>
      </c>
      <c r="M2991" s="16">
        <v>35</v>
      </c>
      <c r="N2991" s="16">
        <v>0</v>
      </c>
      <c r="O2991" s="17"/>
      <c r="P2991" s="18">
        <v>43222.214108796295</v>
      </c>
      <c r="Q2991" s="7"/>
      <c r="R2991" s="7" t="s">
        <v>807</v>
      </c>
      <c r="S2991" s="8"/>
      <c r="T2991" s="8"/>
      <c r="U2991" s="19" t="str">
        <f>HYPERLINK("https://pbs.twimg.com/profile_images/1006273045173100544/kijYvCfZ.jpg","View")</f>
        <v>View</v>
      </c>
      <c r="V2991" s="8"/>
      <c r="W2991" s="8"/>
      <c r="X2991" s="8"/>
      <c r="Y2991" s="8"/>
      <c r="Z2991" s="8"/>
    </row>
    <row r="2992" spans="1:26" ht="12.75">
      <c r="A2992" s="11">
        <v>43747.178298611107</v>
      </c>
      <c r="B2992" s="12" t="str">
        <f>HYPERLINK("https://twitter.com/aysnrcakr","@aysnrcakr")</f>
        <v>@aysnrcakr</v>
      </c>
      <c r="C2992" s="7" t="s">
        <v>17352</v>
      </c>
      <c r="D2992" s="7" t="s">
        <v>17353</v>
      </c>
      <c r="E2992" s="12" t="str">
        <f>HYPERLINK("https://twitter.com/aysnrcakr/status/1181891243456024577","1181891243456024577")</f>
        <v>1181891243456024577</v>
      </c>
      <c r="F2992" s="8"/>
      <c r="G2992" s="14" t="s">
        <v>17354</v>
      </c>
      <c r="H2992" s="8"/>
      <c r="I2992" s="15">
        <v>0</v>
      </c>
      <c r="J2992" s="15">
        <v>6</v>
      </c>
      <c r="K2992" s="12" t="str">
        <f>HYPERLINK("http://twitter.com/download/android","Twitter for Android")</f>
        <v>Twitter for Android</v>
      </c>
      <c r="L2992" s="16">
        <v>80</v>
      </c>
      <c r="M2992" s="16">
        <v>117</v>
      </c>
      <c r="N2992" s="16">
        <v>0</v>
      </c>
      <c r="O2992" s="17"/>
      <c r="P2992" s="18">
        <v>43577.532141203701</v>
      </c>
      <c r="Q2992" s="7"/>
      <c r="R2992" s="7" t="s">
        <v>17355</v>
      </c>
      <c r="S2992" s="8"/>
      <c r="T2992" s="8"/>
      <c r="U2992" s="19" t="str">
        <f>HYPERLINK("https://pbs.twimg.com/profile_images/1147517192394682368/-76Y0Quv.jpg","View")</f>
        <v>View</v>
      </c>
      <c r="V2992" s="8"/>
      <c r="W2992" s="8"/>
      <c r="X2992" s="8"/>
      <c r="Y2992" s="8"/>
      <c r="Z2992" s="8"/>
    </row>
    <row r="2993" spans="1:26" ht="12.75">
      <c r="A2993" s="11">
        <v>43747.178298611107</v>
      </c>
      <c r="B2993" s="12" t="str">
        <f>HYPERLINK("https://twitter.com/dedeniz70","@dedeniz70")</f>
        <v>@dedeniz70</v>
      </c>
      <c r="C2993" s="7" t="s">
        <v>17356</v>
      </c>
      <c r="D2993" s="7" t="s">
        <v>14293</v>
      </c>
      <c r="E2993" s="12" t="str">
        <f>HYPERLINK("https://twitter.com/dedeniz70/status/1181891242419986433","1181891242419986433")</f>
        <v>1181891242419986433</v>
      </c>
      <c r="F2993" s="8"/>
      <c r="G2993" s="14" t="s">
        <v>17357</v>
      </c>
      <c r="H2993" s="8"/>
      <c r="I2993" s="15">
        <v>0</v>
      </c>
      <c r="J2993" s="15">
        <v>1</v>
      </c>
      <c r="K2993" s="12" t="str">
        <f>HYPERLINK("http://twitter.com/download/iphone","Twitter for iPhone")</f>
        <v>Twitter for iPhone</v>
      </c>
      <c r="L2993" s="16">
        <v>197</v>
      </c>
      <c r="M2993" s="16">
        <v>670</v>
      </c>
      <c r="N2993" s="16">
        <v>0</v>
      </c>
      <c r="O2993" s="17"/>
      <c r="P2993" s="18">
        <v>42287.595150462963</v>
      </c>
      <c r="Q2993" s="7"/>
      <c r="R2993" s="7" t="s">
        <v>17358</v>
      </c>
      <c r="S2993" s="8"/>
      <c r="T2993" s="8"/>
      <c r="U2993" s="19" t="str">
        <f>HYPERLINK("https://pbs.twimg.com/profile_images/1181704072925200384/rmcCGvKX.jpg","View")</f>
        <v>View</v>
      </c>
      <c r="V2993" s="8"/>
      <c r="W2993" s="8"/>
      <c r="X2993" s="8"/>
      <c r="Y2993" s="8"/>
      <c r="Z2993" s="8"/>
    </row>
    <row r="2994" spans="1:26" ht="12.75">
      <c r="A2994" s="11">
        <v>43747.178263888884</v>
      </c>
      <c r="B2994" s="12" t="str">
        <f>HYPERLINK("https://twitter.com/Rafidemir7","@Rafidemir7")</f>
        <v>@Rafidemir7</v>
      </c>
      <c r="C2994" s="7" t="s">
        <v>17359</v>
      </c>
      <c r="D2994" s="7" t="s">
        <v>17360</v>
      </c>
      <c r="E2994" s="12" t="str">
        <f>HYPERLINK("https://twitter.com/Rafidemir7/status/1181891229249880064","1181891229249880064")</f>
        <v>1181891229249880064</v>
      </c>
      <c r="F2994" s="8"/>
      <c r="G2994" s="15"/>
      <c r="H2994" s="8"/>
      <c r="I2994" s="15">
        <v>0</v>
      </c>
      <c r="J2994" s="15">
        <v>0</v>
      </c>
      <c r="K2994" s="12" t="str">
        <f>HYPERLINK("http://twitter.com/download/android","Twitter for Android")</f>
        <v>Twitter for Android</v>
      </c>
      <c r="L2994" s="16">
        <v>210</v>
      </c>
      <c r="M2994" s="16">
        <v>503</v>
      </c>
      <c r="N2994" s="16">
        <v>0</v>
      </c>
      <c r="O2994" s="17"/>
      <c r="P2994" s="18">
        <v>42055.703217592592</v>
      </c>
      <c r="Q2994" s="7"/>
      <c r="R2994" s="7" t="s">
        <v>17361</v>
      </c>
      <c r="S2994" s="8"/>
      <c r="T2994" s="8"/>
      <c r="U2994" s="19" t="str">
        <f>HYPERLINK("https://pbs.twimg.com/profile_images/1157728849830002688/AVNVmGCZ.jpg","View")</f>
        <v>View</v>
      </c>
      <c r="V2994" s="8"/>
      <c r="W2994" s="8"/>
      <c r="X2994" s="8"/>
      <c r="Y2994" s="8"/>
      <c r="Z2994" s="8"/>
    </row>
    <row r="2995" spans="1:26" ht="12.75">
      <c r="A2995" s="11">
        <v>43747.178229166668</v>
      </c>
      <c r="B2995" s="12" t="str">
        <f>HYPERLINK("https://twitter.com/YKSEKSES4","@YKSEKSES4")</f>
        <v>@YKSEKSES4</v>
      </c>
      <c r="C2995" s="7" t="s">
        <v>17362</v>
      </c>
      <c r="D2995" s="7" t="s">
        <v>17363</v>
      </c>
      <c r="E2995" s="12" t="str">
        <f>HYPERLINK("https://twitter.com/YKSEKSES4/status/1181891218504142848","1181891218504142848")</f>
        <v>1181891218504142848</v>
      </c>
      <c r="F2995" s="8"/>
      <c r="G2995" s="7"/>
      <c r="H2995" s="8"/>
      <c r="I2995" s="15">
        <v>0</v>
      </c>
      <c r="J2995" s="15">
        <v>0</v>
      </c>
      <c r="K2995" s="12" t="str">
        <f>HYPERLINK("http://twitter.com/download/android","Twitter for Android")</f>
        <v>Twitter for Android</v>
      </c>
      <c r="L2995" s="16">
        <v>0</v>
      </c>
      <c r="M2995" s="16">
        <v>0</v>
      </c>
      <c r="N2995" s="16">
        <v>0</v>
      </c>
      <c r="O2995" s="17"/>
      <c r="P2995" s="18">
        <v>43462.27207175926</v>
      </c>
      <c r="Q2995" s="7" t="s">
        <v>200</v>
      </c>
      <c r="R2995" s="7" t="s">
        <v>17364</v>
      </c>
      <c r="S2995" s="8"/>
      <c r="T2995" s="8"/>
      <c r="U2995" s="19" t="str">
        <f>HYPERLINK("https://pbs.twimg.com/profile_images/1170692410315345920/zwT7plOV.jpg","View")</f>
        <v>View</v>
      </c>
      <c r="V2995" s="8"/>
      <c r="W2995" s="8"/>
      <c r="X2995" s="8"/>
      <c r="Y2995" s="8"/>
      <c r="Z2995" s="8"/>
    </row>
    <row r="2996" spans="1:26" ht="12.75">
      <c r="A2996" s="11">
        <v>43747.178217592591</v>
      </c>
      <c r="B2996" s="12" t="str">
        <f>HYPERLINK("https://twitter.com/Flwr_Of_Lfe","@Flwr_Of_Lfe")</f>
        <v>@Flwr_Of_Lfe</v>
      </c>
      <c r="C2996" s="7" t="s">
        <v>17365</v>
      </c>
      <c r="D2996" s="7" t="s">
        <v>17366</v>
      </c>
      <c r="E2996" s="12" t="str">
        <f>HYPERLINK("https://twitter.com/Flwr_Of_Lfe/status/1181891212376190977","1181891212376190977")</f>
        <v>1181891212376190977</v>
      </c>
      <c r="F2996" s="8"/>
      <c r="G2996" s="14" t="s">
        <v>17367</v>
      </c>
      <c r="H2996" s="8"/>
      <c r="I2996" s="15">
        <v>2</v>
      </c>
      <c r="J2996" s="15">
        <v>6</v>
      </c>
      <c r="K2996" s="12" t="str">
        <f>HYPERLINK("https://mobile.twitter.com","Twitter Web App")</f>
        <v>Twitter Web App</v>
      </c>
      <c r="L2996" s="16">
        <v>12</v>
      </c>
      <c r="M2996" s="16">
        <v>210</v>
      </c>
      <c r="N2996" s="16">
        <v>0</v>
      </c>
      <c r="O2996" s="17"/>
      <c r="P2996" s="18">
        <v>43594.526076388887</v>
      </c>
      <c r="Q2996" s="7"/>
      <c r="R2996" s="7" t="s">
        <v>17368</v>
      </c>
      <c r="S2996" s="8"/>
      <c r="T2996" s="8"/>
      <c r="U2996" s="19" t="str">
        <f>HYPERLINK("https://pbs.twimg.com/profile_images/1157762510877052929/NnCFN1_B.jpg","View")</f>
        <v>View</v>
      </c>
      <c r="V2996" s="8"/>
      <c r="W2996" s="8"/>
      <c r="X2996" s="8"/>
      <c r="Y2996" s="8"/>
      <c r="Z2996" s="8"/>
    </row>
    <row r="2997" spans="1:26" ht="12.75">
      <c r="A2997" s="11">
        <v>43747.178148148145</v>
      </c>
      <c r="B2997" s="12" t="str">
        <f>HYPERLINK("https://twitter.com/ozcanersan","@ozcanersan")</f>
        <v>@ozcanersan</v>
      </c>
      <c r="C2997" s="7" t="s">
        <v>17369</v>
      </c>
      <c r="D2997" s="7" t="s">
        <v>17370</v>
      </c>
      <c r="E2997" s="12" t="str">
        <f>HYPERLINK("https://twitter.com/ozcanersan/status/1181891187030085633","1181891187030085633")</f>
        <v>1181891187030085633</v>
      </c>
      <c r="F2997" s="8"/>
      <c r="G2997" s="7"/>
      <c r="H2997" s="8"/>
      <c r="I2997" s="15">
        <v>0</v>
      </c>
      <c r="J2997" s="15">
        <v>0</v>
      </c>
      <c r="K2997" s="12" t="str">
        <f>HYPERLINK("http://twitter.com/download/android","Twitter for Android")</f>
        <v>Twitter for Android</v>
      </c>
      <c r="L2997" s="16">
        <v>422</v>
      </c>
      <c r="M2997" s="16">
        <v>1550</v>
      </c>
      <c r="N2997" s="16">
        <v>2</v>
      </c>
      <c r="O2997" s="17"/>
      <c r="P2997" s="18">
        <v>40544.159861111111</v>
      </c>
      <c r="Q2997" s="7"/>
      <c r="R2997" s="7" t="s">
        <v>17371</v>
      </c>
      <c r="S2997" s="8"/>
      <c r="T2997" s="8"/>
      <c r="U2997" s="19" t="str">
        <f>HYPERLINK("https://pbs.twimg.com/profile_images/1158091258444832769/fb-ASo4W.jpg","View")</f>
        <v>View</v>
      </c>
      <c r="V2997" s="8"/>
      <c r="W2997" s="8"/>
      <c r="X2997" s="8"/>
      <c r="Y2997" s="8"/>
      <c r="Z2997" s="8"/>
    </row>
    <row r="2998" spans="1:26" ht="12.75">
      <c r="A2998" s="11">
        <v>43747.178078703699</v>
      </c>
      <c r="B2998" s="12" t="str">
        <f>HYPERLINK("https://twitter.com/AbanozBeran","@AbanozBeran")</f>
        <v>@AbanozBeran</v>
      </c>
      <c r="C2998" s="7" t="s">
        <v>17372</v>
      </c>
      <c r="D2998" s="7" t="s">
        <v>17373</v>
      </c>
      <c r="E2998" s="12" t="str">
        <f>HYPERLINK("https://twitter.com/AbanozBeran/status/1181891164926021633","1181891164926021633")</f>
        <v>1181891164926021633</v>
      </c>
      <c r="F2998" s="15"/>
      <c r="G2998" s="7"/>
      <c r="H2998" s="8"/>
      <c r="I2998" s="15">
        <v>0</v>
      </c>
      <c r="J2998" s="15">
        <v>0</v>
      </c>
      <c r="K2998" s="12" t="str">
        <f>HYPERLINK("http://twitter.com","Twitter Web Client")</f>
        <v>Twitter Web Client</v>
      </c>
      <c r="L2998" s="16">
        <v>8</v>
      </c>
      <c r="M2998" s="16">
        <v>0</v>
      </c>
      <c r="N2998" s="16">
        <v>0</v>
      </c>
      <c r="O2998" s="17"/>
      <c r="P2998" s="18">
        <v>43668.867893518516</v>
      </c>
      <c r="Q2998" s="7" t="s">
        <v>12616</v>
      </c>
      <c r="R2998" s="7" t="s">
        <v>17374</v>
      </c>
      <c r="S2998" s="8"/>
      <c r="T2998" s="8"/>
      <c r="U2998" s="19" t="str">
        <f>HYPERLINK("https://pbs.twimg.com/profile_images/1153752818660139008/UejzCeJz.jpg","View")</f>
        <v>View</v>
      </c>
      <c r="V2998" s="8"/>
      <c r="W2998" s="8"/>
      <c r="X2998" s="8"/>
      <c r="Y2998" s="8"/>
      <c r="Z2998" s="8"/>
    </row>
    <row r="2999" spans="1:26" ht="12.75">
      <c r="A2999" s="11">
        <v>43747.17805555556</v>
      </c>
      <c r="B2999" s="12" t="str">
        <f>HYPERLINK("https://twitter.com/KutayKutoglu67","@KutayKutoglu67")</f>
        <v>@KutayKutoglu67</v>
      </c>
      <c r="C2999" s="7" t="s">
        <v>17375</v>
      </c>
      <c r="D2999" s="7" t="s">
        <v>17376</v>
      </c>
      <c r="E2999" s="12" t="str">
        <f>HYPERLINK("https://twitter.com/KutayKutoglu67/status/1181891154847117312","1181891154847117312")</f>
        <v>1181891154847117312</v>
      </c>
      <c r="F2999" s="8"/>
      <c r="G2999" s="14" t="s">
        <v>17377</v>
      </c>
      <c r="H2999" s="8"/>
      <c r="I2999" s="15">
        <v>0</v>
      </c>
      <c r="J2999" s="15">
        <v>0</v>
      </c>
      <c r="K2999" s="12" t="str">
        <f>HYPERLINK("http://twitter.com/download/iphone","Twitter for iPhone")</f>
        <v>Twitter for iPhone</v>
      </c>
      <c r="L2999" s="16">
        <v>459</v>
      </c>
      <c r="M2999" s="16">
        <v>366</v>
      </c>
      <c r="N2999" s="16">
        <v>0</v>
      </c>
      <c r="O2999" s="17"/>
      <c r="P2999" s="18">
        <v>42483.247962962967</v>
      </c>
      <c r="Q2999" s="7"/>
      <c r="R2999" s="7" t="s">
        <v>17378</v>
      </c>
      <c r="S2999" s="8"/>
      <c r="T2999" s="8"/>
      <c r="U2999" s="19" t="str">
        <f>HYPERLINK("https://pbs.twimg.com/profile_images/1108042745845874688/vAz2tumM.jpg","View")</f>
        <v>View</v>
      </c>
      <c r="V2999" s="8"/>
      <c r="W2999" s="8"/>
      <c r="X2999" s="8"/>
      <c r="Y2999" s="8"/>
      <c r="Z2999" s="8"/>
    </row>
    <row r="3000" spans="1:26" ht="12.75">
      <c r="A3000" s="11">
        <v>43747.177986111114</v>
      </c>
      <c r="B3000" s="12" t="str">
        <f>HYPERLINK("https://twitter.com/icaktan","@icaktan")</f>
        <v>@icaktan</v>
      </c>
      <c r="C3000" s="7" t="s">
        <v>17379</v>
      </c>
      <c r="D3000" s="7" t="s">
        <v>17380</v>
      </c>
      <c r="E3000" s="12" t="str">
        <f>HYPERLINK("https://twitter.com/icaktan/status/1181891131858010112","1181891131858010112")</f>
        <v>1181891131858010112</v>
      </c>
      <c r="F3000" s="8"/>
      <c r="G3000" s="15"/>
      <c r="H3000" s="8"/>
      <c r="I3000" s="15">
        <v>0</v>
      </c>
      <c r="J3000" s="15">
        <v>0</v>
      </c>
      <c r="K3000" s="12" t="str">
        <f>HYPERLINK("https://mobile.twitter.com","Twitter Web App")</f>
        <v>Twitter Web App</v>
      </c>
      <c r="L3000" s="16">
        <v>75</v>
      </c>
      <c r="M3000" s="16">
        <v>603</v>
      </c>
      <c r="N3000" s="16">
        <v>1</v>
      </c>
      <c r="O3000" s="17"/>
      <c r="P3000" s="18">
        <v>40289.720231481479</v>
      </c>
      <c r="Q3000" s="7"/>
      <c r="R3000" s="7" t="s">
        <v>17381</v>
      </c>
      <c r="S3000" s="8"/>
      <c r="T3000" s="8"/>
      <c r="U3000" s="19" t="str">
        <f>HYPERLINK("https://pbs.twimg.com/profile_images/1168600995905056775/-kZ0NBzR.jpg","View")</f>
        <v>View</v>
      </c>
      <c r="V3000" s="8"/>
      <c r="W3000" s="8"/>
      <c r="X3000" s="8"/>
      <c r="Y3000" s="8"/>
      <c r="Z3000" s="8"/>
    </row>
    <row r="3001" spans="1:26" ht="12.75">
      <c r="A3001" s="11">
        <v>43747.177986111114</v>
      </c>
      <c r="B3001" s="12" t="str">
        <f>HYPERLINK("https://twitter.com/mertglmzz","@mertglmzz")</f>
        <v>@mertglmzz</v>
      </c>
      <c r="C3001" s="7" t="s">
        <v>17382</v>
      </c>
      <c r="D3001" s="7" t="s">
        <v>17383</v>
      </c>
      <c r="E3001" s="12" t="str">
        <f>HYPERLINK("https://twitter.com/mertglmzz/status/1181891130348179462","1181891130348179462")</f>
        <v>1181891130348179462</v>
      </c>
      <c r="F3001" s="8"/>
      <c r="G3001" s="14" t="s">
        <v>17384</v>
      </c>
      <c r="H3001" s="8"/>
      <c r="I3001" s="15">
        <v>1</v>
      </c>
      <c r="J3001" s="15">
        <v>7</v>
      </c>
      <c r="K3001" s="12" t="str">
        <f>HYPERLINK("http://twitter.com/download/iphone","Twitter for iPhone")</f>
        <v>Twitter for iPhone</v>
      </c>
      <c r="L3001" s="16">
        <v>1237</v>
      </c>
      <c r="M3001" s="16">
        <v>1218</v>
      </c>
      <c r="N3001" s="16">
        <v>0</v>
      </c>
      <c r="O3001" s="17"/>
      <c r="P3001" s="18">
        <v>43720.105613425927</v>
      </c>
      <c r="Q3001" s="7" t="s">
        <v>80</v>
      </c>
      <c r="R3001" s="7" t="s">
        <v>17385</v>
      </c>
      <c r="S3001" s="8"/>
      <c r="T3001" s="8"/>
      <c r="U3001" s="19" t="str">
        <f>HYPERLINK("https://pbs.twimg.com/profile_images/1177595882973339649/SO_kIeLw.jpg","View")</f>
        <v>View</v>
      </c>
      <c r="V3001" s="8"/>
      <c r="W3001" s="8"/>
      <c r="X3001" s="8"/>
      <c r="Y3001" s="8"/>
      <c r="Z3001" s="8"/>
    </row>
    <row r="3002" spans="1:26" ht="12.75">
      <c r="A3002" s="11">
        <v>43747.17796296296</v>
      </c>
      <c r="B3002" s="12" t="str">
        <f>HYPERLINK("https://twitter.com/Benzinkokus_u","@Benzinkokus_u")</f>
        <v>@Benzinkokus_u</v>
      </c>
      <c r="C3002" s="7" t="s">
        <v>17386</v>
      </c>
      <c r="D3002" s="7" t="s">
        <v>160</v>
      </c>
      <c r="E3002" s="12" t="str">
        <f>HYPERLINK("https://twitter.com/Benzinkokus_u/status/1181891121934454784","1181891121934454784")</f>
        <v>1181891121934454784</v>
      </c>
      <c r="F3002" s="8"/>
      <c r="G3002" s="14" t="s">
        <v>17387</v>
      </c>
      <c r="H3002" s="8"/>
      <c r="I3002" s="15">
        <v>0</v>
      </c>
      <c r="J3002" s="15">
        <v>1</v>
      </c>
      <c r="K3002" s="12" t="str">
        <f>HYPERLINK("http://twitter.com/download/iphone","Twitter for iPhone")</f>
        <v>Twitter for iPhone</v>
      </c>
      <c r="L3002" s="16">
        <v>96</v>
      </c>
      <c r="M3002" s="16">
        <v>133</v>
      </c>
      <c r="N3002" s="16">
        <v>0</v>
      </c>
      <c r="O3002" s="17"/>
      <c r="P3002" s="18">
        <v>41981.290300925924</v>
      </c>
      <c r="Q3002" s="7" t="s">
        <v>17388</v>
      </c>
      <c r="R3002" s="7"/>
      <c r="S3002" s="8"/>
      <c r="T3002" s="8"/>
      <c r="U3002" s="19" t="str">
        <f>HYPERLINK("https://pbs.twimg.com/profile_images/1148977288882642946/ctIzMsCD.jpg","View")</f>
        <v>View</v>
      </c>
      <c r="V3002" s="8"/>
      <c r="W3002" s="8"/>
      <c r="X3002" s="8"/>
      <c r="Y3002" s="8"/>
      <c r="Z3002" s="8"/>
    </row>
    <row r="3003" spans="1:26" ht="12.75">
      <c r="A3003" s="11">
        <v>43747.177893518514</v>
      </c>
      <c r="B3003" s="12" t="str">
        <f>HYPERLINK("https://twitter.com/MfyRyclassic29","@MfyRyclassic29")</f>
        <v>@MfyRyclassic29</v>
      </c>
      <c r="C3003" s="7" t="s">
        <v>17389</v>
      </c>
      <c r="D3003" s="7" t="s">
        <v>160</v>
      </c>
      <c r="E3003" s="12" t="str">
        <f>HYPERLINK("https://twitter.com/MfyRyclassic29/status/1181891098211426305","1181891098211426305")</f>
        <v>1181891098211426305</v>
      </c>
      <c r="F3003" s="8"/>
      <c r="G3003" s="14" t="s">
        <v>17390</v>
      </c>
      <c r="H3003" s="8"/>
      <c r="I3003" s="15">
        <v>0</v>
      </c>
      <c r="J3003" s="15">
        <v>1</v>
      </c>
      <c r="K3003" s="12" t="str">
        <f>HYPERLINK("http://twitter.com/download/android","Twitter for Android")</f>
        <v>Twitter for Android</v>
      </c>
      <c r="L3003" s="16">
        <v>199</v>
      </c>
      <c r="M3003" s="16">
        <v>538</v>
      </c>
      <c r="N3003" s="16">
        <v>0</v>
      </c>
      <c r="O3003" s="17"/>
      <c r="P3003" s="18">
        <v>42812.513553240744</v>
      </c>
      <c r="Q3003" s="7" t="s">
        <v>313</v>
      </c>
      <c r="R3003" s="7"/>
      <c r="S3003" s="8"/>
      <c r="T3003" s="8"/>
      <c r="U3003" s="19" t="str">
        <f>HYPERLINK("https://pbs.twimg.com/profile_images/1158370400356753410/eCG_9xCo.jpg","View")</f>
        <v>View</v>
      </c>
      <c r="V3003" s="8"/>
      <c r="W3003" s="8"/>
      <c r="X3003" s="8"/>
      <c r="Y3003" s="8"/>
      <c r="Z3003" s="8"/>
    </row>
    <row r="3004" spans="1:26" ht="12.75">
      <c r="A3004" s="11">
        <v>43747.177870370375</v>
      </c>
      <c r="B3004" s="12" t="str">
        <f>HYPERLINK("https://twitter.com/carlosssss1903","@carlosssss1903")</f>
        <v>@carlosssss1903</v>
      </c>
      <c r="C3004" s="7" t="s">
        <v>17391</v>
      </c>
      <c r="D3004" s="7" t="s">
        <v>17392</v>
      </c>
      <c r="E3004" s="12" t="str">
        <f>HYPERLINK("https://twitter.com/carlosssss1903/status/1181891088669384704","1181891088669384704")</f>
        <v>1181891088669384704</v>
      </c>
      <c r="F3004" s="8"/>
      <c r="G3004" s="15"/>
      <c r="H3004" s="8"/>
      <c r="I3004" s="15">
        <v>0</v>
      </c>
      <c r="J3004" s="15">
        <v>0</v>
      </c>
      <c r="K3004" s="12" t="str">
        <f>HYPERLINK("http://twitter.com/download/android","Twitter for Android")</f>
        <v>Twitter for Android</v>
      </c>
      <c r="L3004" s="16">
        <v>259</v>
      </c>
      <c r="M3004" s="16">
        <v>1331</v>
      </c>
      <c r="N3004" s="16">
        <v>0</v>
      </c>
      <c r="O3004" s="17"/>
      <c r="P3004" s="18">
        <v>42516.359178240746</v>
      </c>
      <c r="Q3004" s="7" t="s">
        <v>6218</v>
      </c>
      <c r="R3004" s="7" t="s">
        <v>17393</v>
      </c>
      <c r="S3004" s="8"/>
      <c r="T3004" s="8"/>
      <c r="U3004" s="19" t="str">
        <f>HYPERLINK("https://pbs.twimg.com/profile_images/1082422004794437632/SMxSk-iH.jpg","View")</f>
        <v>View</v>
      </c>
      <c r="V3004" s="8"/>
      <c r="W3004" s="8"/>
      <c r="X3004" s="8"/>
      <c r="Y3004" s="8"/>
      <c r="Z3004" s="8"/>
    </row>
    <row r="3005" spans="1:26" ht="12.75">
      <c r="A3005" s="11">
        <v>43747.177835648152</v>
      </c>
      <c r="B3005" s="12" t="str">
        <f>HYPERLINK("https://twitter.com/RumeysaBozkurt0","@RumeysaBozkurt0")</f>
        <v>@RumeysaBozkurt0</v>
      </c>
      <c r="C3005" s="7" t="s">
        <v>17394</v>
      </c>
      <c r="D3005" s="7" t="s">
        <v>151</v>
      </c>
      <c r="E3005" s="12" t="str">
        <f>HYPERLINK("https://twitter.com/RumeysaBozkurt0/status/1181891076963090432","1181891076963090432")</f>
        <v>1181891076963090432</v>
      </c>
      <c r="F3005" s="15"/>
      <c r="G3005" s="14" t="s">
        <v>17395</v>
      </c>
      <c r="H3005" s="8"/>
      <c r="I3005" s="15">
        <v>13</v>
      </c>
      <c r="J3005" s="15">
        <v>101</v>
      </c>
      <c r="K3005" s="12" t="str">
        <f>HYPERLINK("http://twitter.com/download/android","Twitter for Android")</f>
        <v>Twitter for Android</v>
      </c>
      <c r="L3005" s="16">
        <v>10387</v>
      </c>
      <c r="M3005" s="16">
        <v>9333</v>
      </c>
      <c r="N3005" s="16">
        <v>2</v>
      </c>
      <c r="O3005" s="17"/>
      <c r="P3005" s="18">
        <v>43423.975752314815</v>
      </c>
      <c r="Q3005" s="7" t="s">
        <v>287</v>
      </c>
      <c r="R3005" s="7" t="s">
        <v>17396</v>
      </c>
      <c r="S3005" s="15"/>
      <c r="T3005" s="8"/>
      <c r="U3005" s="19" t="str">
        <f>HYPERLINK("https://pbs.twimg.com/profile_images/1164917262534553601/mj4qQXOR.jpg","View")</f>
        <v>View</v>
      </c>
      <c r="V3005" s="8"/>
      <c r="W3005" s="8"/>
      <c r="X3005" s="8"/>
      <c r="Y3005" s="8"/>
      <c r="Z3005" s="8"/>
    </row>
    <row r="3006" spans="1:26" ht="12.75">
      <c r="A3006" s="11">
        <v>43747.177835648152</v>
      </c>
      <c r="B3006" s="12" t="str">
        <f>HYPERLINK("https://twitter.com/Salihcelk35","@Salihcelk35")</f>
        <v>@Salihcelk35</v>
      </c>
      <c r="C3006" s="7" t="s">
        <v>17397</v>
      </c>
      <c r="D3006" s="7" t="s">
        <v>17398</v>
      </c>
      <c r="E3006" s="12" t="str">
        <f>HYPERLINK("https://twitter.com/Salihcelk35/status/1181891073641238529","1181891073641238529")</f>
        <v>1181891073641238529</v>
      </c>
      <c r="F3006" s="8"/>
      <c r="G3006" s="14" t="s">
        <v>17399</v>
      </c>
      <c r="H3006" s="8"/>
      <c r="I3006" s="15">
        <v>0</v>
      </c>
      <c r="J3006" s="15">
        <v>1</v>
      </c>
      <c r="K3006" s="12" t="str">
        <f>HYPERLINK("http://twitter.com/download/android","Twitter for Android")</f>
        <v>Twitter for Android</v>
      </c>
      <c r="L3006" s="16">
        <v>107</v>
      </c>
      <c r="M3006" s="16">
        <v>247</v>
      </c>
      <c r="N3006" s="16">
        <v>0</v>
      </c>
      <c r="O3006" s="17"/>
      <c r="P3006" s="18">
        <v>43576.609918981485</v>
      </c>
      <c r="Q3006" s="7"/>
      <c r="R3006" s="7" t="s">
        <v>17400</v>
      </c>
      <c r="S3006" s="8"/>
      <c r="T3006" s="8"/>
      <c r="U3006" s="19" t="str">
        <f>HYPERLINK("https://pbs.twimg.com/profile_images/1180952435344457728/BbecTNUh.jpg","View")</f>
        <v>View</v>
      </c>
      <c r="V3006" s="8"/>
      <c r="W3006" s="8"/>
      <c r="X3006" s="8"/>
      <c r="Y3006" s="8"/>
      <c r="Z3006" s="8"/>
    </row>
    <row r="3007" spans="1:26" ht="12.75">
      <c r="A3007" s="11">
        <v>43747.177812499998</v>
      </c>
      <c r="B3007" s="12" t="str">
        <f>HYPERLINK("https://twitter.com/korhan99","@korhan99")</f>
        <v>@korhan99</v>
      </c>
      <c r="C3007" s="7" t="s">
        <v>17401</v>
      </c>
      <c r="D3007" s="7" t="s">
        <v>17402</v>
      </c>
      <c r="E3007" s="12" t="str">
        <f>HYPERLINK("https://twitter.com/korhan99/status/1181891065311383552","1181891065311383552")</f>
        <v>1181891065311383552</v>
      </c>
      <c r="F3007" s="8"/>
      <c r="G3007" s="14" t="s">
        <v>17403</v>
      </c>
      <c r="H3007" s="8"/>
      <c r="I3007" s="15">
        <v>0</v>
      </c>
      <c r="J3007" s="15">
        <v>1</v>
      </c>
      <c r="K3007" s="12" t="str">
        <f>HYPERLINK("http://twitter.com/download/iphone","Twitter for iPhone")</f>
        <v>Twitter for iPhone</v>
      </c>
      <c r="L3007" s="16">
        <v>25</v>
      </c>
      <c r="M3007" s="16">
        <v>100</v>
      </c>
      <c r="N3007" s="16">
        <v>1</v>
      </c>
      <c r="O3007" s="17"/>
      <c r="P3007" s="18">
        <v>42271.451712962968</v>
      </c>
      <c r="Q3007" s="7" t="s">
        <v>313</v>
      </c>
      <c r="R3007" s="7" t="s">
        <v>17404</v>
      </c>
      <c r="S3007" s="8"/>
      <c r="T3007" s="8"/>
      <c r="U3007" s="19" t="str">
        <f>HYPERLINK("https://pbs.twimg.com/profile_images/724561483485569025/wHkrDIRj.jpg","View")</f>
        <v>View</v>
      </c>
      <c r="V3007" s="8"/>
      <c r="W3007" s="8"/>
      <c r="X3007" s="8"/>
      <c r="Y3007" s="8"/>
      <c r="Z3007" s="8"/>
    </row>
    <row r="3008" spans="1:26" ht="12.75">
      <c r="A3008" s="11">
        <v>43747.177719907406</v>
      </c>
      <c r="B3008" s="12" t="str">
        <f>HYPERLINK("https://twitter.com/TMRACR","@TMRACR")</f>
        <v>@TMRACR</v>
      </c>
      <c r="C3008" s="7" t="s">
        <v>17405</v>
      </c>
      <c r="D3008" s="7" t="s">
        <v>17406</v>
      </c>
      <c r="E3008" s="12" t="str">
        <f>HYPERLINK("https://twitter.com/TMRACR/status/1181891033006772225","1181891033006772225")</f>
        <v>1181891033006772225</v>
      </c>
      <c r="F3008" s="14" t="s">
        <v>17407</v>
      </c>
      <c r="G3008" s="14" t="s">
        <v>17408</v>
      </c>
      <c r="H3008" s="8"/>
      <c r="I3008" s="15">
        <v>0</v>
      </c>
      <c r="J3008" s="15">
        <v>0</v>
      </c>
      <c r="K3008" s="12" t="str">
        <f>HYPERLINK("http://twitter.com/download/android","Twitter for Android")</f>
        <v>Twitter for Android</v>
      </c>
      <c r="L3008" s="16">
        <v>3223</v>
      </c>
      <c r="M3008" s="16">
        <v>3303</v>
      </c>
      <c r="N3008" s="16">
        <v>1</v>
      </c>
      <c r="O3008" s="17"/>
      <c r="P3008" s="18">
        <v>41845.049050925925</v>
      </c>
      <c r="Q3008" s="7" t="s">
        <v>200</v>
      </c>
      <c r="R3008" s="7"/>
      <c r="S3008" s="14" t="s">
        <v>17409</v>
      </c>
      <c r="T3008" s="8"/>
      <c r="U3008" s="19" t="str">
        <f>HYPERLINK("https://pbs.twimg.com/profile_images/1147230716029218820/Z0UJSMP9.png","View")</f>
        <v>View</v>
      </c>
      <c r="V3008" s="8"/>
      <c r="W3008" s="8"/>
      <c r="X3008" s="8"/>
      <c r="Y3008" s="8"/>
      <c r="Z3008" s="8"/>
    </row>
    <row r="3009" spans="1:26" ht="12.75">
      <c r="A3009" s="11">
        <v>43747.177708333329</v>
      </c>
      <c r="B3009" s="12" t="str">
        <f>HYPERLINK("https://twitter.com/ParsKuru","@ParsKuru")</f>
        <v>@ParsKuru</v>
      </c>
      <c r="C3009" s="7" t="s">
        <v>17410</v>
      </c>
      <c r="D3009" s="7" t="s">
        <v>17411</v>
      </c>
      <c r="E3009" s="12" t="str">
        <f>HYPERLINK("https://twitter.com/ParsKuru/status/1181891031169736705","1181891031169736705")</f>
        <v>1181891031169736705</v>
      </c>
      <c r="F3009" s="8"/>
      <c r="G3009" s="14" t="s">
        <v>17412</v>
      </c>
      <c r="H3009" s="8"/>
      <c r="I3009" s="15">
        <v>2</v>
      </c>
      <c r="J3009" s="15">
        <v>17</v>
      </c>
      <c r="K3009" s="12" t="str">
        <f>HYPERLINK("https://mobile.twitter.com","Twitter Web App")</f>
        <v>Twitter Web App</v>
      </c>
      <c r="L3009" s="16">
        <v>4604</v>
      </c>
      <c r="M3009" s="16">
        <v>865</v>
      </c>
      <c r="N3009" s="16">
        <v>16</v>
      </c>
      <c r="O3009" s="17"/>
      <c r="P3009" s="18">
        <v>40772.196793981479</v>
      </c>
      <c r="Q3009" s="7"/>
      <c r="R3009" s="7" t="s">
        <v>17413</v>
      </c>
      <c r="S3009" s="8"/>
      <c r="T3009" s="8"/>
      <c r="U3009" s="19" t="str">
        <f>HYPERLINK("https://pbs.twimg.com/profile_images/632997015702622208/hMBQcYRQ.jpg","View")</f>
        <v>View</v>
      </c>
      <c r="V3009" s="8"/>
      <c r="W3009" s="8"/>
      <c r="X3009" s="8"/>
      <c r="Y3009" s="8"/>
      <c r="Z3009" s="8"/>
    </row>
    <row r="3010" spans="1:26" ht="12.75">
      <c r="A3010" s="11">
        <v>43747.177650462967</v>
      </c>
      <c r="B3010" s="12" t="str">
        <f>HYPERLINK("https://twitter.com/Hamzaispir1","@Hamzaispir1")</f>
        <v>@Hamzaispir1</v>
      </c>
      <c r="C3010" s="7" t="s">
        <v>17414</v>
      </c>
      <c r="D3010" s="7" t="s">
        <v>17415</v>
      </c>
      <c r="E3010" s="12" t="str">
        <f>HYPERLINK("https://twitter.com/Hamzaispir1/status/1181891009900400642","1181891009900400642")</f>
        <v>1181891009900400642</v>
      </c>
      <c r="F3010" s="15"/>
      <c r="G3010" s="14" t="s">
        <v>17416</v>
      </c>
      <c r="H3010" s="8"/>
      <c r="I3010" s="15">
        <v>0</v>
      </c>
      <c r="J3010" s="15">
        <v>1</v>
      </c>
      <c r="K3010" s="12" t="str">
        <f>HYPERLINK("http://twitter.com/download/android","Twitter for Android")</f>
        <v>Twitter for Android</v>
      </c>
      <c r="L3010" s="16">
        <v>17</v>
      </c>
      <c r="M3010" s="16">
        <v>54</v>
      </c>
      <c r="N3010" s="16">
        <v>0</v>
      </c>
      <c r="O3010" s="17"/>
      <c r="P3010" s="18">
        <v>43071.201215277775</v>
      </c>
      <c r="Q3010" s="7"/>
      <c r="R3010" s="7"/>
      <c r="S3010" s="8"/>
      <c r="T3010" s="8"/>
      <c r="U3010" s="19" t="str">
        <f>HYPERLINK("https://pbs.twimg.com/profile_images/1014117912968421377/978sB_dP.jpg","View")</f>
        <v>View</v>
      </c>
      <c r="V3010" s="8"/>
      <c r="W3010" s="8"/>
      <c r="X3010" s="8"/>
      <c r="Y3010" s="8"/>
      <c r="Z3010" s="8"/>
    </row>
    <row r="3011" spans="1:26" ht="12.75">
      <c r="A3011" s="11">
        <v>43747.177627314813</v>
      </c>
      <c r="B3011" s="12" t="str">
        <f>HYPERLINK("https://twitter.com/MSTFASAMIL","@MSTFASAMIL")</f>
        <v>@MSTFASAMIL</v>
      </c>
      <c r="C3011" s="7" t="s">
        <v>17417</v>
      </c>
      <c r="D3011" s="7" t="s">
        <v>3552</v>
      </c>
      <c r="E3011" s="12" t="str">
        <f>HYPERLINK("https://twitter.com/MSTFASAMIL/status/1181891000438001665","1181891000438001665")</f>
        <v>1181891000438001665</v>
      </c>
      <c r="F3011" s="8"/>
      <c r="G3011" s="14" t="s">
        <v>17418</v>
      </c>
      <c r="H3011" s="8"/>
      <c r="I3011" s="15">
        <v>0</v>
      </c>
      <c r="J3011" s="15">
        <v>2</v>
      </c>
      <c r="K3011" s="12" t="str">
        <f>HYPERLINK("http://twitter.com/download/android","Twitter for Android")</f>
        <v>Twitter for Android</v>
      </c>
      <c r="L3011" s="16">
        <v>19</v>
      </c>
      <c r="M3011" s="16">
        <v>85</v>
      </c>
      <c r="N3011" s="16">
        <v>0</v>
      </c>
      <c r="O3011" s="17"/>
      <c r="P3011" s="18">
        <v>41757.137824074074</v>
      </c>
      <c r="Q3011" s="7" t="s">
        <v>13632</v>
      </c>
      <c r="R3011" s="7"/>
      <c r="S3011" s="8"/>
      <c r="T3011" s="8"/>
      <c r="U3011" s="19" t="str">
        <f>HYPERLINK("https://pbs.twimg.com/profile_images/1151519511729844234/VQ-rA2ew.jpg","View")</f>
        <v>View</v>
      </c>
      <c r="V3011" s="8"/>
      <c r="W3011" s="8"/>
      <c r="X3011" s="8"/>
      <c r="Y3011" s="8"/>
      <c r="Z3011" s="8"/>
    </row>
    <row r="3012" spans="1:26" ht="12.75">
      <c r="A3012" s="11">
        <v>43747.177627314813</v>
      </c>
      <c r="B3012" s="12" t="str">
        <f>HYPERLINK("https://twitter.com/SaDeCeAli0807","@SaDeCeAli0807")</f>
        <v>@SaDeCeAli0807</v>
      </c>
      <c r="C3012" s="7" t="s">
        <v>17419</v>
      </c>
      <c r="D3012" s="7" t="s">
        <v>17420</v>
      </c>
      <c r="E3012" s="12" t="str">
        <f>HYPERLINK("https://twitter.com/SaDeCeAli0807/status/1181890998382804992","1181890998382804992")</f>
        <v>1181890998382804992</v>
      </c>
      <c r="F3012" s="15"/>
      <c r="G3012" s="14" t="s">
        <v>17421</v>
      </c>
      <c r="H3012" s="8"/>
      <c r="I3012" s="15">
        <v>0</v>
      </c>
      <c r="J3012" s="15">
        <v>2</v>
      </c>
      <c r="K3012" s="12" t="str">
        <f>HYPERLINK("http://twitter.com/download/android","Twitter for Android")</f>
        <v>Twitter for Android</v>
      </c>
      <c r="L3012" s="16">
        <v>130</v>
      </c>
      <c r="M3012" s="16">
        <v>129</v>
      </c>
      <c r="N3012" s="16">
        <v>0</v>
      </c>
      <c r="O3012" s="17"/>
      <c r="P3012" s="18">
        <v>43726.601863425924</v>
      </c>
      <c r="Q3012" s="7" t="s">
        <v>17422</v>
      </c>
      <c r="R3012" s="7" t="s">
        <v>17423</v>
      </c>
      <c r="S3012" s="8"/>
      <c r="T3012" s="8"/>
      <c r="U3012" s="19" t="str">
        <f>HYPERLINK("https://pbs.twimg.com/profile_images/1175566913260412928/yKdCyP_K.jpg","View")</f>
        <v>View</v>
      </c>
      <c r="V3012" s="8"/>
      <c r="W3012" s="8"/>
      <c r="X3012" s="8"/>
      <c r="Y3012" s="8"/>
      <c r="Z3012" s="8"/>
    </row>
    <row r="3013" spans="1:26" ht="12.75">
      <c r="A3013" s="11">
        <v>43747.177604166667</v>
      </c>
      <c r="B3013" s="12" t="str">
        <f>HYPERLINK("https://twitter.com/msefa_oksuz","@msefa_oksuz")</f>
        <v>@msefa_oksuz</v>
      </c>
      <c r="C3013" s="7" t="s">
        <v>17424</v>
      </c>
      <c r="D3013" s="7" t="s">
        <v>17425</v>
      </c>
      <c r="E3013" s="12" t="str">
        <f>HYPERLINK("https://twitter.com/msefa_oksuz/status/1181890991848116224","1181890991848116224")</f>
        <v>1181890991848116224</v>
      </c>
      <c r="F3013" s="8"/>
      <c r="G3013" s="14" t="s">
        <v>17426</v>
      </c>
      <c r="H3013" s="8"/>
      <c r="I3013" s="15">
        <v>0</v>
      </c>
      <c r="J3013" s="15">
        <v>2</v>
      </c>
      <c r="K3013" s="12" t="str">
        <f>HYPERLINK("http://twitter.com/download/iphone","Twitter for iPhone")</f>
        <v>Twitter for iPhone</v>
      </c>
      <c r="L3013" s="16">
        <v>11</v>
      </c>
      <c r="M3013" s="16">
        <v>27</v>
      </c>
      <c r="N3013" s="16">
        <v>0</v>
      </c>
      <c r="O3013" s="17"/>
      <c r="P3013" s="18">
        <v>43707.28907407407</v>
      </c>
      <c r="Q3013" s="7"/>
      <c r="R3013" s="7"/>
      <c r="S3013" s="8"/>
      <c r="T3013" s="8"/>
      <c r="U3013" s="19" t="str">
        <f>HYPERLINK("https://pbs.twimg.com/profile_images/1178923161569677312/HFqS5Rbe.jpg","View")</f>
        <v>View</v>
      </c>
      <c r="V3013" s="8"/>
      <c r="W3013" s="8"/>
      <c r="X3013" s="8"/>
      <c r="Y3013" s="8"/>
      <c r="Z3013" s="8"/>
    </row>
    <row r="3014" spans="1:26" ht="12.75">
      <c r="A3014" s="11">
        <v>43747.177418981482</v>
      </c>
      <c r="B3014" s="12" t="str">
        <f>HYPERLINK("https://twitter.com/pusatsizceri","@pusatsizceri")</f>
        <v>@pusatsizceri</v>
      </c>
      <c r="C3014" s="7" t="s">
        <v>17427</v>
      </c>
      <c r="D3014" s="7" t="s">
        <v>17428</v>
      </c>
      <c r="E3014" s="12" t="str">
        <f>HYPERLINK("https://twitter.com/pusatsizceri/status/1181890924386934784","1181890924386934784")</f>
        <v>1181890924386934784</v>
      </c>
      <c r="F3014" s="8"/>
      <c r="G3014" s="15"/>
      <c r="H3014" s="8"/>
      <c r="I3014" s="15">
        <v>0</v>
      </c>
      <c r="J3014" s="15">
        <v>0</v>
      </c>
      <c r="K3014" s="12" t="str">
        <f>HYPERLINK("http://twitter.com/download/iphone","Twitter for iPhone")</f>
        <v>Twitter for iPhone</v>
      </c>
      <c r="L3014" s="16">
        <v>6</v>
      </c>
      <c r="M3014" s="16">
        <v>31</v>
      </c>
      <c r="N3014" s="16">
        <v>0</v>
      </c>
      <c r="O3014" s="17"/>
      <c r="P3014" s="18">
        <v>43350.584594907406</v>
      </c>
      <c r="Q3014" s="7"/>
      <c r="R3014" s="7" t="s">
        <v>17429</v>
      </c>
      <c r="S3014" s="8"/>
      <c r="T3014" s="8"/>
      <c r="U3014" s="19" t="str">
        <f>HYPERLINK("https://pbs.twimg.com/profile_images/1176073025277616131/CYRAQfTP.jpg","View")</f>
        <v>View</v>
      </c>
      <c r="V3014" s="8"/>
      <c r="W3014" s="8"/>
      <c r="X3014" s="8"/>
      <c r="Y3014" s="8"/>
      <c r="Z3014" s="8"/>
    </row>
    <row r="3015" spans="1:26" ht="12.75">
      <c r="A3015" s="11">
        <v>43747.177407407406</v>
      </c>
      <c r="B3015" s="12" t="str">
        <f>HYPERLINK("https://twitter.com/Griffin09314548","@Griffin09314548")</f>
        <v>@Griffin09314548</v>
      </c>
      <c r="C3015" s="7" t="s">
        <v>17430</v>
      </c>
      <c r="D3015" s="7" t="s">
        <v>17431</v>
      </c>
      <c r="E3015" s="12" t="str">
        <f>HYPERLINK("https://twitter.com/Griffin09314548/status/1181890919496388608","1181890919496388608")</f>
        <v>1181890919496388608</v>
      </c>
      <c r="F3015" s="8"/>
      <c r="G3015" s="7"/>
      <c r="H3015" s="8"/>
      <c r="I3015" s="15">
        <v>1</v>
      </c>
      <c r="J3015" s="15">
        <v>1</v>
      </c>
      <c r="K3015" s="12" t="str">
        <f>HYPERLINK("http://twitter.com/download/iphone","Twitter for iPhone")</f>
        <v>Twitter for iPhone</v>
      </c>
      <c r="L3015" s="16">
        <v>253</v>
      </c>
      <c r="M3015" s="16">
        <v>46</v>
      </c>
      <c r="N3015" s="16">
        <v>0</v>
      </c>
      <c r="O3015" s="17"/>
      <c r="P3015" s="18">
        <v>43549.300162037034</v>
      </c>
      <c r="Q3015" s="7"/>
      <c r="R3015" s="7" t="s">
        <v>17432</v>
      </c>
      <c r="S3015" s="8"/>
      <c r="T3015" s="8"/>
      <c r="U3015" s="19" t="str">
        <f>HYPERLINK("https://pbs.twimg.com/profile_images/1114206447192223744/qRW7vP6v.jpg","View")</f>
        <v>View</v>
      </c>
      <c r="V3015" s="8"/>
      <c r="W3015" s="8"/>
      <c r="X3015" s="8"/>
      <c r="Y3015" s="8"/>
      <c r="Z3015" s="8"/>
    </row>
    <row r="3016" spans="1:26" ht="12.75">
      <c r="A3016" s="11">
        <v>43747.177372685182</v>
      </c>
      <c r="B3016" s="12" t="str">
        <f>HYPERLINK("https://twitter.com/FatihMrtKanmaz","@FatihMrtKanmaz")</f>
        <v>@FatihMrtKanmaz</v>
      </c>
      <c r="C3016" s="7" t="s">
        <v>17433</v>
      </c>
      <c r="D3016" s="7" t="s">
        <v>151</v>
      </c>
      <c r="E3016" s="12" t="str">
        <f>HYPERLINK("https://twitter.com/FatihMrtKanmaz/status/1181890905508319232","1181890905508319232")</f>
        <v>1181890905508319232</v>
      </c>
      <c r="F3016" s="8"/>
      <c r="G3016" s="14" t="s">
        <v>17395</v>
      </c>
      <c r="H3016" s="8"/>
      <c r="I3016" s="15">
        <v>0</v>
      </c>
      <c r="J3016" s="15">
        <v>2</v>
      </c>
      <c r="K3016" s="12" t="str">
        <f>HYPERLINK("http://twitter.com/download/android","Twitter for Android")</f>
        <v>Twitter for Android</v>
      </c>
      <c r="L3016" s="16">
        <v>395</v>
      </c>
      <c r="M3016" s="16">
        <v>327</v>
      </c>
      <c r="N3016" s="16">
        <v>0</v>
      </c>
      <c r="O3016" s="17"/>
      <c r="P3016" s="18">
        <v>43291.55431712963</v>
      </c>
      <c r="Q3016" s="7"/>
      <c r="R3016" s="7" t="s">
        <v>17434</v>
      </c>
      <c r="S3016" s="8"/>
      <c r="T3016" s="8"/>
      <c r="U3016" s="19" t="str">
        <f>HYPERLINK("https://pbs.twimg.com/profile_images/1035584848797343745/bARw_IMI.jpg","View")</f>
        <v>View</v>
      </c>
      <c r="V3016" s="8"/>
      <c r="W3016" s="8"/>
      <c r="X3016" s="8"/>
      <c r="Y3016" s="8"/>
      <c r="Z3016" s="8"/>
    </row>
    <row r="3017" spans="1:26" ht="12.75">
      <c r="A3017" s="11">
        <v>43747.177337962959</v>
      </c>
      <c r="B3017" s="12" t="str">
        <f>HYPERLINK("https://twitter.com/m2019murat","@m2019murat")</f>
        <v>@m2019murat</v>
      </c>
      <c r="C3017" s="7" t="s">
        <v>17435</v>
      </c>
      <c r="D3017" s="7" t="s">
        <v>17436</v>
      </c>
      <c r="E3017" s="12" t="str">
        <f>HYPERLINK("https://twitter.com/m2019murat/status/1181890896540966913","1181890896540966913")</f>
        <v>1181890896540966913</v>
      </c>
      <c r="F3017" s="8"/>
      <c r="G3017" s="14" t="s">
        <v>17437</v>
      </c>
      <c r="H3017" s="8"/>
      <c r="I3017" s="15">
        <v>0</v>
      </c>
      <c r="J3017" s="15">
        <v>0</v>
      </c>
      <c r="K3017" s="12" t="str">
        <f>HYPERLINK("https://mobile.twitter.com","Twitter Web App")</f>
        <v>Twitter Web App</v>
      </c>
      <c r="L3017" s="16">
        <v>322</v>
      </c>
      <c r="M3017" s="16">
        <v>238</v>
      </c>
      <c r="N3017" s="16">
        <v>0</v>
      </c>
      <c r="O3017" s="17"/>
      <c r="P3017" s="18">
        <v>40713.728645833333</v>
      </c>
      <c r="Q3017" s="7" t="s">
        <v>287</v>
      </c>
      <c r="R3017" s="7" t="s">
        <v>17438</v>
      </c>
      <c r="S3017" s="14" t="s">
        <v>17439</v>
      </c>
      <c r="T3017" s="8"/>
      <c r="U3017" s="19" t="str">
        <f>HYPERLINK("https://pbs.twimg.com/profile_images/1181889495286865920/1oFdvhrU.jpg","View")</f>
        <v>View</v>
      </c>
      <c r="V3017" s="8"/>
      <c r="W3017" s="8"/>
      <c r="X3017" s="8"/>
      <c r="Y3017" s="8"/>
      <c r="Z3017" s="8"/>
    </row>
    <row r="3018" spans="1:26" ht="12.75">
      <c r="A3018" s="11">
        <v>43747.177291666667</v>
      </c>
      <c r="B3018" s="12" t="str">
        <f>HYPERLINK("https://twitter.com/kronikcizimci","@kronikcizimci")</f>
        <v>@kronikcizimci</v>
      </c>
      <c r="C3018" s="7" t="s">
        <v>17440</v>
      </c>
      <c r="D3018" s="21" t="s">
        <v>17441</v>
      </c>
      <c r="E3018" s="12" t="str">
        <f>HYPERLINK("https://twitter.com/kronikcizimci/status/1181890876727054337","1181890876727054337")</f>
        <v>1181890876727054337</v>
      </c>
      <c r="F3018" s="8"/>
      <c r="G3018" s="7"/>
      <c r="H3018" s="8"/>
      <c r="I3018" s="15">
        <v>0</v>
      </c>
      <c r="J3018" s="15">
        <v>0</v>
      </c>
      <c r="K3018" s="12" t="str">
        <f>HYPERLINK("http://twitter.com/download/android","Twitter for Android")</f>
        <v>Twitter for Android</v>
      </c>
      <c r="L3018" s="16">
        <v>306</v>
      </c>
      <c r="M3018" s="16">
        <v>74</v>
      </c>
      <c r="N3018" s="16">
        <v>0</v>
      </c>
      <c r="O3018" s="17"/>
      <c r="P3018" s="18">
        <v>42730.081377314811</v>
      </c>
      <c r="Q3018" s="7" t="s">
        <v>5418</v>
      </c>
      <c r="R3018" s="7" t="s">
        <v>17442</v>
      </c>
      <c r="S3018" s="8"/>
      <c r="T3018" s="8"/>
      <c r="U3018" s="19" t="str">
        <f>HYPERLINK("https://pbs.twimg.com/profile_images/813630920813117440/SgzAd8Tb.jpg","View")</f>
        <v>View</v>
      </c>
      <c r="V3018" s="8"/>
      <c r="W3018" s="8"/>
      <c r="X3018" s="8"/>
      <c r="Y3018" s="8"/>
      <c r="Z3018" s="8"/>
    </row>
    <row r="3019" spans="1:26" ht="12.75">
      <c r="A3019" s="11">
        <v>43747.177094907413</v>
      </c>
      <c r="B3019" s="12" t="str">
        <f>HYPERLINK("https://twitter.com/onurturkdal1","@onurturkdal1")</f>
        <v>@onurturkdal1</v>
      </c>
      <c r="C3019" s="7" t="s">
        <v>17443</v>
      </c>
      <c r="D3019" s="7" t="s">
        <v>17444</v>
      </c>
      <c r="E3019" s="12" t="str">
        <f>HYPERLINK("https://twitter.com/onurturkdal1/status/1181890806199836673","1181890806199836673")</f>
        <v>1181890806199836673</v>
      </c>
      <c r="F3019" s="15"/>
      <c r="G3019" s="7"/>
      <c r="H3019" s="8"/>
      <c r="I3019" s="15">
        <v>0</v>
      </c>
      <c r="J3019" s="15">
        <v>0</v>
      </c>
      <c r="K3019" s="12" t="str">
        <f>HYPERLINK("http://twitter.com/download/iphone","Twitter for iPhone")</f>
        <v>Twitter for iPhone</v>
      </c>
      <c r="L3019" s="16">
        <v>344</v>
      </c>
      <c r="M3019" s="16">
        <v>395</v>
      </c>
      <c r="N3019" s="16">
        <v>0</v>
      </c>
      <c r="O3019" s="17"/>
      <c r="P3019" s="18">
        <v>41032.3355787037</v>
      </c>
      <c r="Q3019" s="7" t="s">
        <v>17445</v>
      </c>
      <c r="R3019" s="7" t="s">
        <v>17446</v>
      </c>
      <c r="S3019" s="14" t="s">
        <v>17447</v>
      </c>
      <c r="T3019" s="8"/>
      <c r="U3019" s="19" t="str">
        <f>HYPERLINK("https://pbs.twimg.com/profile_images/962253961003782145/X9-jw0nf.jpg","View")</f>
        <v>View</v>
      </c>
      <c r="V3019" s="8"/>
      <c r="W3019" s="8"/>
      <c r="X3019" s="8"/>
      <c r="Y3019" s="8"/>
      <c r="Z3019" s="8"/>
    </row>
    <row r="3020" spans="1:26" ht="12.75">
      <c r="A3020" s="11">
        <v>43747.177083333328</v>
      </c>
      <c r="B3020" s="12" t="str">
        <f>HYPERLINK("https://twitter.com/kaynakbeyy","@kaynakbeyy")</f>
        <v>@kaynakbeyy</v>
      </c>
      <c r="C3020" s="7" t="s">
        <v>17448</v>
      </c>
      <c r="D3020" s="7" t="s">
        <v>17449</v>
      </c>
      <c r="E3020" s="12" t="str">
        <f>HYPERLINK("https://twitter.com/kaynakbeyy/status/1181890800835321862","1181890800835321862")</f>
        <v>1181890800835321862</v>
      </c>
      <c r="F3020" s="8"/>
      <c r="G3020" s="7"/>
      <c r="H3020" s="8"/>
      <c r="I3020" s="15">
        <v>0</v>
      </c>
      <c r="J3020" s="15">
        <v>1</v>
      </c>
      <c r="K3020" s="12" t="str">
        <f>HYPERLINK("http://twitter.com/download/iphone","Twitter for iPhone")</f>
        <v>Twitter for iPhone</v>
      </c>
      <c r="L3020" s="16">
        <v>26</v>
      </c>
      <c r="M3020" s="16">
        <v>172</v>
      </c>
      <c r="N3020" s="16">
        <v>0</v>
      </c>
      <c r="O3020" s="17"/>
      <c r="P3020" s="18">
        <v>43706.116631944446</v>
      </c>
      <c r="Q3020" s="7"/>
      <c r="R3020" s="7" t="s">
        <v>17450</v>
      </c>
      <c r="S3020" s="8"/>
      <c r="T3020" s="8"/>
      <c r="U3020" s="19" t="str">
        <f>HYPERLINK("https://pbs.twimg.com/profile_images/1167011780394192896/xJ6YsYM8.jpg","View")</f>
        <v>View</v>
      </c>
      <c r="V3020" s="8"/>
      <c r="W3020" s="8"/>
      <c r="X3020" s="8"/>
      <c r="Y3020" s="8"/>
      <c r="Z3020" s="8"/>
    </row>
    <row r="3021" spans="1:26" ht="12.75">
      <c r="A3021" s="11">
        <v>43747.177071759259</v>
      </c>
      <c r="B3021" s="12" t="str">
        <f>HYPERLINK("https://twitter.com/A_Gazioglu","@A_Gazioglu")</f>
        <v>@A_Gazioglu</v>
      </c>
      <c r="C3021" s="7" t="s">
        <v>17451</v>
      </c>
      <c r="D3021" s="7" t="s">
        <v>17452</v>
      </c>
      <c r="E3021" s="12" t="str">
        <f>HYPERLINK("https://twitter.com/A_Gazioglu/status/1181890799321194496","1181890799321194496")</f>
        <v>1181890799321194496</v>
      </c>
      <c r="F3021" s="8"/>
      <c r="G3021" s="7"/>
      <c r="H3021" s="8"/>
      <c r="I3021" s="15">
        <v>0</v>
      </c>
      <c r="J3021" s="15">
        <v>1</v>
      </c>
      <c r="K3021" s="12" t="str">
        <f>HYPERLINK("http://twitter.com/download/android","Twitter for Android")</f>
        <v>Twitter for Android</v>
      </c>
      <c r="L3021" s="16">
        <v>1335</v>
      </c>
      <c r="M3021" s="16">
        <v>321</v>
      </c>
      <c r="N3021" s="16">
        <v>0</v>
      </c>
      <c r="O3021" s="17"/>
      <c r="P3021" s="18">
        <v>40524.231851851851</v>
      </c>
      <c r="Q3021" s="7" t="s">
        <v>918</v>
      </c>
      <c r="R3021" s="7" t="s">
        <v>17453</v>
      </c>
      <c r="S3021" s="14" t="s">
        <v>17454</v>
      </c>
      <c r="T3021" s="8"/>
      <c r="U3021" s="19" t="str">
        <f>HYPERLINK("https://pbs.twimg.com/profile_images/486986561779560448/genx9WGT.jpeg","View")</f>
        <v>View</v>
      </c>
      <c r="V3021" s="8"/>
      <c r="W3021" s="8"/>
      <c r="X3021" s="8"/>
      <c r="Y3021" s="8"/>
      <c r="Z3021" s="8"/>
    </row>
    <row r="3022" spans="1:26" ht="12.75">
      <c r="A3022" s="11">
        <v>43747.176990740743</v>
      </c>
      <c r="B3022" s="12" t="str">
        <f>HYPERLINK("https://twitter.com/alikopton","@alikopton")</f>
        <v>@alikopton</v>
      </c>
      <c r="C3022" s="7" t="s">
        <v>17456</v>
      </c>
      <c r="D3022" s="7" t="s">
        <v>17457</v>
      </c>
      <c r="E3022" s="12" t="str">
        <f>HYPERLINK("https://twitter.com/alikopton/status/1181890769659019270","1181890769659019270")</f>
        <v>1181890769659019270</v>
      </c>
      <c r="F3022" s="8"/>
      <c r="G3022" s="14" t="s">
        <v>17458</v>
      </c>
      <c r="H3022" s="8"/>
      <c r="I3022" s="15">
        <v>1</v>
      </c>
      <c r="J3022" s="15">
        <v>3</v>
      </c>
      <c r="K3022" s="12" t="str">
        <f>HYPERLINK("http://twitter.com/download/android","Twitter for Android")</f>
        <v>Twitter for Android</v>
      </c>
      <c r="L3022" s="16">
        <v>31</v>
      </c>
      <c r="M3022" s="16">
        <v>146</v>
      </c>
      <c r="N3022" s="16">
        <v>0</v>
      </c>
      <c r="O3022" s="17"/>
      <c r="P3022" s="18">
        <v>43393.106493055559</v>
      </c>
      <c r="Q3022" s="7"/>
      <c r="R3022" s="7"/>
      <c r="S3022" s="8"/>
      <c r="T3022" s="8"/>
      <c r="U3022" s="19" t="str">
        <f>HYPERLINK("https://pbs.twimg.com/profile_images/1176893168517861378/gAhgL7Ix.jpg","View")</f>
        <v>View</v>
      </c>
      <c r="V3022" s="8"/>
      <c r="W3022" s="8"/>
      <c r="X3022" s="8"/>
      <c r="Y3022" s="8"/>
      <c r="Z3022" s="8"/>
    </row>
    <row r="3023" spans="1:26" ht="12.75">
      <c r="A3023" s="11">
        <v>43747.176932870367</v>
      </c>
      <c r="B3023" s="12" t="str">
        <f>HYPERLINK("https://twitter.com/EmirlerBurak","@EmirlerBurak")</f>
        <v>@EmirlerBurak</v>
      </c>
      <c r="C3023" s="7" t="s">
        <v>17459</v>
      </c>
      <c r="D3023" s="7" t="s">
        <v>17460</v>
      </c>
      <c r="E3023" s="12" t="str">
        <f>HYPERLINK("https://twitter.com/EmirlerBurak/status/1181890749257961472","1181890749257961472")</f>
        <v>1181890749257961472</v>
      </c>
      <c r="F3023" s="8"/>
      <c r="G3023" s="14" t="s">
        <v>17461</v>
      </c>
      <c r="H3023" s="8"/>
      <c r="I3023" s="15">
        <v>0</v>
      </c>
      <c r="J3023" s="15">
        <v>0</v>
      </c>
      <c r="K3023" s="12" t="str">
        <f>HYPERLINK("https://mobile.twitter.com","Twitter Web App")</f>
        <v>Twitter Web App</v>
      </c>
      <c r="L3023" s="16">
        <v>17</v>
      </c>
      <c r="M3023" s="16">
        <v>90</v>
      </c>
      <c r="N3023" s="16">
        <v>0</v>
      </c>
      <c r="O3023" s="17"/>
      <c r="P3023" s="18">
        <v>43712.948703703703</v>
      </c>
      <c r="Q3023" s="7" t="s">
        <v>313</v>
      </c>
      <c r="R3023" s="7" t="s">
        <v>10467</v>
      </c>
      <c r="S3023" s="8"/>
      <c r="T3023" s="8"/>
      <c r="U3023" s="19" t="str">
        <f>HYPERLINK("https://pbs.twimg.com/profile_images/1169491561048170497/zWos7ONi.jpg","View")</f>
        <v>View</v>
      </c>
      <c r="V3023" s="8"/>
      <c r="W3023" s="8"/>
      <c r="X3023" s="8"/>
      <c r="Y3023" s="8"/>
      <c r="Z3023" s="8"/>
    </row>
    <row r="3024" spans="1:26" ht="12.75">
      <c r="A3024" s="11">
        <v>43747.176875000005</v>
      </c>
      <c r="B3024" s="12" t="str">
        <f>HYPERLINK("https://twitter.com/_HakanGUVEN_","@_HakanGUVEN_")</f>
        <v>@_HakanGUVEN_</v>
      </c>
      <c r="C3024" s="7" t="s">
        <v>17462</v>
      </c>
      <c r="D3024" s="7" t="s">
        <v>17463</v>
      </c>
      <c r="E3024" s="12" t="str">
        <f>HYPERLINK("https://twitter.com/_HakanGUVEN_/status/1181890725233020931","1181890725233020931")</f>
        <v>1181890725233020931</v>
      </c>
      <c r="F3024" s="8"/>
      <c r="G3024" s="14" t="s">
        <v>17464</v>
      </c>
      <c r="H3024" s="8"/>
      <c r="I3024" s="15">
        <v>0</v>
      </c>
      <c r="J3024" s="15">
        <v>2</v>
      </c>
      <c r="K3024" s="12" t="str">
        <f>HYPERLINK("http://twitter.com/download/iphone","Twitter for iPhone")</f>
        <v>Twitter for iPhone</v>
      </c>
      <c r="L3024" s="16">
        <v>496</v>
      </c>
      <c r="M3024" s="16">
        <v>151</v>
      </c>
      <c r="N3024" s="16">
        <v>4</v>
      </c>
      <c r="O3024" s="17"/>
      <c r="P3024" s="18">
        <v>41948.583692129629</v>
      </c>
      <c r="Q3024" s="7" t="s">
        <v>2050</v>
      </c>
      <c r="R3024" s="7" t="s">
        <v>17465</v>
      </c>
      <c r="S3024" s="8"/>
      <c r="T3024" s="8"/>
      <c r="U3024" s="19" t="str">
        <f>HYPERLINK("https://pbs.twimg.com/profile_images/1181083000144089088/dpKUiQZZ.jpg","View")</f>
        <v>View</v>
      </c>
      <c r="V3024" s="8"/>
      <c r="W3024" s="8"/>
      <c r="X3024" s="8"/>
      <c r="Y3024" s="8"/>
      <c r="Z3024" s="8"/>
    </row>
    <row r="3025" spans="1:26" ht="12.75">
      <c r="A3025" s="11">
        <v>43747.176851851851</v>
      </c>
      <c r="B3025" s="12" t="str">
        <f>HYPERLINK("https://twitter.com/ahmettorun05","@ahmettorun05")</f>
        <v>@ahmettorun05</v>
      </c>
      <c r="C3025" s="7" t="s">
        <v>17466</v>
      </c>
      <c r="D3025" s="7" t="s">
        <v>17467</v>
      </c>
      <c r="E3025" s="12" t="str">
        <f>HYPERLINK("https://twitter.com/ahmettorun05/status/1181890719046344705","1181890719046344705")</f>
        <v>1181890719046344705</v>
      </c>
      <c r="F3025" s="8"/>
      <c r="G3025" s="7"/>
      <c r="H3025" s="8"/>
      <c r="I3025" s="15">
        <v>0</v>
      </c>
      <c r="J3025" s="15">
        <v>1</v>
      </c>
      <c r="K3025" s="12" t="str">
        <f>HYPERLINK("http://twitter.com/download/iphone","Twitter for iPhone")</f>
        <v>Twitter for iPhone</v>
      </c>
      <c r="L3025" s="16">
        <v>381</v>
      </c>
      <c r="M3025" s="16">
        <v>364</v>
      </c>
      <c r="N3025" s="16">
        <v>0</v>
      </c>
      <c r="O3025" s="17"/>
      <c r="P3025" s="18">
        <v>41520.580092592594</v>
      </c>
      <c r="Q3025" s="7" t="s">
        <v>2350</v>
      </c>
      <c r="R3025" s="7" t="s">
        <v>17468</v>
      </c>
      <c r="S3025" s="8"/>
      <c r="T3025" s="8"/>
      <c r="U3025" s="19" t="str">
        <f>HYPERLINK("https://pbs.twimg.com/profile_images/1151149401135570944/bOzVWWzQ.jpg","View")</f>
        <v>View</v>
      </c>
      <c r="V3025" s="8"/>
      <c r="W3025" s="8"/>
      <c r="X3025" s="8"/>
      <c r="Y3025" s="8"/>
      <c r="Z3025" s="8"/>
    </row>
    <row r="3026" spans="1:26" ht="12.75">
      <c r="A3026" s="11">
        <v>43747.176840277782</v>
      </c>
      <c r="B3026" s="12" t="str">
        <f>HYPERLINK("https://twitter.com/Musakeskin0","@Musakeskin0")</f>
        <v>@Musakeskin0</v>
      </c>
      <c r="C3026" s="7" t="s">
        <v>17469</v>
      </c>
      <c r="D3026" s="7" t="s">
        <v>17470</v>
      </c>
      <c r="E3026" s="12" t="str">
        <f>HYPERLINK("https://twitter.com/Musakeskin0/status/1181890714122297345","1181890714122297345")</f>
        <v>1181890714122297345</v>
      </c>
      <c r="F3026" s="8"/>
      <c r="G3026" s="7"/>
      <c r="H3026" s="8"/>
      <c r="I3026" s="15">
        <v>0</v>
      </c>
      <c r="J3026" s="15">
        <v>2</v>
      </c>
      <c r="K3026" s="12" t="str">
        <f>HYPERLINK("http://twitter.com/download/android","Twitter for Android")</f>
        <v>Twitter for Android</v>
      </c>
      <c r="L3026" s="16">
        <v>16</v>
      </c>
      <c r="M3026" s="16">
        <v>89</v>
      </c>
      <c r="N3026" s="16">
        <v>0</v>
      </c>
      <c r="O3026" s="17"/>
      <c r="P3026" s="18">
        <v>43574.662303240737</v>
      </c>
      <c r="Q3026" s="7"/>
      <c r="R3026" s="7" t="s">
        <v>17471</v>
      </c>
      <c r="S3026" s="8"/>
      <c r="T3026" s="8"/>
      <c r="U3026" s="19" t="str">
        <f>HYPERLINK("https://pbs.twimg.com/profile_images/1119373801282854912/rB_Mf1VP.jpg","View")</f>
        <v>View</v>
      </c>
      <c r="V3026" s="8"/>
      <c r="W3026" s="8"/>
      <c r="X3026" s="8"/>
      <c r="Y3026" s="8"/>
      <c r="Z3026" s="8"/>
    </row>
    <row r="3027" spans="1:26" ht="12.75">
      <c r="A3027" s="11">
        <v>43747.176608796297</v>
      </c>
      <c r="B3027" s="12" t="str">
        <f>HYPERLINK("https://twitter.com/DanyalTopatan8","@DanyalTopatan8")</f>
        <v>@DanyalTopatan8</v>
      </c>
      <c r="C3027" s="7" t="s">
        <v>17472</v>
      </c>
      <c r="D3027" s="7" t="s">
        <v>16374</v>
      </c>
      <c r="E3027" s="12" t="str">
        <f>HYPERLINK("https://twitter.com/DanyalTopatan8/status/1181890632324919297","1181890632324919297")</f>
        <v>1181890632324919297</v>
      </c>
      <c r="F3027" s="8"/>
      <c r="G3027" s="15"/>
      <c r="H3027" s="8"/>
      <c r="I3027" s="15">
        <v>0</v>
      </c>
      <c r="J3027" s="15">
        <v>0</v>
      </c>
      <c r="K3027" s="12" t="str">
        <f>HYPERLINK("http://twitter.com/download/iphone","Twitter for iPhone")</f>
        <v>Twitter for iPhone</v>
      </c>
      <c r="L3027" s="16">
        <v>0</v>
      </c>
      <c r="M3027" s="16">
        <v>7</v>
      </c>
      <c r="N3027" s="16">
        <v>0</v>
      </c>
      <c r="O3027" s="17"/>
      <c r="P3027" s="18">
        <v>43733.690949074073</v>
      </c>
      <c r="Q3027" s="7"/>
      <c r="R3027" s="7" t="s">
        <v>17473</v>
      </c>
      <c r="S3027" s="15"/>
      <c r="T3027" s="8"/>
      <c r="U3027" s="19" t="str">
        <f>HYPERLINK("https://pbs.twimg.com/profile_images/1177003678588444673/0-W5IAMM.jpg","View")</f>
        <v>View</v>
      </c>
      <c r="V3027" s="8"/>
      <c r="W3027" s="8"/>
      <c r="X3027" s="8"/>
      <c r="Y3027" s="8"/>
      <c r="Z3027" s="8"/>
    </row>
    <row r="3028" spans="1:26" ht="12.75">
      <c r="A3028" s="11">
        <v>43747.176585648151</v>
      </c>
      <c r="B3028" s="12" t="str">
        <f>HYPERLINK("https://twitter.com/tostoyoviski","@tostoyoviski")</f>
        <v>@tostoyoviski</v>
      </c>
      <c r="C3028" s="7" t="s">
        <v>17474</v>
      </c>
      <c r="D3028" s="7" t="s">
        <v>17475</v>
      </c>
      <c r="E3028" s="12" t="str">
        <f>HYPERLINK("https://twitter.com/tostoyoviski/status/1181890624020242432","1181890624020242432")</f>
        <v>1181890624020242432</v>
      </c>
      <c r="F3028" s="8"/>
      <c r="G3028" s="15"/>
      <c r="H3028" s="8"/>
      <c r="I3028" s="15">
        <v>0</v>
      </c>
      <c r="J3028" s="15">
        <v>0</v>
      </c>
      <c r="K3028" s="12" t="str">
        <f>HYPERLINK("http://twitter.com/download/android","Twitter for Android")</f>
        <v>Twitter for Android</v>
      </c>
      <c r="L3028" s="16">
        <v>76</v>
      </c>
      <c r="M3028" s="16">
        <v>46</v>
      </c>
      <c r="N3028" s="16">
        <v>0</v>
      </c>
      <c r="O3028" s="17"/>
      <c r="P3028" s="18">
        <v>40707.912777777776</v>
      </c>
      <c r="Q3028" s="7" t="s">
        <v>17476</v>
      </c>
      <c r="R3028" s="7" t="s">
        <v>17477</v>
      </c>
      <c r="S3028" s="8"/>
      <c r="T3028" s="8"/>
      <c r="U3028" s="19" t="str">
        <f>HYPERLINK("https://pbs.twimg.com/profile_images/1016309766581313536/VVFENiG2.jpg","View")</f>
        <v>View</v>
      </c>
      <c r="V3028" s="8"/>
      <c r="W3028" s="8"/>
      <c r="X3028" s="8"/>
      <c r="Y3028" s="8"/>
      <c r="Z3028" s="8"/>
    </row>
    <row r="3029" spans="1:26" ht="12.75">
      <c r="A3029" s="11">
        <v>43747.176504629635</v>
      </c>
      <c r="B3029" s="12" t="str">
        <f>HYPERLINK("https://twitter.com/Fakirullahzt","@Fakirullahzt")</f>
        <v>@Fakirullahzt</v>
      </c>
      <c r="C3029" s="7" t="s">
        <v>17478</v>
      </c>
      <c r="D3029" s="7" t="s">
        <v>17479</v>
      </c>
      <c r="E3029" s="12" t="str">
        <f>HYPERLINK("https://twitter.com/Fakirullahzt/status/1181890592692985856","1181890592692985856")</f>
        <v>1181890592692985856</v>
      </c>
      <c r="F3029" s="8"/>
      <c r="G3029" s="7"/>
      <c r="H3029" s="8"/>
      <c r="I3029" s="15">
        <v>0</v>
      </c>
      <c r="J3029" s="15">
        <v>2</v>
      </c>
      <c r="K3029" s="12" t="str">
        <f>HYPERLINK("http://twitter.com/download/android","Twitter for Android")</f>
        <v>Twitter for Android</v>
      </c>
      <c r="L3029" s="16">
        <v>18</v>
      </c>
      <c r="M3029" s="16">
        <v>8</v>
      </c>
      <c r="N3029" s="16">
        <v>0</v>
      </c>
      <c r="O3029" s="17"/>
      <c r="P3029" s="18">
        <v>43637.436215277776</v>
      </c>
      <c r="Q3029" s="7" t="s">
        <v>200</v>
      </c>
      <c r="R3029" s="7" t="s">
        <v>17480</v>
      </c>
      <c r="S3029" s="8"/>
      <c r="T3029" s="8"/>
      <c r="U3029" s="19" t="str">
        <f>HYPERLINK("https://pbs.twimg.com/profile_images/1181890233614393345/9fNuBdGZ.jpg","View")</f>
        <v>View</v>
      </c>
      <c r="V3029" s="8"/>
      <c r="W3029" s="8"/>
      <c r="X3029" s="8"/>
      <c r="Y3029" s="8"/>
      <c r="Z3029" s="8"/>
    </row>
    <row r="3030" spans="1:26" ht="12.75">
      <c r="A3030" s="11">
        <v>43747.176446759258</v>
      </c>
      <c r="B3030" s="12" t="str">
        <f>HYPERLINK("https://twitter.com/Akaraoz","@Akaraoz")</f>
        <v>@Akaraoz</v>
      </c>
      <c r="C3030" s="7" t="s">
        <v>17481</v>
      </c>
      <c r="D3030" s="7" t="s">
        <v>17482</v>
      </c>
      <c r="E3030" s="12" t="str">
        <f>HYPERLINK("https://twitter.com/Akaraoz/status/1181890572434448389","1181890572434448389")</f>
        <v>1181890572434448389</v>
      </c>
      <c r="F3030" s="8"/>
      <c r="G3030" s="7"/>
      <c r="H3030" s="8"/>
      <c r="I3030" s="15">
        <v>0</v>
      </c>
      <c r="J3030" s="15">
        <v>0</v>
      </c>
      <c r="K3030" s="12" t="str">
        <f>HYPERLINK("http://twitter.com/download/android","Twitter for Android")</f>
        <v>Twitter for Android</v>
      </c>
      <c r="L3030" s="16">
        <v>393</v>
      </c>
      <c r="M3030" s="16">
        <v>1064</v>
      </c>
      <c r="N3030" s="16">
        <v>2</v>
      </c>
      <c r="O3030" s="17"/>
      <c r="P3030" s="18">
        <v>40541.281238425923</v>
      </c>
      <c r="Q3030" s="7" t="s">
        <v>17483</v>
      </c>
      <c r="R3030" s="7" t="s">
        <v>17484</v>
      </c>
      <c r="S3030" s="14" t="s">
        <v>17485</v>
      </c>
      <c r="T3030" s="8"/>
      <c r="U3030" s="19" t="str">
        <f>HYPERLINK("https://pbs.twimg.com/profile_images/1027946024738934785/ja7mvf7J.jpg","View")</f>
        <v>View</v>
      </c>
      <c r="V3030" s="8"/>
      <c r="W3030" s="8"/>
      <c r="X3030" s="8"/>
      <c r="Y3030" s="8"/>
      <c r="Z3030" s="8"/>
    </row>
    <row r="3031" spans="1:26" ht="12.75">
      <c r="A3031" s="11">
        <v>43747.176365740743</v>
      </c>
      <c r="B3031" s="12" t="str">
        <f>HYPERLINK("https://twitter.com/Fatih1453AHN","@Fatih1453AHN")</f>
        <v>@Fatih1453AHN</v>
      </c>
      <c r="C3031" s="7" t="s">
        <v>17486</v>
      </c>
      <c r="D3031" s="7" t="s">
        <v>17487</v>
      </c>
      <c r="E3031" s="12" t="str">
        <f>HYPERLINK("https://twitter.com/Fatih1453AHN/status/1181890544034832384","1181890544034832384")</f>
        <v>1181890544034832384</v>
      </c>
      <c r="F3031" s="7"/>
      <c r="G3031" s="7"/>
      <c r="H3031" s="8"/>
      <c r="I3031" s="15">
        <v>0</v>
      </c>
      <c r="J3031" s="15">
        <v>1</v>
      </c>
      <c r="K3031" s="12" t="str">
        <f>HYPERLINK("http://twitter.com/download/android","Twitter for Android")</f>
        <v>Twitter for Android</v>
      </c>
      <c r="L3031" s="16">
        <v>40</v>
      </c>
      <c r="M3031" s="16">
        <v>35</v>
      </c>
      <c r="N3031" s="16">
        <v>0</v>
      </c>
      <c r="O3031" s="17"/>
      <c r="P3031" s="18">
        <v>41707.453321759262</v>
      </c>
      <c r="Q3031" s="7"/>
      <c r="R3031" s="7" t="s">
        <v>17488</v>
      </c>
      <c r="S3031" s="15"/>
      <c r="T3031" s="8"/>
      <c r="U3031" s="19" t="str">
        <f>HYPERLINK("https://pbs.twimg.com/profile_images/1170621052717805569/HxvMTB52.jpg","View")</f>
        <v>View</v>
      </c>
      <c r="V3031" s="8"/>
      <c r="W3031" s="8"/>
      <c r="X3031" s="8"/>
      <c r="Y3031" s="8"/>
      <c r="Z3031" s="8"/>
    </row>
    <row r="3032" spans="1:26" ht="12.75">
      <c r="A3032" s="11">
        <v>43747.176365740743</v>
      </c>
      <c r="B3032" s="12" t="str">
        <f>HYPERLINK("https://twitter.com/OnurPullu","@OnurPullu")</f>
        <v>@OnurPullu</v>
      </c>
      <c r="C3032" s="7" t="s">
        <v>17489</v>
      </c>
      <c r="D3032" s="21" t="s">
        <v>17490</v>
      </c>
      <c r="E3032" s="12" t="str">
        <f>HYPERLINK("https://twitter.com/OnurPullu/status/1181890541597921281","1181890541597921281")</f>
        <v>1181890541597921281</v>
      </c>
      <c r="F3032" s="8"/>
      <c r="G3032" s="14" t="s">
        <v>17491</v>
      </c>
      <c r="H3032" s="8"/>
      <c r="I3032" s="15">
        <v>0</v>
      </c>
      <c r="J3032" s="15">
        <v>0</v>
      </c>
      <c r="K3032" s="12" t="str">
        <f>HYPERLINK("http://twitter.com","Twitter Web Client")</f>
        <v>Twitter Web Client</v>
      </c>
      <c r="L3032" s="16">
        <v>2</v>
      </c>
      <c r="M3032" s="16">
        <v>0</v>
      </c>
      <c r="N3032" s="16">
        <v>0</v>
      </c>
      <c r="O3032" s="17"/>
      <c r="P3032" s="18">
        <v>43668.984907407408</v>
      </c>
      <c r="Q3032" s="7" t="s">
        <v>16777</v>
      </c>
      <c r="R3032" s="7" t="s">
        <v>17492</v>
      </c>
      <c r="S3032" s="8"/>
      <c r="T3032" s="8"/>
      <c r="U3032" s="19" t="str">
        <f>HYPERLINK("https://pbs.twimg.com/profile_images/1153756031354359808/qrNlg7HA.jpg","View")</f>
        <v>View</v>
      </c>
      <c r="V3032" s="8"/>
      <c r="W3032" s="8"/>
      <c r="X3032" s="8"/>
      <c r="Y3032" s="8"/>
      <c r="Z3032" s="8"/>
    </row>
    <row r="3033" spans="1:26" ht="12.75">
      <c r="A3033" s="11">
        <v>43747.176157407404</v>
      </c>
      <c r="B3033" s="12" t="str">
        <f>HYPERLINK("https://twitter.com/TirpanciAhmet","@TirpanciAhmet")</f>
        <v>@TirpanciAhmet</v>
      </c>
      <c r="C3033" s="7" t="s">
        <v>17493</v>
      </c>
      <c r="D3033" s="7" t="s">
        <v>17494</v>
      </c>
      <c r="E3033" s="12" t="str">
        <f>HYPERLINK("https://twitter.com/TirpanciAhmet/status/1181890467014877184","1181890467014877184")</f>
        <v>1181890467014877184</v>
      </c>
      <c r="F3033" s="8"/>
      <c r="G3033" s="14" t="s">
        <v>17495</v>
      </c>
      <c r="H3033" s="8"/>
      <c r="I3033" s="15">
        <v>0</v>
      </c>
      <c r="J3033" s="15">
        <v>7</v>
      </c>
      <c r="K3033" s="12" t="str">
        <f>HYPERLINK("http://twitter.com/download/android","Twitter for Android")</f>
        <v>Twitter for Android</v>
      </c>
      <c r="L3033" s="16">
        <v>417</v>
      </c>
      <c r="M3033" s="16">
        <v>390</v>
      </c>
      <c r="N3033" s="16">
        <v>1</v>
      </c>
      <c r="O3033" s="17"/>
      <c r="P3033" s="18">
        <v>42032.590902777782</v>
      </c>
      <c r="Q3033" s="7" t="s">
        <v>313</v>
      </c>
      <c r="R3033" s="7" t="s">
        <v>17496</v>
      </c>
      <c r="S3033" s="8"/>
      <c r="T3033" s="8"/>
      <c r="U3033" s="19" t="str">
        <f>HYPERLINK("https://pbs.twimg.com/profile_images/1171934570142478338/IT2q4_7y.jpg","View")</f>
        <v>View</v>
      </c>
      <c r="V3033" s="8"/>
      <c r="W3033" s="8"/>
      <c r="X3033" s="8"/>
      <c r="Y3033" s="8"/>
      <c r="Z3033" s="8"/>
    </row>
    <row r="3034" spans="1:26" ht="12.75">
      <c r="A3034" s="11">
        <v>43747.176157407404</v>
      </c>
      <c r="B3034" s="12" t="str">
        <f>HYPERLINK("https://twitter.com/m_selimhekim","@m_selimhekim")</f>
        <v>@m_selimhekim</v>
      </c>
      <c r="C3034" s="7" t="s">
        <v>17497</v>
      </c>
      <c r="D3034" s="7" t="s">
        <v>17498</v>
      </c>
      <c r="E3034" s="12" t="str">
        <f>HYPERLINK("https://twitter.com/m_selimhekim/status/1181890465202876419","1181890465202876419")</f>
        <v>1181890465202876419</v>
      </c>
      <c r="F3034" s="8"/>
      <c r="G3034" s="15"/>
      <c r="H3034" s="8"/>
      <c r="I3034" s="15">
        <v>0</v>
      </c>
      <c r="J3034" s="15">
        <v>0</v>
      </c>
      <c r="K3034" s="12" t="str">
        <f>HYPERLINK("http://twitter.com/download/android","Twitter for Android")</f>
        <v>Twitter for Android</v>
      </c>
      <c r="L3034" s="16">
        <v>682</v>
      </c>
      <c r="M3034" s="16">
        <v>126</v>
      </c>
      <c r="N3034" s="16">
        <v>1</v>
      </c>
      <c r="O3034" s="17"/>
      <c r="P3034" s="18">
        <v>42083.027604166666</v>
      </c>
      <c r="Q3034" s="7" t="s">
        <v>17499</v>
      </c>
      <c r="R3034" s="7" t="s">
        <v>17500</v>
      </c>
      <c r="S3034" s="8"/>
      <c r="T3034" s="8"/>
      <c r="U3034" s="19" t="str">
        <f>HYPERLINK("https://pbs.twimg.com/profile_images/1112676759969980417/OApVw-_i.jpg","View")</f>
        <v>View</v>
      </c>
      <c r="V3034" s="8"/>
      <c r="W3034" s="8"/>
      <c r="X3034" s="8"/>
      <c r="Y3034" s="8"/>
      <c r="Z3034" s="8"/>
    </row>
    <row r="3035" spans="1:26" ht="12.75">
      <c r="A3035" s="11">
        <v>43747.17596064815</v>
      </c>
      <c r="B3035" s="12" t="str">
        <f>HYPERLINK("https://twitter.com/eyupcanuzn","@eyupcanuzn")</f>
        <v>@eyupcanuzn</v>
      </c>
      <c r="C3035" s="7" t="s">
        <v>17501</v>
      </c>
      <c r="D3035" s="7" t="s">
        <v>17502</v>
      </c>
      <c r="E3035" s="12" t="str">
        <f>HYPERLINK("https://twitter.com/eyupcanuzn/status/1181890395325816832","1181890395325816832")</f>
        <v>1181890395325816832</v>
      </c>
      <c r="F3035" s="8"/>
      <c r="G3035" s="7"/>
      <c r="H3035" s="8"/>
      <c r="I3035" s="15">
        <v>0</v>
      </c>
      <c r="J3035" s="15">
        <v>2</v>
      </c>
      <c r="K3035" s="12" t="str">
        <f>HYPERLINK("http://twitter.com/download/android","Twitter for Android")</f>
        <v>Twitter for Android</v>
      </c>
      <c r="L3035" s="16">
        <v>229</v>
      </c>
      <c r="M3035" s="16">
        <v>193</v>
      </c>
      <c r="N3035" s="16">
        <v>0</v>
      </c>
      <c r="O3035" s="17"/>
      <c r="P3035" s="18">
        <v>42066.424756944441</v>
      </c>
      <c r="Q3035" s="7"/>
      <c r="R3035" s="7" t="s">
        <v>17503</v>
      </c>
      <c r="S3035" s="8"/>
      <c r="T3035" s="8"/>
      <c r="U3035" s="19" t="str">
        <f>HYPERLINK("https://pbs.twimg.com/profile_images/1071707880674463745/xhcr-bCa.jpg","View")</f>
        <v>View</v>
      </c>
      <c r="V3035" s="8"/>
      <c r="W3035" s="8"/>
      <c r="X3035" s="8"/>
      <c r="Y3035" s="8"/>
      <c r="Z3035" s="8"/>
    </row>
    <row r="3036" spans="1:26" ht="12.75">
      <c r="A3036" s="11">
        <v>43747.175949074073</v>
      </c>
      <c r="B3036" s="12" t="str">
        <f>HYPERLINK("https://twitter.com/siniftakalanlar","@siniftakalanlar")</f>
        <v>@siniftakalanlar</v>
      </c>
      <c r="C3036" s="7" t="s">
        <v>17504</v>
      </c>
      <c r="D3036" s="7" t="s">
        <v>17505</v>
      </c>
      <c r="E3036" s="12" t="str">
        <f>HYPERLINK("https://twitter.com/siniftakalanlar/status/1181890392939274240","1181890392939274240")</f>
        <v>1181890392939274240</v>
      </c>
      <c r="F3036" s="14" t="s">
        <v>17506</v>
      </c>
      <c r="G3036" s="7"/>
      <c r="H3036" s="8"/>
      <c r="I3036" s="15">
        <v>0</v>
      </c>
      <c r="J3036" s="15">
        <v>0</v>
      </c>
      <c r="K3036" s="12" t="str">
        <f>HYPERLINK("https://mobile.twitter.com","Twitter Web App")</f>
        <v>Twitter Web App</v>
      </c>
      <c r="L3036" s="16">
        <v>2</v>
      </c>
      <c r="M3036" s="16">
        <v>3</v>
      </c>
      <c r="N3036" s="16">
        <v>0</v>
      </c>
      <c r="O3036" s="17"/>
      <c r="P3036" s="18">
        <v>43739.444664351853</v>
      </c>
      <c r="Q3036" s="7"/>
      <c r="R3036" s="7"/>
      <c r="S3036" s="8"/>
      <c r="T3036" s="8"/>
      <c r="U3036" s="19" t="str">
        <f>HYPERLINK("https://pbs.twimg.com/profile_images/1179092008767512587/R-hP6GxW.jpg","View")</f>
        <v>View</v>
      </c>
      <c r="V3036" s="8"/>
      <c r="W3036" s="8"/>
      <c r="X3036" s="8"/>
      <c r="Y3036" s="8"/>
      <c r="Z3036" s="8"/>
    </row>
    <row r="3037" spans="1:26" ht="12.75">
      <c r="A3037" s="11">
        <v>43747.175810185188</v>
      </c>
      <c r="B3037" s="12" t="str">
        <f>HYPERLINK("https://twitter.com/almlhoos1","@almlhoos1")</f>
        <v>@almlhoos1</v>
      </c>
      <c r="C3037" s="7" t="s">
        <v>17507</v>
      </c>
      <c r="D3037" s="7" t="s">
        <v>17508</v>
      </c>
      <c r="E3037" s="12" t="str">
        <f>HYPERLINK("https://twitter.com/almlhoos1/status/1181890342435672066","1181890342435672066")</f>
        <v>1181890342435672066</v>
      </c>
      <c r="F3037" s="14" t="s">
        <v>17509</v>
      </c>
      <c r="G3037" s="7"/>
      <c r="H3037" s="8"/>
      <c r="I3037" s="15">
        <v>0</v>
      </c>
      <c r="J3037" s="15">
        <v>1</v>
      </c>
      <c r="K3037" s="12" t="str">
        <f>HYPERLINK("https://ifttt.com","IFTTT")</f>
        <v>IFTTT</v>
      </c>
      <c r="L3037" s="16">
        <v>19</v>
      </c>
      <c r="M3037" s="16">
        <v>18</v>
      </c>
      <c r="N3037" s="16">
        <v>0</v>
      </c>
      <c r="O3037" s="17"/>
      <c r="P3037" s="18">
        <v>41357.857847222222</v>
      </c>
      <c r="Q3037" s="7"/>
      <c r="R3037" s="7"/>
      <c r="S3037" s="8"/>
      <c r="T3037" s="8"/>
      <c r="U3037" s="19" t="str">
        <f>HYPERLINK("https://pbs.twimg.com/profile_images/3592814787/e69a5ba651ffb49186affe16a8517fbb.jpeg","View")</f>
        <v>View</v>
      </c>
      <c r="V3037" s="8"/>
      <c r="W3037" s="8"/>
      <c r="X3037" s="8"/>
      <c r="Y3037" s="8"/>
      <c r="Z3037" s="8"/>
    </row>
    <row r="3038" spans="1:26" ht="12.75">
      <c r="A3038" s="11">
        <v>43747.175717592589</v>
      </c>
      <c r="B3038" s="12" t="str">
        <f>HYPERLINK("https://twitter.com/YaVu2s","@YaVu2s")</f>
        <v>@YaVu2s</v>
      </c>
      <c r="C3038" s="7" t="s">
        <v>17510</v>
      </c>
      <c r="D3038" s="7" t="s">
        <v>17511</v>
      </c>
      <c r="E3038" s="12" t="str">
        <f>HYPERLINK("https://twitter.com/YaVu2s/status/1181890308222672898","1181890308222672898")</f>
        <v>1181890308222672898</v>
      </c>
      <c r="F3038" s="15"/>
      <c r="G3038" s="14" t="s">
        <v>17512</v>
      </c>
      <c r="H3038" s="8"/>
      <c r="I3038" s="15">
        <v>0</v>
      </c>
      <c r="J3038" s="15">
        <v>2</v>
      </c>
      <c r="K3038" s="12" t="str">
        <f>HYPERLINK("http://twitter.com/download/android","Twitter for Android")</f>
        <v>Twitter for Android</v>
      </c>
      <c r="L3038" s="16">
        <v>6</v>
      </c>
      <c r="M3038" s="16">
        <v>9</v>
      </c>
      <c r="N3038" s="16">
        <v>0</v>
      </c>
      <c r="O3038" s="17"/>
      <c r="P3038" s="18">
        <v>43260.600891203707</v>
      </c>
      <c r="Q3038" s="7"/>
      <c r="R3038" s="7" t="s">
        <v>17513</v>
      </c>
      <c r="S3038" s="8"/>
      <c r="T3038" s="8"/>
      <c r="U3038" s="19" t="str">
        <f>HYPERLINK("https://pbs.twimg.com/profile_images/1178243189632901122/VOKAqNGE.jpg","View")</f>
        <v>View</v>
      </c>
      <c r="V3038" s="8"/>
      <c r="W3038" s="8"/>
      <c r="X3038" s="8"/>
      <c r="Y3038" s="8"/>
      <c r="Z3038" s="8"/>
    </row>
    <row r="3039" spans="1:26" ht="12.75">
      <c r="A3039" s="11">
        <v>43747.17564814815</v>
      </c>
      <c r="B3039" s="12" t="str">
        <f>HYPERLINK("https://twitter.com/Nida80861637","@Nida80861637")</f>
        <v>@Nida80861637</v>
      </c>
      <c r="C3039" s="7" t="s">
        <v>17514</v>
      </c>
      <c r="D3039" s="7" t="s">
        <v>17515</v>
      </c>
      <c r="E3039" s="12" t="str">
        <f>HYPERLINK("https://twitter.com/Nida80861637/status/1181890283308535809","1181890283308535809")</f>
        <v>1181890283308535809</v>
      </c>
      <c r="F3039" s="15"/>
      <c r="G3039" s="14" t="s">
        <v>17516</v>
      </c>
      <c r="H3039" s="8"/>
      <c r="I3039" s="15">
        <v>0</v>
      </c>
      <c r="J3039" s="15">
        <v>5</v>
      </c>
      <c r="K3039" s="12" t="str">
        <f>HYPERLINK("http://twitter.com/download/iphone","Twitter for iPhone")</f>
        <v>Twitter for iPhone</v>
      </c>
      <c r="L3039" s="16">
        <v>27</v>
      </c>
      <c r="M3039" s="16">
        <v>31</v>
      </c>
      <c r="N3039" s="16">
        <v>0</v>
      </c>
      <c r="O3039" s="17"/>
      <c r="P3039" s="18">
        <v>43739.35491898148</v>
      </c>
      <c r="Q3039" s="7" t="s">
        <v>313</v>
      </c>
      <c r="R3039" s="7" t="s">
        <v>3907</v>
      </c>
      <c r="S3039" s="15"/>
      <c r="T3039" s="8"/>
      <c r="U3039" s="19" t="str">
        <f>HYPERLINK("https://pbs.twimg.com/profile_images/1179056202925449217/cCAHCaj2.jpg","View")</f>
        <v>View</v>
      </c>
      <c r="V3039" s="8"/>
      <c r="W3039" s="8"/>
      <c r="X3039" s="8"/>
      <c r="Y3039" s="8"/>
      <c r="Z3039" s="8"/>
    </row>
    <row r="3040" spans="1:26" ht="12.75">
      <c r="A3040" s="11">
        <v>43747.17564814815</v>
      </c>
      <c r="B3040" s="12" t="str">
        <f>HYPERLINK("https://twitter.com/AytunOzgenur","@AytunOzgenur")</f>
        <v>@AytunOzgenur</v>
      </c>
      <c r="C3040" s="7" t="s">
        <v>17517</v>
      </c>
      <c r="D3040" s="7" t="s">
        <v>17518</v>
      </c>
      <c r="E3040" s="12" t="str">
        <f>HYPERLINK("https://twitter.com/AytunOzgenur/status/1181890282180239360","1181890282180239360")</f>
        <v>1181890282180239360</v>
      </c>
      <c r="F3040" s="8"/>
      <c r="G3040" s="14" t="s">
        <v>17519</v>
      </c>
      <c r="H3040" s="8"/>
      <c r="I3040" s="15">
        <v>0</v>
      </c>
      <c r="J3040" s="15">
        <v>1</v>
      </c>
      <c r="K3040" s="12" t="str">
        <f>HYPERLINK("http://twitter.com","Twitter Web Client")</f>
        <v>Twitter Web Client</v>
      </c>
      <c r="L3040" s="16">
        <v>5</v>
      </c>
      <c r="M3040" s="16">
        <v>0</v>
      </c>
      <c r="N3040" s="16">
        <v>0</v>
      </c>
      <c r="O3040" s="17"/>
      <c r="P3040" s="18">
        <v>43685.017476851848</v>
      </c>
      <c r="Q3040" s="7" t="s">
        <v>4399</v>
      </c>
      <c r="R3040" s="7" t="s">
        <v>17520</v>
      </c>
      <c r="S3040" s="8"/>
      <c r="T3040" s="8"/>
      <c r="U3040" s="19" t="str">
        <f>HYPERLINK("https://pbs.twimg.com/profile_images/1164259307027873793/gIsxdIfb.jpg","View")</f>
        <v>View</v>
      </c>
      <c r="V3040" s="8"/>
      <c r="W3040" s="8"/>
      <c r="X3040" s="8"/>
      <c r="Y3040" s="8"/>
      <c r="Z3040" s="8"/>
    </row>
    <row r="3041" spans="1:26" ht="12.75">
      <c r="A3041" s="11">
        <v>43747.17559027778</v>
      </c>
      <c r="B3041" s="12" t="str">
        <f>HYPERLINK("https://twitter.com/Mr_kck5434","@Mr_kck5434")</f>
        <v>@Mr_kck5434</v>
      </c>
      <c r="C3041" s="7" t="s">
        <v>17521</v>
      </c>
      <c r="D3041" s="7" t="s">
        <v>17522</v>
      </c>
      <c r="E3041" s="12" t="str">
        <f>HYPERLINK("https://twitter.com/Mr_kck5434/status/1181890259711352832","1181890259711352832")</f>
        <v>1181890259711352832</v>
      </c>
      <c r="F3041" s="8"/>
      <c r="G3041" s="7"/>
      <c r="H3041" s="8"/>
      <c r="I3041" s="15">
        <v>0</v>
      </c>
      <c r="J3041" s="15">
        <v>1</v>
      </c>
      <c r="K3041" s="12" t="str">
        <f>HYPERLINK("http://twitter.com/download/android","Twitter for Android")</f>
        <v>Twitter for Android</v>
      </c>
      <c r="L3041" s="16">
        <v>15</v>
      </c>
      <c r="M3041" s="16">
        <v>10</v>
      </c>
      <c r="N3041" s="16">
        <v>0</v>
      </c>
      <c r="O3041" s="17"/>
      <c r="P3041" s="18">
        <v>42362.56113425926</v>
      </c>
      <c r="Q3041" s="7" t="s">
        <v>313</v>
      </c>
      <c r="R3041" s="7" t="s">
        <v>17523</v>
      </c>
      <c r="S3041" s="15"/>
      <c r="T3041" s="8"/>
      <c r="U3041" s="19" t="str">
        <f>HYPERLINK("https://pbs.twimg.com/profile_images/1165281846718009346/8sdfbDtw.jpg","View")</f>
        <v>View</v>
      </c>
      <c r="V3041" s="8"/>
      <c r="W3041" s="8"/>
      <c r="X3041" s="8"/>
      <c r="Y3041" s="8"/>
      <c r="Z3041" s="8"/>
    </row>
    <row r="3042" spans="1:26" ht="12.75">
      <c r="A3042" s="11">
        <v>43747.175532407404</v>
      </c>
      <c r="B3042" s="12" t="str">
        <f>HYPERLINK("https://twitter.com/Aysenylmz2","@Aysenylmz2")</f>
        <v>@Aysenylmz2</v>
      </c>
      <c r="C3042" s="7" t="s">
        <v>17524</v>
      </c>
      <c r="D3042" s="7" t="s">
        <v>17525</v>
      </c>
      <c r="E3042" s="12" t="str">
        <f>HYPERLINK("https://twitter.com/Aysenylmz2/status/1181890240845361152","1181890240845361152")</f>
        <v>1181890240845361152</v>
      </c>
      <c r="F3042" s="8"/>
      <c r="G3042" s="14" t="s">
        <v>17526</v>
      </c>
      <c r="H3042" s="8"/>
      <c r="I3042" s="15">
        <v>0</v>
      </c>
      <c r="J3042" s="15">
        <v>3</v>
      </c>
      <c r="K3042" s="12" t="str">
        <f>HYPERLINK("https://mobile.twitter.com","Twitter Web App")</f>
        <v>Twitter Web App</v>
      </c>
      <c r="L3042" s="16">
        <v>31</v>
      </c>
      <c r="M3042" s="16">
        <v>74</v>
      </c>
      <c r="N3042" s="16">
        <v>0</v>
      </c>
      <c r="O3042" s="17"/>
      <c r="P3042" s="18">
        <v>43731.244733796295</v>
      </c>
      <c r="Q3042" s="7" t="s">
        <v>17527</v>
      </c>
      <c r="R3042" s="7"/>
      <c r="S3042" s="8"/>
      <c r="T3042" s="8"/>
      <c r="U3042" s="19" t="str">
        <f>HYPERLINK("https://pbs.twimg.com/profile_images/1181510443422175237/74zcq69h.jpg","View")</f>
        <v>View</v>
      </c>
      <c r="V3042" s="8"/>
      <c r="W3042" s="8"/>
      <c r="X3042" s="8"/>
      <c r="Y3042" s="8"/>
      <c r="Z3042" s="8"/>
    </row>
    <row r="3043" spans="1:26" ht="12.75">
      <c r="A3043" s="11">
        <v>43747.175462962958</v>
      </c>
      <c r="B3043" s="12" t="str">
        <f>HYPERLINK("https://twitter.com/hannoker","@hannoker")</f>
        <v>@hannoker</v>
      </c>
      <c r="C3043" s="7" t="s">
        <v>17528</v>
      </c>
      <c r="D3043" s="7" t="s">
        <v>17529</v>
      </c>
      <c r="E3043" s="12" t="str">
        <f>HYPERLINK("https://twitter.com/hannoker/status/1181890214190604288","1181890214190604288")</f>
        <v>1181890214190604288</v>
      </c>
      <c r="F3043" s="8"/>
      <c r="G3043" s="15"/>
      <c r="H3043" s="8"/>
      <c r="I3043" s="15">
        <v>0</v>
      </c>
      <c r="J3043" s="15">
        <v>1</v>
      </c>
      <c r="K3043" s="12" t="str">
        <f>HYPERLINK("http://twitter.com/download/iphone","Twitter for iPhone")</f>
        <v>Twitter for iPhone</v>
      </c>
      <c r="L3043" s="16">
        <v>591</v>
      </c>
      <c r="M3043" s="16">
        <v>1073</v>
      </c>
      <c r="N3043" s="16">
        <v>1</v>
      </c>
      <c r="O3043" s="17"/>
      <c r="P3043" s="18">
        <v>42747.16987268519</v>
      </c>
      <c r="Q3043" s="7" t="s">
        <v>313</v>
      </c>
      <c r="R3043" s="7" t="s">
        <v>17530</v>
      </c>
      <c r="S3043" s="15"/>
      <c r="T3043" s="8"/>
      <c r="U3043" s="19" t="str">
        <f>HYPERLINK("https://pbs.twimg.com/profile_images/1181642361081872386/I8c2ZRTP.jpg","View")</f>
        <v>View</v>
      </c>
      <c r="V3043" s="8"/>
      <c r="W3043" s="8"/>
      <c r="X3043" s="8"/>
      <c r="Y3043" s="8"/>
      <c r="Z3043" s="8"/>
    </row>
    <row r="3044" spans="1:26" ht="12.75">
      <c r="A3044" s="11">
        <v>43747.175462962958</v>
      </c>
      <c r="B3044" s="12" t="str">
        <f>HYPERLINK("https://twitter.com/AtaSagiroglu","@AtaSagiroglu")</f>
        <v>@AtaSagiroglu</v>
      </c>
      <c r="C3044" s="7" t="s">
        <v>17531</v>
      </c>
      <c r="D3044" s="7" t="s">
        <v>17532</v>
      </c>
      <c r="E3044" s="12" t="str">
        <f>HYPERLINK("https://twitter.com/AtaSagiroglu/status/1181890214190444544","1181890214190444544")</f>
        <v>1181890214190444544</v>
      </c>
      <c r="F3044" s="8"/>
      <c r="G3044" s="15"/>
      <c r="H3044" s="8"/>
      <c r="I3044" s="15">
        <v>0</v>
      </c>
      <c r="J3044" s="15">
        <v>0</v>
      </c>
      <c r="K3044" s="12" t="str">
        <f>HYPERLINK("http://twitter.com/download/android","Twitter for Android")</f>
        <v>Twitter for Android</v>
      </c>
      <c r="L3044" s="16">
        <v>4557</v>
      </c>
      <c r="M3044" s="16">
        <v>2241</v>
      </c>
      <c r="N3044" s="16">
        <v>4</v>
      </c>
      <c r="O3044" s="17"/>
      <c r="P3044" s="18">
        <v>41049.439699074072</v>
      </c>
      <c r="Q3044" s="7" t="s">
        <v>17533</v>
      </c>
      <c r="R3044" s="7" t="s">
        <v>17534</v>
      </c>
      <c r="S3044" s="14" t="s">
        <v>17535</v>
      </c>
      <c r="T3044" s="8"/>
      <c r="U3044" s="19" t="str">
        <f>HYPERLINK("https://pbs.twimg.com/profile_images/685482197617369089/-JOf59nF.jpg","View")</f>
        <v>View</v>
      </c>
      <c r="V3044" s="8"/>
      <c r="W3044" s="8"/>
      <c r="X3044" s="8"/>
      <c r="Y3044" s="8"/>
      <c r="Z3044" s="8"/>
    </row>
    <row r="3045" spans="1:26" ht="12.75">
      <c r="A3045" s="11">
        <v>43747.175439814819</v>
      </c>
      <c r="B3045" s="12" t="str">
        <f>HYPERLINK("https://twitter.com/fetih0istanbul","@fetih0istanbul")</f>
        <v>@fetih0istanbul</v>
      </c>
      <c r="C3045" s="7">
        <v>1453</v>
      </c>
      <c r="D3045" s="7" t="s">
        <v>17536</v>
      </c>
      <c r="E3045" s="12" t="str">
        <f>HYPERLINK("https://twitter.com/fetih0istanbul/status/1181890207777460224","1181890207777460224")</f>
        <v>1181890207777460224</v>
      </c>
      <c r="F3045" s="8"/>
      <c r="G3045" s="14" t="s">
        <v>17537</v>
      </c>
      <c r="H3045" s="8"/>
      <c r="I3045" s="15">
        <v>0</v>
      </c>
      <c r="J3045" s="15">
        <v>0</v>
      </c>
      <c r="K3045" s="12" t="str">
        <f>HYPERLINK("http://twitter.com/download/android","Twitter for Android")</f>
        <v>Twitter for Android</v>
      </c>
      <c r="L3045" s="16">
        <v>10</v>
      </c>
      <c r="M3045" s="16">
        <v>0</v>
      </c>
      <c r="N3045" s="16">
        <v>0</v>
      </c>
      <c r="O3045" s="17"/>
      <c r="P3045" s="18">
        <v>41244.394062499996</v>
      </c>
      <c r="Q3045" s="7"/>
      <c r="R3045" s="7"/>
      <c r="S3045" s="8"/>
      <c r="T3045" s="8"/>
      <c r="U3045" s="19" t="str">
        <f>HYPERLINK("https://pbs.twimg.com/profile_images/1007445978687864832/ESVaRRzd.jpg","View")</f>
        <v>View</v>
      </c>
      <c r="V3045" s="8"/>
      <c r="W3045" s="8"/>
      <c r="X3045" s="8"/>
      <c r="Y3045" s="8"/>
      <c r="Z3045" s="8"/>
    </row>
    <row r="3046" spans="1:26" ht="12.75">
      <c r="A3046" s="11">
        <v>43747.175439814819</v>
      </c>
      <c r="B3046" s="12" t="str">
        <f>HYPERLINK("https://twitter.com/HudabinCool","@HudabinCool")</f>
        <v>@HudabinCool</v>
      </c>
      <c r="C3046" s="7" t="s">
        <v>17538</v>
      </c>
      <c r="D3046" s="7" t="s">
        <v>17539</v>
      </c>
      <c r="E3046" s="12" t="str">
        <f>HYPERLINK("https://twitter.com/HudabinCool/status/1181890205760020480","1181890205760020480")</f>
        <v>1181890205760020480</v>
      </c>
      <c r="F3046" s="8"/>
      <c r="G3046" s="15"/>
      <c r="H3046" s="8"/>
      <c r="I3046" s="15">
        <v>0</v>
      </c>
      <c r="J3046" s="15">
        <v>1</v>
      </c>
      <c r="K3046" s="12" t="str">
        <f>HYPERLINK("https://mobile.twitter.com","Twitter Web App")</f>
        <v>Twitter Web App</v>
      </c>
      <c r="L3046" s="16">
        <v>8</v>
      </c>
      <c r="M3046" s="16">
        <v>3</v>
      </c>
      <c r="N3046" s="16">
        <v>0</v>
      </c>
      <c r="O3046" s="17"/>
      <c r="P3046" s="18">
        <v>43664.462060185186</v>
      </c>
      <c r="Q3046" s="7" t="s">
        <v>200</v>
      </c>
      <c r="R3046" s="7" t="s">
        <v>17540</v>
      </c>
      <c r="S3046" s="8"/>
      <c r="T3046" s="8"/>
      <c r="U3046" s="19" t="str">
        <f>HYPERLINK("https://pbs.twimg.com/profile_images/1155474837273554944/ML7AupnJ.jpg","View")</f>
        <v>View</v>
      </c>
      <c r="V3046" s="8"/>
      <c r="W3046" s="8"/>
      <c r="X3046" s="8"/>
      <c r="Y3046" s="8"/>
      <c r="Z3046" s="8"/>
    </row>
    <row r="3047" spans="1:26" ht="12.75">
      <c r="A3047" s="11">
        <v>43747.175428240742</v>
      </c>
      <c r="B3047" s="12" t="str">
        <f>HYPERLINK("https://twitter.com/Ond_Leo","@Ond_Leo")</f>
        <v>@Ond_Leo</v>
      </c>
      <c r="C3047" s="7" t="s">
        <v>17541</v>
      </c>
      <c r="D3047" s="7" t="s">
        <v>17542</v>
      </c>
      <c r="E3047" s="12" t="str">
        <f>HYPERLINK("https://twitter.com/Ond_Leo/status/1181890205000839169","1181890205000839169")</f>
        <v>1181890205000839169</v>
      </c>
      <c r="F3047" s="7"/>
      <c r="G3047" s="7"/>
      <c r="H3047" s="8"/>
      <c r="I3047" s="15">
        <v>0</v>
      </c>
      <c r="J3047" s="15">
        <v>0</v>
      </c>
      <c r="K3047" s="12" t="str">
        <f>HYPERLINK("http://twitter.com/download/android","Twitter for Android")</f>
        <v>Twitter for Android</v>
      </c>
      <c r="L3047" s="16">
        <v>151</v>
      </c>
      <c r="M3047" s="16">
        <v>574</v>
      </c>
      <c r="N3047" s="16">
        <v>0</v>
      </c>
      <c r="O3047" s="17"/>
      <c r="P3047" s="18">
        <v>41459.512476851851</v>
      </c>
      <c r="Q3047" s="7" t="s">
        <v>313</v>
      </c>
      <c r="R3047" s="7" t="s">
        <v>17543</v>
      </c>
      <c r="S3047" s="8"/>
      <c r="T3047" s="8"/>
      <c r="U3047" s="19" t="str">
        <f>HYPERLINK("https://pbs.twimg.com/profile_images/1110596081509896194/pa0RV991.jpg","View")</f>
        <v>View</v>
      </c>
      <c r="V3047" s="8"/>
      <c r="W3047" s="8"/>
      <c r="X3047" s="8"/>
      <c r="Y3047" s="8"/>
      <c r="Z3047" s="8"/>
    </row>
    <row r="3048" spans="1:26" ht="12.75">
      <c r="A3048" s="11">
        <v>43747.175243055557</v>
      </c>
      <c r="B3048" s="12" t="str">
        <f>HYPERLINK("https://twitter.com/ryhnkr","@ryhnkr")</f>
        <v>@ryhnkr</v>
      </c>
      <c r="C3048" s="7" t="s">
        <v>17544</v>
      </c>
      <c r="D3048" s="7" t="s">
        <v>17545</v>
      </c>
      <c r="E3048" s="12" t="str">
        <f>HYPERLINK("https://twitter.com/ryhnkr/status/1181890136998645761","1181890136998645761")</f>
        <v>1181890136998645761</v>
      </c>
      <c r="F3048" s="8"/>
      <c r="G3048" s="7"/>
      <c r="H3048" s="8"/>
      <c r="I3048" s="15">
        <v>0</v>
      </c>
      <c r="J3048" s="15">
        <v>0</v>
      </c>
      <c r="K3048" s="12" t="str">
        <f>HYPERLINK("http://twitter.com/download/iphone","Twitter for iPhone")</f>
        <v>Twitter for iPhone</v>
      </c>
      <c r="L3048" s="16">
        <v>140</v>
      </c>
      <c r="M3048" s="16">
        <v>107</v>
      </c>
      <c r="N3048" s="16">
        <v>0</v>
      </c>
      <c r="O3048" s="17"/>
      <c r="P3048" s="18">
        <v>42697.945763888885</v>
      </c>
      <c r="Q3048" s="7" t="s">
        <v>313</v>
      </c>
      <c r="R3048" s="7"/>
      <c r="S3048" s="8"/>
      <c r="T3048" s="8"/>
      <c r="U3048" s="19" t="str">
        <f>HYPERLINK("https://pbs.twimg.com/profile_images/1148310153042825216/bp9XfPaP.jpg","View")</f>
        <v>View</v>
      </c>
      <c r="V3048" s="8"/>
      <c r="W3048" s="8"/>
      <c r="X3048" s="8"/>
      <c r="Y3048" s="8"/>
      <c r="Z3048" s="8"/>
    </row>
    <row r="3049" spans="1:26" ht="12.75">
      <c r="A3049" s="11">
        <v>43747.175243055557</v>
      </c>
      <c r="B3049" s="12" t="str">
        <f>HYPERLINK("https://twitter.com/brewbich","@brewbich")</f>
        <v>@brewbich</v>
      </c>
      <c r="C3049" s="7" t="s">
        <v>17546</v>
      </c>
      <c r="D3049" s="7" t="s">
        <v>17547</v>
      </c>
      <c r="E3049" s="12" t="str">
        <f>HYPERLINK("https://twitter.com/brewbich/status/1181890136726020096","1181890136726020096")</f>
        <v>1181890136726020096</v>
      </c>
      <c r="F3049" s="8"/>
      <c r="G3049" s="7"/>
      <c r="H3049" s="8"/>
      <c r="I3049" s="15">
        <v>0</v>
      </c>
      <c r="J3049" s="15">
        <v>0</v>
      </c>
      <c r="K3049" s="12" t="str">
        <f>HYPERLINK("https://mobile.twitter.com","Twitter Web App")</f>
        <v>Twitter Web App</v>
      </c>
      <c r="L3049" s="16">
        <v>4042</v>
      </c>
      <c r="M3049" s="16">
        <v>4907</v>
      </c>
      <c r="N3049" s="16">
        <v>13</v>
      </c>
      <c r="O3049" s="17"/>
      <c r="P3049" s="18">
        <v>41060.626643518517</v>
      </c>
      <c r="Q3049" s="7" t="s">
        <v>17548</v>
      </c>
      <c r="R3049" s="7" t="s">
        <v>17549</v>
      </c>
      <c r="S3049" s="8"/>
      <c r="T3049" s="8"/>
      <c r="U3049" s="19" t="str">
        <f>HYPERLINK("https://pbs.twimg.com/profile_images/984564484135043072/3B_dFXph.jpg","View")</f>
        <v>View</v>
      </c>
      <c r="V3049" s="8"/>
      <c r="W3049" s="8"/>
      <c r="X3049" s="8"/>
      <c r="Y3049" s="8"/>
      <c r="Z3049" s="8"/>
    </row>
    <row r="3050" spans="1:26" ht="12.75">
      <c r="A3050" s="11">
        <v>43747.175069444449</v>
      </c>
      <c r="B3050" s="12" t="str">
        <f>HYPERLINK("https://twitter.com/tiryaki2184","@tiryaki2184")</f>
        <v>@tiryaki2184</v>
      </c>
      <c r="C3050" s="7" t="s">
        <v>17550</v>
      </c>
      <c r="D3050" s="7" t="s">
        <v>17551</v>
      </c>
      <c r="E3050" s="12" t="str">
        <f>HYPERLINK("https://twitter.com/tiryaki2184/status/1181890071756230656","1181890071756230656")</f>
        <v>1181890071756230656</v>
      </c>
      <c r="F3050" s="8"/>
      <c r="G3050" s="7"/>
      <c r="H3050" s="8"/>
      <c r="I3050" s="15">
        <v>0</v>
      </c>
      <c r="J3050" s="15">
        <v>0</v>
      </c>
      <c r="K3050" s="12" t="str">
        <f>HYPERLINK("https://mobile.twitter.com","Twitter Web App")</f>
        <v>Twitter Web App</v>
      </c>
      <c r="L3050" s="16">
        <v>625</v>
      </c>
      <c r="M3050" s="16">
        <v>1166</v>
      </c>
      <c r="N3050" s="16">
        <v>1</v>
      </c>
      <c r="O3050" s="17"/>
      <c r="P3050" s="18">
        <v>40196.294108796297</v>
      </c>
      <c r="Q3050" s="7"/>
      <c r="R3050" s="7" t="s">
        <v>17552</v>
      </c>
      <c r="S3050" s="8"/>
      <c r="T3050" s="8"/>
      <c r="U3050" s="19" t="str">
        <f>HYPERLINK("https://pbs.twimg.com/profile_images/1142877125751582720/K3ORxbgF.jpg","View")</f>
        <v>View</v>
      </c>
      <c r="V3050" s="8"/>
      <c r="W3050" s="8"/>
      <c r="X3050" s="8"/>
      <c r="Y3050" s="8"/>
      <c r="Z3050" s="8"/>
    </row>
    <row r="3051" spans="1:26" ht="12.75">
      <c r="A3051" s="11">
        <v>43747.175000000003</v>
      </c>
      <c r="B3051" s="12" t="str">
        <f>HYPERLINK("https://twitter.com/gunayuzzn","@gunayuzzn")</f>
        <v>@gunayuzzn</v>
      </c>
      <c r="C3051" s="7" t="s">
        <v>17553</v>
      </c>
      <c r="D3051" s="7" t="s">
        <v>17554</v>
      </c>
      <c r="E3051" s="12" t="str">
        <f>HYPERLINK("https://twitter.com/gunayuzzn/status/1181890046493900800","1181890046493900800")</f>
        <v>1181890046493900800</v>
      </c>
      <c r="F3051" s="8"/>
      <c r="G3051" s="7"/>
      <c r="H3051" s="8"/>
      <c r="I3051" s="15">
        <v>0</v>
      </c>
      <c r="J3051" s="15">
        <v>0</v>
      </c>
      <c r="K3051" s="12" t="str">
        <f>HYPERLINK("http://twitter.com/download/android","Twitter for Android")</f>
        <v>Twitter for Android</v>
      </c>
      <c r="L3051" s="16">
        <v>49</v>
      </c>
      <c r="M3051" s="16">
        <v>118</v>
      </c>
      <c r="N3051" s="16">
        <v>0</v>
      </c>
      <c r="O3051" s="17"/>
      <c r="P3051" s="18">
        <v>42082.643796296295</v>
      </c>
      <c r="Q3051" s="7"/>
      <c r="R3051" s="7" t="s">
        <v>17555</v>
      </c>
      <c r="S3051" s="15"/>
      <c r="T3051" s="8"/>
      <c r="U3051" s="19" t="str">
        <f>HYPERLINK("https://pbs.twimg.com/profile_images/1049411851438702593/LAXVGSZe.jpg","View")</f>
        <v>View</v>
      </c>
      <c r="V3051" s="8"/>
      <c r="W3051" s="8"/>
      <c r="X3051" s="8"/>
      <c r="Y3051" s="8"/>
      <c r="Z3051" s="8"/>
    </row>
    <row r="3052" spans="1:26" ht="12.75">
      <c r="A3052" s="11">
        <v>43747.174942129626</v>
      </c>
      <c r="B3052" s="12" t="str">
        <f>HYPERLINK("https://twitter.com/burhansayal","@burhansayal")</f>
        <v>@burhansayal</v>
      </c>
      <c r="C3052" s="7" t="s">
        <v>17556</v>
      </c>
      <c r="D3052" s="7" t="s">
        <v>17557</v>
      </c>
      <c r="E3052" s="12" t="str">
        <f>HYPERLINK("https://twitter.com/burhansayal/status/1181890026650718208","1181890026650718208")</f>
        <v>1181890026650718208</v>
      </c>
      <c r="F3052" s="8"/>
      <c r="G3052" s="14" t="s">
        <v>17558</v>
      </c>
      <c r="H3052" s="8"/>
      <c r="I3052" s="15">
        <v>2</v>
      </c>
      <c r="J3052" s="15">
        <v>9</v>
      </c>
      <c r="K3052" s="12" t="str">
        <f>HYPERLINK("http://twitter.com/download/iphone","Twitter for iPhone")</f>
        <v>Twitter for iPhone</v>
      </c>
      <c r="L3052" s="16">
        <v>208</v>
      </c>
      <c r="M3052" s="16">
        <v>336</v>
      </c>
      <c r="N3052" s="16">
        <v>0</v>
      </c>
      <c r="O3052" s="17"/>
      <c r="P3052" s="18">
        <v>42546.528368055559</v>
      </c>
      <c r="Q3052" s="7"/>
      <c r="R3052" s="7" t="s">
        <v>17559</v>
      </c>
      <c r="S3052" s="15"/>
      <c r="T3052" s="8"/>
      <c r="U3052" s="19" t="str">
        <f>HYPERLINK("https://pbs.twimg.com/profile_images/994298283186180097/Vkwa43PY.jpg","View")</f>
        <v>View</v>
      </c>
      <c r="V3052" s="8"/>
      <c r="W3052" s="8"/>
      <c r="X3052" s="8"/>
      <c r="Y3052" s="8"/>
      <c r="Z3052" s="8"/>
    </row>
    <row r="3053" spans="1:26" ht="12.75">
      <c r="A3053" s="11">
        <v>43747.17491898148</v>
      </c>
      <c r="B3053" s="12" t="str">
        <f>HYPERLINK("https://twitter.com/sbtanfer","@sbtanfer")</f>
        <v>@sbtanfer</v>
      </c>
      <c r="C3053" s="7" t="s">
        <v>17560</v>
      </c>
      <c r="D3053" s="7" t="s">
        <v>17561</v>
      </c>
      <c r="E3053" s="12" t="str">
        <f>HYPERLINK("https://twitter.com/sbtanfer/status/1181890019843346437","1181890019843346437")</f>
        <v>1181890019843346437</v>
      </c>
      <c r="F3053" s="15"/>
      <c r="G3053" s="7"/>
      <c r="H3053" s="8"/>
      <c r="I3053" s="15">
        <v>0</v>
      </c>
      <c r="J3053" s="15">
        <v>0</v>
      </c>
      <c r="K3053" s="12" t="str">
        <f>HYPERLINK("http://twitter.com/download/iphone","Twitter for iPhone")</f>
        <v>Twitter for iPhone</v>
      </c>
      <c r="L3053" s="16">
        <v>264</v>
      </c>
      <c r="M3053" s="16">
        <v>477</v>
      </c>
      <c r="N3053" s="16">
        <v>1</v>
      </c>
      <c r="O3053" s="17"/>
      <c r="P3053" s="18">
        <v>41386.333483796298</v>
      </c>
      <c r="Q3053" s="7" t="s">
        <v>17562</v>
      </c>
      <c r="R3053" s="7" t="s">
        <v>17563</v>
      </c>
      <c r="S3053" s="8"/>
      <c r="T3053" s="8"/>
      <c r="U3053" s="19" t="str">
        <f>HYPERLINK("https://pbs.twimg.com/profile_images/1128628894666559490/aS2dnEBh.jpg","View")</f>
        <v>View</v>
      </c>
      <c r="V3053" s="8"/>
      <c r="W3053" s="8"/>
      <c r="X3053" s="8"/>
      <c r="Y3053" s="8"/>
      <c r="Z3053" s="8"/>
    </row>
    <row r="3054" spans="1:26" ht="12.75">
      <c r="A3054" s="11">
        <v>43747.174826388888</v>
      </c>
      <c r="B3054" s="12" t="str">
        <f>HYPERLINK("https://twitter.com/ozturkseckinn","@ozturkseckinn")</f>
        <v>@ozturkseckinn</v>
      </c>
      <c r="C3054" s="7" t="s">
        <v>17564</v>
      </c>
      <c r="D3054" s="7" t="s">
        <v>17565</v>
      </c>
      <c r="E3054" s="12" t="str">
        <f>HYPERLINK("https://twitter.com/ozturkseckinn/status/1181889985022218241","1181889985022218241")</f>
        <v>1181889985022218241</v>
      </c>
      <c r="F3054" s="8"/>
      <c r="G3054" s="7"/>
      <c r="H3054" s="8"/>
      <c r="I3054" s="15">
        <v>0</v>
      </c>
      <c r="J3054" s="15">
        <v>0</v>
      </c>
      <c r="K3054" s="12" t="str">
        <f>HYPERLINK("http://twitter.com/download/android","Twitter for Android")</f>
        <v>Twitter for Android</v>
      </c>
      <c r="L3054" s="16">
        <v>200</v>
      </c>
      <c r="M3054" s="16">
        <v>62</v>
      </c>
      <c r="N3054" s="16">
        <v>0</v>
      </c>
      <c r="O3054" s="17"/>
      <c r="P3054" s="18">
        <v>43021.569085648152</v>
      </c>
      <c r="Q3054" s="7"/>
      <c r="R3054" s="7" t="s">
        <v>17566</v>
      </c>
      <c r="S3054" s="14" t="s">
        <v>17567</v>
      </c>
      <c r="T3054" s="8"/>
      <c r="U3054" s="19" t="str">
        <f>HYPERLINK("https://pbs.twimg.com/profile_images/1160165590109163521/3qgsZ5mr.jpg","View")</f>
        <v>View</v>
      </c>
      <c r="V3054" s="8"/>
      <c r="W3054" s="8"/>
      <c r="X3054" s="8"/>
      <c r="Y3054" s="8"/>
      <c r="Z3054" s="8"/>
    </row>
    <row r="3055" spans="1:26" ht="12.75">
      <c r="A3055" s="11">
        <v>43747.174768518518</v>
      </c>
      <c r="B3055" s="12" t="str">
        <f>HYPERLINK("https://twitter.com/VuralhaNBozkurT","@VuralhaNBozkurT")</f>
        <v>@VuralhaNBozkurT</v>
      </c>
      <c r="C3055" s="7" t="s">
        <v>17568</v>
      </c>
      <c r="D3055" s="7" t="s">
        <v>17569</v>
      </c>
      <c r="E3055" s="12" t="str">
        <f>HYPERLINK("https://twitter.com/VuralhaNBozkurT/status/1181889965967454209","1181889965967454209")</f>
        <v>1181889965967454209</v>
      </c>
      <c r="F3055" s="8"/>
      <c r="G3055" s="15"/>
      <c r="H3055" s="8"/>
      <c r="I3055" s="15">
        <v>0</v>
      </c>
      <c r="J3055" s="15">
        <v>0</v>
      </c>
      <c r="K3055" s="12" t="str">
        <f>HYPERLINK("http://twitter.com/download/android","Twitter for Android")</f>
        <v>Twitter for Android</v>
      </c>
      <c r="L3055" s="16">
        <v>4972</v>
      </c>
      <c r="M3055" s="16">
        <v>362</v>
      </c>
      <c r="N3055" s="16">
        <v>54</v>
      </c>
      <c r="O3055" s="17"/>
      <c r="P3055" s="18">
        <v>40399.012986111113</v>
      </c>
      <c r="Q3055" s="7" t="s">
        <v>17570</v>
      </c>
      <c r="R3055" s="7" t="s">
        <v>17571</v>
      </c>
      <c r="S3055" s="14" t="s">
        <v>17572</v>
      </c>
      <c r="T3055" s="8"/>
      <c r="U3055" s="19" t="str">
        <f>HYPERLINK("https://pbs.twimg.com/profile_images/1080439138015420416/Btu8jdI-.jpg","View")</f>
        <v>View</v>
      </c>
      <c r="V3055" s="8"/>
      <c r="W3055" s="8"/>
      <c r="X3055" s="8"/>
      <c r="Y3055" s="8"/>
      <c r="Z3055" s="8"/>
    </row>
    <row r="3056" spans="1:26" ht="12.75">
      <c r="A3056" s="11">
        <v>43747.174745370372</v>
      </c>
      <c r="B3056" s="12" t="str">
        <f>HYPERLINK("https://twitter.com/6161laz6161","@6161laz6161")</f>
        <v>@6161laz6161</v>
      </c>
      <c r="C3056" s="7" t="s">
        <v>17573</v>
      </c>
      <c r="D3056" s="7" t="s">
        <v>17574</v>
      </c>
      <c r="E3056" s="12" t="str">
        <f>HYPERLINK("https://twitter.com/6161laz6161/status/1181889954483494912","1181889954483494912")</f>
        <v>1181889954483494912</v>
      </c>
      <c r="F3056" s="15"/>
      <c r="G3056" s="14" t="s">
        <v>17575</v>
      </c>
      <c r="H3056" s="8"/>
      <c r="I3056" s="15">
        <v>0</v>
      </c>
      <c r="J3056" s="15">
        <v>1</v>
      </c>
      <c r="K3056" s="12" t="str">
        <f>HYPERLINK("http://twitter.com/download/android","Twitter for Android")</f>
        <v>Twitter for Android</v>
      </c>
      <c r="L3056" s="16">
        <v>541</v>
      </c>
      <c r="M3056" s="16">
        <v>1049</v>
      </c>
      <c r="N3056" s="16">
        <v>0</v>
      </c>
      <c r="O3056" s="17"/>
      <c r="P3056" s="18">
        <v>42241.628657407404</v>
      </c>
      <c r="Q3056" s="7" t="s">
        <v>706</v>
      </c>
      <c r="R3056" s="7" t="s">
        <v>17576</v>
      </c>
      <c r="S3056" s="8"/>
      <c r="T3056" s="8"/>
      <c r="U3056" s="19" t="str">
        <f>HYPERLINK("https://pbs.twimg.com/profile_images/1150454855607173120/YCpN5jkW.jpg","View")</f>
        <v>View</v>
      </c>
      <c r="V3056" s="8"/>
      <c r="W3056" s="8"/>
      <c r="X3056" s="8"/>
      <c r="Y3056" s="8"/>
      <c r="Z3056" s="8"/>
    </row>
    <row r="3057" spans="1:26" ht="12.75">
      <c r="A3057" s="11">
        <v>43747.174675925926</v>
      </c>
      <c r="B3057" s="12" t="str">
        <f>HYPERLINK("https://twitter.com/sorguluYORUM6","@sorguluYORUM6")</f>
        <v>@sorguluYORUM6</v>
      </c>
      <c r="C3057" s="7" t="s">
        <v>17577</v>
      </c>
      <c r="D3057" s="7" t="s">
        <v>17578</v>
      </c>
      <c r="E3057" s="12" t="str">
        <f>HYPERLINK("https://twitter.com/sorguluYORUM6/status/1181889928831148032","1181889928831148032")</f>
        <v>1181889928831148032</v>
      </c>
      <c r="F3057" s="8"/>
      <c r="G3057" s="14" t="s">
        <v>17579</v>
      </c>
      <c r="H3057" s="8"/>
      <c r="I3057" s="15">
        <v>1</v>
      </c>
      <c r="J3057" s="15">
        <v>1</v>
      </c>
      <c r="K3057" s="12" t="str">
        <f>HYPERLINK("http://twitter.com/download/iphone","Twitter for iPhone")</f>
        <v>Twitter for iPhone</v>
      </c>
      <c r="L3057" s="16">
        <v>118</v>
      </c>
      <c r="M3057" s="16">
        <v>95</v>
      </c>
      <c r="N3057" s="16">
        <v>0</v>
      </c>
      <c r="O3057" s="17"/>
      <c r="P3057" s="18">
        <v>43452.641793981486</v>
      </c>
      <c r="Q3057" s="7"/>
      <c r="R3057" s="7" t="s">
        <v>17580</v>
      </c>
      <c r="S3057" s="8"/>
      <c r="T3057" s="8"/>
      <c r="U3057" s="19" t="str">
        <f>HYPERLINK("https://pbs.twimg.com/profile_images/1075374977329913856/7IIhTE_1.jpg","View")</f>
        <v>View</v>
      </c>
      <c r="V3057" s="8"/>
      <c r="W3057" s="8"/>
      <c r="X3057" s="8"/>
      <c r="Y3057" s="8"/>
      <c r="Z3057" s="8"/>
    </row>
    <row r="3058" spans="1:26" ht="12.75">
      <c r="A3058" s="11">
        <v>43747.174618055556</v>
      </c>
      <c r="B3058" s="12" t="str">
        <f>HYPERLINK("https://twitter.com/heisawantedman","@heisawantedman")</f>
        <v>@heisawantedman</v>
      </c>
      <c r="C3058" s="7" t="s">
        <v>17581</v>
      </c>
      <c r="D3058" s="7" t="s">
        <v>17582</v>
      </c>
      <c r="E3058" s="12" t="str">
        <f>HYPERLINK("https://twitter.com/heisawantedman/status/1181889910296461312","1181889910296461312")</f>
        <v>1181889910296461312</v>
      </c>
      <c r="F3058" s="8"/>
      <c r="G3058" s="15"/>
      <c r="H3058" s="8"/>
      <c r="I3058" s="15">
        <v>0</v>
      </c>
      <c r="J3058" s="15">
        <v>0</v>
      </c>
      <c r="K3058" s="12" t="str">
        <f>HYPERLINK("http://twitter.com/download/android","Twitter for Android")</f>
        <v>Twitter for Android</v>
      </c>
      <c r="L3058" s="16">
        <v>0</v>
      </c>
      <c r="M3058" s="16">
        <v>18</v>
      </c>
      <c r="N3058" s="16">
        <v>0</v>
      </c>
      <c r="O3058" s="17"/>
      <c r="P3058" s="18">
        <v>43512.636412037042</v>
      </c>
      <c r="Q3058" s="7"/>
      <c r="R3058" s="7" t="s">
        <v>17583</v>
      </c>
      <c r="S3058" s="8"/>
      <c r="T3058" s="8"/>
      <c r="U3058" s="19" t="str">
        <f>HYPERLINK("https://pbs.twimg.com/profile_images/1138405852313001984/S4d71orh.jpg","View")</f>
        <v>View</v>
      </c>
      <c r="V3058" s="8"/>
      <c r="W3058" s="8"/>
      <c r="X3058" s="8"/>
      <c r="Y3058" s="8"/>
      <c r="Z3058" s="8"/>
    </row>
    <row r="3059" spans="1:26" ht="12.75">
      <c r="A3059" s="11">
        <v>43747.17459490741</v>
      </c>
      <c r="B3059" s="12" t="str">
        <f>HYPERLINK("https://twitter.com/Yucel_MISIRLI","@Yucel_MISIRLI")</f>
        <v>@Yucel_MISIRLI</v>
      </c>
      <c r="C3059" s="7" t="s">
        <v>17584</v>
      </c>
      <c r="D3059" s="7" t="s">
        <v>17585</v>
      </c>
      <c r="E3059" s="12" t="str">
        <f>HYPERLINK("https://twitter.com/Yucel_MISIRLI/status/1181889900452417536","1181889900452417536")</f>
        <v>1181889900452417536</v>
      </c>
      <c r="F3059" s="8"/>
      <c r="G3059" s="7"/>
      <c r="H3059" s="8"/>
      <c r="I3059" s="15">
        <v>0</v>
      </c>
      <c r="J3059" s="15">
        <v>0</v>
      </c>
      <c r="K3059" s="12" t="str">
        <f>HYPERLINK("http://twitter.com/download/android","Twitter for Android")</f>
        <v>Twitter for Android</v>
      </c>
      <c r="L3059" s="16">
        <v>2838</v>
      </c>
      <c r="M3059" s="16">
        <v>4976</v>
      </c>
      <c r="N3059" s="16">
        <v>3</v>
      </c>
      <c r="O3059" s="17"/>
      <c r="P3059" s="18">
        <v>40949.078298611115</v>
      </c>
      <c r="Q3059" s="7" t="s">
        <v>17586</v>
      </c>
      <c r="R3059" s="7" t="s">
        <v>17587</v>
      </c>
      <c r="S3059" s="8"/>
      <c r="T3059" s="8"/>
      <c r="U3059" s="19" t="str">
        <f>HYPERLINK("https://pbs.twimg.com/profile_images/1130467890216493057/zq-htDfb.jpg","View")</f>
        <v>View</v>
      </c>
      <c r="V3059" s="8"/>
      <c r="W3059" s="8"/>
      <c r="X3059" s="8"/>
      <c r="Y3059" s="8"/>
      <c r="Z3059" s="8"/>
    </row>
    <row r="3060" spans="1:26" ht="12.75">
      <c r="A3060" s="11">
        <v>43747.174409722225</v>
      </c>
      <c r="B3060" s="12" t="str">
        <f>HYPERLINK("https://twitter.com/tiniminiprenses","@tiniminiprenses")</f>
        <v>@tiniminiprenses</v>
      </c>
      <c r="C3060" s="7" t="s">
        <v>17588</v>
      </c>
      <c r="D3060" s="7" t="s">
        <v>17589</v>
      </c>
      <c r="E3060" s="12" t="str">
        <f>HYPERLINK("https://twitter.com/tiniminiprenses/status/1181889835214225411","1181889835214225411")</f>
        <v>1181889835214225411</v>
      </c>
      <c r="F3060" s="8"/>
      <c r="G3060" s="7"/>
      <c r="H3060" s="8"/>
      <c r="I3060" s="15">
        <v>0</v>
      </c>
      <c r="J3060" s="15">
        <v>0</v>
      </c>
      <c r="K3060" s="12" t="str">
        <f>HYPERLINK("https://mobile.twitter.com","Twitter Web App")</f>
        <v>Twitter Web App</v>
      </c>
      <c r="L3060" s="16">
        <v>102</v>
      </c>
      <c r="M3060" s="16">
        <v>87</v>
      </c>
      <c r="N3060" s="16">
        <v>0</v>
      </c>
      <c r="O3060" s="17"/>
      <c r="P3060" s="18">
        <v>43746.053900462968</v>
      </c>
      <c r="Q3060" s="7"/>
      <c r="R3060" s="7" t="s">
        <v>17590</v>
      </c>
      <c r="S3060" s="8"/>
      <c r="T3060" s="8"/>
      <c r="U3060" s="19" t="str">
        <f>HYPERLINK("https://pbs.twimg.com/profile_images/1181486833202536448/Y1fn7x92.jpg","View")</f>
        <v>View</v>
      </c>
      <c r="V3060" s="8"/>
      <c r="W3060" s="8"/>
      <c r="X3060" s="8"/>
      <c r="Y3060" s="8"/>
      <c r="Z3060" s="8"/>
    </row>
    <row r="3061" spans="1:26" ht="12.75">
      <c r="A3061" s="11">
        <v>43747.174386574072</v>
      </c>
      <c r="B3061" s="12" t="str">
        <f>HYPERLINK("https://twitter.com/fesli_yazar","@fesli_yazar")</f>
        <v>@fesli_yazar</v>
      </c>
      <c r="C3061" s="7" t="s">
        <v>17591</v>
      </c>
      <c r="D3061" s="7" t="s">
        <v>17592</v>
      </c>
      <c r="E3061" s="12" t="str">
        <f>HYPERLINK("https://twitter.com/fesli_yazar/status/1181889826259423232","1181889826259423232")</f>
        <v>1181889826259423232</v>
      </c>
      <c r="F3061" s="8"/>
      <c r="G3061" s="7"/>
      <c r="H3061" s="8"/>
      <c r="I3061" s="15">
        <v>0</v>
      </c>
      <c r="J3061" s="15">
        <v>2</v>
      </c>
      <c r="K3061" s="12" t="str">
        <f>HYPERLINK("http://twitter.com/download/iphone","Twitter for iPhone")</f>
        <v>Twitter for iPhone</v>
      </c>
      <c r="L3061" s="16">
        <v>21</v>
      </c>
      <c r="M3061" s="16">
        <v>57</v>
      </c>
      <c r="N3061" s="16">
        <v>0</v>
      </c>
      <c r="O3061" s="17"/>
      <c r="P3061" s="18">
        <v>43728.518645833334</v>
      </c>
      <c r="Q3061" s="7"/>
      <c r="R3061" s="7" t="s">
        <v>17593</v>
      </c>
      <c r="S3061" s="15"/>
      <c r="T3061" s="8"/>
      <c r="U3061" s="19" t="str">
        <f>HYPERLINK("https://pbs.twimg.com/profile_images/1177711955517333505/GI4LEK_1.jpg","View")</f>
        <v>View</v>
      </c>
      <c r="V3061" s="8"/>
      <c r="W3061" s="8"/>
      <c r="X3061" s="8"/>
      <c r="Y3061" s="8"/>
      <c r="Z3061" s="8"/>
    </row>
    <row r="3062" spans="1:26" ht="12.75">
      <c r="A3062" s="11">
        <v>43747.174375000002</v>
      </c>
      <c r="B3062" s="12" t="str">
        <f>HYPERLINK("https://twitter.com/Erdemgle13","@Erdemgle13")</f>
        <v>@Erdemgle13</v>
      </c>
      <c r="C3062" s="7" t="s">
        <v>17594</v>
      </c>
      <c r="D3062" s="7" t="s">
        <v>17595</v>
      </c>
      <c r="E3062" s="12" t="str">
        <f>HYPERLINK("https://twitter.com/Erdemgle13/status/1181889821125595137","1181889821125595137")</f>
        <v>1181889821125595137</v>
      </c>
      <c r="F3062" s="8"/>
      <c r="G3062" s="7"/>
      <c r="H3062" s="8"/>
      <c r="I3062" s="15">
        <v>0</v>
      </c>
      <c r="J3062" s="15">
        <v>2</v>
      </c>
      <c r="K3062" s="12" t="str">
        <f>HYPERLINK("https://mobile.twitter.com","Twitter Web App")</f>
        <v>Twitter Web App</v>
      </c>
      <c r="L3062" s="16">
        <v>0</v>
      </c>
      <c r="M3062" s="16">
        <v>0</v>
      </c>
      <c r="N3062" s="16">
        <v>0</v>
      </c>
      <c r="O3062" s="17"/>
      <c r="P3062" s="18">
        <v>43530.354189814811</v>
      </c>
      <c r="Q3062" s="7"/>
      <c r="R3062" s="7"/>
      <c r="S3062" s="8"/>
      <c r="T3062" s="8"/>
      <c r="U3062" s="20" t="s">
        <v>354</v>
      </c>
      <c r="V3062" s="8"/>
      <c r="W3062" s="8"/>
      <c r="X3062" s="8"/>
      <c r="Y3062" s="8"/>
      <c r="Z3062" s="8"/>
    </row>
    <row r="3063" spans="1:26" ht="12.75">
      <c r="A3063" s="11">
        <v>43747.174259259264</v>
      </c>
      <c r="B3063" s="12" t="str">
        <f>HYPERLINK("https://twitter.com/can_semir","@can_semir")</f>
        <v>@can_semir</v>
      </c>
      <c r="C3063" s="7" t="s">
        <v>17596</v>
      </c>
      <c r="D3063" s="7" t="s">
        <v>17597</v>
      </c>
      <c r="E3063" s="12" t="str">
        <f>HYPERLINK("https://twitter.com/can_semir/status/1181889777248952321","1181889777248952321")</f>
        <v>1181889777248952321</v>
      </c>
      <c r="F3063" s="15"/>
      <c r="G3063" s="14" t="s">
        <v>17598</v>
      </c>
      <c r="H3063" s="8"/>
      <c r="I3063" s="15">
        <v>0</v>
      </c>
      <c r="J3063" s="15">
        <v>3</v>
      </c>
      <c r="K3063" s="12" t="str">
        <f>HYPERLINK("http://twitter.com/download/android","Twitter for Android")</f>
        <v>Twitter for Android</v>
      </c>
      <c r="L3063" s="16">
        <v>69</v>
      </c>
      <c r="M3063" s="16">
        <v>7</v>
      </c>
      <c r="N3063" s="16">
        <v>0</v>
      </c>
      <c r="O3063" s="17"/>
      <c r="P3063" s="18">
        <v>42761.607118055559</v>
      </c>
      <c r="Q3063" s="7" t="s">
        <v>313</v>
      </c>
      <c r="R3063" s="7" t="s">
        <v>17599</v>
      </c>
      <c r="S3063" s="15"/>
      <c r="T3063" s="8"/>
      <c r="U3063" s="19" t="str">
        <f>HYPERLINK("https://pbs.twimg.com/profile_images/1171539859229593600/Vniw4fqU.jpg","View")</f>
        <v>View</v>
      </c>
      <c r="V3063" s="8"/>
      <c r="W3063" s="8"/>
      <c r="X3063" s="8"/>
      <c r="Y3063" s="8"/>
      <c r="Z3063" s="8"/>
    </row>
    <row r="3064" spans="1:26" ht="12.75">
      <c r="A3064" s="11">
        <v>43747.17423611111</v>
      </c>
      <c r="B3064" s="12" t="str">
        <f>HYPERLINK("https://twitter.com/TktSonmez","@TktSonmez")</f>
        <v>@TktSonmez</v>
      </c>
      <c r="C3064" s="7" t="s">
        <v>17600</v>
      </c>
      <c r="D3064" s="7" t="s">
        <v>17601</v>
      </c>
      <c r="E3064" s="12" t="str">
        <f>HYPERLINK("https://twitter.com/TktSonmez/status/1181889772807217153","1181889772807217153")</f>
        <v>1181889772807217153</v>
      </c>
      <c r="F3064" s="8"/>
      <c r="G3064" s="14" t="s">
        <v>17602</v>
      </c>
      <c r="H3064" s="8"/>
      <c r="I3064" s="15">
        <v>0</v>
      </c>
      <c r="J3064" s="15">
        <v>6</v>
      </c>
      <c r="K3064" s="12" t="str">
        <f>HYPERLINK("http://twitter.com/download/android","Twitter for Android")</f>
        <v>Twitter for Android</v>
      </c>
      <c r="L3064" s="16">
        <v>1375</v>
      </c>
      <c r="M3064" s="16">
        <v>1647</v>
      </c>
      <c r="N3064" s="16">
        <v>4</v>
      </c>
      <c r="O3064" s="17"/>
      <c r="P3064" s="18">
        <v>42477.005497685182</v>
      </c>
      <c r="Q3064" s="7" t="s">
        <v>17603</v>
      </c>
      <c r="R3064" s="7" t="s">
        <v>17604</v>
      </c>
      <c r="S3064" s="15"/>
      <c r="T3064" s="8"/>
      <c r="U3064" s="19" t="str">
        <f>HYPERLINK("https://pbs.twimg.com/profile_images/1091804506508197890/HNVuR0I_.jpg","View")</f>
        <v>View</v>
      </c>
      <c r="V3064" s="8"/>
      <c r="W3064" s="8"/>
      <c r="X3064" s="8"/>
      <c r="Y3064" s="8"/>
      <c r="Z3064" s="8"/>
    </row>
    <row r="3065" spans="1:26" ht="12.75">
      <c r="A3065" s="11">
        <v>43747.174108796295</v>
      </c>
      <c r="B3065" s="12" t="str">
        <f>HYPERLINK("https://twitter.com/4ngelovalentin","@4ngelovalentin")</f>
        <v>@4ngelovalentin</v>
      </c>
      <c r="C3065" s="7" t="s">
        <v>17605</v>
      </c>
      <c r="D3065" s="7" t="s">
        <v>17606</v>
      </c>
      <c r="E3065" s="12" t="str">
        <f>HYPERLINK("https://twitter.com/4ngelovalentin/status/1181889723939377153","1181889723939377153")</f>
        <v>1181889723939377153</v>
      </c>
      <c r="F3065" s="8"/>
      <c r="G3065" s="7"/>
      <c r="H3065" s="8"/>
      <c r="I3065" s="15">
        <v>0</v>
      </c>
      <c r="J3065" s="15">
        <v>0</v>
      </c>
      <c r="K3065" s="12" t="str">
        <f>HYPERLINK("http://twitter.com/download/android","Twitter for Android")</f>
        <v>Twitter for Android</v>
      </c>
      <c r="L3065" s="16">
        <v>5</v>
      </c>
      <c r="M3065" s="16">
        <v>5</v>
      </c>
      <c r="N3065" s="16">
        <v>0</v>
      </c>
      <c r="O3065" s="17"/>
      <c r="P3065" s="18">
        <v>43584.361134259263</v>
      </c>
      <c r="Q3065" s="7" t="s">
        <v>17607</v>
      </c>
      <c r="R3065" s="7" t="s">
        <v>17608</v>
      </c>
      <c r="S3065" s="14" t="s">
        <v>17609</v>
      </c>
      <c r="T3065" s="8"/>
      <c r="U3065" s="19" t="str">
        <f>HYPERLINK("https://pbs.twimg.com/profile_images/1150697623604609024/cFbacY72.jpg","View")</f>
        <v>View</v>
      </c>
      <c r="V3065" s="8"/>
      <c r="W3065" s="8"/>
      <c r="X3065" s="8"/>
      <c r="Y3065" s="8"/>
      <c r="Z3065" s="8"/>
    </row>
    <row r="3066" spans="1:26" ht="12.75">
      <c r="A3066" s="11">
        <v>43747.174097222218</v>
      </c>
      <c r="B3066" s="12" t="str">
        <f>HYPERLINK("https://twitter.com/EYUPKARATA","@EYUPKARATA")</f>
        <v>@EYUPKARATA</v>
      </c>
      <c r="C3066" s="7" t="s">
        <v>17610</v>
      </c>
      <c r="D3066" s="7" t="s">
        <v>14293</v>
      </c>
      <c r="E3066" s="12" t="str">
        <f>HYPERLINK("https://twitter.com/EYUPKARATA/status/1181889719757688832","1181889719757688832")</f>
        <v>1181889719757688832</v>
      </c>
      <c r="F3066" s="8"/>
      <c r="G3066" s="14" t="s">
        <v>17611</v>
      </c>
      <c r="H3066" s="8"/>
      <c r="I3066" s="15">
        <v>0</v>
      </c>
      <c r="J3066" s="15">
        <v>0</v>
      </c>
      <c r="K3066" s="12" t="str">
        <f>HYPERLINK("http://twitter.com/download/android","Twitter for Android")</f>
        <v>Twitter for Android</v>
      </c>
      <c r="L3066" s="16">
        <v>63</v>
      </c>
      <c r="M3066" s="16">
        <v>100</v>
      </c>
      <c r="N3066" s="16">
        <v>0</v>
      </c>
      <c r="O3066" s="17"/>
      <c r="P3066" s="18">
        <v>40670.245358796295</v>
      </c>
      <c r="Q3066" s="7"/>
      <c r="R3066" s="7"/>
      <c r="S3066" s="15"/>
      <c r="T3066" s="8"/>
      <c r="U3066" s="19" t="str">
        <f>HYPERLINK("https://pbs.twimg.com/profile_images/1092842414841217024/x9Kz85WZ.jpg","View")</f>
        <v>View</v>
      </c>
      <c r="V3066" s="8"/>
      <c r="W3066" s="8"/>
      <c r="X3066" s="8"/>
      <c r="Y3066" s="8"/>
      <c r="Z3066" s="8"/>
    </row>
    <row r="3067" spans="1:26" ht="12.75">
      <c r="A3067" s="11">
        <v>43747.173946759256</v>
      </c>
      <c r="B3067" s="12" t="str">
        <f>HYPERLINK("https://twitter.com/dogansaa","@dogansaa")</f>
        <v>@dogansaa</v>
      </c>
      <c r="C3067" s="7" t="s">
        <v>17612</v>
      </c>
      <c r="D3067" s="7" t="s">
        <v>17613</v>
      </c>
      <c r="E3067" s="12" t="str">
        <f>HYPERLINK("https://twitter.com/dogansaa/status/1181889667806957569","1181889667806957569")</f>
        <v>1181889667806957569</v>
      </c>
      <c r="F3067" s="8"/>
      <c r="G3067" s="15"/>
      <c r="H3067" s="8"/>
      <c r="I3067" s="15">
        <v>0</v>
      </c>
      <c r="J3067" s="15">
        <v>0</v>
      </c>
      <c r="K3067" s="12" t="str">
        <f>HYPERLINK("http://twitter.com/download/android","Twitter for Android")</f>
        <v>Twitter for Android</v>
      </c>
      <c r="L3067" s="16">
        <v>104</v>
      </c>
      <c r="M3067" s="16">
        <v>669</v>
      </c>
      <c r="N3067" s="16">
        <v>0</v>
      </c>
      <c r="O3067" s="17"/>
      <c r="P3067" s="18">
        <v>41755.727662037039</v>
      </c>
      <c r="Q3067" s="7"/>
      <c r="R3067" s="7"/>
      <c r="S3067" s="8"/>
      <c r="T3067" s="8"/>
      <c r="U3067" s="19" t="str">
        <f>HYPERLINK("https://pbs.twimg.com/profile_images/1161693631960555520/c-4Mcv5P.jpg","View")</f>
        <v>View</v>
      </c>
      <c r="V3067" s="8"/>
      <c r="W3067" s="8"/>
      <c r="X3067" s="8"/>
      <c r="Y3067" s="8"/>
      <c r="Z3067" s="8"/>
    </row>
    <row r="3068" spans="1:26" ht="12.75">
      <c r="A3068" s="11">
        <v>43747.173935185187</v>
      </c>
      <c r="B3068" s="12" t="str">
        <f>HYPERLINK("https://twitter.com/hasim_cango","@hasim_cango")</f>
        <v>@hasim_cango</v>
      </c>
      <c r="C3068" s="7" t="s">
        <v>17614</v>
      </c>
      <c r="D3068" s="7" t="s">
        <v>17615</v>
      </c>
      <c r="E3068" s="12" t="str">
        <f>HYPERLINK("https://twitter.com/hasim_cango/status/1181889659833651200","1181889659833651200")</f>
        <v>1181889659833651200</v>
      </c>
      <c r="F3068" s="8"/>
      <c r="G3068" s="15"/>
      <c r="H3068" s="8"/>
      <c r="I3068" s="15">
        <v>0</v>
      </c>
      <c r="J3068" s="15">
        <v>0</v>
      </c>
      <c r="K3068" s="12" t="str">
        <f>HYPERLINK("https://mobile.twitter.com","Twitter Web App")</f>
        <v>Twitter Web App</v>
      </c>
      <c r="L3068" s="16">
        <v>74</v>
      </c>
      <c r="M3068" s="16">
        <v>321</v>
      </c>
      <c r="N3068" s="16">
        <v>0</v>
      </c>
      <c r="O3068" s="17"/>
      <c r="P3068" s="18">
        <v>43516.061076388884</v>
      </c>
      <c r="Q3068" s="7" t="s">
        <v>17616</v>
      </c>
      <c r="R3068" s="7" t="s">
        <v>17617</v>
      </c>
      <c r="S3068" s="8"/>
      <c r="T3068" s="8"/>
      <c r="U3068" s="19" t="str">
        <f>HYPERLINK("https://pbs.twimg.com/profile_images/1099305279815106560/12m58jX5.jpg","View")</f>
        <v>View</v>
      </c>
      <c r="V3068" s="8"/>
      <c r="W3068" s="8"/>
      <c r="X3068" s="8"/>
      <c r="Y3068" s="8"/>
      <c r="Z3068" s="8"/>
    </row>
    <row r="3069" spans="1:26" ht="12.75">
      <c r="A3069" s="11">
        <v>43747.17387731481</v>
      </c>
      <c r="B3069" s="12" t="str">
        <f>HYPERLINK("https://twitter.com/UgurGoldagi","@UgurGoldagi")</f>
        <v>@UgurGoldagi</v>
      </c>
      <c r="C3069" s="7" t="s">
        <v>17618</v>
      </c>
      <c r="D3069" s="7" t="s">
        <v>17619</v>
      </c>
      <c r="E3069" s="12" t="str">
        <f>HYPERLINK("https://twitter.com/UgurGoldagi/status/1181889638971166721","1181889638971166721")</f>
        <v>1181889638971166721</v>
      </c>
      <c r="F3069" s="15"/>
      <c r="G3069" s="15"/>
      <c r="H3069" s="8"/>
      <c r="I3069" s="15">
        <v>0</v>
      </c>
      <c r="J3069" s="15">
        <v>1</v>
      </c>
      <c r="K3069" s="12" t="str">
        <f>HYPERLINK("http://twitter.com/download/iphone","Twitter for iPhone")</f>
        <v>Twitter for iPhone</v>
      </c>
      <c r="L3069" s="16">
        <v>496</v>
      </c>
      <c r="M3069" s="16">
        <v>312</v>
      </c>
      <c r="N3069" s="16">
        <v>1</v>
      </c>
      <c r="O3069" s="17"/>
      <c r="P3069" s="18">
        <v>40733.094756944447</v>
      </c>
      <c r="Q3069" s="7" t="s">
        <v>17620</v>
      </c>
      <c r="R3069" s="7"/>
      <c r="S3069" s="14" t="s">
        <v>17621</v>
      </c>
      <c r="T3069" s="8"/>
      <c r="U3069" s="19" t="str">
        <f>HYPERLINK("https://pbs.twimg.com/profile_images/1040545959804067840/Cyq221wy.jpg","View")</f>
        <v>View</v>
      </c>
      <c r="V3069" s="8"/>
      <c r="W3069" s="8"/>
      <c r="X3069" s="8"/>
      <c r="Y3069" s="8"/>
      <c r="Z3069" s="8"/>
    </row>
    <row r="3070" spans="1:26" ht="12.75">
      <c r="A3070" s="11">
        <v>43747.173831018517</v>
      </c>
      <c r="B3070" s="12" t="str">
        <f>HYPERLINK("https://twitter.com/HilafetGeliyor","@HilafetGeliyor")</f>
        <v>@HilafetGeliyor</v>
      </c>
      <c r="C3070" s="7" t="s">
        <v>17622</v>
      </c>
      <c r="D3070" s="7" t="s">
        <v>17623</v>
      </c>
      <c r="E3070" s="12" t="str">
        <f>HYPERLINK("https://twitter.com/HilafetGeliyor/status/1181889626170183681","1181889626170183681")</f>
        <v>1181889626170183681</v>
      </c>
      <c r="F3070" s="15"/>
      <c r="G3070" s="14" t="s">
        <v>17624</v>
      </c>
      <c r="H3070" s="8"/>
      <c r="I3070" s="15">
        <v>0</v>
      </c>
      <c r="J3070" s="15">
        <v>1</v>
      </c>
      <c r="K3070" s="12" t="str">
        <f>HYPERLINK("https://mobile.twitter.com","Twitter Web App")</f>
        <v>Twitter Web App</v>
      </c>
      <c r="L3070" s="16">
        <v>114</v>
      </c>
      <c r="M3070" s="16">
        <v>24</v>
      </c>
      <c r="N3070" s="16">
        <v>0</v>
      </c>
      <c r="O3070" s="17"/>
      <c r="P3070" s="18">
        <v>42824.082488425927</v>
      </c>
      <c r="Q3070" s="7" t="s">
        <v>17625</v>
      </c>
      <c r="R3070" s="7" t="s">
        <v>17626</v>
      </c>
      <c r="S3070" s="15"/>
      <c r="T3070" s="8"/>
      <c r="U3070" s="19" t="str">
        <f>HYPERLINK("https://pbs.twimg.com/profile_images/1091678703124471808/Hnj2vw8f.jpg","View")</f>
        <v>View</v>
      </c>
      <c r="V3070" s="8"/>
      <c r="W3070" s="8"/>
      <c r="X3070" s="8"/>
      <c r="Y3070" s="8"/>
      <c r="Z3070" s="8"/>
    </row>
    <row r="3071" spans="1:26" ht="12.75">
      <c r="A3071" s="11">
        <v>43747.173738425925</v>
      </c>
      <c r="B3071" s="12" t="str">
        <f>HYPERLINK("https://twitter.com/GeopolCy","@GeopolCy")</f>
        <v>@GeopolCy</v>
      </c>
      <c r="C3071" s="7" t="s">
        <v>17627</v>
      </c>
      <c r="D3071" s="7" t="s">
        <v>17628</v>
      </c>
      <c r="E3071" s="12" t="str">
        <f>HYPERLINK("https://twitter.com/GeopolCy/status/1181889589084131328","1181889589084131328")</f>
        <v>1181889589084131328</v>
      </c>
      <c r="F3071" s="15"/>
      <c r="G3071" s="15"/>
      <c r="H3071" s="8"/>
      <c r="I3071" s="15">
        <v>0</v>
      </c>
      <c r="J3071" s="15">
        <v>0</v>
      </c>
      <c r="K3071" s="12" t="str">
        <f>HYPERLINK("http://twitter.com/download/android","Twitter for Android")</f>
        <v>Twitter for Android</v>
      </c>
      <c r="L3071" s="16">
        <v>321</v>
      </c>
      <c r="M3071" s="16">
        <v>146</v>
      </c>
      <c r="N3071" s="16">
        <v>1</v>
      </c>
      <c r="O3071" s="17"/>
      <c r="P3071" s="18">
        <v>43497.524062500001</v>
      </c>
      <c r="Q3071" s="7" t="s">
        <v>17629</v>
      </c>
      <c r="R3071" s="7" t="s">
        <v>17630</v>
      </c>
      <c r="S3071" s="14" t="s">
        <v>17631</v>
      </c>
      <c r="T3071" s="8"/>
      <c r="U3071" s="19" t="str">
        <f>HYPERLINK("https://pbs.twimg.com/profile_images/1091667394135756802/4UM8JkiU.jpg","View")</f>
        <v>View</v>
      </c>
      <c r="V3071" s="8"/>
      <c r="W3071" s="8"/>
      <c r="X3071" s="8"/>
      <c r="Y3071" s="8"/>
      <c r="Z3071" s="8"/>
    </row>
    <row r="3072" spans="1:26" ht="12.75">
      <c r="A3072" s="11">
        <v>43747.173715277779</v>
      </c>
      <c r="B3072" s="12" t="str">
        <f>HYPERLINK("https://twitter.com/ertugrul_kose","@ertugrul_kose")</f>
        <v>@ertugrul_kose</v>
      </c>
      <c r="C3072" s="7" t="s">
        <v>17632</v>
      </c>
      <c r="D3072" s="7" t="s">
        <v>17633</v>
      </c>
      <c r="E3072" s="12" t="str">
        <f>HYPERLINK("https://twitter.com/ertugrul_kose/status/1181889584206172161","1181889584206172161")</f>
        <v>1181889584206172161</v>
      </c>
      <c r="F3072" s="8"/>
      <c r="G3072" s="14" t="s">
        <v>17634</v>
      </c>
      <c r="H3072" s="8"/>
      <c r="I3072" s="15">
        <v>0</v>
      </c>
      <c r="J3072" s="15">
        <v>3</v>
      </c>
      <c r="K3072" s="12" t="str">
        <f>HYPERLINK("http://twitter.com/download/iphone","Twitter for iPhone")</f>
        <v>Twitter for iPhone</v>
      </c>
      <c r="L3072" s="16">
        <v>1415</v>
      </c>
      <c r="M3072" s="16">
        <v>419</v>
      </c>
      <c r="N3072" s="16">
        <v>2</v>
      </c>
      <c r="O3072" s="17"/>
      <c r="P3072" s="18">
        <v>40290.247777777782</v>
      </c>
      <c r="Q3072" s="7" t="s">
        <v>1622</v>
      </c>
      <c r="R3072" s="7"/>
      <c r="S3072" s="14" t="s">
        <v>17635</v>
      </c>
      <c r="T3072" s="8"/>
      <c r="U3072" s="19" t="str">
        <f>HYPERLINK("https://pbs.twimg.com/profile_images/1179849995446620163/d1bmfaGn.jpg","View")</f>
        <v>View</v>
      </c>
      <c r="V3072" s="8"/>
      <c r="W3072" s="8"/>
      <c r="X3072" s="8"/>
      <c r="Y3072" s="8"/>
      <c r="Z3072" s="8"/>
    </row>
    <row r="3073" spans="1:26" ht="12.75">
      <c r="A3073" s="11">
        <v>43747.173715277779</v>
      </c>
      <c r="B3073" s="12" t="str">
        <f>HYPERLINK("https://twitter.com/SOSY0LOG","@SOSY0LOG")</f>
        <v>@SOSY0LOG</v>
      </c>
      <c r="C3073" s="7" t="s">
        <v>17636</v>
      </c>
      <c r="D3073" s="7" t="s">
        <v>17637</v>
      </c>
      <c r="E3073" s="12" t="str">
        <f>HYPERLINK("https://twitter.com/SOSY0LOG/status/1181889582775898112","1181889582775898112")</f>
        <v>1181889582775898112</v>
      </c>
      <c r="F3073" s="8"/>
      <c r="G3073" s="14" t="s">
        <v>17638</v>
      </c>
      <c r="H3073" s="8"/>
      <c r="I3073" s="15">
        <v>8</v>
      </c>
      <c r="J3073" s="15">
        <v>9</v>
      </c>
      <c r="K3073" s="12" t="str">
        <f>HYPERLINK("https://mobile.twitter.com","Twitter Web App")</f>
        <v>Twitter Web App</v>
      </c>
      <c r="L3073" s="16">
        <v>6832</v>
      </c>
      <c r="M3073" s="16">
        <v>112</v>
      </c>
      <c r="N3073" s="16">
        <v>3</v>
      </c>
      <c r="O3073" s="17"/>
      <c r="P3073" s="18">
        <v>40758.364490740743</v>
      </c>
      <c r="Q3073" s="7" t="s">
        <v>200</v>
      </c>
      <c r="R3073" s="7" t="s">
        <v>17639</v>
      </c>
      <c r="S3073" s="15"/>
      <c r="T3073" s="8"/>
      <c r="U3073" s="19" t="str">
        <f>HYPERLINK("https://pbs.twimg.com/profile_images/1096792160832245763/9U6Xt2gS.jpg","View")</f>
        <v>View</v>
      </c>
      <c r="V3073" s="8"/>
      <c r="W3073" s="8"/>
      <c r="X3073" s="8"/>
      <c r="Y3073" s="8"/>
      <c r="Z3073" s="8"/>
    </row>
    <row r="3074" spans="1:26" ht="12.75">
      <c r="A3074" s="11">
        <v>43747.173645833333</v>
      </c>
      <c r="B3074" s="12" t="str">
        <f>HYPERLINK("https://twitter.com/gsbiletdevir1","@gsbiletdevir1")</f>
        <v>@gsbiletdevir1</v>
      </c>
      <c r="C3074" s="7" t="s">
        <v>17640</v>
      </c>
      <c r="D3074" s="7" t="s">
        <v>14293</v>
      </c>
      <c r="E3074" s="12" t="str">
        <f>HYPERLINK("https://twitter.com/gsbiletdevir1/status/1181889557047975937","1181889557047975937")</f>
        <v>1181889557047975937</v>
      </c>
      <c r="F3074" s="8"/>
      <c r="G3074" s="7"/>
      <c r="H3074" s="8"/>
      <c r="I3074" s="15">
        <v>0</v>
      </c>
      <c r="J3074" s="15">
        <v>0</v>
      </c>
      <c r="K3074" s="12" t="str">
        <f>HYPERLINK("http://twitter.com/download/iphone","Twitter for iPhone")</f>
        <v>Twitter for iPhone</v>
      </c>
      <c r="L3074" s="16">
        <v>0</v>
      </c>
      <c r="M3074" s="16">
        <v>1</v>
      </c>
      <c r="N3074" s="16">
        <v>0</v>
      </c>
      <c r="O3074" s="17"/>
      <c r="P3074" s="18">
        <v>43702.152974537035</v>
      </c>
      <c r="Q3074" s="7"/>
      <c r="R3074" s="7"/>
      <c r="S3074" s="8"/>
      <c r="T3074" s="8"/>
      <c r="U3074" s="20" t="s">
        <v>354</v>
      </c>
      <c r="V3074" s="8"/>
      <c r="W3074" s="8"/>
      <c r="X3074" s="8"/>
      <c r="Y3074" s="8"/>
      <c r="Z3074" s="8"/>
    </row>
    <row r="3075" spans="1:26" ht="12.75">
      <c r="A3075" s="11">
        <v>43747.173634259263</v>
      </c>
      <c r="B3075" s="12" t="str">
        <f>HYPERLINK("https://twitter.com/UcokGurur1071","@UcokGurur1071")</f>
        <v>@UcokGurur1071</v>
      </c>
      <c r="C3075" s="7" t="s">
        <v>17641</v>
      </c>
      <c r="D3075" s="7" t="s">
        <v>17642</v>
      </c>
      <c r="E3075" s="12" t="str">
        <f>HYPERLINK("https://twitter.com/UcokGurur1071/status/1181889554288185344","1181889554288185344")</f>
        <v>1181889554288185344</v>
      </c>
      <c r="F3075" s="8"/>
      <c r="G3075" s="7"/>
      <c r="H3075" s="8"/>
      <c r="I3075" s="15">
        <v>0</v>
      </c>
      <c r="J3075" s="15">
        <v>0</v>
      </c>
      <c r="K3075" s="12" t="str">
        <f>HYPERLINK("http://twitter.com/download/iphone","Twitter for iPhone")</f>
        <v>Twitter for iPhone</v>
      </c>
      <c r="L3075" s="16">
        <v>2747</v>
      </c>
      <c r="M3075" s="16">
        <v>2703</v>
      </c>
      <c r="N3075" s="16">
        <v>0</v>
      </c>
      <c r="O3075" s="17"/>
      <c r="P3075" s="18">
        <v>43003.040185185186</v>
      </c>
      <c r="Q3075" s="7" t="s">
        <v>313</v>
      </c>
      <c r="R3075" s="7" t="s">
        <v>17643</v>
      </c>
      <c r="S3075" s="8"/>
      <c r="T3075" s="8"/>
      <c r="U3075" s="19" t="str">
        <f>HYPERLINK("https://pbs.twimg.com/profile_images/1181858327279656960/fj3BH-O1.jpg","View")</f>
        <v>View</v>
      </c>
      <c r="V3075" s="8"/>
      <c r="W3075" s="8"/>
      <c r="X3075" s="8"/>
      <c r="Y3075" s="8"/>
      <c r="Z3075" s="8"/>
    </row>
    <row r="3076" spans="1:26" ht="12.75">
      <c r="A3076" s="11">
        <v>43747.173587962963</v>
      </c>
      <c r="B3076" s="12" t="str">
        <f>HYPERLINK("https://twitter.com/KilicYavuz","@KilicYavuz")</f>
        <v>@KilicYavuz</v>
      </c>
      <c r="C3076" s="7" t="s">
        <v>17644</v>
      </c>
      <c r="D3076" s="7" t="s">
        <v>17645</v>
      </c>
      <c r="E3076" s="12" t="str">
        <f>HYPERLINK("https://twitter.com/KilicYavuz/status/1181889534029651971","1181889534029651971")</f>
        <v>1181889534029651971</v>
      </c>
      <c r="F3076" s="8"/>
      <c r="G3076" s="14" t="s">
        <v>17646</v>
      </c>
      <c r="H3076" s="8"/>
      <c r="I3076" s="15">
        <v>0</v>
      </c>
      <c r="J3076" s="15">
        <v>1</v>
      </c>
      <c r="K3076" s="12" t="str">
        <f>HYPERLINK("http://twitter.com/download/android","Twitter for Android")</f>
        <v>Twitter for Android</v>
      </c>
      <c r="L3076" s="16">
        <v>347</v>
      </c>
      <c r="M3076" s="16">
        <v>398</v>
      </c>
      <c r="N3076" s="16">
        <v>2</v>
      </c>
      <c r="O3076" s="17"/>
      <c r="P3076" s="18">
        <v>40839.422129629631</v>
      </c>
      <c r="Q3076" s="7"/>
      <c r="R3076" s="7" t="s">
        <v>17647</v>
      </c>
      <c r="S3076" s="8"/>
      <c r="T3076" s="8"/>
      <c r="U3076" s="19" t="str">
        <f>HYPERLINK("https://pbs.twimg.com/profile_images/1087221505400950784/XsekQLu4.jpg","View")</f>
        <v>View</v>
      </c>
      <c r="V3076" s="8"/>
      <c r="W3076" s="8"/>
      <c r="X3076" s="8"/>
      <c r="Y3076" s="8"/>
      <c r="Z3076" s="8"/>
    </row>
    <row r="3077" spans="1:26" ht="12.75">
      <c r="A3077" s="11">
        <v>43747.173541666663</v>
      </c>
      <c r="B3077" s="12" t="str">
        <f>HYPERLINK("https://twitter.com/gddrk","@gddrk")</f>
        <v>@gddrk</v>
      </c>
      <c r="C3077" s="7" t="s">
        <v>17648</v>
      </c>
      <c r="D3077" s="7" t="s">
        <v>17649</v>
      </c>
      <c r="E3077" s="12" t="str">
        <f>HYPERLINK("https://twitter.com/gddrk/status/1181889517667655682","1181889517667655682")</f>
        <v>1181889517667655682</v>
      </c>
      <c r="F3077" s="8" t="s">
        <v>17650</v>
      </c>
      <c r="G3077" s="14" t="s">
        <v>17651</v>
      </c>
      <c r="H3077" s="8"/>
      <c r="I3077" s="15">
        <v>0</v>
      </c>
      <c r="J3077" s="15">
        <v>1</v>
      </c>
      <c r="K3077" s="12" t="str">
        <f>HYPERLINK("https://mobile.twitter.com","Twitter Web App")</f>
        <v>Twitter Web App</v>
      </c>
      <c r="L3077" s="16">
        <v>286</v>
      </c>
      <c r="M3077" s="16">
        <v>209</v>
      </c>
      <c r="N3077" s="16">
        <v>3</v>
      </c>
      <c r="O3077" s="17"/>
      <c r="P3077" s="18">
        <v>40679.083171296297</v>
      </c>
      <c r="Q3077" s="7"/>
      <c r="R3077" s="7" t="s">
        <v>17652</v>
      </c>
      <c r="S3077" s="15"/>
      <c r="T3077" s="8"/>
      <c r="U3077" s="19" t="str">
        <f>HYPERLINK("https://pbs.twimg.com/profile_images/889056204466655232/A2kU41AZ.jpg","View")</f>
        <v>View</v>
      </c>
      <c r="V3077" s="8"/>
      <c r="W3077" s="8"/>
      <c r="X3077" s="8"/>
      <c r="Y3077" s="8"/>
      <c r="Z3077" s="8"/>
    </row>
    <row r="3078" spans="1:26" ht="12.75">
      <c r="A3078" s="11">
        <v>43747.17350694444</v>
      </c>
      <c r="B3078" s="12" t="str">
        <f>HYPERLINK("https://twitter.com/bahaulu","@bahaulu")</f>
        <v>@bahaulu</v>
      </c>
      <c r="C3078" s="7" t="s">
        <v>17653</v>
      </c>
      <c r="D3078" s="7" t="s">
        <v>17654</v>
      </c>
      <c r="E3078" s="12" t="str">
        <f>HYPERLINK("https://twitter.com/bahaulu/status/1181889507446153216","1181889507446153216")</f>
        <v>1181889507446153216</v>
      </c>
      <c r="F3078" s="8"/>
      <c r="G3078" s="14" t="s">
        <v>17655</v>
      </c>
      <c r="H3078" s="8"/>
      <c r="I3078" s="15">
        <v>0</v>
      </c>
      <c r="J3078" s="15">
        <v>0</v>
      </c>
      <c r="K3078" s="12" t="str">
        <f>HYPERLINK("http://twitter.com/download/android","Twitter for Android")</f>
        <v>Twitter for Android</v>
      </c>
      <c r="L3078" s="16">
        <v>774</v>
      </c>
      <c r="M3078" s="16">
        <v>163</v>
      </c>
      <c r="N3078" s="16">
        <v>4</v>
      </c>
      <c r="O3078" s="17"/>
      <c r="P3078" s="18">
        <v>40154.311840277776</v>
      </c>
      <c r="Q3078" s="7"/>
      <c r="R3078" s="7" t="s">
        <v>17656</v>
      </c>
      <c r="S3078" s="8"/>
      <c r="T3078" s="8"/>
      <c r="U3078" s="19" t="str">
        <f>HYPERLINK("https://pbs.twimg.com/profile_images/1074250277816070145/G1qK4PSG.jpg","View")</f>
        <v>View</v>
      </c>
      <c r="V3078" s="8"/>
      <c r="W3078" s="8"/>
      <c r="X3078" s="8"/>
      <c r="Y3078" s="8"/>
      <c r="Z3078" s="8"/>
    </row>
    <row r="3079" spans="1:26" ht="12.75">
      <c r="A3079" s="11">
        <v>43747.173391203702</v>
      </c>
      <c r="B3079" s="12" t="str">
        <f>HYPERLINK("https://twitter.com/Abdulla53744888","@Abdulla53744888")</f>
        <v>@Abdulla53744888</v>
      </c>
      <c r="C3079" s="7" t="s">
        <v>6869</v>
      </c>
      <c r="D3079" s="7" t="s">
        <v>160</v>
      </c>
      <c r="E3079" s="12" t="str">
        <f>HYPERLINK("https://twitter.com/Abdulla53744888/status/1181889463116537856","1181889463116537856")</f>
        <v>1181889463116537856</v>
      </c>
      <c r="F3079" s="8"/>
      <c r="G3079" s="15"/>
      <c r="H3079" s="8"/>
      <c r="I3079" s="15">
        <v>0</v>
      </c>
      <c r="J3079" s="15">
        <v>0</v>
      </c>
      <c r="K3079" s="12" t="str">
        <f>HYPERLINK("http://twitter.com/download/android","Twitter for Android")</f>
        <v>Twitter for Android</v>
      </c>
      <c r="L3079" s="16">
        <v>1</v>
      </c>
      <c r="M3079" s="16">
        <v>12</v>
      </c>
      <c r="N3079" s="16">
        <v>0</v>
      </c>
      <c r="O3079" s="17"/>
      <c r="P3079" s="18">
        <v>42771.539976851855</v>
      </c>
      <c r="Q3079" s="7" t="s">
        <v>14529</v>
      </c>
      <c r="R3079" s="7" t="s">
        <v>17657</v>
      </c>
      <c r="S3079" s="8"/>
      <c r="T3079" s="8"/>
      <c r="U3079" s="19" t="str">
        <f>HYPERLINK("https://pbs.twimg.com/profile_images/1128365738732019712/ITkmjcKx.jpg","View")</f>
        <v>View</v>
      </c>
      <c r="V3079" s="8"/>
      <c r="W3079" s="8"/>
      <c r="X3079" s="8"/>
      <c r="Y3079" s="8"/>
      <c r="Z3079" s="8"/>
    </row>
    <row r="3080" spans="1:26" ht="12.75">
      <c r="A3080" s="11">
        <v>43747.173217592594</v>
      </c>
      <c r="B3080" s="12" t="str">
        <f>HYPERLINK("https://twitter.com/alpariman","@alpariman")</f>
        <v>@alpariman</v>
      </c>
      <c r="C3080" s="7" t="s">
        <v>17658</v>
      </c>
      <c r="D3080" s="7" t="s">
        <v>17659</v>
      </c>
      <c r="E3080" s="12" t="str">
        <f>HYPERLINK("https://twitter.com/alpariman/status/1181889401015717894","1181889401015717894")</f>
        <v>1181889401015717894</v>
      </c>
      <c r="F3080" s="8"/>
      <c r="G3080" s="14" t="s">
        <v>17660</v>
      </c>
      <c r="H3080" s="8"/>
      <c r="I3080" s="15">
        <v>0</v>
      </c>
      <c r="J3080" s="15">
        <v>0</v>
      </c>
      <c r="K3080" s="12" t="str">
        <f>HYPERLINK("https://mobile.twitter.com","Twitter Web App")</f>
        <v>Twitter Web App</v>
      </c>
      <c r="L3080" s="16">
        <v>46</v>
      </c>
      <c r="M3080" s="16">
        <v>44</v>
      </c>
      <c r="N3080" s="16">
        <v>1</v>
      </c>
      <c r="O3080" s="17"/>
      <c r="P3080" s="18">
        <v>42553.162569444445</v>
      </c>
      <c r="Q3080" s="7" t="s">
        <v>313</v>
      </c>
      <c r="R3080" s="7" t="s">
        <v>17661</v>
      </c>
      <c r="S3080" s="15"/>
      <c r="T3080" s="8"/>
      <c r="U3080" s="19" t="str">
        <f>HYPERLINK("https://pbs.twimg.com/profile_images/1123575466584047621/vXPwabjW.jpg","View")</f>
        <v>View</v>
      </c>
      <c r="V3080" s="8"/>
      <c r="W3080" s="8"/>
      <c r="X3080" s="8"/>
      <c r="Y3080" s="8"/>
      <c r="Z3080" s="8"/>
    </row>
    <row r="3081" spans="1:26" ht="12.75">
      <c r="A3081" s="11">
        <v>43747.173194444447</v>
      </c>
      <c r="B3081" s="12" t="str">
        <f>HYPERLINK("https://twitter.com/Scayan1","@Scayan1")</f>
        <v>@Scayan1</v>
      </c>
      <c r="C3081" s="7" t="s">
        <v>17662</v>
      </c>
      <c r="D3081" s="7" t="s">
        <v>17663</v>
      </c>
      <c r="E3081" s="12" t="str">
        <f>HYPERLINK("https://twitter.com/Scayan1/status/1181889392962625536","1181889392962625536")</f>
        <v>1181889392962625536</v>
      </c>
      <c r="F3081" s="15"/>
      <c r="G3081" s="14" t="s">
        <v>17664</v>
      </c>
      <c r="H3081" s="8"/>
      <c r="I3081" s="15">
        <v>0</v>
      </c>
      <c r="J3081" s="15">
        <v>1</v>
      </c>
      <c r="K3081" s="12" t="str">
        <f>HYPERLINK("http://twitter.com/download/iphone","Twitter for iPhone")</f>
        <v>Twitter for iPhone</v>
      </c>
      <c r="L3081" s="16">
        <v>45</v>
      </c>
      <c r="M3081" s="16">
        <v>53</v>
      </c>
      <c r="N3081" s="16">
        <v>0</v>
      </c>
      <c r="O3081" s="17"/>
      <c r="P3081" s="18">
        <v>43189.506249999999</v>
      </c>
      <c r="Q3081" s="7" t="s">
        <v>12759</v>
      </c>
      <c r="R3081" s="7" t="s">
        <v>17665</v>
      </c>
      <c r="S3081" s="15"/>
      <c r="T3081" s="8"/>
      <c r="U3081" s="19" t="str">
        <f>HYPERLINK("https://pbs.twimg.com/profile_images/1181861361191702530/J8w2mNmA.jpg","View")</f>
        <v>View</v>
      </c>
      <c r="V3081" s="8"/>
      <c r="W3081" s="8"/>
      <c r="X3081" s="8"/>
      <c r="Y3081" s="8"/>
      <c r="Z3081" s="8"/>
    </row>
    <row r="3082" spans="1:26" ht="12.75">
      <c r="A3082" s="11">
        <v>43747.173159722224</v>
      </c>
      <c r="B3082" s="12" t="str">
        <f>HYPERLINK("https://twitter.com/FlageIIumDei","@FlageIIumDei")</f>
        <v>@FlageIIumDei</v>
      </c>
      <c r="C3082" s="7" t="s">
        <v>17666</v>
      </c>
      <c r="D3082" s="7" t="s">
        <v>17667</v>
      </c>
      <c r="E3082" s="12" t="str">
        <f>HYPERLINK("https://twitter.com/FlageIIumDei/status/1181889381713481728","1181889381713481728")</f>
        <v>1181889381713481728</v>
      </c>
      <c r="F3082" s="8"/>
      <c r="G3082" s="14" t="s">
        <v>17668</v>
      </c>
      <c r="H3082" s="8"/>
      <c r="I3082" s="15">
        <v>0</v>
      </c>
      <c r="J3082" s="15">
        <v>0</v>
      </c>
      <c r="K3082" s="12" t="str">
        <f>HYPERLINK("https://mobile.twitter.com","Twitter Web App")</f>
        <v>Twitter Web App</v>
      </c>
      <c r="L3082" s="16">
        <v>30</v>
      </c>
      <c r="M3082" s="16">
        <v>164</v>
      </c>
      <c r="N3082" s="16">
        <v>0</v>
      </c>
      <c r="O3082" s="17"/>
      <c r="P3082" s="18">
        <v>42953.153414351851</v>
      </c>
      <c r="Q3082" s="7" t="s">
        <v>12952</v>
      </c>
      <c r="R3082" s="7" t="s">
        <v>17669</v>
      </c>
      <c r="S3082" s="8"/>
      <c r="T3082" s="8"/>
      <c r="U3082" s="19" t="str">
        <f>HYPERLINK("https://pbs.twimg.com/profile_images/1141404965417705472/DLHv7jb5.jpg","View")</f>
        <v>View</v>
      </c>
      <c r="V3082" s="8"/>
      <c r="W3082" s="8"/>
      <c r="X3082" s="8"/>
      <c r="Y3082" s="8"/>
      <c r="Z3082" s="8"/>
    </row>
    <row r="3083" spans="1:26" ht="12.75">
      <c r="A3083" s="11">
        <v>43747.173136574071</v>
      </c>
      <c r="B3083" s="12" t="str">
        <f>HYPERLINK("https://twitter.com/_karizma03","@_karizma03")</f>
        <v>@_karizma03</v>
      </c>
      <c r="C3083" s="7" t="s">
        <v>17670</v>
      </c>
      <c r="D3083" s="7" t="s">
        <v>17671</v>
      </c>
      <c r="E3083" s="12" t="str">
        <f>HYPERLINK("https://twitter.com/_karizma03/status/1181889373165498368","1181889373165498368")</f>
        <v>1181889373165498368</v>
      </c>
      <c r="F3083" s="8"/>
      <c r="G3083" s="14" t="s">
        <v>17672</v>
      </c>
      <c r="H3083" s="8"/>
      <c r="I3083" s="15">
        <v>0</v>
      </c>
      <c r="J3083" s="15">
        <v>0</v>
      </c>
      <c r="K3083" s="12" t="str">
        <f>HYPERLINK("http://twitter.com/download/iphone","Twitter for iPhone")</f>
        <v>Twitter for iPhone</v>
      </c>
      <c r="L3083" s="16">
        <v>100</v>
      </c>
      <c r="M3083" s="16">
        <v>293</v>
      </c>
      <c r="N3083" s="16">
        <v>0</v>
      </c>
      <c r="O3083" s="17"/>
      <c r="P3083" s="18">
        <v>40591.534305555557</v>
      </c>
      <c r="Q3083" s="7"/>
      <c r="R3083" s="7" t="s">
        <v>17673</v>
      </c>
      <c r="S3083" s="8"/>
      <c r="T3083" s="8"/>
      <c r="U3083" s="19" t="str">
        <f>HYPERLINK("https://pbs.twimg.com/profile_images/1000895052883865600/O_hqujRE.jpg","View")</f>
        <v>View</v>
      </c>
      <c r="V3083" s="8"/>
      <c r="W3083" s="8"/>
      <c r="X3083" s="8"/>
      <c r="Y3083" s="8"/>
      <c r="Z3083" s="8"/>
    </row>
    <row r="3084" spans="1:26" ht="12.75">
      <c r="A3084" s="11">
        <v>43747.173078703709</v>
      </c>
      <c r="B3084" s="12" t="str">
        <f>HYPERLINK("https://twitter.com/LimonSuyu16","@LimonSuyu16")</f>
        <v>@LimonSuyu16</v>
      </c>
      <c r="C3084" s="7" t="s">
        <v>17675</v>
      </c>
      <c r="D3084" s="7" t="s">
        <v>17676</v>
      </c>
      <c r="E3084" s="12" t="str">
        <f>HYPERLINK("https://twitter.com/LimonSuyu16/status/1181889350201683968","1181889350201683968")</f>
        <v>1181889350201683968</v>
      </c>
      <c r="F3084" s="8"/>
      <c r="G3084" s="7"/>
      <c r="H3084" s="8"/>
      <c r="I3084" s="15">
        <v>0</v>
      </c>
      <c r="J3084" s="15">
        <v>0</v>
      </c>
      <c r="K3084" s="12" t="str">
        <f>HYPERLINK("http://twitter.com/download/android","Twitter for Android")</f>
        <v>Twitter for Android</v>
      </c>
      <c r="L3084" s="16">
        <v>133</v>
      </c>
      <c r="M3084" s="16">
        <v>298</v>
      </c>
      <c r="N3084" s="16">
        <v>0</v>
      </c>
      <c r="O3084" s="17"/>
      <c r="P3084" s="18">
        <v>43685.076793981483</v>
      </c>
      <c r="Q3084" s="7"/>
      <c r="R3084" s="7" t="s">
        <v>17677</v>
      </c>
      <c r="S3084" s="8"/>
      <c r="T3084" s="8"/>
      <c r="U3084" s="19" t="str">
        <f>HYPERLINK("https://pbs.twimg.com/profile_images/1181343968501649408/59RNq6gU.jpg","View")</f>
        <v>View</v>
      </c>
      <c r="V3084" s="8"/>
      <c r="W3084" s="8"/>
      <c r="X3084" s="8"/>
      <c r="Y3084" s="8"/>
      <c r="Z3084" s="8"/>
    </row>
    <row r="3085" spans="1:26" ht="12.75">
      <c r="A3085" s="11">
        <v>43747.173067129625</v>
      </c>
      <c r="B3085" s="12" t="str">
        <f>HYPERLINK("https://twitter.com/GirayhanKevser1","@GirayhanKevser1")</f>
        <v>@GirayhanKevser1</v>
      </c>
      <c r="C3085" s="7" t="s">
        <v>17678</v>
      </c>
      <c r="D3085" s="7" t="s">
        <v>17679</v>
      </c>
      <c r="E3085" s="12" t="str">
        <f>HYPERLINK("https://twitter.com/GirayhanKevser1/status/1181889346254843905","1181889346254843905")</f>
        <v>1181889346254843905</v>
      </c>
      <c r="F3085" s="8"/>
      <c r="G3085" s="14" t="s">
        <v>17680</v>
      </c>
      <c r="H3085" s="8"/>
      <c r="I3085" s="15">
        <v>0</v>
      </c>
      <c r="J3085" s="15">
        <v>0</v>
      </c>
      <c r="K3085" s="12" t="str">
        <f>HYPERLINK("http://twitter.com","Twitter Web Client")</f>
        <v>Twitter Web Client</v>
      </c>
      <c r="L3085" s="16">
        <v>17</v>
      </c>
      <c r="M3085" s="16">
        <v>0</v>
      </c>
      <c r="N3085" s="16">
        <v>0</v>
      </c>
      <c r="O3085" s="17"/>
      <c r="P3085" s="18">
        <v>43639.628969907411</v>
      </c>
      <c r="Q3085" s="7" t="s">
        <v>1066</v>
      </c>
      <c r="R3085" s="7" t="s">
        <v>17681</v>
      </c>
      <c r="S3085" s="8"/>
      <c r="T3085" s="8"/>
      <c r="U3085" s="19" t="str">
        <f>HYPERLINK("https://pbs.twimg.com/profile_images/1143819790462652416/3wz7Ku96.jpg","View")</f>
        <v>View</v>
      </c>
      <c r="V3085" s="8"/>
      <c r="W3085" s="8"/>
      <c r="X3085" s="8"/>
      <c r="Y3085" s="8"/>
      <c r="Z3085" s="8"/>
    </row>
    <row r="3086" spans="1:26" ht="12.75">
      <c r="A3086" s="11">
        <v>43747.173055555555</v>
      </c>
      <c r="B3086" s="12" t="str">
        <f>HYPERLINK("https://twitter.com/Ssugur97","@Ssugur97")</f>
        <v>@Ssugur97</v>
      </c>
      <c r="C3086" s="7" t="s">
        <v>17682</v>
      </c>
      <c r="D3086" s="7" t="s">
        <v>17683</v>
      </c>
      <c r="E3086" s="12" t="str">
        <f>HYPERLINK("https://twitter.com/Ssugur97/status/1181889343646044161","1181889343646044161")</f>
        <v>1181889343646044161</v>
      </c>
      <c r="F3086" s="8"/>
      <c r="G3086" s="15"/>
      <c r="H3086" s="8"/>
      <c r="I3086" s="15">
        <v>0</v>
      </c>
      <c r="J3086" s="15">
        <v>0</v>
      </c>
      <c r="K3086" s="12" t="str">
        <f>HYPERLINK("http://twitter.com/download/android","Twitter for Android")</f>
        <v>Twitter for Android</v>
      </c>
      <c r="L3086" s="16">
        <v>50</v>
      </c>
      <c r="M3086" s="16">
        <v>61</v>
      </c>
      <c r="N3086" s="16">
        <v>0</v>
      </c>
      <c r="O3086" s="17"/>
      <c r="P3086" s="18">
        <v>43041.385092592594</v>
      </c>
      <c r="Q3086" s="7" t="s">
        <v>17684</v>
      </c>
      <c r="R3086" s="15"/>
      <c r="S3086" s="8"/>
      <c r="T3086" s="8"/>
      <c r="U3086" s="19" t="str">
        <f>HYPERLINK("https://pbs.twimg.com/profile_images/1027682652877402115/PcVP2s7Z.jpg","View")</f>
        <v>View</v>
      </c>
      <c r="V3086" s="8"/>
      <c r="W3086" s="8"/>
      <c r="X3086" s="8"/>
      <c r="Y3086" s="8"/>
      <c r="Z3086" s="8"/>
    </row>
    <row r="3087" spans="1:26" ht="12.75">
      <c r="A3087" s="11">
        <v>43747.173032407409</v>
      </c>
      <c r="B3087" s="12" t="str">
        <f>HYPERLINK("https://twitter.com/faksoyy","@faksoyy")</f>
        <v>@faksoyy</v>
      </c>
      <c r="C3087" s="7" t="s">
        <v>16315</v>
      </c>
      <c r="D3087" s="7" t="s">
        <v>160</v>
      </c>
      <c r="E3087" s="12" t="str">
        <f>HYPERLINK("https://twitter.com/faksoyy/status/1181889335798435841","1181889335798435841")</f>
        <v>1181889335798435841</v>
      </c>
      <c r="F3087" s="15"/>
      <c r="G3087" s="15"/>
      <c r="H3087" s="8"/>
      <c r="I3087" s="15">
        <v>0</v>
      </c>
      <c r="J3087" s="15">
        <v>2</v>
      </c>
      <c r="K3087" s="12" t="str">
        <f>HYPERLINK("http://twitter.com/download/iphone","Twitter for iPhone")</f>
        <v>Twitter for iPhone</v>
      </c>
      <c r="L3087" s="16">
        <v>367</v>
      </c>
      <c r="M3087" s="16">
        <v>169</v>
      </c>
      <c r="N3087" s="16">
        <v>2</v>
      </c>
      <c r="O3087" s="17"/>
      <c r="P3087" s="18">
        <v>41075.182557870372</v>
      </c>
      <c r="Q3087" s="7" t="s">
        <v>6218</v>
      </c>
      <c r="R3087" s="7"/>
      <c r="S3087" s="14" t="s">
        <v>17685</v>
      </c>
      <c r="T3087" s="8"/>
      <c r="U3087" s="19" t="str">
        <f>HYPERLINK("https://pbs.twimg.com/profile_images/1181277317387169792/xcUkKSfu.jpg","View")</f>
        <v>View</v>
      </c>
      <c r="V3087" s="8"/>
      <c r="W3087" s="8"/>
      <c r="X3087" s="8"/>
      <c r="Y3087" s="8"/>
      <c r="Z3087" s="8"/>
    </row>
    <row r="3088" spans="1:26" ht="12.75">
      <c r="A3088" s="11">
        <v>43747.173020833332</v>
      </c>
      <c r="B3088" s="12" t="str">
        <f>HYPERLINK("https://twitter.com/Yusuf06662435","@Yusuf06662435")</f>
        <v>@Yusuf06662435</v>
      </c>
      <c r="C3088" s="7" t="s">
        <v>17686</v>
      </c>
      <c r="D3088" s="7" t="s">
        <v>17687</v>
      </c>
      <c r="E3088" s="12" t="str">
        <f>HYPERLINK("https://twitter.com/Yusuf06662435/status/1181889328882049024","1181889328882049024")</f>
        <v>1181889328882049024</v>
      </c>
      <c r="F3088" s="8"/>
      <c r="G3088" s="14" t="s">
        <v>17688</v>
      </c>
      <c r="H3088" s="8"/>
      <c r="I3088" s="15">
        <v>0</v>
      </c>
      <c r="J3088" s="15">
        <v>1</v>
      </c>
      <c r="K3088" s="12" t="str">
        <f>HYPERLINK("http://twitter.com/download/android","Twitter for Android")</f>
        <v>Twitter for Android</v>
      </c>
      <c r="L3088" s="16">
        <v>110</v>
      </c>
      <c r="M3088" s="16">
        <v>281</v>
      </c>
      <c r="N3088" s="16">
        <v>0</v>
      </c>
      <c r="O3088" s="17"/>
      <c r="P3088" s="18">
        <v>43688.657789351855</v>
      </c>
      <c r="Q3088" s="7" t="s">
        <v>1567</v>
      </c>
      <c r="R3088" s="7" t="s">
        <v>17689</v>
      </c>
      <c r="S3088" s="8"/>
      <c r="T3088" s="8"/>
      <c r="U3088" s="19" t="str">
        <f>HYPERLINK("https://pbs.twimg.com/profile_images/1161415852513812480/52IItPpH.jpg","View")</f>
        <v>View</v>
      </c>
      <c r="V3088" s="8"/>
      <c r="W3088" s="8"/>
      <c r="X3088" s="8"/>
      <c r="Y3088" s="8"/>
      <c r="Z3088" s="8"/>
    </row>
    <row r="3089" spans="1:26" ht="12.75">
      <c r="A3089" s="11">
        <v>43747.173020833332</v>
      </c>
      <c r="B3089" s="12" t="str">
        <f>HYPERLINK("https://twitter.com/dusunduren_deli","@dusunduren_deli")</f>
        <v>@dusunduren_deli</v>
      </c>
      <c r="C3089" s="7" t="s">
        <v>17690</v>
      </c>
      <c r="D3089" s="7" t="s">
        <v>17691</v>
      </c>
      <c r="E3089" s="12" t="str">
        <f>HYPERLINK("https://twitter.com/dusunduren_deli/status/1181889328710144000","1181889328710144000")</f>
        <v>1181889328710144000</v>
      </c>
      <c r="F3089" s="8"/>
      <c r="G3089" s="15"/>
      <c r="H3089" s="8"/>
      <c r="I3089" s="15">
        <v>8</v>
      </c>
      <c r="J3089" s="15">
        <v>100</v>
      </c>
      <c r="K3089" s="12" t="str">
        <f>HYPERLINK("http://twitter.com/download/android","Twitter for Android")</f>
        <v>Twitter for Android</v>
      </c>
      <c r="L3089" s="16">
        <v>386363</v>
      </c>
      <c r="M3089" s="16">
        <v>91522</v>
      </c>
      <c r="N3089" s="16">
        <v>431</v>
      </c>
      <c r="O3089" s="17"/>
      <c r="P3089" s="18">
        <v>42020.174131944441</v>
      </c>
      <c r="Q3089" s="7" t="s">
        <v>200</v>
      </c>
      <c r="R3089" s="7" t="s">
        <v>17692</v>
      </c>
      <c r="S3089" s="14" t="s">
        <v>17693</v>
      </c>
      <c r="T3089" s="8"/>
      <c r="U3089" s="19" t="str">
        <f>HYPERLINK("https://pbs.twimg.com/profile_images/1152543415290216449/amDpqYCp.jpg","View")</f>
        <v>View</v>
      </c>
      <c r="V3089" s="8"/>
      <c r="W3089" s="8"/>
      <c r="X3089" s="8"/>
      <c r="Y3089" s="8"/>
      <c r="Z3089" s="8"/>
    </row>
    <row r="3090" spans="1:26" ht="12.75">
      <c r="A3090" s="11">
        <v>43747.172974537039</v>
      </c>
      <c r="B3090" s="12" t="str">
        <f>HYPERLINK("https://twitter.com/abdullahsadan","@abdullahsadan")</f>
        <v>@abdullahsadan</v>
      </c>
      <c r="C3090" s="7" t="s">
        <v>17694</v>
      </c>
      <c r="D3090" s="7" t="s">
        <v>17695</v>
      </c>
      <c r="E3090" s="12" t="str">
        <f>HYPERLINK("https://twitter.com/abdullahsadan/status/1181889314176880640","1181889314176880640")</f>
        <v>1181889314176880640</v>
      </c>
      <c r="F3090" s="15"/>
      <c r="G3090" s="15"/>
      <c r="H3090" s="8"/>
      <c r="I3090" s="15">
        <v>0</v>
      </c>
      <c r="J3090" s="15">
        <v>0</v>
      </c>
      <c r="K3090" s="12" t="str">
        <f>HYPERLINK("http://twitter.com/download/android","Twitter for Android")</f>
        <v>Twitter for Android</v>
      </c>
      <c r="L3090" s="16">
        <v>107</v>
      </c>
      <c r="M3090" s="16">
        <v>361</v>
      </c>
      <c r="N3090" s="16">
        <v>0</v>
      </c>
      <c r="O3090" s="17"/>
      <c r="P3090" s="18">
        <v>41425.556261574078</v>
      </c>
      <c r="Q3090" s="7"/>
      <c r="R3090" s="7" t="s">
        <v>17696</v>
      </c>
      <c r="S3090" s="8"/>
      <c r="T3090" s="8"/>
      <c r="U3090" s="19" t="str">
        <f>HYPERLINK("https://pbs.twimg.com/profile_images/1092421501717004289/fDiTFzp6.jpg","View")</f>
        <v>View</v>
      </c>
      <c r="V3090" s="8"/>
      <c r="W3090" s="8"/>
      <c r="X3090" s="8"/>
      <c r="Y3090" s="8"/>
      <c r="Z3090" s="8"/>
    </row>
    <row r="3091" spans="1:26" ht="12.75">
      <c r="A3091" s="11">
        <v>43747.172974537039</v>
      </c>
      <c r="B3091" s="12" t="str">
        <f>HYPERLINK("https://twitter.com/EvyP4","@EvyP4")</f>
        <v>@EvyP4</v>
      </c>
      <c r="C3091" s="7" t="s">
        <v>17697</v>
      </c>
      <c r="D3091" s="7" t="s">
        <v>17698</v>
      </c>
      <c r="E3091" s="12" t="str">
        <f>HYPERLINK("https://twitter.com/EvyP4/status/1181889312083841024","1181889312083841024")</f>
        <v>1181889312083841024</v>
      </c>
      <c r="F3091" s="8"/>
      <c r="G3091" s="15"/>
      <c r="H3091" s="8"/>
      <c r="I3091" s="15">
        <v>1</v>
      </c>
      <c r="J3091" s="15">
        <v>0</v>
      </c>
      <c r="K3091" s="12" t="str">
        <f>HYPERLINK("http://twitter.com/download/android","Twitter for Android")</f>
        <v>Twitter for Android</v>
      </c>
      <c r="L3091" s="16">
        <v>336</v>
      </c>
      <c r="M3091" s="16">
        <v>462</v>
      </c>
      <c r="N3091" s="16">
        <v>18</v>
      </c>
      <c r="O3091" s="17"/>
      <c r="P3091" s="18">
        <v>43668.478668981479</v>
      </c>
      <c r="Q3091" s="7" t="s">
        <v>17699</v>
      </c>
      <c r="R3091" s="7" t="s">
        <v>17700</v>
      </c>
      <c r="S3091" s="8"/>
      <c r="T3091" s="8"/>
      <c r="U3091" s="19" t="str">
        <f>HYPERLINK("https://pbs.twimg.com/profile_images/1153377325901332481/r8CKuKiM.jpg","View")</f>
        <v>View</v>
      </c>
      <c r="V3091" s="8"/>
      <c r="W3091" s="8"/>
      <c r="X3091" s="8"/>
      <c r="Y3091" s="8"/>
      <c r="Z3091" s="8"/>
    </row>
    <row r="3092" spans="1:26" ht="12.75">
      <c r="A3092" s="11">
        <v>43747.172962962963</v>
      </c>
      <c r="B3092" s="12" t="str">
        <f>HYPERLINK("https://twitter.com/Ugur8484","@Ugur8484")</f>
        <v>@Ugur8484</v>
      </c>
      <c r="C3092" s="7" t="s">
        <v>17701</v>
      </c>
      <c r="D3092" s="7" t="s">
        <v>17702</v>
      </c>
      <c r="E3092" s="12" t="str">
        <f>HYPERLINK("https://twitter.com/Ugur8484/status/1181889310041296896","1181889310041296896")</f>
        <v>1181889310041296896</v>
      </c>
      <c r="F3092" s="8"/>
      <c r="G3092" s="15"/>
      <c r="H3092" s="8"/>
      <c r="I3092" s="15">
        <v>0</v>
      </c>
      <c r="J3092" s="15">
        <v>3</v>
      </c>
      <c r="K3092" s="12" t="str">
        <f>HYPERLINK("http://twitter.com/download/android","Twitter for Android")</f>
        <v>Twitter for Android</v>
      </c>
      <c r="L3092" s="16">
        <v>170</v>
      </c>
      <c r="M3092" s="16">
        <v>530</v>
      </c>
      <c r="N3092" s="16">
        <v>0</v>
      </c>
      <c r="O3092" s="17"/>
      <c r="P3092" s="18">
        <v>43738.075381944444</v>
      </c>
      <c r="Q3092" s="7" t="s">
        <v>313</v>
      </c>
      <c r="R3092" s="7" t="s">
        <v>17703</v>
      </c>
      <c r="S3092" s="8"/>
      <c r="T3092" s="8"/>
      <c r="U3092" s="19" t="str">
        <f>HYPERLINK("https://pbs.twimg.com/profile_images/1178593893178363905/lyiEuIlU.jpg","View")</f>
        <v>View</v>
      </c>
      <c r="V3092" s="8"/>
      <c r="W3092" s="8"/>
      <c r="X3092" s="8"/>
      <c r="Y3092" s="8"/>
      <c r="Z3092" s="8"/>
    </row>
    <row r="3093" spans="1:26" ht="12.75">
      <c r="A3093" s="11">
        <v>43747.172962962963</v>
      </c>
      <c r="B3093" s="12" t="str">
        <f>HYPERLINK("https://twitter.com/olmeezay","@olmeezay")</f>
        <v>@olmeezay</v>
      </c>
      <c r="C3093" s="7" t="s">
        <v>17704</v>
      </c>
      <c r="D3093" s="7" t="s">
        <v>17705</v>
      </c>
      <c r="E3093" s="12" t="str">
        <f>HYPERLINK("https://twitter.com/olmeezay/status/1181889308875218944","1181889308875218944")</f>
        <v>1181889308875218944</v>
      </c>
      <c r="F3093" s="8"/>
      <c r="G3093" s="15"/>
      <c r="H3093" s="8"/>
      <c r="I3093" s="15">
        <v>1</v>
      </c>
      <c r="J3093" s="15">
        <v>3</v>
      </c>
      <c r="K3093" s="12" t="str">
        <f>HYPERLINK("http://twitter.com/download/android","Twitter for Android")</f>
        <v>Twitter for Android</v>
      </c>
      <c r="L3093" s="16">
        <v>417</v>
      </c>
      <c r="M3093" s="16">
        <v>334</v>
      </c>
      <c r="N3093" s="16">
        <v>0</v>
      </c>
      <c r="O3093" s="17"/>
      <c r="P3093" s="18">
        <v>42896.210219907407</v>
      </c>
      <c r="Q3093" s="7" t="s">
        <v>4449</v>
      </c>
      <c r="R3093" s="7" t="s">
        <v>17706</v>
      </c>
      <c r="S3093" s="14" t="s">
        <v>17707</v>
      </c>
      <c r="T3093" s="8"/>
      <c r="U3093" s="19" t="str">
        <f>HYPERLINK("https://pbs.twimg.com/profile_images/1180932776511639552/HYXNzv5m.jpg","View")</f>
        <v>View</v>
      </c>
      <c r="V3093" s="8"/>
      <c r="W3093" s="8"/>
      <c r="X3093" s="8"/>
      <c r="Y3093" s="8"/>
      <c r="Z3093" s="8"/>
    </row>
    <row r="3094" spans="1:26" ht="12.75">
      <c r="A3094" s="11">
        <v>43747.172777777778</v>
      </c>
      <c r="B3094" s="12" t="str">
        <f>HYPERLINK("https://twitter.com/1ibrahimSamed","@1ibrahimSamed")</f>
        <v>@1ibrahimSamed</v>
      </c>
      <c r="C3094" s="7" t="s">
        <v>17708</v>
      </c>
      <c r="D3094" s="7" t="s">
        <v>17709</v>
      </c>
      <c r="E3094" s="12" t="str">
        <f>HYPERLINK("https://twitter.com/1ibrahimSamed/status/1181889244517863425","1181889244517863425")</f>
        <v>1181889244517863425</v>
      </c>
      <c r="F3094" s="8"/>
      <c r="G3094" s="14" t="s">
        <v>17710</v>
      </c>
      <c r="H3094" s="8"/>
      <c r="I3094" s="15">
        <v>0</v>
      </c>
      <c r="J3094" s="15">
        <v>0</v>
      </c>
      <c r="K3094" s="12" t="str">
        <f>HYPERLINK("https://mobile.twitter.com","Twitter Web App")</f>
        <v>Twitter Web App</v>
      </c>
      <c r="L3094" s="16">
        <v>111</v>
      </c>
      <c r="M3094" s="16">
        <v>229</v>
      </c>
      <c r="N3094" s="16">
        <v>0</v>
      </c>
      <c r="O3094" s="17"/>
      <c r="P3094" s="18">
        <v>43076.339803240742</v>
      </c>
      <c r="Q3094" s="7"/>
      <c r="R3094" s="7" t="s">
        <v>17711</v>
      </c>
      <c r="S3094" s="8"/>
      <c r="T3094" s="8"/>
      <c r="U3094" s="19" t="str">
        <f>HYPERLINK("https://pbs.twimg.com/profile_images/1181888792854179840/0fJBXWZy.jpg","View")</f>
        <v>View</v>
      </c>
      <c r="V3094" s="8"/>
      <c r="W3094" s="8"/>
      <c r="X3094" s="8"/>
      <c r="Y3094" s="8"/>
      <c r="Z3094" s="8"/>
    </row>
    <row r="3095" spans="1:26" ht="12.75">
      <c r="A3095" s="11">
        <v>43747.172719907408</v>
      </c>
      <c r="B3095" s="12" t="str">
        <f>HYPERLINK("https://twitter.com/AlperByrktrr","@AlperByrktrr")</f>
        <v>@AlperByrktrr</v>
      </c>
      <c r="C3095" s="7" t="s">
        <v>17712</v>
      </c>
      <c r="D3095" s="7" t="s">
        <v>17713</v>
      </c>
      <c r="E3095" s="12" t="str">
        <f>HYPERLINK("https://twitter.com/AlperByrktrr/status/1181889219687538689","1181889219687538689")</f>
        <v>1181889219687538689</v>
      </c>
      <c r="F3095" s="8"/>
      <c r="G3095" s="14" t="s">
        <v>17714</v>
      </c>
      <c r="H3095" s="8"/>
      <c r="I3095" s="15">
        <v>0</v>
      </c>
      <c r="J3095" s="15">
        <v>0</v>
      </c>
      <c r="K3095" s="12" t="str">
        <f>HYPERLINK("http://twitter.com/download/iphone","Twitter for iPhone")</f>
        <v>Twitter for iPhone</v>
      </c>
      <c r="L3095" s="16">
        <v>139</v>
      </c>
      <c r="M3095" s="16">
        <v>132</v>
      </c>
      <c r="N3095" s="16">
        <v>0</v>
      </c>
      <c r="O3095" s="17"/>
      <c r="P3095" s="18">
        <v>40959.355115740742</v>
      </c>
      <c r="Q3095" s="7"/>
      <c r="R3095" s="7" t="s">
        <v>17715</v>
      </c>
      <c r="S3095" s="15"/>
      <c r="T3095" s="8"/>
      <c r="U3095" s="19" t="str">
        <f>HYPERLINK("https://pbs.twimg.com/profile_images/1172664167536443392/aACkK8y0.jpg","View")</f>
        <v>View</v>
      </c>
      <c r="V3095" s="8"/>
      <c r="W3095" s="8"/>
      <c r="X3095" s="8"/>
      <c r="Y3095" s="8"/>
      <c r="Z3095" s="8"/>
    </row>
    <row r="3096" spans="1:26" ht="12.75">
      <c r="A3096" s="11">
        <v>43747.172696759255</v>
      </c>
      <c r="B3096" s="12" t="str">
        <f>HYPERLINK("https://twitter.com/Cemilimamogulla","@Cemilimamogulla")</f>
        <v>@Cemilimamogulla</v>
      </c>
      <c r="C3096" s="7" t="s">
        <v>17716</v>
      </c>
      <c r="D3096" s="7" t="s">
        <v>17717</v>
      </c>
      <c r="E3096" s="12" t="str">
        <f>HYPERLINK("https://twitter.com/Cemilimamogulla/status/1181889212494299136","1181889212494299136")</f>
        <v>1181889212494299136</v>
      </c>
      <c r="F3096" s="8"/>
      <c r="G3096" s="14" t="s">
        <v>17718</v>
      </c>
      <c r="H3096" s="8"/>
      <c r="I3096" s="15">
        <v>0</v>
      </c>
      <c r="J3096" s="15">
        <v>3</v>
      </c>
      <c r="K3096" s="12" t="str">
        <f>HYPERLINK("http://twitter.com/download/android","Twitter for Android")</f>
        <v>Twitter for Android</v>
      </c>
      <c r="L3096" s="16">
        <v>484</v>
      </c>
      <c r="M3096" s="16">
        <v>358</v>
      </c>
      <c r="N3096" s="16">
        <v>1</v>
      </c>
      <c r="O3096" s="17"/>
      <c r="P3096" s="18">
        <v>41518.248761574076</v>
      </c>
      <c r="Q3096" s="7"/>
      <c r="R3096" s="7" t="s">
        <v>17719</v>
      </c>
      <c r="S3096" s="8"/>
      <c r="T3096" s="8"/>
      <c r="U3096" s="19" t="str">
        <f>HYPERLINK("https://pbs.twimg.com/profile_images/897007446505512960/rUT_PH8-.jpg","View")</f>
        <v>View</v>
      </c>
      <c r="V3096" s="8"/>
      <c r="W3096" s="8"/>
      <c r="X3096" s="8"/>
      <c r="Y3096" s="8"/>
      <c r="Z3096" s="8"/>
    </row>
    <row r="3097" spans="1:26" ht="12.75">
      <c r="A3097" s="11">
        <v>43747.172581018516</v>
      </c>
      <c r="B3097" s="12" t="str">
        <f>HYPERLINK("https://twitter.com/AminenurP","@AminenurP")</f>
        <v>@AminenurP</v>
      </c>
      <c r="C3097" s="13" t="s">
        <v>17720</v>
      </c>
      <c r="D3097" s="7" t="s">
        <v>17721</v>
      </c>
      <c r="E3097" s="12" t="str">
        <f>HYPERLINK("https://twitter.com/AminenurP/status/1181889173202116609","1181889173202116609")</f>
        <v>1181889173202116609</v>
      </c>
      <c r="F3097" s="8"/>
      <c r="G3097" s="7"/>
      <c r="H3097" s="8"/>
      <c r="I3097" s="15">
        <v>0</v>
      </c>
      <c r="J3097" s="15">
        <v>0</v>
      </c>
      <c r="K3097" s="12" t="str">
        <f>HYPERLINK("http://twitter.com","Twitter Web Client")</f>
        <v>Twitter Web Client</v>
      </c>
      <c r="L3097" s="16">
        <v>3</v>
      </c>
      <c r="M3097" s="16">
        <v>0</v>
      </c>
      <c r="N3097" s="16">
        <v>0</v>
      </c>
      <c r="O3097" s="17"/>
      <c r="P3097" s="18">
        <v>43669.333391203705</v>
      </c>
      <c r="Q3097" s="7" t="s">
        <v>15593</v>
      </c>
      <c r="R3097" s="7" t="s">
        <v>17722</v>
      </c>
      <c r="S3097" s="15"/>
      <c r="T3097" s="8"/>
      <c r="U3097" s="19" t="str">
        <f>HYPERLINK("https://pbs.twimg.com/profile_images/1154293606817107968/3tt_mArj.jpg","View")</f>
        <v>View</v>
      </c>
      <c r="V3097" s="8"/>
      <c r="W3097" s="8"/>
      <c r="X3097" s="8"/>
      <c r="Y3097" s="8"/>
      <c r="Z3097" s="8"/>
    </row>
    <row r="3098" spans="1:26" ht="12.75">
      <c r="A3098" s="11">
        <v>43747.172523148147</v>
      </c>
      <c r="B3098" s="12" t="str">
        <f>HYPERLINK("https://twitter.com/dedimedya","@dedimedya")</f>
        <v>@dedimedya</v>
      </c>
      <c r="C3098" s="7" t="s">
        <v>17723</v>
      </c>
      <c r="D3098" s="7" t="s">
        <v>17724</v>
      </c>
      <c r="E3098" s="12" t="str">
        <f>HYPERLINK("https://twitter.com/dedimedya/status/1181889151039344642","1181889151039344642")</f>
        <v>1181889151039344642</v>
      </c>
      <c r="F3098" s="8"/>
      <c r="G3098" s="14" t="s">
        <v>17725</v>
      </c>
      <c r="H3098" s="8"/>
      <c r="I3098" s="15">
        <v>24</v>
      </c>
      <c r="J3098" s="15">
        <v>33</v>
      </c>
      <c r="K3098" s="12" t="str">
        <f>HYPERLINK("http://twitter.com/download/iphone","Twitter for iPhone")</f>
        <v>Twitter for iPhone</v>
      </c>
      <c r="L3098" s="16">
        <v>3879</v>
      </c>
      <c r="M3098" s="16">
        <v>0</v>
      </c>
      <c r="N3098" s="16">
        <v>0</v>
      </c>
      <c r="O3098" s="17"/>
      <c r="P3098" s="18">
        <v>42004.101458333331</v>
      </c>
      <c r="Q3098" s="7"/>
      <c r="R3098" s="7" t="s">
        <v>17726</v>
      </c>
      <c r="S3098" s="14" t="s">
        <v>17727</v>
      </c>
      <c r="T3098" s="8"/>
      <c r="U3098" s="19" t="str">
        <f>HYPERLINK("https://pbs.twimg.com/profile_images/1159480006290083842/C0-yC3tb.jpg","View")</f>
        <v>View</v>
      </c>
      <c r="V3098" s="8"/>
      <c r="W3098" s="8"/>
      <c r="X3098" s="8"/>
      <c r="Y3098" s="8"/>
      <c r="Z3098" s="8"/>
    </row>
    <row r="3099" spans="1:26" ht="12.75">
      <c r="A3099" s="11">
        <v>43747.172476851847</v>
      </c>
      <c r="B3099" s="12" t="str">
        <f>HYPERLINK("https://twitter.com/Tcolakoglu34","@Tcolakoglu34")</f>
        <v>@Tcolakoglu34</v>
      </c>
      <c r="C3099" s="7" t="s">
        <v>17728</v>
      </c>
      <c r="D3099" s="7" t="s">
        <v>17729</v>
      </c>
      <c r="E3099" s="12" t="str">
        <f>HYPERLINK("https://twitter.com/Tcolakoglu34/status/1181889133364555776","1181889133364555776")</f>
        <v>1181889133364555776</v>
      </c>
      <c r="F3099" s="15"/>
      <c r="G3099" s="14" t="s">
        <v>17730</v>
      </c>
      <c r="H3099" s="8"/>
      <c r="I3099" s="15">
        <v>1</v>
      </c>
      <c r="J3099" s="15">
        <v>2</v>
      </c>
      <c r="K3099" s="12" t="str">
        <f>HYPERLINK("http://twitter.com/download/iphone","Twitter for iPhone")</f>
        <v>Twitter for iPhone</v>
      </c>
      <c r="L3099" s="16">
        <v>561</v>
      </c>
      <c r="M3099" s="16">
        <v>333</v>
      </c>
      <c r="N3099" s="16">
        <v>0</v>
      </c>
      <c r="O3099" s="17"/>
      <c r="P3099" s="18">
        <v>41316.535474537035</v>
      </c>
      <c r="Q3099" s="7"/>
      <c r="R3099" s="7" t="s">
        <v>17731</v>
      </c>
      <c r="S3099" s="8"/>
      <c r="T3099" s="8"/>
      <c r="U3099" s="19" t="str">
        <f>HYPERLINK("https://pbs.twimg.com/profile_images/1153366477866766336/4363C5nM.jpg","View")</f>
        <v>View</v>
      </c>
      <c r="V3099" s="8"/>
      <c r="W3099" s="8"/>
      <c r="X3099" s="8"/>
      <c r="Y3099" s="8"/>
      <c r="Z3099" s="8"/>
    </row>
    <row r="3100" spans="1:26" ht="12.75">
      <c r="A3100" s="11">
        <v>43747.172361111108</v>
      </c>
      <c r="B3100" s="12" t="str">
        <f>HYPERLINK("https://twitter.com/bursuf","@bursuf")</f>
        <v>@bursuf</v>
      </c>
      <c r="C3100" s="7" t="s">
        <v>17732</v>
      </c>
      <c r="D3100" s="7" t="s">
        <v>17733</v>
      </c>
      <c r="E3100" s="12" t="str">
        <f>HYPERLINK("https://twitter.com/bursuf/status/1181889093267050496","1181889093267050496")</f>
        <v>1181889093267050496</v>
      </c>
      <c r="F3100" s="14" t="s">
        <v>2631</v>
      </c>
      <c r="G3100" s="14" t="s">
        <v>2632</v>
      </c>
      <c r="H3100" s="8"/>
      <c r="I3100" s="15">
        <v>0</v>
      </c>
      <c r="J3100" s="15">
        <v>2</v>
      </c>
      <c r="K3100" s="12" t="str">
        <f>HYPERLINK("http://twitter.com/download/iphone","Twitter for iPhone")</f>
        <v>Twitter for iPhone</v>
      </c>
      <c r="L3100" s="16">
        <v>21</v>
      </c>
      <c r="M3100" s="16">
        <v>52</v>
      </c>
      <c r="N3100" s="16">
        <v>0</v>
      </c>
      <c r="O3100" s="17"/>
      <c r="P3100" s="18">
        <v>41148.076898148152</v>
      </c>
      <c r="Q3100" s="7" t="s">
        <v>313</v>
      </c>
      <c r="R3100" s="7" t="s">
        <v>17734</v>
      </c>
      <c r="S3100" s="8"/>
      <c r="T3100" s="8"/>
      <c r="U3100" s="19" t="str">
        <f>HYPERLINK("https://pbs.twimg.com/profile_images/2548263653/yusuffffffffffffffff.jpg","View")</f>
        <v>View</v>
      </c>
      <c r="V3100" s="8"/>
      <c r="W3100" s="8"/>
      <c r="X3100" s="8"/>
      <c r="Y3100" s="8"/>
      <c r="Z3100" s="8"/>
    </row>
    <row r="3101" spans="1:26" ht="12.75">
      <c r="A3101" s="11">
        <v>43747.172361111108</v>
      </c>
      <c r="B3101" s="12" t="str">
        <f>HYPERLINK("https://twitter.com/Mduringa","@Mduringa")</f>
        <v>@Mduringa</v>
      </c>
      <c r="C3101" s="7" t="s">
        <v>17735</v>
      </c>
      <c r="D3101" s="7" t="s">
        <v>17736</v>
      </c>
      <c r="E3101" s="12" t="str">
        <f>HYPERLINK("https://twitter.com/Mduringa/status/1181889091610259457","1181889091610259457")</f>
        <v>1181889091610259457</v>
      </c>
      <c r="F3101" s="8"/>
      <c r="G3101" s="15"/>
      <c r="H3101" s="8"/>
      <c r="I3101" s="15">
        <v>8</v>
      </c>
      <c r="J3101" s="15">
        <v>34</v>
      </c>
      <c r="K3101" s="12" t="str">
        <f>HYPERLINK("http://twitter.com/download/iphone","Twitter for iPhone")</f>
        <v>Twitter for iPhone</v>
      </c>
      <c r="L3101" s="16">
        <v>9861</v>
      </c>
      <c r="M3101" s="16">
        <v>8711</v>
      </c>
      <c r="N3101" s="16">
        <v>6</v>
      </c>
      <c r="O3101" s="17"/>
      <c r="P3101" s="18">
        <v>43163.978217592594</v>
      </c>
      <c r="Q3101" s="7" t="s">
        <v>2201</v>
      </c>
      <c r="R3101" s="7" t="s">
        <v>17737</v>
      </c>
      <c r="S3101" s="14" t="s">
        <v>17738</v>
      </c>
      <c r="T3101" s="8"/>
      <c r="U3101" s="19" t="str">
        <f>HYPERLINK("https://pbs.twimg.com/profile_images/1172964877826236416/9fHmGlof.jpg","View")</f>
        <v>View</v>
      </c>
      <c r="V3101" s="8"/>
      <c r="W3101" s="8"/>
      <c r="X3101" s="8"/>
      <c r="Y3101" s="8"/>
      <c r="Z3101" s="8"/>
    </row>
    <row r="3102" spans="1:26" ht="12.75">
      <c r="A3102" s="11">
        <v>43747.172326388885</v>
      </c>
      <c r="B3102" s="12" t="str">
        <f>HYPERLINK("https://twitter.com/tank_kadir","@tank_kadir")</f>
        <v>@tank_kadir</v>
      </c>
      <c r="C3102" s="7" t="s">
        <v>17739</v>
      </c>
      <c r="D3102" s="7" t="s">
        <v>17740</v>
      </c>
      <c r="E3102" s="12" t="str">
        <f>HYPERLINK("https://twitter.com/tank_kadir/status/1181889076913418242","1181889076913418242")</f>
        <v>1181889076913418242</v>
      </c>
      <c r="F3102" s="14" t="s">
        <v>17741</v>
      </c>
      <c r="G3102" s="15"/>
      <c r="H3102" s="8"/>
      <c r="I3102" s="15">
        <v>0</v>
      </c>
      <c r="J3102" s="15">
        <v>0</v>
      </c>
      <c r="K3102" s="12" t="str">
        <f>HYPERLINK("http://twitter.com/download/android","Twitter for Android")</f>
        <v>Twitter for Android</v>
      </c>
      <c r="L3102" s="16">
        <v>130</v>
      </c>
      <c r="M3102" s="16">
        <v>128</v>
      </c>
      <c r="N3102" s="16">
        <v>0</v>
      </c>
      <c r="O3102" s="17"/>
      <c r="P3102" s="18">
        <v>43472.923622685186</v>
      </c>
      <c r="Q3102" s="7" t="s">
        <v>313</v>
      </c>
      <c r="R3102" s="7" t="s">
        <v>17742</v>
      </c>
      <c r="S3102" s="8"/>
      <c r="T3102" s="8"/>
      <c r="U3102" s="19" t="str">
        <f>HYPERLINK("https://pbs.twimg.com/profile_images/1134144484973977600/kra0elBL.png","View")</f>
        <v>View</v>
      </c>
      <c r="V3102" s="8"/>
      <c r="W3102" s="8"/>
      <c r="X3102" s="8"/>
      <c r="Y3102" s="8"/>
      <c r="Z3102" s="8"/>
    </row>
    <row r="3103" spans="1:26" ht="12.75">
      <c r="A3103" s="11">
        <v>43747.172314814816</v>
      </c>
      <c r="B3103" s="12" t="str">
        <f>HYPERLINK("https://twitter.com/OYildiz99","@OYildiz99")</f>
        <v>@OYildiz99</v>
      </c>
      <c r="C3103" s="7" t="s">
        <v>17743</v>
      </c>
      <c r="D3103" s="7" t="s">
        <v>17744</v>
      </c>
      <c r="E3103" s="12" t="str">
        <f>HYPERLINK("https://twitter.com/OYildiz99/status/1181889075315392513","1181889075315392513")</f>
        <v>1181889075315392513</v>
      </c>
      <c r="F3103" s="14" t="s">
        <v>17745</v>
      </c>
      <c r="G3103" s="15"/>
      <c r="H3103" s="8"/>
      <c r="I3103" s="15">
        <v>1</v>
      </c>
      <c r="J3103" s="15">
        <v>2</v>
      </c>
      <c r="K3103" s="12" t="str">
        <f>HYPERLINK("https://mobile.twitter.com","Twitter Web App")</f>
        <v>Twitter Web App</v>
      </c>
      <c r="L3103" s="16">
        <v>4442</v>
      </c>
      <c r="M3103" s="16">
        <v>1670</v>
      </c>
      <c r="N3103" s="16">
        <v>3</v>
      </c>
      <c r="O3103" s="17"/>
      <c r="P3103" s="18">
        <v>40983.721215277779</v>
      </c>
      <c r="Q3103" s="7" t="s">
        <v>313</v>
      </c>
      <c r="R3103" s="7" t="s">
        <v>17746</v>
      </c>
      <c r="S3103" s="14" t="s">
        <v>17747</v>
      </c>
      <c r="T3103" s="8"/>
      <c r="U3103" s="19" t="str">
        <f>HYPERLINK("https://pbs.twimg.com/profile_images/1172052980734091264/lCbI8VNL.jpg","View")</f>
        <v>View</v>
      </c>
      <c r="V3103" s="8"/>
      <c r="W3103" s="8"/>
      <c r="X3103" s="8"/>
      <c r="Y3103" s="8"/>
      <c r="Z3103" s="8"/>
    </row>
    <row r="3104" spans="1:26" ht="12.75">
      <c r="A3104" s="11">
        <v>43747.172314814816</v>
      </c>
      <c r="B3104" s="12" t="str">
        <f>HYPERLINK("https://twitter.com/BeyzaOzkutlu","@BeyzaOzkutlu")</f>
        <v>@BeyzaOzkutlu</v>
      </c>
      <c r="C3104" s="7" t="s">
        <v>17748</v>
      </c>
      <c r="D3104" s="7" t="s">
        <v>17749</v>
      </c>
      <c r="E3104" s="12" t="str">
        <f>HYPERLINK("https://twitter.com/BeyzaOzkutlu/status/1181889075227308032","1181889075227308032")</f>
        <v>1181889075227308032</v>
      </c>
      <c r="F3104" s="15"/>
      <c r="G3104" s="7"/>
      <c r="H3104" s="8"/>
      <c r="I3104" s="15">
        <v>0</v>
      </c>
      <c r="J3104" s="15">
        <v>2</v>
      </c>
      <c r="K3104" s="12" t="str">
        <f>HYPERLINK("http://twitter.com/download/android","Twitter for Android")</f>
        <v>Twitter for Android</v>
      </c>
      <c r="L3104" s="16">
        <v>10</v>
      </c>
      <c r="M3104" s="16">
        <v>49</v>
      </c>
      <c r="N3104" s="16">
        <v>0</v>
      </c>
      <c r="O3104" s="17"/>
      <c r="P3104" s="18">
        <v>43274.40792824074</v>
      </c>
      <c r="Q3104" s="7"/>
      <c r="R3104" s="7" t="s">
        <v>17750</v>
      </c>
      <c r="S3104" s="8"/>
      <c r="T3104" s="8"/>
      <c r="U3104" s="19" t="str">
        <f>HYPERLINK("https://pbs.twimg.com/profile_images/1010569701435625472/phdofTGG.jpg","View")</f>
        <v>View</v>
      </c>
      <c r="V3104" s="8"/>
      <c r="W3104" s="8"/>
      <c r="X3104" s="8"/>
      <c r="Y3104" s="8"/>
      <c r="Z3104" s="8"/>
    </row>
    <row r="3105" spans="1:26" ht="12.75">
      <c r="A3105" s="11">
        <v>43747.172314814816</v>
      </c>
      <c r="B3105" s="12" t="str">
        <f>HYPERLINK("https://twitter.com/TheDadas_25","@TheDadas_25")</f>
        <v>@TheDadas_25</v>
      </c>
      <c r="C3105" s="7" t="s">
        <v>17751</v>
      </c>
      <c r="D3105" s="7" t="s">
        <v>17752</v>
      </c>
      <c r="E3105" s="12" t="str">
        <f>HYPERLINK("https://twitter.com/TheDadas_25/status/1181889074946347009","1181889074946347009")</f>
        <v>1181889074946347009</v>
      </c>
      <c r="F3105" s="8"/>
      <c r="G3105" s="14" t="s">
        <v>17753</v>
      </c>
      <c r="H3105" s="8"/>
      <c r="I3105" s="15">
        <v>1</v>
      </c>
      <c r="J3105" s="15">
        <v>12</v>
      </c>
      <c r="K3105" s="12" t="str">
        <f>HYPERLINK("http://twitter.com/download/android","Twitter for Android")</f>
        <v>Twitter for Android</v>
      </c>
      <c r="L3105" s="16">
        <v>2971</v>
      </c>
      <c r="M3105" s="16">
        <v>3246</v>
      </c>
      <c r="N3105" s="16">
        <v>3</v>
      </c>
      <c r="O3105" s="17"/>
      <c r="P3105" s="18">
        <v>42756.873391203699</v>
      </c>
      <c r="Q3105" s="7" t="s">
        <v>4895</v>
      </c>
      <c r="R3105" s="7" t="s">
        <v>17754</v>
      </c>
      <c r="S3105" s="15"/>
      <c r="T3105" s="8"/>
      <c r="U3105" s="19" t="str">
        <f>HYPERLINK("https://pbs.twimg.com/profile_images/1181644977761394688/9WEEaKx0.jpg","View")</f>
        <v>View</v>
      </c>
      <c r="V3105" s="8"/>
      <c r="W3105" s="8"/>
      <c r="X3105" s="8"/>
      <c r="Y3105" s="8"/>
      <c r="Z3105" s="8"/>
    </row>
    <row r="3106" spans="1:26" ht="12.75">
      <c r="A3106" s="11">
        <v>43747.172303240739</v>
      </c>
      <c r="B3106" s="12" t="str">
        <f>HYPERLINK("https://twitter.com/KanliKocaOglu","@KanliKocaOglu")</f>
        <v>@KanliKocaOglu</v>
      </c>
      <c r="C3106" s="7" t="s">
        <v>17755</v>
      </c>
      <c r="D3106" s="7" t="s">
        <v>17756</v>
      </c>
      <c r="E3106" s="12" t="str">
        <f>HYPERLINK("https://twitter.com/KanliKocaOglu/status/1181889068944297984","1181889068944297984")</f>
        <v>1181889068944297984</v>
      </c>
      <c r="F3106" s="8"/>
      <c r="G3106" s="15"/>
      <c r="H3106" s="8"/>
      <c r="I3106" s="15">
        <v>0</v>
      </c>
      <c r="J3106" s="15">
        <v>0</v>
      </c>
      <c r="K3106" s="12" t="str">
        <f>HYPERLINK("https://mobile.twitter.com","Twitter Web App")</f>
        <v>Twitter Web App</v>
      </c>
      <c r="L3106" s="16">
        <v>8</v>
      </c>
      <c r="M3106" s="16">
        <v>64</v>
      </c>
      <c r="N3106" s="16">
        <v>0</v>
      </c>
      <c r="O3106" s="17"/>
      <c r="P3106" s="18">
        <v>42924.696979166663</v>
      </c>
      <c r="Q3106" s="7"/>
      <c r="R3106" s="7" t="s">
        <v>17757</v>
      </c>
      <c r="S3106" s="8"/>
      <c r="T3106" s="8"/>
      <c r="U3106" s="19" t="str">
        <f>HYPERLINK("https://pbs.twimg.com/profile_images/883835349881016320/X-_SIB2v.jpg","View")</f>
        <v>View</v>
      </c>
      <c r="V3106" s="8"/>
      <c r="W3106" s="8"/>
      <c r="X3106" s="8"/>
      <c r="Y3106" s="8"/>
      <c r="Z3106" s="8"/>
    </row>
    <row r="3107" spans="1:26" ht="12.75">
      <c r="A3107" s="11">
        <v>43747.172256944439</v>
      </c>
      <c r="B3107" s="12" t="str">
        <f>HYPERLINK("https://twitter.com/zekeriye_gucer","@zekeriye_gucer")</f>
        <v>@zekeriye_gucer</v>
      </c>
      <c r="C3107" s="7" t="s">
        <v>17758</v>
      </c>
      <c r="D3107" s="7" t="s">
        <v>17759</v>
      </c>
      <c r="E3107" s="12" t="str">
        <f>HYPERLINK("https://twitter.com/zekeriye_gucer/status/1181889054864023553","1181889054864023553")</f>
        <v>1181889054864023553</v>
      </c>
      <c r="F3107" s="8"/>
      <c r="G3107" s="14" t="s">
        <v>17760</v>
      </c>
      <c r="H3107" s="8"/>
      <c r="I3107" s="15">
        <v>0</v>
      </c>
      <c r="J3107" s="15">
        <v>0</v>
      </c>
      <c r="K3107" s="12" t="str">
        <f>HYPERLINK("https://mobile.twitter.com","Twitter Web App")</f>
        <v>Twitter Web App</v>
      </c>
      <c r="L3107" s="16">
        <v>22</v>
      </c>
      <c r="M3107" s="16">
        <v>63</v>
      </c>
      <c r="N3107" s="16">
        <v>0</v>
      </c>
      <c r="O3107" s="17"/>
      <c r="P3107" s="18">
        <v>42266.439259259263</v>
      </c>
      <c r="Q3107" s="7" t="s">
        <v>6543</v>
      </c>
      <c r="R3107" s="7"/>
      <c r="S3107" s="8"/>
      <c r="T3107" s="8"/>
      <c r="U3107" s="19" t="str">
        <f>HYPERLINK("https://pbs.twimg.com/profile_images/847863212406169601/EMLpULIP.jpg","View")</f>
        <v>View</v>
      </c>
      <c r="V3107" s="8"/>
      <c r="W3107" s="8"/>
      <c r="X3107" s="8"/>
      <c r="Y3107" s="8"/>
      <c r="Z3107" s="8"/>
    </row>
    <row r="3108" spans="1:26" ht="12.75">
      <c r="A3108" s="11">
        <v>43747.172175925924</v>
      </c>
      <c r="B3108" s="12" t="str">
        <f>HYPERLINK("https://twitter.com/ozggefb","@ozggefb")</f>
        <v>@ozggefb</v>
      </c>
      <c r="C3108" s="7" t="s">
        <v>17761</v>
      </c>
      <c r="D3108" s="7" t="s">
        <v>17762</v>
      </c>
      <c r="E3108" s="12" t="str">
        <f>HYPERLINK("https://twitter.com/ozggefb/status/1181889023524126720","1181889023524126720")</f>
        <v>1181889023524126720</v>
      </c>
      <c r="F3108" s="8"/>
      <c r="G3108" s="15"/>
      <c r="H3108" s="8"/>
      <c r="I3108" s="15">
        <v>0</v>
      </c>
      <c r="J3108" s="15">
        <v>0</v>
      </c>
      <c r="K3108" s="12" t="str">
        <f>HYPERLINK("http://twitter.com/download/android","Twitter for Android")</f>
        <v>Twitter for Android</v>
      </c>
      <c r="L3108" s="16">
        <v>29</v>
      </c>
      <c r="M3108" s="16">
        <v>51</v>
      </c>
      <c r="N3108" s="16">
        <v>1</v>
      </c>
      <c r="O3108" s="17"/>
      <c r="P3108" s="18">
        <v>42158.442037037035</v>
      </c>
      <c r="Q3108" s="7"/>
      <c r="R3108" s="7" t="s">
        <v>17763</v>
      </c>
      <c r="S3108" s="8"/>
      <c r="T3108" s="8"/>
      <c r="U3108" s="19" t="str">
        <f>HYPERLINK("https://pbs.twimg.com/profile_images/1154259518966116355/8UHeZYAt.jpg","View")</f>
        <v>View</v>
      </c>
      <c r="V3108" s="8"/>
      <c r="W3108" s="8"/>
      <c r="X3108" s="8"/>
      <c r="Y3108" s="8"/>
      <c r="Z3108" s="8"/>
    </row>
    <row r="3109" spans="1:26" ht="12.75">
      <c r="A3109" s="11">
        <v>43747.172152777777</v>
      </c>
      <c r="B3109" s="12" t="str">
        <f>HYPERLINK("https://twitter.com/PROAK_","@PROAK_")</f>
        <v>@PROAK_</v>
      </c>
      <c r="C3109" s="7" t="s">
        <v>17764</v>
      </c>
      <c r="D3109" s="7" t="s">
        <v>17765</v>
      </c>
      <c r="E3109" s="12" t="str">
        <f>HYPERLINK("https://twitter.com/PROAK_/status/1181889013877280769","1181889013877280769")</f>
        <v>1181889013877280769</v>
      </c>
      <c r="F3109" s="8"/>
      <c r="G3109" s="14" t="s">
        <v>17766</v>
      </c>
      <c r="H3109" s="8"/>
      <c r="I3109" s="15">
        <v>0</v>
      </c>
      <c r="J3109" s="15">
        <v>0</v>
      </c>
      <c r="K3109" s="12" t="str">
        <f>HYPERLINK("https://mobile.twitter.com","Twitter Web App")</f>
        <v>Twitter Web App</v>
      </c>
      <c r="L3109" s="16">
        <v>56</v>
      </c>
      <c r="M3109" s="16">
        <v>37</v>
      </c>
      <c r="N3109" s="16">
        <v>0</v>
      </c>
      <c r="O3109" s="17"/>
      <c r="P3109" s="18">
        <v>42045.281898148147</v>
      </c>
      <c r="Q3109" s="7" t="s">
        <v>17767</v>
      </c>
      <c r="R3109" s="14" t="s">
        <v>17768</v>
      </c>
      <c r="S3109" s="8"/>
      <c r="T3109" s="8"/>
      <c r="U3109" s="19" t="str">
        <f>HYPERLINK("https://pbs.twimg.com/profile_images/654598732822921216/cZ_pL0FN.png","View")</f>
        <v>View</v>
      </c>
      <c r="V3109" s="8"/>
      <c r="W3109" s="8"/>
      <c r="X3109" s="8"/>
      <c r="Y3109" s="8"/>
      <c r="Z3109" s="8"/>
    </row>
    <row r="3110" spans="1:26" ht="12.75">
      <c r="A3110" s="11">
        <v>43747.1721412037</v>
      </c>
      <c r="B3110" s="12" t="str">
        <f>HYPERLINK("https://twitter.com/turkculerotagin","@turkculerotagin")</f>
        <v>@turkculerotagin</v>
      </c>
      <c r="C3110" s="7" t="s">
        <v>17769</v>
      </c>
      <c r="D3110" s="7" t="s">
        <v>17770</v>
      </c>
      <c r="E3110" s="12" t="str">
        <f>HYPERLINK("https://twitter.com/turkculerotagin/status/1181889010119172096","1181889010119172096")</f>
        <v>1181889010119172096</v>
      </c>
      <c r="F3110" s="8"/>
      <c r="G3110" s="14" t="s">
        <v>17771</v>
      </c>
      <c r="H3110" s="8"/>
      <c r="I3110" s="15">
        <v>0</v>
      </c>
      <c r="J3110" s="15">
        <v>2</v>
      </c>
      <c r="K3110" s="12" t="str">
        <f>HYPERLINK("http://twitter.com/download/android","Twitter for Android")</f>
        <v>Twitter for Android</v>
      </c>
      <c r="L3110" s="16">
        <v>177</v>
      </c>
      <c r="M3110" s="16">
        <v>83</v>
      </c>
      <c r="N3110" s="16">
        <v>0</v>
      </c>
      <c r="O3110" s="17"/>
      <c r="P3110" s="18">
        <v>42570.542638888888</v>
      </c>
      <c r="Q3110" s="7" t="s">
        <v>14024</v>
      </c>
      <c r="R3110" s="7" t="s">
        <v>17772</v>
      </c>
      <c r="S3110" s="14" t="s">
        <v>17773</v>
      </c>
      <c r="T3110" s="8"/>
      <c r="U3110" s="19" t="str">
        <f>HYPERLINK("https://pbs.twimg.com/profile_images/848506849234178050/fJW-cwrj.jpg","View")</f>
        <v>View</v>
      </c>
      <c r="V3110" s="8"/>
      <c r="W3110" s="8"/>
      <c r="X3110" s="8"/>
      <c r="Y3110" s="8"/>
      <c r="Z3110" s="8"/>
    </row>
    <row r="3111" spans="1:26" ht="12.75">
      <c r="A3111" s="11">
        <v>43747.172129629631</v>
      </c>
      <c r="B3111" s="12" t="str">
        <f>HYPERLINK("https://twitter.com/0IlIlIl01","@0IlIlIl01")</f>
        <v>@0IlIlIl01</v>
      </c>
      <c r="C3111" s="7" t="s">
        <v>17774</v>
      </c>
      <c r="D3111" s="7" t="s">
        <v>17775</v>
      </c>
      <c r="E3111" s="12" t="str">
        <f>HYPERLINK("https://twitter.com/0IlIlIl01/status/1181889009250906113","1181889009250906113")</f>
        <v>1181889009250906113</v>
      </c>
      <c r="F3111" s="8"/>
      <c r="G3111" s="7"/>
      <c r="H3111" s="8"/>
      <c r="I3111" s="15">
        <v>0</v>
      </c>
      <c r="J3111" s="15">
        <v>0</v>
      </c>
      <c r="K3111" s="12" t="str">
        <f>HYPERLINK("http://twitter.com/download/android","Twitter for Android")</f>
        <v>Twitter for Android</v>
      </c>
      <c r="L3111" s="16">
        <v>0</v>
      </c>
      <c r="M3111" s="16">
        <v>0</v>
      </c>
      <c r="N3111" s="16">
        <v>0</v>
      </c>
      <c r="O3111" s="17"/>
      <c r="P3111" s="18">
        <v>43650.021701388891</v>
      </c>
      <c r="Q3111" s="7"/>
      <c r="R3111" s="7"/>
      <c r="S3111" s="8"/>
      <c r="T3111" s="8"/>
      <c r="U3111" s="19" t="str">
        <f>HYPERLINK("https://pbs.twimg.com/profile_images/1175893405269942272/Muqp3a4t.jpg","View")</f>
        <v>View</v>
      </c>
      <c r="V3111" s="8"/>
      <c r="W3111" s="8"/>
      <c r="X3111" s="8"/>
      <c r="Y3111" s="8"/>
      <c r="Z3111" s="8"/>
    </row>
    <row r="3112" spans="1:26" ht="12.75">
      <c r="A3112" s="11">
        <v>43747.172118055554</v>
      </c>
      <c r="B3112" s="12" t="str">
        <f>HYPERLINK("https://twitter.com/mahmutcevik16","@mahmutcevik16")</f>
        <v>@mahmutcevik16</v>
      </c>
      <c r="C3112" s="7" t="s">
        <v>17776</v>
      </c>
      <c r="D3112" s="7" t="s">
        <v>17777</v>
      </c>
      <c r="E3112" s="12" t="str">
        <f>HYPERLINK("https://twitter.com/mahmutcevik16/status/1181889003299188737","1181889003299188737")</f>
        <v>1181889003299188737</v>
      </c>
      <c r="F3112" s="8"/>
      <c r="G3112" s="15"/>
      <c r="H3112" s="8"/>
      <c r="I3112" s="15">
        <v>0</v>
      </c>
      <c r="J3112" s="15">
        <v>0</v>
      </c>
      <c r="K3112" s="12" t="str">
        <f>HYPERLINK("http://twitter.com","Twitter Web Client")</f>
        <v>Twitter Web Client</v>
      </c>
      <c r="L3112" s="16">
        <v>21</v>
      </c>
      <c r="M3112" s="16">
        <v>0</v>
      </c>
      <c r="N3112" s="16">
        <v>0</v>
      </c>
      <c r="O3112" s="17"/>
      <c r="P3112" s="18">
        <v>43595.374756944446</v>
      </c>
      <c r="Q3112" s="7" t="s">
        <v>17778</v>
      </c>
      <c r="R3112" s="7" t="s">
        <v>17779</v>
      </c>
      <c r="S3112" s="8"/>
      <c r="T3112" s="8"/>
      <c r="U3112" s="19" t="str">
        <f>HYPERLINK("https://pbs.twimg.com/profile_images/1130844324155994116/x5hZZjA5.jpg","View")</f>
        <v>View</v>
      </c>
      <c r="V3112" s="8"/>
      <c r="W3112" s="8"/>
      <c r="X3112" s="8"/>
      <c r="Y3112" s="8"/>
      <c r="Z3112" s="8"/>
    </row>
    <row r="3113" spans="1:26" ht="12.75">
      <c r="A3113" s="11">
        <v>43747.172025462962</v>
      </c>
      <c r="B3113" s="12" t="str">
        <f>HYPERLINK("https://twitter.com/efera660641","@efera660641")</f>
        <v>@efera660641</v>
      </c>
      <c r="C3113" s="7" t="s">
        <v>17780</v>
      </c>
      <c r="D3113" s="7" t="s">
        <v>17781</v>
      </c>
      <c r="E3113" s="12" t="str">
        <f>HYPERLINK("https://twitter.com/efera660641/status/1181888970881458176","1181888970881458176")</f>
        <v>1181888970881458176</v>
      </c>
      <c r="F3113" s="8"/>
      <c r="G3113" s="14" t="s">
        <v>17782</v>
      </c>
      <c r="H3113" s="15"/>
      <c r="I3113" s="15">
        <v>0</v>
      </c>
      <c r="J3113" s="15">
        <v>0</v>
      </c>
      <c r="K3113" s="12" t="str">
        <f>HYPERLINK("http://twitter.com/download/android","Twitter for Android")</f>
        <v>Twitter for Android</v>
      </c>
      <c r="L3113" s="16">
        <v>35</v>
      </c>
      <c r="M3113" s="16">
        <v>511</v>
      </c>
      <c r="N3113" s="16">
        <v>0</v>
      </c>
      <c r="O3113" s="17"/>
      <c r="P3113" s="18">
        <v>42811.238668981481</v>
      </c>
      <c r="Q3113" s="7"/>
      <c r="R3113" s="7"/>
      <c r="S3113" s="15"/>
      <c r="T3113" s="8"/>
      <c r="U3113" s="19" t="str">
        <f>HYPERLINK("https://pbs.twimg.com/profile_images/849539922293923840/yEHI8EI_.jpg","View")</f>
        <v>View</v>
      </c>
      <c r="V3113" s="8"/>
      <c r="W3113" s="8"/>
      <c r="X3113" s="8"/>
      <c r="Y3113" s="8"/>
      <c r="Z3113" s="8"/>
    </row>
    <row r="3114" spans="1:26" ht="12.75">
      <c r="A3114" s="11">
        <v>43747.171979166669</v>
      </c>
      <c r="B3114" s="12" t="str">
        <f>HYPERLINK("https://twitter.com/mertersoy91","@mertersoy91")</f>
        <v>@mertersoy91</v>
      </c>
      <c r="C3114" s="7" t="s">
        <v>17783</v>
      </c>
      <c r="D3114" s="7" t="s">
        <v>160</v>
      </c>
      <c r="E3114" s="12" t="str">
        <f>HYPERLINK("https://twitter.com/mertersoy91/status/1181888954381094912","1181888954381094912")</f>
        <v>1181888954381094912</v>
      </c>
      <c r="F3114" s="8"/>
      <c r="G3114" s="15"/>
      <c r="H3114" s="8"/>
      <c r="I3114" s="15">
        <v>0</v>
      </c>
      <c r="J3114" s="15">
        <v>0</v>
      </c>
      <c r="K3114" s="12" t="str">
        <f>HYPERLINK("http://twitter.com/download/iphone","Twitter for iPhone")</f>
        <v>Twitter for iPhone</v>
      </c>
      <c r="L3114" s="16">
        <v>100</v>
      </c>
      <c r="M3114" s="16">
        <v>93</v>
      </c>
      <c r="N3114" s="16">
        <v>0</v>
      </c>
      <c r="O3114" s="17"/>
      <c r="P3114" s="18">
        <v>42133.121620370366</v>
      </c>
      <c r="Q3114" s="7" t="s">
        <v>146</v>
      </c>
      <c r="R3114" s="7" t="s">
        <v>17784</v>
      </c>
      <c r="S3114" s="15"/>
      <c r="T3114" s="8"/>
      <c r="U3114" s="19" t="str">
        <f>HYPERLINK("https://pbs.twimg.com/profile_images/1077930835012141057/leaJKifI.jpg","View")</f>
        <v>View</v>
      </c>
      <c r="V3114" s="8"/>
      <c r="W3114" s="8"/>
      <c r="X3114" s="8"/>
      <c r="Y3114" s="8"/>
      <c r="Z3114" s="8"/>
    </row>
    <row r="3115" spans="1:26" ht="12.75">
      <c r="A3115" s="11">
        <v>43747.171932870369</v>
      </c>
      <c r="B3115" s="12" t="str">
        <f>HYPERLINK("https://twitter.com/cemzeyngul","@cemzeyngul")</f>
        <v>@cemzeyngul</v>
      </c>
      <c r="C3115" s="7" t="s">
        <v>17785</v>
      </c>
      <c r="D3115" s="7" t="s">
        <v>160</v>
      </c>
      <c r="E3115" s="12" t="str">
        <f>HYPERLINK("https://twitter.com/cemzeyngul/status/1181888935175364609","1181888935175364609")</f>
        <v>1181888935175364609</v>
      </c>
      <c r="F3115" s="8"/>
      <c r="G3115" s="14" t="s">
        <v>17786</v>
      </c>
      <c r="H3115" s="8"/>
      <c r="I3115" s="15">
        <v>1</v>
      </c>
      <c r="J3115" s="15">
        <v>1</v>
      </c>
      <c r="K3115" s="12" t="str">
        <f>HYPERLINK("http://twitter.com/download/android","Twitter for Android")</f>
        <v>Twitter for Android</v>
      </c>
      <c r="L3115" s="16">
        <v>119</v>
      </c>
      <c r="M3115" s="16">
        <v>574</v>
      </c>
      <c r="N3115" s="16">
        <v>0</v>
      </c>
      <c r="O3115" s="17"/>
      <c r="P3115" s="18">
        <v>41436.461736111109</v>
      </c>
      <c r="Q3115" s="7" t="s">
        <v>2201</v>
      </c>
      <c r="R3115" s="7" t="s">
        <v>17787</v>
      </c>
      <c r="S3115" s="8"/>
      <c r="T3115" s="8"/>
      <c r="U3115" s="19" t="str">
        <f>HYPERLINK("https://pbs.twimg.com/profile_images/1022026552815566848/g3QN2rEg.jpg","View")</f>
        <v>View</v>
      </c>
      <c r="V3115" s="8"/>
      <c r="W3115" s="8"/>
      <c r="X3115" s="8"/>
      <c r="Y3115" s="8"/>
      <c r="Z3115" s="8"/>
    </row>
    <row r="3116" spans="1:26" ht="12.75">
      <c r="A3116" s="11">
        <v>43747.171770833331</v>
      </c>
      <c r="B3116" s="12" t="str">
        <f>HYPERLINK("https://twitter.com/kazimsesver","@kazimsesver")</f>
        <v>@kazimsesver</v>
      </c>
      <c r="C3116" s="7" t="s">
        <v>17788</v>
      </c>
      <c r="D3116" s="7" t="s">
        <v>17789</v>
      </c>
      <c r="E3116" s="12" t="str">
        <f>HYPERLINK("https://twitter.com/kazimsesver/status/1181888877080043520","1181888877080043520")</f>
        <v>1181888877080043520</v>
      </c>
      <c r="F3116" s="8"/>
      <c r="G3116" s="14" t="s">
        <v>17240</v>
      </c>
      <c r="H3116" s="8"/>
      <c r="I3116" s="15">
        <v>2</v>
      </c>
      <c r="J3116" s="15">
        <v>8</v>
      </c>
      <c r="K3116" s="12" t="str">
        <f>HYPERLINK("http://twitter.com/download/android","Twitter for Android")</f>
        <v>Twitter for Android</v>
      </c>
      <c r="L3116" s="16">
        <v>16</v>
      </c>
      <c r="M3116" s="16">
        <v>39</v>
      </c>
      <c r="N3116" s="16">
        <v>0</v>
      </c>
      <c r="O3116" s="17"/>
      <c r="P3116" s="18">
        <v>43482.540798611109</v>
      </c>
      <c r="Q3116" s="7"/>
      <c r="R3116" s="7" t="s">
        <v>17790</v>
      </c>
      <c r="S3116" s="8"/>
      <c r="T3116" s="8"/>
      <c r="U3116" s="19" t="str">
        <f>HYPERLINK("https://pbs.twimg.com/profile_images/1174943459175583744/HSD6YJ2b.jpg","View")</f>
        <v>View</v>
      </c>
      <c r="V3116" s="8"/>
      <c r="W3116" s="8"/>
      <c r="X3116" s="8"/>
      <c r="Y3116" s="8"/>
      <c r="Z3116" s="8"/>
    </row>
    <row r="3117" spans="1:26" ht="12.75">
      <c r="A3117" s="11">
        <v>43747.171689814815</v>
      </c>
      <c r="B3117" s="12" t="str">
        <f>HYPERLINK("https://twitter.com/MerdBurak","@MerdBurak")</f>
        <v>@MerdBurak</v>
      </c>
      <c r="C3117" s="7" t="s">
        <v>17791</v>
      </c>
      <c r="D3117" s="7" t="s">
        <v>17792</v>
      </c>
      <c r="E3117" s="12" t="str">
        <f>HYPERLINK("https://twitter.com/MerdBurak/status/1181888849796096001","1181888849796096001")</f>
        <v>1181888849796096001</v>
      </c>
      <c r="F3117" s="8"/>
      <c r="G3117" s="14" t="s">
        <v>17793</v>
      </c>
      <c r="H3117" s="8"/>
      <c r="I3117" s="15">
        <v>0</v>
      </c>
      <c r="J3117" s="15">
        <v>1</v>
      </c>
      <c r="K3117" s="12" t="str">
        <f>HYPERLINK("https://mobile.twitter.com","Twitter Web App")</f>
        <v>Twitter Web App</v>
      </c>
      <c r="L3117" s="16">
        <v>8</v>
      </c>
      <c r="M3117" s="16">
        <v>47</v>
      </c>
      <c r="N3117" s="16">
        <v>0</v>
      </c>
      <c r="O3117" s="17"/>
      <c r="P3117" s="18">
        <v>43719.223148148143</v>
      </c>
      <c r="Q3117" s="7"/>
      <c r="R3117" s="7" t="s">
        <v>17794</v>
      </c>
      <c r="S3117" s="8"/>
      <c r="T3117" s="8"/>
      <c r="U3117" s="19" t="str">
        <f>HYPERLINK("https://pbs.twimg.com/profile_images/1173953872819359744/FYK5IKVt.jpg","View")</f>
        <v>View</v>
      </c>
      <c r="V3117" s="8"/>
      <c r="W3117" s="8"/>
      <c r="X3117" s="8"/>
      <c r="Y3117" s="8"/>
      <c r="Z3117" s="8"/>
    </row>
    <row r="3118" spans="1:26" ht="12.75">
      <c r="A3118" s="11">
        <v>43747.171597222223</v>
      </c>
      <c r="B3118" s="12" t="str">
        <f>HYPERLINK("https://twitter.com/Fedakar70","@Fedakar70")</f>
        <v>@Fedakar70</v>
      </c>
      <c r="C3118" s="7" t="s">
        <v>17795</v>
      </c>
      <c r="D3118" s="7" t="s">
        <v>17796</v>
      </c>
      <c r="E3118" s="12" t="str">
        <f>HYPERLINK("https://twitter.com/Fedakar70/status/1181888813611786240","1181888813611786240")</f>
        <v>1181888813611786240</v>
      </c>
      <c r="F3118" s="8"/>
      <c r="G3118" s="14" t="s">
        <v>17797</v>
      </c>
      <c r="H3118" s="8"/>
      <c r="I3118" s="15">
        <v>0</v>
      </c>
      <c r="J3118" s="15">
        <v>1</v>
      </c>
      <c r="K3118" s="12" t="str">
        <f>HYPERLINK("https://mobile.twitter.com","Twitter Web App")</f>
        <v>Twitter Web App</v>
      </c>
      <c r="L3118" s="16">
        <v>2162</v>
      </c>
      <c r="M3118" s="16">
        <v>2158</v>
      </c>
      <c r="N3118" s="16">
        <v>1</v>
      </c>
      <c r="O3118" s="17"/>
      <c r="P3118" s="18">
        <v>40390.161527777775</v>
      </c>
      <c r="Q3118" s="7" t="s">
        <v>200</v>
      </c>
      <c r="R3118" s="7" t="s">
        <v>17798</v>
      </c>
      <c r="S3118" s="8"/>
      <c r="T3118" s="8"/>
      <c r="U3118" s="19" t="str">
        <f>HYPERLINK("https://pbs.twimg.com/profile_images/1126059725920112640/M5TRfyRY.png","View")</f>
        <v>View</v>
      </c>
      <c r="V3118" s="8"/>
      <c r="W3118" s="8"/>
      <c r="X3118" s="8"/>
      <c r="Y3118" s="8"/>
      <c r="Z3118" s="8"/>
    </row>
    <row r="3119" spans="1:26" ht="12.75">
      <c r="A3119" s="11">
        <v>43747.171585648146</v>
      </c>
      <c r="B3119" s="12" t="str">
        <f>HYPERLINK("https://twitter.com/valbistan","@valbistan")</f>
        <v>@valbistan</v>
      </c>
      <c r="C3119" s="7" t="s">
        <v>17799</v>
      </c>
      <c r="D3119" s="7" t="s">
        <v>17800</v>
      </c>
      <c r="E3119" s="12" t="str">
        <f>HYPERLINK("https://twitter.com/valbistan/status/1181888808977084416","1181888808977084416")</f>
        <v>1181888808977084416</v>
      </c>
      <c r="F3119" s="8"/>
      <c r="G3119" s="14" t="s">
        <v>17801</v>
      </c>
      <c r="H3119" s="8"/>
      <c r="I3119" s="15">
        <v>0</v>
      </c>
      <c r="J3119" s="15">
        <v>0</v>
      </c>
      <c r="K3119" s="12" t="str">
        <f>HYPERLINK("http://twitter.com/download/iphone","Twitter for iPhone")</f>
        <v>Twitter for iPhone</v>
      </c>
      <c r="L3119" s="16">
        <v>1987</v>
      </c>
      <c r="M3119" s="16">
        <v>2303</v>
      </c>
      <c r="N3119" s="16">
        <v>7</v>
      </c>
      <c r="O3119" s="17"/>
      <c r="P3119" s="18">
        <v>40448.113263888888</v>
      </c>
      <c r="Q3119" s="7" t="s">
        <v>287</v>
      </c>
      <c r="R3119" s="7" t="s">
        <v>17802</v>
      </c>
      <c r="S3119" s="8"/>
      <c r="T3119" s="8"/>
      <c r="U3119" s="19" t="str">
        <f>HYPERLINK("https://pbs.twimg.com/profile_images/1181534686977433601/1HvrtXtE.jpg","View")</f>
        <v>View</v>
      </c>
      <c r="V3119" s="8"/>
      <c r="W3119" s="8"/>
      <c r="X3119" s="8"/>
      <c r="Y3119" s="8"/>
      <c r="Z3119" s="8"/>
    </row>
    <row r="3120" spans="1:26" ht="12.75">
      <c r="A3120" s="11">
        <v>43747.171435185184</v>
      </c>
      <c r="B3120" s="12" t="str">
        <f>HYPERLINK("https://twitter.com/gadash78","@gadash78")</f>
        <v>@gadash78</v>
      </c>
      <c r="C3120" s="7" t="s">
        <v>17803</v>
      </c>
      <c r="D3120" s="7" t="s">
        <v>17804</v>
      </c>
      <c r="E3120" s="12" t="str">
        <f>HYPERLINK("https://twitter.com/gadash78/status/1181888755768143873","1181888755768143873")</f>
        <v>1181888755768143873</v>
      </c>
      <c r="F3120" s="8"/>
      <c r="G3120" s="14" t="s">
        <v>17805</v>
      </c>
      <c r="H3120" s="8"/>
      <c r="I3120" s="15">
        <v>0</v>
      </c>
      <c r="J3120" s="15">
        <v>3</v>
      </c>
      <c r="K3120" s="12" t="str">
        <f>HYPERLINK("http://twitter.com/download/iphone","Twitter for iPhone")</f>
        <v>Twitter for iPhone</v>
      </c>
      <c r="L3120" s="16">
        <v>1950</v>
      </c>
      <c r="M3120" s="16">
        <v>24</v>
      </c>
      <c r="N3120" s="16">
        <v>13</v>
      </c>
      <c r="O3120" s="17"/>
      <c r="P3120" s="18">
        <v>42435.162743055553</v>
      </c>
      <c r="Q3120" s="7" t="s">
        <v>17806</v>
      </c>
      <c r="R3120" s="7" t="s">
        <v>17807</v>
      </c>
      <c r="S3120" s="8"/>
      <c r="T3120" s="8"/>
      <c r="U3120" s="19" t="str">
        <f>HYPERLINK("https://pbs.twimg.com/profile_images/1152678531517820930/ZRZwtxG5.jpg","View")</f>
        <v>View</v>
      </c>
      <c r="V3120" s="8"/>
      <c r="W3120" s="8"/>
      <c r="X3120" s="8"/>
      <c r="Y3120" s="8"/>
      <c r="Z3120" s="8"/>
    </row>
    <row r="3121" spans="1:26" ht="12.75">
      <c r="A3121" s="11">
        <v>43747.171423611115</v>
      </c>
      <c r="B3121" s="12" t="str">
        <f>HYPERLINK("https://twitter.com/Burak_Unverdi","@Burak_Unverdi")</f>
        <v>@Burak_Unverdi</v>
      </c>
      <c r="C3121" s="7" t="s">
        <v>17808</v>
      </c>
      <c r="D3121" s="7" t="s">
        <v>17809</v>
      </c>
      <c r="E3121" s="12" t="str">
        <f>HYPERLINK("https://twitter.com/Burak_Unverdi/status/1181888750168748032","1181888750168748032")</f>
        <v>1181888750168748032</v>
      </c>
      <c r="F3121" s="7"/>
      <c r="G3121" s="14" t="s">
        <v>17810</v>
      </c>
      <c r="H3121" s="8"/>
      <c r="I3121" s="15">
        <v>0</v>
      </c>
      <c r="J3121" s="15">
        <v>3</v>
      </c>
      <c r="K3121" s="12" t="str">
        <f>HYPERLINK("https://mobile.twitter.com","Twitter Web App")</f>
        <v>Twitter Web App</v>
      </c>
      <c r="L3121" s="16">
        <v>86</v>
      </c>
      <c r="M3121" s="16">
        <v>180</v>
      </c>
      <c r="N3121" s="16">
        <v>0</v>
      </c>
      <c r="O3121" s="17"/>
      <c r="P3121" s="18">
        <v>42942.177233796298</v>
      </c>
      <c r="Q3121" s="7"/>
      <c r="R3121" s="7"/>
      <c r="S3121" s="15"/>
      <c r="T3121" s="8"/>
      <c r="U3121" s="19" t="str">
        <f>HYPERLINK("https://pbs.twimg.com/profile_images/1181889075915218947/xpdilXAc.jpg","View")</f>
        <v>View</v>
      </c>
      <c r="V3121" s="8"/>
      <c r="W3121" s="8"/>
      <c r="X3121" s="8"/>
      <c r="Y3121" s="8"/>
      <c r="Z3121" s="8"/>
    </row>
    <row r="3122" spans="1:26" ht="12.75">
      <c r="A3122" s="11">
        <v>43747.171365740738</v>
      </c>
      <c r="B3122" s="12" t="str">
        <f>HYPERLINK("https://twitter.com/fyuksel50","@fyuksel50")</f>
        <v>@fyuksel50</v>
      </c>
      <c r="C3122" s="7" t="s">
        <v>17811</v>
      </c>
      <c r="D3122" s="7" t="s">
        <v>17812</v>
      </c>
      <c r="E3122" s="12" t="str">
        <f>HYPERLINK("https://twitter.com/fyuksel50/status/1181888730770149377","1181888730770149377")</f>
        <v>1181888730770149377</v>
      </c>
      <c r="F3122" s="8"/>
      <c r="G3122" s="14" t="s">
        <v>17813</v>
      </c>
      <c r="H3122" s="8"/>
      <c r="I3122" s="15">
        <v>2</v>
      </c>
      <c r="J3122" s="15">
        <v>11</v>
      </c>
      <c r="K3122" s="12" t="str">
        <f>HYPERLINK("http://twitter.com/download/android","Twitter for Android")</f>
        <v>Twitter for Android</v>
      </c>
      <c r="L3122" s="16">
        <v>2011</v>
      </c>
      <c r="M3122" s="16">
        <v>763</v>
      </c>
      <c r="N3122" s="16">
        <v>1</v>
      </c>
      <c r="O3122" s="17"/>
      <c r="P3122" s="18">
        <v>41881.468622685185</v>
      </c>
      <c r="Q3122" s="7" t="s">
        <v>7053</v>
      </c>
      <c r="R3122" s="7" t="s">
        <v>17814</v>
      </c>
      <c r="S3122" s="14" t="s">
        <v>17815</v>
      </c>
      <c r="T3122" s="8"/>
      <c r="U3122" s="19" t="str">
        <f>HYPERLINK("https://pbs.twimg.com/profile_images/1176579565965271040/iMmzuvIv.jpg","View")</f>
        <v>View</v>
      </c>
      <c r="V3122" s="8"/>
      <c r="W3122" s="8"/>
      <c r="X3122" s="8"/>
      <c r="Y3122" s="8"/>
      <c r="Z3122" s="8"/>
    </row>
    <row r="3123" spans="1:26" ht="12.75">
      <c r="A3123" s="11">
        <v>43747.171354166669</v>
      </c>
      <c r="B3123" s="12" t="str">
        <f>HYPERLINK("https://twitter.com/thekadirs","@thekadirs")</f>
        <v>@thekadirs</v>
      </c>
      <c r="C3123" s="7" t="s">
        <v>17816</v>
      </c>
      <c r="D3123" s="7" t="s">
        <v>160</v>
      </c>
      <c r="E3123" s="12" t="str">
        <f>HYPERLINK("https://twitter.com/thekadirs/status/1181888727272083461","1181888727272083461")</f>
        <v>1181888727272083461</v>
      </c>
      <c r="F3123" s="8"/>
      <c r="G3123" s="15"/>
      <c r="H3123" s="8"/>
      <c r="I3123" s="15">
        <v>0</v>
      </c>
      <c r="J3123" s="15">
        <v>0</v>
      </c>
      <c r="K3123" s="12" t="str">
        <f>HYPERLINK("http://twitter.com/download/android","Twitter for Android")</f>
        <v>Twitter for Android</v>
      </c>
      <c r="L3123" s="16">
        <v>220</v>
      </c>
      <c r="M3123" s="16">
        <v>106</v>
      </c>
      <c r="N3123" s="16">
        <v>0</v>
      </c>
      <c r="O3123" s="17"/>
      <c r="P3123" s="18">
        <v>43488.310636574075</v>
      </c>
      <c r="Q3123" s="7" t="s">
        <v>17817</v>
      </c>
      <c r="R3123" s="7" t="s">
        <v>17818</v>
      </c>
      <c r="S3123" s="14" t="s">
        <v>17819</v>
      </c>
      <c r="T3123" s="8"/>
      <c r="U3123" s="19" t="str">
        <f>HYPERLINK("https://pbs.twimg.com/profile_images/1181889197608783872/Ly3A0E8W.jpg","View")</f>
        <v>View</v>
      </c>
      <c r="V3123" s="8"/>
      <c r="W3123" s="8"/>
      <c r="X3123" s="8"/>
      <c r="Y3123" s="8"/>
      <c r="Z3123" s="8"/>
    </row>
    <row r="3124" spans="1:26" ht="12.75">
      <c r="A3124" s="11">
        <v>43747.171307870369</v>
      </c>
      <c r="B3124" s="12" t="str">
        <f>HYPERLINK("https://twitter.com/cmericlihvis","@cmericlihvis")</f>
        <v>@cmericlihvis</v>
      </c>
      <c r="C3124" s="7" t="s">
        <v>17820</v>
      </c>
      <c r="D3124" s="7" t="s">
        <v>17821</v>
      </c>
      <c r="E3124" s="12" t="str">
        <f>HYPERLINK("https://twitter.com/cmericlihvis/status/1181888708154417157","1181888708154417157")</f>
        <v>1181888708154417157</v>
      </c>
      <c r="F3124" s="8"/>
      <c r="G3124" s="14" t="s">
        <v>17822</v>
      </c>
      <c r="H3124" s="8"/>
      <c r="I3124" s="15">
        <v>7</v>
      </c>
      <c r="J3124" s="15">
        <v>31</v>
      </c>
      <c r="K3124" s="12" t="str">
        <f>HYPERLINK("http://twitter.com/download/android","Twitter for Android")</f>
        <v>Twitter for Android</v>
      </c>
      <c r="L3124" s="16">
        <v>11249</v>
      </c>
      <c r="M3124" s="16">
        <v>6355</v>
      </c>
      <c r="N3124" s="16">
        <v>8</v>
      </c>
      <c r="O3124" s="17"/>
      <c r="P3124" s="18">
        <v>41633.357534722221</v>
      </c>
      <c r="Q3124" s="7" t="s">
        <v>17823</v>
      </c>
      <c r="R3124" s="7" t="s">
        <v>17824</v>
      </c>
      <c r="S3124" s="14" t="s">
        <v>17825</v>
      </c>
      <c r="T3124" s="8"/>
      <c r="U3124" s="19" t="str">
        <f>HYPERLINK("https://pbs.twimg.com/profile_images/1025291264185585669/xZ3jiPhI.jpg","View")</f>
        <v>View</v>
      </c>
      <c r="V3124" s="8"/>
      <c r="W3124" s="8"/>
      <c r="X3124" s="8"/>
      <c r="Y3124" s="8"/>
      <c r="Z3124" s="8"/>
    </row>
    <row r="3125" spans="1:26" ht="12.75">
      <c r="A3125" s="11">
        <v>43747.171284722222</v>
      </c>
      <c r="B3125" s="12" t="str">
        <f>HYPERLINK("https://twitter.com/TafOnFire","@TafOnFire")</f>
        <v>@TafOnFire</v>
      </c>
      <c r="C3125" s="7" t="s">
        <v>17826</v>
      </c>
      <c r="D3125" s="7" t="s">
        <v>17827</v>
      </c>
      <c r="E3125" s="12" t="str">
        <f>HYPERLINK("https://twitter.com/TafOnFire/status/1181888701502234624","1181888701502234624")</f>
        <v>1181888701502234624</v>
      </c>
      <c r="F3125" s="8"/>
      <c r="G3125" s="14" t="s">
        <v>17828</v>
      </c>
      <c r="H3125" s="8"/>
      <c r="I3125" s="15">
        <v>1</v>
      </c>
      <c r="J3125" s="15">
        <v>1</v>
      </c>
      <c r="K3125" s="12" t="str">
        <f>HYPERLINK("https://mobile.twitter.com","Twitter Web App")</f>
        <v>Twitter Web App</v>
      </c>
      <c r="L3125" s="16">
        <v>593</v>
      </c>
      <c r="M3125" s="16">
        <v>519</v>
      </c>
      <c r="N3125" s="16">
        <v>15</v>
      </c>
      <c r="O3125" s="17"/>
      <c r="P3125" s="18">
        <v>43117.652743055558</v>
      </c>
      <c r="Q3125" s="7"/>
      <c r="R3125" s="7"/>
      <c r="S3125" s="8"/>
      <c r="T3125" s="8"/>
      <c r="U3125" s="19" t="str">
        <f>HYPERLINK("https://pbs.twimg.com/profile_images/1121326133549649920/bpuF78WS.png","View")</f>
        <v>View</v>
      </c>
      <c r="V3125" s="8"/>
      <c r="W3125" s="8"/>
      <c r="X3125" s="8"/>
      <c r="Y3125" s="8"/>
      <c r="Z3125" s="8"/>
    </row>
    <row r="3126" spans="1:26" ht="12.75">
      <c r="A3126" s="11">
        <v>43747.171215277776</v>
      </c>
      <c r="B3126" s="12" t="str">
        <f>HYPERLINK("https://twitter.com/cem_kirman","@cem_kirman")</f>
        <v>@cem_kirman</v>
      </c>
      <c r="C3126" s="7" t="s">
        <v>17829</v>
      </c>
      <c r="D3126" s="7" t="s">
        <v>17830</v>
      </c>
      <c r="E3126" s="12" t="str">
        <f>HYPERLINK("https://twitter.com/cem_kirman/status/1181888676311248896","1181888676311248896")</f>
        <v>1181888676311248896</v>
      </c>
      <c r="F3126" s="8"/>
      <c r="G3126" s="14" t="s">
        <v>17831</v>
      </c>
      <c r="H3126" s="8"/>
      <c r="I3126" s="15">
        <v>0</v>
      </c>
      <c r="J3126" s="15">
        <v>2</v>
      </c>
      <c r="K3126" s="12" t="str">
        <f>HYPERLINK("http://twitter.com/download/iphone","Twitter for iPhone")</f>
        <v>Twitter for iPhone</v>
      </c>
      <c r="L3126" s="16">
        <v>33</v>
      </c>
      <c r="M3126" s="16">
        <v>82</v>
      </c>
      <c r="N3126" s="16">
        <v>0</v>
      </c>
      <c r="O3126" s="17"/>
      <c r="P3126" s="18">
        <v>42978.584340277783</v>
      </c>
      <c r="Q3126" s="7"/>
      <c r="R3126" s="7"/>
      <c r="S3126" s="15"/>
      <c r="T3126" s="8"/>
      <c r="U3126" s="19" t="str">
        <f>HYPERLINK("https://pbs.twimg.com/profile_images/1086992529394987008/mZaL3L20.jpg","View")</f>
        <v>View</v>
      </c>
      <c r="V3126" s="8"/>
      <c r="W3126" s="8"/>
      <c r="X3126" s="8"/>
      <c r="Y3126" s="8"/>
      <c r="Z3126" s="8"/>
    </row>
    <row r="3127" spans="1:26" ht="12.75">
      <c r="A3127" s="11">
        <v>43747.171111111107</v>
      </c>
      <c r="B3127" s="12" t="str">
        <f>HYPERLINK("https://twitter.com/ugur_ern","@ugur_ern")</f>
        <v>@ugur_ern</v>
      </c>
      <c r="C3127" s="7" t="s">
        <v>17832</v>
      </c>
      <c r="D3127" s="7" t="s">
        <v>17833</v>
      </c>
      <c r="E3127" s="12" t="str">
        <f>HYPERLINK("https://twitter.com/ugur_ern/status/1181888640022134784","1181888640022134784")</f>
        <v>1181888640022134784</v>
      </c>
      <c r="F3127" s="8"/>
      <c r="G3127" s="14" t="s">
        <v>17834</v>
      </c>
      <c r="H3127" s="8"/>
      <c r="I3127" s="15">
        <v>0</v>
      </c>
      <c r="J3127" s="15">
        <v>0</v>
      </c>
      <c r="K3127" s="12" t="str">
        <f>HYPERLINK("http://twitter.com/download/android","Twitter for Android")</f>
        <v>Twitter for Android</v>
      </c>
      <c r="L3127" s="16">
        <v>201</v>
      </c>
      <c r="M3127" s="16">
        <v>1146</v>
      </c>
      <c r="N3127" s="16">
        <v>1</v>
      </c>
      <c r="O3127" s="17"/>
      <c r="P3127" s="18">
        <v>40156.128969907411</v>
      </c>
      <c r="Q3127" s="7" t="s">
        <v>17835</v>
      </c>
      <c r="R3127" s="7" t="s">
        <v>17836</v>
      </c>
      <c r="S3127" s="14" t="s">
        <v>17837</v>
      </c>
      <c r="T3127" s="8"/>
      <c r="U3127" s="19" t="str">
        <f>HYPERLINK("https://pbs.twimg.com/profile_images/891472489192333312/jcdRSwjX.jpg","View")</f>
        <v>View</v>
      </c>
      <c r="V3127" s="8"/>
      <c r="W3127" s="8"/>
      <c r="X3127" s="8"/>
      <c r="Y3127" s="8"/>
      <c r="Z3127" s="8"/>
    </row>
    <row r="3128" spans="1:26" ht="12.75">
      <c r="A3128" s="11">
        <v>43747.171041666668</v>
      </c>
      <c r="B3128" s="12" t="str">
        <f>HYPERLINK("https://twitter.com/hsyn_sfk","@hsyn_sfk")</f>
        <v>@hsyn_sfk</v>
      </c>
      <c r="C3128" s="7" t="s">
        <v>17838</v>
      </c>
      <c r="D3128" s="7" t="s">
        <v>17839</v>
      </c>
      <c r="E3128" s="12" t="str">
        <f>HYPERLINK("https://twitter.com/hsyn_sfk/status/1181888615137382401","1181888615137382401")</f>
        <v>1181888615137382401</v>
      </c>
      <c r="F3128" s="8"/>
      <c r="G3128" s="7"/>
      <c r="H3128" s="8"/>
      <c r="I3128" s="15">
        <v>0</v>
      </c>
      <c r="J3128" s="15">
        <v>1</v>
      </c>
      <c r="K3128" s="12" t="str">
        <f>HYPERLINK("http://twitter.com/download/android","Twitter for Android")</f>
        <v>Twitter for Android</v>
      </c>
      <c r="L3128" s="16">
        <v>33</v>
      </c>
      <c r="M3128" s="16">
        <v>28</v>
      </c>
      <c r="N3128" s="16">
        <v>0</v>
      </c>
      <c r="O3128" s="17"/>
      <c r="P3128" s="18">
        <v>42829.049421296295</v>
      </c>
      <c r="Q3128" s="7" t="s">
        <v>200</v>
      </c>
      <c r="R3128" s="7" t="s">
        <v>17840</v>
      </c>
      <c r="S3128" s="8"/>
      <c r="T3128" s="8"/>
      <c r="U3128" s="19" t="str">
        <f>HYPERLINK("https://pbs.twimg.com/profile_images/993406401455247360/KTH6aTcl.jpg","View")</f>
        <v>View</v>
      </c>
      <c r="V3128" s="8"/>
      <c r="W3128" s="8"/>
      <c r="X3128" s="8"/>
      <c r="Y3128" s="8"/>
      <c r="Z3128" s="8"/>
    </row>
    <row r="3129" spans="1:26" ht="12.75">
      <c r="A3129" s="11">
        <v>43747.171030092592</v>
      </c>
      <c r="B3129" s="12" t="str">
        <f>HYPERLINK("https://twitter.com/BayBeyaz01","@BayBeyaz01")</f>
        <v>@BayBeyaz01</v>
      </c>
      <c r="C3129" s="7" t="s">
        <v>17841</v>
      </c>
      <c r="D3129" s="7" t="s">
        <v>17842</v>
      </c>
      <c r="E3129" s="12" t="str">
        <f>HYPERLINK("https://twitter.com/BayBeyaz01/status/1181888609194053632","1181888609194053632")</f>
        <v>1181888609194053632</v>
      </c>
      <c r="F3129" s="8"/>
      <c r="G3129" s="14" t="s">
        <v>17843</v>
      </c>
      <c r="H3129" s="8"/>
      <c r="I3129" s="15">
        <v>0</v>
      </c>
      <c r="J3129" s="15">
        <v>1</v>
      </c>
      <c r="K3129" s="12" t="str">
        <f>HYPERLINK("http://twitter.com/download/iphone","Twitter for iPhone")</f>
        <v>Twitter for iPhone</v>
      </c>
      <c r="L3129" s="16">
        <v>57</v>
      </c>
      <c r="M3129" s="16">
        <v>334</v>
      </c>
      <c r="N3129" s="16">
        <v>0</v>
      </c>
      <c r="O3129" s="17"/>
      <c r="P3129" s="18">
        <v>42903.677199074074</v>
      </c>
      <c r="Q3129" s="7" t="s">
        <v>351</v>
      </c>
      <c r="R3129" s="7" t="s">
        <v>17844</v>
      </c>
      <c r="S3129" s="14" t="s">
        <v>17845</v>
      </c>
      <c r="T3129" s="8"/>
      <c r="U3129" s="19" t="str">
        <f>HYPERLINK("https://pbs.twimg.com/profile_images/1179499767367442432/Xrfi1sgV.jpg","View")</f>
        <v>View</v>
      </c>
      <c r="V3129" s="8"/>
      <c r="W3129" s="8"/>
      <c r="X3129" s="8"/>
      <c r="Y3129" s="8"/>
      <c r="Z3129" s="8"/>
    </row>
    <row r="3130" spans="1:26" ht="12.75">
      <c r="A3130" s="11">
        <v>43747.170949074076</v>
      </c>
      <c r="B3130" s="12" t="str">
        <f>HYPERLINK("https://twitter.com/Ruhufeza__","@Ruhufeza__")</f>
        <v>@Ruhufeza__</v>
      </c>
      <c r="C3130" s="7" t="s">
        <v>17846</v>
      </c>
      <c r="D3130" s="7" t="s">
        <v>17847</v>
      </c>
      <c r="E3130" s="12" t="str">
        <f>HYPERLINK("https://twitter.com/Ruhufeza__/status/1181888578500083713","1181888578500083713")</f>
        <v>1181888578500083713</v>
      </c>
      <c r="F3130" s="8"/>
      <c r="G3130" s="14" t="s">
        <v>17848</v>
      </c>
      <c r="H3130" s="8"/>
      <c r="I3130" s="15">
        <v>1</v>
      </c>
      <c r="J3130" s="15">
        <v>3</v>
      </c>
      <c r="K3130" s="12" t="str">
        <f>HYPERLINK("http://twitter.com/download/android","Twitter for Android")</f>
        <v>Twitter for Android</v>
      </c>
      <c r="L3130" s="16">
        <v>14</v>
      </c>
      <c r="M3130" s="16">
        <v>60</v>
      </c>
      <c r="N3130" s="16">
        <v>0</v>
      </c>
      <c r="O3130" s="17"/>
      <c r="P3130" s="18">
        <v>42253.55631944444</v>
      </c>
      <c r="Q3130" s="7"/>
      <c r="R3130" s="7" t="s">
        <v>17849</v>
      </c>
      <c r="S3130" s="8"/>
      <c r="T3130" s="8"/>
      <c r="U3130" s="19" t="str">
        <f>HYPERLINK("https://pbs.twimg.com/profile_images/1180239549584351233/-ujPKRXG.jpg","View")</f>
        <v>View</v>
      </c>
      <c r="V3130" s="8"/>
      <c r="W3130" s="8"/>
      <c r="X3130" s="8"/>
      <c r="Y3130" s="8"/>
      <c r="Z3130" s="8"/>
    </row>
    <row r="3131" spans="1:26" ht="12.75">
      <c r="A3131" s="11">
        <v>43747.170914351853</v>
      </c>
      <c r="B3131" s="12" t="str">
        <f>HYPERLINK("https://twitter.com/BedriyeUyanik","@BedriyeUyanik")</f>
        <v>@BedriyeUyanik</v>
      </c>
      <c r="C3131" s="7" t="s">
        <v>17850</v>
      </c>
      <c r="D3131" s="7" t="s">
        <v>17851</v>
      </c>
      <c r="E3131" s="12" t="str">
        <f>HYPERLINK("https://twitter.com/BedriyeUyanik/status/1181888566684721153","1181888566684721153")</f>
        <v>1181888566684721153</v>
      </c>
      <c r="F3131" s="8"/>
      <c r="G3131" s="7"/>
      <c r="H3131" s="8"/>
      <c r="I3131" s="15">
        <v>0</v>
      </c>
      <c r="J3131" s="15">
        <v>0</v>
      </c>
      <c r="K3131" s="12" t="str">
        <f>HYPERLINK("http://twitter.com","Twitter Web Client")</f>
        <v>Twitter Web Client</v>
      </c>
      <c r="L3131" s="16">
        <v>4</v>
      </c>
      <c r="M3131" s="16">
        <v>0</v>
      </c>
      <c r="N3131" s="16">
        <v>1</v>
      </c>
      <c r="O3131" s="17"/>
      <c r="P3131" s="18">
        <v>43597.458912037036</v>
      </c>
      <c r="Q3131" s="7" t="s">
        <v>17852</v>
      </c>
      <c r="R3131" s="7" t="s">
        <v>17853</v>
      </c>
      <c r="S3131" s="8"/>
      <c r="T3131" s="8"/>
      <c r="U3131" s="19" t="str">
        <f>HYPERLINK("https://pbs.twimg.com/profile_images/1132199872151601152/umVAUd0S.jpg","View")</f>
        <v>View</v>
      </c>
      <c r="V3131" s="8"/>
      <c r="W3131" s="8"/>
      <c r="X3131" s="8"/>
      <c r="Y3131" s="8"/>
      <c r="Z3131" s="8"/>
    </row>
    <row r="3132" spans="1:26" ht="12.75">
      <c r="A3132" s="11">
        <v>43747.170914351853</v>
      </c>
      <c r="B3132" s="12" t="str">
        <f>HYPERLINK("https://twitter.com/onurcaliik","@onurcaliik")</f>
        <v>@onurcaliik</v>
      </c>
      <c r="C3132" s="7" t="s">
        <v>17854</v>
      </c>
      <c r="D3132" s="7" t="s">
        <v>17855</v>
      </c>
      <c r="E3132" s="12" t="str">
        <f>HYPERLINK("https://twitter.com/onurcaliik/status/1181888566508625920","1181888566508625920")</f>
        <v>1181888566508625920</v>
      </c>
      <c r="F3132" s="8"/>
      <c r="G3132" s="7"/>
      <c r="H3132" s="8"/>
      <c r="I3132" s="15">
        <v>0</v>
      </c>
      <c r="J3132" s="15">
        <v>1</v>
      </c>
      <c r="K3132" s="12" t="str">
        <f>HYPERLINK("http://twitter.com/download/android","Twitter for Android")</f>
        <v>Twitter for Android</v>
      </c>
      <c r="L3132" s="16">
        <v>75</v>
      </c>
      <c r="M3132" s="16">
        <v>97</v>
      </c>
      <c r="N3132" s="16">
        <v>0</v>
      </c>
      <c r="O3132" s="17"/>
      <c r="P3132" s="18">
        <v>42470.659780092596</v>
      </c>
      <c r="Q3132" s="7"/>
      <c r="R3132" s="7" t="s">
        <v>17856</v>
      </c>
      <c r="S3132" s="8"/>
      <c r="T3132" s="8"/>
      <c r="U3132" s="19" t="str">
        <f>HYPERLINK("https://pbs.twimg.com/profile_images/1129092554992037892/MB_m5Hjo.jpg","View")</f>
        <v>View</v>
      </c>
      <c r="V3132" s="8"/>
      <c r="W3132" s="8"/>
      <c r="X3132" s="8"/>
      <c r="Y3132" s="8"/>
      <c r="Z3132" s="8"/>
    </row>
    <row r="3133" spans="1:26" ht="12.75">
      <c r="A3133" s="11">
        <v>43747.17087962963</v>
      </c>
      <c r="B3133" s="12" t="str">
        <f>HYPERLINK("https://twitter.com/Avmsgunel","@Avmsgunel")</f>
        <v>@Avmsgunel</v>
      </c>
      <c r="C3133" s="7" t="s">
        <v>17857</v>
      </c>
      <c r="D3133" s="7" t="s">
        <v>17858</v>
      </c>
      <c r="E3133" s="12" t="str">
        <f>HYPERLINK("https://twitter.com/Avmsgunel/status/1181888555842506752","1181888555842506752")</f>
        <v>1181888555842506752</v>
      </c>
      <c r="F3133" s="8"/>
      <c r="G3133" s="15"/>
      <c r="H3133" s="8"/>
      <c r="I3133" s="15">
        <v>0</v>
      </c>
      <c r="J3133" s="15">
        <v>0</v>
      </c>
      <c r="K3133" s="12" t="str">
        <f>HYPERLINK("https://mobile.twitter.com","Twitter Web App")</f>
        <v>Twitter Web App</v>
      </c>
      <c r="L3133" s="16">
        <v>739</v>
      </c>
      <c r="M3133" s="16">
        <v>1578</v>
      </c>
      <c r="N3133" s="16">
        <v>2</v>
      </c>
      <c r="O3133" s="17"/>
      <c r="P3133" s="18">
        <v>41708.359085648146</v>
      </c>
      <c r="Q3133" s="7" t="s">
        <v>11756</v>
      </c>
      <c r="R3133" s="7" t="s">
        <v>17859</v>
      </c>
      <c r="S3133" s="8"/>
      <c r="T3133" s="8"/>
      <c r="U3133" s="19" t="str">
        <f>HYPERLINK("https://pbs.twimg.com/profile_images/854379880397643778/RrnYGCwW.jpg","View")</f>
        <v>View</v>
      </c>
      <c r="V3133" s="8"/>
      <c r="W3133" s="8"/>
      <c r="X3133" s="8"/>
      <c r="Y3133" s="8"/>
      <c r="Z3133" s="8"/>
    </row>
    <row r="3134" spans="1:26" ht="12.75">
      <c r="A3134" s="11">
        <v>43747.170752314814</v>
      </c>
      <c r="B3134" s="12" t="str">
        <f>HYPERLINK("https://twitter.com/ozdemirovich","@ozdemirovich")</f>
        <v>@ozdemirovich</v>
      </c>
      <c r="C3134" s="7" t="s">
        <v>4769</v>
      </c>
      <c r="D3134" s="7" t="s">
        <v>17860</v>
      </c>
      <c r="E3134" s="12" t="str">
        <f>HYPERLINK("https://twitter.com/ozdemirovich/status/1181888509235343360","1181888509235343360")</f>
        <v>1181888509235343360</v>
      </c>
      <c r="F3134" s="8"/>
      <c r="G3134" s="7"/>
      <c r="H3134" s="8"/>
      <c r="I3134" s="15">
        <v>2</v>
      </c>
      <c r="J3134" s="15">
        <v>1</v>
      </c>
      <c r="K3134" s="12" t="str">
        <f>HYPERLINK("http://twitter.com/download/android","Twitter for Android")</f>
        <v>Twitter for Android</v>
      </c>
      <c r="L3134" s="16">
        <v>617</v>
      </c>
      <c r="M3134" s="16">
        <v>109</v>
      </c>
      <c r="N3134" s="16">
        <v>0</v>
      </c>
      <c r="O3134" s="17"/>
      <c r="P3134" s="18">
        <v>42967.723171296297</v>
      </c>
      <c r="Q3134" s="7"/>
      <c r="R3134" s="7" t="s">
        <v>17861</v>
      </c>
      <c r="S3134" s="8"/>
      <c r="T3134" s="8"/>
      <c r="U3134" s="19" t="str">
        <f>HYPERLINK("https://pbs.twimg.com/profile_images/1177923630900088832/2ThhKS3H.jpg","View")</f>
        <v>View</v>
      </c>
      <c r="V3134" s="8"/>
      <c r="W3134" s="8"/>
      <c r="X3134" s="8"/>
      <c r="Y3134" s="8"/>
      <c r="Z3134" s="8"/>
    </row>
    <row r="3135" spans="1:26" ht="12.75">
      <c r="A3135" s="11">
        <v>43747.170717592591</v>
      </c>
      <c r="B3135" s="12" t="str">
        <f>HYPERLINK("https://twitter.com/nurullahAkca1","@nurullahAkca1")</f>
        <v>@nurullahAkca1</v>
      </c>
      <c r="C3135" s="7" t="s">
        <v>17862</v>
      </c>
      <c r="D3135" s="7" t="s">
        <v>8431</v>
      </c>
      <c r="E3135" s="12" t="str">
        <f>HYPERLINK("https://twitter.com/nurullahAkca1/status/1181888497923379201","1181888497923379201")</f>
        <v>1181888497923379201</v>
      </c>
      <c r="F3135" s="8"/>
      <c r="G3135" s="7"/>
      <c r="H3135" s="8"/>
      <c r="I3135" s="15">
        <v>0</v>
      </c>
      <c r="J3135" s="15">
        <v>0</v>
      </c>
      <c r="K3135" s="12" t="str">
        <f>HYPERLINK("http://twitter.com/download/iphone","Twitter for iPhone")</f>
        <v>Twitter for iPhone</v>
      </c>
      <c r="L3135" s="16">
        <v>114</v>
      </c>
      <c r="M3135" s="16">
        <v>58</v>
      </c>
      <c r="N3135" s="16">
        <v>0</v>
      </c>
      <c r="O3135" s="17"/>
      <c r="P3135" s="18">
        <v>42323.40048611111</v>
      </c>
      <c r="Q3135" s="7"/>
      <c r="R3135" s="7"/>
      <c r="S3135" s="8"/>
      <c r="T3135" s="8"/>
      <c r="U3135" s="19" t="str">
        <f>HYPERLINK("https://pbs.twimg.com/profile_images/1135670110914564102/ncwa8soB.jpg","View")</f>
        <v>View</v>
      </c>
      <c r="V3135" s="8"/>
      <c r="W3135" s="8"/>
      <c r="X3135" s="8"/>
      <c r="Y3135" s="8"/>
      <c r="Z3135" s="8"/>
    </row>
    <row r="3136" spans="1:26" ht="12.75">
      <c r="A3136" s="11">
        <v>43747.170694444445</v>
      </c>
      <c r="B3136" s="12" t="str">
        <f>HYPERLINK("https://twitter.com/cihangirartun","@cihangirartun")</f>
        <v>@cihangirartun</v>
      </c>
      <c r="C3136" s="7" t="s">
        <v>17863</v>
      </c>
      <c r="D3136" s="7" t="s">
        <v>17864</v>
      </c>
      <c r="E3136" s="12" t="str">
        <f>HYPERLINK("https://twitter.com/cihangirartun/status/1181888488217698304","1181888488217698304")</f>
        <v>1181888488217698304</v>
      </c>
      <c r="F3136" s="8"/>
      <c r="G3136" s="15"/>
      <c r="H3136" s="8"/>
      <c r="I3136" s="15">
        <v>0</v>
      </c>
      <c r="J3136" s="15">
        <v>1</v>
      </c>
      <c r="K3136" s="12" t="str">
        <f>HYPERLINK("https://mobile.twitter.com","Twitter Web App")</f>
        <v>Twitter Web App</v>
      </c>
      <c r="L3136" s="16">
        <v>1594</v>
      </c>
      <c r="M3136" s="16">
        <v>1441</v>
      </c>
      <c r="N3136" s="16">
        <v>1</v>
      </c>
      <c r="O3136" s="17"/>
      <c r="P3136" s="18">
        <v>40754.114837962959</v>
      </c>
      <c r="Q3136" s="7" t="s">
        <v>918</v>
      </c>
      <c r="R3136" s="7" t="s">
        <v>17865</v>
      </c>
      <c r="S3136" s="8"/>
      <c r="T3136" s="8"/>
      <c r="U3136" s="19" t="str">
        <f>HYPERLINK("https://pbs.twimg.com/profile_images/1091446906918703105/e_MGHE9s.jpg","View")</f>
        <v>View</v>
      </c>
      <c r="V3136" s="8"/>
      <c r="W3136" s="8"/>
      <c r="X3136" s="8"/>
      <c r="Y3136" s="8"/>
      <c r="Z3136" s="8"/>
    </row>
    <row r="3137" spans="1:26" ht="12.75">
      <c r="A3137" s="11">
        <v>43747.170694444445</v>
      </c>
      <c r="B3137" s="12" t="str">
        <f>HYPERLINK("https://twitter.com/IsmailSecik","@IsmailSecik")</f>
        <v>@IsmailSecik</v>
      </c>
      <c r="C3137" s="7" t="s">
        <v>17866</v>
      </c>
      <c r="D3137" s="7" t="s">
        <v>17867</v>
      </c>
      <c r="E3137" s="12" t="str">
        <f>HYPERLINK("https://twitter.com/IsmailSecik/status/1181888486770708481","1181888486770708481")</f>
        <v>1181888486770708481</v>
      </c>
      <c r="F3137" s="8"/>
      <c r="G3137" s="7"/>
      <c r="H3137" s="8"/>
      <c r="I3137" s="15">
        <v>0</v>
      </c>
      <c r="J3137" s="15">
        <v>5</v>
      </c>
      <c r="K3137" s="12" t="str">
        <f>HYPERLINK("http://twitter.com/download/android","Twitter for Android")</f>
        <v>Twitter for Android</v>
      </c>
      <c r="L3137" s="16">
        <v>88</v>
      </c>
      <c r="M3137" s="16">
        <v>119</v>
      </c>
      <c r="N3137" s="16">
        <v>0</v>
      </c>
      <c r="O3137" s="17"/>
      <c r="P3137" s="18">
        <v>42978.034826388888</v>
      </c>
      <c r="Q3137" s="7" t="s">
        <v>17868</v>
      </c>
      <c r="R3137" s="7" t="s">
        <v>17869</v>
      </c>
      <c r="S3137" s="14" t="s">
        <v>17870</v>
      </c>
      <c r="T3137" s="8"/>
      <c r="U3137" s="19" t="str">
        <f>HYPERLINK("https://pbs.twimg.com/profile_images/1180574463517171712/vmbfcc2d.jpg","View")</f>
        <v>View</v>
      </c>
      <c r="V3137" s="8"/>
      <c r="W3137" s="8"/>
      <c r="X3137" s="8"/>
      <c r="Y3137" s="8"/>
      <c r="Z3137" s="8"/>
    </row>
    <row r="3138" spans="1:26" ht="12.75">
      <c r="A3138" s="11">
        <v>43747.170659722222</v>
      </c>
      <c r="B3138" s="12" t="str">
        <f>HYPERLINK("https://twitter.com/kerasu_s","@kerasu_s")</f>
        <v>@kerasu_s</v>
      </c>
      <c r="C3138" s="7" t="s">
        <v>17871</v>
      </c>
      <c r="D3138" s="7" t="s">
        <v>17872</v>
      </c>
      <c r="E3138" s="12" t="str">
        <f>HYPERLINK("https://twitter.com/kerasu_s/status/1181888473906778112","1181888473906778112")</f>
        <v>1181888473906778112</v>
      </c>
      <c r="F3138" s="8"/>
      <c r="G3138" s="14" t="s">
        <v>17873</v>
      </c>
      <c r="H3138" s="8"/>
      <c r="I3138" s="15">
        <v>0</v>
      </c>
      <c r="J3138" s="15">
        <v>0</v>
      </c>
      <c r="K3138" s="12" t="str">
        <f>HYPERLINK("http://twitter.com/download/iphone","Twitter for iPhone")</f>
        <v>Twitter for iPhone</v>
      </c>
      <c r="L3138" s="16">
        <v>34</v>
      </c>
      <c r="M3138" s="16">
        <v>167</v>
      </c>
      <c r="N3138" s="16">
        <v>0</v>
      </c>
      <c r="O3138" s="17"/>
      <c r="P3138" s="18">
        <v>40203.412511574075</v>
      </c>
      <c r="Q3138" s="7"/>
      <c r="R3138" s="7"/>
      <c r="S3138" s="8"/>
      <c r="T3138" s="8"/>
      <c r="U3138" s="19" t="str">
        <f>HYPERLINK("https://pbs.twimg.com/profile_images/2883215958/b1ff3aa545bd0c7947276615bfec2efa.jpeg","View")</f>
        <v>View</v>
      </c>
      <c r="V3138" s="8"/>
      <c r="W3138" s="8"/>
      <c r="X3138" s="8"/>
      <c r="Y3138" s="8"/>
      <c r="Z3138" s="8"/>
    </row>
    <row r="3139" spans="1:26" ht="12.75">
      <c r="A3139" s="11">
        <v>43747.170474537037</v>
      </c>
      <c r="B3139" s="12" t="str">
        <f>HYPERLINK("https://twitter.com/isik_cahit","@isik_cahit")</f>
        <v>@isik_cahit</v>
      </c>
      <c r="C3139" s="7" t="s">
        <v>17874</v>
      </c>
      <c r="D3139" s="7" t="s">
        <v>17875</v>
      </c>
      <c r="E3139" s="12" t="str">
        <f>HYPERLINK("https://twitter.com/isik_cahit/status/1181888406260981761","1181888406260981761")</f>
        <v>1181888406260981761</v>
      </c>
      <c r="F3139" s="8"/>
      <c r="G3139" s="7"/>
      <c r="H3139" s="8"/>
      <c r="I3139" s="15">
        <v>0</v>
      </c>
      <c r="J3139" s="15">
        <v>4</v>
      </c>
      <c r="K3139" s="12" t="str">
        <f>HYPERLINK("http://twitter.com/download/iphone","Twitter for iPhone")</f>
        <v>Twitter for iPhone</v>
      </c>
      <c r="L3139" s="16">
        <v>2099</v>
      </c>
      <c r="M3139" s="16">
        <v>2731</v>
      </c>
      <c r="N3139" s="16">
        <v>1</v>
      </c>
      <c r="O3139" s="17"/>
      <c r="P3139" s="18">
        <v>41002.555925925924</v>
      </c>
      <c r="Q3139" s="7" t="s">
        <v>17876</v>
      </c>
      <c r="R3139" s="7" t="s">
        <v>17877</v>
      </c>
      <c r="S3139" s="8"/>
      <c r="T3139" s="8"/>
      <c r="U3139" s="19" t="str">
        <f>HYPERLINK("https://pbs.twimg.com/profile_images/1162321133502377986/i93wHK2t.jpg","View")</f>
        <v>View</v>
      </c>
      <c r="V3139" s="8"/>
      <c r="W3139" s="8"/>
      <c r="X3139" s="8"/>
      <c r="Y3139" s="8"/>
      <c r="Z3139" s="8"/>
    </row>
    <row r="3140" spans="1:26" ht="12.75">
      <c r="A3140" s="11">
        <v>43747.170428240745</v>
      </c>
      <c r="B3140" s="12" t="str">
        <f>HYPERLINK("https://twitter.com/GerzeliMuriqi","@GerzeliMuriqi")</f>
        <v>@GerzeliMuriqi</v>
      </c>
      <c r="C3140" s="7" t="s">
        <v>17878</v>
      </c>
      <c r="D3140" s="7" t="s">
        <v>17879</v>
      </c>
      <c r="E3140" s="12" t="str">
        <f>HYPERLINK("https://twitter.com/GerzeliMuriqi/status/1181888391941644288","1181888391941644288")</f>
        <v>1181888391941644288</v>
      </c>
      <c r="F3140" s="15"/>
      <c r="G3140" s="15"/>
      <c r="H3140" s="8"/>
      <c r="I3140" s="15">
        <v>0</v>
      </c>
      <c r="J3140" s="15">
        <v>0</v>
      </c>
      <c r="K3140" s="12" t="str">
        <f>HYPERLINK("http://twitter.com/download/android","Twitter for Android")</f>
        <v>Twitter for Android</v>
      </c>
      <c r="L3140" s="16">
        <v>25</v>
      </c>
      <c r="M3140" s="16">
        <v>194</v>
      </c>
      <c r="N3140" s="16">
        <v>0</v>
      </c>
      <c r="O3140" s="17"/>
      <c r="P3140" s="18">
        <v>43711.142858796295</v>
      </c>
      <c r="Q3140" s="7" t="s">
        <v>17880</v>
      </c>
      <c r="R3140" s="7" t="s">
        <v>17881</v>
      </c>
      <c r="S3140" s="8"/>
      <c r="T3140" s="8"/>
      <c r="U3140" s="19" t="str">
        <f>HYPERLINK("https://pbs.twimg.com/profile_images/1168834865225240576/LaaKeDbH.jpg","View")</f>
        <v>View</v>
      </c>
      <c r="V3140" s="8"/>
      <c r="W3140" s="8"/>
      <c r="X3140" s="8"/>
      <c r="Y3140" s="8"/>
      <c r="Z3140" s="8"/>
    </row>
    <row r="3141" spans="1:26" ht="12.75">
      <c r="A3141" s="11">
        <v>43747.170416666668</v>
      </c>
      <c r="B3141" s="12" t="str">
        <f>HYPERLINK("https://twitter.com/GoranOlmez","@GoranOlmez")</f>
        <v>@GoranOlmez</v>
      </c>
      <c r="C3141" s="7" t="s">
        <v>17882</v>
      </c>
      <c r="D3141" s="7" t="s">
        <v>17883</v>
      </c>
      <c r="E3141" s="12" t="str">
        <f>HYPERLINK("https://twitter.com/GoranOlmez/status/1181888387185332224","1181888387185332224")</f>
        <v>1181888387185332224</v>
      </c>
      <c r="F3141" s="8"/>
      <c r="G3141" s="15"/>
      <c r="H3141" s="8"/>
      <c r="I3141" s="15">
        <v>0</v>
      </c>
      <c r="J3141" s="15">
        <v>1</v>
      </c>
      <c r="K3141" s="12" t="str">
        <f>HYPERLINK("http://twitter.com","Twitter Web Client")</f>
        <v>Twitter Web Client</v>
      </c>
      <c r="L3141" s="16">
        <v>4</v>
      </c>
      <c r="M3141" s="16">
        <v>0</v>
      </c>
      <c r="N3141" s="16">
        <v>0</v>
      </c>
      <c r="O3141" s="17"/>
      <c r="P3141" s="18">
        <v>43668.986631944441</v>
      </c>
      <c r="Q3141" s="7" t="s">
        <v>10108</v>
      </c>
      <c r="R3141" s="7" t="s">
        <v>17884</v>
      </c>
      <c r="S3141" s="8"/>
      <c r="T3141" s="8"/>
      <c r="U3141" s="19" t="str">
        <f>HYPERLINK("https://pbs.twimg.com/profile_images/1153756158248833025/ivXE4HBU.jpg","View")</f>
        <v>View</v>
      </c>
      <c r="V3141" s="8"/>
      <c r="W3141" s="8"/>
      <c r="X3141" s="8"/>
      <c r="Y3141" s="8"/>
      <c r="Z3141" s="8"/>
    </row>
    <row r="3142" spans="1:26" ht="12.75">
      <c r="A3142" s="11">
        <v>43747.170416666668</v>
      </c>
      <c r="B3142" s="12" t="str">
        <f>HYPERLINK("https://twitter.com/erdi_5491","@erdi_5491")</f>
        <v>@erdi_5491</v>
      </c>
      <c r="C3142" s="7" t="s">
        <v>17885</v>
      </c>
      <c r="D3142" s="7" t="s">
        <v>17886</v>
      </c>
      <c r="E3142" s="12" t="str">
        <f>HYPERLINK("https://twitter.com/erdi_5491/status/1181888386413580289","1181888386413580289")</f>
        <v>1181888386413580289</v>
      </c>
      <c r="F3142" s="8"/>
      <c r="G3142" s="7"/>
      <c r="H3142" s="8"/>
      <c r="I3142" s="15">
        <v>0</v>
      </c>
      <c r="J3142" s="15">
        <v>1</v>
      </c>
      <c r="K3142" s="12" t="str">
        <f>HYPERLINK("http://twitter.com/download/android","Twitter for Android")</f>
        <v>Twitter for Android</v>
      </c>
      <c r="L3142" s="16">
        <v>67</v>
      </c>
      <c r="M3142" s="16">
        <v>149</v>
      </c>
      <c r="N3142" s="16">
        <v>0</v>
      </c>
      <c r="O3142" s="17"/>
      <c r="P3142" s="18">
        <v>43416.136377314819</v>
      </c>
      <c r="Q3142" s="7" t="s">
        <v>17887</v>
      </c>
      <c r="R3142" s="7" t="s">
        <v>17888</v>
      </c>
      <c r="S3142" s="8"/>
      <c r="T3142" s="8"/>
      <c r="U3142" s="19" t="str">
        <f>HYPERLINK("https://pbs.twimg.com/profile_images/1165628304080211970/YxgjxUCz.jpg","View")</f>
        <v>View</v>
      </c>
      <c r="V3142" s="8"/>
      <c r="W3142" s="8"/>
      <c r="X3142" s="8"/>
      <c r="Y3142" s="8"/>
      <c r="Z3142" s="8"/>
    </row>
    <row r="3143" spans="1:26" ht="12.75">
      <c r="A3143" s="11">
        <v>43747.170405092591</v>
      </c>
      <c r="B3143" s="12" t="str">
        <f>HYPERLINK("https://twitter.com/fthkskc","@fthkskc")</f>
        <v>@fthkskc</v>
      </c>
      <c r="C3143" s="7" t="s">
        <v>17889</v>
      </c>
      <c r="D3143" s="7" t="s">
        <v>17890</v>
      </c>
      <c r="E3143" s="12" t="str">
        <f>HYPERLINK("https://twitter.com/fthkskc/status/1181888384287084552","1181888384287084552")</f>
        <v>1181888384287084552</v>
      </c>
      <c r="F3143" s="8"/>
      <c r="G3143" s="7"/>
      <c r="H3143" s="8"/>
      <c r="I3143" s="15">
        <v>0</v>
      </c>
      <c r="J3143" s="15">
        <v>0</v>
      </c>
      <c r="K3143" s="12" t="str">
        <f>HYPERLINK("http://twitter.com/download/android","Twitter for Android")</f>
        <v>Twitter for Android</v>
      </c>
      <c r="L3143" s="16">
        <v>1302</v>
      </c>
      <c r="M3143" s="16">
        <v>1141</v>
      </c>
      <c r="N3143" s="16">
        <v>8</v>
      </c>
      <c r="O3143" s="17"/>
      <c r="P3143" s="18">
        <v>40970.484525462962</v>
      </c>
      <c r="Q3143" s="7" t="s">
        <v>17476</v>
      </c>
      <c r="R3143" s="7" t="s">
        <v>17891</v>
      </c>
      <c r="S3143" s="8"/>
      <c r="T3143" s="8"/>
      <c r="U3143" s="19" t="str">
        <f>HYPERLINK("https://pbs.twimg.com/profile_images/1181772186849296384/egIOW2_I.jpg","View")</f>
        <v>View</v>
      </c>
      <c r="V3143" s="8"/>
      <c r="W3143" s="8"/>
      <c r="X3143" s="8"/>
      <c r="Y3143" s="8"/>
      <c r="Z3143" s="8"/>
    </row>
    <row r="3144" spans="1:26" ht="12.75">
      <c r="A3144" s="11">
        <v>43747.170405092591</v>
      </c>
      <c r="B3144" s="12" t="str">
        <f>HYPERLINK("https://twitter.com/AIperKyc","@AIperKyc")</f>
        <v>@AIperKyc</v>
      </c>
      <c r="C3144" s="7" t="s">
        <v>17892</v>
      </c>
      <c r="D3144" s="7" t="s">
        <v>9777</v>
      </c>
      <c r="E3144" s="12" t="str">
        <f>HYPERLINK("https://twitter.com/AIperKyc/status/1181888382772928515","1181888382772928515")</f>
        <v>1181888382772928515</v>
      </c>
      <c r="F3144" s="8"/>
      <c r="G3144" s="15"/>
      <c r="H3144" s="8"/>
      <c r="I3144" s="15">
        <v>0</v>
      </c>
      <c r="J3144" s="15">
        <v>0</v>
      </c>
      <c r="K3144" s="12" t="str">
        <f>HYPERLINK("http://twitter.com/download/iphone","Twitter for iPhone")</f>
        <v>Twitter for iPhone</v>
      </c>
      <c r="L3144" s="16">
        <v>62</v>
      </c>
      <c r="M3144" s="16">
        <v>193</v>
      </c>
      <c r="N3144" s="16">
        <v>0</v>
      </c>
      <c r="O3144" s="17"/>
      <c r="P3144" s="18">
        <v>39909.452118055553</v>
      </c>
      <c r="Q3144" s="7" t="s">
        <v>17893</v>
      </c>
      <c r="R3144" s="7" t="s">
        <v>17894</v>
      </c>
      <c r="S3144" s="8"/>
      <c r="T3144" s="8"/>
      <c r="U3144" s="19" t="str">
        <f>HYPERLINK("https://pbs.twimg.com/profile_images/1171460718798856192/5XMRTYDZ.jpg","View")</f>
        <v>View</v>
      </c>
      <c r="V3144" s="8"/>
      <c r="W3144" s="8"/>
      <c r="X3144" s="8"/>
      <c r="Y3144" s="8"/>
      <c r="Z3144" s="8"/>
    </row>
    <row r="3145" spans="1:26" ht="12.75">
      <c r="A3145" s="11">
        <v>43747.170393518521</v>
      </c>
      <c r="B3145" s="12" t="str">
        <f>HYPERLINK("https://twitter.com/tugceeeemmm","@tugceeeemmm")</f>
        <v>@tugceeeemmm</v>
      </c>
      <c r="C3145" s="7" t="s">
        <v>17895</v>
      </c>
      <c r="D3145" s="7" t="s">
        <v>160</v>
      </c>
      <c r="E3145" s="12" t="str">
        <f>HYPERLINK("https://twitter.com/tugceeeemmm/status/1181888379958497280","1181888379958497280")</f>
        <v>1181888379958497280</v>
      </c>
      <c r="F3145" s="8"/>
      <c r="G3145" s="14" t="s">
        <v>17896</v>
      </c>
      <c r="H3145" s="8"/>
      <c r="I3145" s="15">
        <v>0</v>
      </c>
      <c r="J3145" s="15">
        <v>3</v>
      </c>
      <c r="K3145" s="12" t="str">
        <f>HYPERLINK("http://twitter.com/download/android","Twitter for Android")</f>
        <v>Twitter for Android</v>
      </c>
      <c r="L3145" s="16">
        <v>559</v>
      </c>
      <c r="M3145" s="16">
        <v>812</v>
      </c>
      <c r="N3145" s="16">
        <v>0</v>
      </c>
      <c r="O3145" s="17"/>
      <c r="P3145" s="18">
        <v>43453.192719907413</v>
      </c>
      <c r="Q3145" s="7" t="s">
        <v>2858</v>
      </c>
      <c r="R3145" s="7" t="s">
        <v>17897</v>
      </c>
      <c r="S3145" s="8"/>
      <c r="T3145" s="8"/>
      <c r="U3145" s="19" t="str">
        <f>HYPERLINK("https://pbs.twimg.com/profile_images/1181682732788781057/ilflvF2T.jpg","View")</f>
        <v>View</v>
      </c>
      <c r="V3145" s="8"/>
      <c r="W3145" s="8"/>
      <c r="X3145" s="8"/>
      <c r="Y3145" s="8"/>
      <c r="Z3145" s="8"/>
    </row>
    <row r="3146" spans="1:26" ht="12.75">
      <c r="A3146" s="11">
        <v>43747.170254629629</v>
      </c>
      <c r="B3146" s="12" t="str">
        <f>HYPERLINK("https://twitter.com/utkan_albatu","@utkan_albatu")</f>
        <v>@utkan_albatu</v>
      </c>
      <c r="C3146" s="7" t="s">
        <v>17898</v>
      </c>
      <c r="D3146" s="7" t="s">
        <v>17899</v>
      </c>
      <c r="E3146" s="12" t="str">
        <f>HYPERLINK("https://twitter.com/utkan_albatu/status/1181888326699307008","1181888326699307008")</f>
        <v>1181888326699307008</v>
      </c>
      <c r="F3146" s="8"/>
      <c r="G3146" s="7"/>
      <c r="H3146" s="8"/>
      <c r="I3146" s="15">
        <v>0</v>
      </c>
      <c r="J3146" s="15">
        <v>0</v>
      </c>
      <c r="K3146" s="12" t="str">
        <f>HYPERLINK("http://twitter.com/download/android","Twitter for Android")</f>
        <v>Twitter for Android</v>
      </c>
      <c r="L3146" s="16">
        <v>124</v>
      </c>
      <c r="M3146" s="16">
        <v>893</v>
      </c>
      <c r="N3146" s="16">
        <v>0</v>
      </c>
      <c r="O3146" s="17"/>
      <c r="P3146" s="18">
        <v>42958.197094907402</v>
      </c>
      <c r="Q3146" s="7"/>
      <c r="R3146" s="7" t="s">
        <v>17900</v>
      </c>
      <c r="S3146" s="8"/>
      <c r="T3146" s="8"/>
      <c r="U3146" s="19" t="str">
        <f>HYPERLINK("https://pbs.twimg.com/profile_images/1175167181388206084/5g5plCKu.jpg","View")</f>
        <v>View</v>
      </c>
      <c r="V3146" s="8"/>
      <c r="W3146" s="8"/>
      <c r="X3146" s="8"/>
      <c r="Y3146" s="8"/>
      <c r="Z3146" s="8"/>
    </row>
    <row r="3147" spans="1:26" ht="12.75">
      <c r="A3147" s="11">
        <v>43747.170208333337</v>
      </c>
      <c r="B3147" s="12" t="str">
        <f>HYPERLINK("https://twitter.com/FehmiAtalay8","@FehmiAtalay8")</f>
        <v>@FehmiAtalay8</v>
      </c>
      <c r="C3147" s="7" t="s">
        <v>17901</v>
      </c>
      <c r="D3147" s="7" t="s">
        <v>17902</v>
      </c>
      <c r="E3147" s="12" t="str">
        <f>HYPERLINK("https://twitter.com/FehmiAtalay8/status/1181888310089863170","1181888310089863170")</f>
        <v>1181888310089863170</v>
      </c>
      <c r="F3147" s="8"/>
      <c r="G3147" s="14" t="s">
        <v>17903</v>
      </c>
      <c r="H3147" s="8"/>
      <c r="I3147" s="15">
        <v>0</v>
      </c>
      <c r="J3147" s="15">
        <v>1</v>
      </c>
      <c r="K3147" s="12" t="str">
        <f>HYPERLINK("http://twitter.com/download/android","Twitter for Android")</f>
        <v>Twitter for Android</v>
      </c>
      <c r="L3147" s="16">
        <v>31</v>
      </c>
      <c r="M3147" s="16">
        <v>115</v>
      </c>
      <c r="N3147" s="16">
        <v>0</v>
      </c>
      <c r="O3147" s="17"/>
      <c r="P3147" s="18">
        <v>43703.191342592589</v>
      </c>
      <c r="Q3147" s="7"/>
      <c r="R3147" s="7" t="s">
        <v>17904</v>
      </c>
      <c r="S3147" s="8"/>
      <c r="T3147" s="8"/>
      <c r="U3147" s="19" t="str">
        <f>HYPERLINK("https://pbs.twimg.com/profile_images/1174815922072293376/jk1JfCw8.jpg","View")</f>
        <v>View</v>
      </c>
      <c r="V3147" s="8"/>
      <c r="W3147" s="8"/>
      <c r="X3147" s="8"/>
      <c r="Y3147" s="8"/>
      <c r="Z3147" s="8"/>
    </row>
    <row r="3148" spans="1:26" ht="12.75">
      <c r="A3148" s="11">
        <v>43747.170034722221</v>
      </c>
      <c r="B3148" s="12" t="str">
        <f>HYPERLINK("https://twitter.com/nurrsultaan","@nurrsultaan")</f>
        <v>@nurrsultaan</v>
      </c>
      <c r="C3148" s="7" t="s">
        <v>17905</v>
      </c>
      <c r="D3148" s="7" t="s">
        <v>17906</v>
      </c>
      <c r="E3148" s="12" t="str">
        <f>HYPERLINK("https://twitter.com/nurrsultaan/status/1181888247879913473","1181888247879913473")</f>
        <v>1181888247879913473</v>
      </c>
      <c r="F3148" s="14" t="s">
        <v>16488</v>
      </c>
      <c r="G3148" s="14" t="s">
        <v>16489</v>
      </c>
      <c r="H3148" s="8"/>
      <c r="I3148" s="15">
        <v>0</v>
      </c>
      <c r="J3148" s="15">
        <v>7</v>
      </c>
      <c r="K3148" s="12" t="str">
        <f>HYPERLINK("http://twitter.com/download/android","Twitter for Android")</f>
        <v>Twitter for Android</v>
      </c>
      <c r="L3148" s="16">
        <v>358</v>
      </c>
      <c r="M3148" s="16">
        <v>342</v>
      </c>
      <c r="N3148" s="16">
        <v>0</v>
      </c>
      <c r="O3148" s="17"/>
      <c r="P3148" s="18">
        <v>42763.130659722221</v>
      </c>
      <c r="Q3148" s="7"/>
      <c r="R3148" s="7" t="s">
        <v>17907</v>
      </c>
      <c r="S3148" s="15"/>
      <c r="T3148" s="8"/>
      <c r="U3148" s="19" t="str">
        <f>HYPERLINK("https://pbs.twimg.com/profile_images/1181815187810197504/_tJziM2U.jpg","View")</f>
        <v>View</v>
      </c>
      <c r="V3148" s="8"/>
      <c r="W3148" s="8"/>
      <c r="X3148" s="8"/>
      <c r="Y3148" s="8"/>
      <c r="Z3148" s="8"/>
    </row>
    <row r="3149" spans="1:26" ht="12.75">
      <c r="A3149" s="11">
        <v>43747.169965277775</v>
      </c>
      <c r="B3149" s="12" t="str">
        <f>HYPERLINK("https://twitter.com/seslimakale","@seslimakale")</f>
        <v>@seslimakale</v>
      </c>
      <c r="C3149" s="7" t="s">
        <v>17908</v>
      </c>
      <c r="D3149" s="7" t="s">
        <v>17909</v>
      </c>
      <c r="E3149" s="12" t="str">
        <f>HYPERLINK("https://twitter.com/seslimakale/status/1181888221866844160","1181888221866844160")</f>
        <v>1181888221866844160</v>
      </c>
      <c r="F3149" s="14" t="s">
        <v>17910</v>
      </c>
      <c r="G3149" s="14" t="s">
        <v>17911</v>
      </c>
      <c r="H3149" s="8"/>
      <c r="I3149" s="15">
        <v>2</v>
      </c>
      <c r="J3149" s="15">
        <v>5</v>
      </c>
      <c r="K3149" s="12" t="str">
        <f>HYPERLINK("https://mobile.twitter.com","Twitter Web App")</f>
        <v>Twitter Web App</v>
      </c>
      <c r="L3149" s="16">
        <v>47759</v>
      </c>
      <c r="M3149" s="16">
        <v>102</v>
      </c>
      <c r="N3149" s="16">
        <v>205</v>
      </c>
      <c r="O3149" s="17"/>
      <c r="P3149" s="18">
        <v>41153.042766203704</v>
      </c>
      <c r="Q3149" s="7"/>
      <c r="R3149" s="7" t="s">
        <v>17912</v>
      </c>
      <c r="S3149" s="14" t="s">
        <v>17913</v>
      </c>
      <c r="T3149" s="8"/>
      <c r="U3149" s="19" t="str">
        <f>HYPERLINK("https://pbs.twimg.com/profile_images/509298538983854080/YBSFlD0p.jpeg","View")</f>
        <v>View</v>
      </c>
      <c r="V3149" s="8"/>
      <c r="W3149" s="8"/>
      <c r="X3149" s="8"/>
      <c r="Y3149" s="8"/>
      <c r="Z3149" s="8"/>
    </row>
    <row r="3150" spans="1:26" ht="12.75">
      <c r="A3150" s="11">
        <v>43747.169756944444</v>
      </c>
      <c r="B3150" s="12" t="str">
        <f>HYPERLINK("https://twitter.com/AytacHaf","@AytacHaf")</f>
        <v>@AytacHaf</v>
      </c>
      <c r="C3150" s="7" t="s">
        <v>17914</v>
      </c>
      <c r="D3150" s="7" t="s">
        <v>17915</v>
      </c>
      <c r="E3150" s="12" t="str">
        <f>HYPERLINK("https://twitter.com/AytacHaf/status/1181888148135129089","1181888148135129089")</f>
        <v>1181888148135129089</v>
      </c>
      <c r="F3150" s="8"/>
      <c r="G3150" s="15"/>
      <c r="H3150" s="8"/>
      <c r="I3150" s="15">
        <v>0</v>
      </c>
      <c r="J3150" s="15">
        <v>2</v>
      </c>
      <c r="K3150" s="12" t="str">
        <f>HYPERLINK("http://twitter.com/download/android","Twitter for Android")</f>
        <v>Twitter for Android</v>
      </c>
      <c r="L3150" s="16">
        <v>226</v>
      </c>
      <c r="M3150" s="16">
        <v>608</v>
      </c>
      <c r="N3150" s="16">
        <v>1</v>
      </c>
      <c r="O3150" s="17"/>
      <c r="P3150" s="18">
        <v>43534.93277777778</v>
      </c>
      <c r="Q3150" s="7"/>
      <c r="R3150" s="7" t="s">
        <v>17916</v>
      </c>
      <c r="S3150" s="8"/>
      <c r="T3150" s="8"/>
      <c r="U3150" s="19" t="str">
        <f>HYPERLINK("https://pbs.twimg.com/profile_images/1177625357320626177/BSDde1c5.jpg","View")</f>
        <v>View</v>
      </c>
      <c r="V3150" s="8"/>
      <c r="W3150" s="8"/>
      <c r="X3150" s="8"/>
      <c r="Y3150" s="8"/>
      <c r="Z3150" s="8"/>
    </row>
    <row r="3151" spans="1:26" ht="12.75">
      <c r="A3151" s="11">
        <v>43747.169722222221</v>
      </c>
      <c r="B3151" s="12" t="str">
        <f>HYPERLINK("https://twitter.com/IbcSurvey","@IbcSurvey")</f>
        <v>@IbcSurvey</v>
      </c>
      <c r="C3151" s="7" t="s">
        <v>17917</v>
      </c>
      <c r="D3151" s="7" t="s">
        <v>17918</v>
      </c>
      <c r="E3151" s="12" t="str">
        <f>HYPERLINK("https://twitter.com/IbcSurvey/status/1181888135531286529","1181888135531286529")</f>
        <v>1181888135531286529</v>
      </c>
      <c r="F3151" s="8"/>
      <c r="G3151" s="14" t="s">
        <v>17919</v>
      </c>
      <c r="H3151" s="8"/>
      <c r="I3151" s="15">
        <v>0</v>
      </c>
      <c r="J3151" s="15">
        <v>0</v>
      </c>
      <c r="K3151" s="12" t="str">
        <f>HYPERLINK("https://mobile.twitter.com","Twitter Web App")</f>
        <v>Twitter Web App</v>
      </c>
      <c r="L3151" s="16">
        <v>44</v>
      </c>
      <c r="M3151" s="16">
        <v>186</v>
      </c>
      <c r="N3151" s="16">
        <v>0</v>
      </c>
      <c r="O3151" s="17"/>
      <c r="P3151" s="18">
        <v>43294.145300925928</v>
      </c>
      <c r="Q3151" s="7" t="s">
        <v>4241</v>
      </c>
      <c r="R3151" s="7" t="s">
        <v>17920</v>
      </c>
      <c r="S3151" s="8"/>
      <c r="T3151" s="8"/>
      <c r="U3151" s="19" t="str">
        <f>HYPERLINK("https://pbs.twimg.com/profile_images/1137685087494049792/O0ZB3Qr-.jpg","View")</f>
        <v>View</v>
      </c>
      <c r="V3151" s="8"/>
      <c r="W3151" s="8"/>
      <c r="X3151" s="8"/>
      <c r="Y3151" s="8"/>
      <c r="Z3151" s="8"/>
    </row>
    <row r="3152" spans="1:26" ht="12.75">
      <c r="A3152" s="11">
        <v>43747.169606481482</v>
      </c>
      <c r="B3152" s="12" t="str">
        <f>HYPERLINK("https://twitter.com/gelecek74","@gelecek74")</f>
        <v>@gelecek74</v>
      </c>
      <c r="C3152" s="7" t="s">
        <v>17921</v>
      </c>
      <c r="D3152" s="7" t="s">
        <v>17922</v>
      </c>
      <c r="E3152" s="12" t="str">
        <f>HYPERLINK("https://twitter.com/gelecek74/status/1181888091960819712","1181888091960819712")</f>
        <v>1181888091960819712</v>
      </c>
      <c r="F3152" s="7"/>
      <c r="G3152" s="7"/>
      <c r="H3152" s="8"/>
      <c r="I3152" s="15">
        <v>0</v>
      </c>
      <c r="J3152" s="15">
        <v>0</v>
      </c>
      <c r="K3152" s="12" t="str">
        <f>HYPERLINK("http://twitter.com/download/android","Twitter for Android")</f>
        <v>Twitter for Android</v>
      </c>
      <c r="L3152" s="16">
        <v>9</v>
      </c>
      <c r="M3152" s="16">
        <v>5</v>
      </c>
      <c r="N3152" s="16">
        <v>0</v>
      </c>
      <c r="O3152" s="17"/>
      <c r="P3152" s="18">
        <v>43040.572604166664</v>
      </c>
      <c r="Q3152" s="7"/>
      <c r="R3152" s="7"/>
      <c r="S3152" s="8"/>
      <c r="T3152" s="8"/>
      <c r="U3152" s="20" t="s">
        <v>354</v>
      </c>
      <c r="V3152" s="8"/>
      <c r="W3152" s="8"/>
      <c r="X3152" s="8"/>
      <c r="Y3152" s="8"/>
      <c r="Z3152" s="8"/>
    </row>
    <row r="3153" spans="1:26" ht="12.75">
      <c r="A3153" s="11">
        <v>43747.169594907406</v>
      </c>
      <c r="B3153" s="12" t="str">
        <f>HYPERLINK("https://twitter.com/Erkanzlem3","@Erkanzlem3")</f>
        <v>@Erkanzlem3</v>
      </c>
      <c r="C3153" s="7" t="s">
        <v>17923</v>
      </c>
      <c r="D3153" s="7" t="s">
        <v>160</v>
      </c>
      <c r="E3153" s="12" t="str">
        <f>HYPERLINK("https://twitter.com/Erkanzlem3/status/1181888087254863879","1181888087254863879")</f>
        <v>1181888087254863879</v>
      </c>
      <c r="F3153" s="8"/>
      <c r="G3153" s="15"/>
      <c r="H3153" s="8"/>
      <c r="I3153" s="15">
        <v>0</v>
      </c>
      <c r="J3153" s="15">
        <v>0</v>
      </c>
      <c r="K3153" s="12" t="str">
        <f>HYPERLINK("http://twitter.com/download/iphone","Twitter for iPhone")</f>
        <v>Twitter for iPhone</v>
      </c>
      <c r="L3153" s="16">
        <v>10</v>
      </c>
      <c r="M3153" s="16">
        <v>101</v>
      </c>
      <c r="N3153" s="16">
        <v>0</v>
      </c>
      <c r="O3153" s="17"/>
      <c r="P3153" s="18">
        <v>43530.372569444444</v>
      </c>
      <c r="Q3153" s="7"/>
      <c r="R3153" s="7"/>
      <c r="S3153" s="8"/>
      <c r="T3153" s="8"/>
      <c r="U3153" s="19" t="str">
        <f>HYPERLINK("https://pbs.twimg.com/profile_images/1148297799936729089/ct4rh0sV.jpg","View")</f>
        <v>View</v>
      </c>
      <c r="V3153" s="8"/>
      <c r="W3153" s="8"/>
      <c r="X3153" s="8"/>
      <c r="Y3153" s="8"/>
      <c r="Z3153" s="8"/>
    </row>
    <row r="3154" spans="1:26" ht="12.75">
      <c r="A3154" s="11">
        <v>43747.169525462959</v>
      </c>
      <c r="B3154" s="12" t="str">
        <f>HYPERLINK("https://twitter.com/themarginale","@themarginale")</f>
        <v>@themarginale</v>
      </c>
      <c r="C3154" s="13" t="s">
        <v>17924</v>
      </c>
      <c r="D3154" s="7" t="s">
        <v>17925</v>
      </c>
      <c r="E3154" s="12" t="str">
        <f>HYPERLINK("https://twitter.com/themarginale/status/1181888064936906752","1181888064936906752")</f>
        <v>1181888064936906752</v>
      </c>
      <c r="F3154" s="15"/>
      <c r="G3154" s="14" t="s">
        <v>17926</v>
      </c>
      <c r="H3154" s="8"/>
      <c r="I3154" s="15">
        <v>141</v>
      </c>
      <c r="J3154" s="15">
        <v>577</v>
      </c>
      <c r="K3154" s="12" t="str">
        <f>HYPERLINK("http://twitter.com/download/iphone","Twitter for iPhone")</f>
        <v>Twitter for iPhone</v>
      </c>
      <c r="L3154" s="16">
        <v>259693</v>
      </c>
      <c r="M3154" s="16">
        <v>47948</v>
      </c>
      <c r="N3154" s="16">
        <v>358</v>
      </c>
      <c r="O3154" s="17"/>
      <c r="P3154" s="18">
        <v>41752.517662037033</v>
      </c>
      <c r="Q3154" s="7"/>
      <c r="R3154" s="13" t="s">
        <v>17927</v>
      </c>
      <c r="S3154" s="14" t="s">
        <v>17928</v>
      </c>
      <c r="T3154" s="8"/>
      <c r="U3154" s="19" t="str">
        <f>HYPERLINK("https://pbs.twimg.com/profile_images/1151238630675046403/tFAV0QHo.jpg","View")</f>
        <v>View</v>
      </c>
      <c r="V3154" s="8"/>
      <c r="W3154" s="8"/>
      <c r="X3154" s="8"/>
      <c r="Y3154" s="8"/>
      <c r="Z3154" s="8"/>
    </row>
    <row r="3155" spans="1:26" ht="12.75">
      <c r="A3155" s="11">
        <v>43747.16951388889</v>
      </c>
      <c r="B3155" s="12" t="str">
        <f>HYPERLINK("https://twitter.com/muratgunkut06","@muratgunkut06")</f>
        <v>@muratgunkut06</v>
      </c>
      <c r="C3155" s="7" t="s">
        <v>17929</v>
      </c>
      <c r="D3155" s="7" t="s">
        <v>160</v>
      </c>
      <c r="E3155" s="12" t="str">
        <f>HYPERLINK("https://twitter.com/muratgunkut06/status/1181888061145268224","1181888061145268224")</f>
        <v>1181888061145268224</v>
      </c>
      <c r="F3155" s="8"/>
      <c r="G3155" s="7"/>
      <c r="H3155" s="8"/>
      <c r="I3155" s="15">
        <v>0</v>
      </c>
      <c r="J3155" s="15">
        <v>0</v>
      </c>
      <c r="K3155" s="12" t="str">
        <f>HYPERLINK("http://twitter.com/download/android","Twitter for Android")</f>
        <v>Twitter for Android</v>
      </c>
      <c r="L3155" s="16">
        <v>119</v>
      </c>
      <c r="M3155" s="16">
        <v>400</v>
      </c>
      <c r="N3155" s="16">
        <v>1</v>
      </c>
      <c r="O3155" s="17"/>
      <c r="P3155" s="18">
        <v>41286.297986111109</v>
      </c>
      <c r="Q3155" s="7"/>
      <c r="R3155" s="7"/>
      <c r="S3155" s="8"/>
      <c r="T3155" s="8"/>
      <c r="U3155" s="19" t="str">
        <f>HYPERLINK("https://pbs.twimg.com/profile_images/893528786792308737/yQ2r8CI5.jpg","View")</f>
        <v>View</v>
      </c>
      <c r="V3155" s="8"/>
      <c r="W3155" s="8"/>
      <c r="X3155" s="8"/>
      <c r="Y3155" s="8"/>
      <c r="Z3155" s="8"/>
    </row>
    <row r="3156" spans="1:26" ht="12.75">
      <c r="A3156" s="11">
        <v>43747.169502314813</v>
      </c>
      <c r="B3156" s="12" t="str">
        <f>HYPERLINK("https://twitter.com/AtakanKCMNN","@AtakanKCMNN")</f>
        <v>@AtakanKCMNN</v>
      </c>
      <c r="C3156" s="7" t="s">
        <v>17930</v>
      </c>
      <c r="D3156" s="7" t="s">
        <v>17931</v>
      </c>
      <c r="E3156" s="12" t="str">
        <f>HYPERLINK("https://twitter.com/AtakanKCMNN/status/1181888056548347905","1181888056548347905")</f>
        <v>1181888056548347905</v>
      </c>
      <c r="F3156" s="15"/>
      <c r="G3156" s="7"/>
      <c r="H3156" s="8"/>
      <c r="I3156" s="15">
        <v>0</v>
      </c>
      <c r="J3156" s="15">
        <v>0</v>
      </c>
      <c r="K3156" s="12" t="str">
        <f>HYPERLINK("http://twitter.com/download/android","Twitter for Android")</f>
        <v>Twitter for Android</v>
      </c>
      <c r="L3156" s="16">
        <v>111</v>
      </c>
      <c r="M3156" s="16">
        <v>161</v>
      </c>
      <c r="N3156" s="16">
        <v>0</v>
      </c>
      <c r="O3156" s="17"/>
      <c r="P3156" s="18">
        <v>43639.438414351855</v>
      </c>
      <c r="Q3156" s="7"/>
      <c r="R3156" s="7" t="s">
        <v>17932</v>
      </c>
      <c r="S3156" s="8"/>
      <c r="T3156" s="8"/>
      <c r="U3156" s="19" t="str">
        <f>HYPERLINK("https://pbs.twimg.com/profile_images/1143096775584157696/hz9Y_7Jp.jpg","View")</f>
        <v>View</v>
      </c>
      <c r="V3156" s="8"/>
      <c r="W3156" s="8"/>
      <c r="X3156" s="8"/>
      <c r="Y3156" s="8"/>
      <c r="Z3156" s="8"/>
    </row>
    <row r="3157" spans="1:26" ht="12.75">
      <c r="A3157" s="11">
        <v>43747.169502314813</v>
      </c>
      <c r="B3157" s="12" t="str">
        <f>HYPERLINK("https://twitter.com/Hazerhnn","@Hazerhnn")</f>
        <v>@Hazerhnn</v>
      </c>
      <c r="C3157" s="7" t="s">
        <v>17933</v>
      </c>
      <c r="D3157" s="7" t="s">
        <v>160</v>
      </c>
      <c r="E3157" s="12" t="str">
        <f>HYPERLINK("https://twitter.com/Hazerhnn/status/1181888054748995586","1181888054748995586")</f>
        <v>1181888054748995586</v>
      </c>
      <c r="F3157" s="8"/>
      <c r="G3157" s="14" t="s">
        <v>17934</v>
      </c>
      <c r="H3157" s="8"/>
      <c r="I3157" s="15">
        <v>0</v>
      </c>
      <c r="J3157" s="15">
        <v>0</v>
      </c>
      <c r="K3157" s="12" t="str">
        <f>HYPERLINK("http://twitter.com/download/iphone","Twitter for iPhone")</f>
        <v>Twitter for iPhone</v>
      </c>
      <c r="L3157" s="16">
        <v>266</v>
      </c>
      <c r="M3157" s="16">
        <v>228</v>
      </c>
      <c r="N3157" s="16">
        <v>0</v>
      </c>
      <c r="O3157" s="17"/>
      <c r="P3157" s="18">
        <v>40577.072997685187</v>
      </c>
      <c r="Q3157" s="7" t="s">
        <v>17935</v>
      </c>
      <c r="R3157" s="7" t="s">
        <v>17936</v>
      </c>
      <c r="S3157" s="14" t="s">
        <v>17937</v>
      </c>
      <c r="T3157" s="8"/>
      <c r="U3157" s="19" t="str">
        <f>HYPERLINK("https://pbs.twimg.com/profile_images/877678185487446018/CsS6hRpN.jpg","View")</f>
        <v>View</v>
      </c>
      <c r="V3157" s="8"/>
      <c r="W3157" s="8"/>
      <c r="X3157" s="8"/>
      <c r="Y3157" s="8"/>
      <c r="Z3157" s="8"/>
    </row>
    <row r="3158" spans="1:26" ht="12.75">
      <c r="A3158" s="11">
        <v>43747.169490740736</v>
      </c>
      <c r="B3158" s="12" t="str">
        <f>HYPERLINK("https://twitter.com/SarlakEfla","@SarlakEfla")</f>
        <v>@SarlakEfla</v>
      </c>
      <c r="C3158" s="7" t="s">
        <v>17938</v>
      </c>
      <c r="D3158" s="7" t="s">
        <v>17939</v>
      </c>
      <c r="E3158" s="12" t="str">
        <f>HYPERLINK("https://twitter.com/SarlakEfla/status/1181888050361769992","1181888050361769992")</f>
        <v>1181888050361769992</v>
      </c>
      <c r="F3158" s="8"/>
      <c r="G3158" s="15"/>
      <c r="H3158" s="8"/>
      <c r="I3158" s="15">
        <v>0</v>
      </c>
      <c r="J3158" s="15">
        <v>0</v>
      </c>
      <c r="K3158" s="12" t="str">
        <f>HYPERLINK("http://twitter.com","Twitter Web Client")</f>
        <v>Twitter Web Client</v>
      </c>
      <c r="L3158" s="16">
        <v>3</v>
      </c>
      <c r="M3158" s="16">
        <v>0</v>
      </c>
      <c r="N3158" s="16">
        <v>0</v>
      </c>
      <c r="O3158" s="17"/>
      <c r="P3158" s="18">
        <v>43683.856678240743</v>
      </c>
      <c r="Q3158" s="7" t="s">
        <v>13632</v>
      </c>
      <c r="R3158" s="7" t="s">
        <v>17940</v>
      </c>
      <c r="S3158" s="8"/>
      <c r="T3158" s="8"/>
      <c r="U3158" s="19" t="str">
        <f>HYPERLINK("https://pbs.twimg.com/profile_images/1167221247186481157/w9i7ZOQL.jpg","View")</f>
        <v>View</v>
      </c>
      <c r="V3158" s="8"/>
      <c r="W3158" s="8"/>
      <c r="X3158" s="8"/>
      <c r="Y3158" s="8"/>
      <c r="Z3158" s="8"/>
    </row>
    <row r="3159" spans="1:26" ht="12.75">
      <c r="A3159" s="11">
        <v>43747.169456018513</v>
      </c>
      <c r="B3159" s="12" t="str">
        <f>HYPERLINK("https://twitter.com/taklacigogercin","@taklacigogercin")</f>
        <v>@taklacigogercin</v>
      </c>
      <c r="C3159" s="7" t="s">
        <v>17941</v>
      </c>
      <c r="D3159" s="7" t="s">
        <v>17942</v>
      </c>
      <c r="E3159" s="12" t="str">
        <f>HYPERLINK("https://twitter.com/taklacigogercin/status/1181888039578148866","1181888039578148866")</f>
        <v>1181888039578148866</v>
      </c>
      <c r="F3159" s="8"/>
      <c r="G3159" s="14" t="s">
        <v>17943</v>
      </c>
      <c r="H3159" s="8"/>
      <c r="I3159" s="15">
        <v>0</v>
      </c>
      <c r="J3159" s="15">
        <v>0</v>
      </c>
      <c r="K3159" s="12" t="str">
        <f>HYPERLINK("http://twitter.com/download/android","Twitter for Android")</f>
        <v>Twitter for Android</v>
      </c>
      <c r="L3159" s="16">
        <v>224</v>
      </c>
      <c r="M3159" s="16">
        <v>463</v>
      </c>
      <c r="N3159" s="16">
        <v>2</v>
      </c>
      <c r="O3159" s="17"/>
      <c r="P3159" s="18">
        <v>39982.395312499997</v>
      </c>
      <c r="Q3159" s="7" t="s">
        <v>17944</v>
      </c>
      <c r="R3159" s="7" t="s">
        <v>17945</v>
      </c>
      <c r="S3159" s="8"/>
      <c r="T3159" s="8"/>
      <c r="U3159" s="19" t="str">
        <f>HYPERLINK("https://pbs.twimg.com/profile_images/1048113733896167424/P71sWP4w.jpg","View")</f>
        <v>View</v>
      </c>
      <c r="V3159" s="8"/>
      <c r="W3159" s="8"/>
      <c r="X3159" s="8"/>
      <c r="Y3159" s="8"/>
      <c r="Z3159" s="8"/>
    </row>
    <row r="3160" spans="1:26" ht="12.75">
      <c r="A3160" s="11">
        <v>43747.169386574074</v>
      </c>
      <c r="B3160" s="12" t="str">
        <f>HYPERLINK("https://twitter.com/ibrahimilhan97","@ibrahimilhan97")</f>
        <v>@ibrahimilhan97</v>
      </c>
      <c r="C3160" s="7" t="s">
        <v>17946</v>
      </c>
      <c r="D3160" s="7" t="s">
        <v>17947</v>
      </c>
      <c r="E3160" s="12" t="str">
        <f>HYPERLINK("https://twitter.com/ibrahimilhan97/status/1181888012826955776","1181888012826955776")</f>
        <v>1181888012826955776</v>
      </c>
      <c r="F3160" s="8"/>
      <c r="G3160" s="14" t="s">
        <v>17948</v>
      </c>
      <c r="H3160" s="8"/>
      <c r="I3160" s="15">
        <v>0</v>
      </c>
      <c r="J3160" s="15">
        <v>0</v>
      </c>
      <c r="K3160" s="12" t="str">
        <f>HYPERLINK("http://twitter.com/download/android","Twitter for Android")</f>
        <v>Twitter for Android</v>
      </c>
      <c r="L3160" s="16">
        <v>862</v>
      </c>
      <c r="M3160" s="16">
        <v>408</v>
      </c>
      <c r="N3160" s="16">
        <v>1</v>
      </c>
      <c r="O3160" s="17"/>
      <c r="P3160" s="18">
        <v>41512.042986111112</v>
      </c>
      <c r="Q3160" s="7" t="s">
        <v>6543</v>
      </c>
      <c r="R3160" s="7"/>
      <c r="S3160" s="8"/>
      <c r="T3160" s="8"/>
      <c r="U3160" s="19" t="str">
        <f>HYPERLINK("https://pbs.twimg.com/profile_images/1037297003682844672/jdvbHdgC.jpg","View")</f>
        <v>View</v>
      </c>
      <c r="V3160" s="8"/>
      <c r="W3160" s="8"/>
      <c r="X3160" s="8"/>
      <c r="Y3160" s="8"/>
      <c r="Z3160" s="8"/>
    </row>
    <row r="3161" spans="1:26" ht="12.75">
      <c r="A3161" s="11">
        <v>43747.169363425928</v>
      </c>
      <c r="B3161" s="12" t="str">
        <f>HYPERLINK("https://twitter.com/EmreMue","@EmreMue")</f>
        <v>@EmreMue</v>
      </c>
      <c r="C3161" s="7" t="s">
        <v>17949</v>
      </c>
      <c r="D3161" s="7" t="s">
        <v>14166</v>
      </c>
      <c r="E3161" s="12" t="str">
        <f>HYPERLINK("https://twitter.com/EmreMue/status/1181888006690607104","1181888006690607104")</f>
        <v>1181888006690607104</v>
      </c>
      <c r="F3161" s="8"/>
      <c r="G3161" s="14" t="s">
        <v>17950</v>
      </c>
      <c r="H3161" s="8"/>
      <c r="I3161" s="15">
        <v>0</v>
      </c>
      <c r="J3161" s="15">
        <v>1</v>
      </c>
      <c r="K3161" s="12" t="str">
        <f>HYPERLINK("http://twitter.com/download/iphone","Twitter for iPhone")</f>
        <v>Twitter for iPhone</v>
      </c>
      <c r="L3161" s="16">
        <v>28</v>
      </c>
      <c r="M3161" s="16">
        <v>144</v>
      </c>
      <c r="N3161" s="16">
        <v>0</v>
      </c>
      <c r="O3161" s="17"/>
      <c r="P3161" s="18">
        <v>43105.557384259257</v>
      </c>
      <c r="Q3161" s="7" t="s">
        <v>313</v>
      </c>
      <c r="R3161" s="7"/>
      <c r="S3161" s="14" t="s">
        <v>17951</v>
      </c>
      <c r="T3161" s="8"/>
      <c r="U3161" s="19" t="str">
        <f>HYPERLINK("https://pbs.twimg.com/profile_images/949512955011399680/VO5USC3U.jpg","View")</f>
        <v>View</v>
      </c>
      <c r="V3161" s="8"/>
      <c r="W3161" s="8"/>
      <c r="X3161" s="8"/>
      <c r="Y3161" s="8"/>
      <c r="Z3161" s="8"/>
    </row>
    <row r="3162" spans="1:26" ht="12.75">
      <c r="A3162" s="11">
        <v>43747.169189814813</v>
      </c>
      <c r="B3162" s="12" t="str">
        <f>HYPERLINK("https://twitter.com/YarSurmeli","@YarSurmeli")</f>
        <v>@YarSurmeli</v>
      </c>
      <c r="C3162" s="7" t="s">
        <v>17952</v>
      </c>
      <c r="D3162" s="7" t="s">
        <v>17953</v>
      </c>
      <c r="E3162" s="12" t="str">
        <f>HYPERLINK("https://twitter.com/YarSurmeli/status/1181887942618427393","1181887942618427393")</f>
        <v>1181887942618427393</v>
      </c>
      <c r="F3162" s="8"/>
      <c r="G3162" s="14" t="s">
        <v>17954</v>
      </c>
      <c r="H3162" s="8"/>
      <c r="I3162" s="15">
        <v>0</v>
      </c>
      <c r="J3162" s="15">
        <v>1</v>
      </c>
      <c r="K3162" s="12" t="str">
        <f>HYPERLINK("http://twitter.com/download/android","Twitter for Android")</f>
        <v>Twitter for Android</v>
      </c>
      <c r="L3162" s="16">
        <v>222</v>
      </c>
      <c r="M3162" s="16">
        <v>31</v>
      </c>
      <c r="N3162" s="16">
        <v>0</v>
      </c>
      <c r="O3162" s="17"/>
      <c r="P3162" s="18">
        <v>41876.208622685182</v>
      </c>
      <c r="Q3162" s="7" t="s">
        <v>4449</v>
      </c>
      <c r="R3162" s="7" t="s">
        <v>17955</v>
      </c>
      <c r="S3162" s="8"/>
      <c r="T3162" s="8"/>
      <c r="U3162" s="19" t="str">
        <f>HYPERLINK("https://pbs.twimg.com/profile_images/947120649033707520/9GIgTEFv.jpg","View")</f>
        <v>View</v>
      </c>
      <c r="V3162" s="8"/>
      <c r="W3162" s="8"/>
      <c r="X3162" s="8"/>
      <c r="Y3162" s="8"/>
      <c r="Z3162" s="8"/>
    </row>
    <row r="3163" spans="1:26" ht="12.75">
      <c r="A3163" s="11">
        <v>43747.16915509259</v>
      </c>
      <c r="B3163" s="12" t="str">
        <f>HYPERLINK("https://twitter.com/alicabuk42","@alicabuk42")</f>
        <v>@alicabuk42</v>
      </c>
      <c r="C3163" s="7" t="s">
        <v>17956</v>
      </c>
      <c r="D3163" s="7" t="s">
        <v>17957</v>
      </c>
      <c r="E3163" s="12" t="str">
        <f>HYPERLINK("https://twitter.com/alicabuk42/status/1181887929150513152","1181887929150513152")</f>
        <v>1181887929150513152</v>
      </c>
      <c r="F3163" s="8"/>
      <c r="G3163" s="7"/>
      <c r="H3163" s="8"/>
      <c r="I3163" s="15">
        <v>0</v>
      </c>
      <c r="J3163" s="15">
        <v>0</v>
      </c>
      <c r="K3163" s="12" t="str">
        <f>HYPERLINK("http://twitter.com/download/android","Twitter for Android")</f>
        <v>Twitter for Android</v>
      </c>
      <c r="L3163" s="16">
        <v>94</v>
      </c>
      <c r="M3163" s="16">
        <v>187</v>
      </c>
      <c r="N3163" s="16">
        <v>0</v>
      </c>
      <c r="O3163" s="17"/>
      <c r="P3163" s="18">
        <v>42936.528483796297</v>
      </c>
      <c r="Q3163" s="7"/>
      <c r="R3163" s="7" t="s">
        <v>11300</v>
      </c>
      <c r="S3163" s="8"/>
      <c r="T3163" s="8"/>
      <c r="U3163" s="19" t="str">
        <f>HYPERLINK("https://pbs.twimg.com/profile_images/1174090921463418881/Au_JRI5p.jpg","View")</f>
        <v>View</v>
      </c>
      <c r="V3163" s="8"/>
      <c r="W3163" s="8"/>
      <c r="X3163" s="8"/>
      <c r="Y3163" s="8"/>
      <c r="Z3163" s="8"/>
    </row>
    <row r="3164" spans="1:26" ht="12.75">
      <c r="A3164" s="11">
        <v>43747.169085648144</v>
      </c>
      <c r="B3164" s="12" t="str">
        <f>HYPERLINK("https://twitter.com/FurkanBurakAydn","@FurkanBurakAydn")</f>
        <v>@FurkanBurakAydn</v>
      </c>
      <c r="C3164" s="7" t="s">
        <v>17958</v>
      </c>
      <c r="D3164" s="7" t="s">
        <v>17959</v>
      </c>
      <c r="E3164" s="12" t="str">
        <f>HYPERLINK("https://twitter.com/FurkanBurakAydn/status/1181887903644995585","1181887903644995585")</f>
        <v>1181887903644995585</v>
      </c>
      <c r="F3164" s="15"/>
      <c r="G3164" s="15"/>
      <c r="H3164" s="8"/>
      <c r="I3164" s="15">
        <v>0</v>
      </c>
      <c r="J3164" s="15">
        <v>0</v>
      </c>
      <c r="K3164" s="12" t="str">
        <f>HYPERLINK("http://twitter.com/download/android","Twitter for Android")</f>
        <v>Twitter for Android</v>
      </c>
      <c r="L3164" s="16">
        <v>176</v>
      </c>
      <c r="M3164" s="16">
        <v>190</v>
      </c>
      <c r="N3164" s="16">
        <v>0</v>
      </c>
      <c r="O3164" s="17"/>
      <c r="P3164" s="18">
        <v>41121.856354166666</v>
      </c>
      <c r="Q3164" s="7" t="s">
        <v>200</v>
      </c>
      <c r="R3164" s="7" t="s">
        <v>17960</v>
      </c>
      <c r="S3164" s="8"/>
      <c r="T3164" s="8"/>
      <c r="U3164" s="19" t="str">
        <f>HYPERLINK("https://pbs.twimg.com/profile_images/1169188198058254337/iG6eXVxH.jpg","View")</f>
        <v>View</v>
      </c>
      <c r="V3164" s="8"/>
      <c r="W3164" s="8"/>
      <c r="X3164" s="8"/>
      <c r="Y3164" s="8"/>
      <c r="Z3164" s="8"/>
    </row>
    <row r="3165" spans="1:26" ht="12.75">
      <c r="A3165" s="11">
        <v>43747.169004629628</v>
      </c>
      <c r="B3165" s="12" t="str">
        <f>HYPERLINK("https://twitter.com/okk_sat","@okk_sat")</f>
        <v>@okk_sat</v>
      </c>
      <c r="C3165" s="7" t="s">
        <v>17961</v>
      </c>
      <c r="D3165" s="7" t="s">
        <v>17962</v>
      </c>
      <c r="E3165" s="12" t="str">
        <f>HYPERLINK("https://twitter.com/okk_sat/status/1181887873211146240","1181887873211146240")</f>
        <v>1181887873211146240</v>
      </c>
      <c r="F3165" s="8"/>
      <c r="G3165" s="14" t="s">
        <v>17963</v>
      </c>
      <c r="H3165" s="8"/>
      <c r="I3165" s="15">
        <v>0</v>
      </c>
      <c r="J3165" s="15">
        <v>4</v>
      </c>
      <c r="K3165" s="12" t="str">
        <f>HYPERLINK("http://twitter.com/download/android","Twitter for Android")</f>
        <v>Twitter for Android</v>
      </c>
      <c r="L3165" s="16">
        <v>3313</v>
      </c>
      <c r="M3165" s="16">
        <v>106</v>
      </c>
      <c r="N3165" s="16">
        <v>14</v>
      </c>
      <c r="O3165" s="17"/>
      <c r="P3165" s="18">
        <v>42493.390717592592</v>
      </c>
      <c r="Q3165" s="7" t="s">
        <v>200</v>
      </c>
      <c r="R3165" s="7" t="s">
        <v>17964</v>
      </c>
      <c r="S3165" s="8"/>
      <c r="T3165" s="8"/>
      <c r="U3165" s="19" t="str">
        <f>HYPERLINK("https://pbs.twimg.com/profile_images/1171144464406142977/rQwL0uag.jpg","View")</f>
        <v>View</v>
      </c>
      <c r="V3165" s="8"/>
      <c r="W3165" s="8"/>
      <c r="X3165" s="8"/>
      <c r="Y3165" s="8"/>
      <c r="Z3165" s="8"/>
    </row>
    <row r="3166" spans="1:26" ht="12.75">
      <c r="A3166" s="11">
        <v>43747.168958333335</v>
      </c>
      <c r="B3166" s="12" t="str">
        <f>HYPERLINK("https://twitter.com/zulalsuperisi","@zulalsuperisi")</f>
        <v>@zulalsuperisi</v>
      </c>
      <c r="C3166" s="7" t="s">
        <v>17965</v>
      </c>
      <c r="D3166" s="7" t="s">
        <v>17966</v>
      </c>
      <c r="E3166" s="12" t="str">
        <f>HYPERLINK("https://twitter.com/zulalsuperisi/status/1181887857729970181","1181887857729970181")</f>
        <v>1181887857729970181</v>
      </c>
      <c r="F3166" s="8"/>
      <c r="G3166" s="7"/>
      <c r="H3166" s="8"/>
      <c r="I3166" s="15">
        <v>0</v>
      </c>
      <c r="J3166" s="15">
        <v>1</v>
      </c>
      <c r="K3166" s="12" t="str">
        <f>HYPERLINK("https://mobile.twitter.com","Twitter Web App")</f>
        <v>Twitter Web App</v>
      </c>
      <c r="L3166" s="16">
        <v>3653</v>
      </c>
      <c r="M3166" s="16">
        <v>3310</v>
      </c>
      <c r="N3166" s="16">
        <v>13</v>
      </c>
      <c r="O3166" s="17"/>
      <c r="P3166" s="18">
        <v>40312.5153587963</v>
      </c>
      <c r="Q3166" s="7" t="s">
        <v>17967</v>
      </c>
      <c r="R3166" s="7" t="s">
        <v>17968</v>
      </c>
      <c r="S3166" s="8"/>
      <c r="T3166" s="8"/>
      <c r="U3166" s="19" t="str">
        <f>HYPERLINK("https://pbs.twimg.com/profile_images/1176370941301051392/ftaOS4Tj.jpg","View")</f>
        <v>View</v>
      </c>
      <c r="V3166" s="8"/>
      <c r="W3166" s="8"/>
      <c r="X3166" s="8"/>
      <c r="Y3166" s="8"/>
      <c r="Z3166" s="8"/>
    </row>
    <row r="3167" spans="1:26" ht="12.75">
      <c r="A3167" s="11">
        <v>43747.168946759259</v>
      </c>
      <c r="B3167" s="12" t="str">
        <f>HYPERLINK("https://twitter.com/ErdincUzal1","@ErdincUzal1")</f>
        <v>@ErdincUzal1</v>
      </c>
      <c r="C3167" s="7" t="s">
        <v>17969</v>
      </c>
      <c r="D3167" s="7" t="s">
        <v>17970</v>
      </c>
      <c r="E3167" s="12" t="str">
        <f>HYPERLINK("https://twitter.com/ErdincUzal1/status/1181887854085099520","1181887854085099520")</f>
        <v>1181887854085099520</v>
      </c>
      <c r="F3167" s="8"/>
      <c r="G3167" s="7"/>
      <c r="H3167" s="8"/>
      <c r="I3167" s="15">
        <v>0</v>
      </c>
      <c r="J3167" s="15">
        <v>1</v>
      </c>
      <c r="K3167" s="12" t="str">
        <f>HYPERLINK("http://twitter.com","Twitter Web Client")</f>
        <v>Twitter Web Client</v>
      </c>
      <c r="L3167" s="16">
        <v>13</v>
      </c>
      <c r="M3167" s="16">
        <v>0</v>
      </c>
      <c r="N3167" s="16">
        <v>0</v>
      </c>
      <c r="O3167" s="17"/>
      <c r="P3167" s="18">
        <v>43639.731076388889</v>
      </c>
      <c r="Q3167" s="7" t="s">
        <v>17971</v>
      </c>
      <c r="R3167" s="7" t="s">
        <v>17972</v>
      </c>
      <c r="S3167" s="8"/>
      <c r="T3167" s="8"/>
      <c r="U3167" s="19" t="str">
        <f>HYPERLINK("https://pbs.twimg.com/profile_images/1143823889329524737/8L3ClbOz.png","View")</f>
        <v>View</v>
      </c>
      <c r="V3167" s="8"/>
      <c r="W3167" s="8"/>
      <c r="X3167" s="8"/>
      <c r="Y3167" s="8"/>
      <c r="Z3167" s="8"/>
    </row>
    <row r="3168" spans="1:26" ht="12.75">
      <c r="A3168" s="11">
        <v>43747.168946759259</v>
      </c>
      <c r="B3168" s="12" t="str">
        <f>HYPERLINK("https://twitter.com/sahinsahin5806","@sahinsahin5806")</f>
        <v>@sahinsahin5806</v>
      </c>
      <c r="C3168" s="7" t="s">
        <v>17973</v>
      </c>
      <c r="D3168" s="7" t="s">
        <v>17974</v>
      </c>
      <c r="E3168" s="12" t="str">
        <f>HYPERLINK("https://twitter.com/sahinsahin5806/status/1181887852751310848","1181887852751310848")</f>
        <v>1181887852751310848</v>
      </c>
      <c r="F3168" s="8"/>
      <c r="G3168" s="14" t="s">
        <v>17975</v>
      </c>
      <c r="H3168" s="8"/>
      <c r="I3168" s="15">
        <v>0</v>
      </c>
      <c r="J3168" s="15">
        <v>1</v>
      </c>
      <c r="K3168" s="12" t="str">
        <f>HYPERLINK("http://twitter.com/download/android","Twitter for Android")</f>
        <v>Twitter for Android</v>
      </c>
      <c r="L3168" s="16">
        <v>2013</v>
      </c>
      <c r="M3168" s="16">
        <v>2047</v>
      </c>
      <c r="N3168" s="16">
        <v>1</v>
      </c>
      <c r="O3168" s="17"/>
      <c r="P3168" s="18">
        <v>42970.23847222222</v>
      </c>
      <c r="Q3168" s="7"/>
      <c r="R3168" s="7" t="s">
        <v>17976</v>
      </c>
      <c r="S3168" s="8"/>
      <c r="T3168" s="8"/>
      <c r="U3168" s="19" t="str">
        <f>HYPERLINK("https://pbs.twimg.com/profile_images/1164477125778378752/wF_rbjKY.jpg","View")</f>
        <v>View</v>
      </c>
      <c r="V3168" s="8"/>
      <c r="W3168" s="8"/>
      <c r="X3168" s="8"/>
      <c r="Y3168" s="8"/>
      <c r="Z3168" s="8"/>
    </row>
    <row r="3169" spans="1:26" ht="12.75">
      <c r="A3169" s="11">
        <v>43747.168946759259</v>
      </c>
      <c r="B3169" s="12" t="str">
        <f>HYPERLINK("https://twitter.com/mesutdurmuss","@mesutdurmuss")</f>
        <v>@mesutdurmuss</v>
      </c>
      <c r="C3169" s="7" t="s">
        <v>17977</v>
      </c>
      <c r="D3169" s="7" t="s">
        <v>17978</v>
      </c>
      <c r="E3169" s="12" t="str">
        <f>HYPERLINK("https://twitter.com/mesutdurmuss/status/1181887852239638529","1181887852239638529")</f>
        <v>1181887852239638529</v>
      </c>
      <c r="F3169" s="8"/>
      <c r="G3169" s="7"/>
      <c r="H3169" s="8"/>
      <c r="I3169" s="15">
        <v>0</v>
      </c>
      <c r="J3169" s="15">
        <v>0</v>
      </c>
      <c r="K3169" s="12" t="str">
        <f>HYPERLINK("http://twitter.com/download/android","Twitter for Android")</f>
        <v>Twitter for Android</v>
      </c>
      <c r="L3169" s="16">
        <v>58</v>
      </c>
      <c r="M3169" s="16">
        <v>82</v>
      </c>
      <c r="N3169" s="16">
        <v>0</v>
      </c>
      <c r="O3169" s="17"/>
      <c r="P3169" s="18">
        <v>40116.327060185184</v>
      </c>
      <c r="Q3169" s="7" t="s">
        <v>17979</v>
      </c>
      <c r="R3169" s="7" t="s">
        <v>17980</v>
      </c>
      <c r="S3169" s="15"/>
      <c r="T3169" s="8"/>
      <c r="U3169" s="19" t="str">
        <f>HYPERLINK("https://pbs.twimg.com/profile_images/658430822463225856/Gbw7y3Xf.jpg","View")</f>
        <v>View</v>
      </c>
      <c r="V3169" s="8"/>
      <c r="W3169" s="8"/>
      <c r="X3169" s="8"/>
      <c r="Y3169" s="8"/>
      <c r="Z3169" s="8"/>
    </row>
    <row r="3170" spans="1:26" ht="12.75">
      <c r="A3170" s="11">
        <v>43747.16878472222</v>
      </c>
      <c r="B3170" s="12" t="str">
        <f>HYPERLINK("https://twitter.com/Nuring342","@Nuring342")</f>
        <v>@Nuring342</v>
      </c>
      <c r="C3170" s="7" t="s">
        <v>17981</v>
      </c>
      <c r="D3170" s="7" t="s">
        <v>9777</v>
      </c>
      <c r="E3170" s="12" t="str">
        <f>HYPERLINK("https://twitter.com/Nuring342/status/1181887796988055553","1181887796988055553")</f>
        <v>1181887796988055553</v>
      </c>
      <c r="F3170" s="8"/>
      <c r="G3170" s="15"/>
      <c r="H3170" s="8"/>
      <c r="I3170" s="15">
        <v>0</v>
      </c>
      <c r="J3170" s="15">
        <v>0</v>
      </c>
      <c r="K3170" s="12" t="str">
        <f>HYPERLINK("http://twitter.com/download/android","Twitter for Android")</f>
        <v>Twitter for Android</v>
      </c>
      <c r="L3170" s="16">
        <v>238</v>
      </c>
      <c r="M3170" s="16">
        <v>442</v>
      </c>
      <c r="N3170" s="16">
        <v>0</v>
      </c>
      <c r="O3170" s="17"/>
      <c r="P3170" s="18">
        <v>43373.371770833328</v>
      </c>
      <c r="Q3170" s="7"/>
      <c r="R3170" s="7"/>
      <c r="S3170" s="8"/>
      <c r="T3170" s="8"/>
      <c r="U3170" s="19" t="str">
        <f>HYPERLINK("https://pbs.twimg.com/profile_images/1179880349314273281/Jr8aFu5l.jpg","View")</f>
        <v>View</v>
      </c>
      <c r="V3170" s="8"/>
      <c r="W3170" s="8"/>
      <c r="X3170" s="8"/>
      <c r="Y3170" s="8"/>
      <c r="Z3170" s="8"/>
    </row>
    <row r="3171" spans="1:26" ht="12.75">
      <c r="A3171" s="11">
        <v>43747.168738425928</v>
      </c>
      <c r="B3171" s="12" t="str">
        <f>HYPERLINK("https://twitter.com/Ahmetcandmrkp","@Ahmetcandmrkp")</f>
        <v>@Ahmetcandmrkp</v>
      </c>
      <c r="C3171" s="7" t="s">
        <v>17982</v>
      </c>
      <c r="D3171" s="7" t="s">
        <v>17983</v>
      </c>
      <c r="E3171" s="12" t="str">
        <f>HYPERLINK("https://twitter.com/Ahmetcandmrkp/status/1181887776666595329","1181887776666595329")</f>
        <v>1181887776666595329</v>
      </c>
      <c r="F3171" s="8"/>
      <c r="G3171" s="14" t="s">
        <v>17984</v>
      </c>
      <c r="H3171" s="8"/>
      <c r="I3171" s="15">
        <v>0</v>
      </c>
      <c r="J3171" s="15">
        <v>6</v>
      </c>
      <c r="K3171" s="12" t="str">
        <f>HYPERLINK("http://twitter.com/download/android","Twitter for Android")</f>
        <v>Twitter for Android</v>
      </c>
      <c r="L3171" s="16">
        <v>1732</v>
      </c>
      <c r="M3171" s="16">
        <v>1518</v>
      </c>
      <c r="N3171" s="16">
        <v>1</v>
      </c>
      <c r="O3171" s="17"/>
      <c r="P3171" s="18">
        <v>40885.389201388891</v>
      </c>
      <c r="Q3171" s="7">
        <v>53</v>
      </c>
      <c r="R3171" s="7" t="s">
        <v>17985</v>
      </c>
      <c r="S3171" s="14" t="s">
        <v>17986</v>
      </c>
      <c r="T3171" s="8"/>
      <c r="U3171" s="19" t="str">
        <f>HYPERLINK("https://pbs.twimg.com/profile_images/1167573273921687552/FrVCRgsK.jpg","View")</f>
        <v>View</v>
      </c>
      <c r="V3171" s="8"/>
      <c r="W3171" s="8"/>
      <c r="X3171" s="8"/>
      <c r="Y3171" s="8"/>
      <c r="Z3171" s="8"/>
    </row>
    <row r="3172" spans="1:26" ht="12.75">
      <c r="A3172" s="11">
        <v>43747.168668981481</v>
      </c>
      <c r="B3172" s="12" t="str">
        <f>HYPERLINK("https://twitter.com/dizifilmdergisi","@dizifilmdergisi")</f>
        <v>@dizifilmdergisi</v>
      </c>
      <c r="C3172" s="7" t="s">
        <v>17987</v>
      </c>
      <c r="D3172" s="7" t="s">
        <v>17988</v>
      </c>
      <c r="E3172" s="12" t="str">
        <f>HYPERLINK("https://twitter.com/dizifilmdergisi/status/1181887752121528320","1181887752121528320")</f>
        <v>1181887752121528320</v>
      </c>
      <c r="F3172" s="14" t="s">
        <v>17989</v>
      </c>
      <c r="G3172" s="15"/>
      <c r="H3172" s="8"/>
      <c r="I3172" s="15">
        <v>0</v>
      </c>
      <c r="J3172" s="15">
        <v>3</v>
      </c>
      <c r="K3172" s="12" t="str">
        <f>HYPERLINK("http://twitter.com","Twitter Web Client")</f>
        <v>Twitter Web Client</v>
      </c>
      <c r="L3172" s="16">
        <v>1832</v>
      </c>
      <c r="M3172" s="16">
        <v>2467</v>
      </c>
      <c r="N3172" s="16">
        <v>1</v>
      </c>
      <c r="O3172" s="17"/>
      <c r="P3172" s="18">
        <v>41744.552488425928</v>
      </c>
      <c r="Q3172" s="7" t="s">
        <v>313</v>
      </c>
      <c r="R3172" s="7" t="s">
        <v>17990</v>
      </c>
      <c r="S3172" s="14" t="s">
        <v>17991</v>
      </c>
      <c r="T3172" s="8"/>
      <c r="U3172" s="19" t="str">
        <f>HYPERLINK("https://pbs.twimg.com/profile_images/1094195795170070529/Fs0Dgsto.jpg","View")</f>
        <v>View</v>
      </c>
      <c r="V3172" s="8"/>
      <c r="W3172" s="8"/>
      <c r="X3172" s="8"/>
      <c r="Y3172" s="8"/>
      <c r="Z3172" s="8"/>
    </row>
    <row r="3173" spans="1:26" ht="12.75">
      <c r="A3173" s="11">
        <v>43747.168645833328</v>
      </c>
      <c r="B3173" s="12" t="str">
        <f>HYPERLINK("https://twitter.com/dr_umit_ozcelik","@dr_umit_ozcelik")</f>
        <v>@dr_umit_ozcelik</v>
      </c>
      <c r="C3173" s="7" t="s">
        <v>17992</v>
      </c>
      <c r="D3173" s="7" t="s">
        <v>17993</v>
      </c>
      <c r="E3173" s="12" t="str">
        <f>HYPERLINK("https://twitter.com/dr_umit_ozcelik/status/1181887743024074752","1181887743024074752")</f>
        <v>1181887743024074752</v>
      </c>
      <c r="F3173" s="8"/>
      <c r="G3173" s="7"/>
      <c r="H3173" s="8"/>
      <c r="I3173" s="15">
        <v>0</v>
      </c>
      <c r="J3173" s="15">
        <v>0</v>
      </c>
      <c r="K3173" s="12" t="str">
        <f>HYPERLINK("http://twitter.com/download/android","Twitter for Android")</f>
        <v>Twitter for Android</v>
      </c>
      <c r="L3173" s="16">
        <v>52</v>
      </c>
      <c r="M3173" s="16">
        <v>87</v>
      </c>
      <c r="N3173" s="16">
        <v>0</v>
      </c>
      <c r="O3173" s="17"/>
      <c r="P3173" s="18">
        <v>43485.183217592596</v>
      </c>
      <c r="Q3173" s="7"/>
      <c r="R3173" s="7"/>
      <c r="S3173" s="8"/>
      <c r="T3173" s="8"/>
      <c r="U3173" s="19" t="str">
        <f>HYPERLINK("https://pbs.twimg.com/profile_images/1137480524199616513/UHjuGg6i.jpg","View")</f>
        <v>View</v>
      </c>
      <c r="V3173" s="8"/>
      <c r="W3173" s="8"/>
      <c r="X3173" s="8"/>
      <c r="Y3173" s="8"/>
      <c r="Z3173" s="8"/>
    </row>
    <row r="3174" spans="1:26" ht="12.75">
      <c r="A3174" s="11">
        <v>43747.168587962966</v>
      </c>
      <c r="B3174" s="12" t="str">
        <f>HYPERLINK("https://twitter.com/Bozkurtadam1453","@Bozkurtadam1453")</f>
        <v>@Bozkurtadam1453</v>
      </c>
      <c r="C3174" s="7" t="s">
        <v>10020</v>
      </c>
      <c r="D3174" s="7" t="s">
        <v>17994</v>
      </c>
      <c r="E3174" s="12" t="str">
        <f>HYPERLINK("https://twitter.com/Bozkurtadam1453/status/1181887725840080896","1181887725840080896")</f>
        <v>1181887725840080896</v>
      </c>
      <c r="F3174" s="15"/>
      <c r="G3174" s="14" t="s">
        <v>17995</v>
      </c>
      <c r="H3174" s="8"/>
      <c r="I3174" s="15">
        <v>0</v>
      </c>
      <c r="J3174" s="15">
        <v>0</v>
      </c>
      <c r="K3174" s="12" t="str">
        <f>HYPERLINK("http://twitter.com/download/iphone","Twitter for iPhone")</f>
        <v>Twitter for iPhone</v>
      </c>
      <c r="L3174" s="16">
        <v>158</v>
      </c>
      <c r="M3174" s="16">
        <v>178</v>
      </c>
      <c r="N3174" s="16">
        <v>0</v>
      </c>
      <c r="O3174" s="17"/>
      <c r="P3174" s="18">
        <v>43190.047986111109</v>
      </c>
      <c r="Q3174" s="7"/>
      <c r="R3174" s="7" t="s">
        <v>17996</v>
      </c>
      <c r="S3174" s="8"/>
      <c r="T3174" s="8"/>
      <c r="U3174" s="19" t="str">
        <f>HYPERLINK("https://pbs.twimg.com/profile_images/1105967860306927622/6zf31q75.jpg","View")</f>
        <v>View</v>
      </c>
      <c r="V3174" s="8"/>
      <c r="W3174" s="8"/>
      <c r="X3174" s="8"/>
      <c r="Y3174" s="8"/>
      <c r="Z3174" s="8"/>
    </row>
    <row r="3175" spans="1:26" ht="12.75">
      <c r="A3175" s="11">
        <v>43747.16851851852</v>
      </c>
      <c r="B3175" s="12" t="str">
        <f>HYPERLINK("https://twitter.com/sivasregal1","@sivasregal1")</f>
        <v>@sivasregal1</v>
      </c>
      <c r="C3175" s="7" t="s">
        <v>17997</v>
      </c>
      <c r="D3175" s="7" t="s">
        <v>17998</v>
      </c>
      <c r="E3175" s="12" t="str">
        <f>HYPERLINK("https://twitter.com/sivasregal1/status/1181887700133142528","1181887700133142528")</f>
        <v>1181887700133142528</v>
      </c>
      <c r="F3175" s="8"/>
      <c r="G3175" s="7"/>
      <c r="H3175" s="8"/>
      <c r="I3175" s="15">
        <v>0</v>
      </c>
      <c r="J3175" s="15">
        <v>0</v>
      </c>
      <c r="K3175" s="12" t="str">
        <f>HYPERLINK("http://twitter.com/download/iphone","Twitter for iPhone")</f>
        <v>Twitter for iPhone</v>
      </c>
      <c r="L3175" s="16">
        <v>90</v>
      </c>
      <c r="M3175" s="16">
        <v>634</v>
      </c>
      <c r="N3175" s="16">
        <v>0</v>
      </c>
      <c r="O3175" s="17"/>
      <c r="P3175" s="18">
        <v>43263.019317129627</v>
      </c>
      <c r="Q3175" s="7" t="s">
        <v>3537</v>
      </c>
      <c r="R3175" s="7" t="s">
        <v>17999</v>
      </c>
      <c r="S3175" s="8"/>
      <c r="T3175" s="8"/>
      <c r="U3175" s="19" t="str">
        <f>HYPERLINK("https://pbs.twimg.com/profile_images/1181592666368352256/0qQZ4sOx.jpg","View")</f>
        <v>View</v>
      </c>
      <c r="V3175" s="8"/>
      <c r="W3175" s="8"/>
      <c r="X3175" s="8"/>
      <c r="Y3175" s="8"/>
      <c r="Z3175" s="8"/>
    </row>
    <row r="3176" spans="1:26" ht="12.75">
      <c r="A3176" s="11">
        <v>43747.16851851852</v>
      </c>
      <c r="B3176" s="12" t="str">
        <f>HYPERLINK("https://twitter.com/dicemde","@dicemde")</f>
        <v>@dicemde</v>
      </c>
      <c r="C3176" s="7" t="s">
        <v>18000</v>
      </c>
      <c r="D3176" s="7" t="s">
        <v>18001</v>
      </c>
      <c r="E3176" s="12" t="str">
        <f>HYPERLINK("https://twitter.com/dicemde/status/1181887699290116096","1181887699290116096")</f>
        <v>1181887699290116096</v>
      </c>
      <c r="F3176" s="8"/>
      <c r="G3176" s="15"/>
      <c r="H3176" s="8"/>
      <c r="I3176" s="15">
        <v>0</v>
      </c>
      <c r="J3176" s="15">
        <v>0</v>
      </c>
      <c r="K3176" s="12" t="str">
        <f>HYPERLINK("http://twitter.com/download/iphone","Twitter for iPhone")</f>
        <v>Twitter for iPhone</v>
      </c>
      <c r="L3176" s="16">
        <v>38</v>
      </c>
      <c r="M3176" s="16">
        <v>11</v>
      </c>
      <c r="N3176" s="16">
        <v>0</v>
      </c>
      <c r="O3176" s="17"/>
      <c r="P3176" s="18">
        <v>43613.398877314816</v>
      </c>
      <c r="Q3176" s="7"/>
      <c r="R3176" s="7" t="s">
        <v>18002</v>
      </c>
      <c r="S3176" s="8"/>
      <c r="T3176" s="8"/>
      <c r="U3176" s="19" t="str">
        <f>HYPERLINK("https://pbs.twimg.com/profile_images/1180658295448711169/5wXz2TYy.jpg","View")</f>
        <v>View</v>
      </c>
      <c r="V3176" s="8"/>
      <c r="W3176" s="8"/>
      <c r="X3176" s="8"/>
      <c r="Y3176" s="8"/>
      <c r="Z3176" s="8"/>
    </row>
    <row r="3177" spans="1:26" ht="12.75">
      <c r="A3177" s="11">
        <v>43747.168368055558</v>
      </c>
      <c r="B3177" s="12" t="str">
        <f>HYPERLINK("https://twitter.com/karaogluukoray","@karaogluukoray")</f>
        <v>@karaogluukoray</v>
      </c>
      <c r="C3177" s="7" t="s">
        <v>18003</v>
      </c>
      <c r="D3177" s="7" t="s">
        <v>18004</v>
      </c>
      <c r="E3177" s="12" t="str">
        <f>HYPERLINK("https://twitter.com/karaogluukoray/status/1181887643526877184","1181887643526877184")</f>
        <v>1181887643526877184</v>
      </c>
      <c r="F3177" s="15"/>
      <c r="G3177" s="14" t="s">
        <v>18005</v>
      </c>
      <c r="H3177" s="8"/>
      <c r="I3177" s="15">
        <v>0</v>
      </c>
      <c r="J3177" s="15">
        <v>4</v>
      </c>
      <c r="K3177" s="12" t="str">
        <f>HYPERLINK("http://twitter.com/download/android","Twitter for Android")</f>
        <v>Twitter for Android</v>
      </c>
      <c r="L3177" s="16">
        <v>908</v>
      </c>
      <c r="M3177" s="16">
        <v>1198</v>
      </c>
      <c r="N3177" s="16">
        <v>3</v>
      </c>
      <c r="O3177" s="17"/>
      <c r="P3177" s="18">
        <v>41125.75645833333</v>
      </c>
      <c r="Q3177" s="7" t="s">
        <v>2050</v>
      </c>
      <c r="R3177" s="7" t="s">
        <v>18006</v>
      </c>
      <c r="S3177" s="8"/>
      <c r="T3177" s="8"/>
      <c r="U3177" s="19" t="str">
        <f>HYPERLINK("https://pbs.twimg.com/profile_images/1146877028131594240/q-UTpDqc.jpg","View")</f>
        <v>View</v>
      </c>
      <c r="V3177" s="8"/>
      <c r="W3177" s="8"/>
      <c r="X3177" s="8"/>
      <c r="Y3177" s="8"/>
      <c r="Z3177" s="8"/>
    </row>
    <row r="3178" spans="1:26" ht="12.75">
      <c r="A3178" s="11">
        <v>43747.168136574073</v>
      </c>
      <c r="B3178" s="12" t="str">
        <f>HYPERLINK("https://twitter.com/emrahyavrozturk","@emrahyavrozturk")</f>
        <v>@emrahyavrozturk</v>
      </c>
      <c r="C3178" s="7" t="s">
        <v>18007</v>
      </c>
      <c r="D3178" s="7" t="s">
        <v>18008</v>
      </c>
      <c r="E3178" s="12" t="str">
        <f>HYPERLINK("https://twitter.com/emrahyavrozturk/status/1181887559271624704","1181887559271624704")</f>
        <v>1181887559271624704</v>
      </c>
      <c r="F3178" s="8"/>
      <c r="G3178" s="14" t="s">
        <v>18009</v>
      </c>
      <c r="H3178" s="8"/>
      <c r="I3178" s="15">
        <v>0</v>
      </c>
      <c r="J3178" s="15">
        <v>0</v>
      </c>
      <c r="K3178" s="12" t="str">
        <f>HYPERLINK("http://twitter.com/download/android","Twitter for Android")</f>
        <v>Twitter for Android</v>
      </c>
      <c r="L3178" s="16">
        <v>1426</v>
      </c>
      <c r="M3178" s="16">
        <v>865</v>
      </c>
      <c r="N3178" s="16">
        <v>1</v>
      </c>
      <c r="O3178" s="17"/>
      <c r="P3178" s="18">
        <v>41047.351817129631</v>
      </c>
      <c r="Q3178" s="7" t="s">
        <v>18010</v>
      </c>
      <c r="R3178" s="7" t="s">
        <v>18011</v>
      </c>
      <c r="S3178" s="14" t="s">
        <v>18012</v>
      </c>
      <c r="T3178" s="8"/>
      <c r="U3178" s="19" t="str">
        <f>HYPERLINK("https://pbs.twimg.com/profile_images/861162092677791744/9ASDfNDG.jpg","View")</f>
        <v>View</v>
      </c>
      <c r="V3178" s="8"/>
      <c r="W3178" s="8"/>
      <c r="X3178" s="8"/>
      <c r="Y3178" s="8"/>
      <c r="Z3178" s="8"/>
    </row>
    <row r="3179" spans="1:26" ht="12.75">
      <c r="A3179" s="11">
        <v>43747.168113425927</v>
      </c>
      <c r="B3179" s="12" t="str">
        <f>HYPERLINK("https://twitter.com/UnallCelikk","@UnallCelikk")</f>
        <v>@UnallCelikk</v>
      </c>
      <c r="C3179" s="7" t="s">
        <v>18013</v>
      </c>
      <c r="D3179" s="7" t="s">
        <v>18014</v>
      </c>
      <c r="E3179" s="12" t="str">
        <f>HYPERLINK("https://twitter.com/UnallCelikk/status/1181887553437388801","1181887553437388801")</f>
        <v>1181887553437388801</v>
      </c>
      <c r="F3179" s="8"/>
      <c r="G3179" s="7"/>
      <c r="H3179" s="8"/>
      <c r="I3179" s="15">
        <v>0</v>
      </c>
      <c r="J3179" s="15">
        <v>0</v>
      </c>
      <c r="K3179" s="12" t="str">
        <f>HYPERLINK("http://twitter.com/download/android","Twitter for Android")</f>
        <v>Twitter for Android</v>
      </c>
      <c r="L3179" s="16">
        <v>124</v>
      </c>
      <c r="M3179" s="16">
        <v>319</v>
      </c>
      <c r="N3179" s="16">
        <v>0</v>
      </c>
      <c r="O3179" s="17"/>
      <c r="P3179" s="18">
        <v>41930.987638888888</v>
      </c>
      <c r="Q3179" s="7" t="s">
        <v>18015</v>
      </c>
      <c r="R3179" s="7" t="s">
        <v>18016</v>
      </c>
      <c r="S3179" s="8"/>
      <c r="T3179" s="8"/>
      <c r="U3179" s="19" t="str">
        <f>HYPERLINK("https://pbs.twimg.com/profile_images/1172986224128212999/LBieYsQd.jpg","View")</f>
        <v>View</v>
      </c>
      <c r="V3179" s="8"/>
      <c r="W3179" s="8"/>
      <c r="X3179" s="8"/>
      <c r="Y3179" s="8"/>
      <c r="Z3179" s="8"/>
    </row>
    <row r="3180" spans="1:26" ht="12.75">
      <c r="A3180" s="11">
        <v>43747.167986111112</v>
      </c>
      <c r="B3180" s="12" t="str">
        <f>HYPERLINK("https://twitter.com/_yucelibrahim","@_yucelibrahim")</f>
        <v>@_yucelibrahim</v>
      </c>
      <c r="C3180" s="7" t="s">
        <v>18017</v>
      </c>
      <c r="D3180" s="7" t="s">
        <v>18018</v>
      </c>
      <c r="E3180" s="12" t="str">
        <f>HYPERLINK("https://twitter.com/_yucelibrahim/status/1181887506578644993","1181887506578644993")</f>
        <v>1181887506578644993</v>
      </c>
      <c r="F3180" s="8"/>
      <c r="G3180" s="14" t="s">
        <v>18019</v>
      </c>
      <c r="H3180" s="8"/>
      <c r="I3180" s="15">
        <v>1</v>
      </c>
      <c r="J3180" s="15">
        <v>1</v>
      </c>
      <c r="K3180" s="12" t="str">
        <f>HYPERLINK("http://twitter.com/download/android","Twitter for Android")</f>
        <v>Twitter for Android</v>
      </c>
      <c r="L3180" s="16">
        <v>346</v>
      </c>
      <c r="M3180" s="16">
        <v>547</v>
      </c>
      <c r="N3180" s="16">
        <v>0</v>
      </c>
      <c r="O3180" s="17"/>
      <c r="P3180" s="18">
        <v>42866.847627314812</v>
      </c>
      <c r="Q3180" s="7" t="s">
        <v>200</v>
      </c>
      <c r="R3180" s="7" t="s">
        <v>18020</v>
      </c>
      <c r="S3180" s="8"/>
      <c r="T3180" s="8"/>
      <c r="U3180" s="19" t="str">
        <f>HYPERLINK("https://pbs.twimg.com/profile_images/1181888140145053697/okJr-Ww2.jpg","View")</f>
        <v>View</v>
      </c>
      <c r="V3180" s="8"/>
      <c r="W3180" s="8"/>
      <c r="X3180" s="8"/>
      <c r="Y3180" s="8"/>
      <c r="Z3180" s="8"/>
    </row>
    <row r="3181" spans="1:26" ht="12.75">
      <c r="A3181" s="11">
        <v>43747.167974537035</v>
      </c>
      <c r="B3181" s="12" t="str">
        <f>HYPERLINK("https://twitter.com/kenankabadagi1","@kenankabadagi1")</f>
        <v>@kenankabadagi1</v>
      </c>
      <c r="C3181" s="7" t="s">
        <v>18021</v>
      </c>
      <c r="D3181" s="7" t="s">
        <v>18022</v>
      </c>
      <c r="E3181" s="12" t="str">
        <f>HYPERLINK("https://twitter.com/kenankabadagi1/status/1181887501608407041","1181887501608407041")</f>
        <v>1181887501608407041</v>
      </c>
      <c r="F3181" s="8"/>
      <c r="G3181" s="7"/>
      <c r="H3181" s="8"/>
      <c r="I3181" s="15">
        <v>0</v>
      </c>
      <c r="J3181" s="15">
        <v>0</v>
      </c>
      <c r="K3181" s="12" t="str">
        <f>HYPERLINK("http://twitter.com/download/android","Twitter for Android")</f>
        <v>Twitter for Android</v>
      </c>
      <c r="L3181" s="16">
        <v>1091</v>
      </c>
      <c r="M3181" s="16">
        <v>1355</v>
      </c>
      <c r="N3181" s="16">
        <v>0</v>
      </c>
      <c r="O3181" s="17"/>
      <c r="P3181" s="18">
        <v>43527.586400462962</v>
      </c>
      <c r="Q3181" s="7" t="s">
        <v>287</v>
      </c>
      <c r="R3181" s="7" t="s">
        <v>18023</v>
      </c>
      <c r="S3181" s="8"/>
      <c r="T3181" s="8"/>
      <c r="U3181" s="19" t="str">
        <f>HYPERLINK("https://pbs.twimg.com/profile_images/1179835636959842305/dGaM3KJ0.jpg","View")</f>
        <v>View</v>
      </c>
      <c r="V3181" s="8"/>
      <c r="W3181" s="8"/>
      <c r="X3181" s="8"/>
      <c r="Y3181" s="8"/>
      <c r="Z3181" s="8"/>
    </row>
    <row r="3182" spans="1:26" ht="12.75">
      <c r="A3182" s="11">
        <v>43747.167962962965</v>
      </c>
      <c r="B3182" s="12" t="str">
        <f>HYPERLINK("https://twitter.com/_cuneyterdogdu","@_cuneyterdogdu")</f>
        <v>@_cuneyterdogdu</v>
      </c>
      <c r="C3182" s="7" t="s">
        <v>18024</v>
      </c>
      <c r="D3182" s="7" t="s">
        <v>18025</v>
      </c>
      <c r="E3182" s="12" t="str">
        <f>HYPERLINK("https://twitter.com/_cuneyterdogdu/status/1181887495602089988","1181887495602089988")</f>
        <v>1181887495602089988</v>
      </c>
      <c r="F3182" s="8"/>
      <c r="G3182" s="14" t="s">
        <v>18026</v>
      </c>
      <c r="H3182" s="8"/>
      <c r="I3182" s="15">
        <v>0</v>
      </c>
      <c r="J3182" s="15">
        <v>0</v>
      </c>
      <c r="K3182" s="12" t="str">
        <f>HYPERLINK("http://twitter.com","Twitter Web Client")</f>
        <v>Twitter Web Client</v>
      </c>
      <c r="L3182" s="16">
        <v>2508</v>
      </c>
      <c r="M3182" s="16">
        <v>1728</v>
      </c>
      <c r="N3182" s="16">
        <v>0</v>
      </c>
      <c r="O3182" s="17"/>
      <c r="P3182" s="18">
        <v>40844.269837962966</v>
      </c>
      <c r="Q3182" s="7" t="s">
        <v>313</v>
      </c>
      <c r="R3182" s="7" t="s">
        <v>18027</v>
      </c>
      <c r="S3182" s="8"/>
      <c r="T3182" s="8"/>
      <c r="U3182" s="19" t="str">
        <f>HYPERLINK("https://pbs.twimg.com/profile_images/1150836450751111170/cWI_M7fT.png","View")</f>
        <v>View</v>
      </c>
      <c r="V3182" s="8"/>
      <c r="W3182" s="8"/>
      <c r="X3182" s="8"/>
      <c r="Y3182" s="8"/>
      <c r="Z3182" s="8"/>
    </row>
    <row r="3183" spans="1:26" ht="12.75">
      <c r="A3183" s="11">
        <v>43747.167951388888</v>
      </c>
      <c r="B3183" s="12" t="str">
        <f>HYPERLINK("https://twitter.com/zeli36421412","@zeli36421412")</f>
        <v>@zeli36421412</v>
      </c>
      <c r="C3183" s="7" t="s">
        <v>18028</v>
      </c>
      <c r="D3183" s="7" t="s">
        <v>18029</v>
      </c>
      <c r="E3183" s="12" t="str">
        <f>HYPERLINK("https://twitter.com/zeli36421412/status/1181887491676217346","1181887491676217346")</f>
        <v>1181887491676217346</v>
      </c>
      <c r="F3183" s="8"/>
      <c r="G3183" s="14" t="s">
        <v>18030</v>
      </c>
      <c r="H3183" s="8"/>
      <c r="I3183" s="15">
        <v>0</v>
      </c>
      <c r="J3183" s="15">
        <v>0</v>
      </c>
      <c r="K3183" s="12" t="str">
        <f>HYPERLINK("http://twitter.com/download/iphone","Twitter for iPhone")</f>
        <v>Twitter for iPhone</v>
      </c>
      <c r="L3183" s="16">
        <v>7</v>
      </c>
      <c r="M3183" s="16">
        <v>34</v>
      </c>
      <c r="N3183" s="16">
        <v>0</v>
      </c>
      <c r="O3183" s="17"/>
      <c r="P3183" s="18">
        <v>43526.019108796296</v>
      </c>
      <c r="Q3183" s="7"/>
      <c r="R3183" s="7"/>
      <c r="S3183" s="8"/>
      <c r="T3183" s="8"/>
      <c r="U3183" s="19" t="str">
        <f>HYPERLINK("https://pbs.twimg.com/profile_images/1176523786784579584/iDs0O1Mh.jpg","View")</f>
        <v>View</v>
      </c>
      <c r="V3183" s="8"/>
      <c r="W3183" s="8"/>
      <c r="X3183" s="8"/>
      <c r="Y3183" s="8"/>
      <c r="Z3183" s="8"/>
    </row>
    <row r="3184" spans="1:26" ht="12.75">
      <c r="A3184" s="11">
        <v>43747.167858796296</v>
      </c>
      <c r="B3184" s="12" t="str">
        <f>HYPERLINK("https://twitter.com/CilesizOznur","@CilesizOznur")</f>
        <v>@CilesizOznur</v>
      </c>
      <c r="C3184" s="7" t="s">
        <v>18032</v>
      </c>
      <c r="D3184" s="7" t="s">
        <v>18033</v>
      </c>
      <c r="E3184" s="12" t="str">
        <f>HYPERLINK("https://twitter.com/CilesizOznur/status/1181887458948108290","1181887458948108290")</f>
        <v>1181887458948108290</v>
      </c>
      <c r="F3184" s="8"/>
      <c r="G3184" s="14" t="s">
        <v>18034</v>
      </c>
      <c r="H3184" s="8"/>
      <c r="I3184" s="15">
        <v>0</v>
      </c>
      <c r="J3184" s="15">
        <v>0</v>
      </c>
      <c r="K3184" s="12" t="str">
        <f>HYPERLINK("http://twitter.com/download/android","Twitter for Android")</f>
        <v>Twitter for Android</v>
      </c>
      <c r="L3184" s="16">
        <v>108</v>
      </c>
      <c r="M3184" s="16">
        <v>173</v>
      </c>
      <c r="N3184" s="16">
        <v>0</v>
      </c>
      <c r="O3184" s="17"/>
      <c r="P3184" s="18">
        <v>43350.126423611116</v>
      </c>
      <c r="Q3184" s="7" t="s">
        <v>313</v>
      </c>
      <c r="R3184" s="7"/>
      <c r="S3184" s="8"/>
      <c r="T3184" s="8"/>
      <c r="U3184" s="19" t="str">
        <f>HYPERLINK("https://pbs.twimg.com/profile_images/1038006987617968128/Qk9jx2XF.jpg","View")</f>
        <v>View</v>
      </c>
      <c r="V3184" s="8"/>
      <c r="W3184" s="8"/>
      <c r="X3184" s="8"/>
      <c r="Y3184" s="8"/>
      <c r="Z3184" s="8"/>
    </row>
    <row r="3185" spans="1:26" ht="12.75">
      <c r="A3185" s="11">
        <v>43747.167719907404</v>
      </c>
      <c r="B3185" s="12" t="str">
        <f>HYPERLINK("https://twitter.com/_YildizGizem","@_YildizGizem")</f>
        <v>@_YildizGizem</v>
      </c>
      <c r="C3185" s="7" t="s">
        <v>18035</v>
      </c>
      <c r="D3185" s="7" t="s">
        <v>18036</v>
      </c>
      <c r="E3185" s="12" t="str">
        <f>HYPERLINK("https://twitter.com/_YildizGizem/status/1181887411548237826","1181887411548237826")</f>
        <v>1181887411548237826</v>
      </c>
      <c r="F3185" s="8"/>
      <c r="G3185" s="15"/>
      <c r="H3185" s="8"/>
      <c r="I3185" s="15">
        <v>2</v>
      </c>
      <c r="J3185" s="15">
        <v>12</v>
      </c>
      <c r="K3185" s="12" t="str">
        <f>HYPERLINK("http://twitter.com/download/iphone","Twitter for iPhone")</f>
        <v>Twitter for iPhone</v>
      </c>
      <c r="L3185" s="16">
        <v>1633</v>
      </c>
      <c r="M3185" s="16">
        <v>80</v>
      </c>
      <c r="N3185" s="16">
        <v>1</v>
      </c>
      <c r="O3185" s="17"/>
      <c r="P3185" s="18">
        <v>42256.84642361111</v>
      </c>
      <c r="Q3185" s="7" t="s">
        <v>18037</v>
      </c>
      <c r="R3185" s="7" t="s">
        <v>18038</v>
      </c>
      <c r="S3185" s="14" t="s">
        <v>18039</v>
      </c>
      <c r="T3185" s="8"/>
      <c r="U3185" s="19" t="str">
        <f>HYPERLINK("https://pbs.twimg.com/profile_images/1087340966699327488/AXCpH78R.jpg","View")</f>
        <v>View</v>
      </c>
      <c r="V3185" s="8"/>
      <c r="W3185" s="8"/>
      <c r="X3185" s="8"/>
      <c r="Y3185" s="8"/>
      <c r="Z3185" s="8"/>
    </row>
    <row r="3186" spans="1:26" ht="12.75">
      <c r="A3186" s="11">
        <v>43747.167708333334</v>
      </c>
      <c r="B3186" s="12" t="str">
        <f>HYPERLINK("https://twitter.com/IlsuOzdere","@IlsuOzdere")</f>
        <v>@IlsuOzdere</v>
      </c>
      <c r="C3186" s="7" t="s">
        <v>18040</v>
      </c>
      <c r="D3186" s="7" t="s">
        <v>18041</v>
      </c>
      <c r="E3186" s="12" t="str">
        <f>HYPERLINK("https://twitter.com/IlsuOzdere/status/1181887404300492800","1181887404300492800")</f>
        <v>1181887404300492800</v>
      </c>
      <c r="F3186" s="8"/>
      <c r="G3186" s="7"/>
      <c r="H3186" s="8"/>
      <c r="I3186" s="15">
        <v>0</v>
      </c>
      <c r="J3186" s="15">
        <v>0</v>
      </c>
      <c r="K3186" s="12" t="str">
        <f>HYPERLINK("http://twitter.com","Twitter Web Client")</f>
        <v>Twitter Web Client</v>
      </c>
      <c r="L3186" s="16">
        <v>6</v>
      </c>
      <c r="M3186" s="16">
        <v>0</v>
      </c>
      <c r="N3186" s="16">
        <v>0</v>
      </c>
      <c r="O3186" s="17"/>
      <c r="P3186" s="18">
        <v>43683.854641203703</v>
      </c>
      <c r="Q3186" s="7" t="s">
        <v>1066</v>
      </c>
      <c r="R3186" s="7" t="s">
        <v>18042</v>
      </c>
      <c r="S3186" s="8"/>
      <c r="T3186" s="8"/>
      <c r="U3186" s="19" t="str">
        <f>HYPERLINK("https://pbs.twimg.com/profile_images/1167220934891233281/zDIBxaeL.jpg","View")</f>
        <v>View</v>
      </c>
      <c r="V3186" s="8"/>
      <c r="W3186" s="8"/>
      <c r="X3186" s="8"/>
      <c r="Y3186" s="8"/>
      <c r="Z3186" s="8"/>
    </row>
    <row r="3187" spans="1:26" ht="12.75">
      <c r="A3187" s="11">
        <v>43747.167442129634</v>
      </c>
      <c r="B3187" s="12" t="str">
        <f>HYPERLINK("https://twitter.com/Emre25100679","@Emre25100679")</f>
        <v>@Emre25100679</v>
      </c>
      <c r="C3187" s="7" t="s">
        <v>3662</v>
      </c>
      <c r="D3187" s="7" t="s">
        <v>18043</v>
      </c>
      <c r="E3187" s="12" t="str">
        <f>HYPERLINK("https://twitter.com/Emre25100679/status/1181887307252715520","1181887307252715520")</f>
        <v>1181887307252715520</v>
      </c>
      <c r="F3187" s="8"/>
      <c r="G3187" s="14" t="s">
        <v>18044</v>
      </c>
      <c r="H3187" s="8"/>
      <c r="I3187" s="15">
        <v>0</v>
      </c>
      <c r="J3187" s="15">
        <v>0</v>
      </c>
      <c r="K3187" s="12" t="str">
        <f>HYPERLINK("http://twitter.com/download/iphone","Twitter for iPhone")</f>
        <v>Twitter for iPhone</v>
      </c>
      <c r="L3187" s="16">
        <v>1</v>
      </c>
      <c r="M3187" s="16">
        <v>10</v>
      </c>
      <c r="N3187" s="16">
        <v>0</v>
      </c>
      <c r="O3187" s="17"/>
      <c r="P3187" s="18">
        <v>43667.686562499999</v>
      </c>
      <c r="Q3187" s="7"/>
      <c r="R3187" s="7" t="s">
        <v>18045</v>
      </c>
      <c r="S3187" s="8"/>
      <c r="T3187" s="8"/>
      <c r="U3187" s="19" t="str">
        <f>HYPERLINK("https://pbs.twimg.com/profile_images/1159270967849496578/x8k9Heuy.jpg","View")</f>
        <v>View</v>
      </c>
      <c r="V3187" s="8"/>
      <c r="W3187" s="8"/>
      <c r="X3187" s="8"/>
      <c r="Y3187" s="8"/>
      <c r="Z3187" s="8"/>
    </row>
    <row r="3188" spans="1:26" ht="12.75">
      <c r="A3188" s="11">
        <v>43747.16741898148</v>
      </c>
      <c r="B3188" s="12" t="str">
        <f>HYPERLINK("https://twitter.com/eulertr2","@eulertr2")</f>
        <v>@eulertr2</v>
      </c>
      <c r="C3188" s="7" t="s">
        <v>18046</v>
      </c>
      <c r="D3188" s="7" t="s">
        <v>18047</v>
      </c>
      <c r="E3188" s="12" t="str">
        <f>HYPERLINK("https://twitter.com/eulertr2/status/1181887301217116160","1181887301217116160")</f>
        <v>1181887301217116160</v>
      </c>
      <c r="F3188" s="8"/>
      <c r="G3188" s="7"/>
      <c r="H3188" s="8"/>
      <c r="I3188" s="15">
        <v>0</v>
      </c>
      <c r="J3188" s="15">
        <v>1</v>
      </c>
      <c r="K3188" s="12" t="str">
        <f>HYPERLINK("http://twitter.com/download/iphone","Twitter for iPhone")</f>
        <v>Twitter for iPhone</v>
      </c>
      <c r="L3188" s="16">
        <v>88</v>
      </c>
      <c r="M3188" s="16">
        <v>820</v>
      </c>
      <c r="N3188" s="16">
        <v>0</v>
      </c>
      <c r="O3188" s="17"/>
      <c r="P3188" s="18">
        <v>43535.920416666668</v>
      </c>
      <c r="Q3188" s="7"/>
      <c r="R3188" s="7"/>
      <c r="S3188" s="8"/>
      <c r="T3188" s="8"/>
      <c r="U3188" s="20" t="s">
        <v>354</v>
      </c>
      <c r="V3188" s="8"/>
      <c r="W3188" s="8"/>
      <c r="X3188" s="8"/>
      <c r="Y3188" s="8"/>
      <c r="Z3188" s="8"/>
    </row>
    <row r="3189" spans="1:26" ht="12.75">
      <c r="A3189" s="11">
        <v>43747.167407407411</v>
      </c>
      <c r="B3189" s="12" t="str">
        <f>HYPERLINK("https://twitter.com/uzairjaat","@uzairjaat")</f>
        <v>@uzairjaat</v>
      </c>
      <c r="C3189" s="7" t="s">
        <v>18048</v>
      </c>
      <c r="D3189" s="7" t="s">
        <v>18049</v>
      </c>
      <c r="E3189" s="12" t="str">
        <f>HYPERLINK("https://twitter.com/uzairjaat/status/1181887297110904832","1181887297110904832")</f>
        <v>1181887297110904832</v>
      </c>
      <c r="F3189" s="8"/>
      <c r="G3189" s="15"/>
      <c r="H3189" s="8"/>
      <c r="I3189" s="15">
        <v>0</v>
      </c>
      <c r="J3189" s="15">
        <v>1</v>
      </c>
      <c r="K3189" s="12" t="str">
        <f>HYPERLINK("http://twitter.com/download/iphone","Twitter for iPhone")</f>
        <v>Twitter for iPhone</v>
      </c>
      <c r="L3189" s="16">
        <v>6005</v>
      </c>
      <c r="M3189" s="16">
        <v>5301</v>
      </c>
      <c r="N3189" s="16">
        <v>42</v>
      </c>
      <c r="O3189" s="17"/>
      <c r="P3189" s="18">
        <v>40839.683738425927</v>
      </c>
      <c r="Q3189" s="7" t="s">
        <v>2858</v>
      </c>
      <c r="R3189" s="7" t="s">
        <v>18050</v>
      </c>
      <c r="S3189" s="14" t="s">
        <v>18051</v>
      </c>
      <c r="T3189" s="8"/>
      <c r="U3189" s="19" t="str">
        <f>HYPERLINK("https://pbs.twimg.com/profile_images/1166819648609894405/AFvNCJSN.jpg","View")</f>
        <v>View</v>
      </c>
      <c r="V3189" s="8"/>
      <c r="W3189" s="8"/>
      <c r="X3189" s="8"/>
      <c r="Y3189" s="8"/>
      <c r="Z3189" s="8"/>
    </row>
    <row r="3190" spans="1:26" ht="12.75">
      <c r="A3190" s="11">
        <v>43747.167395833334</v>
      </c>
      <c r="B3190" s="12" t="str">
        <f>HYPERLINK("https://twitter.com/SuperGeveze","@SuperGeveze")</f>
        <v>@SuperGeveze</v>
      </c>
      <c r="C3190" s="7" t="s">
        <v>18052</v>
      </c>
      <c r="D3190" s="7" t="s">
        <v>160</v>
      </c>
      <c r="E3190" s="12" t="str">
        <f>HYPERLINK("https://twitter.com/SuperGeveze/status/1181887293881237504","1181887293881237504")</f>
        <v>1181887293881237504</v>
      </c>
      <c r="F3190" s="8"/>
      <c r="G3190" s="14" t="s">
        <v>18053</v>
      </c>
      <c r="H3190" s="8"/>
      <c r="I3190" s="15">
        <v>0</v>
      </c>
      <c r="J3190" s="15">
        <v>0</v>
      </c>
      <c r="K3190" s="12" t="str">
        <f>HYPERLINK("http://twitter.com/download/android","Twitter for Android")</f>
        <v>Twitter for Android</v>
      </c>
      <c r="L3190" s="16">
        <v>109</v>
      </c>
      <c r="M3190" s="16">
        <v>114</v>
      </c>
      <c r="N3190" s="16">
        <v>0</v>
      </c>
      <c r="O3190" s="17"/>
      <c r="P3190" s="18">
        <v>41004.697071759263</v>
      </c>
      <c r="Q3190" s="7" t="s">
        <v>80</v>
      </c>
      <c r="R3190" s="7" t="s">
        <v>18054</v>
      </c>
      <c r="S3190" s="14" t="s">
        <v>18055</v>
      </c>
      <c r="T3190" s="8"/>
      <c r="U3190" s="19" t="str">
        <f>HYPERLINK("https://pbs.twimg.com/profile_images/1135271677712109569/gGksFbAD.jpg","View")</f>
        <v>View</v>
      </c>
      <c r="V3190" s="8"/>
      <c r="W3190" s="8"/>
      <c r="X3190" s="8"/>
      <c r="Y3190" s="8"/>
      <c r="Z3190" s="8"/>
    </row>
    <row r="3191" spans="1:26" ht="12.75">
      <c r="A3191" s="11">
        <v>43747.167395833334</v>
      </c>
      <c r="B3191" s="12" t="str">
        <f>HYPERLINK("https://twitter.com/CanbazErcument","@CanbazErcument")</f>
        <v>@CanbazErcument</v>
      </c>
      <c r="C3191" s="7" t="s">
        <v>18056</v>
      </c>
      <c r="D3191" s="7" t="s">
        <v>18057</v>
      </c>
      <c r="E3191" s="12" t="str">
        <f>HYPERLINK("https://twitter.com/CanbazErcument/status/1181887291368845312","1181887291368845312")</f>
        <v>1181887291368845312</v>
      </c>
      <c r="F3191" s="8"/>
      <c r="G3191" s="7"/>
      <c r="H3191" s="8"/>
      <c r="I3191" s="15">
        <v>0</v>
      </c>
      <c r="J3191" s="15">
        <v>0</v>
      </c>
      <c r="K3191" s="12" t="str">
        <f>HYPERLINK("http://twitter.com/download/android","Twitter for Android")</f>
        <v>Twitter for Android</v>
      </c>
      <c r="L3191" s="16">
        <v>32</v>
      </c>
      <c r="M3191" s="16">
        <v>65</v>
      </c>
      <c r="N3191" s="16">
        <v>0</v>
      </c>
      <c r="O3191" s="17"/>
      <c r="P3191" s="18">
        <v>43247.253217592588</v>
      </c>
      <c r="Q3191" s="7"/>
      <c r="R3191" s="7" t="s">
        <v>18058</v>
      </c>
      <c r="S3191" s="8"/>
      <c r="T3191" s="8"/>
      <c r="U3191" s="19" t="str">
        <f>HYPERLINK("https://pbs.twimg.com/profile_images/1000725474107166720/mD0ppu1_.jpg","View")</f>
        <v>View</v>
      </c>
      <c r="V3191" s="8"/>
      <c r="W3191" s="8"/>
      <c r="X3191" s="8"/>
      <c r="Y3191" s="8"/>
      <c r="Z3191" s="8"/>
    </row>
    <row r="3192" spans="1:26" ht="12.75">
      <c r="A3192" s="11">
        <v>43747.167326388888</v>
      </c>
      <c r="B3192" s="12" t="str">
        <f>HYPERLINK("https://twitter.com/ramazankablan","@ramazankablan")</f>
        <v>@ramazankablan</v>
      </c>
      <c r="C3192" s="7" t="s">
        <v>7352</v>
      </c>
      <c r="D3192" s="7" t="s">
        <v>14293</v>
      </c>
      <c r="E3192" s="12" t="str">
        <f>HYPERLINK("https://twitter.com/ramazankablan/status/1181887266299482113","1181887266299482113")</f>
        <v>1181887266299482113</v>
      </c>
      <c r="F3192" s="8"/>
      <c r="G3192" s="14" t="s">
        <v>18059</v>
      </c>
      <c r="H3192" s="8"/>
      <c r="I3192" s="15">
        <v>0</v>
      </c>
      <c r="J3192" s="15">
        <v>2</v>
      </c>
      <c r="K3192" s="12" t="str">
        <f>HYPERLINK("https://mobile.twitter.com","Twitter Web App")</f>
        <v>Twitter Web App</v>
      </c>
      <c r="L3192" s="16">
        <v>217</v>
      </c>
      <c r="M3192" s="16">
        <v>264</v>
      </c>
      <c r="N3192" s="16">
        <v>0</v>
      </c>
      <c r="O3192" s="17"/>
      <c r="P3192" s="18">
        <v>40312.215914351851</v>
      </c>
      <c r="Q3192" s="7"/>
      <c r="R3192" s="7" t="s">
        <v>18060</v>
      </c>
      <c r="S3192" s="8"/>
      <c r="T3192" s="8"/>
      <c r="U3192" s="19" t="str">
        <f>HYPERLINK("https://pbs.twimg.com/profile_images/955368291895332864/nO55b5BD.jpg","View")</f>
        <v>View</v>
      </c>
      <c r="V3192" s="8"/>
      <c r="W3192" s="8"/>
      <c r="X3192" s="8"/>
      <c r="Y3192" s="8"/>
      <c r="Z3192" s="8"/>
    </row>
    <row r="3193" spans="1:26" ht="12.75">
      <c r="A3193" s="11">
        <v>43747.167245370365</v>
      </c>
      <c r="B3193" s="12" t="str">
        <f>HYPERLINK("https://twitter.com/redblue057","@redblue057")</f>
        <v>@redblue057</v>
      </c>
      <c r="C3193" s="7" t="s">
        <v>18061</v>
      </c>
      <c r="D3193" s="7" t="s">
        <v>18062</v>
      </c>
      <c r="E3193" s="12" t="str">
        <f>HYPERLINK("https://twitter.com/redblue057/status/1181887237434363904","1181887237434363904")</f>
        <v>1181887237434363904</v>
      </c>
      <c r="F3193" s="8"/>
      <c r="G3193" s="7"/>
      <c r="H3193" s="8"/>
      <c r="I3193" s="15">
        <v>0</v>
      </c>
      <c r="J3193" s="15">
        <v>1</v>
      </c>
      <c r="K3193" s="12" t="str">
        <f>HYPERLINK("https://mobile.twitter.com","Twitter Web App")</f>
        <v>Twitter Web App</v>
      </c>
      <c r="L3193" s="16">
        <v>85</v>
      </c>
      <c r="M3193" s="16">
        <v>214</v>
      </c>
      <c r="N3193" s="16">
        <v>0</v>
      </c>
      <c r="O3193" s="17"/>
      <c r="P3193" s="18">
        <v>41782.654953703706</v>
      </c>
      <c r="Q3193" s="7" t="s">
        <v>200</v>
      </c>
      <c r="R3193" s="7" t="s">
        <v>18063</v>
      </c>
      <c r="S3193" s="8"/>
      <c r="T3193" s="8"/>
      <c r="U3193" s="19" t="str">
        <f>HYPERLINK("https://pbs.twimg.com/profile_images/1169993805715648513/H0a44vHA.jpg","View")</f>
        <v>View</v>
      </c>
      <c r="V3193" s="8"/>
      <c r="W3193" s="8"/>
      <c r="X3193" s="8"/>
      <c r="Y3193" s="8"/>
      <c r="Z3193" s="8"/>
    </row>
    <row r="3194" spans="1:26" ht="12.75">
      <c r="A3194" s="11">
        <v>43747.167187500003</v>
      </c>
      <c r="B3194" s="12" t="str">
        <f>HYPERLINK("https://twitter.com/GecalEftelya","@GecalEftelya")</f>
        <v>@GecalEftelya</v>
      </c>
      <c r="C3194" s="7" t="s">
        <v>18064</v>
      </c>
      <c r="D3194" s="7" t="s">
        <v>18065</v>
      </c>
      <c r="E3194" s="12" t="str">
        <f>HYPERLINK("https://twitter.com/GecalEftelya/status/1181887215351353344","1181887215351353344")</f>
        <v>1181887215351353344</v>
      </c>
      <c r="F3194" s="8"/>
      <c r="G3194" s="14" t="s">
        <v>18066</v>
      </c>
      <c r="H3194" s="8"/>
      <c r="I3194" s="15">
        <v>0</v>
      </c>
      <c r="J3194" s="15">
        <v>0</v>
      </c>
      <c r="K3194" s="12" t="str">
        <f>HYPERLINK("http://twitter.com","Twitter Web Client")</f>
        <v>Twitter Web Client</v>
      </c>
      <c r="L3194" s="16">
        <v>8</v>
      </c>
      <c r="M3194" s="16">
        <v>0</v>
      </c>
      <c r="N3194" s="16">
        <v>0</v>
      </c>
      <c r="O3194" s="17"/>
      <c r="P3194" s="18">
        <v>43703.323831018519</v>
      </c>
      <c r="Q3194" s="7" t="s">
        <v>12616</v>
      </c>
      <c r="R3194" s="7" t="s">
        <v>18067</v>
      </c>
      <c r="S3194" s="8"/>
      <c r="T3194" s="8"/>
      <c r="U3194" s="19" t="str">
        <f>HYPERLINK("https://pbs.twimg.com/profile_images/1166788072677236736/cPi_RqP2.jpg","View")</f>
        <v>View</v>
      </c>
      <c r="V3194" s="8"/>
      <c r="W3194" s="8"/>
      <c r="X3194" s="8"/>
      <c r="Y3194" s="8"/>
      <c r="Z3194" s="8"/>
    </row>
    <row r="3195" spans="1:26" ht="12.75">
      <c r="A3195" s="11">
        <v>43747.167187500003</v>
      </c>
      <c r="B3195" s="12" t="str">
        <f>HYPERLINK("https://twitter.com/AliAskertunc","@AliAskertunc")</f>
        <v>@AliAskertunc</v>
      </c>
      <c r="C3195" s="7" t="s">
        <v>18068</v>
      </c>
      <c r="D3195" s="7" t="s">
        <v>18069</v>
      </c>
      <c r="E3195" s="12" t="str">
        <f>HYPERLINK("https://twitter.com/AliAskertunc/status/1181887214558560256","1181887214558560256")</f>
        <v>1181887214558560256</v>
      </c>
      <c r="F3195" s="15"/>
      <c r="G3195" s="14" t="s">
        <v>18070</v>
      </c>
      <c r="H3195" s="8"/>
      <c r="I3195" s="15">
        <v>0</v>
      </c>
      <c r="J3195" s="15">
        <v>1</v>
      </c>
      <c r="K3195" s="12" t="str">
        <f>HYPERLINK("http://twitter.com/download/iphone","Twitter for iPhone")</f>
        <v>Twitter for iPhone</v>
      </c>
      <c r="L3195" s="16">
        <v>633</v>
      </c>
      <c r="M3195" s="16">
        <v>496</v>
      </c>
      <c r="N3195" s="16">
        <v>2</v>
      </c>
      <c r="O3195" s="17"/>
      <c r="P3195" s="18">
        <v>40631.546134259261</v>
      </c>
      <c r="Q3195" s="7" t="s">
        <v>18071</v>
      </c>
      <c r="R3195" s="7" t="s">
        <v>18072</v>
      </c>
      <c r="S3195" s="8"/>
      <c r="T3195" s="8"/>
      <c r="U3195" s="19" t="str">
        <f>HYPERLINK("https://pbs.twimg.com/profile_images/1120948427926405121/N2a4MIpY.jpg","View")</f>
        <v>View</v>
      </c>
      <c r="V3195" s="8"/>
      <c r="W3195" s="8"/>
      <c r="X3195" s="8"/>
      <c r="Y3195" s="8"/>
      <c r="Z3195" s="8"/>
    </row>
    <row r="3196" spans="1:26" ht="12.75">
      <c r="A3196" s="11">
        <v>43747.167118055557</v>
      </c>
      <c r="B3196" s="12" t="str">
        <f>HYPERLINK("https://twitter.com/Nigar10275869","@Nigar10275869")</f>
        <v>@Nigar10275869</v>
      </c>
      <c r="C3196" s="7" t="s">
        <v>18073</v>
      </c>
      <c r="D3196" s="7" t="s">
        <v>18074</v>
      </c>
      <c r="E3196" s="12" t="str">
        <f>HYPERLINK("https://twitter.com/Nigar10275869/status/1181887190990753792","1181887190990753792")</f>
        <v>1181887190990753792</v>
      </c>
      <c r="F3196" s="14" t="s">
        <v>18075</v>
      </c>
      <c r="G3196" s="14" t="s">
        <v>18076</v>
      </c>
      <c r="H3196" s="8"/>
      <c r="I3196" s="15">
        <v>1</v>
      </c>
      <c r="J3196" s="15">
        <v>8</v>
      </c>
      <c r="K3196" s="12" t="str">
        <f>HYPERLINK("https://mobile.twitter.com","Twitter Web App")</f>
        <v>Twitter Web App</v>
      </c>
      <c r="L3196" s="16">
        <v>2813</v>
      </c>
      <c r="M3196" s="16">
        <v>1534</v>
      </c>
      <c r="N3196" s="16">
        <v>1</v>
      </c>
      <c r="O3196" s="17"/>
      <c r="P3196" s="18">
        <v>43529.064768518518</v>
      </c>
      <c r="Q3196" s="7"/>
      <c r="R3196" s="7" t="s">
        <v>18077</v>
      </c>
      <c r="S3196" s="8"/>
      <c r="T3196" s="8"/>
      <c r="U3196" s="19" t="str">
        <f>HYPERLINK("https://pbs.twimg.com/profile_images/1113178325269274626/ZvtR10wx.jpg","View")</f>
        <v>View</v>
      </c>
      <c r="V3196" s="8"/>
      <c r="W3196" s="8"/>
      <c r="X3196" s="8"/>
      <c r="Y3196" s="8"/>
      <c r="Z3196" s="8"/>
    </row>
    <row r="3197" spans="1:26" ht="12.75">
      <c r="A3197" s="11">
        <v>43747.16706018518</v>
      </c>
      <c r="B3197" s="12" t="str">
        <f>HYPERLINK("https://twitter.com/lin_lin23","@lin_lin23")</f>
        <v>@lin_lin23</v>
      </c>
      <c r="C3197" s="7" t="s">
        <v>18078</v>
      </c>
      <c r="D3197" s="7" t="s">
        <v>18079</v>
      </c>
      <c r="E3197" s="12" t="str">
        <f>HYPERLINK("https://twitter.com/lin_lin23/status/1181887170782646273","1181887170782646273")</f>
        <v>1181887170782646273</v>
      </c>
      <c r="F3197" s="14" t="s">
        <v>18080</v>
      </c>
      <c r="G3197" s="14" t="s">
        <v>18081</v>
      </c>
      <c r="H3197" s="8"/>
      <c r="I3197" s="15">
        <v>0</v>
      </c>
      <c r="J3197" s="15">
        <v>1</v>
      </c>
      <c r="K3197" s="12" t="str">
        <f>HYPERLINK("https://mobile.twitter.com","Twitter Web App")</f>
        <v>Twitter Web App</v>
      </c>
      <c r="L3197" s="16">
        <v>129</v>
      </c>
      <c r="M3197" s="16">
        <v>110</v>
      </c>
      <c r="N3197" s="16">
        <v>0</v>
      </c>
      <c r="O3197" s="17"/>
      <c r="P3197" s="18">
        <v>42321.70521990741</v>
      </c>
      <c r="Q3197" s="7"/>
      <c r="R3197" s="7"/>
      <c r="S3197" s="8"/>
      <c r="T3197" s="8"/>
      <c r="U3197" s="19" t="str">
        <f>HYPERLINK("https://pbs.twimg.com/profile_images/868047795416125441/CIkXaTl8.jpg","View")</f>
        <v>View</v>
      </c>
      <c r="V3197" s="8"/>
      <c r="W3197" s="8"/>
      <c r="X3197" s="8"/>
      <c r="Y3197" s="8"/>
      <c r="Z3197" s="8"/>
    </row>
    <row r="3198" spans="1:26" ht="12.75">
      <c r="A3198" s="11">
        <v>43747.166979166665</v>
      </c>
      <c r="B3198" s="12" t="str">
        <f>HYPERLINK("https://twitter.com/nevelli5050","@nevelli5050")</f>
        <v>@nevelli5050</v>
      </c>
      <c r="C3198" s="7" t="s">
        <v>18082</v>
      </c>
      <c r="D3198" s="7" t="s">
        <v>18083</v>
      </c>
      <c r="E3198" s="12" t="str">
        <f>HYPERLINK("https://twitter.com/nevelli5050/status/1181887140394872833","1181887140394872833")</f>
        <v>1181887140394872833</v>
      </c>
      <c r="F3198" s="8"/>
      <c r="G3198" s="14" t="s">
        <v>18084</v>
      </c>
      <c r="H3198" s="8"/>
      <c r="I3198" s="15">
        <v>0</v>
      </c>
      <c r="J3198" s="15">
        <v>0</v>
      </c>
      <c r="K3198" s="12" t="str">
        <f>HYPERLINK("http://twitter.com/download/iphone","Twitter for iPhone")</f>
        <v>Twitter for iPhone</v>
      </c>
      <c r="L3198" s="16">
        <v>55</v>
      </c>
      <c r="M3198" s="16">
        <v>137</v>
      </c>
      <c r="N3198" s="16">
        <v>0</v>
      </c>
      <c r="O3198" s="17"/>
      <c r="P3198" s="18">
        <v>40472.586030092592</v>
      </c>
      <c r="Q3198" s="7"/>
      <c r="R3198" s="7"/>
      <c r="S3198" s="8"/>
      <c r="T3198" s="8"/>
      <c r="U3198" s="19" t="str">
        <f>HYPERLINK("https://pbs.twimg.com/profile_images/1151567929806348288/9gIC4HLV.jpg","View")</f>
        <v>View</v>
      </c>
      <c r="V3198" s="8"/>
      <c r="W3198" s="8"/>
      <c r="X3198" s="8"/>
      <c r="Y3198" s="8"/>
      <c r="Z3198" s="8"/>
    </row>
    <row r="3199" spans="1:26" ht="12.75">
      <c r="A3199" s="11">
        <v>43747.166967592595</v>
      </c>
      <c r="B3199" s="12" t="str">
        <f>HYPERLINK("https://twitter.com/istikamet2071","@istikamet2071")</f>
        <v>@istikamet2071</v>
      </c>
      <c r="C3199" s="7" t="s">
        <v>18085</v>
      </c>
      <c r="D3199" s="7" t="s">
        <v>18086</v>
      </c>
      <c r="E3199" s="12" t="str">
        <f>HYPERLINK("https://twitter.com/istikamet2071/status/1181887137806983168","1181887137806983168")</f>
        <v>1181887137806983168</v>
      </c>
      <c r="F3199" s="8"/>
      <c r="G3199" s="14" t="s">
        <v>18087</v>
      </c>
      <c r="H3199" s="8"/>
      <c r="I3199" s="15">
        <v>1</v>
      </c>
      <c r="J3199" s="15">
        <v>2</v>
      </c>
      <c r="K3199" s="12" t="str">
        <f>HYPERLINK("http://twitter.com/download/android","Twitter for Android")</f>
        <v>Twitter for Android</v>
      </c>
      <c r="L3199" s="16">
        <v>198</v>
      </c>
      <c r="M3199" s="16">
        <v>454</v>
      </c>
      <c r="N3199" s="16">
        <v>0</v>
      </c>
      <c r="O3199" s="17"/>
      <c r="P3199" s="18">
        <v>43556.560069444444</v>
      </c>
      <c r="Q3199" s="7"/>
      <c r="R3199" s="7" t="s">
        <v>18088</v>
      </c>
      <c r="S3199" s="8"/>
      <c r="T3199" s="8"/>
      <c r="U3199" s="19" t="str">
        <f>HYPERLINK("https://pbs.twimg.com/profile_images/1112814481309040641/dlfOSExB.jpg","View")</f>
        <v>View</v>
      </c>
      <c r="V3199" s="8"/>
      <c r="W3199" s="8"/>
      <c r="X3199" s="8"/>
      <c r="Y3199" s="8"/>
      <c r="Z3199" s="8"/>
    </row>
    <row r="3200" spans="1:26" ht="12.75">
      <c r="A3200" s="11">
        <v>43747.166967592595</v>
      </c>
      <c r="B3200" s="12" t="str">
        <f>HYPERLINK("https://twitter.com/suleymankisir","@suleymankisir")</f>
        <v>@suleymankisir</v>
      </c>
      <c r="C3200" s="7" t="s">
        <v>18089</v>
      </c>
      <c r="D3200" s="7" t="s">
        <v>16316</v>
      </c>
      <c r="E3200" s="12" t="str">
        <f>HYPERLINK("https://twitter.com/suleymankisir/status/1181887136192176128","1181887136192176128")</f>
        <v>1181887136192176128</v>
      </c>
      <c r="F3200" s="8"/>
      <c r="G3200" s="15"/>
      <c r="H3200" s="8"/>
      <c r="I3200" s="15">
        <v>0</v>
      </c>
      <c r="J3200" s="15">
        <v>0</v>
      </c>
      <c r="K3200" s="12" t="str">
        <f>HYPERLINK("http://twitter.com/download/android","Twitter for Android")</f>
        <v>Twitter for Android</v>
      </c>
      <c r="L3200" s="16">
        <v>27</v>
      </c>
      <c r="M3200" s="16">
        <v>57</v>
      </c>
      <c r="N3200" s="16">
        <v>0</v>
      </c>
      <c r="O3200" s="17"/>
      <c r="P3200" s="18">
        <v>43347.088124999995</v>
      </c>
      <c r="Q3200" s="7"/>
      <c r="R3200" s="7" t="s">
        <v>18090</v>
      </c>
      <c r="S3200" s="15"/>
      <c r="T3200" s="8"/>
      <c r="U3200" s="19" t="str">
        <f>HYPERLINK("https://pbs.twimg.com/profile_images/1036904409312231424/xzGsGnbX.jpg","View")</f>
        <v>View</v>
      </c>
      <c r="V3200" s="8"/>
      <c r="W3200" s="8"/>
      <c r="X3200" s="8"/>
      <c r="Y3200" s="8"/>
      <c r="Z3200" s="8"/>
    </row>
    <row r="3201" spans="1:26" ht="12.75">
      <c r="A3201" s="11">
        <v>43747.166921296295</v>
      </c>
      <c r="B3201" s="12" t="str">
        <f>HYPERLINK("https://twitter.com/EnesK_12","@EnesK_12")</f>
        <v>@EnesK_12</v>
      </c>
      <c r="C3201" s="7" t="s">
        <v>18091</v>
      </c>
      <c r="D3201" s="7" t="s">
        <v>18092</v>
      </c>
      <c r="E3201" s="12" t="str">
        <f>HYPERLINK("https://twitter.com/EnesK_12/status/1181887118622240768","1181887118622240768")</f>
        <v>1181887118622240768</v>
      </c>
      <c r="F3201" s="8"/>
      <c r="G3201" s="7"/>
      <c r="H3201" s="8"/>
      <c r="I3201" s="15">
        <v>0</v>
      </c>
      <c r="J3201" s="15">
        <v>0</v>
      </c>
      <c r="K3201" s="12" t="str">
        <f>HYPERLINK("http://twitter.com/download/android","Twitter for Android")</f>
        <v>Twitter for Android</v>
      </c>
      <c r="L3201" s="16">
        <v>14</v>
      </c>
      <c r="M3201" s="16">
        <v>128</v>
      </c>
      <c r="N3201" s="16">
        <v>0</v>
      </c>
      <c r="O3201" s="17"/>
      <c r="P3201" s="18">
        <v>43113.348310185189</v>
      </c>
      <c r="Q3201" s="7"/>
      <c r="R3201" s="7"/>
      <c r="S3201" s="8"/>
      <c r="T3201" s="8"/>
      <c r="U3201" s="19" t="str">
        <f>HYPERLINK("https://pbs.twimg.com/profile_images/1085224043849138176/TGNzk9R8.jpg","View")</f>
        <v>View</v>
      </c>
      <c r="V3201" s="8"/>
      <c r="W3201" s="8"/>
      <c r="X3201" s="8"/>
      <c r="Y3201" s="8"/>
      <c r="Z3201" s="8"/>
    </row>
    <row r="3202" spans="1:26" ht="12.75">
      <c r="A3202" s="11">
        <v>43747.166747685187</v>
      </c>
      <c r="B3202" s="12" t="str">
        <f>HYPERLINK("https://twitter.com/salihcan016","@salihcan016")</f>
        <v>@salihcan016</v>
      </c>
      <c r="C3202" s="7" t="s">
        <v>18093</v>
      </c>
      <c r="D3202" s="7" t="s">
        <v>14770</v>
      </c>
      <c r="E3202" s="12" t="str">
        <f>HYPERLINK("https://twitter.com/salihcan016/status/1181887058618585090","1181887058618585090")</f>
        <v>1181887058618585090</v>
      </c>
      <c r="F3202" s="8"/>
      <c r="G3202" s="14" t="s">
        <v>18094</v>
      </c>
      <c r="H3202" s="8"/>
      <c r="I3202" s="15">
        <v>0</v>
      </c>
      <c r="J3202" s="15">
        <v>0</v>
      </c>
      <c r="K3202" s="12" t="str">
        <f>HYPERLINK("http://twitter.com/#!/download/ipad","Twitter for iPad")</f>
        <v>Twitter for iPad</v>
      </c>
      <c r="L3202" s="16">
        <v>1944</v>
      </c>
      <c r="M3202" s="16">
        <v>119</v>
      </c>
      <c r="N3202" s="16">
        <v>0</v>
      </c>
      <c r="O3202" s="17"/>
      <c r="P3202" s="18">
        <v>41661.938935185186</v>
      </c>
      <c r="Q3202" s="7" t="s">
        <v>69</v>
      </c>
      <c r="R3202" s="7"/>
      <c r="S3202" s="8"/>
      <c r="T3202" s="8"/>
      <c r="U3202" s="19" t="str">
        <f>HYPERLINK("https://pbs.twimg.com/profile_images/1140497653182189568/-BNNsJ3v.png","View")</f>
        <v>View</v>
      </c>
      <c r="V3202" s="8"/>
      <c r="W3202" s="8"/>
      <c r="X3202" s="8"/>
      <c r="Y3202" s="8"/>
      <c r="Z3202" s="8"/>
    </row>
    <row r="3203" spans="1:26" ht="12.75">
      <c r="A3203" s="11">
        <v>43747.166724537034</v>
      </c>
      <c r="B3203" s="12" t="str">
        <f>HYPERLINK("https://twitter.com/mustafacihatd","@mustafacihatd")</f>
        <v>@mustafacihatd</v>
      </c>
      <c r="C3203" s="7" t="s">
        <v>18095</v>
      </c>
      <c r="D3203" s="7" t="s">
        <v>18096</v>
      </c>
      <c r="E3203" s="12" t="str">
        <f>HYPERLINK("https://twitter.com/mustafacihatd/status/1181887047163883523","1181887047163883523")</f>
        <v>1181887047163883523</v>
      </c>
      <c r="F3203" s="8"/>
      <c r="G3203" s="15"/>
      <c r="H3203" s="8"/>
      <c r="I3203" s="15">
        <v>0</v>
      </c>
      <c r="J3203" s="15">
        <v>6</v>
      </c>
      <c r="K3203" s="12" t="str">
        <f>HYPERLINK("http://twitter.com/download/android","Twitter for Android")</f>
        <v>Twitter for Android</v>
      </c>
      <c r="L3203" s="16">
        <v>419</v>
      </c>
      <c r="M3203" s="16">
        <v>233</v>
      </c>
      <c r="N3203" s="16">
        <v>0</v>
      </c>
      <c r="O3203" s="17"/>
      <c r="P3203" s="18">
        <v>43368.628946759258</v>
      </c>
      <c r="Q3203" s="7" t="s">
        <v>18097</v>
      </c>
      <c r="R3203" s="7" t="s">
        <v>18098</v>
      </c>
      <c r="S3203" s="14" t="s">
        <v>18099</v>
      </c>
      <c r="T3203" s="8"/>
      <c r="U3203" s="19" t="str">
        <f>HYPERLINK("https://pbs.twimg.com/profile_images/1181569312802398210/7VxrJvEw.jpg","View")</f>
        <v>View</v>
      </c>
      <c r="V3203" s="8"/>
      <c r="W3203" s="8"/>
      <c r="X3203" s="8"/>
      <c r="Y3203" s="8"/>
      <c r="Z3203" s="8"/>
    </row>
    <row r="3204" spans="1:26" ht="12.75">
      <c r="A3204" s="11">
        <v>43747.166712962964</v>
      </c>
      <c r="B3204" s="12" t="str">
        <f>HYPERLINK("https://twitter.com/lemanuney2","@lemanuney2")</f>
        <v>@lemanuney2</v>
      </c>
      <c r="C3204" s="7" t="s">
        <v>18100</v>
      </c>
      <c r="D3204" s="7" t="s">
        <v>18101</v>
      </c>
      <c r="E3204" s="12" t="str">
        <f>HYPERLINK("https://twitter.com/lemanuney2/status/1181887044651507712","1181887044651507712")</f>
        <v>1181887044651507712</v>
      </c>
      <c r="F3204" s="8"/>
      <c r="G3204" s="14" t="s">
        <v>18102</v>
      </c>
      <c r="H3204" s="8"/>
      <c r="I3204" s="15">
        <v>1</v>
      </c>
      <c r="J3204" s="15">
        <v>1</v>
      </c>
      <c r="K3204" s="12" t="str">
        <f>HYPERLINK("http://twitter.com/download/iphone","Twitter for iPhone")</f>
        <v>Twitter for iPhone</v>
      </c>
      <c r="L3204" s="16">
        <v>0</v>
      </c>
      <c r="M3204" s="16">
        <v>0</v>
      </c>
      <c r="N3204" s="16">
        <v>0</v>
      </c>
      <c r="O3204" s="17"/>
      <c r="P3204" s="18">
        <v>43743.574490740742</v>
      </c>
      <c r="Q3204" s="7" t="s">
        <v>12401</v>
      </c>
      <c r="R3204" s="7" t="s">
        <v>18103</v>
      </c>
      <c r="S3204" s="8"/>
      <c r="T3204" s="8"/>
      <c r="U3204" s="19" t="str">
        <f>HYPERLINK("https://pbs.twimg.com/profile_images/1181246892086349827/3AXpbO3w.jpg","View")</f>
        <v>View</v>
      </c>
      <c r="V3204" s="8"/>
      <c r="W3204" s="8"/>
      <c r="X3204" s="8"/>
      <c r="Y3204" s="8"/>
      <c r="Z3204" s="8"/>
    </row>
    <row r="3205" spans="1:26" ht="12.75">
      <c r="A3205" s="11">
        <v>43747.166678240741</v>
      </c>
      <c r="B3205" s="12" t="str">
        <f>HYPERLINK("https://twitter.com/musty77475027","@musty77475027")</f>
        <v>@musty77475027</v>
      </c>
      <c r="C3205" s="7" t="s">
        <v>18104</v>
      </c>
      <c r="D3205" s="7" t="s">
        <v>18105</v>
      </c>
      <c r="E3205" s="12" t="str">
        <f>HYPERLINK("https://twitter.com/musty77475027/status/1181887029992443904","1181887029992443904")</f>
        <v>1181887029992443904</v>
      </c>
      <c r="F3205" s="8"/>
      <c r="G3205" s="15"/>
      <c r="H3205" s="8"/>
      <c r="I3205" s="15">
        <v>0</v>
      </c>
      <c r="J3205" s="15">
        <v>0</v>
      </c>
      <c r="K3205" s="12" t="str">
        <f>HYPERLINK("http://twitter.com/download/iphone","Twitter for iPhone")</f>
        <v>Twitter for iPhone</v>
      </c>
      <c r="L3205" s="16">
        <v>1</v>
      </c>
      <c r="M3205" s="16">
        <v>13</v>
      </c>
      <c r="N3205" s="16">
        <v>0</v>
      </c>
      <c r="O3205" s="17"/>
      <c r="P3205" s="18">
        <v>43599.580416666664</v>
      </c>
      <c r="Q3205" s="7" t="s">
        <v>80</v>
      </c>
      <c r="R3205" s="7" t="s">
        <v>18106</v>
      </c>
      <c r="S3205" s="8"/>
      <c r="T3205" s="8"/>
      <c r="U3205" s="19" t="str">
        <f>HYPERLINK("https://pbs.twimg.com/profile_images/1128405134650892298/bDaV8Wh2.jpg","View")</f>
        <v>View</v>
      </c>
      <c r="V3205" s="8"/>
      <c r="W3205" s="8"/>
      <c r="X3205" s="8"/>
      <c r="Y3205" s="8"/>
      <c r="Z3205" s="8"/>
    </row>
    <row r="3206" spans="1:26" ht="12.75">
      <c r="A3206" s="11">
        <v>43747.166655092587</v>
      </c>
      <c r="B3206" s="12" t="str">
        <f>HYPERLINK("https://twitter.com/muratsk019","@muratsk019")</f>
        <v>@muratsk019</v>
      </c>
      <c r="C3206" s="7" t="s">
        <v>18107</v>
      </c>
      <c r="D3206" s="7" t="s">
        <v>18108</v>
      </c>
      <c r="E3206" s="12" t="str">
        <f>HYPERLINK("https://twitter.com/muratsk019/status/1181887023101222912","1181887023101222912")</f>
        <v>1181887023101222912</v>
      </c>
      <c r="F3206" s="8"/>
      <c r="G3206" s="14" t="s">
        <v>18109</v>
      </c>
      <c r="H3206" s="8"/>
      <c r="I3206" s="15">
        <v>0</v>
      </c>
      <c r="J3206" s="15">
        <v>1</v>
      </c>
      <c r="K3206" s="12" t="str">
        <f>HYPERLINK("http://twitter.com/download/android","Twitter for Android")</f>
        <v>Twitter for Android</v>
      </c>
      <c r="L3206" s="16">
        <v>71</v>
      </c>
      <c r="M3206" s="16">
        <v>342</v>
      </c>
      <c r="N3206" s="16">
        <v>0</v>
      </c>
      <c r="O3206" s="17"/>
      <c r="P3206" s="18">
        <v>42513.432534722218</v>
      </c>
      <c r="Q3206" s="7" t="s">
        <v>18110</v>
      </c>
      <c r="R3206" s="7" t="s">
        <v>18111</v>
      </c>
      <c r="S3206" s="8"/>
      <c r="T3206" s="8"/>
      <c r="U3206" s="19" t="str">
        <f>HYPERLINK("https://pbs.twimg.com/profile_images/1146339054142840837/PNvxKsho.jpg","View")</f>
        <v>View</v>
      </c>
      <c r="V3206" s="8"/>
      <c r="W3206" s="8"/>
      <c r="X3206" s="8"/>
      <c r="Y3206" s="8"/>
      <c r="Z3206" s="8"/>
    </row>
    <row r="3207" spans="1:26" ht="12.75">
      <c r="A3207" s="11">
        <v>43747.166631944448</v>
      </c>
      <c r="B3207" s="12" t="str">
        <f>HYPERLINK("https://twitter.com/SehzadeVeliaht","@SehzadeVeliaht")</f>
        <v>@SehzadeVeliaht</v>
      </c>
      <c r="C3207" s="7" t="s">
        <v>18112</v>
      </c>
      <c r="D3207" s="7" t="s">
        <v>18113</v>
      </c>
      <c r="E3207" s="12" t="str">
        <f>HYPERLINK("https://twitter.com/SehzadeVeliaht/status/1181887015761190913","1181887015761190913")</f>
        <v>1181887015761190913</v>
      </c>
      <c r="F3207" s="14" t="s">
        <v>18114</v>
      </c>
      <c r="G3207" s="14" t="s">
        <v>10369</v>
      </c>
      <c r="H3207" s="8"/>
      <c r="I3207" s="15">
        <v>0</v>
      </c>
      <c r="J3207" s="15">
        <v>0</v>
      </c>
      <c r="K3207" s="12" t="str">
        <f>HYPERLINK("http://twitter.com/download/android","Twitter for Android")</f>
        <v>Twitter for Android</v>
      </c>
      <c r="L3207" s="16">
        <v>770</v>
      </c>
      <c r="M3207" s="16">
        <v>1599</v>
      </c>
      <c r="N3207" s="16">
        <v>0</v>
      </c>
      <c r="O3207" s="17"/>
      <c r="P3207" s="18">
        <v>43598.588564814811</v>
      </c>
      <c r="Q3207" s="7" t="s">
        <v>313</v>
      </c>
      <c r="R3207" s="7" t="s">
        <v>18115</v>
      </c>
      <c r="S3207" s="8"/>
      <c r="T3207" s="8"/>
      <c r="U3207" s="19" t="str">
        <f>HYPERLINK("https://pbs.twimg.com/profile_images/1154078942594260994/qsOBNPnh.jpg","View")</f>
        <v>View</v>
      </c>
      <c r="V3207" s="8"/>
      <c r="W3207" s="8"/>
      <c r="X3207" s="8"/>
      <c r="Y3207" s="8"/>
      <c r="Z3207" s="8"/>
    </row>
    <row r="3208" spans="1:26" ht="12.75">
      <c r="A3208" s="11">
        <v>43747.166620370372</v>
      </c>
      <c r="B3208" s="12" t="str">
        <f>HYPERLINK("https://twitter.com/frey0808","@frey0808")</f>
        <v>@frey0808</v>
      </c>
      <c r="C3208" s="7" t="s">
        <v>18116</v>
      </c>
      <c r="D3208" s="7" t="s">
        <v>160</v>
      </c>
      <c r="E3208" s="12" t="str">
        <f>HYPERLINK("https://twitter.com/frey0808/status/1181887010790879232","1181887010790879232")</f>
        <v>1181887010790879232</v>
      </c>
      <c r="F3208" s="8"/>
      <c r="G3208" s="14" t="s">
        <v>18117</v>
      </c>
      <c r="H3208" s="8"/>
      <c r="I3208" s="15">
        <v>0</v>
      </c>
      <c r="J3208" s="15">
        <v>0</v>
      </c>
      <c r="K3208" s="12" t="str">
        <f>HYPERLINK("http://twitter.com/download/android","Twitter for Android")</f>
        <v>Twitter for Android</v>
      </c>
      <c r="L3208" s="16">
        <v>16</v>
      </c>
      <c r="M3208" s="16">
        <v>53</v>
      </c>
      <c r="N3208" s="16">
        <v>0</v>
      </c>
      <c r="O3208" s="17"/>
      <c r="P3208" s="18">
        <v>43662.160914351851</v>
      </c>
      <c r="Q3208" s="7"/>
      <c r="R3208" s="7"/>
      <c r="S3208" s="8"/>
      <c r="T3208" s="8"/>
      <c r="U3208" s="19" t="str">
        <f>HYPERLINK("https://pbs.twimg.com/profile_images/1167537341017284609/ZsidWySZ.jpg","View")</f>
        <v>View</v>
      </c>
      <c r="V3208" s="8"/>
      <c r="W3208" s="8"/>
      <c r="X3208" s="8"/>
      <c r="Y3208" s="8"/>
      <c r="Z3208" s="8"/>
    </row>
    <row r="3209" spans="1:26" ht="12.75">
      <c r="A3209" s="11">
        <v>43747.166562500002</v>
      </c>
      <c r="B3209" s="12" t="str">
        <f>HYPERLINK("https://twitter.com/Carol78278365","@Carol78278365")</f>
        <v>@Carol78278365</v>
      </c>
      <c r="C3209" s="7" t="s">
        <v>18118</v>
      </c>
      <c r="D3209" s="7" t="s">
        <v>18119</v>
      </c>
      <c r="E3209" s="12" t="str">
        <f>HYPERLINK("https://twitter.com/Carol78278365/status/1181886991136243712","1181886991136243712")</f>
        <v>1181886991136243712</v>
      </c>
      <c r="F3209" s="14" t="s">
        <v>18120</v>
      </c>
      <c r="G3209" s="14" t="s">
        <v>18121</v>
      </c>
      <c r="H3209" s="8"/>
      <c r="I3209" s="15">
        <v>2</v>
      </c>
      <c r="J3209" s="15">
        <v>4</v>
      </c>
      <c r="K3209" s="12" t="str">
        <f>HYPERLINK("https://mobile.twitter.com","Twitter Web App")</f>
        <v>Twitter Web App</v>
      </c>
      <c r="L3209" s="16">
        <v>679</v>
      </c>
      <c r="M3209" s="16">
        <v>1231</v>
      </c>
      <c r="N3209" s="16">
        <v>9</v>
      </c>
      <c r="O3209" s="17"/>
      <c r="P3209" s="18">
        <v>43494.629386574074</v>
      </c>
      <c r="Q3209" s="7" t="s">
        <v>857</v>
      </c>
      <c r="R3209" s="7" t="s">
        <v>18122</v>
      </c>
      <c r="S3209" s="14" t="s">
        <v>18120</v>
      </c>
      <c r="T3209" s="8"/>
      <c r="U3209" s="19" t="str">
        <f>HYPERLINK("https://pbs.twimg.com/profile_images/1161183918722179072/8XlM3x-d.jpg","View")</f>
        <v>View</v>
      </c>
      <c r="V3209" s="8"/>
      <c r="W3209" s="8"/>
      <c r="X3209" s="8"/>
      <c r="Y3209" s="8"/>
      <c r="Z3209" s="8"/>
    </row>
    <row r="3210" spans="1:26" ht="12.75">
      <c r="A3210" s="11">
        <v>43747.166527777779</v>
      </c>
      <c r="B3210" s="12" t="str">
        <f>HYPERLINK("https://twitter.com/kazuistikadam","@kazuistikadam")</f>
        <v>@kazuistikadam</v>
      </c>
      <c r="C3210" s="7" t="s">
        <v>18123</v>
      </c>
      <c r="D3210" s="7" t="s">
        <v>18124</v>
      </c>
      <c r="E3210" s="12" t="str">
        <f>HYPERLINK("https://twitter.com/kazuistikadam/status/1181886977102290944","1181886977102290944")</f>
        <v>1181886977102290944</v>
      </c>
      <c r="F3210" s="14" t="s">
        <v>18125</v>
      </c>
      <c r="G3210" s="15"/>
      <c r="H3210" s="8"/>
      <c r="I3210" s="15">
        <v>0</v>
      </c>
      <c r="J3210" s="15">
        <v>0</v>
      </c>
      <c r="K3210" s="12" t="str">
        <f>HYPERLINK("https://mobile.twitter.com","Twitter Web App")</f>
        <v>Twitter Web App</v>
      </c>
      <c r="L3210" s="16">
        <v>586</v>
      </c>
      <c r="M3210" s="16">
        <v>1066</v>
      </c>
      <c r="N3210" s="16">
        <v>0</v>
      </c>
      <c r="O3210" s="17"/>
      <c r="P3210" s="18">
        <v>40480.585243055553</v>
      </c>
      <c r="Q3210" s="7"/>
      <c r="R3210" s="7" t="s">
        <v>18126</v>
      </c>
      <c r="S3210" s="8"/>
      <c r="T3210" s="8"/>
      <c r="U3210" s="19" t="str">
        <f>HYPERLINK("https://pbs.twimg.com/profile_images/811202902622699520/_7008QTx.jpg","View")</f>
        <v>View</v>
      </c>
      <c r="V3210" s="8"/>
      <c r="W3210" s="8"/>
      <c r="X3210" s="8"/>
      <c r="Y3210" s="8"/>
      <c r="Z3210" s="8"/>
    </row>
    <row r="3211" spans="1:26" ht="12.75">
      <c r="A3211" s="11">
        <v>43747.166504629626</v>
      </c>
      <c r="B3211" s="12" t="str">
        <f>HYPERLINK("https://twitter.com/abdurahmanyagci","@abdurahmanyagci")</f>
        <v>@abdurahmanyagci</v>
      </c>
      <c r="C3211" s="7" t="s">
        <v>18127</v>
      </c>
      <c r="D3211" s="7" t="s">
        <v>18128</v>
      </c>
      <c r="E3211" s="12" t="str">
        <f>HYPERLINK("https://twitter.com/abdurahmanyagci/status/1181886971175735297","1181886971175735297")</f>
        <v>1181886971175735297</v>
      </c>
      <c r="F3211" s="15"/>
      <c r="G3211" s="7"/>
      <c r="H3211" s="8"/>
      <c r="I3211" s="15">
        <v>0</v>
      </c>
      <c r="J3211" s="15">
        <v>1</v>
      </c>
      <c r="K3211" s="12" t="str">
        <f>HYPERLINK("http://twitter.com/download/android","Twitter for Android")</f>
        <v>Twitter for Android</v>
      </c>
      <c r="L3211" s="16">
        <v>182</v>
      </c>
      <c r="M3211" s="16">
        <v>542</v>
      </c>
      <c r="N3211" s="16">
        <v>1</v>
      </c>
      <c r="O3211" s="17"/>
      <c r="P3211" s="18">
        <v>40691.299467592595</v>
      </c>
      <c r="Q3211" s="7"/>
      <c r="R3211" s="7" t="s">
        <v>18129</v>
      </c>
      <c r="S3211" s="15"/>
      <c r="T3211" s="8"/>
      <c r="U3211" s="19" t="str">
        <f>HYPERLINK("https://pbs.twimg.com/profile_images/445109685449142272/PNJVukcz.jpeg","View")</f>
        <v>View</v>
      </c>
      <c r="V3211" s="8"/>
      <c r="W3211" s="8"/>
      <c r="X3211" s="8"/>
      <c r="Y3211" s="8"/>
      <c r="Z3211" s="8"/>
    </row>
    <row r="3212" spans="1:26" ht="12.75">
      <c r="A3212" s="11">
        <v>43747.166493055556</v>
      </c>
      <c r="B3212" s="12" t="str">
        <f>HYPERLINK("https://twitter.com/BenimAdimSari","@BenimAdimSari")</f>
        <v>@BenimAdimSari</v>
      </c>
      <c r="C3212" s="7" t="s">
        <v>18130</v>
      </c>
      <c r="D3212" s="7" t="s">
        <v>18131</v>
      </c>
      <c r="E3212" s="12" t="str">
        <f>HYPERLINK("https://twitter.com/BenimAdimSari/status/1181886966125731840","1181886966125731840")</f>
        <v>1181886966125731840</v>
      </c>
      <c r="F3212" s="8"/>
      <c r="G3212" s="14" t="s">
        <v>18132</v>
      </c>
      <c r="H3212" s="8"/>
      <c r="I3212" s="15">
        <v>0</v>
      </c>
      <c r="J3212" s="15">
        <v>0</v>
      </c>
      <c r="K3212" s="12" t="str">
        <f>HYPERLINK("http://twitter.com/download/android","Twitter for Android")</f>
        <v>Twitter for Android</v>
      </c>
      <c r="L3212" s="16">
        <v>448</v>
      </c>
      <c r="M3212" s="16">
        <v>1075</v>
      </c>
      <c r="N3212" s="16">
        <v>1</v>
      </c>
      <c r="O3212" s="17"/>
      <c r="P3212" s="18">
        <v>41504.558472222227</v>
      </c>
      <c r="Q3212" s="7" t="s">
        <v>18133</v>
      </c>
      <c r="R3212" s="7" t="s">
        <v>18134</v>
      </c>
      <c r="S3212" s="8"/>
      <c r="T3212" s="8"/>
      <c r="U3212" s="19" t="str">
        <f>HYPERLINK("https://pbs.twimg.com/profile_images/637734782164705280/-BALln8K.jpg","View")</f>
        <v>View</v>
      </c>
      <c r="V3212" s="8"/>
      <c r="W3212" s="8"/>
      <c r="X3212" s="8"/>
      <c r="Y3212" s="8"/>
      <c r="Z3212" s="8"/>
    </row>
    <row r="3213" spans="1:26" ht="12.75">
      <c r="A3213" s="11">
        <v>43747.166481481487</v>
      </c>
      <c r="B3213" s="12" t="str">
        <f>HYPERLINK("https://twitter.com/TUBAHUU","@TUBAHUU")</f>
        <v>@TUBAHUU</v>
      </c>
      <c r="C3213" s="7" t="s">
        <v>18135</v>
      </c>
      <c r="D3213" s="7" t="s">
        <v>18136</v>
      </c>
      <c r="E3213" s="12" t="str">
        <f>HYPERLINK("https://twitter.com/TUBAHUU/status/1181886962120187904","1181886962120187904")</f>
        <v>1181886962120187904</v>
      </c>
      <c r="F3213" s="15"/>
      <c r="G3213" s="15"/>
      <c r="H3213" s="8"/>
      <c r="I3213" s="15">
        <v>0</v>
      </c>
      <c r="J3213" s="15">
        <v>0</v>
      </c>
      <c r="K3213" s="12" t="str">
        <f>HYPERLINK("http://twitter.com/download/android","Twitter for Android")</f>
        <v>Twitter for Android</v>
      </c>
      <c r="L3213" s="16">
        <v>827</v>
      </c>
      <c r="M3213" s="16">
        <v>526</v>
      </c>
      <c r="N3213" s="16">
        <v>12</v>
      </c>
      <c r="O3213" s="17"/>
      <c r="P3213" s="18">
        <v>39922.461516203708</v>
      </c>
      <c r="Q3213" s="7" t="s">
        <v>313</v>
      </c>
      <c r="R3213" s="7" t="s">
        <v>18137</v>
      </c>
      <c r="S3213" s="14" t="s">
        <v>18138</v>
      </c>
      <c r="T3213" s="8"/>
      <c r="U3213" s="19" t="str">
        <f>HYPERLINK("https://pbs.twimg.com/profile_images/1164078240044134400/Vuyy_L8K.jpg","View")</f>
        <v>View</v>
      </c>
      <c r="V3213" s="8"/>
      <c r="W3213" s="8"/>
      <c r="X3213" s="8"/>
      <c r="Y3213" s="8"/>
      <c r="Z3213" s="8"/>
    </row>
    <row r="3214" spans="1:26" ht="12.75">
      <c r="A3214" s="11">
        <v>43747.166458333333</v>
      </c>
      <c r="B3214" s="12" t="str">
        <f>HYPERLINK("https://twitter.com/yazar_kahraman","@yazar_kahraman")</f>
        <v>@yazar_kahraman</v>
      </c>
      <c r="C3214" s="7" t="s">
        <v>18139</v>
      </c>
      <c r="D3214" s="7" t="s">
        <v>18140</v>
      </c>
      <c r="E3214" s="12" t="str">
        <f>HYPERLINK("https://twitter.com/yazar_kahraman/status/1181886950942359553","1181886950942359553")</f>
        <v>1181886950942359553</v>
      </c>
      <c r="F3214" s="15"/>
      <c r="G3214" s="14" t="s">
        <v>18141</v>
      </c>
      <c r="H3214" s="8"/>
      <c r="I3214" s="15">
        <v>0</v>
      </c>
      <c r="J3214" s="15">
        <v>0</v>
      </c>
      <c r="K3214" s="12" t="str">
        <f>HYPERLINK("http://twitter.com/download/android","Twitter for Android")</f>
        <v>Twitter for Android</v>
      </c>
      <c r="L3214" s="16">
        <v>13</v>
      </c>
      <c r="M3214" s="16">
        <v>20</v>
      </c>
      <c r="N3214" s="16">
        <v>0</v>
      </c>
      <c r="O3214" s="17"/>
      <c r="P3214" s="18">
        <v>43441.368622685186</v>
      </c>
      <c r="Q3214" s="7" t="s">
        <v>313</v>
      </c>
      <c r="R3214" s="7" t="s">
        <v>18142</v>
      </c>
      <c r="S3214" s="8"/>
      <c r="T3214" s="8"/>
      <c r="U3214" s="19" t="str">
        <f>HYPERLINK("https://pbs.twimg.com/profile_images/1167593629667471360/a1Lzy13V.jpg","View")</f>
        <v>View</v>
      </c>
      <c r="V3214" s="8"/>
      <c r="W3214" s="8"/>
      <c r="X3214" s="8"/>
      <c r="Y3214" s="8"/>
      <c r="Z3214" s="8"/>
    </row>
    <row r="3215" spans="1:26" ht="12.75">
      <c r="A3215" s="11">
        <v>43747.166365740741</v>
      </c>
      <c r="B3215" s="12" t="str">
        <f>HYPERLINK("https://twitter.com/crayzcrocodile","@crayzcrocodile")</f>
        <v>@crayzcrocodile</v>
      </c>
      <c r="C3215" s="7" t="s">
        <v>18143</v>
      </c>
      <c r="D3215" s="7" t="s">
        <v>18144</v>
      </c>
      <c r="E3215" s="12" t="str">
        <f>HYPERLINK("https://twitter.com/crayzcrocodile/status/1181886920688902145","1181886920688902145")</f>
        <v>1181886920688902145</v>
      </c>
      <c r="F3215" s="8"/>
      <c r="G3215" s="14" t="s">
        <v>18145</v>
      </c>
      <c r="H3215" s="8"/>
      <c r="I3215" s="15">
        <v>0</v>
      </c>
      <c r="J3215" s="15">
        <v>1</v>
      </c>
      <c r="K3215" s="12" t="str">
        <f>HYPERLINK("http://twitter.com/download/android","Twitter for Android")</f>
        <v>Twitter for Android</v>
      </c>
      <c r="L3215" s="16">
        <v>7</v>
      </c>
      <c r="M3215" s="16">
        <v>38</v>
      </c>
      <c r="N3215" s="16">
        <v>0</v>
      </c>
      <c r="O3215" s="17"/>
      <c r="P3215" s="18">
        <v>43610.408900462964</v>
      </c>
      <c r="Q3215" s="7"/>
      <c r="R3215" s="7"/>
      <c r="S3215" s="8"/>
      <c r="T3215" s="8"/>
      <c r="U3215" s="19" t="str">
        <f>HYPERLINK("https://pbs.twimg.com/profile_images/1178327601707925504/uVzOpslf.jpg","View")</f>
        <v>View</v>
      </c>
      <c r="V3215" s="8"/>
      <c r="W3215" s="8"/>
      <c r="X3215" s="8"/>
      <c r="Y3215" s="8"/>
      <c r="Z3215" s="8"/>
    </row>
    <row r="3216" spans="1:26" ht="12.75">
      <c r="A3216" s="11">
        <v>43747.166354166664</v>
      </c>
      <c r="B3216" s="12" t="str">
        <f>HYPERLINK("https://twitter.com/Aysenurtoprak5","@Aysenurtoprak5")</f>
        <v>@Aysenurtoprak5</v>
      </c>
      <c r="C3216" s="7" t="s">
        <v>18146</v>
      </c>
      <c r="D3216" s="7" t="s">
        <v>18147</v>
      </c>
      <c r="E3216" s="12" t="str">
        <f>HYPERLINK("https://twitter.com/Aysenurtoprak5/status/1181886915613790208","1181886915613790208")</f>
        <v>1181886915613790208</v>
      </c>
      <c r="F3216" s="8"/>
      <c r="G3216" s="14" t="s">
        <v>18148</v>
      </c>
      <c r="H3216" s="8"/>
      <c r="I3216" s="15">
        <v>0</v>
      </c>
      <c r="J3216" s="15">
        <v>2</v>
      </c>
      <c r="K3216" s="12" t="str">
        <f>HYPERLINK("https://mobile.twitter.com","Twitter Web App")</f>
        <v>Twitter Web App</v>
      </c>
      <c r="L3216" s="16">
        <v>1493</v>
      </c>
      <c r="M3216" s="16">
        <v>1377</v>
      </c>
      <c r="N3216" s="16">
        <v>0</v>
      </c>
      <c r="O3216" s="17"/>
      <c r="P3216" s="18">
        <v>43036.415960648148</v>
      </c>
      <c r="Q3216" s="7"/>
      <c r="R3216" s="7" t="s">
        <v>18149</v>
      </c>
      <c r="S3216" s="8"/>
      <c r="T3216" s="8"/>
      <c r="U3216" s="19" t="str">
        <f>HYPERLINK("https://pbs.twimg.com/profile_images/1178383597671256064/3eNSaCTw.jpg","View")</f>
        <v>View</v>
      </c>
      <c r="V3216" s="8"/>
      <c r="W3216" s="8"/>
      <c r="X3216" s="8"/>
      <c r="Y3216" s="8"/>
      <c r="Z3216" s="8"/>
    </row>
    <row r="3217" spans="1:26" ht="12.75">
      <c r="A3217" s="11">
        <v>43747.166331018518</v>
      </c>
      <c r="B3217" s="12" t="str">
        <f>HYPERLINK("https://twitter.com/medelpitbullll","@medelpitbullll")</f>
        <v>@medelpitbullll</v>
      </c>
      <c r="C3217" s="7" t="s">
        <v>18150</v>
      </c>
      <c r="D3217" s="7" t="s">
        <v>18151</v>
      </c>
      <c r="E3217" s="12" t="str">
        <f>HYPERLINK("https://twitter.com/medelpitbullll/status/1181886907455868929","1181886907455868929")</f>
        <v>1181886907455868929</v>
      </c>
      <c r="F3217" s="8"/>
      <c r="G3217" s="14" t="s">
        <v>18152</v>
      </c>
      <c r="H3217" s="8"/>
      <c r="I3217" s="15">
        <v>1</v>
      </c>
      <c r="J3217" s="15">
        <v>2</v>
      </c>
      <c r="K3217" s="12" t="str">
        <f>HYPERLINK("http://twitter.com/download/android","Twitter for Android")</f>
        <v>Twitter for Android</v>
      </c>
      <c r="L3217" s="16">
        <v>1191</v>
      </c>
      <c r="M3217" s="16">
        <v>2030</v>
      </c>
      <c r="N3217" s="16">
        <v>1</v>
      </c>
      <c r="O3217" s="17"/>
      <c r="P3217" s="18">
        <v>43144.320914351847</v>
      </c>
      <c r="Q3217" s="7" t="s">
        <v>6551</v>
      </c>
      <c r="R3217" s="7"/>
      <c r="S3217" s="15"/>
      <c r="T3217" s="8"/>
      <c r="U3217" s="19" t="str">
        <f>HYPERLINK("https://pbs.twimg.com/profile_images/1175471680258551810/FHiuoUS5.jpg","View")</f>
        <v>View</v>
      </c>
      <c r="V3217" s="8"/>
      <c r="W3217" s="8"/>
      <c r="X3217" s="8"/>
      <c r="Y3217" s="8"/>
      <c r="Z3217" s="8"/>
    </row>
    <row r="3218" spans="1:26" ht="12.75">
      <c r="A3218" s="11">
        <v>43747.166192129633</v>
      </c>
      <c r="B3218" s="12" t="str">
        <f>HYPERLINK("https://twitter.com/HayalperestTurk","@HayalperestTurk")</f>
        <v>@HayalperestTurk</v>
      </c>
      <c r="C3218" s="7" t="s">
        <v>18153</v>
      </c>
      <c r="D3218" s="7" t="s">
        <v>18154</v>
      </c>
      <c r="E3218" s="12" t="str">
        <f>HYPERLINK("https://twitter.com/HayalperestTurk/status/1181886856981557249","1181886856981557249")</f>
        <v>1181886856981557249</v>
      </c>
      <c r="F3218" s="8"/>
      <c r="G3218" s="15"/>
      <c r="H3218" s="8"/>
      <c r="I3218" s="15">
        <v>0</v>
      </c>
      <c r="J3218" s="15">
        <v>2</v>
      </c>
      <c r="K3218" s="12" t="str">
        <f>HYPERLINK("http://twitter.com/download/android","Twitter for Android")</f>
        <v>Twitter for Android</v>
      </c>
      <c r="L3218" s="16">
        <v>1758</v>
      </c>
      <c r="M3218" s="16">
        <v>4707</v>
      </c>
      <c r="N3218" s="16">
        <v>0</v>
      </c>
      <c r="O3218" s="17"/>
      <c r="P3218" s="18">
        <v>42679.216377314813</v>
      </c>
      <c r="Q3218" s="7" t="s">
        <v>18155</v>
      </c>
      <c r="R3218" s="7" t="s">
        <v>18156</v>
      </c>
      <c r="S3218" s="15"/>
      <c r="T3218" s="8"/>
      <c r="U3218" s="19" t="str">
        <f>HYPERLINK("https://pbs.twimg.com/profile_images/1179100050452037635/xPsDrQ4M.jpg","View")</f>
        <v>View</v>
      </c>
      <c r="V3218" s="8"/>
      <c r="W3218" s="8"/>
      <c r="X3218" s="8"/>
      <c r="Y3218" s="8"/>
      <c r="Z3218" s="8"/>
    </row>
    <row r="3219" spans="1:26" ht="12.75">
      <c r="A3219" s="11">
        <v>43747.16611111111</v>
      </c>
      <c r="B3219" s="12" t="str">
        <f>HYPERLINK("https://twitter.com/ibrahimcambel1","@ibrahimcambel1")</f>
        <v>@ibrahimcambel1</v>
      </c>
      <c r="C3219" s="7" t="s">
        <v>18157</v>
      </c>
      <c r="D3219" s="7" t="s">
        <v>18158</v>
      </c>
      <c r="E3219" s="12" t="str">
        <f>HYPERLINK("https://twitter.com/ibrahimcambel1/status/1181886828598759424","1181886828598759424")</f>
        <v>1181886828598759424</v>
      </c>
      <c r="F3219" s="8"/>
      <c r="G3219" s="15"/>
      <c r="H3219" s="8"/>
      <c r="I3219" s="15">
        <v>0</v>
      </c>
      <c r="J3219" s="15">
        <v>7</v>
      </c>
      <c r="K3219" s="12" t="str">
        <f>HYPERLINK("http://twitter.com/download/android","Twitter for Android")</f>
        <v>Twitter for Android</v>
      </c>
      <c r="L3219" s="16">
        <v>1963</v>
      </c>
      <c r="M3219" s="16">
        <v>1392</v>
      </c>
      <c r="N3219" s="16">
        <v>0</v>
      </c>
      <c r="O3219" s="17"/>
      <c r="P3219" s="18">
        <v>43496.630578703705</v>
      </c>
      <c r="Q3219" s="7" t="s">
        <v>2201</v>
      </c>
      <c r="R3219" s="7" t="s">
        <v>18159</v>
      </c>
      <c r="S3219" s="14" t="s">
        <v>18160</v>
      </c>
      <c r="T3219" s="8"/>
      <c r="U3219" s="19" t="str">
        <f>HYPERLINK("https://pbs.twimg.com/profile_images/1178053698339115018/G-nQqk1n.jpg","View")</f>
        <v>View</v>
      </c>
      <c r="V3219" s="8"/>
      <c r="W3219" s="8"/>
      <c r="X3219" s="8"/>
      <c r="Y3219" s="8"/>
      <c r="Z3219" s="8"/>
    </row>
    <row r="3220" spans="1:26" ht="12.75">
      <c r="A3220" s="11">
        <v>43747.16611111111</v>
      </c>
      <c r="B3220" s="12" t="str">
        <f>HYPERLINK("https://twitter.com/gunaycertmek","@gunaycertmek")</f>
        <v>@gunaycertmek</v>
      </c>
      <c r="C3220" s="7" t="s">
        <v>18161</v>
      </c>
      <c r="D3220" s="7" t="s">
        <v>18162</v>
      </c>
      <c r="E3220" s="12" t="str">
        <f>HYPERLINK("https://twitter.com/gunaycertmek/status/1181886826409349120","1181886826409349120")</f>
        <v>1181886826409349120</v>
      </c>
      <c r="F3220" s="8"/>
      <c r="G3220" s="15"/>
      <c r="H3220" s="8"/>
      <c r="I3220" s="15">
        <v>0</v>
      </c>
      <c r="J3220" s="15">
        <v>0</v>
      </c>
      <c r="K3220" s="12" t="str">
        <f>HYPERLINK("http://twitter.com/download/android","Twitter for Android")</f>
        <v>Twitter for Android</v>
      </c>
      <c r="L3220" s="16">
        <v>420</v>
      </c>
      <c r="M3220" s="16">
        <v>407</v>
      </c>
      <c r="N3220" s="16">
        <v>0</v>
      </c>
      <c r="O3220" s="17"/>
      <c r="P3220" s="18">
        <v>40908.433113425926</v>
      </c>
      <c r="Q3220" s="7" t="s">
        <v>2201</v>
      </c>
      <c r="R3220" s="7" t="s">
        <v>18163</v>
      </c>
      <c r="S3220" s="8"/>
      <c r="T3220" s="8"/>
      <c r="U3220" s="19" t="str">
        <f>HYPERLINK("https://pbs.twimg.com/profile_images/1089937452020756483/fqlxCuWj.jpg","View")</f>
        <v>View</v>
      </c>
      <c r="V3220" s="8"/>
      <c r="W3220" s="8"/>
      <c r="X3220" s="8"/>
      <c r="Y3220" s="8"/>
      <c r="Z3220" s="8"/>
    </row>
    <row r="3221" spans="1:26" ht="12.75">
      <c r="A3221" s="11">
        <v>43747.16606481481</v>
      </c>
      <c r="B3221" s="12" t="str">
        <f>HYPERLINK("https://twitter.com/saidcetinbey","@saidcetinbey")</f>
        <v>@saidcetinbey</v>
      </c>
      <c r="C3221" s="7" t="s">
        <v>18164</v>
      </c>
      <c r="D3221" s="7" t="s">
        <v>18165</v>
      </c>
      <c r="E3221" s="12" t="str">
        <f>HYPERLINK("https://twitter.com/saidcetinbey/status/1181886808122114049","1181886808122114049")</f>
        <v>1181886808122114049</v>
      </c>
      <c r="F3221" s="8"/>
      <c r="G3221" s="14" t="s">
        <v>18166</v>
      </c>
      <c r="H3221" s="8"/>
      <c r="I3221" s="15">
        <v>3</v>
      </c>
      <c r="J3221" s="15">
        <v>10</v>
      </c>
      <c r="K3221" s="12" t="str">
        <f>HYPERLINK("http://twitter.com/download/iphone","Twitter for iPhone")</f>
        <v>Twitter for iPhone</v>
      </c>
      <c r="L3221" s="16">
        <v>3091</v>
      </c>
      <c r="M3221" s="16">
        <v>41</v>
      </c>
      <c r="N3221" s="16">
        <v>7</v>
      </c>
      <c r="O3221" s="17"/>
      <c r="P3221" s="18">
        <v>41135.913993055554</v>
      </c>
      <c r="Q3221" s="7" t="s">
        <v>18167</v>
      </c>
      <c r="R3221" s="7" t="s">
        <v>18168</v>
      </c>
      <c r="S3221" s="8"/>
      <c r="T3221" s="8"/>
      <c r="U3221" s="19" t="str">
        <f>HYPERLINK("https://pbs.twimg.com/profile_images/1162355435162263553/qCdDjgVH.jpg","View")</f>
        <v>View</v>
      </c>
      <c r="V3221" s="8"/>
      <c r="W3221" s="8"/>
      <c r="X3221" s="8"/>
      <c r="Y3221" s="8"/>
      <c r="Z3221" s="8"/>
    </row>
    <row r="3222" spans="1:26" ht="12.75">
      <c r="A3222" s="11">
        <v>43747.165995370371</v>
      </c>
      <c r="B3222" s="12" t="str">
        <f>HYPERLINK("https://twitter.com/tgc_okc","@tgc_okc")</f>
        <v>@tgc_okc</v>
      </c>
      <c r="C3222" s="7" t="s">
        <v>18169</v>
      </c>
      <c r="D3222" s="7" t="s">
        <v>18170</v>
      </c>
      <c r="E3222" s="12" t="str">
        <f>HYPERLINK("https://twitter.com/tgc_okc/status/1181886783027646464","1181886783027646464")</f>
        <v>1181886783027646464</v>
      </c>
      <c r="F3222" s="8"/>
      <c r="G3222" s="15"/>
      <c r="H3222" s="8"/>
      <c r="I3222" s="15">
        <v>0</v>
      </c>
      <c r="J3222" s="15">
        <v>1</v>
      </c>
      <c r="K3222" s="12" t="str">
        <f>HYPERLINK("https://mobile.twitter.com","Twitter Web App")</f>
        <v>Twitter Web App</v>
      </c>
      <c r="L3222" s="16">
        <v>60</v>
      </c>
      <c r="M3222" s="16">
        <v>81</v>
      </c>
      <c r="N3222" s="16">
        <v>0</v>
      </c>
      <c r="O3222" s="17"/>
      <c r="P3222" s="18">
        <v>41398.21366898148</v>
      </c>
      <c r="Q3222" s="7" t="s">
        <v>313</v>
      </c>
      <c r="R3222" s="7" t="s">
        <v>18171</v>
      </c>
      <c r="S3222" s="8"/>
      <c r="T3222" s="8"/>
      <c r="U3222" s="19" t="str">
        <f>HYPERLINK("https://pbs.twimg.com/profile_images/1054755886097416192/Yp6bc97l.jpg","View")</f>
        <v>View</v>
      </c>
      <c r="V3222" s="8"/>
      <c r="W3222" s="8"/>
      <c r="X3222" s="8"/>
      <c r="Y3222" s="8"/>
      <c r="Z3222" s="8"/>
    </row>
    <row r="3223" spans="1:26" ht="12.75">
      <c r="A3223" s="11">
        <v>43747.165960648148</v>
      </c>
      <c r="B3223" s="12" t="str">
        <f>HYPERLINK("https://twitter.com/zeynepatmca","@zeynepatmca")</f>
        <v>@zeynepatmca</v>
      </c>
      <c r="C3223" s="7" t="s">
        <v>18172</v>
      </c>
      <c r="D3223" s="7" t="s">
        <v>18173</v>
      </c>
      <c r="E3223" s="12" t="str">
        <f>HYPERLINK("https://twitter.com/zeynepatmca/status/1181886772780965889","1181886772780965889")</f>
        <v>1181886772780965889</v>
      </c>
      <c r="F3223" s="8"/>
      <c r="G3223" s="15"/>
      <c r="H3223" s="8"/>
      <c r="I3223" s="15">
        <v>0</v>
      </c>
      <c r="J3223" s="15">
        <v>1</v>
      </c>
      <c r="K3223" s="12" t="str">
        <f>HYPERLINK("http://twitter.com/download/android","Twitter for Android")</f>
        <v>Twitter for Android</v>
      </c>
      <c r="L3223" s="16">
        <v>62</v>
      </c>
      <c r="M3223" s="16">
        <v>52</v>
      </c>
      <c r="N3223" s="16">
        <v>0</v>
      </c>
      <c r="O3223" s="17"/>
      <c r="P3223" s="18">
        <v>41238.276574074072</v>
      </c>
      <c r="Q3223" s="7"/>
      <c r="R3223" s="7" t="s">
        <v>18174</v>
      </c>
      <c r="S3223" s="15"/>
      <c r="T3223" s="8"/>
      <c r="U3223" s="19" t="str">
        <f>HYPERLINK("https://pbs.twimg.com/profile_images/1178704414326087680/kvMr5KBv.jpg","View")</f>
        <v>View</v>
      </c>
      <c r="V3223" s="8"/>
      <c r="W3223" s="8"/>
      <c r="X3223" s="8"/>
      <c r="Y3223" s="8"/>
      <c r="Z3223" s="8"/>
    </row>
    <row r="3224" spans="1:26" ht="12.75">
      <c r="A3224" s="11">
        <v>43747.165474537032</v>
      </c>
      <c r="B3224" s="12" t="str">
        <f>HYPERLINK("https://twitter.com/_ziyagokalp","@_ziyagokalp")</f>
        <v>@_ziyagokalp</v>
      </c>
      <c r="C3224" s="7" t="s">
        <v>18175</v>
      </c>
      <c r="D3224" s="7" t="s">
        <v>18176</v>
      </c>
      <c r="E3224" s="12" t="str">
        <f>HYPERLINK("https://twitter.com/_ziyagokalp/status/1181886595173175301","1181886595173175301")</f>
        <v>1181886595173175301</v>
      </c>
      <c r="F3224" s="8"/>
      <c r="G3224" s="14" t="s">
        <v>18177</v>
      </c>
      <c r="H3224" s="8"/>
      <c r="I3224" s="15">
        <v>1</v>
      </c>
      <c r="J3224" s="15">
        <v>0</v>
      </c>
      <c r="K3224" s="12" t="str">
        <f>HYPERLINK("https://mobile.twitter.com","Twitter Web App")</f>
        <v>Twitter Web App</v>
      </c>
      <c r="L3224" s="16">
        <v>117</v>
      </c>
      <c r="M3224" s="16">
        <v>258</v>
      </c>
      <c r="N3224" s="16">
        <v>0</v>
      </c>
      <c r="O3224" s="17"/>
      <c r="P3224" s="18">
        <v>40062.93886574074</v>
      </c>
      <c r="Q3224" s="7" t="s">
        <v>918</v>
      </c>
      <c r="R3224" s="7" t="s">
        <v>18178</v>
      </c>
      <c r="S3224" s="8"/>
      <c r="T3224" s="8"/>
      <c r="U3224" s="19" t="str">
        <f>HYPERLINK("https://pbs.twimg.com/profile_images/757844151970914304/Ox26U5gh.jpg","View")</f>
        <v>View</v>
      </c>
      <c r="V3224" s="8"/>
      <c r="W3224" s="8"/>
      <c r="X3224" s="8"/>
      <c r="Y3224" s="8"/>
      <c r="Z3224" s="8"/>
    </row>
    <row r="3225" spans="1:26" ht="12.75">
      <c r="A3225" s="11">
        <v>43747.165393518517</v>
      </c>
      <c r="B3225" s="12" t="str">
        <f>HYPERLINK("https://twitter.com/EyvALLahReis","@EyvALLahReis")</f>
        <v>@EyvALLahReis</v>
      </c>
      <c r="C3225" s="7" t="s">
        <v>18179</v>
      </c>
      <c r="D3225" s="7" t="s">
        <v>18180</v>
      </c>
      <c r="E3225" s="12" t="str">
        <f>HYPERLINK("https://twitter.com/EyvALLahReis/status/1181886567465525249","1181886567465525249")</f>
        <v>1181886567465525249</v>
      </c>
      <c r="F3225" s="14" t="s">
        <v>18181</v>
      </c>
      <c r="G3225" s="14" t="s">
        <v>18182</v>
      </c>
      <c r="H3225" s="8"/>
      <c r="I3225" s="15">
        <v>0</v>
      </c>
      <c r="J3225" s="15">
        <v>0</v>
      </c>
      <c r="K3225" s="12" t="str">
        <f>HYPERLINK("https://mobile.twitter.com","Twitter Web App")</f>
        <v>Twitter Web App</v>
      </c>
      <c r="L3225" s="16">
        <v>621</v>
      </c>
      <c r="M3225" s="16">
        <v>798</v>
      </c>
      <c r="N3225" s="16">
        <v>0</v>
      </c>
      <c r="O3225" s="17"/>
      <c r="P3225" s="18">
        <v>41626.558865740742</v>
      </c>
      <c r="Q3225" s="7" t="s">
        <v>18183</v>
      </c>
      <c r="R3225" s="7" t="s">
        <v>18184</v>
      </c>
      <c r="S3225" s="8"/>
      <c r="T3225" s="8"/>
      <c r="U3225" s="19" t="str">
        <f>HYPERLINK("https://pbs.twimg.com/profile_images/887375843286290432/CTUzavRp.jpg","View")</f>
        <v>View</v>
      </c>
      <c r="V3225" s="8"/>
      <c r="W3225" s="8"/>
      <c r="X3225" s="8"/>
      <c r="Y3225" s="8"/>
      <c r="Z3225" s="8"/>
    </row>
    <row r="3226" spans="1:26" ht="12.75">
      <c r="A3226" s="11">
        <v>43747.165370370371</v>
      </c>
      <c r="B3226" s="12" t="str">
        <f>HYPERLINK("https://twitter.com/bey_gulmira","@bey_gulmira")</f>
        <v>@bey_gulmira</v>
      </c>
      <c r="C3226" s="7" t="s">
        <v>18185</v>
      </c>
      <c r="D3226" s="7" t="s">
        <v>18186</v>
      </c>
      <c r="E3226" s="12" t="str">
        <f>HYPERLINK("https://twitter.com/bey_gulmira/status/1181886558099693568","1181886558099693568")</f>
        <v>1181886558099693568</v>
      </c>
      <c r="F3226" s="8"/>
      <c r="G3226" s="15"/>
      <c r="H3226" s="8"/>
      <c r="I3226" s="15">
        <v>0</v>
      </c>
      <c r="J3226" s="15">
        <v>0</v>
      </c>
      <c r="K3226" s="12" t="str">
        <f>HYPERLINK("http://twitter.com","Twitter Web Client")</f>
        <v>Twitter Web Client</v>
      </c>
      <c r="L3226" s="16">
        <v>20</v>
      </c>
      <c r="M3226" s="16">
        <v>0</v>
      </c>
      <c r="N3226" s="16">
        <v>0</v>
      </c>
      <c r="O3226" s="17"/>
      <c r="P3226" s="18">
        <v>43683.841099537036</v>
      </c>
      <c r="Q3226" s="7" t="s">
        <v>2679</v>
      </c>
      <c r="R3226" s="7" t="s">
        <v>15523</v>
      </c>
      <c r="S3226" s="8"/>
      <c r="T3226" s="8"/>
      <c r="U3226" s="19" t="str">
        <f>HYPERLINK("https://pbs.twimg.com/profile_images/1167220060827660290/tWIiyINZ.jpg","View")</f>
        <v>View</v>
      </c>
      <c r="V3226" s="8"/>
      <c r="W3226" s="8"/>
      <c r="X3226" s="8"/>
      <c r="Y3226" s="8"/>
      <c r="Z3226" s="8"/>
    </row>
    <row r="3227" spans="1:26" ht="12.75">
      <c r="A3227" s="11">
        <v>43747.165300925924</v>
      </c>
      <c r="B3227" s="12" t="str">
        <f>HYPERLINK("https://twitter.com/benmemo7","@benmemo7")</f>
        <v>@benmemo7</v>
      </c>
      <c r="C3227" s="7" t="s">
        <v>18187</v>
      </c>
      <c r="D3227" s="7" t="s">
        <v>160</v>
      </c>
      <c r="E3227" s="12" t="str">
        <f>HYPERLINK("https://twitter.com/benmemo7/status/1181886532485107718","1181886532485107718")</f>
        <v>1181886532485107718</v>
      </c>
      <c r="F3227" s="8"/>
      <c r="G3227" s="14" t="s">
        <v>18188</v>
      </c>
      <c r="H3227" s="8"/>
      <c r="I3227" s="15">
        <v>0</v>
      </c>
      <c r="J3227" s="15">
        <v>0</v>
      </c>
      <c r="K3227" s="12" t="str">
        <f>HYPERLINK("http://twitter.com/download/android","Twitter for Android")</f>
        <v>Twitter for Android</v>
      </c>
      <c r="L3227" s="16">
        <v>7</v>
      </c>
      <c r="M3227" s="16">
        <v>15</v>
      </c>
      <c r="N3227" s="16">
        <v>0</v>
      </c>
      <c r="O3227" s="17"/>
      <c r="P3227" s="18">
        <v>43546.103819444441</v>
      </c>
      <c r="Q3227" s="7"/>
      <c r="R3227" s="7" t="s">
        <v>18189</v>
      </c>
      <c r="S3227" s="15"/>
      <c r="T3227" s="8"/>
      <c r="U3227" s="19" t="str">
        <f>HYPERLINK("https://pbs.twimg.com/profile_images/1123734711594094593/ixWicKHH.jpg","View")</f>
        <v>View</v>
      </c>
      <c r="V3227" s="8"/>
      <c r="W3227" s="8"/>
      <c r="X3227" s="8"/>
      <c r="Y3227" s="8"/>
      <c r="Z3227" s="8"/>
    </row>
    <row r="3228" spans="1:26" ht="12.75">
      <c r="A3228" s="11">
        <v>43747.165277777778</v>
      </c>
      <c r="B3228" s="12" t="str">
        <f>HYPERLINK("https://twitter.com/frkn_ckl","@frkn_ckl")</f>
        <v>@frkn_ckl</v>
      </c>
      <c r="C3228" s="7" t="s">
        <v>18190</v>
      </c>
      <c r="D3228" s="7" t="s">
        <v>18191</v>
      </c>
      <c r="E3228" s="12" t="str">
        <f>HYPERLINK("https://twitter.com/frkn_ckl/status/1181886524012597248","1181886524012597248")</f>
        <v>1181886524012597248</v>
      </c>
      <c r="F3228" s="8"/>
      <c r="G3228" s="14" t="s">
        <v>18192</v>
      </c>
      <c r="H3228" s="8"/>
      <c r="I3228" s="15">
        <v>0</v>
      </c>
      <c r="J3228" s="15">
        <v>0</v>
      </c>
      <c r="K3228" s="12" t="str">
        <f>HYPERLINK("http://twitter.com/download/android","Twitter for Android")</f>
        <v>Twitter for Android</v>
      </c>
      <c r="L3228" s="16">
        <v>5</v>
      </c>
      <c r="M3228" s="16">
        <v>117</v>
      </c>
      <c r="N3228" s="16">
        <v>0</v>
      </c>
      <c r="O3228" s="17"/>
      <c r="P3228" s="18">
        <v>43677.246053240742</v>
      </c>
      <c r="Q3228" s="7" t="s">
        <v>313</v>
      </c>
      <c r="R3228" s="7" t="s">
        <v>18193</v>
      </c>
      <c r="S3228" s="8"/>
      <c r="T3228" s="8"/>
      <c r="U3228" s="19" t="str">
        <f>HYPERLINK("https://pbs.twimg.com/profile_images/1156551375133782017/jy9N3IVw.jpg","View")</f>
        <v>View</v>
      </c>
      <c r="V3228" s="8"/>
      <c r="W3228" s="8"/>
      <c r="X3228" s="8"/>
      <c r="Y3228" s="8"/>
      <c r="Z3228" s="8"/>
    </row>
    <row r="3229" spans="1:26" ht="12.75">
      <c r="A3229" s="11">
        <v>43747.165104166663</v>
      </c>
      <c r="B3229" s="12" t="str">
        <f>HYPERLINK("https://twitter.com/Best_Of_The_Kro","@Best_Of_The_Kro")</f>
        <v>@Best_Of_The_Kro</v>
      </c>
      <c r="C3229" s="7" t="s">
        <v>18194</v>
      </c>
      <c r="D3229" s="7" t="s">
        <v>18195</v>
      </c>
      <c r="E3229" s="12" t="str">
        <f>HYPERLINK("https://twitter.com/Best_Of_The_Kro/status/1181886459697078272","1181886459697078272")</f>
        <v>1181886459697078272</v>
      </c>
      <c r="F3229" s="8"/>
      <c r="G3229" s="14" t="s">
        <v>18196</v>
      </c>
      <c r="H3229" s="8"/>
      <c r="I3229" s="15">
        <v>0</v>
      </c>
      <c r="J3229" s="15">
        <v>2</v>
      </c>
      <c r="K3229" s="12" t="str">
        <f>HYPERLINK("http://twitter.com/download/iphone","Twitter for iPhone")</f>
        <v>Twitter for iPhone</v>
      </c>
      <c r="L3229" s="16">
        <v>394</v>
      </c>
      <c r="M3229" s="16">
        <v>208</v>
      </c>
      <c r="N3229" s="16">
        <v>1</v>
      </c>
      <c r="O3229" s="17"/>
      <c r="P3229" s="18">
        <v>40918.357465277775</v>
      </c>
      <c r="Q3229" s="7" t="s">
        <v>8299</v>
      </c>
      <c r="R3229" s="7" t="s">
        <v>18197</v>
      </c>
      <c r="S3229" s="8"/>
      <c r="T3229" s="8"/>
      <c r="U3229" s="19" t="str">
        <f>HYPERLINK("https://pbs.twimg.com/profile_images/1181482536142348288/RlJ2wkF4.jpg","View")</f>
        <v>View</v>
      </c>
      <c r="V3229" s="8"/>
      <c r="W3229" s="8"/>
      <c r="X3229" s="8"/>
      <c r="Y3229" s="8"/>
      <c r="Z3229" s="8"/>
    </row>
    <row r="3230" spans="1:26" ht="12.75">
      <c r="A3230" s="11">
        <v>43747.165023148147</v>
      </c>
      <c r="B3230" s="12" t="str">
        <f>HYPERLINK("https://twitter.com/aydoganarslan61","@aydoganarslan61")</f>
        <v>@aydoganarslan61</v>
      </c>
      <c r="C3230" s="7" t="s">
        <v>18198</v>
      </c>
      <c r="D3230" s="7" t="s">
        <v>18199</v>
      </c>
      <c r="E3230" s="12" t="str">
        <f>HYPERLINK("https://twitter.com/aydoganarslan61/status/1181886433000329221","1181886433000329221")</f>
        <v>1181886433000329221</v>
      </c>
      <c r="F3230" s="15"/>
      <c r="G3230" s="14" t="s">
        <v>18200</v>
      </c>
      <c r="H3230" s="8"/>
      <c r="I3230" s="15">
        <v>11</v>
      </c>
      <c r="J3230" s="15">
        <v>14</v>
      </c>
      <c r="K3230" s="12" t="str">
        <f>HYPERLINK("https://mobile.twitter.com","Twitter Web App")</f>
        <v>Twitter Web App</v>
      </c>
      <c r="L3230" s="16">
        <v>1187</v>
      </c>
      <c r="M3230" s="16">
        <v>48</v>
      </c>
      <c r="N3230" s="16">
        <v>5</v>
      </c>
      <c r="O3230" s="17"/>
      <c r="P3230" s="18">
        <v>40306.100138888891</v>
      </c>
      <c r="Q3230" s="7" t="s">
        <v>1748</v>
      </c>
      <c r="R3230" s="7" t="s">
        <v>18201</v>
      </c>
      <c r="S3230" s="14" t="s">
        <v>18202</v>
      </c>
      <c r="T3230" s="8"/>
      <c r="U3230" s="19" t="str">
        <f>HYPERLINK("https://pbs.twimg.com/profile_images/1153266355862417415/K9owcgAh.jpg","View")</f>
        <v>View</v>
      </c>
      <c r="V3230" s="8"/>
      <c r="W3230" s="8"/>
      <c r="X3230" s="8"/>
      <c r="Y3230" s="8"/>
      <c r="Z3230" s="8"/>
    </row>
    <row r="3231" spans="1:26" ht="12.75">
      <c r="A3231" s="11">
        <v>43747.164930555555</v>
      </c>
      <c r="B3231" s="12" t="str">
        <f>HYPERLINK("https://twitter.com/gezersu","@gezersu")</f>
        <v>@gezersu</v>
      </c>
      <c r="C3231" s="7" t="s">
        <v>6636</v>
      </c>
      <c r="D3231" s="7" t="s">
        <v>18203</v>
      </c>
      <c r="E3231" s="12" t="str">
        <f>HYPERLINK("https://twitter.com/gezersu/status/1181886399819243525","1181886399819243525")</f>
        <v>1181886399819243525</v>
      </c>
      <c r="F3231" s="14" t="s">
        <v>18204</v>
      </c>
      <c r="G3231" s="15"/>
      <c r="H3231" s="8"/>
      <c r="I3231" s="15">
        <v>0</v>
      </c>
      <c r="J3231" s="15">
        <v>0</v>
      </c>
      <c r="K3231" s="12" t="str">
        <f>HYPERLINK("http://twitter.com/download/android","Twitter for Android")</f>
        <v>Twitter for Android</v>
      </c>
      <c r="L3231" s="16">
        <v>3</v>
      </c>
      <c r="M3231" s="16">
        <v>81</v>
      </c>
      <c r="N3231" s="16">
        <v>0</v>
      </c>
      <c r="O3231" s="17"/>
      <c r="P3231" s="18">
        <v>40523.443726851852</v>
      </c>
      <c r="Q3231" s="7" t="s">
        <v>313</v>
      </c>
      <c r="R3231" s="7"/>
      <c r="S3231" s="8"/>
      <c r="T3231" s="8"/>
      <c r="U3231" s="19" t="str">
        <f>HYPERLINK("https://pbs.twimg.com/profile_images/744288456755548160/cU4a-XW2.jpg","View")</f>
        <v>View</v>
      </c>
      <c r="V3231" s="8"/>
      <c r="W3231" s="8"/>
      <c r="X3231" s="8"/>
      <c r="Y3231" s="8"/>
      <c r="Z3231" s="8"/>
    </row>
    <row r="3232" spans="1:26" ht="12.75">
      <c r="A3232" s="11">
        <v>43747.164930555555</v>
      </c>
      <c r="B3232" s="12" t="str">
        <f>HYPERLINK("https://twitter.com/BakMax6","@BakMax6")</f>
        <v>@BakMax6</v>
      </c>
      <c r="C3232" s="13" t="s">
        <v>18205</v>
      </c>
      <c r="D3232" s="7" t="s">
        <v>18206</v>
      </c>
      <c r="E3232" s="12" t="str">
        <f>HYPERLINK("https://twitter.com/BakMax6/status/1181886396765741057","1181886396765741057")</f>
        <v>1181886396765741057</v>
      </c>
      <c r="F3232" s="15"/>
      <c r="G3232" s="7"/>
      <c r="H3232" s="8"/>
      <c r="I3232" s="15">
        <v>0</v>
      </c>
      <c r="J3232" s="15">
        <v>0</v>
      </c>
      <c r="K3232" s="12" t="str">
        <f>HYPERLINK("http://twitter.com/download/iphone","Twitter for iPhone")</f>
        <v>Twitter for iPhone</v>
      </c>
      <c r="L3232" s="16">
        <v>0</v>
      </c>
      <c r="M3232" s="16">
        <v>9</v>
      </c>
      <c r="N3232" s="16">
        <v>0</v>
      </c>
      <c r="O3232" s="17"/>
      <c r="P3232" s="18">
        <v>43718.457500000004</v>
      </c>
      <c r="Q3232" s="7"/>
      <c r="R3232" s="13" t="s">
        <v>18207</v>
      </c>
      <c r="S3232" s="8"/>
      <c r="T3232" s="8"/>
      <c r="U3232" s="19" t="str">
        <f>HYPERLINK("https://pbs.twimg.com/profile_images/1171484863930585089/HSuZvZk4.jpg","View")</f>
        <v>View</v>
      </c>
      <c r="V3232" s="8"/>
      <c r="W3232" s="8"/>
      <c r="X3232" s="8"/>
      <c r="Y3232" s="8"/>
      <c r="Z3232" s="8"/>
    </row>
    <row r="3233" spans="1:26" ht="12.75">
      <c r="A3233" s="11">
        <v>43747.164918981478</v>
      </c>
      <c r="B3233" s="12" t="str">
        <f>HYPERLINK("https://twitter.com/isik_enes25","@isik_enes25")</f>
        <v>@isik_enes25</v>
      </c>
      <c r="C3233" s="7" t="s">
        <v>18208</v>
      </c>
      <c r="D3233" s="7" t="s">
        <v>18209</v>
      </c>
      <c r="E3233" s="12" t="str">
        <f>HYPERLINK("https://twitter.com/isik_enes25/status/1181886392458235904","1181886392458235904")</f>
        <v>1181886392458235904</v>
      </c>
      <c r="F3233" s="8"/>
      <c r="G3233" s="14" t="s">
        <v>18210</v>
      </c>
      <c r="H3233" s="8"/>
      <c r="I3233" s="15">
        <v>0</v>
      </c>
      <c r="J3233" s="15">
        <v>3</v>
      </c>
      <c r="K3233" s="12" t="str">
        <f>HYPERLINK("http://twitter.com/download/iphone","Twitter for iPhone")</f>
        <v>Twitter for iPhone</v>
      </c>
      <c r="L3233" s="16">
        <v>120</v>
      </c>
      <c r="M3233" s="16">
        <v>106</v>
      </c>
      <c r="N3233" s="16">
        <v>0</v>
      </c>
      <c r="O3233" s="17"/>
      <c r="P3233" s="18">
        <v>43566.551527777774</v>
      </c>
      <c r="Q3233" s="7" t="s">
        <v>1567</v>
      </c>
      <c r="R3233" s="7" t="s">
        <v>18211</v>
      </c>
      <c r="S3233" s="8"/>
      <c r="T3233" s="8"/>
      <c r="U3233" s="19" t="str">
        <f>HYPERLINK("https://pbs.twimg.com/profile_images/1165687878149713920/66UE5gbG.jpg","View")</f>
        <v>View</v>
      </c>
      <c r="V3233" s="8"/>
      <c r="W3233" s="8"/>
      <c r="X3233" s="8"/>
      <c r="Y3233" s="8"/>
      <c r="Z3233" s="8"/>
    </row>
    <row r="3234" spans="1:26" ht="12.75">
      <c r="A3234" s="11">
        <v>43747.164907407408</v>
      </c>
      <c r="B3234" s="12" t="str">
        <f>HYPERLINK("https://twitter.com/AsliYokuscikanr","@AsliYokuscikanr")</f>
        <v>@AsliYokuscikanr</v>
      </c>
      <c r="C3234" s="7" t="s">
        <v>18212</v>
      </c>
      <c r="D3234" s="7" t="s">
        <v>18213</v>
      </c>
      <c r="E3234" s="12" t="str">
        <f>HYPERLINK("https://twitter.com/AsliYokuscikanr/status/1181886389836812289","1181886389836812289")</f>
        <v>1181886389836812289</v>
      </c>
      <c r="F3234" s="8"/>
      <c r="G3234" s="7"/>
      <c r="H3234" s="8"/>
      <c r="I3234" s="15">
        <v>0</v>
      </c>
      <c r="J3234" s="15">
        <v>1</v>
      </c>
      <c r="K3234" s="12" t="str">
        <f>HYPERLINK("https://mobile.twitter.com","Twitter Web App")</f>
        <v>Twitter Web App</v>
      </c>
      <c r="L3234" s="16">
        <v>511</v>
      </c>
      <c r="M3234" s="16">
        <v>126</v>
      </c>
      <c r="N3234" s="16">
        <v>5</v>
      </c>
      <c r="O3234" s="17"/>
      <c r="P3234" s="18">
        <v>41603.068055555559</v>
      </c>
      <c r="Q3234" s="7" t="s">
        <v>18214</v>
      </c>
      <c r="R3234" s="7"/>
      <c r="S3234" s="15"/>
      <c r="T3234" s="8"/>
      <c r="U3234" s="19" t="str">
        <f>HYPERLINK("https://pbs.twimg.com/profile_images/1173471105664901120/9wZ6xf2c.jpg","View")</f>
        <v>View</v>
      </c>
      <c r="V3234" s="8"/>
      <c r="W3234" s="8"/>
      <c r="X3234" s="8"/>
      <c r="Y3234" s="8"/>
      <c r="Z3234" s="8"/>
    </row>
    <row r="3235" spans="1:26" ht="12.75">
      <c r="A3235" s="11">
        <v>43747.164895833332</v>
      </c>
      <c r="B3235" s="12" t="str">
        <f>HYPERLINK("https://twitter.com/AbaciogluSemih","@AbaciogluSemih")</f>
        <v>@AbaciogluSemih</v>
      </c>
      <c r="C3235" s="7" t="s">
        <v>18215</v>
      </c>
      <c r="D3235" s="7" t="s">
        <v>18216</v>
      </c>
      <c r="E3235" s="12" t="str">
        <f>HYPERLINK("https://twitter.com/AbaciogluSemih/status/1181886387332812801","1181886387332812801")</f>
        <v>1181886387332812801</v>
      </c>
      <c r="F3235" s="15"/>
      <c r="G3235" s="14" t="s">
        <v>18217</v>
      </c>
      <c r="H3235" s="8"/>
      <c r="I3235" s="15">
        <v>0</v>
      </c>
      <c r="J3235" s="15">
        <v>0</v>
      </c>
      <c r="K3235" s="12" t="str">
        <f>HYPERLINK("http://twitter.com","Twitter Web Client")</f>
        <v>Twitter Web Client</v>
      </c>
      <c r="L3235" s="16">
        <v>19</v>
      </c>
      <c r="M3235" s="16">
        <v>0</v>
      </c>
      <c r="N3235" s="16">
        <v>0</v>
      </c>
      <c r="O3235" s="17"/>
      <c r="P3235" s="18">
        <v>43600.45103009259</v>
      </c>
      <c r="Q3235" s="7" t="s">
        <v>2712</v>
      </c>
      <c r="R3235" s="7" t="s">
        <v>18218</v>
      </c>
      <c r="S3235" s="8"/>
      <c r="T3235" s="8"/>
      <c r="U3235" s="19" t="str">
        <f>HYPERLINK("https://pbs.twimg.com/profile_images/1130845340356136966/flIxXpgs.jpg","View")</f>
        <v>View</v>
      </c>
      <c r="V3235" s="8"/>
      <c r="W3235" s="8"/>
      <c r="X3235" s="8"/>
      <c r="Y3235" s="8"/>
      <c r="Z3235" s="8"/>
    </row>
    <row r="3236" spans="1:26" ht="12.75">
      <c r="A3236" s="11">
        <v>43747.164826388893</v>
      </c>
      <c r="B3236" s="12" t="str">
        <f>HYPERLINK("https://twitter.com/131962","@131962")</f>
        <v>@131962</v>
      </c>
      <c r="C3236" s="7" t="s">
        <v>18219</v>
      </c>
      <c r="D3236" s="7" t="s">
        <v>18220</v>
      </c>
      <c r="E3236" s="12" t="str">
        <f>HYPERLINK("https://twitter.com/131962/status/1181886362674503681","1181886362674503681")</f>
        <v>1181886362674503681</v>
      </c>
      <c r="F3236" s="8"/>
      <c r="G3236" s="7"/>
      <c r="H3236" s="8"/>
      <c r="I3236" s="15">
        <v>0</v>
      </c>
      <c r="J3236" s="15">
        <v>1</v>
      </c>
      <c r="K3236" s="12" t="str">
        <f>HYPERLINK("http://twitter.com","Twitter Web Client")</f>
        <v>Twitter Web Client</v>
      </c>
      <c r="L3236" s="16">
        <v>66</v>
      </c>
      <c r="M3236" s="16">
        <v>110</v>
      </c>
      <c r="N3236" s="16">
        <v>0</v>
      </c>
      <c r="O3236" s="17"/>
      <c r="P3236" s="18">
        <v>41460.204409722224</v>
      </c>
      <c r="Q3236" s="7" t="s">
        <v>576</v>
      </c>
      <c r="R3236" s="7" t="s">
        <v>18221</v>
      </c>
      <c r="S3236" s="8"/>
      <c r="T3236" s="8"/>
      <c r="U3236" s="19" t="str">
        <f>HYPERLINK("https://pbs.twimg.com/profile_images/923559399964233728/NCwT7gy9.jpg","View")</f>
        <v>View</v>
      </c>
      <c r="V3236" s="8"/>
      <c r="W3236" s="8"/>
      <c r="X3236" s="8"/>
      <c r="Y3236" s="8"/>
      <c r="Z3236" s="8"/>
    </row>
    <row r="3237" spans="1:26" ht="12.75">
      <c r="A3237" s="11">
        <v>43747.164803240739</v>
      </c>
      <c r="B3237" s="12" t="str">
        <f>HYPERLINK("https://twitter.com/100basisancar","@100basisancar")</f>
        <v>@100basisancar</v>
      </c>
      <c r="C3237" s="7" t="s">
        <v>18222</v>
      </c>
      <c r="D3237" s="7" t="s">
        <v>18223</v>
      </c>
      <c r="E3237" s="12" t="str">
        <f>HYPERLINK("https://twitter.com/100basisancar/status/1181886351605714950","1181886351605714950")</f>
        <v>1181886351605714950</v>
      </c>
      <c r="F3237" s="8"/>
      <c r="G3237" s="7"/>
      <c r="H3237" s="8"/>
      <c r="I3237" s="15">
        <v>0</v>
      </c>
      <c r="J3237" s="15">
        <v>3</v>
      </c>
      <c r="K3237" s="12" t="str">
        <f>HYPERLINK("http://twitter.com/download/android","Twitter for Android")</f>
        <v>Twitter for Android</v>
      </c>
      <c r="L3237" s="16">
        <v>425</v>
      </c>
      <c r="M3237" s="16">
        <v>786</v>
      </c>
      <c r="N3237" s="16">
        <v>0</v>
      </c>
      <c r="O3237" s="17"/>
      <c r="P3237" s="18">
        <v>43546.618842592594</v>
      </c>
      <c r="Q3237" s="7" t="s">
        <v>3321</v>
      </c>
      <c r="R3237" s="7" t="s">
        <v>18224</v>
      </c>
      <c r="S3237" s="14" t="s">
        <v>5017</v>
      </c>
      <c r="T3237" s="8"/>
      <c r="U3237" s="19" t="str">
        <f>HYPERLINK("https://pbs.twimg.com/profile_images/1128242035100737536/jdQ3lTCS.jpg","View")</f>
        <v>View</v>
      </c>
      <c r="V3237" s="8"/>
      <c r="W3237" s="8"/>
      <c r="X3237" s="8"/>
      <c r="Y3237" s="8"/>
      <c r="Z3237" s="8"/>
    </row>
    <row r="3238" spans="1:26" ht="12.75">
      <c r="A3238" s="11">
        <v>43747.16479166667</v>
      </c>
      <c r="B3238" s="12" t="str">
        <f>HYPERLINK("https://twitter.com/Sultanbey5","@Sultanbey5")</f>
        <v>@Sultanbey5</v>
      </c>
      <c r="C3238" s="7" t="s">
        <v>18225</v>
      </c>
      <c r="D3238" s="7" t="s">
        <v>18226</v>
      </c>
      <c r="E3238" s="12" t="str">
        <f>HYPERLINK("https://twitter.com/Sultanbey5/status/1181886350032801792","1181886350032801792")</f>
        <v>1181886350032801792</v>
      </c>
      <c r="F3238" s="8"/>
      <c r="G3238" s="15"/>
      <c r="H3238" s="15"/>
      <c r="I3238" s="15">
        <v>0</v>
      </c>
      <c r="J3238" s="15">
        <v>2</v>
      </c>
      <c r="K3238" s="12" t="str">
        <f>HYPERLINK("http://twitter.com/download/iphone","Twitter for iPhone")</f>
        <v>Twitter for iPhone</v>
      </c>
      <c r="L3238" s="16">
        <v>1</v>
      </c>
      <c r="M3238" s="16">
        <v>7</v>
      </c>
      <c r="N3238" s="16">
        <v>0</v>
      </c>
      <c r="O3238" s="17"/>
      <c r="P3238" s="18">
        <v>43747.045138888891</v>
      </c>
      <c r="Q3238" s="7" t="s">
        <v>2712</v>
      </c>
      <c r="R3238" s="7"/>
      <c r="S3238" s="15"/>
      <c r="T3238" s="8"/>
      <c r="U3238" s="19" t="str">
        <f>HYPERLINK("https://pbs.twimg.com/profile_images/1181843100152541184/bFYzcwxA.jpg","View")</f>
        <v>View</v>
      </c>
      <c r="V3238" s="8"/>
      <c r="W3238" s="8"/>
      <c r="X3238" s="8"/>
      <c r="Y3238" s="8"/>
      <c r="Z3238" s="8"/>
    </row>
    <row r="3239" spans="1:26" ht="12.75">
      <c r="A3239" s="11">
        <v>43747.164780092593</v>
      </c>
      <c r="B3239" s="12" t="str">
        <f>HYPERLINK("https://twitter.com/ihsankucukbass","@ihsankucukbass")</f>
        <v>@ihsankucukbass</v>
      </c>
      <c r="C3239" s="7" t="s">
        <v>18227</v>
      </c>
      <c r="D3239" s="7" t="s">
        <v>18228</v>
      </c>
      <c r="E3239" s="12" t="str">
        <f>HYPERLINK("https://twitter.com/ihsankucukbass/status/1181886344483741696","1181886344483741696")</f>
        <v>1181886344483741696</v>
      </c>
      <c r="F3239" s="8"/>
      <c r="G3239" s="14" t="s">
        <v>18229</v>
      </c>
      <c r="H3239" s="8"/>
      <c r="I3239" s="15">
        <v>0</v>
      </c>
      <c r="J3239" s="15">
        <v>1</v>
      </c>
      <c r="K3239" s="12" t="str">
        <f>HYPERLINK("http://twitter.com/download/android","Twitter for Android")</f>
        <v>Twitter for Android</v>
      </c>
      <c r="L3239" s="16">
        <v>4</v>
      </c>
      <c r="M3239" s="16">
        <v>15</v>
      </c>
      <c r="N3239" s="16">
        <v>0</v>
      </c>
      <c r="O3239" s="17"/>
      <c r="P3239" s="18">
        <v>43746.481828703705</v>
      </c>
      <c r="Q3239" s="7"/>
      <c r="R3239" s="7"/>
      <c r="S3239" s="8"/>
      <c r="T3239" s="8"/>
      <c r="U3239" s="19" t="str">
        <f>HYPERLINK("https://pbs.twimg.com/profile_images/1181640782312345600/xZy2P1Y2.jpg","View")</f>
        <v>View</v>
      </c>
      <c r="V3239" s="8"/>
      <c r="W3239" s="8"/>
      <c r="X3239" s="8"/>
      <c r="Y3239" s="8"/>
      <c r="Z3239" s="8"/>
    </row>
    <row r="3240" spans="1:26" ht="12.75">
      <c r="A3240" s="11">
        <v>43747.164768518516</v>
      </c>
      <c r="B3240" s="12" t="str">
        <f>HYPERLINK("https://twitter.com/mrberatalk","@mrberatalk")</f>
        <v>@mrberatalk</v>
      </c>
      <c r="C3240" s="7" t="s">
        <v>18230</v>
      </c>
      <c r="D3240" s="7" t="s">
        <v>18231</v>
      </c>
      <c r="E3240" s="12" t="str">
        <f>HYPERLINK("https://twitter.com/mrberatalk/status/1181886338586595328","1181886338586595328")</f>
        <v>1181886338586595328</v>
      </c>
      <c r="F3240" s="8"/>
      <c r="G3240" s="15"/>
      <c r="H3240" s="8"/>
      <c r="I3240" s="15">
        <v>0</v>
      </c>
      <c r="J3240" s="15">
        <v>2</v>
      </c>
      <c r="K3240" s="12" t="str">
        <f>HYPERLINK("http://twitter.com/download/android","Twitter for Android")</f>
        <v>Twitter for Android</v>
      </c>
      <c r="L3240" s="16">
        <v>357</v>
      </c>
      <c r="M3240" s="16">
        <v>291</v>
      </c>
      <c r="N3240" s="16">
        <v>4</v>
      </c>
      <c r="O3240" s="17"/>
      <c r="P3240" s="18">
        <v>40698.109849537039</v>
      </c>
      <c r="Q3240" s="7" t="s">
        <v>1748</v>
      </c>
      <c r="R3240" s="7" t="s">
        <v>18232</v>
      </c>
      <c r="S3240" s="14" t="s">
        <v>18233</v>
      </c>
      <c r="T3240" s="8"/>
      <c r="U3240" s="19" t="str">
        <f>HYPERLINK("https://pbs.twimg.com/profile_images/1156643271130648576/C4WwRic2.jpg","View")</f>
        <v>View</v>
      </c>
      <c r="V3240" s="8"/>
      <c r="W3240" s="8"/>
      <c r="X3240" s="8"/>
      <c r="Y3240" s="8"/>
      <c r="Z3240" s="8"/>
    </row>
    <row r="3241" spans="1:26" ht="12.75">
      <c r="A3241" s="11">
        <v>43747.164756944447</v>
      </c>
      <c r="B3241" s="12" t="str">
        <f>HYPERLINK("https://twitter.com/Arda23997767","@Arda23997767")</f>
        <v>@Arda23997767</v>
      </c>
      <c r="C3241" s="7" t="s">
        <v>18234</v>
      </c>
      <c r="D3241" s="7" t="s">
        <v>9777</v>
      </c>
      <c r="E3241" s="12" t="str">
        <f>HYPERLINK("https://twitter.com/Arda23997767/status/1181886334350364672","1181886334350364672")</f>
        <v>1181886334350364672</v>
      </c>
      <c r="F3241" s="8"/>
      <c r="G3241" s="15"/>
      <c r="H3241" s="8"/>
      <c r="I3241" s="15">
        <v>0</v>
      </c>
      <c r="J3241" s="15">
        <v>1</v>
      </c>
      <c r="K3241" s="12" t="str">
        <f>HYPERLINK("http://twitter.com/download/android","Twitter for Android")</f>
        <v>Twitter for Android</v>
      </c>
      <c r="L3241" s="16">
        <v>1</v>
      </c>
      <c r="M3241" s="16">
        <v>15</v>
      </c>
      <c r="N3241" s="16">
        <v>0</v>
      </c>
      <c r="O3241" s="17"/>
      <c r="P3241" s="18">
        <v>43688.484583333338</v>
      </c>
      <c r="Q3241" s="7"/>
      <c r="R3241" s="7"/>
      <c r="S3241" s="15"/>
      <c r="T3241" s="8"/>
      <c r="U3241" s="19" t="str">
        <f>HYPERLINK("https://pbs.twimg.com/profile_images/1163400858647834626/ymFyuc6_.jpg","View")</f>
        <v>View</v>
      </c>
      <c r="V3241" s="8"/>
      <c r="W3241" s="8"/>
      <c r="X3241" s="8"/>
      <c r="Y3241" s="8"/>
      <c r="Z3241" s="8"/>
    </row>
    <row r="3242" spans="1:26" ht="12.75">
      <c r="A3242" s="11">
        <v>43747.164722222224</v>
      </c>
      <c r="B3242" s="12" t="str">
        <f>HYPERLINK("https://twitter.com/turanersin67","@turanersin67")</f>
        <v>@turanersin67</v>
      </c>
      <c r="C3242" s="7" t="s">
        <v>18235</v>
      </c>
      <c r="D3242" s="7" t="s">
        <v>18236</v>
      </c>
      <c r="E3242" s="12" t="str">
        <f>HYPERLINK("https://twitter.com/turanersin67/status/1181886321276665858","1181886321276665858")</f>
        <v>1181886321276665858</v>
      </c>
      <c r="F3242" s="8"/>
      <c r="G3242" s="14" t="s">
        <v>18237</v>
      </c>
      <c r="H3242" s="8"/>
      <c r="I3242" s="15">
        <v>0</v>
      </c>
      <c r="J3242" s="15">
        <v>1</v>
      </c>
      <c r="K3242" s="12" t="str">
        <f>HYPERLINK("http://twitter.com/download/iphone","Twitter for iPhone")</f>
        <v>Twitter for iPhone</v>
      </c>
      <c r="L3242" s="16">
        <v>235</v>
      </c>
      <c r="M3242" s="16">
        <v>168</v>
      </c>
      <c r="N3242" s="16">
        <v>1</v>
      </c>
      <c r="O3242" s="17"/>
      <c r="P3242" s="18">
        <v>42376.227476851855</v>
      </c>
      <c r="Q3242" s="7" t="s">
        <v>200</v>
      </c>
      <c r="R3242" s="7" t="s">
        <v>18238</v>
      </c>
      <c r="S3242" s="14" t="s">
        <v>18239</v>
      </c>
      <c r="T3242" s="8"/>
      <c r="U3242" s="19" t="str">
        <f>HYPERLINK("https://pbs.twimg.com/profile_images/1151876439886761984/2ry2Rp95.jpg","View")</f>
        <v>View</v>
      </c>
      <c r="V3242" s="8"/>
      <c r="W3242" s="8"/>
      <c r="X3242" s="8"/>
      <c r="Y3242" s="8"/>
      <c r="Z3242" s="8"/>
    </row>
    <row r="3243" spans="1:26" ht="12.75">
      <c r="A3243" s="11">
        <v>43747.16469907407</v>
      </c>
      <c r="B3243" s="12" t="str">
        <f>HYPERLINK("https://twitter.com/Mert55Bolat","@Mert55Bolat")</f>
        <v>@Mert55Bolat</v>
      </c>
      <c r="C3243" s="7" t="s">
        <v>18240</v>
      </c>
      <c r="D3243" s="7" t="s">
        <v>4284</v>
      </c>
      <c r="E3243" s="12" t="str">
        <f>HYPERLINK("https://twitter.com/Mert55Bolat/status/1181886315887042560","1181886315887042560")</f>
        <v>1181886315887042560</v>
      </c>
      <c r="F3243" s="8"/>
      <c r="G3243" s="15"/>
      <c r="H3243" s="8"/>
      <c r="I3243" s="15">
        <v>0</v>
      </c>
      <c r="J3243" s="15">
        <v>1</v>
      </c>
      <c r="K3243" s="12" t="str">
        <f>HYPERLINK("http://twitter.com/download/android","Twitter for Android")</f>
        <v>Twitter for Android</v>
      </c>
      <c r="L3243" s="16">
        <v>87</v>
      </c>
      <c r="M3243" s="16">
        <v>73</v>
      </c>
      <c r="N3243" s="16">
        <v>0</v>
      </c>
      <c r="O3243" s="17"/>
      <c r="P3243" s="18">
        <v>41564.35496527778</v>
      </c>
      <c r="Q3243" s="7" t="s">
        <v>200</v>
      </c>
      <c r="R3243" s="7"/>
      <c r="S3243" s="14" t="s">
        <v>18241</v>
      </c>
      <c r="T3243" s="8"/>
      <c r="U3243" s="19" t="str">
        <f>HYPERLINK("https://pbs.twimg.com/profile_images/1038465456192057349/NC7-4Eaa.jpg","View")</f>
        <v>View</v>
      </c>
      <c r="V3243" s="8"/>
      <c r="W3243" s="8"/>
      <c r="X3243" s="8"/>
      <c r="Y3243" s="8"/>
      <c r="Z3243" s="8"/>
    </row>
    <row r="3244" spans="1:26" ht="12.75">
      <c r="A3244" s="11">
        <v>43747.164675925931</v>
      </c>
      <c r="B3244" s="12" t="str">
        <f>HYPERLINK("https://twitter.com/dr3nalin","@dr3nalin")</f>
        <v>@dr3nalin</v>
      </c>
      <c r="C3244" s="7" t="s">
        <v>18242</v>
      </c>
      <c r="D3244" s="7" t="s">
        <v>18243</v>
      </c>
      <c r="E3244" s="12" t="str">
        <f>HYPERLINK("https://twitter.com/dr3nalin/status/1181886307003449344","1181886307003449344")</f>
        <v>1181886307003449344</v>
      </c>
      <c r="F3244" s="8"/>
      <c r="G3244" s="7"/>
      <c r="H3244" s="8"/>
      <c r="I3244" s="15">
        <v>0</v>
      </c>
      <c r="J3244" s="15">
        <v>1</v>
      </c>
      <c r="K3244" s="12" t="str">
        <f>HYPERLINK("http://twitter.com/download/android","Twitter for Android")</f>
        <v>Twitter for Android</v>
      </c>
      <c r="L3244" s="16">
        <v>190</v>
      </c>
      <c r="M3244" s="16">
        <v>1037</v>
      </c>
      <c r="N3244" s="16">
        <v>0</v>
      </c>
      <c r="O3244" s="17"/>
      <c r="P3244" s="18">
        <v>41671.236967592595</v>
      </c>
      <c r="Q3244" s="7"/>
      <c r="R3244" s="7"/>
      <c r="S3244" s="8"/>
      <c r="T3244" s="8"/>
      <c r="U3244" s="19" t="str">
        <f>HYPERLINK("https://pbs.twimg.com/profile_images/960201243435126784/ebUZXZ4z.jpg","View")</f>
        <v>View</v>
      </c>
      <c r="V3244" s="8"/>
      <c r="W3244" s="8"/>
      <c r="X3244" s="8"/>
      <c r="Y3244" s="8"/>
      <c r="Z3244" s="8"/>
    </row>
    <row r="3245" spans="1:26" ht="12.75">
      <c r="A3245" s="11">
        <v>43747.164664351847</v>
      </c>
      <c r="B3245" s="12" t="str">
        <f>HYPERLINK("https://twitter.com/serhathelaloglu","@serhathelaloglu")</f>
        <v>@serhathelaloglu</v>
      </c>
      <c r="C3245" s="7" t="s">
        <v>18244</v>
      </c>
      <c r="D3245" s="7" t="s">
        <v>18245</v>
      </c>
      <c r="E3245" s="12" t="str">
        <f>HYPERLINK("https://twitter.com/serhathelaloglu/status/1181886302087720961","1181886302087720961")</f>
        <v>1181886302087720961</v>
      </c>
      <c r="F3245" s="8"/>
      <c r="G3245" s="14" t="s">
        <v>18246</v>
      </c>
      <c r="H3245" s="8"/>
      <c r="I3245" s="15">
        <v>0</v>
      </c>
      <c r="J3245" s="15">
        <v>2</v>
      </c>
      <c r="K3245" s="12" t="str">
        <f>HYPERLINK("http://twitter.com/download/iphone","Twitter for iPhone")</f>
        <v>Twitter for iPhone</v>
      </c>
      <c r="L3245" s="16">
        <v>189</v>
      </c>
      <c r="M3245" s="16">
        <v>432</v>
      </c>
      <c r="N3245" s="16">
        <v>0</v>
      </c>
      <c r="O3245" s="17"/>
      <c r="P3245" s="18">
        <v>42927.640509259261</v>
      </c>
      <c r="Q3245" s="7" t="s">
        <v>313</v>
      </c>
      <c r="R3245" s="7" t="s">
        <v>18247</v>
      </c>
      <c r="S3245" s="8"/>
      <c r="T3245" s="8"/>
      <c r="U3245" s="19" t="str">
        <f>HYPERLINK("https://pbs.twimg.com/profile_images/1169199984148963328/4MXpnxnE.jpg","View")</f>
        <v>View</v>
      </c>
      <c r="V3245" s="8"/>
      <c r="W3245" s="8"/>
      <c r="X3245" s="8"/>
      <c r="Y3245" s="8"/>
      <c r="Z3245" s="8"/>
    </row>
    <row r="3246" spans="1:26" ht="12.75">
      <c r="A3246" s="11">
        <v>43747.164652777778</v>
      </c>
      <c r="B3246" s="12" t="str">
        <f>HYPERLINK("https://twitter.com/AyburakTumer","@AyburakTumer")</f>
        <v>@AyburakTumer</v>
      </c>
      <c r="C3246" s="7" t="s">
        <v>18248</v>
      </c>
      <c r="D3246" s="7" t="s">
        <v>18249</v>
      </c>
      <c r="E3246" s="12" t="str">
        <f>HYPERLINK("https://twitter.com/AyburakTumer/status/1181886297406873600","1181886297406873600")</f>
        <v>1181886297406873600</v>
      </c>
      <c r="F3246" s="8"/>
      <c r="G3246" s="7"/>
      <c r="H3246" s="8"/>
      <c r="I3246" s="15">
        <v>0</v>
      </c>
      <c r="J3246" s="15">
        <v>1</v>
      </c>
      <c r="K3246" s="12" t="str">
        <f>HYPERLINK("http://twitter.com","Twitter Web Client")</f>
        <v>Twitter Web Client</v>
      </c>
      <c r="L3246" s="16">
        <v>7</v>
      </c>
      <c r="M3246" s="16">
        <v>0</v>
      </c>
      <c r="N3246" s="16">
        <v>0</v>
      </c>
      <c r="O3246" s="17"/>
      <c r="P3246" s="18">
        <v>43668.95820601852</v>
      </c>
      <c r="Q3246" s="7" t="s">
        <v>16777</v>
      </c>
      <c r="R3246" s="7" t="s">
        <v>18250</v>
      </c>
      <c r="S3246" s="8"/>
      <c r="T3246" s="8"/>
      <c r="U3246" s="19" t="str">
        <f>HYPERLINK("https://pbs.twimg.com/profile_images/1153754186443644932/er7d9jjW.jpg","View")</f>
        <v>View</v>
      </c>
      <c r="V3246" s="8"/>
      <c r="W3246" s="8"/>
      <c r="X3246" s="8"/>
      <c r="Y3246" s="8"/>
      <c r="Z3246" s="8"/>
    </row>
    <row r="3247" spans="1:26" ht="12.75">
      <c r="A3247" s="11">
        <v>43747.164641203708</v>
      </c>
      <c r="B3247" s="12" t="str">
        <f>HYPERLINK("https://twitter.com/abdslm_kurt","@abdslm_kurt")</f>
        <v>@abdslm_kurt</v>
      </c>
      <c r="C3247" s="7" t="s">
        <v>18251</v>
      </c>
      <c r="D3247" s="7" t="s">
        <v>160</v>
      </c>
      <c r="E3247" s="12" t="str">
        <f>HYPERLINK("https://twitter.com/abdslm_kurt/status/1181886292411473920","1181886292411473920")</f>
        <v>1181886292411473920</v>
      </c>
      <c r="F3247" s="8"/>
      <c r="G3247" s="7"/>
      <c r="H3247" s="8"/>
      <c r="I3247" s="15">
        <v>0</v>
      </c>
      <c r="J3247" s="15">
        <v>2</v>
      </c>
      <c r="K3247" s="12" t="str">
        <f>HYPERLINK("http://twitter.com/download/iphone","Twitter for iPhone")</f>
        <v>Twitter for iPhone</v>
      </c>
      <c r="L3247" s="16">
        <v>1272</v>
      </c>
      <c r="M3247" s="16">
        <v>283</v>
      </c>
      <c r="N3247" s="16">
        <v>2</v>
      </c>
      <c r="O3247" s="17"/>
      <c r="P3247" s="18">
        <v>42525.187928240739</v>
      </c>
      <c r="Q3247" s="7" t="s">
        <v>18252</v>
      </c>
      <c r="R3247" s="7" t="s">
        <v>18253</v>
      </c>
      <c r="S3247" s="14" t="s">
        <v>18254</v>
      </c>
      <c r="T3247" s="8"/>
      <c r="U3247" s="19" t="str">
        <f>HYPERLINK("https://pbs.twimg.com/profile_images/1160403194536767488/I0rtntbB.jpg","View")</f>
        <v>View</v>
      </c>
      <c r="V3247" s="8"/>
      <c r="W3247" s="8"/>
      <c r="X3247" s="8"/>
      <c r="Y3247" s="8"/>
      <c r="Z3247" s="8"/>
    </row>
    <row r="3248" spans="1:26" ht="12.75">
      <c r="A3248" s="11">
        <v>43747.164571759262</v>
      </c>
      <c r="B3248" s="12" t="str">
        <f>HYPERLINK("https://twitter.com/gamzegamzeli06","@gamzegamzeli06")</f>
        <v>@gamzegamzeli06</v>
      </c>
      <c r="C3248" s="7" t="s">
        <v>18255</v>
      </c>
      <c r="D3248" s="7" t="s">
        <v>18256</v>
      </c>
      <c r="E3248" s="12" t="str">
        <f>HYPERLINK("https://twitter.com/gamzegamzeli06/status/1181886267199561728","1181886267199561728")</f>
        <v>1181886267199561728</v>
      </c>
      <c r="F3248" s="8"/>
      <c r="G3248" s="14" t="s">
        <v>18257</v>
      </c>
      <c r="H3248" s="8"/>
      <c r="I3248" s="15">
        <v>0</v>
      </c>
      <c r="J3248" s="15">
        <v>3</v>
      </c>
      <c r="K3248" s="12" t="str">
        <f>HYPERLINK("http://twitter.com/download/android","Twitter for Android")</f>
        <v>Twitter for Android</v>
      </c>
      <c r="L3248" s="16">
        <v>96</v>
      </c>
      <c r="M3248" s="16">
        <v>27</v>
      </c>
      <c r="N3248" s="16">
        <v>0</v>
      </c>
      <c r="O3248" s="17"/>
      <c r="P3248" s="18">
        <v>43504.294363425928</v>
      </c>
      <c r="Q3248" s="7" t="s">
        <v>287</v>
      </c>
      <c r="R3248" s="7" t="s">
        <v>18258</v>
      </c>
      <c r="S3248" s="8"/>
      <c r="T3248" s="8"/>
      <c r="U3248" s="19" t="str">
        <f>HYPERLINK("https://pbs.twimg.com/profile_images/1180482934689673216/UCFVosaY.jpg","View")</f>
        <v>View</v>
      </c>
      <c r="V3248" s="8"/>
      <c r="W3248" s="8"/>
      <c r="X3248" s="8"/>
      <c r="Y3248" s="8"/>
      <c r="Z3248" s="8"/>
    </row>
    <row r="3249" spans="1:26" ht="12.75">
      <c r="A3249" s="11">
        <v>43747.164560185185</v>
      </c>
      <c r="B3249" s="12" t="str">
        <f>HYPERLINK("https://twitter.com/_filiz_ce","@_filiz_ce")</f>
        <v>@_filiz_ce</v>
      </c>
      <c r="C3249" s="7" t="s">
        <v>18259</v>
      </c>
      <c r="D3249" s="7" t="s">
        <v>18260</v>
      </c>
      <c r="E3249" s="12" t="str">
        <f>HYPERLINK("https://twitter.com/_filiz_ce/status/1181886265794408448","1181886265794408448")</f>
        <v>1181886265794408448</v>
      </c>
      <c r="F3249" s="8"/>
      <c r="G3249" s="14" t="s">
        <v>18261</v>
      </c>
      <c r="H3249" s="8"/>
      <c r="I3249" s="15">
        <v>23</v>
      </c>
      <c r="J3249" s="15">
        <v>41</v>
      </c>
      <c r="K3249" s="12" t="str">
        <f>HYPERLINK("http://twitter.com/download/android","Twitter for Android")</f>
        <v>Twitter for Android</v>
      </c>
      <c r="L3249" s="16">
        <v>7628</v>
      </c>
      <c r="M3249" s="16">
        <v>597</v>
      </c>
      <c r="N3249" s="16">
        <v>27</v>
      </c>
      <c r="O3249" s="17"/>
      <c r="P3249" s="18">
        <v>41651.605428240742</v>
      </c>
      <c r="Q3249" s="7" t="s">
        <v>18262</v>
      </c>
      <c r="R3249" s="7" t="s">
        <v>18263</v>
      </c>
      <c r="S3249" s="8"/>
      <c r="T3249" s="8"/>
      <c r="U3249" s="19" t="str">
        <f>HYPERLINK("https://pbs.twimg.com/profile_images/1157475327725244423/y1k1zHnt.jpg","View")</f>
        <v>View</v>
      </c>
      <c r="V3249" s="8"/>
      <c r="W3249" s="8"/>
      <c r="X3249" s="8"/>
      <c r="Y3249" s="8"/>
      <c r="Z3249" s="8"/>
    </row>
    <row r="3250" spans="1:26" ht="12.75">
      <c r="A3250" s="11">
        <v>43747.164525462962</v>
      </c>
      <c r="B3250" s="12" t="str">
        <f>HYPERLINK("https://twitter.com/SafaHa_","@SafaHa_")</f>
        <v>@SafaHa_</v>
      </c>
      <c r="C3250" s="7" t="s">
        <v>18264</v>
      </c>
      <c r="D3250" s="7" t="s">
        <v>18265</v>
      </c>
      <c r="E3250" s="12" t="str">
        <f>HYPERLINK("https://twitter.com/SafaHa_/status/1181886250292273160","1181886250292273160")</f>
        <v>1181886250292273160</v>
      </c>
      <c r="F3250" s="8"/>
      <c r="G3250" s="7"/>
      <c r="H3250" s="8"/>
      <c r="I3250" s="15">
        <v>0</v>
      </c>
      <c r="J3250" s="15">
        <v>1</v>
      </c>
      <c r="K3250" s="12" t="str">
        <f>HYPERLINK("http://twitter.com/download/android","Twitter for Android")</f>
        <v>Twitter for Android</v>
      </c>
      <c r="L3250" s="16">
        <v>307</v>
      </c>
      <c r="M3250" s="16">
        <v>74</v>
      </c>
      <c r="N3250" s="16">
        <v>1</v>
      </c>
      <c r="O3250" s="17"/>
      <c r="P3250" s="18">
        <v>40422.539872685185</v>
      </c>
      <c r="Q3250" s="7"/>
      <c r="R3250" s="7" t="s">
        <v>18266</v>
      </c>
      <c r="S3250" s="8"/>
      <c r="T3250" s="8"/>
      <c r="U3250" s="19" t="str">
        <f>HYPERLINK("https://pbs.twimg.com/profile_images/1177689004604571649/BQDbeCtD.jpg","View")</f>
        <v>View</v>
      </c>
      <c r="V3250" s="8"/>
      <c r="W3250" s="8"/>
      <c r="X3250" s="8"/>
      <c r="Y3250" s="8"/>
      <c r="Z3250" s="8"/>
    </row>
    <row r="3251" spans="1:26" ht="12.75">
      <c r="A3251" s="11">
        <v>43747.164513888885</v>
      </c>
      <c r="B3251" s="12" t="str">
        <f>HYPERLINK("https://twitter.com/muhammed_cerci","@muhammed_cerci")</f>
        <v>@muhammed_cerci</v>
      </c>
      <c r="C3251" s="7" t="s">
        <v>18267</v>
      </c>
      <c r="D3251" s="7" t="s">
        <v>160</v>
      </c>
      <c r="E3251" s="12" t="str">
        <f>HYPERLINK("https://twitter.com/muhammed_cerci/status/1181886248396435457","1181886248396435457")</f>
        <v>1181886248396435457</v>
      </c>
      <c r="F3251" s="8"/>
      <c r="G3251" s="14" t="s">
        <v>18268</v>
      </c>
      <c r="H3251" s="8"/>
      <c r="I3251" s="15">
        <v>0</v>
      </c>
      <c r="J3251" s="15">
        <v>0</v>
      </c>
      <c r="K3251" s="12" t="str">
        <f>HYPERLINK("http://twitter.com/download/android","Twitter for Android")</f>
        <v>Twitter for Android</v>
      </c>
      <c r="L3251" s="16">
        <v>90</v>
      </c>
      <c r="M3251" s="16">
        <v>304</v>
      </c>
      <c r="N3251" s="16">
        <v>0</v>
      </c>
      <c r="O3251" s="17"/>
      <c r="P3251" s="18">
        <v>43461.295451388884</v>
      </c>
      <c r="Q3251" s="7" t="s">
        <v>200</v>
      </c>
      <c r="R3251" s="7" t="s">
        <v>18269</v>
      </c>
      <c r="S3251" s="8"/>
      <c r="T3251" s="8"/>
      <c r="U3251" s="19" t="str">
        <f>HYPERLINK("https://pbs.twimg.com/profile_images/1166329536457449478/NgCX__ZX.jpg","View")</f>
        <v>View</v>
      </c>
      <c r="V3251" s="8"/>
      <c r="W3251" s="8"/>
      <c r="X3251" s="8"/>
      <c r="Y3251" s="8"/>
      <c r="Z3251" s="8"/>
    </row>
    <row r="3252" spans="1:26" ht="12.75">
      <c r="A3252" s="11">
        <v>43747.164444444439</v>
      </c>
      <c r="B3252" s="12" t="str">
        <f>HYPERLINK("https://twitter.com/RT_Deniz44_","@RT_Deniz44_")</f>
        <v>@RT_Deniz44_</v>
      </c>
      <c r="C3252" s="7" t="s">
        <v>18270</v>
      </c>
      <c r="D3252" s="7" t="s">
        <v>18271</v>
      </c>
      <c r="E3252" s="12" t="str">
        <f>HYPERLINK("https://twitter.com/RT_Deniz44_/status/1181886221812932608","1181886221812932608")</f>
        <v>1181886221812932608</v>
      </c>
      <c r="F3252" s="8"/>
      <c r="G3252" s="14" t="s">
        <v>18272</v>
      </c>
      <c r="H3252" s="8"/>
      <c r="I3252" s="15">
        <v>1</v>
      </c>
      <c r="J3252" s="15">
        <v>2</v>
      </c>
      <c r="K3252" s="12" t="str">
        <f>HYPERLINK("http://twitter.com/download/android","Twitter for Android")</f>
        <v>Twitter for Android</v>
      </c>
      <c r="L3252" s="16">
        <v>5527</v>
      </c>
      <c r="M3252" s="16">
        <v>2344</v>
      </c>
      <c r="N3252" s="16">
        <v>10</v>
      </c>
      <c r="O3252" s="17"/>
      <c r="P3252" s="18">
        <v>42884.109907407408</v>
      </c>
      <c r="Q3252" s="7" t="s">
        <v>18273</v>
      </c>
      <c r="R3252" s="7" t="s">
        <v>18274</v>
      </c>
      <c r="S3252" s="8"/>
      <c r="T3252" s="8"/>
      <c r="U3252" s="19" t="str">
        <f>HYPERLINK("https://pbs.twimg.com/profile_images/940906894180405249/6Icbg0gr.jpg","View")</f>
        <v>View</v>
      </c>
      <c r="V3252" s="8"/>
      <c r="W3252" s="8"/>
      <c r="X3252" s="8"/>
      <c r="Y3252" s="8"/>
      <c r="Z3252" s="8"/>
    </row>
    <row r="3253" spans="1:26" ht="12.75">
      <c r="A3253" s="11">
        <v>43747.16443287037</v>
      </c>
      <c r="B3253" s="12" t="str">
        <f>HYPERLINK("https://twitter.com/mstfsarky","@mstfsarky")</f>
        <v>@mstfsarky</v>
      </c>
      <c r="C3253" s="7" t="s">
        <v>18275</v>
      </c>
      <c r="D3253" s="7" t="s">
        <v>18276</v>
      </c>
      <c r="E3253" s="12" t="str">
        <f>HYPERLINK("https://twitter.com/mstfsarky/status/1181886219900395520","1181886219900395520")</f>
        <v>1181886219900395520</v>
      </c>
      <c r="F3253" s="8"/>
      <c r="G3253" s="7"/>
      <c r="H3253" s="8"/>
      <c r="I3253" s="15">
        <v>0</v>
      </c>
      <c r="J3253" s="15">
        <v>2</v>
      </c>
      <c r="K3253" s="12" t="str">
        <f>HYPERLINK("http://twitter.com/download/android","Twitter for Android")</f>
        <v>Twitter for Android</v>
      </c>
      <c r="L3253" s="16">
        <v>172</v>
      </c>
      <c r="M3253" s="16">
        <v>225</v>
      </c>
      <c r="N3253" s="16">
        <v>0</v>
      </c>
      <c r="O3253" s="17"/>
      <c r="P3253" s="18">
        <v>43430.254247685181</v>
      </c>
      <c r="Q3253" s="7" t="s">
        <v>18277</v>
      </c>
      <c r="R3253" s="7" t="s">
        <v>18278</v>
      </c>
      <c r="S3253" s="14" t="s">
        <v>18279</v>
      </c>
      <c r="T3253" s="8"/>
      <c r="U3253" s="19" t="str">
        <f>HYPERLINK("https://pbs.twimg.com/profile_images/1181671950877364224/J_B_3CXd.png","View")</f>
        <v>View</v>
      </c>
      <c r="V3253" s="8"/>
      <c r="W3253" s="8"/>
      <c r="X3253" s="8"/>
      <c r="Y3253" s="8"/>
      <c r="Z3253" s="8"/>
    </row>
    <row r="3254" spans="1:26" ht="12.75">
      <c r="A3254" s="11">
        <v>43747.164409722223</v>
      </c>
      <c r="B3254" s="12" t="str">
        <f>HYPERLINK("https://twitter.com/epica06","@epica06")</f>
        <v>@epica06</v>
      </c>
      <c r="C3254" s="7" t="s">
        <v>18280</v>
      </c>
      <c r="D3254" s="7" t="s">
        <v>18281</v>
      </c>
      <c r="E3254" s="12" t="str">
        <f>HYPERLINK("https://twitter.com/epica06/status/1181886209066446848","1181886209066446848")</f>
        <v>1181886209066446848</v>
      </c>
      <c r="F3254" s="8" t="s">
        <v>18282</v>
      </c>
      <c r="G3254" s="15"/>
      <c r="H3254" s="8"/>
      <c r="I3254" s="15">
        <v>0</v>
      </c>
      <c r="J3254" s="15">
        <v>1</v>
      </c>
      <c r="K3254" s="12" t="str">
        <f>HYPERLINK("http://twitter.com/download/android","Twitter for Android")</f>
        <v>Twitter for Android</v>
      </c>
      <c r="L3254" s="16">
        <v>1305</v>
      </c>
      <c r="M3254" s="16">
        <v>1510</v>
      </c>
      <c r="N3254" s="16">
        <v>0</v>
      </c>
      <c r="O3254" s="17"/>
      <c r="P3254" s="18">
        <v>43471.090578703705</v>
      </c>
      <c r="Q3254" s="7"/>
      <c r="R3254" s="7" t="s">
        <v>18283</v>
      </c>
      <c r="S3254" s="15"/>
      <c r="T3254" s="8"/>
      <c r="U3254" s="19" t="str">
        <f>HYPERLINK("https://pbs.twimg.com/profile_images/1179896171311095809/l0jV8lUn.jpg","View")</f>
        <v>View</v>
      </c>
      <c r="V3254" s="8"/>
      <c r="W3254" s="8"/>
      <c r="X3254" s="8"/>
      <c r="Y3254" s="8"/>
      <c r="Z3254" s="8"/>
    </row>
    <row r="3255" spans="1:26" ht="12.75">
      <c r="A3255" s="11">
        <v>43747.1643287037</v>
      </c>
      <c r="B3255" s="12" t="str">
        <f>HYPERLINK("https://twitter.com/taner_z","@taner_z")</f>
        <v>@taner_z</v>
      </c>
      <c r="C3255" s="7" t="s">
        <v>18284</v>
      </c>
      <c r="D3255" s="7" t="s">
        <v>18285</v>
      </c>
      <c r="E3255" s="12" t="str">
        <f>HYPERLINK("https://twitter.com/taner_z/status/1181886181736407040","1181886181736407040")</f>
        <v>1181886181736407040</v>
      </c>
      <c r="F3255" s="8"/>
      <c r="G3255" s="15"/>
      <c r="H3255" s="8"/>
      <c r="I3255" s="15">
        <v>0</v>
      </c>
      <c r="J3255" s="15">
        <v>0</v>
      </c>
      <c r="K3255" s="12" t="str">
        <f>HYPERLINK("http://twitter.com/download/android","Twitter for Android")</f>
        <v>Twitter for Android</v>
      </c>
      <c r="L3255" s="16">
        <v>496</v>
      </c>
      <c r="M3255" s="16">
        <v>486</v>
      </c>
      <c r="N3255" s="16">
        <v>0</v>
      </c>
      <c r="O3255" s="17"/>
      <c r="P3255" s="18">
        <v>41009.671261574076</v>
      </c>
      <c r="Q3255" s="7" t="s">
        <v>4449</v>
      </c>
      <c r="R3255" s="7" t="s">
        <v>18286</v>
      </c>
      <c r="S3255" s="8"/>
      <c r="T3255" s="8"/>
      <c r="U3255" s="19" t="str">
        <f>HYPERLINK("https://pbs.twimg.com/profile_images/1152148815509676032/KVnMCbrQ.jpg","View")</f>
        <v>View</v>
      </c>
      <c r="V3255" s="8"/>
      <c r="W3255" s="8"/>
      <c r="X3255" s="8"/>
      <c r="Y3255" s="8"/>
      <c r="Z3255" s="8"/>
    </row>
    <row r="3256" spans="1:26" ht="12.75">
      <c r="A3256" s="11">
        <v>43747.164270833338</v>
      </c>
      <c r="B3256" s="12" t="str">
        <f>HYPERLINK("https://twitter.com/PTALP","@PTALP")</f>
        <v>@PTALP</v>
      </c>
      <c r="C3256" s="7" t="s">
        <v>18287</v>
      </c>
      <c r="D3256" s="7" t="s">
        <v>18288</v>
      </c>
      <c r="E3256" s="12" t="str">
        <f>HYPERLINK("https://twitter.com/PTALP/status/1181886159489773569","1181886159489773569")</f>
        <v>1181886159489773569</v>
      </c>
      <c r="F3256" s="8"/>
      <c r="G3256" s="7"/>
      <c r="H3256" s="8"/>
      <c r="I3256" s="15">
        <v>0</v>
      </c>
      <c r="J3256" s="15">
        <v>2</v>
      </c>
      <c r="K3256" s="12" t="str">
        <f>HYPERLINK("http://twitter.com/download/android","Twitter for Android")</f>
        <v>Twitter for Android</v>
      </c>
      <c r="L3256" s="16">
        <v>781</v>
      </c>
      <c r="M3256" s="16">
        <v>113</v>
      </c>
      <c r="N3256" s="16">
        <v>0</v>
      </c>
      <c r="O3256" s="17"/>
      <c r="P3256" s="18">
        <v>40958.517013888893</v>
      </c>
      <c r="Q3256" s="7"/>
      <c r="R3256" s="7"/>
      <c r="S3256" s="15"/>
      <c r="T3256" s="8"/>
      <c r="U3256" s="19" t="str">
        <f>HYPERLINK("https://pbs.twimg.com/profile_images/1006652984242130945/U2agy4aW.jpg","View")</f>
        <v>View</v>
      </c>
      <c r="V3256" s="8"/>
      <c r="W3256" s="8"/>
      <c r="X3256" s="8"/>
      <c r="Y3256" s="8"/>
      <c r="Z3256" s="8"/>
    </row>
    <row r="3257" spans="1:26" ht="12.75">
      <c r="A3257" s="11">
        <v>43747.164108796293</v>
      </c>
      <c r="B3257" s="12" t="str">
        <f>HYPERLINK("https://twitter.com/cneminemcn","@cneminemcn")</f>
        <v>@cneminemcn</v>
      </c>
      <c r="C3257" s="7" t="s">
        <v>18289</v>
      </c>
      <c r="D3257" s="7" t="s">
        <v>18290</v>
      </c>
      <c r="E3257" s="12" t="str">
        <f>HYPERLINK("https://twitter.com/cneminemcn/status/1181886102786887680","1181886102786887680")</f>
        <v>1181886102786887680</v>
      </c>
      <c r="F3257" s="8"/>
      <c r="G3257" s="7"/>
      <c r="H3257" s="8"/>
      <c r="I3257" s="15">
        <v>0</v>
      </c>
      <c r="J3257" s="15">
        <v>0</v>
      </c>
      <c r="K3257" s="12" t="str">
        <f>HYPERLINK("http://twitter.com/download/android","Twitter for Android")</f>
        <v>Twitter for Android</v>
      </c>
      <c r="L3257" s="16">
        <v>463</v>
      </c>
      <c r="M3257" s="16">
        <v>61</v>
      </c>
      <c r="N3257" s="16">
        <v>2</v>
      </c>
      <c r="O3257" s="17"/>
      <c r="P3257" s="18">
        <v>40876.266365740739</v>
      </c>
      <c r="Q3257" s="7" t="s">
        <v>18291</v>
      </c>
      <c r="R3257" s="7" t="s">
        <v>18292</v>
      </c>
      <c r="S3257" s="8"/>
      <c r="T3257" s="8"/>
      <c r="U3257" s="19" t="str">
        <f>HYPERLINK("https://pbs.twimg.com/profile_images/1147814615008579584/7Ljmjja5.jpg","View")</f>
        <v>View</v>
      </c>
      <c r="V3257" s="8"/>
      <c r="W3257" s="8"/>
      <c r="X3257" s="8"/>
      <c r="Y3257" s="8"/>
      <c r="Z3257" s="8"/>
    </row>
    <row r="3258" spans="1:26" ht="12.75">
      <c r="A3258" s="11">
        <v>43747.164039351846</v>
      </c>
      <c r="B3258" s="12" t="str">
        <f>HYPERLINK("https://twitter.com/narcikaralp","@narcikaralp")</f>
        <v>@narcikaralp</v>
      </c>
      <c r="C3258" s="7" t="s">
        <v>18293</v>
      </c>
      <c r="D3258" s="7" t="s">
        <v>18294</v>
      </c>
      <c r="E3258" s="12" t="str">
        <f>HYPERLINK("https://twitter.com/narcikaralp/status/1181886075796688896","1181886075796688896")</f>
        <v>1181886075796688896</v>
      </c>
      <c r="F3258" s="8"/>
      <c r="G3258" s="7"/>
      <c r="H3258" s="8"/>
      <c r="I3258" s="15">
        <v>0</v>
      </c>
      <c r="J3258" s="15">
        <v>0</v>
      </c>
      <c r="K3258" s="12" t="str">
        <f>HYPERLINK("http://twitter.com/download/android","Twitter for Android")</f>
        <v>Twitter for Android</v>
      </c>
      <c r="L3258" s="16">
        <v>148</v>
      </c>
      <c r="M3258" s="16">
        <v>272</v>
      </c>
      <c r="N3258" s="16">
        <v>0</v>
      </c>
      <c r="O3258" s="17"/>
      <c r="P3258" s="18">
        <v>43324.566736111112</v>
      </c>
      <c r="Q3258" s="7" t="s">
        <v>80</v>
      </c>
      <c r="R3258" s="7" t="s">
        <v>18295</v>
      </c>
      <c r="S3258" s="14" t="s">
        <v>18296</v>
      </c>
      <c r="T3258" s="8"/>
      <c r="U3258" s="19" t="str">
        <f>HYPERLINK("https://pbs.twimg.com/profile_images/1146407851180605442/Kw0kwwfo.jpg","View")</f>
        <v>View</v>
      </c>
      <c r="V3258" s="8"/>
      <c r="W3258" s="8"/>
      <c r="X3258" s="8"/>
      <c r="Y3258" s="8"/>
      <c r="Z3258" s="8"/>
    </row>
    <row r="3259" spans="1:26" ht="12.75">
      <c r="A3259" s="11">
        <v>43747.163993055554</v>
      </c>
      <c r="B3259" s="12" t="str">
        <f>HYPERLINK("https://twitter.com/Bozkurt464","@Bozkurt464")</f>
        <v>@Bozkurt464</v>
      </c>
      <c r="C3259" s="7" t="s">
        <v>18297</v>
      </c>
      <c r="D3259" s="7" t="s">
        <v>18298</v>
      </c>
      <c r="E3259" s="12" t="str">
        <f>HYPERLINK("https://twitter.com/Bozkurt464/status/1181886057903734784","1181886057903734784")</f>
        <v>1181886057903734784</v>
      </c>
      <c r="F3259" s="8"/>
      <c r="G3259" s="15"/>
      <c r="H3259" s="8"/>
      <c r="I3259" s="15">
        <v>1</v>
      </c>
      <c r="J3259" s="15">
        <v>1</v>
      </c>
      <c r="K3259" s="12" t="str">
        <f>HYPERLINK("https://mobile.twitter.com","Twitter Web App")</f>
        <v>Twitter Web App</v>
      </c>
      <c r="L3259" s="16">
        <v>7</v>
      </c>
      <c r="M3259" s="16">
        <v>110</v>
      </c>
      <c r="N3259" s="16">
        <v>0</v>
      </c>
      <c r="O3259" s="17"/>
      <c r="P3259" s="18">
        <v>42892.517893518518</v>
      </c>
      <c r="Q3259" s="7"/>
      <c r="R3259" s="7"/>
      <c r="S3259" s="8"/>
      <c r="T3259" s="8"/>
      <c r="U3259" s="19" t="str">
        <f>HYPERLINK("https://pbs.twimg.com/profile_images/946460171169095682/W-xJvgkM.jpg","View")</f>
        <v>View</v>
      </c>
      <c r="V3259" s="8"/>
      <c r="W3259" s="8"/>
      <c r="X3259" s="8"/>
      <c r="Y3259" s="8"/>
      <c r="Z3259" s="8"/>
    </row>
    <row r="3260" spans="1:26" ht="12.75">
      <c r="A3260" s="11">
        <v>43747.163831018523</v>
      </c>
      <c r="B3260" s="12" t="str">
        <f>HYPERLINK("https://twitter.com/DemirGrafik","@DemirGrafik")</f>
        <v>@DemirGrafik</v>
      </c>
      <c r="C3260" s="7" t="s">
        <v>18299</v>
      </c>
      <c r="D3260" s="7" t="s">
        <v>18300</v>
      </c>
      <c r="E3260" s="12" t="str">
        <f>HYPERLINK("https://twitter.com/DemirGrafik/status/1181886000911572992","1181886000911572992")</f>
        <v>1181886000911572992</v>
      </c>
      <c r="F3260" s="8"/>
      <c r="G3260" s="7"/>
      <c r="H3260" s="8"/>
      <c r="I3260" s="15">
        <v>0</v>
      </c>
      <c r="J3260" s="15">
        <v>0</v>
      </c>
      <c r="K3260" s="12" t="str">
        <f>HYPERLINK("http://twitter.com/download/android","Twitter for Android")</f>
        <v>Twitter for Android</v>
      </c>
      <c r="L3260" s="16">
        <v>8</v>
      </c>
      <c r="M3260" s="16">
        <v>99</v>
      </c>
      <c r="N3260" s="16">
        <v>0</v>
      </c>
      <c r="O3260" s="17"/>
      <c r="P3260" s="18">
        <v>43744.422037037039</v>
      </c>
      <c r="Q3260" s="7" t="s">
        <v>313</v>
      </c>
      <c r="R3260" s="7" t="s">
        <v>18301</v>
      </c>
      <c r="S3260" s="8"/>
      <c r="T3260" s="8"/>
      <c r="U3260" s="19" t="str">
        <f>HYPERLINK("https://pbs.twimg.com/profile_images/1180894452396806144/rI7XnQh1.jpg","View")</f>
        <v>View</v>
      </c>
      <c r="V3260" s="8"/>
      <c r="W3260" s="8"/>
      <c r="X3260" s="8"/>
      <c r="Y3260" s="8"/>
      <c r="Z3260" s="8"/>
    </row>
    <row r="3261" spans="1:26" ht="12.75">
      <c r="A3261" s="11">
        <v>43747.163738425923</v>
      </c>
      <c r="B3261" s="12" t="str">
        <f>HYPERLINK("https://twitter.com/Sed_Aycan","@Sed_Aycan")</f>
        <v>@Sed_Aycan</v>
      </c>
      <c r="C3261" s="7" t="s">
        <v>18302</v>
      </c>
      <c r="D3261" s="7" t="s">
        <v>18303</v>
      </c>
      <c r="E3261" s="12" t="str">
        <f>HYPERLINK("https://twitter.com/Sed_Aycan/status/1181885965373251588","1181885965373251588")</f>
        <v>1181885965373251588</v>
      </c>
      <c r="F3261" s="14" t="s">
        <v>18304</v>
      </c>
      <c r="G3261" s="14" t="s">
        <v>5847</v>
      </c>
      <c r="H3261" s="8"/>
      <c r="I3261" s="15">
        <v>0</v>
      </c>
      <c r="J3261" s="15">
        <v>0</v>
      </c>
      <c r="K3261" s="12" t="str">
        <f>HYPERLINK("https://mobile.twitter.com","Twitter Web App")</f>
        <v>Twitter Web App</v>
      </c>
      <c r="L3261" s="16">
        <v>385</v>
      </c>
      <c r="M3261" s="16">
        <v>228</v>
      </c>
      <c r="N3261" s="16">
        <v>2</v>
      </c>
      <c r="O3261" s="17"/>
      <c r="P3261" s="18">
        <v>40856.423819444448</v>
      </c>
      <c r="Q3261" s="7" t="s">
        <v>18305</v>
      </c>
      <c r="R3261" s="7" t="s">
        <v>18306</v>
      </c>
      <c r="S3261" s="8"/>
      <c r="T3261" s="8"/>
      <c r="U3261" s="19" t="str">
        <f>HYPERLINK("https://pbs.twimg.com/profile_images/1138858290740436994/d0HxAxS5.png","View")</f>
        <v>View</v>
      </c>
      <c r="V3261" s="8"/>
      <c r="W3261" s="8"/>
      <c r="X3261" s="8"/>
      <c r="Y3261" s="8"/>
      <c r="Z3261" s="8"/>
    </row>
    <row r="3262" spans="1:26" ht="12.75">
      <c r="A3262" s="11">
        <v>43747.163726851853</v>
      </c>
      <c r="B3262" s="12" t="str">
        <f>HYPERLINK("https://twitter.com/AlbinaGorla","@AlbinaGorla")</f>
        <v>@AlbinaGorla</v>
      </c>
      <c r="C3262" s="7" t="s">
        <v>18307</v>
      </c>
      <c r="D3262" s="7" t="s">
        <v>18308</v>
      </c>
      <c r="E3262" s="12" t="str">
        <f>HYPERLINK("https://twitter.com/AlbinaGorla/status/1181885963515105280","1181885963515105280")</f>
        <v>1181885963515105280</v>
      </c>
      <c r="F3262" s="8"/>
      <c r="G3262" s="7"/>
      <c r="H3262" s="8"/>
      <c r="I3262" s="15">
        <v>0</v>
      </c>
      <c r="J3262" s="15">
        <v>0</v>
      </c>
      <c r="K3262" s="12" t="str">
        <f>HYPERLINK("http://twitter.com","Twitter Web Client")</f>
        <v>Twitter Web Client</v>
      </c>
      <c r="L3262" s="16">
        <v>5</v>
      </c>
      <c r="M3262" s="16">
        <v>0</v>
      </c>
      <c r="N3262" s="16">
        <v>0</v>
      </c>
      <c r="O3262" s="17"/>
      <c r="P3262" s="18">
        <v>43704.495474537034</v>
      </c>
      <c r="Q3262" s="7" t="s">
        <v>12326</v>
      </c>
      <c r="R3262" s="7" t="s">
        <v>18309</v>
      </c>
      <c r="S3262" s="8"/>
      <c r="T3262" s="8"/>
      <c r="U3262" s="19" t="str">
        <f>HYPERLINK("https://pbs.twimg.com/profile_images/1167223892869623809/qqp1-NzF.jpg","View")</f>
        <v>View</v>
      </c>
      <c r="V3262" s="8"/>
      <c r="W3262" s="8"/>
      <c r="X3262" s="8"/>
      <c r="Y3262" s="8"/>
      <c r="Z3262" s="8"/>
    </row>
    <row r="3263" spans="1:26" ht="12.75">
      <c r="A3263" s="11">
        <v>43747.163715277777</v>
      </c>
      <c r="B3263" s="12" t="str">
        <f>HYPERLINK("https://twitter.com/muhacirkizi9","@muhacirkizi9")</f>
        <v>@muhacirkizi9</v>
      </c>
      <c r="C3263" s="7" t="s">
        <v>18310</v>
      </c>
      <c r="D3263" s="7" t="s">
        <v>15830</v>
      </c>
      <c r="E3263" s="12" t="str">
        <f>HYPERLINK("https://twitter.com/muhacirkizi9/status/1181885959069224960","1181885959069224960")</f>
        <v>1181885959069224960</v>
      </c>
      <c r="F3263" s="8"/>
      <c r="G3263" s="14" t="s">
        <v>18311</v>
      </c>
      <c r="H3263" s="8"/>
      <c r="I3263" s="15">
        <v>0</v>
      </c>
      <c r="J3263" s="15">
        <v>1</v>
      </c>
      <c r="K3263" s="12" t="str">
        <f>HYPERLINK("http://twitter.com/download/android","Twitter for Android")</f>
        <v>Twitter for Android</v>
      </c>
      <c r="L3263" s="16">
        <v>33</v>
      </c>
      <c r="M3263" s="16">
        <v>101</v>
      </c>
      <c r="N3263" s="16">
        <v>0</v>
      </c>
      <c r="O3263" s="17"/>
      <c r="P3263" s="18">
        <v>43281.244895833333</v>
      </c>
      <c r="Q3263" s="7"/>
      <c r="R3263" s="7" t="s">
        <v>18312</v>
      </c>
      <c r="S3263" s="8"/>
      <c r="T3263" s="8"/>
      <c r="U3263" s="19" t="str">
        <f>HYPERLINK("https://pbs.twimg.com/profile_images/1165211414476328960/6wMZhZGR.jpg","View")</f>
        <v>View</v>
      </c>
      <c r="V3263" s="8"/>
      <c r="W3263" s="8"/>
      <c r="X3263" s="8"/>
      <c r="Y3263" s="8"/>
      <c r="Z3263" s="8"/>
    </row>
    <row r="3264" spans="1:26" ht="12.75">
      <c r="A3264" s="11">
        <v>43747.163715277777</v>
      </c>
      <c r="B3264" s="12" t="str">
        <f>HYPERLINK("https://twitter.com/gulserenyas","@gulserenyas")</f>
        <v>@gulserenyas</v>
      </c>
      <c r="C3264" s="7" t="s">
        <v>18313</v>
      </c>
      <c r="D3264" s="7" t="s">
        <v>18314</v>
      </c>
      <c r="E3264" s="12" t="str">
        <f>HYPERLINK("https://twitter.com/gulserenyas/status/1181885957420851200","1181885957420851200")</f>
        <v>1181885957420851200</v>
      </c>
      <c r="F3264" s="8"/>
      <c r="G3264" s="7"/>
      <c r="H3264" s="8"/>
      <c r="I3264" s="15">
        <v>0</v>
      </c>
      <c r="J3264" s="15">
        <v>1</v>
      </c>
      <c r="K3264" s="12" t="str">
        <f>HYPERLINK("http://twitter.com/download/iphone","Twitter for iPhone")</f>
        <v>Twitter for iPhone</v>
      </c>
      <c r="L3264" s="16">
        <v>901</v>
      </c>
      <c r="M3264" s="16">
        <v>1653</v>
      </c>
      <c r="N3264" s="16">
        <v>10</v>
      </c>
      <c r="O3264" s="17"/>
      <c r="P3264" s="18">
        <v>41153.445069444446</v>
      </c>
      <c r="Q3264" s="7"/>
      <c r="R3264" s="7" t="s">
        <v>18315</v>
      </c>
      <c r="S3264" s="8"/>
      <c r="T3264" s="8"/>
      <c r="U3264" s="19" t="str">
        <f>HYPERLINK("https://pbs.twimg.com/profile_images/1181883867592101893/MAJOohkF.jpg","View")</f>
        <v>View</v>
      </c>
      <c r="V3264" s="8"/>
      <c r="W3264" s="8"/>
      <c r="X3264" s="8"/>
      <c r="Y3264" s="8"/>
      <c r="Z3264" s="8"/>
    </row>
    <row r="3265" spans="1:26" ht="12.75">
      <c r="A3265" s="11">
        <v>43747.163611111115</v>
      </c>
      <c r="B3265" s="12" t="str">
        <f>HYPERLINK("https://twitter.com/DERMEyANS","@DERMEyANS")</f>
        <v>@DERMEyANS</v>
      </c>
      <c r="C3265" s="7" t="s">
        <v>18316</v>
      </c>
      <c r="D3265" s="7" t="s">
        <v>18317</v>
      </c>
      <c r="E3265" s="12" t="str">
        <f>HYPERLINK("https://twitter.com/DERMEyANS/status/1181885919659474944","1181885919659474944")</f>
        <v>1181885919659474944</v>
      </c>
      <c r="F3265" s="8"/>
      <c r="G3265" s="15"/>
      <c r="H3265" s="8"/>
      <c r="I3265" s="15">
        <v>0</v>
      </c>
      <c r="J3265" s="15">
        <v>0</v>
      </c>
      <c r="K3265" s="12" t="str">
        <f>HYPERLINK("https://mobile.twitter.com","Twitter Web App")</f>
        <v>Twitter Web App</v>
      </c>
      <c r="L3265" s="16">
        <v>289</v>
      </c>
      <c r="M3265" s="16">
        <v>276</v>
      </c>
      <c r="N3265" s="16">
        <v>1</v>
      </c>
      <c r="O3265" s="17"/>
      <c r="P3265" s="18">
        <v>40947.541562500002</v>
      </c>
      <c r="Q3265" s="7" t="s">
        <v>18318</v>
      </c>
      <c r="R3265" s="7" t="s">
        <v>18319</v>
      </c>
      <c r="S3265" s="8"/>
      <c r="T3265" s="8"/>
      <c r="U3265" s="19" t="str">
        <f>HYPERLINK("https://pbs.twimg.com/profile_images/2967659698/0835158e251e69347ba1bf52e5b80763.jpeg","View")</f>
        <v>View</v>
      </c>
      <c r="V3265" s="8"/>
      <c r="W3265" s="8"/>
      <c r="X3265" s="8"/>
      <c r="Y3265" s="8"/>
      <c r="Z3265" s="8"/>
    </row>
    <row r="3266" spans="1:26" ht="12.75">
      <c r="A3266" s="11">
        <v>43747.163599537038</v>
      </c>
      <c r="B3266" s="12" t="str">
        <f>HYPERLINK("https://twitter.com/Yavuz69387430","@Yavuz69387430")</f>
        <v>@Yavuz69387430</v>
      </c>
      <c r="C3266" s="7" t="s">
        <v>18320</v>
      </c>
      <c r="D3266" s="7" t="s">
        <v>18321</v>
      </c>
      <c r="E3266" s="12" t="str">
        <f>HYPERLINK("https://twitter.com/Yavuz69387430/status/1181885917847535616","1181885917847535616")</f>
        <v>1181885917847535616</v>
      </c>
      <c r="F3266" s="15"/>
      <c r="G3266" s="15"/>
      <c r="H3266" s="8"/>
      <c r="I3266" s="15">
        <v>0</v>
      </c>
      <c r="J3266" s="15">
        <v>0</v>
      </c>
      <c r="K3266" s="12" t="str">
        <f>HYPERLINK("http://twitter.com/download/android","Twitter for Android")</f>
        <v>Twitter for Android</v>
      </c>
      <c r="L3266" s="16">
        <v>4</v>
      </c>
      <c r="M3266" s="16">
        <v>37</v>
      </c>
      <c r="N3266" s="16">
        <v>0</v>
      </c>
      <c r="O3266" s="17"/>
      <c r="P3266" s="18">
        <v>43732.624247685184</v>
      </c>
      <c r="Q3266" s="7" t="s">
        <v>313</v>
      </c>
      <c r="R3266" s="7" t="s">
        <v>18322</v>
      </c>
      <c r="S3266" s="8"/>
      <c r="T3266" s="8"/>
      <c r="U3266" s="19" t="str">
        <f>HYPERLINK("https://pbs.twimg.com/profile_images/1177205183551590401/jdKovtbD.jpg","View")</f>
        <v>View</v>
      </c>
      <c r="V3266" s="8"/>
      <c r="W3266" s="8"/>
      <c r="X3266" s="8"/>
      <c r="Y3266" s="8"/>
      <c r="Z3266" s="8"/>
    </row>
    <row r="3267" spans="1:26" ht="12.75">
      <c r="A3267" s="11">
        <v>43747.163564814815</v>
      </c>
      <c r="B3267" s="12" t="str">
        <f>HYPERLINK("https://twitter.com/mustafaaknar","@mustafaaknar")</f>
        <v>@mustafaaknar</v>
      </c>
      <c r="C3267" s="7" t="s">
        <v>18323</v>
      </c>
      <c r="D3267" s="7" t="s">
        <v>18324</v>
      </c>
      <c r="E3267" s="12" t="str">
        <f>HYPERLINK("https://twitter.com/mustafaaknar/status/1181885904073494528","1181885904073494528")</f>
        <v>1181885904073494528</v>
      </c>
      <c r="F3267" s="8"/>
      <c r="G3267" s="15"/>
      <c r="H3267" s="8"/>
      <c r="I3267" s="15">
        <v>0</v>
      </c>
      <c r="J3267" s="15">
        <v>0</v>
      </c>
      <c r="K3267" s="12" t="str">
        <f>HYPERLINK("http://twitter.com/download/android","Twitter for Android")</f>
        <v>Twitter for Android</v>
      </c>
      <c r="L3267" s="16">
        <v>3</v>
      </c>
      <c r="M3267" s="16">
        <v>28</v>
      </c>
      <c r="N3267" s="16">
        <v>0</v>
      </c>
      <c r="O3267" s="17"/>
      <c r="P3267" s="18">
        <v>40807.109131944446</v>
      </c>
      <c r="Q3267" s="7" t="s">
        <v>18325</v>
      </c>
      <c r="R3267" s="7"/>
      <c r="S3267" s="8"/>
      <c r="T3267" s="8"/>
      <c r="U3267" s="19" t="str">
        <f>HYPERLINK("https://pbs.twimg.com/profile_images/3209060891/67afdd8520c9856fcbdda48f49f76247.jpeg","View")</f>
        <v>View</v>
      </c>
      <c r="V3267" s="8"/>
      <c r="W3267" s="8"/>
      <c r="X3267" s="8"/>
      <c r="Y3267" s="8"/>
      <c r="Z3267" s="8"/>
    </row>
    <row r="3268" spans="1:26" ht="12.75">
      <c r="A3268" s="11">
        <v>43747.163495370369</v>
      </c>
      <c r="B3268" s="12" t="str">
        <f>HYPERLINK("https://twitter.com/Ysrsrl1","@Ysrsrl1")</f>
        <v>@Ysrsrl1</v>
      </c>
      <c r="C3268" s="7" t="s">
        <v>18326</v>
      </c>
      <c r="D3268" s="7" t="s">
        <v>18327</v>
      </c>
      <c r="E3268" s="12" t="str">
        <f>HYPERLINK("https://twitter.com/Ysrsrl1/status/1181885879599718400","1181885879599718400")</f>
        <v>1181885879599718400</v>
      </c>
      <c r="F3268" s="8"/>
      <c r="G3268" s="14" t="s">
        <v>18328</v>
      </c>
      <c r="H3268" s="8"/>
      <c r="I3268" s="15">
        <v>0</v>
      </c>
      <c r="J3268" s="15">
        <v>2</v>
      </c>
      <c r="K3268" s="12" t="str">
        <f>HYPERLINK("http://twitter.com/download/android","Twitter for Android")</f>
        <v>Twitter for Android</v>
      </c>
      <c r="L3268" s="16">
        <v>17</v>
      </c>
      <c r="M3268" s="16">
        <v>258</v>
      </c>
      <c r="N3268" s="16">
        <v>0</v>
      </c>
      <c r="O3268" s="17"/>
      <c r="P3268" s="18">
        <v>43594.544351851851</v>
      </c>
      <c r="Q3268" s="7"/>
      <c r="R3268" s="7"/>
      <c r="S3268" s="8"/>
      <c r="T3268" s="8"/>
      <c r="U3268" s="19" t="str">
        <f>HYPERLINK("https://pbs.twimg.com/profile_images/1149654012821508097/r0z0hm3v.jpg","View")</f>
        <v>View</v>
      </c>
      <c r="V3268" s="8"/>
      <c r="W3268" s="8"/>
      <c r="X3268" s="8"/>
      <c r="Y3268" s="8"/>
      <c r="Z3268" s="8"/>
    </row>
    <row r="3269" spans="1:26" ht="12.75">
      <c r="A3269" s="11">
        <v>43747.163298611107</v>
      </c>
      <c r="B3269" s="12" t="str">
        <f>HYPERLINK("https://twitter.com/BastasIbrahim","@BastasIbrahim")</f>
        <v>@BastasIbrahim</v>
      </c>
      <c r="C3269" s="7" t="s">
        <v>9982</v>
      </c>
      <c r="D3269" s="7" t="s">
        <v>160</v>
      </c>
      <c r="E3269" s="12" t="str">
        <f>HYPERLINK("https://twitter.com/BastasIbrahim/status/1181885806966915073","1181885806966915073")</f>
        <v>1181885806966915073</v>
      </c>
      <c r="F3269" s="8"/>
      <c r="G3269" s="14" t="s">
        <v>18329</v>
      </c>
      <c r="H3269" s="8"/>
      <c r="I3269" s="15">
        <v>0</v>
      </c>
      <c r="J3269" s="15">
        <v>0</v>
      </c>
      <c r="K3269" s="12" t="str">
        <f>HYPERLINK("http://twitter.com/download/android","Twitter for Android")</f>
        <v>Twitter for Android</v>
      </c>
      <c r="L3269" s="16">
        <v>37</v>
      </c>
      <c r="M3269" s="16">
        <v>38</v>
      </c>
      <c r="N3269" s="16">
        <v>0</v>
      </c>
      <c r="O3269" s="17"/>
      <c r="P3269" s="18">
        <v>41361.360486111109</v>
      </c>
      <c r="Q3269" s="7" t="s">
        <v>3537</v>
      </c>
      <c r="R3269" s="7" t="s">
        <v>18330</v>
      </c>
      <c r="S3269" s="8"/>
      <c r="T3269" s="8"/>
      <c r="U3269" s="19" t="str">
        <f>HYPERLINK("https://pbs.twimg.com/profile_images/1168124937648967680/DdbnldTw.jpg","View")</f>
        <v>View</v>
      </c>
      <c r="V3269" s="8"/>
      <c r="W3269" s="8"/>
      <c r="X3269" s="8"/>
      <c r="Y3269" s="8"/>
      <c r="Z3269" s="8"/>
    </row>
    <row r="3270" spans="1:26" ht="12.75">
      <c r="A3270" s="11">
        <v>43747.163263888884</v>
      </c>
      <c r="B3270" s="12" t="str">
        <f>HYPERLINK("https://twitter.com/emirucar0","@emirucar0")</f>
        <v>@emirucar0</v>
      </c>
      <c r="C3270" s="7" t="s">
        <v>18331</v>
      </c>
      <c r="D3270" s="7" t="s">
        <v>160</v>
      </c>
      <c r="E3270" s="12" t="str">
        <f>HYPERLINK("https://twitter.com/emirucar0/status/1181885794740559873","1181885794740559873")</f>
        <v>1181885794740559873</v>
      </c>
      <c r="F3270" s="7"/>
      <c r="G3270" s="14" t="s">
        <v>18332</v>
      </c>
      <c r="H3270" s="8"/>
      <c r="I3270" s="15">
        <v>0</v>
      </c>
      <c r="J3270" s="15">
        <v>0</v>
      </c>
      <c r="K3270" s="12" t="str">
        <f>HYPERLINK("http://twitter.com/download/android","Twitter for Android")</f>
        <v>Twitter for Android</v>
      </c>
      <c r="L3270" s="16">
        <v>16</v>
      </c>
      <c r="M3270" s="16">
        <v>132</v>
      </c>
      <c r="N3270" s="16">
        <v>0</v>
      </c>
      <c r="O3270" s="17"/>
      <c r="P3270" s="18">
        <v>43520.233414351853</v>
      </c>
      <c r="Q3270" s="7"/>
      <c r="R3270" s="7"/>
      <c r="S3270" s="15"/>
      <c r="T3270" s="8"/>
      <c r="U3270" s="19" t="str">
        <f>HYPERLINK("https://pbs.twimg.com/profile_images/1180134070262681600/P787GHYe.jpg","View")</f>
        <v>View</v>
      </c>
      <c r="V3270" s="8"/>
      <c r="W3270" s="8"/>
      <c r="X3270" s="8"/>
      <c r="Y3270" s="8"/>
      <c r="Z3270" s="8"/>
    </row>
    <row r="3271" spans="1:26" ht="12.75">
      <c r="A3271" s="11">
        <v>43747.163124999999</v>
      </c>
      <c r="B3271" s="12" t="str">
        <f>HYPERLINK("https://twitter.com/SedaGursut","@SedaGursut")</f>
        <v>@SedaGursut</v>
      </c>
      <c r="C3271" s="7" t="s">
        <v>18333</v>
      </c>
      <c r="D3271" s="7" t="s">
        <v>18334</v>
      </c>
      <c r="E3271" s="12" t="str">
        <f>HYPERLINK("https://twitter.com/SedaGursut/status/1181885745960800259","1181885745960800259")</f>
        <v>1181885745960800259</v>
      </c>
      <c r="F3271" s="8"/>
      <c r="G3271" s="14" t="s">
        <v>18335</v>
      </c>
      <c r="H3271" s="8"/>
      <c r="I3271" s="15">
        <v>0</v>
      </c>
      <c r="J3271" s="15">
        <v>1</v>
      </c>
      <c r="K3271" s="12" t="str">
        <f>HYPERLINK("http://twitter.com","Twitter Web Client")</f>
        <v>Twitter Web Client</v>
      </c>
      <c r="L3271" s="16">
        <v>8</v>
      </c>
      <c r="M3271" s="16">
        <v>0</v>
      </c>
      <c r="N3271" s="16">
        <v>0</v>
      </c>
      <c r="O3271" s="17"/>
      <c r="P3271" s="18">
        <v>43703.311192129629</v>
      </c>
      <c r="Q3271" s="7" t="s">
        <v>18336</v>
      </c>
      <c r="R3271" s="7" t="s">
        <v>18337</v>
      </c>
      <c r="S3271" s="15"/>
      <c r="T3271" s="8"/>
      <c r="U3271" s="19" t="str">
        <f>HYPERLINK("https://pbs.twimg.com/profile_images/1166787467074318341/Fp3g0KVh.jpg","View")</f>
        <v>View</v>
      </c>
      <c r="V3271" s="8"/>
      <c r="W3271" s="8"/>
      <c r="X3271" s="8"/>
      <c r="Y3271" s="8"/>
      <c r="Z3271" s="8"/>
    </row>
    <row r="3272" spans="1:26" ht="12.75">
      <c r="A3272" s="11">
        <v>43747.163124999999</v>
      </c>
      <c r="B3272" s="12" t="str">
        <f>HYPERLINK("https://twitter.com/vakayimuradiye","@vakayimuradiye")</f>
        <v>@vakayimuradiye</v>
      </c>
      <c r="C3272" s="7" t="s">
        <v>18338</v>
      </c>
      <c r="D3272" s="7" t="s">
        <v>18339</v>
      </c>
      <c r="E3272" s="12" t="str">
        <f>HYPERLINK("https://twitter.com/vakayimuradiye/status/1181885745008713730","1181885745008713730")</f>
        <v>1181885745008713730</v>
      </c>
      <c r="F3272" s="8"/>
      <c r="G3272" s="14" t="s">
        <v>18340</v>
      </c>
      <c r="H3272" s="8"/>
      <c r="I3272" s="15">
        <v>0</v>
      </c>
      <c r="J3272" s="15">
        <v>0</v>
      </c>
      <c r="K3272" s="12" t="str">
        <f>HYPERLINK("http://twitter.com/download/android","Twitter for Android")</f>
        <v>Twitter for Android</v>
      </c>
      <c r="L3272" s="16">
        <v>99</v>
      </c>
      <c r="M3272" s="16">
        <v>129</v>
      </c>
      <c r="N3272" s="16">
        <v>0</v>
      </c>
      <c r="O3272" s="17"/>
      <c r="P3272" s="18">
        <v>42605.643460648149</v>
      </c>
      <c r="Q3272" s="7"/>
      <c r="R3272" s="7"/>
      <c r="S3272" s="8"/>
      <c r="T3272" s="8"/>
      <c r="U3272" s="19" t="str">
        <f>HYPERLINK("https://pbs.twimg.com/profile_images/768233405930766336/KXmhqbS5.jpg","View")</f>
        <v>View</v>
      </c>
      <c r="V3272" s="8"/>
      <c r="W3272" s="8"/>
      <c r="X3272" s="8"/>
      <c r="Y3272" s="8"/>
      <c r="Z3272" s="8"/>
    </row>
    <row r="3273" spans="1:26" ht="12.75">
      <c r="A3273" s="11">
        <v>43747.163124999999</v>
      </c>
      <c r="B3273" s="12" t="str">
        <f>HYPERLINK("https://twitter.com/kovancilarajans","@kovancilarajans")</f>
        <v>@kovancilarajans</v>
      </c>
      <c r="C3273" s="7" t="s">
        <v>18341</v>
      </c>
      <c r="D3273" s="7" t="s">
        <v>18342</v>
      </c>
      <c r="E3273" s="12" t="str">
        <f>HYPERLINK("https://twitter.com/kovancilarajans/status/1181885744832495621","1181885744832495621")</f>
        <v>1181885744832495621</v>
      </c>
      <c r="F3273" s="8"/>
      <c r="G3273" s="14" t="s">
        <v>18343</v>
      </c>
      <c r="H3273" s="8"/>
      <c r="I3273" s="15">
        <v>0</v>
      </c>
      <c r="J3273" s="15">
        <v>0</v>
      </c>
      <c r="K3273" s="12" t="str">
        <f>HYPERLINK("http://twitter.com/download/android","Twitter for Android")</f>
        <v>Twitter for Android</v>
      </c>
      <c r="L3273" s="16">
        <v>88</v>
      </c>
      <c r="M3273" s="16">
        <v>74</v>
      </c>
      <c r="N3273" s="16">
        <v>0</v>
      </c>
      <c r="O3273" s="17"/>
      <c r="P3273" s="18">
        <v>43599.201851851853</v>
      </c>
      <c r="Q3273" s="7" t="s">
        <v>18344</v>
      </c>
      <c r="R3273" s="7" t="s">
        <v>18345</v>
      </c>
      <c r="S3273" s="8"/>
      <c r="T3273" s="8"/>
      <c r="U3273" s="19" t="str">
        <f>HYPERLINK("https://pbs.twimg.com/profile_images/1128267397666869249/shO4lfQf.jpg","View")</f>
        <v>View</v>
      </c>
      <c r="V3273" s="8"/>
      <c r="W3273" s="8"/>
      <c r="X3273" s="8"/>
      <c r="Y3273" s="8"/>
      <c r="Z3273" s="8"/>
    </row>
    <row r="3274" spans="1:26" ht="12.75">
      <c r="A3274" s="11">
        <v>43747.163124999999</v>
      </c>
      <c r="B3274" s="12" t="str">
        <f>HYPERLINK("https://twitter.com/27Ozturkkadir","@27Ozturkkadir")</f>
        <v>@27Ozturkkadir</v>
      </c>
      <c r="C3274" s="7" t="s">
        <v>18346</v>
      </c>
      <c r="D3274" s="7" t="s">
        <v>18347</v>
      </c>
      <c r="E3274" s="12" t="str">
        <f>HYPERLINK("https://twitter.com/27Ozturkkadir/status/1181885742878007297","1181885742878007297")</f>
        <v>1181885742878007297</v>
      </c>
      <c r="F3274" s="8"/>
      <c r="G3274" s="14" t="s">
        <v>18348</v>
      </c>
      <c r="H3274" s="8"/>
      <c r="I3274" s="15">
        <v>5</v>
      </c>
      <c r="J3274" s="15">
        <v>48</v>
      </c>
      <c r="K3274" s="12" t="str">
        <f>HYPERLINK("http://twitter.com/download/android","Twitter for Android")</f>
        <v>Twitter for Android</v>
      </c>
      <c r="L3274" s="16">
        <v>5620</v>
      </c>
      <c r="M3274" s="16">
        <v>562</v>
      </c>
      <c r="N3274" s="16">
        <v>39</v>
      </c>
      <c r="O3274" s="17"/>
      <c r="P3274" s="18">
        <v>42389.618796296301</v>
      </c>
      <c r="Q3274" s="7"/>
      <c r="R3274" s="7" t="s">
        <v>18349</v>
      </c>
      <c r="S3274" s="15"/>
      <c r="T3274" s="8"/>
      <c r="U3274" s="19" t="str">
        <f>HYPERLINK("https://pbs.twimg.com/profile_images/1105166427609280512/r6oHv5jC.jpg","View")</f>
        <v>View</v>
      </c>
      <c r="V3274" s="8"/>
      <c r="W3274" s="8"/>
      <c r="X3274" s="8"/>
      <c r="Y3274" s="8"/>
      <c r="Z3274" s="8"/>
    </row>
    <row r="3275" spans="1:26" ht="12.75">
      <c r="A3275" s="11">
        <v>43747.163113425922</v>
      </c>
      <c r="B3275" s="12" t="str">
        <f>HYPERLINK("https://twitter.com/Kbra20171","@Kbra20171")</f>
        <v>@Kbra20171</v>
      </c>
      <c r="C3275" s="7" t="s">
        <v>18350</v>
      </c>
      <c r="D3275" s="7" t="s">
        <v>15689</v>
      </c>
      <c r="E3275" s="12" t="str">
        <f>HYPERLINK("https://twitter.com/Kbra20171/status/1181885738692030465","1181885738692030465")</f>
        <v>1181885738692030465</v>
      </c>
      <c r="F3275" s="8"/>
      <c r="G3275" s="14" t="s">
        <v>18351</v>
      </c>
      <c r="H3275" s="8"/>
      <c r="I3275" s="15">
        <v>0</v>
      </c>
      <c r="J3275" s="15">
        <v>0</v>
      </c>
      <c r="K3275" s="12" t="str">
        <f>HYPERLINK("http://twitter.com/download/android","Twitter for Android")</f>
        <v>Twitter for Android</v>
      </c>
      <c r="L3275" s="16">
        <v>1</v>
      </c>
      <c r="M3275" s="16">
        <v>2</v>
      </c>
      <c r="N3275" s="16">
        <v>0</v>
      </c>
      <c r="O3275" s="17"/>
      <c r="P3275" s="18">
        <v>43608.389293981483</v>
      </c>
      <c r="Q3275" s="7"/>
      <c r="R3275" s="7"/>
      <c r="S3275" s="15"/>
      <c r="T3275" s="8"/>
      <c r="U3275" s="20" t="s">
        <v>354</v>
      </c>
      <c r="V3275" s="8"/>
      <c r="W3275" s="8"/>
      <c r="X3275" s="8"/>
      <c r="Y3275" s="8"/>
      <c r="Z3275" s="8"/>
    </row>
    <row r="3276" spans="1:26" ht="12.75">
      <c r="A3276" s="11">
        <v>43747.16305555556</v>
      </c>
      <c r="B3276" s="12" t="str">
        <f>HYPERLINK("https://twitter.com/Ahm85080855","@Ahm85080855")</f>
        <v>@Ahm85080855</v>
      </c>
      <c r="C3276" s="7" t="s">
        <v>18352</v>
      </c>
      <c r="D3276" s="7" t="s">
        <v>18353</v>
      </c>
      <c r="E3276" s="12" t="str">
        <f>HYPERLINK("https://twitter.com/Ahm85080855/status/1181885717271732225","1181885717271732225")</f>
        <v>1181885717271732225</v>
      </c>
      <c r="F3276" s="8"/>
      <c r="G3276" s="7"/>
      <c r="H3276" s="8"/>
      <c r="I3276" s="15">
        <v>0</v>
      </c>
      <c r="J3276" s="15">
        <v>0</v>
      </c>
      <c r="K3276" s="12" t="str">
        <f>HYPERLINK("https://mobile.twitter.com","Twitter Web App")</f>
        <v>Twitter Web App</v>
      </c>
      <c r="L3276" s="16">
        <v>3</v>
      </c>
      <c r="M3276" s="16">
        <v>66</v>
      </c>
      <c r="N3276" s="16">
        <v>0</v>
      </c>
      <c r="O3276" s="17"/>
      <c r="P3276" s="18">
        <v>43668.651886574073</v>
      </c>
      <c r="Q3276" s="7" t="s">
        <v>18354</v>
      </c>
      <c r="R3276" s="7" t="s">
        <v>18355</v>
      </c>
      <c r="S3276" s="15"/>
      <c r="T3276" s="8"/>
      <c r="U3276" s="19" t="str">
        <f>HYPERLINK("https://pbs.twimg.com/profile_images/1153697173051236352/yn-2cocd.jpg","View")</f>
        <v>View</v>
      </c>
      <c r="V3276" s="8"/>
      <c r="W3276" s="8"/>
      <c r="X3276" s="8"/>
      <c r="Y3276" s="8"/>
      <c r="Z3276" s="8"/>
    </row>
    <row r="3277" spans="1:26" ht="12.75">
      <c r="A3277" s="11">
        <v>43747.163043981476</v>
      </c>
      <c r="B3277" s="12" t="str">
        <f>HYPERLINK("https://twitter.com/TC_SS1907","@TC_SS1907")</f>
        <v>@TC_SS1907</v>
      </c>
      <c r="C3277" s="7" t="s">
        <v>18356</v>
      </c>
      <c r="D3277" s="7" t="s">
        <v>18357</v>
      </c>
      <c r="E3277" s="12" t="str">
        <f>HYPERLINK("https://twitter.com/TC_SS1907/status/1181885716932055041","1181885716932055041")</f>
        <v>1181885716932055041</v>
      </c>
      <c r="F3277" s="8"/>
      <c r="G3277" s="7"/>
      <c r="H3277" s="8"/>
      <c r="I3277" s="15">
        <v>0</v>
      </c>
      <c r="J3277" s="15">
        <v>2</v>
      </c>
      <c r="K3277" s="12" t="str">
        <f>HYPERLINK("http://twitter.com/download/iphone","Twitter for iPhone")</f>
        <v>Twitter for iPhone</v>
      </c>
      <c r="L3277" s="16">
        <v>511</v>
      </c>
      <c r="M3277" s="16">
        <v>540</v>
      </c>
      <c r="N3277" s="16">
        <v>0</v>
      </c>
      <c r="O3277" s="17"/>
      <c r="P3277" s="18">
        <v>43583.969502314816</v>
      </c>
      <c r="Q3277" s="7" t="s">
        <v>18358</v>
      </c>
      <c r="R3277" s="7" t="s">
        <v>18359</v>
      </c>
      <c r="S3277" s="15"/>
      <c r="T3277" s="8"/>
      <c r="U3277" s="19" t="str">
        <f>HYPERLINK("https://pbs.twimg.com/profile_images/1169946177284059137/lQjLjEK8.jpg","View")</f>
        <v>View</v>
      </c>
      <c r="V3277" s="8"/>
      <c r="W3277" s="8"/>
      <c r="X3277" s="8"/>
      <c r="Y3277" s="8"/>
      <c r="Z3277" s="8"/>
    </row>
    <row r="3278" spans="1:26" ht="12.75">
      <c r="A3278" s="11">
        <v>43747.163043981476</v>
      </c>
      <c r="B3278" s="12" t="str">
        <f>HYPERLINK("https://twitter.com/KARTAL_13031903","@KARTAL_13031903")</f>
        <v>@KARTAL_13031903</v>
      </c>
      <c r="C3278" s="7" t="s">
        <v>18360</v>
      </c>
      <c r="D3278" s="7" t="s">
        <v>18361</v>
      </c>
      <c r="E3278" s="12" t="str">
        <f>HYPERLINK("https://twitter.com/KARTAL_13031903/status/1181885716734853120","1181885716734853120")</f>
        <v>1181885716734853120</v>
      </c>
      <c r="F3278" s="15"/>
      <c r="G3278" s="14" t="s">
        <v>18362</v>
      </c>
      <c r="H3278" s="8"/>
      <c r="I3278" s="15">
        <v>0</v>
      </c>
      <c r="J3278" s="15">
        <v>2</v>
      </c>
      <c r="K3278" s="12" t="str">
        <f>HYPERLINK("http://twitter.com/download/android","Twitter for Android")</f>
        <v>Twitter for Android</v>
      </c>
      <c r="L3278" s="16">
        <v>3140</v>
      </c>
      <c r="M3278" s="16">
        <v>2428</v>
      </c>
      <c r="N3278" s="16">
        <v>6</v>
      </c>
      <c r="O3278" s="17"/>
      <c r="P3278" s="18">
        <v>40991.259456018517</v>
      </c>
      <c r="Q3278" s="7" t="s">
        <v>2851</v>
      </c>
      <c r="R3278" s="7" t="s">
        <v>18363</v>
      </c>
      <c r="S3278" s="8"/>
      <c r="T3278" s="8"/>
      <c r="U3278" s="19" t="str">
        <f>HYPERLINK("https://pbs.twimg.com/profile_images/1169353302997438467/YNRreTG6.jpg","View")</f>
        <v>View</v>
      </c>
      <c r="V3278" s="8"/>
      <c r="W3278" s="8"/>
      <c r="X3278" s="8"/>
      <c r="Y3278" s="8"/>
      <c r="Z3278" s="8"/>
    </row>
    <row r="3279" spans="1:26" ht="12.75">
      <c r="A3279" s="11">
        <v>43747.162974537037</v>
      </c>
      <c r="B3279" s="12" t="str">
        <f>HYPERLINK("https://twitter.com/55tunaze","@55tunaze")</f>
        <v>@55tunaze</v>
      </c>
      <c r="C3279" s="7" t="s">
        <v>18364</v>
      </c>
      <c r="D3279" s="7" t="s">
        <v>18365</v>
      </c>
      <c r="E3279" s="12" t="str">
        <f>HYPERLINK("https://twitter.com/55tunaze/status/1181885691241943042","1181885691241943042")</f>
        <v>1181885691241943042</v>
      </c>
      <c r="F3279" s="8"/>
      <c r="G3279" s="15"/>
      <c r="H3279" s="8"/>
      <c r="I3279" s="15">
        <v>3</v>
      </c>
      <c r="J3279" s="15">
        <v>6</v>
      </c>
      <c r="K3279" s="12" t="str">
        <f>HYPERLINK("https://mobile.twitter.com","Twitter Web App")</f>
        <v>Twitter Web App</v>
      </c>
      <c r="L3279" s="16">
        <v>13471</v>
      </c>
      <c r="M3279" s="16">
        <v>13070</v>
      </c>
      <c r="N3279" s="16">
        <v>9</v>
      </c>
      <c r="O3279" s="17"/>
      <c r="P3279" s="18">
        <v>42340.42931712963</v>
      </c>
      <c r="Q3279" s="7" t="s">
        <v>80</v>
      </c>
      <c r="R3279" s="7" t="s">
        <v>18366</v>
      </c>
      <c r="S3279" s="14" t="s">
        <v>18367</v>
      </c>
      <c r="T3279" s="8"/>
      <c r="U3279" s="19" t="str">
        <f>HYPERLINK("https://pbs.twimg.com/profile_images/993100177476128768/c0ZhInz3.jpg","View")</f>
        <v>View</v>
      </c>
      <c r="V3279" s="8"/>
      <c r="W3279" s="8"/>
      <c r="X3279" s="8"/>
      <c r="Y3279" s="8"/>
      <c r="Z3279" s="8"/>
    </row>
    <row r="3280" spans="1:26" ht="12.75">
      <c r="A3280" s="11">
        <v>43747.162881944445</v>
      </c>
      <c r="B3280" s="12" t="str">
        <f>HYPERLINK("https://twitter.com/MertAydin0634","@MertAydin0634")</f>
        <v>@MertAydin0634</v>
      </c>
      <c r="C3280" s="7" t="s">
        <v>18368</v>
      </c>
      <c r="D3280" s="7" t="s">
        <v>18369</v>
      </c>
      <c r="E3280" s="12" t="str">
        <f>HYPERLINK("https://twitter.com/MertAydin0634/status/1181885656592769024","1181885656592769024")</f>
        <v>1181885656592769024</v>
      </c>
      <c r="F3280" s="8"/>
      <c r="G3280" s="15"/>
      <c r="H3280" s="8"/>
      <c r="I3280" s="15">
        <v>0</v>
      </c>
      <c r="J3280" s="15">
        <v>0</v>
      </c>
      <c r="K3280" s="12" t="str">
        <f>HYPERLINK("http://twitter.com/download/android","Twitter for Android")</f>
        <v>Twitter for Android</v>
      </c>
      <c r="L3280" s="16">
        <v>1</v>
      </c>
      <c r="M3280" s="16">
        <v>224</v>
      </c>
      <c r="N3280" s="16">
        <v>0</v>
      </c>
      <c r="O3280" s="17"/>
      <c r="P3280" s="18">
        <v>43728.986273148148</v>
      </c>
      <c r="Q3280" s="7"/>
      <c r="R3280" s="7"/>
      <c r="S3280" s="8"/>
      <c r="T3280" s="8"/>
      <c r="U3280" s="19" t="str">
        <f>HYPERLINK("https://pbs.twimg.com/profile_images/1181437401748639747/oN-thxF1.jpg","View")</f>
        <v>View</v>
      </c>
      <c r="V3280" s="8"/>
      <c r="W3280" s="8"/>
      <c r="X3280" s="8"/>
      <c r="Y3280" s="8"/>
      <c r="Z3280" s="8"/>
    </row>
    <row r="3281" spans="1:26" ht="12.75">
      <c r="A3281" s="11">
        <v>43747.162870370375</v>
      </c>
      <c r="B3281" s="12" t="str">
        <f>HYPERLINK("https://twitter.com/AdeliyaBeyhan","@AdeliyaBeyhan")</f>
        <v>@AdeliyaBeyhan</v>
      </c>
      <c r="C3281" s="7" t="s">
        <v>18370</v>
      </c>
      <c r="D3281" s="7" t="s">
        <v>18371</v>
      </c>
      <c r="E3281" s="12" t="str">
        <f>HYPERLINK("https://twitter.com/AdeliyaBeyhan/status/1181885650552938497","1181885650552938497")</f>
        <v>1181885650552938497</v>
      </c>
      <c r="F3281" s="8"/>
      <c r="G3281" s="14" t="s">
        <v>18372</v>
      </c>
      <c r="H3281" s="8"/>
      <c r="I3281" s="15">
        <v>0</v>
      </c>
      <c r="J3281" s="15">
        <v>1</v>
      </c>
      <c r="K3281" s="12" t="str">
        <f>HYPERLINK("http://twitter.com","Twitter Web Client")</f>
        <v>Twitter Web Client</v>
      </c>
      <c r="L3281" s="16">
        <v>20</v>
      </c>
      <c r="M3281" s="16">
        <v>0</v>
      </c>
      <c r="N3281" s="16">
        <v>2</v>
      </c>
      <c r="O3281" s="17"/>
      <c r="P3281" s="18">
        <v>43683.873067129629</v>
      </c>
      <c r="Q3281" s="7" t="s">
        <v>13727</v>
      </c>
      <c r="R3281" s="7" t="s">
        <v>18373</v>
      </c>
      <c r="S3281" s="8"/>
      <c r="T3281" s="8"/>
      <c r="U3281" s="19" t="str">
        <f>HYPERLINK("https://pbs.twimg.com/profile_images/1167222856217976834/cX03YlVj.jpg","View")</f>
        <v>View</v>
      </c>
      <c r="V3281" s="8"/>
      <c r="W3281" s="8"/>
      <c r="X3281" s="8"/>
      <c r="Y3281" s="8"/>
      <c r="Z3281" s="8"/>
    </row>
    <row r="3282" spans="1:26" ht="12.75">
      <c r="A3282" s="11">
        <v>43747.162800925929</v>
      </c>
      <c r="B3282" s="12" t="str">
        <f>HYPERLINK("https://twitter.com/by_spead","@by_spead")</f>
        <v>@by_spead</v>
      </c>
      <c r="C3282" s="7" t="s">
        <v>18374</v>
      </c>
      <c r="D3282" s="7" t="s">
        <v>18375</v>
      </c>
      <c r="E3282" s="12" t="str">
        <f>HYPERLINK("https://twitter.com/by_spead/status/1181885628071469056","1181885628071469056")</f>
        <v>1181885628071469056</v>
      </c>
      <c r="F3282" s="8"/>
      <c r="G3282" s="7"/>
      <c r="H3282" s="8"/>
      <c r="I3282" s="15">
        <v>0</v>
      </c>
      <c r="J3282" s="15">
        <v>0</v>
      </c>
      <c r="K3282" s="12" t="str">
        <f>HYPERLINK("http://twitter.com/download/android","Twitter for Android")</f>
        <v>Twitter for Android</v>
      </c>
      <c r="L3282" s="16">
        <v>265</v>
      </c>
      <c r="M3282" s="16">
        <v>985</v>
      </c>
      <c r="N3282" s="16">
        <v>0</v>
      </c>
      <c r="O3282" s="17"/>
      <c r="P3282" s="18">
        <v>42340.525289351848</v>
      </c>
      <c r="Q3282" s="7"/>
      <c r="R3282" s="7" t="s">
        <v>18376</v>
      </c>
      <c r="S3282" s="8"/>
      <c r="T3282" s="8"/>
      <c r="U3282" s="19" t="str">
        <f>HYPERLINK("https://pbs.twimg.com/profile_images/1090902441795747841/YKrJdX4G.jpg","View")</f>
        <v>View</v>
      </c>
      <c r="V3282" s="8"/>
      <c r="W3282" s="8"/>
      <c r="X3282" s="8"/>
      <c r="Y3282" s="8"/>
      <c r="Z3282" s="8"/>
    </row>
    <row r="3283" spans="1:26" ht="12.75">
      <c r="A3283" s="11">
        <v>43747.162719907406</v>
      </c>
      <c r="B3283" s="12" t="str">
        <f>HYPERLINK("https://twitter.com/kabasaba44","@kabasaba44")</f>
        <v>@kabasaba44</v>
      </c>
      <c r="C3283" s="7" t="s">
        <v>18377</v>
      </c>
      <c r="D3283" s="13" t="s">
        <v>18378</v>
      </c>
      <c r="E3283" s="12" t="str">
        <f>HYPERLINK("https://twitter.com/kabasaba44/status/1181885598149353472","1181885598149353472")</f>
        <v>1181885598149353472</v>
      </c>
      <c r="F3283" s="8"/>
      <c r="G3283" s="7"/>
      <c r="H3283" s="8"/>
      <c r="I3283" s="15">
        <v>0</v>
      </c>
      <c r="J3283" s="15">
        <v>0</v>
      </c>
      <c r="K3283" s="12" t="str">
        <f>HYPERLINK("http://twitter.com/download/android","Twitter for Android")</f>
        <v>Twitter for Android</v>
      </c>
      <c r="L3283" s="16">
        <v>0</v>
      </c>
      <c r="M3283" s="16">
        <v>0</v>
      </c>
      <c r="N3283" s="16">
        <v>0</v>
      </c>
      <c r="O3283" s="17"/>
      <c r="P3283" s="18">
        <v>41836.453599537039</v>
      </c>
      <c r="Q3283" s="7"/>
      <c r="R3283" s="7"/>
      <c r="S3283" s="8"/>
      <c r="T3283" s="8"/>
      <c r="U3283" s="20" t="s">
        <v>354</v>
      </c>
      <c r="V3283" s="8"/>
      <c r="W3283" s="8"/>
      <c r="X3283" s="8"/>
      <c r="Y3283" s="8"/>
      <c r="Z3283" s="8"/>
    </row>
    <row r="3284" spans="1:26" ht="12.75">
      <c r="A3284" s="11">
        <v>43747.162615740745</v>
      </c>
      <c r="B3284" s="12" t="str">
        <f>HYPERLINK("https://twitter.com/VGrtrk","@VGrtrk")</f>
        <v>@VGrtrk</v>
      </c>
      <c r="C3284" s="7" t="s">
        <v>18379</v>
      </c>
      <c r="D3284" s="7" t="s">
        <v>18380</v>
      </c>
      <c r="E3284" s="12" t="str">
        <f>HYPERLINK("https://twitter.com/VGrtrk/status/1181885559951761410","1181885559951761410")</f>
        <v>1181885559951761410</v>
      </c>
      <c r="F3284" s="8"/>
      <c r="G3284" s="14" t="s">
        <v>18381</v>
      </c>
      <c r="H3284" s="8"/>
      <c r="I3284" s="15">
        <v>0</v>
      </c>
      <c r="J3284" s="15">
        <v>1</v>
      </c>
      <c r="K3284" s="12" t="str">
        <f>HYPERLINK("http://twitter.com/download/iphone","Twitter for iPhone")</f>
        <v>Twitter for iPhone</v>
      </c>
      <c r="L3284" s="16">
        <v>111</v>
      </c>
      <c r="M3284" s="16">
        <v>87</v>
      </c>
      <c r="N3284" s="16">
        <v>0</v>
      </c>
      <c r="O3284" s="17"/>
      <c r="P3284" s="18">
        <v>40691.145254629628</v>
      </c>
      <c r="Q3284" s="7" t="s">
        <v>3764</v>
      </c>
      <c r="R3284" s="7" t="s">
        <v>18382</v>
      </c>
      <c r="S3284" s="14" t="s">
        <v>18383</v>
      </c>
      <c r="T3284" s="8"/>
      <c r="U3284" s="19" t="str">
        <f>HYPERLINK("https://pbs.twimg.com/profile_images/499954329856405504/XkskA0Rk.jpeg","View")</f>
        <v>View</v>
      </c>
      <c r="V3284" s="8"/>
      <c r="W3284" s="8"/>
      <c r="X3284" s="8"/>
      <c r="Y3284" s="8"/>
      <c r="Z3284" s="8"/>
    </row>
    <row r="3285" spans="1:26" ht="12.75">
      <c r="A3285" s="11">
        <v>43747.162557870368</v>
      </c>
      <c r="B3285" s="12" t="str">
        <f>HYPERLINK("https://twitter.com/Blackea57195639","@Blackea57195639")</f>
        <v>@Blackea57195639</v>
      </c>
      <c r="C3285" s="7" t="s">
        <v>18384</v>
      </c>
      <c r="D3285" s="7" t="s">
        <v>18385</v>
      </c>
      <c r="E3285" s="12" t="str">
        <f>HYPERLINK("https://twitter.com/Blackea57195639/status/1181885537986269185","1181885537986269185")</f>
        <v>1181885537986269185</v>
      </c>
      <c r="F3285" s="8"/>
      <c r="G3285" s="15"/>
      <c r="H3285" s="8"/>
      <c r="I3285" s="15">
        <v>0</v>
      </c>
      <c r="J3285" s="15">
        <v>1</v>
      </c>
      <c r="K3285" s="12" t="str">
        <f>HYPERLINK("http://twitter.com/download/android","Twitter for Android")</f>
        <v>Twitter for Android</v>
      </c>
      <c r="L3285" s="16">
        <v>10</v>
      </c>
      <c r="M3285" s="16">
        <v>51</v>
      </c>
      <c r="N3285" s="16">
        <v>0</v>
      </c>
      <c r="O3285" s="17"/>
      <c r="P3285" s="18">
        <v>43554.880231481482</v>
      </c>
      <c r="Q3285" s="7"/>
      <c r="R3285" s="7" t="s">
        <v>18386</v>
      </c>
      <c r="S3285" s="8"/>
      <c r="T3285" s="8"/>
      <c r="U3285" s="19" t="str">
        <f>HYPERLINK("https://pbs.twimg.com/profile_images/1113711959579537410/pPy_xURX.jpg","View")</f>
        <v>View</v>
      </c>
      <c r="V3285" s="8"/>
      <c r="W3285" s="8"/>
      <c r="X3285" s="8"/>
      <c r="Y3285" s="8"/>
      <c r="Z3285" s="8"/>
    </row>
    <row r="3286" spans="1:26" ht="12.75">
      <c r="A3286" s="11">
        <v>43747.162523148145</v>
      </c>
      <c r="B3286" s="12" t="str">
        <f>HYPERLINK("https://twitter.com/ugurcankasikci","@ugurcankasikci")</f>
        <v>@ugurcankasikci</v>
      </c>
      <c r="C3286" s="7" t="s">
        <v>18387</v>
      </c>
      <c r="D3286" s="7" t="s">
        <v>18388</v>
      </c>
      <c r="E3286" s="12" t="str">
        <f>HYPERLINK("https://twitter.com/ugurcankasikci/status/1181885525621432321","1181885525621432321")</f>
        <v>1181885525621432321</v>
      </c>
      <c r="F3286" s="8"/>
      <c r="G3286" s="15"/>
      <c r="H3286" s="8"/>
      <c r="I3286" s="15">
        <v>2</v>
      </c>
      <c r="J3286" s="15">
        <v>6</v>
      </c>
      <c r="K3286" s="12" t="str">
        <f>HYPERLINK("http://twitter.com/download/android","Twitter for Android")</f>
        <v>Twitter for Android</v>
      </c>
      <c r="L3286" s="16">
        <v>10656</v>
      </c>
      <c r="M3286" s="16">
        <v>11387</v>
      </c>
      <c r="N3286" s="16">
        <v>1</v>
      </c>
      <c r="O3286" s="17"/>
      <c r="P3286" s="18">
        <v>43068.455057870371</v>
      </c>
      <c r="Q3286" s="7" t="s">
        <v>200</v>
      </c>
      <c r="R3286" s="7" t="s">
        <v>18389</v>
      </c>
      <c r="S3286" s="14" t="s">
        <v>18390</v>
      </c>
      <c r="T3286" s="8"/>
      <c r="U3286" s="19" t="str">
        <f>HYPERLINK("https://pbs.twimg.com/profile_images/1179684576693800960/XtihcZ-z.jpg","View")</f>
        <v>View</v>
      </c>
      <c r="V3286" s="8"/>
      <c r="W3286" s="8"/>
      <c r="X3286" s="8"/>
      <c r="Y3286" s="8"/>
      <c r="Z3286" s="8"/>
    </row>
    <row r="3287" spans="1:26" ht="12.75">
      <c r="A3287" s="11">
        <v>43747.162499999999</v>
      </c>
      <c r="B3287" s="12" t="str">
        <f>HYPERLINK("https://twitter.com/Beratmehmet1910","@Beratmehmet1910")</f>
        <v>@Beratmehmet1910</v>
      </c>
      <c r="C3287" s="7" t="s">
        <v>18391</v>
      </c>
      <c r="D3287" s="7" t="s">
        <v>18392</v>
      </c>
      <c r="E3287" s="12" t="str">
        <f>HYPERLINK("https://twitter.com/Beratmehmet1910/status/1181885515878019078","1181885515878019078")</f>
        <v>1181885515878019078</v>
      </c>
      <c r="F3287" s="8"/>
      <c r="G3287" s="14" t="s">
        <v>18393</v>
      </c>
      <c r="H3287" s="8"/>
      <c r="I3287" s="15">
        <v>0</v>
      </c>
      <c r="J3287" s="15">
        <v>2</v>
      </c>
      <c r="K3287" s="12" t="str">
        <f>HYPERLINK("http://twitter.com/download/iphone","Twitter for iPhone")</f>
        <v>Twitter for iPhone</v>
      </c>
      <c r="L3287" s="16">
        <v>188</v>
      </c>
      <c r="M3287" s="16">
        <v>320</v>
      </c>
      <c r="N3287" s="16">
        <v>0</v>
      </c>
      <c r="O3287" s="17"/>
      <c r="P3287" s="18">
        <v>43298.039097222223</v>
      </c>
      <c r="Q3287" s="7"/>
      <c r="R3287" s="7" t="s">
        <v>18394</v>
      </c>
      <c r="S3287" s="8"/>
      <c r="T3287" s="8"/>
      <c r="U3287" s="19" t="str">
        <f>HYPERLINK("https://pbs.twimg.com/profile_images/1144875911667490816/Cd1MBIoD.jpg","View")</f>
        <v>View</v>
      </c>
      <c r="V3287" s="8"/>
      <c r="W3287" s="8"/>
      <c r="X3287" s="8"/>
      <c r="Y3287" s="8"/>
      <c r="Z3287" s="8"/>
    </row>
    <row r="3288" spans="1:26" ht="12.75">
      <c r="A3288" s="11">
        <v>43747.162442129629</v>
      </c>
      <c r="B3288" s="12" t="str">
        <f>HYPERLINK("https://twitter.com/ademsaglik06","@ademsaglik06")</f>
        <v>@ademsaglik06</v>
      </c>
      <c r="C3288" s="7" t="s">
        <v>18395</v>
      </c>
      <c r="D3288" s="7" t="s">
        <v>18396</v>
      </c>
      <c r="E3288" s="12" t="str">
        <f>HYPERLINK("https://twitter.com/ademsaglik06/status/1181885496894640129","1181885496894640129")</f>
        <v>1181885496894640129</v>
      </c>
      <c r="F3288" s="8"/>
      <c r="G3288" s="14" t="s">
        <v>18397</v>
      </c>
      <c r="H3288" s="8"/>
      <c r="I3288" s="15">
        <v>0</v>
      </c>
      <c r="J3288" s="15">
        <v>6</v>
      </c>
      <c r="K3288" s="12" t="str">
        <f>HYPERLINK("http://twitter.com/download/iphone","Twitter for iPhone")</f>
        <v>Twitter for iPhone</v>
      </c>
      <c r="L3288" s="16">
        <v>85</v>
      </c>
      <c r="M3288" s="16">
        <v>172</v>
      </c>
      <c r="N3288" s="16">
        <v>0</v>
      </c>
      <c r="O3288" s="17"/>
      <c r="P3288" s="18">
        <v>42265.700243055559</v>
      </c>
      <c r="Q3288" s="7"/>
      <c r="R3288" s="7" t="s">
        <v>18398</v>
      </c>
      <c r="S3288" s="8"/>
      <c r="T3288" s="8"/>
      <c r="U3288" s="19" t="str">
        <f>HYPERLINK("https://pbs.twimg.com/profile_images/682179600986816513/f08V9R52.jpg","View")</f>
        <v>View</v>
      </c>
      <c r="V3288" s="8"/>
      <c r="W3288" s="8"/>
      <c r="X3288" s="8"/>
      <c r="Y3288" s="8"/>
      <c r="Z3288" s="8"/>
    </row>
    <row r="3289" spans="1:26" ht="12.75">
      <c r="A3289" s="11">
        <v>43747.16243055556</v>
      </c>
      <c r="B3289" s="12" t="str">
        <f>HYPERLINK("https://twitter.com/AlisanCandere","@AlisanCandere")</f>
        <v>@AlisanCandere</v>
      </c>
      <c r="C3289" s="7" t="s">
        <v>18399</v>
      </c>
      <c r="D3289" s="7" t="s">
        <v>18400</v>
      </c>
      <c r="E3289" s="12" t="str">
        <f>HYPERLINK("https://twitter.com/AlisanCandere/status/1181885492805156864","1181885492805156864")</f>
        <v>1181885492805156864</v>
      </c>
      <c r="F3289" s="8"/>
      <c r="G3289" s="14" t="s">
        <v>18401</v>
      </c>
      <c r="H3289" s="8"/>
      <c r="I3289" s="15">
        <v>0</v>
      </c>
      <c r="J3289" s="15">
        <v>0</v>
      </c>
      <c r="K3289" s="12" t="str">
        <f>HYPERLINK("http://twitter.com","Twitter Web Client")</f>
        <v>Twitter Web Client</v>
      </c>
      <c r="L3289" s="16">
        <v>9</v>
      </c>
      <c r="M3289" s="16">
        <v>0</v>
      </c>
      <c r="N3289" s="16">
        <v>0</v>
      </c>
      <c r="O3289" s="17"/>
      <c r="P3289" s="18">
        <v>43669.86414351852</v>
      </c>
      <c r="Q3289" s="7" t="s">
        <v>3210</v>
      </c>
      <c r="R3289" s="7" t="s">
        <v>18402</v>
      </c>
      <c r="S3289" s="8"/>
      <c r="T3289" s="8"/>
      <c r="U3289" s="19" t="str">
        <f>HYPERLINK("https://pbs.twimg.com/profile_images/1154295345821749250/4f50NB7U.png","View")</f>
        <v>View</v>
      </c>
      <c r="V3289" s="8"/>
      <c r="W3289" s="8"/>
      <c r="X3289" s="8"/>
      <c r="Y3289" s="8"/>
      <c r="Z3289" s="8"/>
    </row>
    <row r="3290" spans="1:26" ht="12.75">
      <c r="A3290" s="11">
        <v>43747.162280092598</v>
      </c>
      <c r="B3290" s="12" t="str">
        <f>HYPERLINK("https://twitter.com/fatihtanis58","@fatihtanis58")</f>
        <v>@fatihtanis58</v>
      </c>
      <c r="C3290" s="7" t="s">
        <v>18403</v>
      </c>
      <c r="D3290" s="7" t="s">
        <v>18404</v>
      </c>
      <c r="E3290" s="12" t="str">
        <f>HYPERLINK("https://twitter.com/fatihtanis58/status/1181885436609912839","1181885436609912839")</f>
        <v>1181885436609912839</v>
      </c>
      <c r="F3290" s="8"/>
      <c r="G3290" s="14" t="s">
        <v>18405</v>
      </c>
      <c r="H3290" s="8"/>
      <c r="I3290" s="15">
        <v>0</v>
      </c>
      <c r="J3290" s="15">
        <v>0</v>
      </c>
      <c r="K3290" s="12" t="str">
        <f>HYPERLINK("https://mobile.twitter.com","Twitter Web App")</f>
        <v>Twitter Web App</v>
      </c>
      <c r="L3290" s="16">
        <v>1635</v>
      </c>
      <c r="M3290" s="16">
        <v>4576</v>
      </c>
      <c r="N3290" s="16">
        <v>0</v>
      </c>
      <c r="O3290" s="17"/>
      <c r="P3290" s="18">
        <v>42195.443206018521</v>
      </c>
      <c r="Q3290" s="7"/>
      <c r="R3290" s="7" t="s">
        <v>18406</v>
      </c>
      <c r="S3290" s="15"/>
      <c r="T3290" s="8"/>
      <c r="U3290" s="19" t="str">
        <f>HYPERLINK("https://pbs.twimg.com/profile_images/1151211247704190977/5fGVk1kr.jpg","View")</f>
        <v>View</v>
      </c>
      <c r="V3290" s="8"/>
      <c r="W3290" s="8"/>
      <c r="X3290" s="8"/>
      <c r="Y3290" s="8"/>
      <c r="Z3290" s="8"/>
    </row>
    <row r="3291" spans="1:26" ht="12.75">
      <c r="A3291" s="11">
        <v>43747.162245370375</v>
      </c>
      <c r="B3291" s="12" t="str">
        <f>HYPERLINK("https://twitter.com/282727867_","@282727867_")</f>
        <v>@282727867_</v>
      </c>
      <c r="C3291" s="7" t="s">
        <v>18407</v>
      </c>
      <c r="D3291" s="7" t="s">
        <v>18408</v>
      </c>
      <c r="E3291" s="12" t="str">
        <f>HYPERLINK("https://twitter.com/282727867_/status/1181885427675996160","1181885427675996160")</f>
        <v>1181885427675996160</v>
      </c>
      <c r="F3291" s="8"/>
      <c r="G3291" s="14" t="s">
        <v>18409</v>
      </c>
      <c r="H3291" s="8"/>
      <c r="I3291" s="15">
        <v>1</v>
      </c>
      <c r="J3291" s="15">
        <v>3</v>
      </c>
      <c r="K3291" s="12" t="str">
        <f>HYPERLINK("http://twitter.com/download/android","Twitter for Android")</f>
        <v>Twitter for Android</v>
      </c>
      <c r="L3291" s="16">
        <v>24</v>
      </c>
      <c r="M3291" s="16">
        <v>29</v>
      </c>
      <c r="N3291" s="16">
        <v>0</v>
      </c>
      <c r="O3291" s="17"/>
      <c r="P3291" s="18">
        <v>43741.261134259257</v>
      </c>
      <c r="Q3291" s="7"/>
      <c r="R3291" s="7" t="s">
        <v>18410</v>
      </c>
      <c r="S3291" s="8"/>
      <c r="T3291" s="8"/>
      <c r="U3291" s="19" t="str">
        <f>HYPERLINK("https://pbs.twimg.com/profile_images/1179753838997331968/TuLQqD4B.jpg","View")</f>
        <v>View</v>
      </c>
      <c r="V3291" s="8"/>
      <c r="W3291" s="8"/>
      <c r="X3291" s="8"/>
      <c r="Y3291" s="8"/>
      <c r="Z3291" s="8"/>
    </row>
    <row r="3292" spans="1:26" ht="12.75">
      <c r="A3292" s="11">
        <v>43747.162164351852</v>
      </c>
      <c r="B3292" s="12" t="str">
        <f>HYPERLINK("https://twitter.com/A_n_A_T_o_L_i_A","@A_n_A_T_o_L_i_A")</f>
        <v>@A_n_A_T_o_L_i_A</v>
      </c>
      <c r="C3292" s="7" t="s">
        <v>18411</v>
      </c>
      <c r="D3292" s="7" t="s">
        <v>18412</v>
      </c>
      <c r="E3292" s="12" t="str">
        <f>HYPERLINK("https://twitter.com/A_n_A_T_o_L_i_A/status/1181885396747243520","1181885396747243520")</f>
        <v>1181885396747243520</v>
      </c>
      <c r="F3292" s="8"/>
      <c r="G3292" s="7"/>
      <c r="H3292" s="8"/>
      <c r="I3292" s="15">
        <v>0</v>
      </c>
      <c r="J3292" s="15">
        <v>0</v>
      </c>
      <c r="K3292" s="12" t="str">
        <f>HYPERLINK("http://twitter.com/download/android","Twitter for Android")</f>
        <v>Twitter for Android</v>
      </c>
      <c r="L3292" s="16">
        <v>176</v>
      </c>
      <c r="M3292" s="16">
        <v>620</v>
      </c>
      <c r="N3292" s="16">
        <v>1</v>
      </c>
      <c r="O3292" s="17"/>
      <c r="P3292" s="18">
        <v>41483.311261574076</v>
      </c>
      <c r="Q3292" s="7" t="s">
        <v>18413</v>
      </c>
      <c r="R3292" s="7" t="s">
        <v>18414</v>
      </c>
      <c r="S3292" s="8"/>
      <c r="T3292" s="8"/>
      <c r="U3292" s="19" t="str">
        <f>HYPERLINK("https://pbs.twimg.com/profile_images/1168227793186017280/zkSCdPZR.jpg","View")</f>
        <v>View</v>
      </c>
      <c r="V3292" s="8"/>
      <c r="W3292" s="8"/>
      <c r="X3292" s="8"/>
      <c r="Y3292" s="8"/>
      <c r="Z3292" s="8"/>
    </row>
    <row r="3293" spans="1:26" ht="12.75">
      <c r="A3293" s="11">
        <v>43747.161990740744</v>
      </c>
      <c r="B3293" s="12" t="str">
        <f>HYPERLINK("https://twitter.com/halilunal09out2","@halilunal09out2")</f>
        <v>@halilunal09out2</v>
      </c>
      <c r="C3293" s="7" t="s">
        <v>18415</v>
      </c>
      <c r="D3293" s="7" t="s">
        <v>18416</v>
      </c>
      <c r="E3293" s="12" t="str">
        <f>HYPERLINK("https://twitter.com/halilunal09out2/status/1181885334671495174","1181885334671495174")</f>
        <v>1181885334671495174</v>
      </c>
      <c r="F3293" s="8"/>
      <c r="G3293" s="15"/>
      <c r="H3293" s="8"/>
      <c r="I3293" s="15">
        <v>0</v>
      </c>
      <c r="J3293" s="15">
        <v>1</v>
      </c>
      <c r="K3293" s="12" t="str">
        <f>HYPERLINK("http://twitter.com/download/android","Twitter for Android")</f>
        <v>Twitter for Android</v>
      </c>
      <c r="L3293" s="16">
        <v>0</v>
      </c>
      <c r="M3293" s="16">
        <v>38</v>
      </c>
      <c r="N3293" s="16">
        <v>0</v>
      </c>
      <c r="O3293" s="17"/>
      <c r="P3293" s="18">
        <v>42687.480243055557</v>
      </c>
      <c r="Q3293" s="7"/>
      <c r="R3293" s="7" t="s">
        <v>18417</v>
      </c>
      <c r="S3293" s="8"/>
      <c r="T3293" s="8"/>
      <c r="U3293" s="20" t="s">
        <v>354</v>
      </c>
      <c r="V3293" s="8"/>
      <c r="W3293" s="8"/>
      <c r="X3293" s="8"/>
      <c r="Y3293" s="8"/>
      <c r="Z3293" s="8"/>
    </row>
    <row r="3294" spans="1:26" ht="12.75">
      <c r="A3294" s="11">
        <v>43747.16196759259</v>
      </c>
      <c r="B3294" s="12" t="str">
        <f>HYPERLINK("https://twitter.com/Cesurryurek_1","@Cesurryurek_1")</f>
        <v>@Cesurryurek_1</v>
      </c>
      <c r="C3294" s="7" t="s">
        <v>18418</v>
      </c>
      <c r="D3294" s="7" t="s">
        <v>18419</v>
      </c>
      <c r="E3294" s="12" t="str">
        <f>HYPERLINK("https://twitter.com/Cesurryurek_1/status/1181885325800607745","1181885325800607745")</f>
        <v>1181885325800607745</v>
      </c>
      <c r="F3294" s="15"/>
      <c r="G3294" s="14" t="s">
        <v>18420</v>
      </c>
      <c r="H3294" s="8"/>
      <c r="I3294" s="15">
        <v>0</v>
      </c>
      <c r="J3294" s="15">
        <v>1</v>
      </c>
      <c r="K3294" s="12" t="str">
        <f>HYPERLINK("http://twitter.com/download/android","Twitter for Android")</f>
        <v>Twitter for Android</v>
      </c>
      <c r="L3294" s="16">
        <v>162</v>
      </c>
      <c r="M3294" s="16">
        <v>148</v>
      </c>
      <c r="N3294" s="16">
        <v>1</v>
      </c>
      <c r="O3294" s="17"/>
      <c r="P3294" s="18">
        <v>43539.273020833338</v>
      </c>
      <c r="Q3294" s="7"/>
      <c r="R3294" s="7" t="s">
        <v>18421</v>
      </c>
      <c r="S3294" s="15"/>
      <c r="T3294" s="8"/>
      <c r="U3294" s="19" t="str">
        <f>HYPERLINK("https://pbs.twimg.com/profile_images/1175754487438426113/2u-DQFht.jpg","View")</f>
        <v>View</v>
      </c>
      <c r="V3294" s="8"/>
      <c r="W3294" s="8"/>
      <c r="X3294" s="8"/>
      <c r="Y3294" s="8"/>
      <c r="Z3294" s="8"/>
    </row>
    <row r="3295" spans="1:26" ht="12.75">
      <c r="A3295" s="11">
        <v>43747.16196759259</v>
      </c>
      <c r="B3295" s="12" t="str">
        <f>HYPERLINK("https://twitter.com/selambendenisa","@selambendenisa")</f>
        <v>@selambendenisa</v>
      </c>
      <c r="C3295" s="7" t="s">
        <v>18422</v>
      </c>
      <c r="D3295" s="7" t="s">
        <v>18423</v>
      </c>
      <c r="E3295" s="12" t="str">
        <f>HYPERLINK("https://twitter.com/selambendenisa/status/1181885324865277952","1181885324865277952")</f>
        <v>1181885324865277952</v>
      </c>
      <c r="F3295" s="8"/>
      <c r="G3295" s="15"/>
      <c r="H3295" s="8"/>
      <c r="I3295" s="15">
        <v>0</v>
      </c>
      <c r="J3295" s="15">
        <v>0</v>
      </c>
      <c r="K3295" s="12" t="str">
        <f>HYPERLINK("http://twitter.com/download/android","Twitter for Android")</f>
        <v>Twitter for Android</v>
      </c>
      <c r="L3295" s="16">
        <v>128</v>
      </c>
      <c r="M3295" s="16">
        <v>114</v>
      </c>
      <c r="N3295" s="16">
        <v>0</v>
      </c>
      <c r="O3295" s="17"/>
      <c r="P3295" s="18">
        <v>43534.195023148146</v>
      </c>
      <c r="Q3295" s="7" t="s">
        <v>313</v>
      </c>
      <c r="R3295" s="7" t="s">
        <v>18424</v>
      </c>
      <c r="S3295" s="8"/>
      <c r="T3295" s="8"/>
      <c r="U3295" s="19" t="str">
        <f>HYPERLINK("https://pbs.twimg.com/profile_images/1181680482167279617/vLEB2Vdv.jpg","View")</f>
        <v>View</v>
      </c>
      <c r="V3295" s="8"/>
      <c r="W3295" s="8"/>
      <c r="X3295" s="8"/>
      <c r="Y3295" s="8"/>
      <c r="Z3295" s="8"/>
    </row>
    <row r="3296" spans="1:26" ht="12.75">
      <c r="A3296" s="11">
        <v>43747.161956018521</v>
      </c>
      <c r="B3296" s="12" t="str">
        <f>HYPERLINK("https://twitter.com/GulsumCokguler","@GulsumCokguler")</f>
        <v>@GulsumCokguler</v>
      </c>
      <c r="C3296" s="7" t="s">
        <v>18425</v>
      </c>
      <c r="D3296" s="7" t="s">
        <v>18426</v>
      </c>
      <c r="E3296" s="12" t="str">
        <f>HYPERLINK("https://twitter.com/GulsumCokguler/status/1181885321019084805","1181885321019084805")</f>
        <v>1181885321019084805</v>
      </c>
      <c r="F3296" s="8"/>
      <c r="G3296" s="7"/>
      <c r="H3296" s="8"/>
      <c r="I3296" s="15">
        <v>0</v>
      </c>
      <c r="J3296" s="15">
        <v>0</v>
      </c>
      <c r="K3296" s="12" t="str">
        <f>HYPERLINK("http://twitter.com","Twitter Web Client")</f>
        <v>Twitter Web Client</v>
      </c>
      <c r="L3296" s="16">
        <v>10</v>
      </c>
      <c r="M3296" s="16">
        <v>0</v>
      </c>
      <c r="N3296" s="16">
        <v>0</v>
      </c>
      <c r="O3296" s="17"/>
      <c r="P3296" s="18">
        <v>43703.296932870369</v>
      </c>
      <c r="Q3296" s="7" t="s">
        <v>18427</v>
      </c>
      <c r="R3296" s="7" t="s">
        <v>18428</v>
      </c>
      <c r="S3296" s="15"/>
      <c r="T3296" s="8"/>
      <c r="U3296" s="19" t="str">
        <f>HYPERLINK("https://pbs.twimg.com/profile_images/1166786931012833282/v5K-3w8m.jpg","View")</f>
        <v>View</v>
      </c>
      <c r="V3296" s="8"/>
      <c r="W3296" s="8"/>
      <c r="X3296" s="8"/>
      <c r="Y3296" s="8"/>
      <c r="Z3296" s="8"/>
    </row>
    <row r="3297" spans="1:26" ht="12.75">
      <c r="A3297" s="11">
        <v>43747.161898148144</v>
      </c>
      <c r="B3297" s="12" t="str">
        <f>HYPERLINK("https://twitter.com/AtillaKAPLANN","@AtillaKAPLANN")</f>
        <v>@AtillaKAPLANN</v>
      </c>
      <c r="C3297" s="7" t="s">
        <v>18429</v>
      </c>
      <c r="D3297" s="7" t="s">
        <v>18430</v>
      </c>
      <c r="E3297" s="12" t="str">
        <f>HYPERLINK("https://twitter.com/AtillaKAPLANN/status/1181885298080452609","1181885298080452609")</f>
        <v>1181885298080452609</v>
      </c>
      <c r="F3297" s="8"/>
      <c r="G3297" s="15"/>
      <c r="H3297" s="8"/>
      <c r="I3297" s="15">
        <v>0</v>
      </c>
      <c r="J3297" s="15">
        <v>2</v>
      </c>
      <c r="K3297" s="12" t="str">
        <f>HYPERLINK("http://twitter.com/download/iphone","Twitter for iPhone")</f>
        <v>Twitter for iPhone</v>
      </c>
      <c r="L3297" s="16">
        <v>87</v>
      </c>
      <c r="M3297" s="16">
        <v>89</v>
      </c>
      <c r="N3297" s="16">
        <v>0</v>
      </c>
      <c r="O3297" s="17"/>
      <c r="P3297" s="18">
        <v>43427.552372685182</v>
      </c>
      <c r="Q3297" s="7"/>
      <c r="R3297" s="7" t="s">
        <v>18431</v>
      </c>
      <c r="S3297" s="14" t="s">
        <v>18432</v>
      </c>
      <c r="T3297" s="8"/>
      <c r="U3297" s="19" t="str">
        <f>HYPERLINK("https://pbs.twimg.com/profile_images/1110629847259328517/IWyynBKN.jpg","View")</f>
        <v>View</v>
      </c>
      <c r="V3297" s="8"/>
      <c r="W3297" s="8"/>
      <c r="X3297" s="8"/>
      <c r="Y3297" s="8"/>
      <c r="Z3297" s="8"/>
    </row>
    <row r="3298" spans="1:26" ht="12.75">
      <c r="A3298" s="11">
        <v>43747.161886574075</v>
      </c>
      <c r="B3298" s="12" t="str">
        <f>HYPERLINK("https://twitter.com/levent9246","@levent9246")</f>
        <v>@levent9246</v>
      </c>
      <c r="C3298" s="7" t="s">
        <v>18433</v>
      </c>
      <c r="D3298" s="7" t="s">
        <v>18434</v>
      </c>
      <c r="E3298" s="12" t="str">
        <f>HYPERLINK("https://twitter.com/levent9246/status/1181885294733344769","1181885294733344769")</f>
        <v>1181885294733344769</v>
      </c>
      <c r="F3298" s="8"/>
      <c r="G3298" s="7"/>
      <c r="H3298" s="8"/>
      <c r="I3298" s="15">
        <v>0</v>
      </c>
      <c r="J3298" s="15">
        <v>0</v>
      </c>
      <c r="K3298" s="12" t="str">
        <f>HYPERLINK("http://twitter.com/download/iphone","Twitter for iPhone")</f>
        <v>Twitter for iPhone</v>
      </c>
      <c r="L3298" s="16">
        <v>1303</v>
      </c>
      <c r="M3298" s="16">
        <v>1790</v>
      </c>
      <c r="N3298" s="16">
        <v>0</v>
      </c>
      <c r="O3298" s="17"/>
      <c r="P3298" s="18">
        <v>43143.145335648151</v>
      </c>
      <c r="Q3298" s="7" t="s">
        <v>18435</v>
      </c>
      <c r="R3298" s="7" t="s">
        <v>18436</v>
      </c>
      <c r="S3298" s="8"/>
      <c r="T3298" s="8"/>
      <c r="U3298" s="19" t="str">
        <f>HYPERLINK("https://pbs.twimg.com/profile_images/1151089647772164096/OVE5FZWp.jpg","View")</f>
        <v>View</v>
      </c>
      <c r="V3298" s="8"/>
      <c r="W3298" s="8"/>
      <c r="X3298" s="8"/>
      <c r="Y3298" s="8"/>
      <c r="Z3298" s="8"/>
    </row>
    <row r="3299" spans="1:26" ht="12.75">
      <c r="A3299" s="11">
        <v>43747.161886574075</v>
      </c>
      <c r="B3299" s="12" t="str">
        <f>HYPERLINK("https://twitter.com/Mus_Okuyucu","@Mus_Okuyucu")</f>
        <v>@Mus_Okuyucu</v>
      </c>
      <c r="C3299" s="7" t="s">
        <v>18437</v>
      </c>
      <c r="D3299" s="7" t="s">
        <v>18438</v>
      </c>
      <c r="E3299" s="12" t="str">
        <f>HYPERLINK("https://twitter.com/Mus_Okuyucu/status/1181885293835800577","1181885293835800577")</f>
        <v>1181885293835800577</v>
      </c>
      <c r="F3299" s="8"/>
      <c r="G3299" s="14" t="s">
        <v>18439</v>
      </c>
      <c r="H3299" s="8"/>
      <c r="I3299" s="15">
        <v>0</v>
      </c>
      <c r="J3299" s="15">
        <v>0</v>
      </c>
      <c r="K3299" s="12" t="str">
        <f>HYPERLINK("http://twitter.com/download/android","Twitter for Android")</f>
        <v>Twitter for Android</v>
      </c>
      <c r="L3299" s="16">
        <v>96</v>
      </c>
      <c r="M3299" s="16">
        <v>342</v>
      </c>
      <c r="N3299" s="16">
        <v>0</v>
      </c>
      <c r="O3299" s="17"/>
      <c r="P3299" s="18">
        <v>42915.976655092592</v>
      </c>
      <c r="Q3299" s="7" t="s">
        <v>11017</v>
      </c>
      <c r="R3299" s="7" t="s">
        <v>18440</v>
      </c>
      <c r="S3299" s="8"/>
      <c r="T3299" s="8"/>
      <c r="U3299" s="19" t="str">
        <f>HYPERLINK("https://pbs.twimg.com/profile_images/1119624835905224704/tBh-eRZt.jpg","View")</f>
        <v>View</v>
      </c>
      <c r="V3299" s="8"/>
      <c r="W3299" s="8"/>
      <c r="X3299" s="8"/>
      <c r="Y3299" s="8"/>
      <c r="Z3299" s="8"/>
    </row>
    <row r="3300" spans="1:26" ht="12.75">
      <c r="A3300" s="11">
        <v>43747.161851851852</v>
      </c>
      <c r="B3300" s="12" t="str">
        <f>HYPERLINK("https://twitter.com/yazbeemuhtari","@yazbeemuhtari")</f>
        <v>@yazbeemuhtari</v>
      </c>
      <c r="C3300" s="7" t="s">
        <v>18441</v>
      </c>
      <c r="D3300" s="7" t="s">
        <v>18442</v>
      </c>
      <c r="E3300" s="12" t="str">
        <f>HYPERLINK("https://twitter.com/yazbeemuhtari/status/1181885282825711616","1181885282825711616")</f>
        <v>1181885282825711616</v>
      </c>
      <c r="F3300" s="8"/>
      <c r="G3300" s="7"/>
      <c r="H3300" s="8"/>
      <c r="I3300" s="15">
        <v>5</v>
      </c>
      <c r="J3300" s="15">
        <v>5</v>
      </c>
      <c r="K3300" s="12" t="str">
        <f>HYPERLINK("http://twitter.com/download/iphone","Twitter for iPhone")</f>
        <v>Twitter for iPhone</v>
      </c>
      <c r="L3300" s="16">
        <v>899</v>
      </c>
      <c r="M3300" s="16">
        <v>900</v>
      </c>
      <c r="N3300" s="16">
        <v>0</v>
      </c>
      <c r="O3300" s="17"/>
      <c r="P3300" s="18">
        <v>41927.563298611109</v>
      </c>
      <c r="Q3300" s="7"/>
      <c r="R3300" s="7"/>
      <c r="S3300" s="14" t="s">
        <v>18443</v>
      </c>
      <c r="T3300" s="8"/>
      <c r="U3300" s="19" t="str">
        <f>HYPERLINK("https://pbs.twimg.com/profile_images/1172498646392279041/fHe0jXnU.jpg","View")</f>
        <v>View</v>
      </c>
      <c r="V3300" s="8"/>
      <c r="W3300" s="8"/>
      <c r="X3300" s="8"/>
      <c r="Y3300" s="8"/>
      <c r="Z3300" s="8"/>
    </row>
    <row r="3301" spans="1:26" ht="12.75">
      <c r="A3301" s="11">
        <v>43747.161770833336</v>
      </c>
      <c r="B3301" s="12" t="str">
        <f>HYPERLINK("https://twitter.com/comolliiiiiiiii","@comolliiiiiiiii")</f>
        <v>@comolliiiiiiiii</v>
      </c>
      <c r="C3301" s="7" t="s">
        <v>18444</v>
      </c>
      <c r="D3301" s="7" t="s">
        <v>18445</v>
      </c>
      <c r="E3301" s="12" t="str">
        <f>HYPERLINK("https://twitter.com/comolliiiiiiiii/status/1181885254417702913","1181885254417702913")</f>
        <v>1181885254417702913</v>
      </c>
      <c r="F3301" s="8"/>
      <c r="G3301" s="14" t="s">
        <v>18446</v>
      </c>
      <c r="H3301" s="8"/>
      <c r="I3301" s="15">
        <v>0</v>
      </c>
      <c r="J3301" s="15">
        <v>1</v>
      </c>
      <c r="K3301" s="12" t="str">
        <f>HYPERLINK("http://twitter.com/download/android","Twitter for Android")</f>
        <v>Twitter for Android</v>
      </c>
      <c r="L3301" s="16">
        <v>12</v>
      </c>
      <c r="M3301" s="16">
        <v>178</v>
      </c>
      <c r="N3301" s="16">
        <v>0</v>
      </c>
      <c r="O3301" s="17"/>
      <c r="P3301" s="18">
        <v>43663.390868055554</v>
      </c>
      <c r="Q3301" s="7"/>
      <c r="R3301" s="7"/>
      <c r="S3301" s="8"/>
      <c r="T3301" s="8"/>
      <c r="U3301" s="19" t="str">
        <f>HYPERLINK("https://pbs.twimg.com/profile_images/1159764719286272000/cMZg5U-B.jpg","View")</f>
        <v>View</v>
      </c>
      <c r="V3301" s="8"/>
      <c r="W3301" s="8"/>
      <c r="X3301" s="8"/>
      <c r="Y3301" s="8"/>
      <c r="Z3301" s="8"/>
    </row>
    <row r="3302" spans="1:26" ht="12.75">
      <c r="A3302" s="11">
        <v>43747.161678240736</v>
      </c>
      <c r="B3302" s="12" t="str">
        <f>HYPERLINK("https://twitter.com/Kzulrnssszlgi","@Kzulrnssszlgi")</f>
        <v>@Kzulrnssszlgi</v>
      </c>
      <c r="C3302" s="7" t="s">
        <v>18447</v>
      </c>
      <c r="D3302" s="7" t="s">
        <v>18448</v>
      </c>
      <c r="E3302" s="12" t="str">
        <f>HYPERLINK("https://twitter.com/Kzulrnssszlgi/status/1181885221249208323","1181885221249208323")</f>
        <v>1181885221249208323</v>
      </c>
      <c r="F3302" s="8"/>
      <c r="G3302" s="7"/>
      <c r="H3302" s="8"/>
      <c r="I3302" s="15">
        <v>0</v>
      </c>
      <c r="J3302" s="15">
        <v>0</v>
      </c>
      <c r="K3302" s="12" t="str">
        <f>HYPERLINK("http://twitter.com/download/android","Twitter for Android")</f>
        <v>Twitter for Android</v>
      </c>
      <c r="L3302" s="16">
        <v>70</v>
      </c>
      <c r="M3302" s="16">
        <v>69</v>
      </c>
      <c r="N3302" s="16">
        <v>0</v>
      </c>
      <c r="O3302" s="17"/>
      <c r="P3302" s="18">
        <v>40954.322615740741</v>
      </c>
      <c r="Q3302" s="7"/>
      <c r="R3302" s="7" t="s">
        <v>18449</v>
      </c>
      <c r="S3302" s="8"/>
      <c r="T3302" s="8"/>
      <c r="U3302" s="19" t="str">
        <f>HYPERLINK("https://pbs.twimg.com/profile_images/1137671849876250625/HYL8GDKw.jpg","View")</f>
        <v>View</v>
      </c>
      <c r="V3302" s="8"/>
      <c r="W3302" s="8"/>
      <c r="X3302" s="8"/>
      <c r="Y3302" s="8"/>
      <c r="Z3302" s="8"/>
    </row>
    <row r="3303" spans="1:26" ht="12.75">
      <c r="A3303" s="11">
        <v>43747.161643518513</v>
      </c>
      <c r="B3303" s="12" t="str">
        <f>HYPERLINK("https://twitter.com/bmancilar","@bmancilar")</f>
        <v>@bmancilar</v>
      </c>
      <c r="C3303" s="7" t="s">
        <v>18450</v>
      </c>
      <c r="D3303" s="7" t="s">
        <v>18451</v>
      </c>
      <c r="E3303" s="12" t="str">
        <f>HYPERLINK("https://twitter.com/bmancilar/status/1181885209551294464","1181885209551294464")</f>
        <v>1181885209551294464</v>
      </c>
      <c r="F3303" s="8"/>
      <c r="G3303" s="15"/>
      <c r="H3303" s="8"/>
      <c r="I3303" s="15">
        <v>0</v>
      </c>
      <c r="J3303" s="15">
        <v>0</v>
      </c>
      <c r="K3303" s="12" t="str">
        <f>HYPERLINK("http://twitter.com/download/android","Twitter for Android")</f>
        <v>Twitter for Android</v>
      </c>
      <c r="L3303" s="16">
        <v>54</v>
      </c>
      <c r="M3303" s="16">
        <v>164</v>
      </c>
      <c r="N3303" s="16">
        <v>0</v>
      </c>
      <c r="O3303" s="17"/>
      <c r="P3303" s="18">
        <v>42281.520729166667</v>
      </c>
      <c r="Q3303" s="7" t="s">
        <v>576</v>
      </c>
      <c r="R3303" s="7" t="s">
        <v>18452</v>
      </c>
      <c r="S3303" s="8"/>
      <c r="T3303" s="8"/>
      <c r="U3303" s="19" t="str">
        <f>HYPERLINK("https://pbs.twimg.com/profile_images/1099846326983028738/baFod3d6.jpg","View")</f>
        <v>View</v>
      </c>
      <c r="V3303" s="8"/>
      <c r="W3303" s="8"/>
      <c r="X3303" s="8"/>
      <c r="Y3303" s="8"/>
      <c r="Z3303" s="8"/>
    </row>
    <row r="3304" spans="1:26" ht="12.75">
      <c r="A3304" s="11">
        <v>43747.161597222221</v>
      </c>
      <c r="B3304" s="12" t="str">
        <f>HYPERLINK("https://twitter.com/krmstf18","@krmstf18")</f>
        <v>@krmstf18</v>
      </c>
      <c r="C3304" s="7" t="s">
        <v>18453</v>
      </c>
      <c r="D3304" s="7" t="s">
        <v>18454</v>
      </c>
      <c r="E3304" s="12" t="str">
        <f>HYPERLINK("https://twitter.com/krmstf18/status/1181885190190325760","1181885190190325760")</f>
        <v>1181885190190325760</v>
      </c>
      <c r="F3304" s="8"/>
      <c r="G3304" s="14" t="s">
        <v>18455</v>
      </c>
      <c r="H3304" s="8"/>
      <c r="I3304" s="15">
        <v>0</v>
      </c>
      <c r="J3304" s="15">
        <v>0</v>
      </c>
      <c r="K3304" s="12" t="str">
        <f>HYPERLINK("http://twitter.com/download/android","Twitter for Android")</f>
        <v>Twitter for Android</v>
      </c>
      <c r="L3304" s="16">
        <v>75</v>
      </c>
      <c r="M3304" s="16">
        <v>149</v>
      </c>
      <c r="N3304" s="16">
        <v>1</v>
      </c>
      <c r="O3304" s="17"/>
      <c r="P3304" s="18">
        <v>42260.084722222222</v>
      </c>
      <c r="Q3304" s="7"/>
      <c r="R3304" s="7"/>
      <c r="S3304" s="8"/>
      <c r="T3304" s="8"/>
      <c r="U3304" s="19" t="str">
        <f>HYPERLINK("https://pbs.twimg.com/profile_images/1180084323929731072/7jfZ8eDm.jpg","View")</f>
        <v>View</v>
      </c>
      <c r="V3304" s="8"/>
      <c r="W3304" s="8"/>
      <c r="X3304" s="8"/>
      <c r="Y3304" s="8"/>
      <c r="Z3304" s="8"/>
    </row>
    <row r="3305" spans="1:26" ht="12.75">
      <c r="A3305" s="11">
        <v>43747.161585648151</v>
      </c>
      <c r="B3305" s="12" t="str">
        <f>HYPERLINK("https://twitter.com/YolumuzVatan","@YolumuzVatan")</f>
        <v>@YolumuzVatan</v>
      </c>
      <c r="C3305" s="7" t="s">
        <v>18456</v>
      </c>
      <c r="D3305" s="7" t="s">
        <v>18457</v>
      </c>
      <c r="E3305" s="12" t="str">
        <f>HYPERLINK("https://twitter.com/YolumuzVatan/status/1181885188659466240","1181885188659466240")</f>
        <v>1181885188659466240</v>
      </c>
      <c r="F3305" s="8"/>
      <c r="G3305" s="14" t="s">
        <v>18458</v>
      </c>
      <c r="H3305" s="8"/>
      <c r="I3305" s="15">
        <v>7</v>
      </c>
      <c r="J3305" s="15">
        <v>34</v>
      </c>
      <c r="K3305" s="12" t="str">
        <f>HYPERLINK("http://twitter.com/download/iphone","Twitter for iPhone")</f>
        <v>Twitter for iPhone</v>
      </c>
      <c r="L3305" s="16">
        <v>17720</v>
      </c>
      <c r="M3305" s="16">
        <v>15247</v>
      </c>
      <c r="N3305" s="16">
        <v>8</v>
      </c>
      <c r="O3305" s="17"/>
      <c r="P3305" s="18">
        <v>42139.135300925926</v>
      </c>
      <c r="Q3305" s="7" t="s">
        <v>200</v>
      </c>
      <c r="R3305" s="7"/>
      <c r="S3305" s="8"/>
      <c r="T3305" s="8"/>
      <c r="U3305" s="19" t="str">
        <f>HYPERLINK("https://pbs.twimg.com/profile_images/1114176747895951365/qHxV0LbM.jpg","View")</f>
        <v>View</v>
      </c>
      <c r="V3305" s="8"/>
      <c r="W3305" s="8"/>
      <c r="X3305" s="8"/>
      <c r="Y3305" s="8"/>
      <c r="Z3305" s="8"/>
    </row>
    <row r="3306" spans="1:26" ht="12.75">
      <c r="A3306" s="11">
        <v>43747.161574074074</v>
      </c>
      <c r="B3306" s="12" t="str">
        <f>HYPERLINK("https://twitter.com/zaqa17","@zaqa17")</f>
        <v>@zaqa17</v>
      </c>
      <c r="C3306" s="7" t="s">
        <v>18459</v>
      </c>
      <c r="D3306" s="7" t="s">
        <v>18460</v>
      </c>
      <c r="E3306" s="12" t="str">
        <f>HYPERLINK("https://twitter.com/zaqa17/status/1181885181512372225","1181885181512372225")</f>
        <v>1181885181512372225</v>
      </c>
      <c r="F3306" s="8" t="s">
        <v>18461</v>
      </c>
      <c r="G3306" s="7"/>
      <c r="H3306" s="8"/>
      <c r="I3306" s="15">
        <v>0</v>
      </c>
      <c r="J3306" s="15">
        <v>0</v>
      </c>
      <c r="K3306" s="12" t="str">
        <f>HYPERLINK("https://mobile.twitter.com","Twitter Web App")</f>
        <v>Twitter Web App</v>
      </c>
      <c r="L3306" s="16">
        <v>532</v>
      </c>
      <c r="M3306" s="16">
        <v>434</v>
      </c>
      <c r="N3306" s="16">
        <v>0</v>
      </c>
      <c r="O3306" s="17"/>
      <c r="P3306" s="18">
        <v>40198.608796296292</v>
      </c>
      <c r="Q3306" s="7" t="s">
        <v>18462</v>
      </c>
      <c r="R3306" s="7" t="s">
        <v>18463</v>
      </c>
      <c r="S3306" s="8"/>
      <c r="T3306" s="8"/>
      <c r="U3306" s="19" t="str">
        <f>HYPERLINK("https://pbs.twimg.com/profile_images/1181137450422460417/B5Bq2yVk.jpg","View")</f>
        <v>View</v>
      </c>
      <c r="V3306" s="8"/>
      <c r="W3306" s="8"/>
      <c r="X3306" s="8"/>
      <c r="Y3306" s="8"/>
      <c r="Z3306" s="8"/>
    </row>
    <row r="3307" spans="1:26" ht="12.75">
      <c r="A3307" s="11">
        <v>43747.161481481482</v>
      </c>
      <c r="B3307" s="12" t="str">
        <f>HYPERLINK("https://twitter.com/harunay52293353","@harunay52293353")</f>
        <v>@harunay52293353</v>
      </c>
      <c r="C3307" s="7" t="s">
        <v>18464</v>
      </c>
      <c r="D3307" s="7" t="s">
        <v>18465</v>
      </c>
      <c r="E3307" s="12" t="str">
        <f>HYPERLINK("https://twitter.com/harunay52293353/status/1181885149946028033","1181885149946028033")</f>
        <v>1181885149946028033</v>
      </c>
      <c r="F3307" s="8"/>
      <c r="G3307" s="14" t="s">
        <v>18466</v>
      </c>
      <c r="H3307" s="8"/>
      <c r="I3307" s="15">
        <v>0</v>
      </c>
      <c r="J3307" s="15">
        <v>1</v>
      </c>
      <c r="K3307" s="12" t="str">
        <f>HYPERLINK("http://twitter.com","Twitter Web Client")</f>
        <v>Twitter Web Client</v>
      </c>
      <c r="L3307" s="16">
        <v>22</v>
      </c>
      <c r="M3307" s="16">
        <v>0</v>
      </c>
      <c r="N3307" s="16">
        <v>0</v>
      </c>
      <c r="O3307" s="17"/>
      <c r="P3307" s="18">
        <v>43595.345057870371</v>
      </c>
      <c r="Q3307" s="7" t="s">
        <v>10095</v>
      </c>
      <c r="R3307" s="7" t="s">
        <v>18467</v>
      </c>
      <c r="S3307" s="8"/>
      <c r="T3307" s="8"/>
      <c r="U3307" s="19" t="str">
        <f>HYPERLINK("https://pbs.twimg.com/profile_images/1130844116886073345/HzMywpOm.jpg","View")</f>
        <v>View</v>
      </c>
      <c r="V3307" s="8"/>
      <c r="W3307" s="8"/>
      <c r="X3307" s="8"/>
      <c r="Y3307" s="8"/>
      <c r="Z3307" s="8"/>
    </row>
    <row r="3308" spans="1:26" ht="12.75">
      <c r="A3308" s="11">
        <v>43747.161481481482</v>
      </c>
      <c r="B3308" s="12" t="str">
        <f>HYPERLINK("https://twitter.com/ibo_serdar","@ibo_serdar")</f>
        <v>@ibo_serdar</v>
      </c>
      <c r="C3308" s="7" t="s">
        <v>18468</v>
      </c>
      <c r="D3308" s="7" t="s">
        <v>160</v>
      </c>
      <c r="E3308" s="12" t="str">
        <f>HYPERLINK("https://twitter.com/ibo_serdar/status/1181885149077737473","1181885149077737473")</f>
        <v>1181885149077737473</v>
      </c>
      <c r="F3308" s="14" t="s">
        <v>18469</v>
      </c>
      <c r="G3308" s="7"/>
      <c r="H3308" s="8"/>
      <c r="I3308" s="15">
        <v>0</v>
      </c>
      <c r="J3308" s="15">
        <v>0</v>
      </c>
      <c r="K3308" s="12" t="str">
        <f>HYPERLINK("https://mobile.twitter.com","Twitter Web App")</f>
        <v>Twitter Web App</v>
      </c>
      <c r="L3308" s="16">
        <v>17</v>
      </c>
      <c r="M3308" s="16">
        <v>181</v>
      </c>
      <c r="N3308" s="16">
        <v>0</v>
      </c>
      <c r="O3308" s="17"/>
      <c r="P3308" s="18">
        <v>41211.121990740743</v>
      </c>
      <c r="Q3308" s="7"/>
      <c r="R3308" s="7" t="s">
        <v>18470</v>
      </c>
      <c r="S3308" s="8"/>
      <c r="T3308" s="8"/>
      <c r="U3308" s="19" t="str">
        <f>HYPERLINK("https://pbs.twimg.com/profile_images/1120782301493960711/m3ozHcHp.png","View")</f>
        <v>View</v>
      </c>
      <c r="V3308" s="8"/>
      <c r="W3308" s="8"/>
      <c r="X3308" s="8"/>
      <c r="Y3308" s="8"/>
      <c r="Z3308" s="8"/>
    </row>
    <row r="3309" spans="1:26" ht="12.75">
      <c r="A3309" s="11">
        <v>43747.161481481482</v>
      </c>
      <c r="B3309" s="12" t="str">
        <f>HYPERLINK("https://twitter.com/AhmetOZGER66","@AhmetOZGER66")</f>
        <v>@AhmetOZGER66</v>
      </c>
      <c r="C3309" s="7" t="s">
        <v>18471</v>
      </c>
      <c r="D3309" s="7" t="s">
        <v>18472</v>
      </c>
      <c r="E3309" s="12" t="str">
        <f>HYPERLINK("https://twitter.com/AhmetOZGER66/status/1181885148809371653","1181885148809371653")</f>
        <v>1181885148809371653</v>
      </c>
      <c r="F3309" s="8"/>
      <c r="G3309" s="15"/>
      <c r="H3309" s="8"/>
      <c r="I3309" s="15">
        <v>0</v>
      </c>
      <c r="J3309" s="15">
        <v>0</v>
      </c>
      <c r="K3309" s="12" t="str">
        <f>HYPERLINK("http://twitter.com/download/android","Twitter for Android")</f>
        <v>Twitter for Android</v>
      </c>
      <c r="L3309" s="16">
        <v>78</v>
      </c>
      <c r="M3309" s="16">
        <v>153</v>
      </c>
      <c r="N3309" s="16">
        <v>0</v>
      </c>
      <c r="O3309" s="17"/>
      <c r="P3309" s="18">
        <v>42904.506273148145</v>
      </c>
      <c r="Q3309" s="7"/>
      <c r="R3309" s="7" t="s">
        <v>18473</v>
      </c>
      <c r="S3309" s="8"/>
      <c r="T3309" s="8"/>
      <c r="U3309" s="19" t="str">
        <f>HYPERLINK("https://pbs.twimg.com/profile_images/1155911021736931333/Sid8YlbS.jpg","View")</f>
        <v>View</v>
      </c>
      <c r="V3309" s="8"/>
      <c r="W3309" s="8"/>
      <c r="X3309" s="8"/>
      <c r="Y3309" s="8"/>
      <c r="Z3309" s="8"/>
    </row>
    <row r="3310" spans="1:26" ht="12.75">
      <c r="A3310" s="11">
        <v>43747.161469907413</v>
      </c>
      <c r="B3310" s="12" t="str">
        <f>HYPERLINK("https://twitter.com/hakankalyoncu6","@hakankalyoncu6")</f>
        <v>@hakankalyoncu6</v>
      </c>
      <c r="C3310" s="7" t="s">
        <v>18474</v>
      </c>
      <c r="D3310" s="7" t="s">
        <v>18475</v>
      </c>
      <c r="E3310" s="12" t="str">
        <f>HYPERLINK("https://twitter.com/hakankalyoncu6/status/1181885143470006272","1181885143470006272")</f>
        <v>1181885143470006272</v>
      </c>
      <c r="F3310" s="8"/>
      <c r="G3310" s="7"/>
      <c r="H3310" s="8"/>
      <c r="I3310" s="15">
        <v>0</v>
      </c>
      <c r="J3310" s="15">
        <v>0</v>
      </c>
      <c r="K3310" s="12" t="str">
        <f>HYPERLINK("http://twitter.com/download/android","Twitter for Android")</f>
        <v>Twitter for Android</v>
      </c>
      <c r="L3310" s="16">
        <v>202</v>
      </c>
      <c r="M3310" s="16">
        <v>42</v>
      </c>
      <c r="N3310" s="16">
        <v>0</v>
      </c>
      <c r="O3310" s="17"/>
      <c r="P3310" s="18">
        <v>41541.223865740743</v>
      </c>
      <c r="Q3310" s="7"/>
      <c r="R3310" s="7" t="s">
        <v>18476</v>
      </c>
      <c r="S3310" s="14" t="s">
        <v>18477</v>
      </c>
      <c r="T3310" s="8"/>
      <c r="U3310" s="19" t="str">
        <f>HYPERLINK("https://pbs.twimg.com/profile_images/1078173158925045760/2d2JmvQW.jpg","View")</f>
        <v>View</v>
      </c>
      <c r="V3310" s="8"/>
      <c r="W3310" s="8"/>
      <c r="X3310" s="8"/>
      <c r="Y3310" s="8"/>
      <c r="Z3310" s="8"/>
    </row>
    <row r="3311" spans="1:26" ht="12.75">
      <c r="A3311" s="11">
        <v>43747.161412037036</v>
      </c>
      <c r="B3311" s="12" t="str">
        <f>HYPERLINK("https://twitter.com/nazire_k","@nazire_k")</f>
        <v>@nazire_k</v>
      </c>
      <c r="C3311" s="7" t="s">
        <v>18478</v>
      </c>
      <c r="D3311" s="7" t="s">
        <v>8431</v>
      </c>
      <c r="E3311" s="12" t="str">
        <f>HYPERLINK("https://twitter.com/nazire_k/status/1181885125111504896","1181885125111504896")</f>
        <v>1181885125111504896</v>
      </c>
      <c r="F3311" s="8"/>
      <c r="G3311" s="7"/>
      <c r="H3311" s="8"/>
      <c r="I3311" s="15">
        <v>0</v>
      </c>
      <c r="J3311" s="15">
        <v>0</v>
      </c>
      <c r="K3311" s="12" t="str">
        <f>HYPERLINK("http://twitter.com/download/iphone","Twitter for iPhone")</f>
        <v>Twitter for iPhone</v>
      </c>
      <c r="L3311" s="16">
        <v>72</v>
      </c>
      <c r="M3311" s="16">
        <v>238</v>
      </c>
      <c r="N3311" s="16">
        <v>0</v>
      </c>
      <c r="O3311" s="17"/>
      <c r="P3311" s="18">
        <v>41131.612986111111</v>
      </c>
      <c r="Q3311" s="7"/>
      <c r="R3311" s="7"/>
      <c r="S3311" s="8"/>
      <c r="T3311" s="8"/>
      <c r="U3311" s="19" t="str">
        <f>HYPERLINK("https://pbs.twimg.com/profile_images/2490108460/m1owxcmvm6uv0e6dpdkf.jpeg","View")</f>
        <v>View</v>
      </c>
      <c r="V3311" s="8"/>
      <c r="W3311" s="8"/>
      <c r="X3311" s="8"/>
      <c r="Y3311" s="8"/>
      <c r="Z3311" s="8"/>
    </row>
    <row r="3312" spans="1:26" ht="12.75">
      <c r="A3312" s="11">
        <v>43747.16138888889</v>
      </c>
      <c r="B3312" s="12" t="str">
        <f>HYPERLINK("https://twitter.com/repligo1","@repligo1")</f>
        <v>@repligo1</v>
      </c>
      <c r="C3312" s="7" t="s">
        <v>18479</v>
      </c>
      <c r="D3312" s="7" t="s">
        <v>18480</v>
      </c>
      <c r="E3312" s="12" t="str">
        <f>HYPERLINK("https://twitter.com/repligo1/status/1181885115867238403","1181885115867238403")</f>
        <v>1181885115867238403</v>
      </c>
      <c r="F3312" s="8"/>
      <c r="G3312" s="14" t="s">
        <v>18481</v>
      </c>
      <c r="H3312" s="8"/>
      <c r="I3312" s="15">
        <v>0</v>
      </c>
      <c r="J3312" s="15">
        <v>0</v>
      </c>
      <c r="K3312" s="12" t="str">
        <f>HYPERLINK("http://twitter.com/download/android","Twitter for Android")</f>
        <v>Twitter for Android</v>
      </c>
      <c r="L3312" s="16">
        <v>272</v>
      </c>
      <c r="M3312" s="16">
        <v>398</v>
      </c>
      <c r="N3312" s="16">
        <v>0</v>
      </c>
      <c r="O3312" s="17"/>
      <c r="P3312" s="18">
        <v>42443.490416666667</v>
      </c>
      <c r="Q3312" s="7"/>
      <c r="R3312" s="7"/>
      <c r="S3312" s="8"/>
      <c r="T3312" s="8"/>
      <c r="U3312" s="19" t="str">
        <f>HYPERLINK("https://pbs.twimg.com/profile_images/801104713953460224/sQZDrJ9V.jpg","View")</f>
        <v>View</v>
      </c>
      <c r="V3312" s="8"/>
      <c r="W3312" s="8"/>
      <c r="X3312" s="8"/>
      <c r="Y3312" s="8"/>
      <c r="Z3312" s="8"/>
    </row>
    <row r="3313" spans="1:26" ht="12.75">
      <c r="A3313" s="11">
        <v>43747.16133101852</v>
      </c>
      <c r="B3313" s="12" t="str">
        <f>HYPERLINK("https://twitter.com/SosyologCem","@SosyologCem")</f>
        <v>@SosyologCem</v>
      </c>
      <c r="C3313" s="7" t="s">
        <v>18482</v>
      </c>
      <c r="D3313" s="7" t="s">
        <v>18483</v>
      </c>
      <c r="E3313" s="12" t="str">
        <f>HYPERLINK("https://twitter.com/SosyologCem/status/1181885095982051330","1181885095982051330")</f>
        <v>1181885095982051330</v>
      </c>
      <c r="F3313" s="15"/>
      <c r="G3313" s="7"/>
      <c r="H3313" s="8"/>
      <c r="I3313" s="15">
        <v>0</v>
      </c>
      <c r="J3313" s="15">
        <v>0</v>
      </c>
      <c r="K3313" s="12" t="str">
        <f>HYPERLINK("http://twitter.com/download/android","Twitter for Android")</f>
        <v>Twitter for Android</v>
      </c>
      <c r="L3313" s="16">
        <v>8169</v>
      </c>
      <c r="M3313" s="16">
        <v>8555</v>
      </c>
      <c r="N3313" s="16">
        <v>1</v>
      </c>
      <c r="O3313" s="17"/>
      <c r="P3313" s="18">
        <v>41609.138148148151</v>
      </c>
      <c r="Q3313" s="7" t="s">
        <v>1567</v>
      </c>
      <c r="R3313" s="7" t="s">
        <v>18484</v>
      </c>
      <c r="S3313" s="15"/>
      <c r="T3313" s="8"/>
      <c r="U3313" s="19" t="str">
        <f>HYPERLINK("https://pbs.twimg.com/profile_images/1180861528897134592/XirnUq5x.jpg","View")</f>
        <v>View</v>
      </c>
      <c r="V3313" s="8"/>
      <c r="W3313" s="8"/>
      <c r="X3313" s="8"/>
      <c r="Y3313" s="8"/>
      <c r="Z3313" s="8"/>
    </row>
    <row r="3314" spans="1:26" ht="12.75">
      <c r="A3314" s="11">
        <v>43747.16133101852</v>
      </c>
      <c r="B3314" s="12" t="str">
        <f>HYPERLINK("https://twitter.com/Abdurrahim_Utlu","@Abdurrahim_Utlu")</f>
        <v>@Abdurrahim_Utlu</v>
      </c>
      <c r="C3314" s="7" t="s">
        <v>18485</v>
      </c>
      <c r="D3314" s="7" t="s">
        <v>18486</v>
      </c>
      <c r="E3314" s="12" t="str">
        <f>HYPERLINK("https://twitter.com/Abdurrahim_Utlu/status/1181885095944298502","1181885095944298502")</f>
        <v>1181885095944298502</v>
      </c>
      <c r="F3314" s="8"/>
      <c r="G3314" s="14" t="s">
        <v>18487</v>
      </c>
      <c r="H3314" s="8"/>
      <c r="I3314" s="15">
        <v>0</v>
      </c>
      <c r="J3314" s="15">
        <v>2</v>
      </c>
      <c r="K3314" s="12" t="str">
        <f>HYPERLINK("http://twitter.com/download/android","Twitter for Android")</f>
        <v>Twitter for Android</v>
      </c>
      <c r="L3314" s="16">
        <v>93</v>
      </c>
      <c r="M3314" s="16">
        <v>76</v>
      </c>
      <c r="N3314" s="16">
        <v>0</v>
      </c>
      <c r="O3314" s="17"/>
      <c r="P3314" s="18">
        <v>43415.441932870366</v>
      </c>
      <c r="Q3314" s="7"/>
      <c r="R3314" s="7" t="s">
        <v>18488</v>
      </c>
      <c r="S3314" s="8"/>
      <c r="T3314" s="8"/>
      <c r="U3314" s="19" t="str">
        <f>HYPERLINK("https://pbs.twimg.com/profile_images/1179478095432241153/iD1UAXJE.jpg","View")</f>
        <v>View</v>
      </c>
      <c r="V3314" s="8"/>
      <c r="W3314" s="8"/>
      <c r="X3314" s="8"/>
      <c r="Y3314" s="8"/>
      <c r="Z3314" s="8"/>
    </row>
    <row r="3315" spans="1:26" ht="12.75">
      <c r="A3315" s="11">
        <v>43747.16128472222</v>
      </c>
      <c r="B3315" s="12" t="str">
        <f>HYPERLINK("https://twitter.com/ahmetyagciyagci","@ahmetyagciyagci")</f>
        <v>@ahmetyagciyagci</v>
      </c>
      <c r="C3315" s="7" t="s">
        <v>18489</v>
      </c>
      <c r="D3315" s="7" t="s">
        <v>18490</v>
      </c>
      <c r="E3315" s="12" t="str">
        <f>HYPERLINK("https://twitter.com/ahmetyagciyagci/status/1181885075895541760","1181885075895541760")</f>
        <v>1181885075895541760</v>
      </c>
      <c r="F3315" s="8"/>
      <c r="G3315" s="14" t="s">
        <v>18491</v>
      </c>
      <c r="H3315" s="8"/>
      <c r="I3315" s="15">
        <v>2</v>
      </c>
      <c r="J3315" s="15">
        <v>6</v>
      </c>
      <c r="K3315" s="12" t="str">
        <f>HYPERLINK("http://twitter.com/download/iphone","Twitter for iPhone")</f>
        <v>Twitter for iPhone</v>
      </c>
      <c r="L3315" s="16">
        <v>18975</v>
      </c>
      <c r="M3315" s="16">
        <v>20240</v>
      </c>
      <c r="N3315" s="16">
        <v>26</v>
      </c>
      <c r="O3315" s="17"/>
      <c r="P3315" s="18">
        <v>41294.12773148148</v>
      </c>
      <c r="Q3315" s="7"/>
      <c r="R3315" s="7" t="s">
        <v>8835</v>
      </c>
      <c r="S3315" s="8"/>
      <c r="T3315" s="8"/>
      <c r="U3315" s="19" t="str">
        <f>HYPERLINK("https://pbs.twimg.com/profile_images/1181326323983118338/UgAtWgZN.jpg","View")</f>
        <v>View</v>
      </c>
      <c r="V3315" s="8"/>
      <c r="W3315" s="8"/>
      <c r="X3315" s="8"/>
      <c r="Y3315" s="8"/>
      <c r="Z3315" s="8"/>
    </row>
    <row r="3316" spans="1:26" ht="12.75">
      <c r="A3316" s="11">
        <v>43747.161168981482</v>
      </c>
      <c r="B3316" s="12" t="str">
        <f>HYPERLINK("https://twitter.com/AKocak57","@AKocak57")</f>
        <v>@AKocak57</v>
      </c>
      <c r="C3316" s="7" t="s">
        <v>18492</v>
      </c>
      <c r="D3316" s="7" t="s">
        <v>18493</v>
      </c>
      <c r="E3316" s="12" t="str">
        <f>HYPERLINK("https://twitter.com/AKocak57/status/1181885035965829120","1181885035965829120")</f>
        <v>1181885035965829120</v>
      </c>
      <c r="F3316" s="8"/>
      <c r="G3316" s="15"/>
      <c r="H3316" s="8"/>
      <c r="I3316" s="15">
        <v>1</v>
      </c>
      <c r="J3316" s="15">
        <v>2</v>
      </c>
      <c r="K3316" s="12" t="str">
        <f>HYPERLINK("http://twitter.com/download/android","Twitter for Android")</f>
        <v>Twitter for Android</v>
      </c>
      <c r="L3316" s="16">
        <v>261</v>
      </c>
      <c r="M3316" s="16">
        <v>76</v>
      </c>
      <c r="N3316" s="16">
        <v>1</v>
      </c>
      <c r="O3316" s="17"/>
      <c r="P3316" s="18">
        <v>40678.541377314818</v>
      </c>
      <c r="Q3316" s="7" t="s">
        <v>313</v>
      </c>
      <c r="R3316" s="7" t="s">
        <v>18494</v>
      </c>
      <c r="S3316" s="14" t="s">
        <v>18495</v>
      </c>
      <c r="T3316" s="8"/>
      <c r="U3316" s="19" t="str">
        <f>HYPERLINK("https://pbs.twimg.com/profile_images/1166066767061557248/tEVt4Wep.jpg","View")</f>
        <v>View</v>
      </c>
      <c r="V3316" s="8"/>
      <c r="W3316" s="8"/>
      <c r="X3316" s="8"/>
      <c r="Y3316" s="8"/>
      <c r="Z3316" s="8"/>
    </row>
    <row r="3317" spans="1:26" ht="12.75">
      <c r="A3317" s="11">
        <v>43747.161157407405</v>
      </c>
      <c r="B3317" s="12" t="str">
        <f>HYPERLINK("https://twitter.com/ccc_dgn","@ccc_dgn")</f>
        <v>@ccc_dgn</v>
      </c>
      <c r="C3317" s="7" t="s">
        <v>18496</v>
      </c>
      <c r="D3317" s="7" t="s">
        <v>18497</v>
      </c>
      <c r="E3317" s="12" t="str">
        <f>HYPERLINK("https://twitter.com/ccc_dgn/status/1181885033394638848","1181885033394638848")</f>
        <v>1181885033394638848</v>
      </c>
      <c r="F3317" s="7"/>
      <c r="G3317" s="14" t="s">
        <v>18498</v>
      </c>
      <c r="H3317" s="8"/>
      <c r="I3317" s="15">
        <v>0</v>
      </c>
      <c r="J3317" s="15">
        <v>0</v>
      </c>
      <c r="K3317" s="12" t="str">
        <f>HYPERLINK("http://twitter.com/download/android","Twitter for Android")</f>
        <v>Twitter for Android</v>
      </c>
      <c r="L3317" s="16">
        <v>1</v>
      </c>
      <c r="M3317" s="16">
        <v>23</v>
      </c>
      <c r="N3317" s="16">
        <v>0</v>
      </c>
      <c r="O3317" s="17"/>
      <c r="P3317" s="18">
        <v>43557.262465277774</v>
      </c>
      <c r="Q3317" s="7"/>
      <c r="R3317" s="7"/>
      <c r="S3317" s="8"/>
      <c r="T3317" s="8"/>
      <c r="U3317" s="19" t="str">
        <f>HYPERLINK("https://pbs.twimg.com/profile_images/1181146707297554432/-kA9IdD7.jpg","View")</f>
        <v>View</v>
      </c>
      <c r="V3317" s="8"/>
      <c r="W3317" s="8"/>
      <c r="X3317" s="8"/>
      <c r="Y3317" s="8"/>
      <c r="Z3317" s="8"/>
    </row>
    <row r="3318" spans="1:26" ht="12.75">
      <c r="A3318" s="11">
        <v>43747.161157407405</v>
      </c>
      <c r="B3318" s="12" t="str">
        <f>HYPERLINK("https://twitter.com/RMelihKenan","@RMelihKenan")</f>
        <v>@RMelihKenan</v>
      </c>
      <c r="C3318" s="7" t="s">
        <v>18499</v>
      </c>
      <c r="D3318" s="7" t="s">
        <v>160</v>
      </c>
      <c r="E3318" s="12" t="str">
        <f>HYPERLINK("https://twitter.com/RMelihKenan/status/1181885032778076160","1181885032778076160")</f>
        <v>1181885032778076160</v>
      </c>
      <c r="F3318" s="8"/>
      <c r="G3318" s="7"/>
      <c r="H3318" s="8"/>
      <c r="I3318" s="15">
        <v>0</v>
      </c>
      <c r="J3318" s="15">
        <v>0</v>
      </c>
      <c r="K3318" s="12" t="str">
        <f>HYPERLINK("https://mobile.twitter.com","Twitter Web App")</f>
        <v>Twitter Web App</v>
      </c>
      <c r="L3318" s="16">
        <v>164</v>
      </c>
      <c r="M3318" s="16">
        <v>99</v>
      </c>
      <c r="N3318" s="16">
        <v>0</v>
      </c>
      <c r="O3318" s="17"/>
      <c r="P3318" s="18">
        <v>42598.655439814815</v>
      </c>
      <c r="Q3318" s="7" t="s">
        <v>313</v>
      </c>
      <c r="R3318" s="7" t="s">
        <v>18500</v>
      </c>
      <c r="S3318" s="8"/>
      <c r="T3318" s="8"/>
      <c r="U3318" s="19" t="str">
        <f>HYPERLINK("https://pbs.twimg.com/profile_images/765682676493905920/EoDFT075.jpg","View")</f>
        <v>View</v>
      </c>
      <c r="V3318" s="8"/>
      <c r="W3318" s="8"/>
      <c r="X3318" s="8"/>
      <c r="Y3318" s="8"/>
      <c r="Z3318" s="8"/>
    </row>
    <row r="3319" spans="1:26" ht="12.75">
      <c r="A3319" s="11">
        <v>43747.161134259259</v>
      </c>
      <c r="B3319" s="12" t="str">
        <f>HYPERLINK("https://twitter.com/SerdarKaplan44","@SerdarKaplan44")</f>
        <v>@SerdarKaplan44</v>
      </c>
      <c r="C3319" s="7" t="s">
        <v>18501</v>
      </c>
      <c r="D3319" s="7" t="s">
        <v>18502</v>
      </c>
      <c r="E3319" s="12" t="str">
        <f>HYPERLINK("https://twitter.com/SerdarKaplan44/status/1181885022363631616","1181885022363631616")</f>
        <v>1181885022363631616</v>
      </c>
      <c r="F3319" s="8"/>
      <c r="G3319" s="14" t="s">
        <v>18503</v>
      </c>
      <c r="H3319" s="8"/>
      <c r="I3319" s="15">
        <v>0</v>
      </c>
      <c r="J3319" s="15">
        <v>1</v>
      </c>
      <c r="K3319" s="12" t="str">
        <f>HYPERLINK("http://twitter.com/download/iphone","Twitter for iPhone")</f>
        <v>Twitter for iPhone</v>
      </c>
      <c r="L3319" s="16">
        <v>432</v>
      </c>
      <c r="M3319" s="16">
        <v>374</v>
      </c>
      <c r="N3319" s="16">
        <v>0</v>
      </c>
      <c r="O3319" s="17"/>
      <c r="P3319" s="18">
        <v>43420.163564814815</v>
      </c>
      <c r="Q3319" s="7" t="s">
        <v>1343</v>
      </c>
      <c r="R3319" s="7" t="s">
        <v>18504</v>
      </c>
      <c r="S3319" s="14" t="s">
        <v>18505</v>
      </c>
      <c r="T3319" s="8"/>
      <c r="U3319" s="19" t="str">
        <f>HYPERLINK("https://pbs.twimg.com/profile_images/1068171808896094208/lri_LYxY.jpg","View")</f>
        <v>View</v>
      </c>
      <c r="V3319" s="8"/>
      <c r="W3319" s="8"/>
      <c r="X3319" s="8"/>
      <c r="Y3319" s="8"/>
      <c r="Z3319" s="8"/>
    </row>
    <row r="3320" spans="1:26" ht="12.75">
      <c r="A3320" s="11">
        <v>43747.161099537036</v>
      </c>
      <c r="B3320" s="12" t="str">
        <f>HYPERLINK("https://twitter.com/m_aliii_","@m_aliii_")</f>
        <v>@m_aliii_</v>
      </c>
      <c r="C3320" s="7" t="s">
        <v>18506</v>
      </c>
      <c r="D3320" s="7" t="s">
        <v>18507</v>
      </c>
      <c r="E3320" s="12" t="str">
        <f>HYPERLINK("https://twitter.com/m_aliii_/status/1181885011743707136","1181885011743707136")</f>
        <v>1181885011743707136</v>
      </c>
      <c r="F3320" s="8"/>
      <c r="G3320" s="7"/>
      <c r="H3320" s="8"/>
      <c r="I3320" s="15">
        <v>0</v>
      </c>
      <c r="J3320" s="15">
        <v>2</v>
      </c>
      <c r="K3320" s="12" t="str">
        <f>HYPERLINK("http://twitter.com/download/android","Twitter for Android")</f>
        <v>Twitter for Android</v>
      </c>
      <c r="L3320" s="16">
        <v>787</v>
      </c>
      <c r="M3320" s="16">
        <v>959</v>
      </c>
      <c r="N3320" s="16">
        <v>1</v>
      </c>
      <c r="O3320" s="17"/>
      <c r="P3320" s="18">
        <v>40688.147326388891</v>
      </c>
      <c r="Q3320" s="7" t="s">
        <v>18508</v>
      </c>
      <c r="R3320" s="7" t="s">
        <v>18509</v>
      </c>
      <c r="S3320" s="8"/>
      <c r="T3320" s="8"/>
      <c r="U3320" s="19" t="str">
        <f>HYPERLINK("https://pbs.twimg.com/profile_images/1177864485492711425/JAjydmGg.jpg","View")</f>
        <v>View</v>
      </c>
      <c r="V3320" s="8"/>
      <c r="W3320" s="8"/>
      <c r="X3320" s="8"/>
      <c r="Y3320" s="8"/>
      <c r="Z3320" s="8"/>
    </row>
    <row r="3321" spans="1:26" ht="12.75">
      <c r="A3321" s="11">
        <v>43747.161076388889</v>
      </c>
      <c r="B3321" s="12" t="str">
        <f>HYPERLINK("https://twitter.com/mustafaerken34","@mustafaerken34")</f>
        <v>@mustafaerken34</v>
      </c>
      <c r="C3321" s="7" t="s">
        <v>18510</v>
      </c>
      <c r="D3321" s="7" t="s">
        <v>18511</v>
      </c>
      <c r="E3321" s="12" t="str">
        <f>HYPERLINK("https://twitter.com/mustafaerken34/status/1181885001761202176","1181885001761202176")</f>
        <v>1181885001761202176</v>
      </c>
      <c r="F3321" s="8"/>
      <c r="G3321" s="14" t="s">
        <v>18512</v>
      </c>
      <c r="H3321" s="8"/>
      <c r="I3321" s="15">
        <v>3</v>
      </c>
      <c r="J3321" s="15">
        <v>5</v>
      </c>
      <c r="K3321" s="12" t="str">
        <f>HYPERLINK("http://twitter.com/download/android","Twitter for Android")</f>
        <v>Twitter for Android</v>
      </c>
      <c r="L3321" s="16">
        <v>442</v>
      </c>
      <c r="M3321" s="16">
        <v>792</v>
      </c>
      <c r="N3321" s="16">
        <v>0</v>
      </c>
      <c r="O3321" s="17"/>
      <c r="P3321" s="18">
        <v>42177.366342592592</v>
      </c>
      <c r="Q3321" s="7" t="s">
        <v>313</v>
      </c>
      <c r="R3321" s="7" t="s">
        <v>18513</v>
      </c>
      <c r="S3321" s="8"/>
      <c r="T3321" s="8"/>
      <c r="U3321" s="19" t="str">
        <f>HYPERLINK("https://pbs.twimg.com/profile_images/1174947201346203649/NeJwjj6I.jpg","View")</f>
        <v>View</v>
      </c>
      <c r="V3321" s="8"/>
      <c r="W3321" s="8"/>
      <c r="X3321" s="8"/>
      <c r="Y3321" s="8"/>
      <c r="Z3321" s="8"/>
    </row>
    <row r="3322" spans="1:26" ht="12.75">
      <c r="A3322" s="11">
        <v>43747.161006944443</v>
      </c>
      <c r="B3322" s="12" t="str">
        <f>HYPERLINK("https://twitter.com/KiralMiran","@KiralMiran")</f>
        <v>@KiralMiran</v>
      </c>
      <c r="C3322" s="7" t="s">
        <v>18514</v>
      </c>
      <c r="D3322" s="7" t="s">
        <v>18515</v>
      </c>
      <c r="E3322" s="12" t="str">
        <f>HYPERLINK("https://twitter.com/KiralMiran/status/1181884977241362432","1181884977241362432")</f>
        <v>1181884977241362432</v>
      </c>
      <c r="F3322" s="8"/>
      <c r="G3322" s="15"/>
      <c r="H3322" s="8"/>
      <c r="I3322" s="15">
        <v>0</v>
      </c>
      <c r="J3322" s="15">
        <v>0</v>
      </c>
      <c r="K3322" s="12" t="str">
        <f>HYPERLINK("http://twitter.com","Twitter Web Client")</f>
        <v>Twitter Web Client</v>
      </c>
      <c r="L3322" s="16">
        <v>6</v>
      </c>
      <c r="M3322" s="16">
        <v>0</v>
      </c>
      <c r="N3322" s="16">
        <v>0</v>
      </c>
      <c r="O3322" s="17"/>
      <c r="P3322" s="18">
        <v>43668.854062500002</v>
      </c>
      <c r="Q3322" s="7" t="s">
        <v>14010</v>
      </c>
      <c r="R3322" s="7" t="s">
        <v>18516</v>
      </c>
      <c r="S3322" s="8"/>
      <c r="T3322" s="8"/>
      <c r="U3322" s="19" t="str">
        <f>HYPERLINK("https://pbs.twimg.com/profile_images/1153751685640204289/U4q5l5hH.jpg","View")</f>
        <v>View</v>
      </c>
      <c r="V3322" s="8"/>
      <c r="W3322" s="8"/>
      <c r="X3322" s="8"/>
      <c r="Y3322" s="8"/>
      <c r="Z3322" s="8"/>
    </row>
    <row r="3323" spans="1:26" ht="12.75">
      <c r="A3323" s="11">
        <v>43747.16097222222</v>
      </c>
      <c r="B3323" s="12" t="str">
        <f>HYPERLINK("https://twitter.com/Melisa72703435","@Melisa72703435")</f>
        <v>@Melisa72703435</v>
      </c>
      <c r="C3323" s="7" t="s">
        <v>18517</v>
      </c>
      <c r="D3323" s="7" t="s">
        <v>160</v>
      </c>
      <c r="E3323" s="12" t="str">
        <f>HYPERLINK("https://twitter.com/Melisa72703435/status/1181884962276040704","1181884962276040704")</f>
        <v>1181884962276040704</v>
      </c>
      <c r="F3323" s="8"/>
      <c r="G3323" s="15"/>
      <c r="H3323" s="8"/>
      <c r="I3323" s="15">
        <v>0</v>
      </c>
      <c r="J3323" s="15">
        <v>0</v>
      </c>
      <c r="K3323" s="12" t="str">
        <f>HYPERLINK("https://mobile.twitter.com","Twitter Web App")</f>
        <v>Twitter Web App</v>
      </c>
      <c r="L3323" s="16">
        <v>3</v>
      </c>
      <c r="M3323" s="16">
        <v>192</v>
      </c>
      <c r="N3323" s="16">
        <v>0</v>
      </c>
      <c r="O3323" s="17"/>
      <c r="P3323" s="18">
        <v>43522.525092592594</v>
      </c>
      <c r="Q3323" s="7"/>
      <c r="R3323" s="7" t="s">
        <v>18518</v>
      </c>
      <c r="S3323" s="8"/>
      <c r="T3323" s="8"/>
      <c r="U3323" s="19" t="str">
        <f>HYPERLINK("https://pbs.twimg.com/profile_images/1100495426468352000/_rJu4hp6.jpg","View")</f>
        <v>View</v>
      </c>
      <c r="V3323" s="8"/>
      <c r="W3323" s="8"/>
      <c r="X3323" s="8"/>
      <c r="Y3323" s="8"/>
      <c r="Z3323" s="8"/>
    </row>
    <row r="3324" spans="1:26" ht="12.75">
      <c r="A3324" s="11">
        <v>43747.160937499997</v>
      </c>
      <c r="B3324" s="12" t="str">
        <f>HYPERLINK("https://twitter.com/mehmet55ozdemi1","@mehmet55ozdemi1")</f>
        <v>@mehmet55ozdemi1</v>
      </c>
      <c r="C3324" s="7" t="s">
        <v>18519</v>
      </c>
      <c r="D3324" s="7" t="s">
        <v>160</v>
      </c>
      <c r="E3324" s="12" t="str">
        <f>HYPERLINK("https://twitter.com/mehmet55ozdemi1/status/1181884951614152704","1181884951614152704")</f>
        <v>1181884951614152704</v>
      </c>
      <c r="F3324" s="8"/>
      <c r="G3324" s="14" t="s">
        <v>18520</v>
      </c>
      <c r="H3324" s="8"/>
      <c r="I3324" s="15">
        <v>0</v>
      </c>
      <c r="J3324" s="15">
        <v>0</v>
      </c>
      <c r="K3324" s="12" t="str">
        <f>HYPERLINK("http://twitter.com/download/iphone","Twitter for iPhone")</f>
        <v>Twitter for iPhone</v>
      </c>
      <c r="L3324" s="16">
        <v>12</v>
      </c>
      <c r="M3324" s="16">
        <v>32</v>
      </c>
      <c r="N3324" s="16">
        <v>0</v>
      </c>
      <c r="O3324" s="17"/>
      <c r="P3324" s="18">
        <v>41857.593263888892</v>
      </c>
      <c r="Q3324" s="7"/>
      <c r="R3324" s="7"/>
      <c r="S3324" s="8"/>
      <c r="T3324" s="8"/>
      <c r="U3324" s="19" t="str">
        <f>HYPERLINK("https://pbs.twimg.com/profile_images/1168129520102256642/xiLgJt0p.jpg","View")</f>
        <v>View</v>
      </c>
      <c r="V3324" s="8"/>
      <c r="W3324" s="8"/>
      <c r="X3324" s="8"/>
      <c r="Y3324" s="8"/>
      <c r="Z3324" s="8"/>
    </row>
    <row r="3325" spans="1:26" ht="12.75">
      <c r="A3325" s="11">
        <v>43747.160914351851</v>
      </c>
      <c r="B3325" s="12" t="str">
        <f>HYPERLINK("https://twitter.com/sezooo1907","@sezooo1907")</f>
        <v>@sezooo1907</v>
      </c>
      <c r="C3325" s="7" t="s">
        <v>18521</v>
      </c>
      <c r="D3325" s="7" t="s">
        <v>18522</v>
      </c>
      <c r="E3325" s="12" t="str">
        <f>HYPERLINK("https://twitter.com/sezooo1907/status/1181884945167507457","1181884945167507457")</f>
        <v>1181884945167507457</v>
      </c>
      <c r="F3325" s="8"/>
      <c r="G3325" s="15"/>
      <c r="H3325" s="8"/>
      <c r="I3325" s="15">
        <v>0</v>
      </c>
      <c r="J3325" s="15">
        <v>0</v>
      </c>
      <c r="K3325" s="12" t="str">
        <f>HYPERLINK("http://twitter.com/download/iphone","Twitter for iPhone")</f>
        <v>Twitter for iPhone</v>
      </c>
      <c r="L3325" s="16">
        <v>179</v>
      </c>
      <c r="M3325" s="16">
        <v>663</v>
      </c>
      <c r="N3325" s="16">
        <v>0</v>
      </c>
      <c r="O3325" s="17"/>
      <c r="P3325" s="18">
        <v>40902.485625000001</v>
      </c>
      <c r="Q3325" s="7" t="s">
        <v>18523</v>
      </c>
      <c r="R3325" s="7" t="s">
        <v>18524</v>
      </c>
      <c r="S3325" s="8"/>
      <c r="T3325" s="8"/>
      <c r="U3325" s="19" t="str">
        <f>HYPERLINK("https://pbs.twimg.com/profile_images/3623347135/d5b6793bd4fb6ddc98ea9bdb1ad758fd.jpeg","View")</f>
        <v>View</v>
      </c>
      <c r="V3325" s="8"/>
      <c r="W3325" s="8"/>
      <c r="X3325" s="8"/>
      <c r="Y3325" s="8"/>
      <c r="Z3325" s="8"/>
    </row>
    <row r="3326" spans="1:26" ht="12.75">
      <c r="A3326" s="11">
        <v>43747.160879629635</v>
      </c>
      <c r="B3326" s="12" t="str">
        <f>HYPERLINK("https://twitter.com/ALI_1987_UA","@ALI_1987_UA")</f>
        <v>@ALI_1987_UA</v>
      </c>
      <c r="C3326" s="7" t="s">
        <v>18525</v>
      </c>
      <c r="D3326" s="7" t="s">
        <v>17915</v>
      </c>
      <c r="E3326" s="12" t="str">
        <f>HYPERLINK("https://twitter.com/ALI_1987_UA/status/1181884929963110401","1181884929963110401")</f>
        <v>1181884929963110401</v>
      </c>
      <c r="F3326" s="8"/>
      <c r="G3326" s="14" t="s">
        <v>18526</v>
      </c>
      <c r="H3326" s="8"/>
      <c r="I3326" s="15">
        <v>0</v>
      </c>
      <c r="J3326" s="15">
        <v>0</v>
      </c>
      <c r="K3326" s="12" t="str">
        <f>HYPERLINK("http://twitter.com/download/android","Twitter for Android")</f>
        <v>Twitter for Android</v>
      </c>
      <c r="L3326" s="16">
        <v>24</v>
      </c>
      <c r="M3326" s="16">
        <v>385</v>
      </c>
      <c r="N3326" s="16">
        <v>0</v>
      </c>
      <c r="O3326" s="17"/>
      <c r="P3326" s="18">
        <v>43246.636620370366</v>
      </c>
      <c r="Q3326" s="7" t="s">
        <v>6778</v>
      </c>
      <c r="R3326" s="7" t="s">
        <v>18527</v>
      </c>
      <c r="S3326" s="8"/>
      <c r="T3326" s="8"/>
      <c r="U3326" s="19" t="str">
        <f>HYPERLINK("https://pbs.twimg.com/profile_images/1000501782748057607/aBqmS0aA.jpg","View")</f>
        <v>View</v>
      </c>
      <c r="V3326" s="8"/>
      <c r="W3326" s="8"/>
      <c r="X3326" s="8"/>
      <c r="Y3326" s="8"/>
      <c r="Z3326" s="8"/>
    </row>
    <row r="3327" spans="1:26" ht="12.75">
      <c r="A3327" s="11">
        <v>43747.160879629635</v>
      </c>
      <c r="B3327" s="12" t="str">
        <f>HYPERLINK("https://twitter.com/tespitolog","@tespitolog")</f>
        <v>@tespitolog</v>
      </c>
      <c r="C3327" s="7" t="s">
        <v>18528</v>
      </c>
      <c r="D3327" s="7" t="s">
        <v>18529</v>
      </c>
      <c r="E3327" s="12" t="str">
        <f>HYPERLINK("https://twitter.com/tespitolog/status/1181884928633573381","1181884928633573381")</f>
        <v>1181884928633573381</v>
      </c>
      <c r="F3327" s="8"/>
      <c r="G3327" s="7"/>
      <c r="H3327" s="8"/>
      <c r="I3327" s="15">
        <v>0</v>
      </c>
      <c r="J3327" s="15">
        <v>0</v>
      </c>
      <c r="K3327" s="12" t="str">
        <f>HYPERLINK("http://twitter.com/download/iphone","Twitter for iPhone")</f>
        <v>Twitter for iPhone</v>
      </c>
      <c r="L3327" s="16">
        <v>139179</v>
      </c>
      <c r="M3327" s="16">
        <v>147</v>
      </c>
      <c r="N3327" s="16">
        <v>185</v>
      </c>
      <c r="O3327" s="17"/>
      <c r="P3327" s="18">
        <v>40423.487453703703</v>
      </c>
      <c r="Q3327" s="7" t="s">
        <v>18530</v>
      </c>
      <c r="R3327" s="13" t="s">
        <v>18531</v>
      </c>
      <c r="S3327" s="14" t="s">
        <v>18532</v>
      </c>
      <c r="T3327" s="8"/>
      <c r="U3327" s="19" t="str">
        <f>HYPERLINK("https://pbs.twimg.com/profile_images/606182918222848000/IuDpdOit.png","View")</f>
        <v>View</v>
      </c>
      <c r="V3327" s="8"/>
      <c r="W3327" s="8"/>
      <c r="X3327" s="8"/>
      <c r="Y3327" s="8"/>
      <c r="Z3327" s="8"/>
    </row>
    <row r="3328" spans="1:26" ht="12.75">
      <c r="A3328" s="11">
        <v>43747.160821759258</v>
      </c>
      <c r="B3328" s="12" t="str">
        <f>HYPERLINK("https://twitter.com/visal42","@visal42")</f>
        <v>@visal42</v>
      </c>
      <c r="C3328" s="7" t="s">
        <v>18533</v>
      </c>
      <c r="D3328" s="7" t="s">
        <v>18534</v>
      </c>
      <c r="E3328" s="12" t="str">
        <f>HYPERLINK("https://twitter.com/visal42/status/1181884911633993728","1181884911633993728")</f>
        <v>1181884911633993728</v>
      </c>
      <c r="F3328" s="8"/>
      <c r="G3328" s="15"/>
      <c r="H3328" s="8"/>
      <c r="I3328" s="15">
        <v>0</v>
      </c>
      <c r="J3328" s="15">
        <v>0</v>
      </c>
      <c r="K3328" s="12" t="str">
        <f>HYPERLINK("http://twitter.com/download/android","Twitter for Android")</f>
        <v>Twitter for Android</v>
      </c>
      <c r="L3328" s="16">
        <v>45</v>
      </c>
      <c r="M3328" s="16">
        <v>247</v>
      </c>
      <c r="N3328" s="16">
        <v>0</v>
      </c>
      <c r="O3328" s="17"/>
      <c r="P3328" s="18">
        <v>40678.318877314814</v>
      </c>
      <c r="Q3328" s="7"/>
      <c r="R3328" s="7" t="s">
        <v>18535</v>
      </c>
      <c r="S3328" s="8"/>
      <c r="T3328" s="8"/>
      <c r="U3328" s="19" t="str">
        <f>HYPERLINK("https://pbs.twimg.com/profile_images/774365851034193920/xnPbt7b1.jpg","View")</f>
        <v>View</v>
      </c>
      <c r="V3328" s="8"/>
      <c r="W3328" s="8"/>
      <c r="X3328" s="8"/>
      <c r="Y3328" s="8"/>
      <c r="Z3328" s="8"/>
    </row>
    <row r="3329" spans="1:26" ht="12.75">
      <c r="A3329" s="11">
        <v>43747.160717592589</v>
      </c>
      <c r="B3329" s="12" t="str">
        <f>HYPERLINK("https://twitter.com/eyyupguvn","@eyyupguvn")</f>
        <v>@eyyupguvn</v>
      </c>
      <c r="C3329" s="7" t="s">
        <v>18536</v>
      </c>
      <c r="D3329" s="7" t="s">
        <v>160</v>
      </c>
      <c r="E3329" s="12" t="str">
        <f>HYPERLINK("https://twitter.com/eyyupguvn/status/1181884871356145664","1181884871356145664")</f>
        <v>1181884871356145664</v>
      </c>
      <c r="F3329" s="8"/>
      <c r="G3329" s="14" t="s">
        <v>18537</v>
      </c>
      <c r="H3329" s="8"/>
      <c r="I3329" s="15">
        <v>0</v>
      </c>
      <c r="J3329" s="15">
        <v>2</v>
      </c>
      <c r="K3329" s="12" t="str">
        <f>HYPERLINK("http://twitter.com/download/android","Twitter for Android")</f>
        <v>Twitter for Android</v>
      </c>
      <c r="L3329" s="16">
        <v>1652</v>
      </c>
      <c r="M3329" s="16">
        <v>5001</v>
      </c>
      <c r="N3329" s="16">
        <v>0</v>
      </c>
      <c r="O3329" s="17"/>
      <c r="P3329" s="18">
        <v>42574.420289351852</v>
      </c>
      <c r="Q3329" s="7" t="s">
        <v>18538</v>
      </c>
      <c r="R3329" s="7" t="s">
        <v>18539</v>
      </c>
      <c r="S3329" s="14" t="s">
        <v>18540</v>
      </c>
      <c r="T3329" s="8"/>
      <c r="U3329" s="19" t="str">
        <f>HYPERLINK("https://pbs.twimg.com/profile_images/1150875135177633794/xKywAOC2.jpg","View")</f>
        <v>View</v>
      </c>
      <c r="V3329" s="8"/>
      <c r="W3329" s="8"/>
      <c r="X3329" s="8"/>
      <c r="Y3329" s="8"/>
      <c r="Z3329" s="8"/>
    </row>
    <row r="3330" spans="1:26" ht="12.75">
      <c r="A3330" s="11">
        <v>43747.160717592589</v>
      </c>
      <c r="B3330" s="12" t="str">
        <f>HYPERLINK("https://twitter.com/EminKay05461238","@EminKay05461238")</f>
        <v>@EminKay05461238</v>
      </c>
      <c r="C3330" s="7" t="s">
        <v>18541</v>
      </c>
      <c r="D3330" s="7" t="s">
        <v>18542</v>
      </c>
      <c r="E3330" s="12" t="str">
        <f>HYPERLINK("https://twitter.com/EminKay05461238/status/1181884870995435520","1181884870995435520")</f>
        <v>1181884870995435520</v>
      </c>
      <c r="F3330" s="8"/>
      <c r="G3330" s="15"/>
      <c r="H3330" s="8"/>
      <c r="I3330" s="15">
        <v>0</v>
      </c>
      <c r="J3330" s="15">
        <v>0</v>
      </c>
      <c r="K3330" s="12" t="str">
        <f>HYPERLINK("http://twitter.com/download/android","Twitter for Android")</f>
        <v>Twitter for Android</v>
      </c>
      <c r="L3330" s="16">
        <v>1706</v>
      </c>
      <c r="M3330" s="16">
        <v>2538</v>
      </c>
      <c r="N3330" s="16">
        <v>0</v>
      </c>
      <c r="O3330" s="17"/>
      <c r="P3330" s="18">
        <v>42523.51295138889</v>
      </c>
      <c r="Q3330" s="7"/>
      <c r="R3330" s="7" t="s">
        <v>18543</v>
      </c>
      <c r="S3330" s="8"/>
      <c r="T3330" s="8"/>
      <c r="U3330" s="19" t="str">
        <f>HYPERLINK("https://pbs.twimg.com/profile_images/1064624895949185024/2zZB36iA.jpg","View")</f>
        <v>View</v>
      </c>
      <c r="V3330" s="8"/>
      <c r="W3330" s="8"/>
      <c r="X3330" s="8"/>
      <c r="Y3330" s="8"/>
      <c r="Z3330" s="8"/>
    </row>
    <row r="3331" spans="1:26" ht="12.75">
      <c r="A3331" s="11">
        <v>43747.160717592589</v>
      </c>
      <c r="B3331" s="12" t="str">
        <f>HYPERLINK("https://twitter.com/Fatihcanruh","@Fatihcanruh")</f>
        <v>@Fatihcanruh</v>
      </c>
      <c r="C3331" s="7" t="s">
        <v>18544</v>
      </c>
      <c r="D3331" s="7" t="s">
        <v>18545</v>
      </c>
      <c r="E3331" s="12" t="str">
        <f>HYPERLINK("https://twitter.com/Fatihcanruh/status/1181884869930037249","1181884869930037249")</f>
        <v>1181884869930037249</v>
      </c>
      <c r="F3331" s="15"/>
      <c r="G3331" s="7"/>
      <c r="H3331" s="8"/>
      <c r="I3331" s="15">
        <v>0</v>
      </c>
      <c r="J3331" s="15">
        <v>0</v>
      </c>
      <c r="K3331" s="12" t="str">
        <f>HYPERLINK("http://twitter.com/download/iphone","Twitter for iPhone")</f>
        <v>Twitter for iPhone</v>
      </c>
      <c r="L3331" s="16">
        <v>40</v>
      </c>
      <c r="M3331" s="16">
        <v>35</v>
      </c>
      <c r="N3331" s="16">
        <v>0</v>
      </c>
      <c r="O3331" s="17"/>
      <c r="P3331" s="18">
        <v>40264.901273148149</v>
      </c>
      <c r="Q3331" s="7"/>
      <c r="R3331" s="7"/>
      <c r="S3331" s="15"/>
      <c r="T3331" s="8"/>
      <c r="U3331" s="19" t="str">
        <f>HYPERLINK("https://pbs.twimg.com/profile_images/1024188173000294400/tLC-0v3U.jpg","View")</f>
        <v>View</v>
      </c>
      <c r="V3331" s="8"/>
      <c r="W3331" s="8"/>
      <c r="X3331" s="8"/>
      <c r="Y3331" s="8"/>
      <c r="Z3331" s="8"/>
    </row>
    <row r="3332" spans="1:26" ht="12.75">
      <c r="A3332" s="11">
        <v>43747.160694444443</v>
      </c>
      <c r="B3332" s="12" t="str">
        <f>HYPERLINK("https://twitter.com/sefirzarkociyan","@sefirzarkociyan")</f>
        <v>@sefirzarkociyan</v>
      </c>
      <c r="C3332" s="7" t="s">
        <v>18546</v>
      </c>
      <c r="D3332" s="7" t="s">
        <v>18547</v>
      </c>
      <c r="E3332" s="12" t="str">
        <f>HYPERLINK("https://twitter.com/sefirzarkociyan/status/1181884862095089664","1181884862095089664")</f>
        <v>1181884862095089664</v>
      </c>
      <c r="F3332" s="8"/>
      <c r="G3332" s="7"/>
      <c r="H3332" s="8"/>
      <c r="I3332" s="15">
        <v>0</v>
      </c>
      <c r="J3332" s="15">
        <v>0</v>
      </c>
      <c r="K3332" s="12" t="str">
        <f>HYPERLINK("http://twitter.com/download/iphone","Twitter for iPhone")</f>
        <v>Twitter for iPhone</v>
      </c>
      <c r="L3332" s="16">
        <v>12</v>
      </c>
      <c r="M3332" s="16">
        <v>207</v>
      </c>
      <c r="N3332" s="16">
        <v>0</v>
      </c>
      <c r="O3332" s="17"/>
      <c r="P3332" s="18">
        <v>43738.408229166671</v>
      </c>
      <c r="Q3332" s="7"/>
      <c r="R3332" s="7" t="s">
        <v>18548</v>
      </c>
      <c r="S3332" s="15"/>
      <c r="T3332" s="8"/>
      <c r="U3332" s="19" t="str">
        <f>HYPERLINK("https://pbs.twimg.com/profile_images/1178716018430087175/0jIVb0an.jpg","View")</f>
        <v>View</v>
      </c>
      <c r="V3332" s="8"/>
      <c r="W3332" s="8"/>
      <c r="X3332" s="8"/>
      <c r="Y3332" s="8"/>
      <c r="Z3332" s="8"/>
    </row>
    <row r="3333" spans="1:26" ht="12.75">
      <c r="A3333" s="11">
        <v>43747.160682870366</v>
      </c>
      <c r="B3333" s="12" t="str">
        <f>HYPERLINK("https://twitter.com/FNRB4h","@FNRB4h")</f>
        <v>@FNRB4h</v>
      </c>
      <c r="C3333" s="7" t="s">
        <v>18549</v>
      </c>
      <c r="D3333" s="7" t="s">
        <v>18550</v>
      </c>
      <c r="E3333" s="12" t="str">
        <f>HYPERLINK("https://twitter.com/FNRB4h/status/1181884858651598848","1181884858651598848")</f>
        <v>1181884858651598848</v>
      </c>
      <c r="F3333" s="8"/>
      <c r="G3333" s="15"/>
      <c r="H3333" s="8"/>
      <c r="I3333" s="15">
        <v>0</v>
      </c>
      <c r="J3333" s="15">
        <v>0</v>
      </c>
      <c r="K3333" s="12" t="str">
        <f>HYPERLINK("http://twitter.com/download/iphone","Twitter for iPhone")</f>
        <v>Twitter for iPhone</v>
      </c>
      <c r="L3333" s="16">
        <v>1352</v>
      </c>
      <c r="M3333" s="16">
        <v>1439</v>
      </c>
      <c r="N3333" s="16">
        <v>0</v>
      </c>
      <c r="O3333" s="17"/>
      <c r="P3333" s="18">
        <v>43449.485937500001</v>
      </c>
      <c r="Q3333" s="7" t="s">
        <v>13632</v>
      </c>
      <c r="R3333" s="7" t="s">
        <v>18551</v>
      </c>
      <c r="S3333" s="8"/>
      <c r="T3333" s="8"/>
      <c r="U3333" s="19" t="str">
        <f>HYPERLINK("https://pbs.twimg.com/profile_images/1153429277976797184/aZlva5eG.jpg","View")</f>
        <v>View</v>
      </c>
      <c r="V3333" s="8"/>
      <c r="W3333" s="8"/>
      <c r="X3333" s="8"/>
      <c r="Y3333" s="8"/>
      <c r="Z3333" s="8"/>
    </row>
    <row r="3334" spans="1:26" ht="12.75">
      <c r="A3334" s="11">
        <v>43747.160613425927</v>
      </c>
      <c r="B3334" s="12" t="str">
        <f>HYPERLINK("https://twitter.com/YasiinSBoss","@YasiinSBoss")</f>
        <v>@YasiinSBoss</v>
      </c>
      <c r="C3334" s="7" t="s">
        <v>18552</v>
      </c>
      <c r="D3334" s="7" t="s">
        <v>18553</v>
      </c>
      <c r="E3334" s="12" t="str">
        <f>HYPERLINK("https://twitter.com/YasiinSBoss/status/1181884832613306368","1181884832613306368")</f>
        <v>1181884832613306368</v>
      </c>
      <c r="F3334" s="8"/>
      <c r="G3334" s="15"/>
      <c r="H3334" s="8"/>
      <c r="I3334" s="15">
        <v>0</v>
      </c>
      <c r="J3334" s="15">
        <v>0</v>
      </c>
      <c r="K3334" s="12" t="str">
        <f>HYPERLINK("http://twitter.com/download/iphone","Twitter for iPhone")</f>
        <v>Twitter for iPhone</v>
      </c>
      <c r="L3334" s="16">
        <v>269</v>
      </c>
      <c r="M3334" s="16">
        <v>127</v>
      </c>
      <c r="N3334" s="16">
        <v>0</v>
      </c>
      <c r="O3334" s="17"/>
      <c r="P3334" s="18">
        <v>41704.373749999999</v>
      </c>
      <c r="Q3334" s="7" t="s">
        <v>92</v>
      </c>
      <c r="R3334" s="7" t="s">
        <v>18554</v>
      </c>
      <c r="S3334" s="14" t="s">
        <v>18555</v>
      </c>
      <c r="T3334" s="8"/>
      <c r="U3334" s="19" t="str">
        <f>HYPERLINK("https://pbs.twimg.com/profile_images/1161944368317632513/oodf238r.jpg","View")</f>
        <v>View</v>
      </c>
      <c r="V3334" s="8"/>
      <c r="W3334" s="8"/>
      <c r="X3334" s="8"/>
      <c r="Y3334" s="8"/>
      <c r="Z3334" s="8"/>
    </row>
    <row r="3335" spans="1:26" ht="12.75">
      <c r="A3335" s="11">
        <v>43747.160578703704</v>
      </c>
      <c r="B3335" s="12" t="str">
        <f>HYPERLINK("https://twitter.com/AyaSofya34_","@AyaSofya34_")</f>
        <v>@AyaSofya34_</v>
      </c>
      <c r="C3335" s="7" t="s">
        <v>18556</v>
      </c>
      <c r="D3335" s="7" t="s">
        <v>18557</v>
      </c>
      <c r="E3335" s="12" t="str">
        <f>HYPERLINK("https://twitter.com/AyaSofya34_/status/1181884821536219136","1181884821536219136")</f>
        <v>1181884821536219136</v>
      </c>
      <c r="F3335" s="8"/>
      <c r="G3335" s="14" t="s">
        <v>18558</v>
      </c>
      <c r="H3335" s="8"/>
      <c r="I3335" s="15">
        <v>6</v>
      </c>
      <c r="J3335" s="15">
        <v>29</v>
      </c>
      <c r="K3335" s="12" t="str">
        <f>HYPERLINK("http://twitter.com/download/android","Twitter for Android")</f>
        <v>Twitter for Android</v>
      </c>
      <c r="L3335" s="16">
        <v>10945</v>
      </c>
      <c r="M3335" s="16">
        <v>11160</v>
      </c>
      <c r="N3335" s="16">
        <v>1</v>
      </c>
      <c r="O3335" s="17"/>
      <c r="P3335" s="18">
        <v>43454.507870370369</v>
      </c>
      <c r="Q3335" s="7"/>
      <c r="R3335" s="7" t="s">
        <v>18559</v>
      </c>
      <c r="S3335" s="8"/>
      <c r="T3335" s="8"/>
      <c r="U3335" s="19" t="str">
        <f>HYPERLINK("https://pbs.twimg.com/profile_images/1151862418542407680/BgPV_atw.jpg","View")</f>
        <v>View</v>
      </c>
      <c r="V3335" s="8"/>
      <c r="W3335" s="8"/>
      <c r="X3335" s="8"/>
      <c r="Y3335" s="8"/>
      <c r="Z3335" s="8"/>
    </row>
    <row r="3336" spans="1:26" ht="12.75">
      <c r="A3336" s="11">
        <v>43747.160486111112</v>
      </c>
      <c r="B3336" s="12" t="str">
        <f>HYPERLINK("https://twitter.com/CagriSeckinsoy","@CagriSeckinsoy")</f>
        <v>@CagriSeckinsoy</v>
      </c>
      <c r="C3336" s="7" t="s">
        <v>18560</v>
      </c>
      <c r="D3336" s="7" t="s">
        <v>15647</v>
      </c>
      <c r="E3336" s="12" t="str">
        <f>HYPERLINK("https://twitter.com/CagriSeckinsoy/status/1181884789311332353","1181884789311332353")</f>
        <v>1181884789311332353</v>
      </c>
      <c r="F3336" s="8"/>
      <c r="G3336" s="14" t="s">
        <v>18561</v>
      </c>
      <c r="H3336" s="8"/>
      <c r="I3336" s="15">
        <v>0</v>
      </c>
      <c r="J3336" s="15">
        <v>0</v>
      </c>
      <c r="K3336" s="12" t="str">
        <f>HYPERLINK("http://twitter.com","Twitter Web Client")</f>
        <v>Twitter Web Client</v>
      </c>
      <c r="L3336" s="16">
        <v>0</v>
      </c>
      <c r="M3336" s="16">
        <v>0</v>
      </c>
      <c r="N3336" s="16">
        <v>0</v>
      </c>
      <c r="O3336" s="17"/>
      <c r="P3336" s="18">
        <v>43670.987870370373</v>
      </c>
      <c r="Q3336" s="7" t="s">
        <v>18562</v>
      </c>
      <c r="R3336" s="7" t="s">
        <v>18563</v>
      </c>
      <c r="S3336" s="8"/>
      <c r="T3336" s="8"/>
      <c r="U3336" s="19" t="str">
        <f>HYPERLINK("https://pbs.twimg.com/profile_images/1154296381617713152/WHuH6H8f.jpg","View")</f>
        <v>View</v>
      </c>
      <c r="V3336" s="8"/>
      <c r="W3336" s="8"/>
      <c r="X3336" s="8"/>
      <c r="Y3336" s="8"/>
      <c r="Z3336" s="8"/>
    </row>
    <row r="3337" spans="1:26" ht="12.75">
      <c r="A3337" s="11">
        <v>43747.160439814819</v>
      </c>
      <c r="B3337" s="12" t="str">
        <f>HYPERLINK("https://twitter.com/fdmoeztrk","@fdmoeztrk")</f>
        <v>@fdmoeztrk</v>
      </c>
      <c r="C3337" s="7" t="s">
        <v>18564</v>
      </c>
      <c r="D3337" s="7" t="s">
        <v>18565</v>
      </c>
      <c r="E3337" s="12" t="str">
        <f>HYPERLINK("https://twitter.com/fdmoeztrk/status/1181884772269907968","1181884772269907968")</f>
        <v>1181884772269907968</v>
      </c>
      <c r="F3337" s="8"/>
      <c r="G3337" s="14" t="s">
        <v>18566</v>
      </c>
      <c r="H3337" s="8"/>
      <c r="I3337" s="15">
        <v>0</v>
      </c>
      <c r="J3337" s="15">
        <v>1</v>
      </c>
      <c r="K3337" s="12" t="str">
        <f>HYPERLINK("http://twitter.com/download/iphone","Twitter for iPhone")</f>
        <v>Twitter for iPhone</v>
      </c>
      <c r="L3337" s="16">
        <v>100</v>
      </c>
      <c r="M3337" s="16">
        <v>143</v>
      </c>
      <c r="N3337" s="16">
        <v>0</v>
      </c>
      <c r="O3337" s="17"/>
      <c r="P3337" s="18">
        <v>42973.992511574077</v>
      </c>
      <c r="Q3337" s="7"/>
      <c r="R3337" s="7" t="s">
        <v>18567</v>
      </c>
      <c r="S3337" s="8"/>
      <c r="T3337" s="8"/>
      <c r="U3337" s="19" t="str">
        <f>HYPERLINK("https://pbs.twimg.com/profile_images/1157234319041159168/ATfpTO4k.jpg","View")</f>
        <v>View</v>
      </c>
      <c r="V3337" s="8"/>
      <c r="W3337" s="8"/>
      <c r="X3337" s="8"/>
      <c r="Y3337" s="8"/>
      <c r="Z3337" s="8"/>
    </row>
    <row r="3338" spans="1:26" ht="12.75">
      <c r="A3338" s="11">
        <v>43747.160439814819</v>
      </c>
      <c r="B3338" s="12" t="str">
        <f>HYPERLINK("https://twitter.com/Esmak08","@Esmak08")</f>
        <v>@Esmak08</v>
      </c>
      <c r="C3338" s="7" t="s">
        <v>18568</v>
      </c>
      <c r="D3338" s="7" t="s">
        <v>18569</v>
      </c>
      <c r="E3338" s="12" t="str">
        <f>HYPERLINK("https://twitter.com/Esmak08/status/1181884770361466880","1181884770361466880")</f>
        <v>1181884770361466880</v>
      </c>
      <c r="F3338" s="8"/>
      <c r="G3338" s="14" t="s">
        <v>18570</v>
      </c>
      <c r="H3338" s="8"/>
      <c r="I3338" s="15">
        <v>1</v>
      </c>
      <c r="J3338" s="15">
        <v>1</v>
      </c>
      <c r="K3338" s="12" t="str">
        <f>HYPERLINK("http://twitter.com/download/android","Twitter for Android")</f>
        <v>Twitter for Android</v>
      </c>
      <c r="L3338" s="16">
        <v>226</v>
      </c>
      <c r="M3338" s="16">
        <v>206</v>
      </c>
      <c r="N3338" s="16">
        <v>0</v>
      </c>
      <c r="O3338" s="17"/>
      <c r="P3338" s="18">
        <v>43439.012685185182</v>
      </c>
      <c r="Q3338" s="7"/>
      <c r="R3338" s="7" t="s">
        <v>18571</v>
      </c>
      <c r="S3338" s="8"/>
      <c r="T3338" s="8"/>
      <c r="U3338" s="19" t="str">
        <f>HYPERLINK("https://pbs.twimg.com/profile_images/1171078994139275264/UtEh7GYA.jpg","View")</f>
        <v>View</v>
      </c>
      <c r="V3338" s="8"/>
      <c r="W3338" s="8"/>
      <c r="X3338" s="8"/>
      <c r="Y3338" s="8"/>
      <c r="Z3338" s="8"/>
    </row>
    <row r="3339" spans="1:26" ht="12.75">
      <c r="A3339" s="11">
        <v>43747.160439814819</v>
      </c>
      <c r="B3339" s="12" t="str">
        <f>HYPERLINK("https://twitter.com/Emre_Eryilmaz_","@Emre_Eryilmaz_")</f>
        <v>@Emre_Eryilmaz_</v>
      </c>
      <c r="C3339" s="7" t="s">
        <v>18572</v>
      </c>
      <c r="D3339" s="7" t="s">
        <v>16134</v>
      </c>
      <c r="E3339" s="12" t="str">
        <f>HYPERLINK("https://twitter.com/Emre_Eryilmaz_/status/1181884770344751104","1181884770344751104")</f>
        <v>1181884770344751104</v>
      </c>
      <c r="F3339" s="8"/>
      <c r="G3339" s="15"/>
      <c r="H3339" s="8"/>
      <c r="I3339" s="15">
        <v>0</v>
      </c>
      <c r="J3339" s="15">
        <v>0</v>
      </c>
      <c r="K3339" s="12" t="str">
        <f>HYPERLINK("http://twitter.com/download/android","Twitter for Android")</f>
        <v>Twitter for Android</v>
      </c>
      <c r="L3339" s="16">
        <v>24</v>
      </c>
      <c r="M3339" s="16">
        <v>128</v>
      </c>
      <c r="N3339" s="16">
        <v>0</v>
      </c>
      <c r="O3339" s="17"/>
      <c r="P3339" s="18">
        <v>41984.369687500002</v>
      </c>
      <c r="Q3339" s="7"/>
      <c r="R3339" s="7"/>
      <c r="S3339" s="8"/>
      <c r="T3339" s="8"/>
      <c r="U3339" s="19" t="str">
        <f>HYPERLINK("https://pbs.twimg.com/profile_images/1029019083017216001/sYbvQbFC.jpg","View")</f>
        <v>View</v>
      </c>
      <c r="V3339" s="8"/>
      <c r="W3339" s="8"/>
      <c r="X3339" s="8"/>
      <c r="Y3339" s="8"/>
      <c r="Z3339" s="8"/>
    </row>
    <row r="3340" spans="1:26" ht="12.75">
      <c r="A3340" s="11">
        <v>43747.160393518519</v>
      </c>
      <c r="B3340" s="12" t="str">
        <f>HYPERLINK("https://twitter.com/AysunGngr15","@AysunGngr15")</f>
        <v>@AysunGngr15</v>
      </c>
      <c r="C3340" s="7" t="s">
        <v>18573</v>
      </c>
      <c r="D3340" s="7" t="s">
        <v>18574</v>
      </c>
      <c r="E3340" s="12" t="str">
        <f>HYPERLINK("https://twitter.com/AysunGngr15/status/1181884756100894725","1181884756100894725")</f>
        <v>1181884756100894725</v>
      </c>
      <c r="F3340" s="8"/>
      <c r="G3340" s="15"/>
      <c r="H3340" s="8"/>
      <c r="I3340" s="15">
        <v>0</v>
      </c>
      <c r="J3340" s="15">
        <v>0</v>
      </c>
      <c r="K3340" s="12" t="str">
        <f>HYPERLINK("http://twitter.com/download/android","Twitter for Android")</f>
        <v>Twitter for Android</v>
      </c>
      <c r="L3340" s="16">
        <v>38</v>
      </c>
      <c r="M3340" s="16">
        <v>66</v>
      </c>
      <c r="N3340" s="16">
        <v>0</v>
      </c>
      <c r="O3340" s="17"/>
      <c r="P3340" s="18">
        <v>43320.917326388888</v>
      </c>
      <c r="Q3340" s="7"/>
      <c r="R3340" s="7"/>
      <c r="S3340" s="8"/>
      <c r="T3340" s="8"/>
      <c r="U3340" s="19" t="str">
        <f>HYPERLINK("https://pbs.twimg.com/profile_images/1147240359145213953/tkVaqzJt.jpg","View")</f>
        <v>View</v>
      </c>
      <c r="V3340" s="8"/>
      <c r="W3340" s="8"/>
      <c r="X3340" s="8"/>
      <c r="Y3340" s="8"/>
      <c r="Z3340" s="8"/>
    </row>
    <row r="3341" spans="1:26" ht="12.75">
      <c r="A3341" s="11">
        <v>43747.16034722222</v>
      </c>
      <c r="B3341" s="12" t="str">
        <f>HYPERLINK("https://twitter.com/Merfar6","@Merfar6")</f>
        <v>@Merfar6</v>
      </c>
      <c r="C3341" s="7" t="s">
        <v>18575</v>
      </c>
      <c r="D3341" s="7" t="s">
        <v>18576</v>
      </c>
      <c r="E3341" s="12" t="str">
        <f>HYPERLINK("https://twitter.com/Merfar6/status/1181884737750786054","1181884737750786054")</f>
        <v>1181884737750786054</v>
      </c>
      <c r="F3341" s="8"/>
      <c r="G3341" s="15"/>
      <c r="H3341" s="8"/>
      <c r="I3341" s="15">
        <v>0</v>
      </c>
      <c r="J3341" s="15">
        <v>1</v>
      </c>
      <c r="K3341" s="12" t="str">
        <f>HYPERLINK("http://twitter.com/download/android","Twitter for Android")</f>
        <v>Twitter for Android</v>
      </c>
      <c r="L3341" s="16">
        <v>5</v>
      </c>
      <c r="M3341" s="16">
        <v>14</v>
      </c>
      <c r="N3341" s="16">
        <v>0</v>
      </c>
      <c r="O3341" s="17"/>
      <c r="P3341" s="18">
        <v>43123.373159722221</v>
      </c>
      <c r="Q3341" s="7"/>
      <c r="R3341" s="7"/>
      <c r="S3341" s="8"/>
      <c r="T3341" s="8"/>
      <c r="U3341" s="19" t="str">
        <f>HYPERLINK("https://pbs.twimg.com/profile_images/957580398804066306/4eEx6uRQ.jpg","View")</f>
        <v>View</v>
      </c>
      <c r="V3341" s="8"/>
      <c r="W3341" s="8"/>
      <c r="X3341" s="8"/>
      <c r="Y3341" s="8"/>
      <c r="Z3341" s="8"/>
    </row>
    <row r="3342" spans="1:26" ht="12.75">
      <c r="A3342" s="11">
        <v>43747.160324074073</v>
      </c>
      <c r="B3342" s="12" t="str">
        <f>HYPERLINK("https://twitter.com/Ramazan33596564","@Ramazan33596564")</f>
        <v>@Ramazan33596564</v>
      </c>
      <c r="C3342" s="7" t="s">
        <v>7352</v>
      </c>
      <c r="D3342" s="7" t="s">
        <v>18577</v>
      </c>
      <c r="E3342" s="12" t="str">
        <f>HYPERLINK("https://twitter.com/Ramazan33596564/status/1181884729961910273","1181884729961910273")</f>
        <v>1181884729961910273</v>
      </c>
      <c r="F3342" s="8"/>
      <c r="G3342" s="7"/>
      <c r="H3342" s="8"/>
      <c r="I3342" s="15">
        <v>0</v>
      </c>
      <c r="J3342" s="15">
        <v>0</v>
      </c>
      <c r="K3342" s="12" t="str">
        <f>HYPERLINK("http://twitter.com/download/android","Twitter for Android")</f>
        <v>Twitter for Android</v>
      </c>
      <c r="L3342" s="16">
        <v>6</v>
      </c>
      <c r="M3342" s="16">
        <v>13</v>
      </c>
      <c r="N3342" s="16">
        <v>0</v>
      </c>
      <c r="O3342" s="17"/>
      <c r="P3342" s="18">
        <v>43672.991064814814</v>
      </c>
      <c r="Q3342" s="7" t="s">
        <v>18578</v>
      </c>
      <c r="R3342" s="7" t="s">
        <v>18579</v>
      </c>
      <c r="S3342" s="8"/>
      <c r="T3342" s="8"/>
      <c r="U3342" s="19" t="str">
        <f>HYPERLINK("https://pbs.twimg.com/profile_images/1175305255011135489/ahhGZzeP.jpg","View")</f>
        <v>View</v>
      </c>
      <c r="V3342" s="8"/>
      <c r="W3342" s="8"/>
      <c r="X3342" s="8"/>
      <c r="Y3342" s="8"/>
      <c r="Z3342" s="8"/>
    </row>
    <row r="3343" spans="1:26" ht="12.75">
      <c r="A3343" s="11">
        <v>43747.160300925927</v>
      </c>
      <c r="B3343" s="12" t="str">
        <f>HYPERLINK("https://twitter.com/HesapMantar","@HesapMantar")</f>
        <v>@HesapMantar</v>
      </c>
      <c r="C3343" s="7" t="s">
        <v>18580</v>
      </c>
      <c r="D3343" s="7" t="s">
        <v>18581</v>
      </c>
      <c r="E3343" s="12" t="str">
        <f>HYPERLINK("https://twitter.com/HesapMantar/status/1181884722525409280","1181884722525409280")</f>
        <v>1181884722525409280</v>
      </c>
      <c r="F3343" s="8"/>
      <c r="G3343" s="15"/>
      <c r="H3343" s="8"/>
      <c r="I3343" s="15">
        <v>0</v>
      </c>
      <c r="J3343" s="15">
        <v>0</v>
      </c>
      <c r="K3343" s="12" t="str">
        <f>HYPERLINK("http://twitter.com/download/iphone","Twitter for iPhone")</f>
        <v>Twitter for iPhone</v>
      </c>
      <c r="L3343" s="16">
        <v>50</v>
      </c>
      <c r="M3343" s="16">
        <v>324</v>
      </c>
      <c r="N3343" s="16">
        <v>0</v>
      </c>
      <c r="O3343" s="17"/>
      <c r="P3343" s="18">
        <v>43624.426076388889</v>
      </c>
      <c r="Q3343" s="7"/>
      <c r="R3343" s="7" t="s">
        <v>18582</v>
      </c>
      <c r="S3343" s="8"/>
      <c r="T3343" s="8"/>
      <c r="U3343" s="19" t="str">
        <f>HYPERLINK("https://pbs.twimg.com/profile_images/1137407621416325120/X17qmVcD.jpg","View")</f>
        <v>View</v>
      </c>
      <c r="V3343" s="8"/>
      <c r="W3343" s="8"/>
      <c r="X3343" s="8"/>
      <c r="Y3343" s="8"/>
      <c r="Z3343" s="8"/>
    </row>
    <row r="3344" spans="1:26" ht="12.75">
      <c r="A3344" s="11">
        <v>43747.160277777773</v>
      </c>
      <c r="B3344" s="12" t="str">
        <f>HYPERLINK("https://twitter.com/laik_hoca","@laik_hoca")</f>
        <v>@laik_hoca</v>
      </c>
      <c r="C3344" s="7" t="s">
        <v>18583</v>
      </c>
      <c r="D3344" s="7" t="s">
        <v>18584</v>
      </c>
      <c r="E3344" s="12" t="str">
        <f>HYPERLINK("https://twitter.com/laik_hoca/status/1181884711301500928","1181884711301500928")</f>
        <v>1181884711301500928</v>
      </c>
      <c r="F3344" s="8"/>
      <c r="G3344" s="15"/>
      <c r="H3344" s="8"/>
      <c r="I3344" s="15">
        <v>2</v>
      </c>
      <c r="J3344" s="15">
        <v>3</v>
      </c>
      <c r="K3344" s="12" t="str">
        <f>HYPERLINK("http://twitter.com/download/android","Twitter for Android")</f>
        <v>Twitter for Android</v>
      </c>
      <c r="L3344" s="16">
        <v>5134</v>
      </c>
      <c r="M3344" s="16">
        <v>5164</v>
      </c>
      <c r="N3344" s="16">
        <v>5</v>
      </c>
      <c r="O3344" s="17"/>
      <c r="P3344" s="18">
        <v>42034.158761574072</v>
      </c>
      <c r="Q3344" s="7"/>
      <c r="R3344" s="7" t="s">
        <v>18585</v>
      </c>
      <c r="S3344" s="8"/>
      <c r="T3344" s="8"/>
      <c r="U3344" s="19" t="str">
        <f>HYPERLINK("https://pbs.twimg.com/profile_images/972871832998219776/KNfBp_8h.jpg","View")</f>
        <v>View</v>
      </c>
      <c r="V3344" s="8"/>
      <c r="W3344" s="8"/>
      <c r="X3344" s="8"/>
      <c r="Y3344" s="8"/>
      <c r="Z3344" s="8"/>
    </row>
    <row r="3345" spans="1:26" ht="12.75">
      <c r="A3345" s="11">
        <v>43747.160266203704</v>
      </c>
      <c r="B3345" s="12" t="str">
        <f>HYPERLINK("https://twitter.com/AycaDeryaa","@AycaDeryaa")</f>
        <v>@AycaDeryaa</v>
      </c>
      <c r="C3345" s="7" t="s">
        <v>18586</v>
      </c>
      <c r="D3345" s="7" t="s">
        <v>160</v>
      </c>
      <c r="E3345" s="12" t="str">
        <f>HYPERLINK("https://twitter.com/AycaDeryaa/status/1181884708520693760","1181884708520693760")</f>
        <v>1181884708520693760</v>
      </c>
      <c r="F3345" s="8"/>
      <c r="G3345" s="14" t="s">
        <v>18587</v>
      </c>
      <c r="H3345" s="8"/>
      <c r="I3345" s="15">
        <v>0</v>
      </c>
      <c r="J3345" s="15">
        <v>0</v>
      </c>
      <c r="K3345" s="12" t="str">
        <f>HYPERLINK("http://twitter.com/download/iphone","Twitter for iPhone")</f>
        <v>Twitter for iPhone</v>
      </c>
      <c r="L3345" s="16">
        <v>9</v>
      </c>
      <c r="M3345" s="16">
        <v>10</v>
      </c>
      <c r="N3345" s="16">
        <v>0</v>
      </c>
      <c r="O3345" s="17"/>
      <c r="P3345" s="18">
        <v>42953.581111111111</v>
      </c>
      <c r="Q3345" s="7" t="s">
        <v>313</v>
      </c>
      <c r="R3345" s="7" t="s">
        <v>10467</v>
      </c>
      <c r="S3345" s="8"/>
      <c r="T3345" s="8"/>
      <c r="U3345" s="19" t="str">
        <f>HYPERLINK("https://pbs.twimg.com/profile_images/1155207714462720001/vw1H5aDG.jpg","View")</f>
        <v>View</v>
      </c>
      <c r="V3345" s="8"/>
      <c r="W3345" s="8"/>
      <c r="X3345" s="8"/>
      <c r="Y3345" s="8"/>
      <c r="Z3345" s="8"/>
    </row>
    <row r="3346" spans="1:26" ht="12.75">
      <c r="A3346" s="11">
        <v>43747.160219907411</v>
      </c>
      <c r="B3346" s="12" t="str">
        <f>HYPERLINK("https://twitter.com/SiyahBeyzzz1903","@SiyahBeyzzz1903")</f>
        <v>@SiyahBeyzzz1903</v>
      </c>
      <c r="C3346" s="7" t="s">
        <v>18588</v>
      </c>
      <c r="D3346" s="7" t="s">
        <v>18589</v>
      </c>
      <c r="E3346" s="12" t="str">
        <f>HYPERLINK("https://twitter.com/SiyahBeyzzz1903/status/1181884689650466816","1181884689650466816")</f>
        <v>1181884689650466816</v>
      </c>
      <c r="F3346" s="8"/>
      <c r="G3346" s="14" t="s">
        <v>18590</v>
      </c>
      <c r="H3346" s="8"/>
      <c r="I3346" s="15">
        <v>0</v>
      </c>
      <c r="J3346" s="15">
        <v>1</v>
      </c>
      <c r="K3346" s="12" t="str">
        <f>HYPERLINK("http://twitter.com/download/android","Twitter for Android")</f>
        <v>Twitter for Android</v>
      </c>
      <c r="L3346" s="16">
        <v>4212</v>
      </c>
      <c r="M3346" s="16">
        <v>3835</v>
      </c>
      <c r="N3346" s="16">
        <v>1</v>
      </c>
      <c r="O3346" s="17"/>
      <c r="P3346" s="18">
        <v>40735.012083333335</v>
      </c>
      <c r="Q3346" s="7" t="s">
        <v>4895</v>
      </c>
      <c r="R3346" s="7" t="s">
        <v>18591</v>
      </c>
      <c r="S3346" s="8"/>
      <c r="T3346" s="8"/>
      <c r="U3346" s="19" t="str">
        <f>HYPERLINK("https://pbs.twimg.com/profile_images/1137330109034221573/1X2fNByp.jpg","View")</f>
        <v>View</v>
      </c>
      <c r="V3346" s="8"/>
      <c r="W3346" s="8"/>
      <c r="X3346" s="8"/>
      <c r="Y3346" s="8"/>
      <c r="Z3346" s="8"/>
    </row>
    <row r="3347" spans="1:26" ht="12.75">
      <c r="A3347" s="11">
        <v>43747.160150462965</v>
      </c>
      <c r="B3347" s="12" t="str">
        <f>HYPERLINK("https://twitter.com/medyaadamiSD","@medyaadamiSD")</f>
        <v>@medyaadamiSD</v>
      </c>
      <c r="C3347" s="7" t="s">
        <v>18592</v>
      </c>
      <c r="D3347" s="7" t="s">
        <v>17455</v>
      </c>
      <c r="E3347" s="12" t="str">
        <f>HYPERLINK("https://twitter.com/medyaadamiSD/status/1181884665633939461","1181884665633939461")</f>
        <v>1181884665633939461</v>
      </c>
      <c r="F3347" s="8"/>
      <c r="G3347" s="14" t="s">
        <v>18593</v>
      </c>
      <c r="H3347" s="8"/>
      <c r="I3347" s="15">
        <v>1</v>
      </c>
      <c r="J3347" s="15">
        <v>0</v>
      </c>
      <c r="K3347" s="12" t="str">
        <f>HYPERLINK("http://twitter.com/download/android","Twitter for Android")</f>
        <v>Twitter for Android</v>
      </c>
      <c r="L3347" s="16">
        <v>63815</v>
      </c>
      <c r="M3347" s="16">
        <v>50726</v>
      </c>
      <c r="N3347" s="16">
        <v>67</v>
      </c>
      <c r="O3347" s="17"/>
      <c r="P3347" s="18">
        <v>41832.347824074073</v>
      </c>
      <c r="Q3347" s="7"/>
      <c r="R3347" s="7" t="s">
        <v>18594</v>
      </c>
      <c r="S3347" s="8"/>
      <c r="T3347" s="8"/>
      <c r="U3347" s="19" t="str">
        <f>HYPERLINK("https://pbs.twimg.com/profile_images/1067010016434184192/FQs4GwoA.jpg","View")</f>
        <v>View</v>
      </c>
      <c r="V3347" s="8"/>
      <c r="W3347" s="8"/>
      <c r="X3347" s="8"/>
      <c r="Y3347" s="8"/>
      <c r="Z3347" s="8"/>
    </row>
    <row r="3348" spans="1:26" ht="12.75">
      <c r="A3348" s="11">
        <v>43747.160127314812</v>
      </c>
      <c r="B3348" s="12" t="str">
        <f>HYPERLINK("https://twitter.com/doganbicer","@doganbicer")</f>
        <v>@doganbicer</v>
      </c>
      <c r="C3348" s="7" t="s">
        <v>18595</v>
      </c>
      <c r="D3348" s="7" t="s">
        <v>14258</v>
      </c>
      <c r="E3348" s="12" t="str">
        <f>HYPERLINK("https://twitter.com/doganbicer/status/1181884658713337859","1181884658713337859")</f>
        <v>1181884658713337859</v>
      </c>
      <c r="F3348" s="8"/>
      <c r="G3348" s="14" t="s">
        <v>18596</v>
      </c>
      <c r="H3348" s="8"/>
      <c r="I3348" s="15">
        <v>0</v>
      </c>
      <c r="J3348" s="15">
        <v>0</v>
      </c>
      <c r="K3348" s="12" t="str">
        <f>HYPERLINK("http://twitter.com/download/iphone","Twitter for iPhone")</f>
        <v>Twitter for iPhone</v>
      </c>
      <c r="L3348" s="16">
        <v>262</v>
      </c>
      <c r="M3348" s="16">
        <v>178</v>
      </c>
      <c r="N3348" s="16">
        <v>1</v>
      </c>
      <c r="O3348" s="17"/>
      <c r="P3348" s="18">
        <v>40610.555925925924</v>
      </c>
      <c r="Q3348" s="7" t="s">
        <v>313</v>
      </c>
      <c r="R3348" s="7" t="s">
        <v>18597</v>
      </c>
      <c r="S3348" s="8"/>
      <c r="T3348" s="8"/>
      <c r="U3348" s="19" t="str">
        <f>HYPERLINK("https://pbs.twimg.com/profile_images/1055573071875182592/PtrF_V5m.jpg","View")</f>
        <v>View</v>
      </c>
      <c r="V3348" s="8"/>
      <c r="W3348" s="8"/>
      <c r="X3348" s="8"/>
      <c r="Y3348" s="8"/>
      <c r="Z3348" s="8"/>
    </row>
    <row r="3349" spans="1:26" ht="12.75">
      <c r="A3349" s="11">
        <v>43747.160104166665</v>
      </c>
      <c r="B3349" s="12" t="str">
        <f>HYPERLINK("https://twitter.com/Burakisonfire","@Burakisonfire")</f>
        <v>@Burakisonfire</v>
      </c>
      <c r="C3349" s="7" t="s">
        <v>18598</v>
      </c>
      <c r="D3349" s="7" t="s">
        <v>160</v>
      </c>
      <c r="E3349" s="12" t="str">
        <f>HYPERLINK("https://twitter.com/Burakisonfire/status/1181884651528507394","1181884651528507394")</f>
        <v>1181884651528507394</v>
      </c>
      <c r="F3349" s="15"/>
      <c r="G3349" s="15"/>
      <c r="H3349" s="8"/>
      <c r="I3349" s="15">
        <v>0</v>
      </c>
      <c r="J3349" s="15">
        <v>1</v>
      </c>
      <c r="K3349" s="12" t="str">
        <f>HYPERLINK("http://twitter.com/download/android","Twitter for Android")</f>
        <v>Twitter for Android</v>
      </c>
      <c r="L3349" s="16">
        <v>80</v>
      </c>
      <c r="M3349" s="16">
        <v>445</v>
      </c>
      <c r="N3349" s="16">
        <v>0</v>
      </c>
      <c r="O3349" s="17"/>
      <c r="P3349" s="18">
        <v>42707.546122685184</v>
      </c>
      <c r="Q3349" s="7" t="s">
        <v>18599</v>
      </c>
      <c r="R3349" s="7" t="s">
        <v>18600</v>
      </c>
      <c r="S3349" s="8"/>
      <c r="T3349" s="8"/>
      <c r="U3349" s="19" t="str">
        <f>HYPERLINK("https://pbs.twimg.com/profile_images/1178087067458396160/5AeV0M5Y.jpg","View")</f>
        <v>View</v>
      </c>
      <c r="V3349" s="8"/>
      <c r="W3349" s="8"/>
      <c r="X3349" s="8"/>
      <c r="Y3349" s="8"/>
      <c r="Z3349" s="8"/>
    </row>
    <row r="3350" spans="1:26" ht="12.75">
      <c r="A3350" s="11">
        <v>43747.160046296296</v>
      </c>
      <c r="B3350" s="12" t="str">
        <f>HYPERLINK("https://twitter.com/ulasbicakci","@ulasbicakci")</f>
        <v>@ulasbicakci</v>
      </c>
      <c r="C3350" s="7" t="s">
        <v>18601</v>
      </c>
      <c r="D3350" s="7" t="s">
        <v>18602</v>
      </c>
      <c r="E3350" s="12" t="str">
        <f>HYPERLINK("https://twitter.com/ulasbicakci/status/1181884627423809537","1181884627423809537")</f>
        <v>1181884627423809537</v>
      </c>
      <c r="F3350" s="8"/>
      <c r="G3350" s="15"/>
      <c r="H3350" s="8"/>
      <c r="I3350" s="15">
        <v>0</v>
      </c>
      <c r="J3350" s="15">
        <v>0</v>
      </c>
      <c r="K3350" s="12" t="str">
        <f>HYPERLINK("http://twitter.com/download/android","Twitter for Android")</f>
        <v>Twitter for Android</v>
      </c>
      <c r="L3350" s="16">
        <v>239</v>
      </c>
      <c r="M3350" s="16">
        <v>924</v>
      </c>
      <c r="N3350" s="16">
        <v>0</v>
      </c>
      <c r="O3350" s="17"/>
      <c r="P3350" s="18">
        <v>43401.507094907407</v>
      </c>
      <c r="Q3350" s="7" t="s">
        <v>313</v>
      </c>
      <c r="R3350" s="7" t="s">
        <v>18603</v>
      </c>
      <c r="S3350" s="8"/>
      <c r="T3350" s="8"/>
      <c r="U3350" s="19" t="str">
        <f>HYPERLINK("https://pbs.twimg.com/profile_images/1084539975612489734/aSaTjOwR.jpg","View")</f>
        <v>View</v>
      </c>
      <c r="V3350" s="8"/>
      <c r="W3350" s="8"/>
      <c r="X3350" s="8"/>
      <c r="Y3350" s="8"/>
      <c r="Z3350" s="8"/>
    </row>
    <row r="3351" spans="1:26" ht="12.75">
      <c r="A3351" s="11">
        <v>43747.16</v>
      </c>
      <c r="B3351" s="12" t="str">
        <f>HYPERLINK("https://twitter.com/KeserFN","@KeserFN")</f>
        <v>@KeserFN</v>
      </c>
      <c r="C3351" s="7" t="s">
        <v>18604</v>
      </c>
      <c r="D3351" s="7" t="s">
        <v>18605</v>
      </c>
      <c r="E3351" s="12" t="str">
        <f>HYPERLINK("https://twitter.com/KeserFN/status/1181884613909712897","1181884613909712897")</f>
        <v>1181884613909712897</v>
      </c>
      <c r="F3351" s="8"/>
      <c r="G3351" s="15"/>
      <c r="H3351" s="8"/>
      <c r="I3351" s="15">
        <v>0</v>
      </c>
      <c r="J3351" s="15">
        <v>0</v>
      </c>
      <c r="K3351" s="12" t="str">
        <f>HYPERLINK("http://twitter.com/download/android","Twitter for Android")</f>
        <v>Twitter for Android</v>
      </c>
      <c r="L3351" s="16">
        <v>28</v>
      </c>
      <c r="M3351" s="16">
        <v>51</v>
      </c>
      <c r="N3351" s="16">
        <v>0</v>
      </c>
      <c r="O3351" s="17"/>
      <c r="P3351" s="18">
        <v>41480.543622685189</v>
      </c>
      <c r="Q3351" s="7"/>
      <c r="R3351" s="7"/>
      <c r="S3351" s="8"/>
      <c r="T3351" s="8"/>
      <c r="U3351" s="19" t="str">
        <f>HYPERLINK("https://pbs.twimg.com/profile_images/1126477779338498049/mPnSNTRr.jpg","View")</f>
        <v>View</v>
      </c>
      <c r="V3351" s="8"/>
      <c r="W3351" s="8"/>
      <c r="X3351" s="8"/>
      <c r="Y3351" s="8"/>
      <c r="Z3351" s="8"/>
    </row>
    <row r="3352" spans="1:26" ht="12.75">
      <c r="A3352" s="11">
        <v>43747.159837962958</v>
      </c>
      <c r="B3352" s="12" t="str">
        <f>HYPERLINK("https://twitter.com/eenchantreess","@eenchantreess")</f>
        <v>@eenchantreess</v>
      </c>
      <c r="C3352" s="7" t="s">
        <v>11178</v>
      </c>
      <c r="D3352" s="7" t="s">
        <v>18606</v>
      </c>
      <c r="E3352" s="12" t="str">
        <f>HYPERLINK("https://twitter.com/eenchantreess/status/1181884555214692353","1181884555214692353")</f>
        <v>1181884555214692353</v>
      </c>
      <c r="F3352" s="15"/>
      <c r="G3352" s="15"/>
      <c r="H3352" s="8"/>
      <c r="I3352" s="15">
        <v>0</v>
      </c>
      <c r="J3352" s="15">
        <v>1</v>
      </c>
      <c r="K3352" s="12" t="str">
        <f>HYPERLINK("http://twitter.com/download/iphone","Twitter for iPhone")</f>
        <v>Twitter for iPhone</v>
      </c>
      <c r="L3352" s="16">
        <v>445</v>
      </c>
      <c r="M3352" s="16">
        <v>348</v>
      </c>
      <c r="N3352" s="16">
        <v>0</v>
      </c>
      <c r="O3352" s="17"/>
      <c r="P3352" s="18">
        <v>41703.407222222224</v>
      </c>
      <c r="Q3352" s="7" t="s">
        <v>18607</v>
      </c>
      <c r="R3352" s="7"/>
      <c r="S3352" s="15"/>
      <c r="T3352" s="8"/>
      <c r="U3352" s="19" t="str">
        <f>HYPERLINK("https://pbs.twimg.com/profile_images/1179831953455026177/rbsY112x.jpg","View")</f>
        <v>View</v>
      </c>
      <c r="V3352" s="8"/>
      <c r="W3352" s="8"/>
      <c r="X3352" s="8"/>
      <c r="Y3352" s="8"/>
      <c r="Z3352" s="8"/>
    </row>
    <row r="3353" spans="1:26" ht="12.75">
      <c r="A3353" s="11">
        <v>43747.159837962958</v>
      </c>
      <c r="B3353" s="12" t="str">
        <f>HYPERLINK("https://twitter.com/gizlenenozne","@gizlenenozne")</f>
        <v>@gizlenenozne</v>
      </c>
      <c r="C3353" s="7" t="s">
        <v>18608</v>
      </c>
      <c r="D3353" s="7" t="s">
        <v>18609</v>
      </c>
      <c r="E3353" s="12" t="str">
        <f>HYPERLINK("https://twitter.com/gizlenenozne/status/1181884552182190080","1181884552182190080")</f>
        <v>1181884552182190080</v>
      </c>
      <c r="F3353" s="8"/>
      <c r="G3353" s="7"/>
      <c r="H3353" s="8"/>
      <c r="I3353" s="15">
        <v>0</v>
      </c>
      <c r="J3353" s="15">
        <v>3</v>
      </c>
      <c r="K3353" s="12" t="str">
        <f>HYPERLINK("http://twitter.com/download/iphone","Twitter for iPhone")</f>
        <v>Twitter for iPhone</v>
      </c>
      <c r="L3353" s="16">
        <v>697</v>
      </c>
      <c r="M3353" s="16">
        <v>179</v>
      </c>
      <c r="N3353" s="16">
        <v>0</v>
      </c>
      <c r="O3353" s="17"/>
      <c r="P3353" s="18">
        <v>41619.219583333332</v>
      </c>
      <c r="Q3353" s="7"/>
      <c r="R3353" s="7" t="s">
        <v>18610</v>
      </c>
      <c r="S3353" s="8"/>
      <c r="T3353" s="8"/>
      <c r="U3353" s="19" t="str">
        <f>HYPERLINK("https://pbs.twimg.com/profile_images/1044523651134033920/fHax3u1A.jpg","View")</f>
        <v>View</v>
      </c>
      <c r="V3353" s="8"/>
      <c r="W3353" s="8"/>
      <c r="X3353" s="8"/>
      <c r="Y3353" s="8"/>
      <c r="Z3353" s="8"/>
    </row>
    <row r="3354" spans="1:26" ht="12.75">
      <c r="A3354" s="11">
        <v>43747.159814814819</v>
      </c>
      <c r="B3354" s="12" t="str">
        <f>HYPERLINK("https://twitter.com/BZadepasha","@BZadepasha")</f>
        <v>@BZadepasha</v>
      </c>
      <c r="C3354" s="7" t="s">
        <v>18611</v>
      </c>
      <c r="D3354" s="7" t="s">
        <v>160</v>
      </c>
      <c r="E3354" s="12" t="str">
        <f>HYPERLINK("https://twitter.com/BZadepasha/status/1181884543093149696","1181884543093149696")</f>
        <v>1181884543093149696</v>
      </c>
      <c r="F3354" s="15"/>
      <c r="G3354" s="15"/>
      <c r="H3354" s="8"/>
      <c r="I3354" s="15">
        <v>0</v>
      </c>
      <c r="J3354" s="15">
        <v>0</v>
      </c>
      <c r="K3354" s="12" t="str">
        <f>HYPERLINK("http://twitter.com/download/iphone","Twitter for iPhone")</f>
        <v>Twitter for iPhone</v>
      </c>
      <c r="L3354" s="16">
        <v>46</v>
      </c>
      <c r="M3354" s="16">
        <v>124</v>
      </c>
      <c r="N3354" s="16">
        <v>0</v>
      </c>
      <c r="O3354" s="17"/>
      <c r="P3354" s="18">
        <v>43739.315370370372</v>
      </c>
      <c r="Q3354" s="7"/>
      <c r="R3354" s="7" t="s">
        <v>18612</v>
      </c>
      <c r="S3354" s="8"/>
      <c r="T3354" s="8"/>
      <c r="U3354" s="19" t="str">
        <f>HYPERLINK("https://pbs.twimg.com/profile_images/1179376856040169478/-mfkgYO4.jpg","View")</f>
        <v>View</v>
      </c>
      <c r="V3354" s="8"/>
      <c r="W3354" s="8"/>
      <c r="X3354" s="8"/>
      <c r="Y3354" s="8"/>
      <c r="Z3354" s="8"/>
    </row>
    <row r="3355" spans="1:26" ht="12.75">
      <c r="A3355" s="11">
        <v>43747.159814814819</v>
      </c>
      <c r="B3355" s="12" t="str">
        <f>HYPERLINK("https://twitter.com/TugbaE19","@TugbaE19")</f>
        <v>@TugbaE19</v>
      </c>
      <c r="C3355" s="7" t="s">
        <v>18613</v>
      </c>
      <c r="D3355" s="7" t="s">
        <v>18614</v>
      </c>
      <c r="E3355" s="12" t="str">
        <f>HYPERLINK("https://twitter.com/TugbaE19/status/1181884542837231617","1181884542837231617")</f>
        <v>1181884542837231617</v>
      </c>
      <c r="F3355" s="8"/>
      <c r="G3355" s="15"/>
      <c r="H3355" s="15"/>
      <c r="I3355" s="15">
        <v>0</v>
      </c>
      <c r="J3355" s="15">
        <v>0</v>
      </c>
      <c r="K3355" s="12" t="str">
        <f>HYPERLINK("http://twitter.com/download/iphone","Twitter for iPhone")</f>
        <v>Twitter for iPhone</v>
      </c>
      <c r="L3355" s="16">
        <v>10</v>
      </c>
      <c r="M3355" s="16">
        <v>45</v>
      </c>
      <c r="N3355" s="16">
        <v>0</v>
      </c>
      <c r="O3355" s="17"/>
      <c r="P3355" s="18">
        <v>40759.332453703704</v>
      </c>
      <c r="Q3355" s="7"/>
      <c r="R3355" s="7" t="s">
        <v>18615</v>
      </c>
      <c r="S3355" s="15"/>
      <c r="T3355" s="8"/>
      <c r="U3355" s="19" t="str">
        <f>HYPERLINK("https://pbs.twimg.com/profile_images/726751727932809216/Bnc_36Bd.jpg","View")</f>
        <v>View</v>
      </c>
      <c r="V3355" s="8"/>
      <c r="W3355" s="8"/>
      <c r="X3355" s="8"/>
      <c r="Y3355" s="8"/>
      <c r="Z3355" s="8"/>
    </row>
    <row r="3356" spans="1:26" ht="12.75">
      <c r="A3356" s="11">
        <v>43747.159780092596</v>
      </c>
      <c r="B3356" s="12" t="str">
        <f>HYPERLINK("https://twitter.com/dardar01","@dardar01")</f>
        <v>@dardar01</v>
      </c>
      <c r="C3356" s="7" t="s">
        <v>18616</v>
      </c>
      <c r="D3356" s="7" t="s">
        <v>18617</v>
      </c>
      <c r="E3356" s="12" t="str">
        <f>HYPERLINK("https://twitter.com/dardar01/status/1181884532850593793","1181884532850593793")</f>
        <v>1181884532850593793</v>
      </c>
      <c r="F3356" s="8"/>
      <c r="G3356" s="7"/>
      <c r="H3356" s="8"/>
      <c r="I3356" s="15">
        <v>0</v>
      </c>
      <c r="J3356" s="15">
        <v>0</v>
      </c>
      <c r="K3356" s="12" t="str">
        <f>HYPERLINK("https://mobile.twitter.com","Twitter Web App")</f>
        <v>Twitter Web App</v>
      </c>
      <c r="L3356" s="16">
        <v>1377</v>
      </c>
      <c r="M3356" s="16">
        <v>3298</v>
      </c>
      <c r="N3356" s="16">
        <v>10</v>
      </c>
      <c r="O3356" s="17"/>
      <c r="P3356" s="18">
        <v>39922.346909722226</v>
      </c>
      <c r="Q3356" s="7" t="s">
        <v>18618</v>
      </c>
      <c r="R3356" s="7" t="s">
        <v>18619</v>
      </c>
      <c r="S3356" s="8"/>
      <c r="T3356" s="8"/>
      <c r="U3356" s="19" t="str">
        <f>HYPERLINK("https://pbs.twimg.com/profile_images/549203687877660674/JL6S3cef.jpeg","View")</f>
        <v>View</v>
      </c>
      <c r="V3356" s="8"/>
      <c r="W3356" s="8"/>
      <c r="X3356" s="8"/>
      <c r="Y3356" s="8"/>
      <c r="Z3356" s="8"/>
    </row>
    <row r="3357" spans="1:26" ht="12.75">
      <c r="A3357" s="11">
        <v>43747.159768518519</v>
      </c>
      <c r="B3357" s="12" t="str">
        <f>HYPERLINK("https://twitter.com/Gulhira6","@Gulhira6")</f>
        <v>@Gulhira6</v>
      </c>
      <c r="C3357" s="7" t="s">
        <v>18620</v>
      </c>
      <c r="D3357" s="7" t="s">
        <v>18621</v>
      </c>
      <c r="E3357" s="12" t="str">
        <f>HYPERLINK("https://twitter.com/Gulhira6/status/1181884527226114048","1181884527226114048")</f>
        <v>1181884527226114048</v>
      </c>
      <c r="F3357" s="8"/>
      <c r="G3357" s="15"/>
      <c r="H3357" s="8"/>
      <c r="I3357" s="15">
        <v>0</v>
      </c>
      <c r="J3357" s="15">
        <v>1</v>
      </c>
      <c r="K3357" s="12" t="str">
        <f>HYPERLINK("http://twitter.com/download/android","Twitter for Android")</f>
        <v>Twitter for Android</v>
      </c>
      <c r="L3357" s="16">
        <v>546</v>
      </c>
      <c r="M3357" s="16">
        <v>1230</v>
      </c>
      <c r="N3357" s="16">
        <v>1</v>
      </c>
      <c r="O3357" s="17"/>
      <c r="P3357" s="18">
        <v>43422.496168981481</v>
      </c>
      <c r="Q3357" s="7" t="s">
        <v>313</v>
      </c>
      <c r="R3357" s="7" t="s">
        <v>18622</v>
      </c>
      <c r="S3357" s="15"/>
      <c r="T3357" s="8"/>
      <c r="U3357" s="19" t="str">
        <f>HYPERLINK("https://pbs.twimg.com/profile_images/1140173708868358145/wSmMHkYf.jpg","View")</f>
        <v>View</v>
      </c>
      <c r="V3357" s="8"/>
      <c r="W3357" s="8"/>
      <c r="X3357" s="8"/>
      <c r="Y3357" s="8"/>
      <c r="Z3357" s="8"/>
    </row>
    <row r="3358" spans="1:26" ht="12.75">
      <c r="A3358" s="11">
        <v>43747.159733796296</v>
      </c>
      <c r="B3358" s="12" t="str">
        <f>HYPERLINK("https://twitter.com/Melh61","@Melh61")</f>
        <v>@Melh61</v>
      </c>
      <c r="C3358" s="7" t="s">
        <v>18623</v>
      </c>
      <c r="D3358" s="7" t="s">
        <v>3552</v>
      </c>
      <c r="E3358" s="12" t="str">
        <f>HYPERLINK("https://twitter.com/Melh61/status/1181884513510723584","1181884513510723584")</f>
        <v>1181884513510723584</v>
      </c>
      <c r="F3358" s="8"/>
      <c r="G3358" s="14" t="s">
        <v>18624</v>
      </c>
      <c r="H3358" s="8"/>
      <c r="I3358" s="15">
        <v>0</v>
      </c>
      <c r="J3358" s="15">
        <v>0</v>
      </c>
      <c r="K3358" s="12" t="str">
        <f>HYPERLINK("http://twitter.com/download/iphone","Twitter for iPhone")</f>
        <v>Twitter for iPhone</v>
      </c>
      <c r="L3358" s="16">
        <v>106</v>
      </c>
      <c r="M3358" s="16">
        <v>136</v>
      </c>
      <c r="N3358" s="16">
        <v>0</v>
      </c>
      <c r="O3358" s="17"/>
      <c r="P3358" s="18">
        <v>40671.393067129626</v>
      </c>
      <c r="Q3358" s="7" t="s">
        <v>18625</v>
      </c>
      <c r="R3358" s="7" t="s">
        <v>18626</v>
      </c>
      <c r="S3358" s="8"/>
      <c r="T3358" s="8"/>
      <c r="U3358" s="19" t="str">
        <f>HYPERLINK("https://pbs.twimg.com/profile_images/882592095873191936/u9Akr7hQ.jpg","View")</f>
        <v>View</v>
      </c>
      <c r="V3358" s="8"/>
      <c r="W3358" s="8"/>
      <c r="X3358" s="8"/>
      <c r="Y3358" s="8"/>
      <c r="Z3358" s="8"/>
    </row>
    <row r="3359" spans="1:26" ht="12.75">
      <c r="A3359" s="11">
        <v>43747.159722222219</v>
      </c>
      <c r="B3359" s="12" t="str">
        <f>HYPERLINK("https://twitter.com/dereotIupogaca","@dereotIupogaca")</f>
        <v>@dereotIupogaca</v>
      </c>
      <c r="C3359" s="7" t="s">
        <v>18627</v>
      </c>
      <c r="D3359" s="7" t="s">
        <v>18628</v>
      </c>
      <c r="E3359" s="12" t="str">
        <f>HYPERLINK("https://twitter.com/dereotIupogaca/status/1181884509496709120","1181884509496709120")</f>
        <v>1181884509496709120</v>
      </c>
      <c r="F3359" s="8"/>
      <c r="G3359" s="14" t="s">
        <v>18629</v>
      </c>
      <c r="H3359" s="8"/>
      <c r="I3359" s="15">
        <v>0</v>
      </c>
      <c r="J3359" s="15">
        <v>0</v>
      </c>
      <c r="K3359" s="12" t="str">
        <f>HYPERLINK("http://twitter.com/download/android","Twitter for Android")</f>
        <v>Twitter for Android</v>
      </c>
      <c r="L3359" s="16">
        <v>159</v>
      </c>
      <c r="M3359" s="16">
        <v>210</v>
      </c>
      <c r="N3359" s="16">
        <v>0</v>
      </c>
      <c r="O3359" s="17"/>
      <c r="P3359" s="18">
        <v>43588.302071759259</v>
      </c>
      <c r="Q3359" s="7"/>
      <c r="R3359" s="7"/>
      <c r="S3359" s="8"/>
      <c r="T3359" s="8"/>
      <c r="U3359" s="19" t="str">
        <f>HYPERLINK("https://pbs.twimg.com/profile_images/1168113759170310146/9gYfKBAZ.jpg","View")</f>
        <v>View</v>
      </c>
      <c r="V3359" s="8"/>
      <c r="W3359" s="8"/>
      <c r="X3359" s="8"/>
      <c r="Y3359" s="8"/>
      <c r="Z3359" s="8"/>
    </row>
    <row r="3360" spans="1:26" ht="12.75">
      <c r="A3360" s="11">
        <v>43747.15960648148</v>
      </c>
      <c r="B3360" s="12" t="str">
        <f>HYPERLINK("https://twitter.com/2733Murat","@2733Murat")</f>
        <v>@2733Murat</v>
      </c>
      <c r="C3360" s="7" t="s">
        <v>695</v>
      </c>
      <c r="D3360" s="7" t="s">
        <v>160</v>
      </c>
      <c r="E3360" s="12" t="str">
        <f>HYPERLINK("https://twitter.com/2733Murat/status/1181884468119969792","1181884468119969792")</f>
        <v>1181884468119969792</v>
      </c>
      <c r="F3360" s="8"/>
      <c r="G3360" s="14" t="s">
        <v>18630</v>
      </c>
      <c r="H3360" s="8"/>
      <c r="I3360" s="15">
        <v>0</v>
      </c>
      <c r="J3360" s="15">
        <v>0</v>
      </c>
      <c r="K3360" s="12" t="str">
        <f>HYPERLINK("http://twitter.com/download/android","Twitter for Android")</f>
        <v>Twitter for Android</v>
      </c>
      <c r="L3360" s="16">
        <v>73</v>
      </c>
      <c r="M3360" s="16">
        <v>324</v>
      </c>
      <c r="N3360" s="16">
        <v>0</v>
      </c>
      <c r="O3360" s="17"/>
      <c r="P3360" s="18">
        <v>41943.378981481481</v>
      </c>
      <c r="Q3360" s="7"/>
      <c r="R3360" s="7"/>
      <c r="S3360" s="8"/>
      <c r="T3360" s="8"/>
      <c r="U3360" s="19" t="str">
        <f>HYPERLINK("https://pbs.twimg.com/profile_images/1141025350908076033/M52ieNFd.jpg","View")</f>
        <v>View</v>
      </c>
      <c r="V3360" s="8"/>
      <c r="W3360" s="8"/>
      <c r="X3360" s="8"/>
      <c r="Y3360" s="8"/>
      <c r="Z3360" s="8"/>
    </row>
    <row r="3361" spans="1:26" ht="12.75">
      <c r="A3361" s="11">
        <v>43747.159583333334</v>
      </c>
      <c r="B3361" s="12" t="str">
        <f>HYPERLINK("https://twitter.com/MudessirL","@MudessirL")</f>
        <v>@MudessirL</v>
      </c>
      <c r="C3361" s="7" t="s">
        <v>18631</v>
      </c>
      <c r="D3361" s="7" t="s">
        <v>18632</v>
      </c>
      <c r="E3361" s="12" t="str">
        <f>HYPERLINK("https://twitter.com/MudessirL/status/1181884461186764801","1181884461186764801")</f>
        <v>1181884461186764801</v>
      </c>
      <c r="F3361" s="8"/>
      <c r="G3361" s="14" t="s">
        <v>18633</v>
      </c>
      <c r="H3361" s="8"/>
      <c r="I3361" s="15">
        <v>0</v>
      </c>
      <c r="J3361" s="15">
        <v>0</v>
      </c>
      <c r="K3361" s="12" t="str">
        <f>HYPERLINK("http://twitter.com","Twitter Web Client")</f>
        <v>Twitter Web Client</v>
      </c>
      <c r="L3361" s="16">
        <v>6</v>
      </c>
      <c r="M3361" s="16">
        <v>0</v>
      </c>
      <c r="N3361" s="16">
        <v>0</v>
      </c>
      <c r="O3361" s="17"/>
      <c r="P3361" s="18">
        <v>43669.856990740736</v>
      </c>
      <c r="Q3361" s="7" t="s">
        <v>3140</v>
      </c>
      <c r="R3361" s="7" t="s">
        <v>18634</v>
      </c>
      <c r="S3361" s="8"/>
      <c r="T3361" s="8"/>
      <c r="U3361" s="19" t="str">
        <f>HYPERLINK("https://pbs.twimg.com/profile_images/1154296899115130880/C_xS8m6h.jpg","View")</f>
        <v>View</v>
      </c>
      <c r="V3361" s="8"/>
      <c r="W3361" s="8"/>
      <c r="X3361" s="8"/>
      <c r="Y3361" s="8"/>
      <c r="Z3361" s="8"/>
    </row>
    <row r="3362" spans="1:26" ht="12.75">
      <c r="A3362" s="11">
        <v>43747.159525462965</v>
      </c>
      <c r="B3362" s="12" t="str">
        <f>HYPERLINK("https://twitter.com/tunay_emrah","@tunay_emrah")</f>
        <v>@tunay_emrah</v>
      </c>
      <c r="C3362" s="7" t="s">
        <v>18635</v>
      </c>
      <c r="D3362" s="7" t="s">
        <v>18636</v>
      </c>
      <c r="E3362" s="12" t="str">
        <f>HYPERLINK("https://twitter.com/tunay_emrah/status/1181884438839529472","1181884438839529472")</f>
        <v>1181884438839529472</v>
      </c>
      <c r="F3362" s="8"/>
      <c r="G3362" s="15"/>
      <c r="H3362" s="8"/>
      <c r="I3362" s="15">
        <v>1</v>
      </c>
      <c r="J3362" s="15">
        <v>2</v>
      </c>
      <c r="K3362" s="12" t="str">
        <f>HYPERLINK("http://twitter.com/download/android","Twitter for Android")</f>
        <v>Twitter for Android</v>
      </c>
      <c r="L3362" s="16">
        <v>117</v>
      </c>
      <c r="M3362" s="16">
        <v>457</v>
      </c>
      <c r="N3362" s="16">
        <v>0</v>
      </c>
      <c r="O3362" s="17"/>
      <c r="P3362" s="18">
        <v>41732.413402777776</v>
      </c>
      <c r="Q3362" s="7"/>
      <c r="R3362" s="7"/>
      <c r="S3362" s="8"/>
      <c r="T3362" s="8"/>
      <c r="U3362" s="19" t="str">
        <f>HYPERLINK("https://pbs.twimg.com/profile_images/631513437722554368/j8k4UJVS.jpg","View")</f>
        <v>View</v>
      </c>
      <c r="V3362" s="8"/>
      <c r="W3362" s="8"/>
      <c r="X3362" s="8"/>
      <c r="Y3362" s="8"/>
      <c r="Z3362" s="8"/>
    </row>
    <row r="3363" spans="1:26" ht="12.75">
      <c r="A3363" s="11">
        <v>43747.159502314811</v>
      </c>
      <c r="B3363" s="12" t="str">
        <f>HYPERLINK("https://twitter.com/gonulbirfidan","@gonulbirfidan")</f>
        <v>@gonulbirfidan</v>
      </c>
      <c r="C3363" s="7" t="s">
        <v>18637</v>
      </c>
      <c r="D3363" s="7" t="s">
        <v>18638</v>
      </c>
      <c r="E3363" s="12" t="str">
        <f>HYPERLINK("https://twitter.com/gonulbirfidan/status/1181884430522167303","1181884430522167303")</f>
        <v>1181884430522167303</v>
      </c>
      <c r="F3363" s="15"/>
      <c r="G3363" s="15"/>
      <c r="H3363" s="8"/>
      <c r="I3363" s="15">
        <v>0</v>
      </c>
      <c r="J3363" s="15">
        <v>0</v>
      </c>
      <c r="K3363" s="12" t="str">
        <f>HYPERLINK("http://twitter.com/download/android","Twitter for Android")</f>
        <v>Twitter for Android</v>
      </c>
      <c r="L3363" s="16">
        <v>4</v>
      </c>
      <c r="M3363" s="16">
        <v>124</v>
      </c>
      <c r="N3363" s="16">
        <v>0</v>
      </c>
      <c r="O3363" s="17"/>
      <c r="P3363" s="18">
        <v>43572.40792824074</v>
      </c>
      <c r="Q3363" s="7"/>
      <c r="R3363" s="7"/>
      <c r="S3363" s="15"/>
      <c r="T3363" s="8"/>
      <c r="U3363" s="19" t="str">
        <f>HYPERLINK("https://pbs.twimg.com/profile_images/1143506530144280576/G9JJgta_.jpg","View")</f>
        <v>View</v>
      </c>
      <c r="V3363" s="8"/>
      <c r="W3363" s="8"/>
      <c r="X3363" s="8"/>
      <c r="Y3363" s="8"/>
      <c r="Z3363" s="8"/>
    </row>
    <row r="3364" spans="1:26" ht="12.75">
      <c r="A3364" s="11">
        <v>43747.159201388888</v>
      </c>
      <c r="B3364" s="12" t="str">
        <f>HYPERLINK("https://twitter.com/ibrhmakturk","@ibrhmakturk")</f>
        <v>@ibrhmakturk</v>
      </c>
      <c r="C3364" s="7" t="s">
        <v>18639</v>
      </c>
      <c r="D3364" s="7" t="s">
        <v>18640</v>
      </c>
      <c r="E3364" s="12" t="str">
        <f>HYPERLINK("https://twitter.com/ibrhmakturk/status/1181884322430799872","1181884322430799872")</f>
        <v>1181884322430799872</v>
      </c>
      <c r="F3364" s="8"/>
      <c r="G3364" s="14" t="s">
        <v>18641</v>
      </c>
      <c r="H3364" s="8"/>
      <c r="I3364" s="15">
        <v>0</v>
      </c>
      <c r="J3364" s="15">
        <v>0</v>
      </c>
      <c r="K3364" s="12" t="str">
        <f>HYPERLINK("http://twitter.com/download/android","Twitter for Android")</f>
        <v>Twitter for Android</v>
      </c>
      <c r="L3364" s="16">
        <v>496</v>
      </c>
      <c r="M3364" s="16">
        <v>38</v>
      </c>
      <c r="N3364" s="16">
        <v>0</v>
      </c>
      <c r="O3364" s="17"/>
      <c r="P3364" s="18">
        <v>40780.00917824074</v>
      </c>
      <c r="Q3364" s="7"/>
      <c r="R3364" s="7" t="s">
        <v>18642</v>
      </c>
      <c r="S3364" s="8"/>
      <c r="T3364" s="8"/>
      <c r="U3364" s="19" t="str">
        <f>HYPERLINK("https://pbs.twimg.com/profile_images/1126197969223655425/sEiVxKg9.jpg","View")</f>
        <v>View</v>
      </c>
      <c r="V3364" s="8"/>
      <c r="W3364" s="8"/>
      <c r="X3364" s="8"/>
      <c r="Y3364" s="8"/>
      <c r="Z3364" s="8"/>
    </row>
    <row r="3365" spans="1:26" ht="12.75">
      <c r="A3365" s="11">
        <v>43747.159108796295</v>
      </c>
      <c r="B3365" s="12" t="str">
        <f>HYPERLINK("https://twitter.com/AysesuKuklu","@AysesuKuklu")</f>
        <v>@AysesuKuklu</v>
      </c>
      <c r="C3365" s="7" t="s">
        <v>18643</v>
      </c>
      <c r="D3365" s="7" t="s">
        <v>18644</v>
      </c>
      <c r="E3365" s="12" t="str">
        <f>HYPERLINK("https://twitter.com/AysesuKuklu/status/1181884290541465600","1181884290541465600")</f>
        <v>1181884290541465600</v>
      </c>
      <c r="F3365" s="8"/>
      <c r="G3365" s="15"/>
      <c r="H3365" s="8"/>
      <c r="I3365" s="15">
        <v>0</v>
      </c>
      <c r="J3365" s="15">
        <v>0</v>
      </c>
      <c r="K3365" s="12" t="str">
        <f>HYPERLINK("http://twitter.com","Twitter Web Client")</f>
        <v>Twitter Web Client</v>
      </c>
      <c r="L3365" s="16">
        <v>3</v>
      </c>
      <c r="M3365" s="16">
        <v>0</v>
      </c>
      <c r="N3365" s="16">
        <v>1</v>
      </c>
      <c r="O3365" s="17"/>
      <c r="P3365" s="18">
        <v>43683.835833333331</v>
      </c>
      <c r="Q3365" s="7" t="s">
        <v>1066</v>
      </c>
      <c r="R3365" s="7" t="s">
        <v>18645</v>
      </c>
      <c r="S3365" s="8"/>
      <c r="T3365" s="8"/>
      <c r="U3365" s="19" t="str">
        <f>HYPERLINK("https://pbs.twimg.com/profile_images/1167219500430893061/--OAucsX.jpg","View")</f>
        <v>View</v>
      </c>
      <c r="V3365" s="8"/>
      <c r="W3365" s="8"/>
      <c r="X3365" s="8"/>
      <c r="Y3365" s="8"/>
      <c r="Z3365" s="8"/>
    </row>
    <row r="3366" spans="1:26" ht="12.75">
      <c r="A3366" s="11">
        <v>43747.159085648149</v>
      </c>
      <c r="B3366" s="12" t="str">
        <f>HYPERLINK("https://twitter.com/hilal_yuksell","@hilal_yuksell")</f>
        <v>@hilal_yuksell</v>
      </c>
      <c r="C3366" s="7" t="s">
        <v>18646</v>
      </c>
      <c r="D3366" s="7" t="s">
        <v>160</v>
      </c>
      <c r="E3366" s="12" t="str">
        <f>HYPERLINK("https://twitter.com/hilal_yuksell/status/1181884278910701570","1181884278910701570")</f>
        <v>1181884278910701570</v>
      </c>
      <c r="F3366" s="8"/>
      <c r="G3366" s="14" t="s">
        <v>18647</v>
      </c>
      <c r="H3366" s="8"/>
      <c r="I3366" s="15">
        <v>0</v>
      </c>
      <c r="J3366" s="15">
        <v>1</v>
      </c>
      <c r="K3366" s="12" t="str">
        <f>HYPERLINK("http://twitter.com/download/iphone","Twitter for iPhone")</f>
        <v>Twitter for iPhone</v>
      </c>
      <c r="L3366" s="16">
        <v>175</v>
      </c>
      <c r="M3366" s="16">
        <v>202</v>
      </c>
      <c r="N3366" s="16">
        <v>0</v>
      </c>
      <c r="O3366" s="17"/>
      <c r="P3366" s="18">
        <v>42252.430462962962</v>
      </c>
      <c r="Q3366" s="7"/>
      <c r="R3366" s="7" t="s">
        <v>18648</v>
      </c>
      <c r="S3366" s="8"/>
      <c r="T3366" s="8"/>
      <c r="U3366" s="19" t="str">
        <f>HYPERLINK("https://pbs.twimg.com/profile_images/1181651632083341312/96L7EHhe.jpg","View")</f>
        <v>View</v>
      </c>
      <c r="V3366" s="8"/>
      <c r="W3366" s="8"/>
      <c r="X3366" s="8"/>
      <c r="Y3366" s="8"/>
      <c r="Z3366" s="8"/>
    </row>
    <row r="3367" spans="1:26" ht="12.75">
      <c r="A3367" s="11">
        <v>43747.15892361111</v>
      </c>
      <c r="B3367" s="12" t="str">
        <f>HYPERLINK("https://twitter.com/abdurahmanakbak","@abdurahmanakbak")</f>
        <v>@abdurahmanakbak</v>
      </c>
      <c r="C3367" s="7" t="s">
        <v>18649</v>
      </c>
      <c r="D3367" s="7" t="s">
        <v>18650</v>
      </c>
      <c r="E3367" s="12" t="str">
        <f>HYPERLINK("https://twitter.com/abdurahmanakbak/status/1181884220236541952","1181884220236541952")</f>
        <v>1181884220236541952</v>
      </c>
      <c r="F3367" s="8"/>
      <c r="G3367" s="14" t="s">
        <v>18651</v>
      </c>
      <c r="H3367" s="8"/>
      <c r="I3367" s="15">
        <v>0</v>
      </c>
      <c r="J3367" s="15">
        <v>1</v>
      </c>
      <c r="K3367" s="12" t="str">
        <f>HYPERLINK("http://twitter.com/download/iphone","Twitter for iPhone")</f>
        <v>Twitter for iPhone</v>
      </c>
      <c r="L3367" s="16">
        <v>254</v>
      </c>
      <c r="M3367" s="16">
        <v>298</v>
      </c>
      <c r="N3367" s="16">
        <v>1</v>
      </c>
      <c r="O3367" s="17"/>
      <c r="P3367" s="18">
        <v>40206.429918981477</v>
      </c>
      <c r="Q3367" s="7" t="s">
        <v>18652</v>
      </c>
      <c r="R3367" s="7" t="s">
        <v>18653</v>
      </c>
      <c r="S3367" s="14" t="s">
        <v>18654</v>
      </c>
      <c r="T3367" s="8"/>
      <c r="U3367" s="19" t="str">
        <f>HYPERLINK("https://pbs.twimg.com/profile_images/995348765237268480/m-pyeRy0.jpg","View")</f>
        <v>View</v>
      </c>
      <c r="V3367" s="8"/>
      <c r="W3367" s="8"/>
      <c r="X3367" s="8"/>
      <c r="Y3367" s="8"/>
      <c r="Z3367" s="8"/>
    </row>
    <row r="3368" spans="1:26" ht="12.75">
      <c r="A3368" s="11">
        <v>43747.158750000002</v>
      </c>
      <c r="B3368" s="12" t="str">
        <f>HYPERLINK("https://twitter.com/adil01003798","@adil01003798")</f>
        <v>@adil01003798</v>
      </c>
      <c r="C3368" s="7" t="s">
        <v>18655</v>
      </c>
      <c r="D3368" s="7" t="s">
        <v>18656</v>
      </c>
      <c r="E3368" s="12" t="str">
        <f>HYPERLINK("https://twitter.com/adil01003798/status/1181884160526442497","1181884160526442497")</f>
        <v>1181884160526442497</v>
      </c>
      <c r="F3368" s="8"/>
      <c r="G3368" s="15"/>
      <c r="H3368" s="8"/>
      <c r="I3368" s="15">
        <v>0</v>
      </c>
      <c r="J3368" s="15">
        <v>0</v>
      </c>
      <c r="K3368" s="12" t="str">
        <f>HYPERLINK("http://twitter.com/download/android","Twitter for Android")</f>
        <v>Twitter for Android</v>
      </c>
      <c r="L3368" s="16">
        <v>4</v>
      </c>
      <c r="M3368" s="16">
        <v>55</v>
      </c>
      <c r="N3368" s="16">
        <v>0</v>
      </c>
      <c r="O3368" s="17"/>
      <c r="P3368" s="18">
        <v>43734.292465277773</v>
      </c>
      <c r="Q3368" s="7" t="s">
        <v>313</v>
      </c>
      <c r="R3368" s="7"/>
      <c r="S3368" s="8"/>
      <c r="T3368" s="8"/>
      <c r="U3368" s="19" t="str">
        <f>HYPERLINK("https://pbs.twimg.com/profile_images/1177224002923876352/aepTrNlZ.jpg","View")</f>
        <v>View</v>
      </c>
      <c r="V3368" s="8"/>
      <c r="W3368" s="8"/>
      <c r="X3368" s="8"/>
      <c r="Y3368" s="8"/>
      <c r="Z3368" s="8"/>
    </row>
    <row r="3369" spans="1:26" ht="12.75">
      <c r="A3369" s="11">
        <v>43747.158726851849</v>
      </c>
      <c r="B3369" s="12" t="str">
        <f>HYPERLINK("https://twitter.com/Burakkkkkkk1907","@Burakkkkkkk1907")</f>
        <v>@Burakkkkkkk1907</v>
      </c>
      <c r="C3369" s="7" t="s">
        <v>11801</v>
      </c>
      <c r="D3369" s="7" t="s">
        <v>18657</v>
      </c>
      <c r="E3369" s="12" t="str">
        <f>HYPERLINK("https://twitter.com/Burakkkkkkk1907/status/1181884148857921536","1181884148857921536")</f>
        <v>1181884148857921536</v>
      </c>
      <c r="F3369" s="8"/>
      <c r="G3369" s="14" t="s">
        <v>18658</v>
      </c>
      <c r="H3369" s="8"/>
      <c r="I3369" s="15">
        <v>0</v>
      </c>
      <c r="J3369" s="15">
        <v>4</v>
      </c>
      <c r="K3369" s="12" t="str">
        <f>HYPERLINK("https://mobile.twitter.com","Twitter Web App")</f>
        <v>Twitter Web App</v>
      </c>
      <c r="L3369" s="16">
        <v>782</v>
      </c>
      <c r="M3369" s="16">
        <v>492</v>
      </c>
      <c r="N3369" s="16">
        <v>0</v>
      </c>
      <c r="O3369" s="17"/>
      <c r="P3369" s="18">
        <v>40731.5862962963</v>
      </c>
      <c r="Q3369" s="7"/>
      <c r="R3369" s="7" t="s">
        <v>18659</v>
      </c>
      <c r="S3369" s="8"/>
      <c r="T3369" s="8"/>
      <c r="U3369" s="19" t="str">
        <f>HYPERLINK("https://pbs.twimg.com/profile_images/1106153311105941504/99BA_B-q.jpg","View")</f>
        <v>View</v>
      </c>
      <c r="V3369" s="8"/>
      <c r="W3369" s="8"/>
      <c r="X3369" s="8"/>
      <c r="Y3369" s="8"/>
      <c r="Z3369" s="8"/>
    </row>
    <row r="3370" spans="1:26" ht="12.75">
      <c r="A3370" s="11">
        <v>43747.158680555556</v>
      </c>
      <c r="B3370" s="12" t="str">
        <f>HYPERLINK("https://twitter.com/Filici54","@Filici54")</f>
        <v>@Filici54</v>
      </c>
      <c r="C3370" s="7" t="s">
        <v>18660</v>
      </c>
      <c r="D3370" s="7" t="s">
        <v>18661</v>
      </c>
      <c r="E3370" s="12" t="str">
        <f>HYPERLINK("https://twitter.com/Filici54/status/1181884135238983680","1181884135238983680")</f>
        <v>1181884135238983680</v>
      </c>
      <c r="F3370" s="8"/>
      <c r="G3370" s="7"/>
      <c r="H3370" s="8"/>
      <c r="I3370" s="15">
        <v>1</v>
      </c>
      <c r="J3370" s="15">
        <v>1</v>
      </c>
      <c r="K3370" s="12" t="str">
        <f>HYPERLINK("https://mobile.twitter.com","Twitter Web App")</f>
        <v>Twitter Web App</v>
      </c>
      <c r="L3370" s="16">
        <v>289</v>
      </c>
      <c r="M3370" s="16">
        <v>235</v>
      </c>
      <c r="N3370" s="16">
        <v>0</v>
      </c>
      <c r="O3370" s="17"/>
      <c r="P3370" s="18">
        <v>43516.432141203702</v>
      </c>
      <c r="Q3370" s="7" t="s">
        <v>685</v>
      </c>
      <c r="R3370" s="7" t="s">
        <v>18662</v>
      </c>
      <c r="S3370" s="8"/>
      <c r="T3370" s="8"/>
      <c r="U3370" s="19" t="str">
        <f>HYPERLINK("https://pbs.twimg.com/profile_images/1164082011239268352/Jmnz5gjV.jpg","View")</f>
        <v>View</v>
      </c>
      <c r="V3370" s="8"/>
      <c r="W3370" s="8"/>
      <c r="X3370" s="8"/>
      <c r="Y3370" s="8"/>
      <c r="Z3370" s="8"/>
    </row>
    <row r="3371" spans="1:26" ht="12.75">
      <c r="A3371" s="11">
        <v>43747.158622685187</v>
      </c>
      <c r="B3371" s="12" t="str">
        <f>HYPERLINK("https://twitter.com/Yusuf75298363","@Yusuf75298363")</f>
        <v>@Yusuf75298363</v>
      </c>
      <c r="C3371" s="7" t="s">
        <v>1607</v>
      </c>
      <c r="D3371" s="7" t="s">
        <v>18663</v>
      </c>
      <c r="E3371" s="12" t="str">
        <f>HYPERLINK("https://twitter.com/Yusuf75298363/status/1181884111654473728","1181884111654473728")</f>
        <v>1181884111654473728</v>
      </c>
      <c r="F3371" s="8"/>
      <c r="G3371" s="15"/>
      <c r="H3371" s="8"/>
      <c r="I3371" s="15">
        <v>0</v>
      </c>
      <c r="J3371" s="15">
        <v>0</v>
      </c>
      <c r="K3371" s="12" t="str">
        <f>HYPERLINK("http://twitter.com/download/android","Twitter for Android")</f>
        <v>Twitter for Android</v>
      </c>
      <c r="L3371" s="16">
        <v>5</v>
      </c>
      <c r="M3371" s="16">
        <v>84</v>
      </c>
      <c r="N3371" s="16">
        <v>0</v>
      </c>
      <c r="O3371" s="17"/>
      <c r="P3371" s="18">
        <v>43635.482673611114</v>
      </c>
      <c r="Q3371" s="7"/>
      <c r="R3371" s="7"/>
      <c r="S3371" s="8"/>
      <c r="T3371" s="8"/>
      <c r="U3371" s="19" t="str">
        <f>HYPERLINK("https://pbs.twimg.com/profile_images/1145381710982516736/ObMwInJM.jpg","View")</f>
        <v>View</v>
      </c>
      <c r="V3371" s="8"/>
      <c r="W3371" s="8"/>
      <c r="X3371" s="8"/>
      <c r="Y3371" s="8"/>
      <c r="Z3371" s="8"/>
    </row>
    <row r="3372" spans="1:26" ht="12.75">
      <c r="A3372" s="11">
        <v>43747.158576388887</v>
      </c>
      <c r="B3372" s="12" t="str">
        <f>HYPERLINK("https://twitter.com/kadriye__c","@kadriye__c")</f>
        <v>@kadriye__c</v>
      </c>
      <c r="C3372" s="7" t="s">
        <v>18664</v>
      </c>
      <c r="D3372" s="7" t="s">
        <v>18665</v>
      </c>
      <c r="E3372" s="12" t="str">
        <f>HYPERLINK("https://twitter.com/kadriye__c/status/1181884098102661120","1181884098102661120")</f>
        <v>1181884098102661120</v>
      </c>
      <c r="F3372" s="14" t="s">
        <v>18666</v>
      </c>
      <c r="G3372" s="14" t="s">
        <v>18667</v>
      </c>
      <c r="H3372" s="8"/>
      <c r="I3372" s="15">
        <v>0</v>
      </c>
      <c r="J3372" s="15">
        <v>0</v>
      </c>
      <c r="K3372" s="12" t="str">
        <f>HYPERLINK("http://twitter.com/download/android","Twitter for Android")</f>
        <v>Twitter for Android</v>
      </c>
      <c r="L3372" s="16">
        <v>257</v>
      </c>
      <c r="M3372" s="16">
        <v>375</v>
      </c>
      <c r="N3372" s="16">
        <v>0</v>
      </c>
      <c r="O3372" s="17"/>
      <c r="P3372" s="18">
        <v>40729.122812499998</v>
      </c>
      <c r="Q3372" s="7" t="s">
        <v>860</v>
      </c>
      <c r="R3372" s="7"/>
      <c r="S3372" s="8"/>
      <c r="T3372" s="8"/>
      <c r="U3372" s="19" t="str">
        <f>HYPERLINK("https://pbs.twimg.com/profile_images/1178431827943591937/GYkol4FK.jpg","View")</f>
        <v>View</v>
      </c>
      <c r="V3372" s="8"/>
      <c r="W3372" s="8"/>
      <c r="X3372" s="8"/>
      <c r="Y3372" s="8"/>
      <c r="Z3372" s="8"/>
    </row>
    <row r="3373" spans="1:26" ht="12.75">
      <c r="A3373" s="11">
        <v>43747.158518518518</v>
      </c>
      <c r="B3373" s="12" t="str">
        <f>HYPERLINK("https://twitter.com/GnydnSlck","@GnydnSlck")</f>
        <v>@GnydnSlck</v>
      </c>
      <c r="C3373" s="7" t="s">
        <v>18668</v>
      </c>
      <c r="D3373" s="7" t="s">
        <v>160</v>
      </c>
      <c r="E3373" s="12" t="str">
        <f>HYPERLINK("https://twitter.com/GnydnSlck/status/1181884076799746049","1181884076799746049")</f>
        <v>1181884076799746049</v>
      </c>
      <c r="F3373" s="8"/>
      <c r="G3373" s="14" t="s">
        <v>18669</v>
      </c>
      <c r="H3373" s="8"/>
      <c r="I3373" s="15">
        <v>0</v>
      </c>
      <c r="J3373" s="15">
        <v>1</v>
      </c>
      <c r="K3373" s="12" t="str">
        <f>HYPERLINK("http://twitter.com/download/iphone","Twitter for iPhone")</f>
        <v>Twitter for iPhone</v>
      </c>
      <c r="L3373" s="16">
        <v>735</v>
      </c>
      <c r="M3373" s="16">
        <v>781</v>
      </c>
      <c r="N3373" s="16">
        <v>2</v>
      </c>
      <c r="O3373" s="17"/>
      <c r="P3373" s="18">
        <v>41299.975034722222</v>
      </c>
      <c r="Q3373" s="7" t="s">
        <v>2026</v>
      </c>
      <c r="R3373" s="7"/>
      <c r="S3373" s="8"/>
      <c r="T3373" s="8"/>
      <c r="U3373" s="19" t="str">
        <f>HYPERLINK("https://pbs.twimg.com/profile_images/1151442124145078276/oe9z4pIR.jpg","View")</f>
        <v>View</v>
      </c>
      <c r="V3373" s="8"/>
      <c r="W3373" s="8"/>
      <c r="X3373" s="8"/>
      <c r="Y3373" s="8"/>
      <c r="Z3373" s="8"/>
    </row>
    <row r="3374" spans="1:26" ht="12.75">
      <c r="A3374" s="11">
        <v>43747.158518518518</v>
      </c>
      <c r="B3374" s="12" t="str">
        <f>HYPERLINK("https://twitter.com/cankurt_tolunay","@cankurt_tolunay")</f>
        <v>@cankurt_tolunay</v>
      </c>
      <c r="C3374" s="7" t="s">
        <v>18670</v>
      </c>
      <c r="D3374" s="7" t="s">
        <v>18671</v>
      </c>
      <c r="E3374" s="12" t="str">
        <f>HYPERLINK("https://twitter.com/cankurt_tolunay/status/1181884075210092549","1181884075210092549")</f>
        <v>1181884075210092549</v>
      </c>
      <c r="F3374" s="8"/>
      <c r="G3374" s="7"/>
      <c r="H3374" s="8"/>
      <c r="I3374" s="15">
        <v>0</v>
      </c>
      <c r="J3374" s="15">
        <v>0</v>
      </c>
      <c r="K3374" s="12" t="str">
        <f>HYPERLINK("http://twitter.com/download/android","Twitter for Android")</f>
        <v>Twitter for Android</v>
      </c>
      <c r="L3374" s="16">
        <v>1</v>
      </c>
      <c r="M3374" s="16">
        <v>3</v>
      </c>
      <c r="N3374" s="16">
        <v>0</v>
      </c>
      <c r="O3374" s="17"/>
      <c r="P3374" s="18">
        <v>43540.34547453704</v>
      </c>
      <c r="Q3374" s="7"/>
      <c r="R3374" s="7"/>
      <c r="S3374" s="8"/>
      <c r="T3374" s="8"/>
      <c r="U3374" s="20" t="s">
        <v>354</v>
      </c>
      <c r="V3374" s="8"/>
      <c r="W3374" s="8"/>
      <c r="X3374" s="8"/>
      <c r="Y3374" s="8"/>
      <c r="Z3374" s="8"/>
    </row>
    <row r="3375" spans="1:26" ht="12.75">
      <c r="A3375" s="11">
        <v>43747.158402777779</v>
      </c>
      <c r="B3375" s="12" t="str">
        <f>HYPERLINK("https://twitter.com/muratcosmos","@muratcosmos")</f>
        <v>@muratcosmos</v>
      </c>
      <c r="C3375" s="7" t="s">
        <v>18673</v>
      </c>
      <c r="D3375" s="7" t="s">
        <v>18674</v>
      </c>
      <c r="E3375" s="12" t="str">
        <f>HYPERLINK("https://twitter.com/muratcosmos/status/1181884032847618049","1181884032847618049")</f>
        <v>1181884032847618049</v>
      </c>
      <c r="F3375" s="8"/>
      <c r="G3375" s="15"/>
      <c r="H3375" s="8"/>
      <c r="I3375" s="15">
        <v>0</v>
      </c>
      <c r="J3375" s="15">
        <v>0</v>
      </c>
      <c r="K3375" s="12" t="str">
        <f>HYPERLINK("http://twitter.com/download/android","Twitter for Android")</f>
        <v>Twitter for Android</v>
      </c>
      <c r="L3375" s="16">
        <v>75</v>
      </c>
      <c r="M3375" s="16">
        <v>107</v>
      </c>
      <c r="N3375" s="16">
        <v>4</v>
      </c>
      <c r="O3375" s="17"/>
      <c r="P3375" s="18">
        <v>41715.68372685185</v>
      </c>
      <c r="Q3375" s="7" t="s">
        <v>12482</v>
      </c>
      <c r="R3375" s="7"/>
      <c r="S3375" s="14" t="s">
        <v>18675</v>
      </c>
      <c r="T3375" s="8"/>
      <c r="U3375" s="19" t="str">
        <f>HYPERLINK("https://pbs.twimg.com/profile_images/1069730082116259845/YlzqKSDz.jpg","View")</f>
        <v>View</v>
      </c>
      <c r="V3375" s="8"/>
      <c r="W3375" s="8"/>
      <c r="X3375" s="8"/>
      <c r="Y3375" s="8"/>
      <c r="Z3375" s="8"/>
    </row>
    <row r="3376" spans="1:26" ht="12.75">
      <c r="A3376" s="11">
        <v>43747.158368055556</v>
      </c>
      <c r="B3376" s="12" t="str">
        <f>HYPERLINK("https://twitter.com/Bizimbaskan1","@Bizimbaskan1")</f>
        <v>@Bizimbaskan1</v>
      </c>
      <c r="C3376" s="7" t="s">
        <v>18676</v>
      </c>
      <c r="D3376" s="7" t="s">
        <v>18677</v>
      </c>
      <c r="E3376" s="12" t="str">
        <f>HYPERLINK("https://twitter.com/Bizimbaskan1/status/1181884020751310849","1181884020751310849")</f>
        <v>1181884020751310849</v>
      </c>
      <c r="F3376" s="8"/>
      <c r="G3376" s="14" t="s">
        <v>18678</v>
      </c>
      <c r="H3376" s="8"/>
      <c r="I3376" s="15">
        <v>0</v>
      </c>
      <c r="J3376" s="15">
        <v>0</v>
      </c>
      <c r="K3376" s="12" t="str">
        <f>HYPERLINK("https://mobile.twitter.com","Twitter Web App")</f>
        <v>Twitter Web App</v>
      </c>
      <c r="L3376" s="16">
        <v>3</v>
      </c>
      <c r="M3376" s="16">
        <v>42</v>
      </c>
      <c r="N3376" s="16">
        <v>0</v>
      </c>
      <c r="O3376" s="17"/>
      <c r="P3376" s="18">
        <v>43698.595462962963</v>
      </c>
      <c r="Q3376" s="7"/>
      <c r="R3376" s="7"/>
      <c r="S3376" s="8"/>
      <c r="T3376" s="8"/>
      <c r="U3376" s="19" t="str">
        <f>HYPERLINK("https://pbs.twimg.com/profile_images/1176558484827062272/Wt0_pAwH.jpg","View")</f>
        <v>View</v>
      </c>
      <c r="V3376" s="8"/>
      <c r="W3376" s="8"/>
      <c r="X3376" s="8"/>
      <c r="Y3376" s="8"/>
      <c r="Z3376" s="8"/>
    </row>
    <row r="3377" spans="1:26" ht="12.75">
      <c r="A3377" s="11">
        <v>43747.158217592594</v>
      </c>
      <c r="B3377" s="12" t="str">
        <f>HYPERLINK("https://twitter.com/crngns3","@crngns3")</f>
        <v>@crngns3</v>
      </c>
      <c r="C3377" s="7" t="s">
        <v>18679</v>
      </c>
      <c r="D3377" s="7" t="s">
        <v>18680</v>
      </c>
      <c r="E3377" s="12" t="str">
        <f>HYPERLINK("https://twitter.com/crngns3/status/1181883964224659456","1181883964224659456")</f>
        <v>1181883964224659456</v>
      </c>
      <c r="F3377" s="8"/>
      <c r="G3377" s="14" t="s">
        <v>18681</v>
      </c>
      <c r="H3377" s="8"/>
      <c r="I3377" s="15">
        <v>0</v>
      </c>
      <c r="J3377" s="15">
        <v>0</v>
      </c>
      <c r="K3377" s="12" t="str">
        <f>HYPERLINK("http://twitter.com/download/android","Twitter for Android")</f>
        <v>Twitter for Android</v>
      </c>
      <c r="L3377" s="16">
        <v>100</v>
      </c>
      <c r="M3377" s="16">
        <v>63</v>
      </c>
      <c r="N3377" s="16">
        <v>0</v>
      </c>
      <c r="O3377" s="17"/>
      <c r="P3377" s="18">
        <v>41181.944178240738</v>
      </c>
      <c r="Q3377" s="7"/>
      <c r="R3377" s="7" t="s">
        <v>18682</v>
      </c>
      <c r="S3377" s="8"/>
      <c r="T3377" s="8"/>
      <c r="U3377" s="19" t="str">
        <f>HYPERLINK("https://pbs.twimg.com/profile_images/1177150270385676290/HKGtTOah.jpg","View")</f>
        <v>View</v>
      </c>
      <c r="V3377" s="8"/>
      <c r="W3377" s="8"/>
      <c r="X3377" s="8"/>
      <c r="Y3377" s="8"/>
      <c r="Z3377" s="8"/>
    </row>
    <row r="3378" spans="1:26" ht="12.75">
      <c r="A3378" s="11">
        <v>43747.158090277779</v>
      </c>
      <c r="B3378" s="12" t="str">
        <f>HYPERLINK("https://twitter.com/murat_kabasakal","@murat_kabasakal")</f>
        <v>@murat_kabasakal</v>
      </c>
      <c r="C3378" s="7" t="s">
        <v>18683</v>
      </c>
      <c r="D3378" s="7" t="s">
        <v>18684</v>
      </c>
      <c r="E3378" s="12" t="str">
        <f>HYPERLINK("https://twitter.com/murat_kabasakal/status/1181883918468997120","1181883918468997120")</f>
        <v>1181883918468997120</v>
      </c>
      <c r="F3378" s="8"/>
      <c r="G3378" s="14" t="s">
        <v>18685</v>
      </c>
      <c r="H3378" s="8"/>
      <c r="I3378" s="15">
        <v>0</v>
      </c>
      <c r="J3378" s="15">
        <v>3</v>
      </c>
      <c r="K3378" s="12" t="str">
        <f>HYPERLINK("http://twitter.com/download/android","Twitter for Android")</f>
        <v>Twitter for Android</v>
      </c>
      <c r="L3378" s="16">
        <v>356</v>
      </c>
      <c r="M3378" s="16">
        <v>179</v>
      </c>
      <c r="N3378" s="16">
        <v>0</v>
      </c>
      <c r="O3378" s="17"/>
      <c r="P3378" s="18">
        <v>40684.307268518518</v>
      </c>
      <c r="Q3378" s="7"/>
      <c r="R3378" s="7" t="s">
        <v>18686</v>
      </c>
      <c r="S3378" s="15"/>
      <c r="T3378" s="8"/>
      <c r="U3378" s="19" t="str">
        <f>HYPERLINK("https://pbs.twimg.com/profile_images/1121698154150289408/NRmFUeeg.jpg","View")</f>
        <v>View</v>
      </c>
      <c r="V3378" s="8"/>
      <c r="W3378" s="8"/>
      <c r="X3378" s="8"/>
      <c r="Y3378" s="8"/>
      <c r="Z3378" s="8"/>
    </row>
    <row r="3379" spans="1:26" ht="12.75">
      <c r="A3379" s="11">
        <v>43747.158043981486</v>
      </c>
      <c r="B3379" s="12" t="str">
        <f>HYPERLINK("https://twitter.com/ismetbuturak","@ismetbuturak")</f>
        <v>@ismetbuturak</v>
      </c>
      <c r="C3379" s="7" t="s">
        <v>18687</v>
      </c>
      <c r="D3379" s="7" t="s">
        <v>18688</v>
      </c>
      <c r="E3379" s="12" t="str">
        <f>HYPERLINK("https://twitter.com/ismetbuturak/status/1181883903616962560","1181883903616962560")</f>
        <v>1181883903616962560</v>
      </c>
      <c r="F3379" s="8"/>
      <c r="G3379" s="14" t="s">
        <v>18689</v>
      </c>
      <c r="H3379" s="8"/>
      <c r="I3379" s="15">
        <v>0</v>
      </c>
      <c r="J3379" s="15">
        <v>3</v>
      </c>
      <c r="K3379" s="12" t="str">
        <f>HYPERLINK("http://twitter.com/download/iphone","Twitter for iPhone")</f>
        <v>Twitter for iPhone</v>
      </c>
      <c r="L3379" s="16">
        <v>139</v>
      </c>
      <c r="M3379" s="16">
        <v>128</v>
      </c>
      <c r="N3379" s="16">
        <v>0</v>
      </c>
      <c r="O3379" s="17"/>
      <c r="P3379" s="18">
        <v>40410.292592592596</v>
      </c>
      <c r="Q3379" s="7" t="s">
        <v>10826</v>
      </c>
      <c r="R3379" s="7" t="s">
        <v>18690</v>
      </c>
      <c r="S3379" s="8"/>
      <c r="T3379" s="8"/>
      <c r="U3379" s="19" t="str">
        <f>HYPERLINK("https://pbs.twimg.com/profile_images/1181881691251642368/AxwTY-bD.jpg","View")</f>
        <v>View</v>
      </c>
      <c r="V3379" s="8"/>
      <c r="W3379" s="8"/>
      <c r="X3379" s="8"/>
      <c r="Y3379" s="8"/>
      <c r="Z3379" s="8"/>
    </row>
    <row r="3380" spans="1:26" ht="12.75">
      <c r="A3380" s="11">
        <v>43747.158043981486</v>
      </c>
      <c r="B3380" s="12" t="str">
        <f>HYPERLINK("https://twitter.com/Neslihan7366624","@Neslihan7366624")</f>
        <v>@Neslihan7366624</v>
      </c>
      <c r="C3380" s="7" t="s">
        <v>18691</v>
      </c>
      <c r="D3380" s="7" t="s">
        <v>18692</v>
      </c>
      <c r="E3380" s="12" t="str">
        <f>HYPERLINK("https://twitter.com/Neslihan7366624/status/1181883902069227521","1181883902069227521")</f>
        <v>1181883902069227521</v>
      </c>
      <c r="F3380" s="8"/>
      <c r="G3380" s="14" t="s">
        <v>18693</v>
      </c>
      <c r="H3380" s="8"/>
      <c r="I3380" s="15">
        <v>19</v>
      </c>
      <c r="J3380" s="15">
        <v>51</v>
      </c>
      <c r="K3380" s="12" t="str">
        <f>HYPERLINK("http://twitter.com/download/android","Twitter for Android")</f>
        <v>Twitter for Android</v>
      </c>
      <c r="L3380" s="16">
        <v>5678</v>
      </c>
      <c r="M3380" s="16">
        <v>6201</v>
      </c>
      <c r="N3380" s="16">
        <v>0</v>
      </c>
      <c r="O3380" s="17"/>
      <c r="P3380" s="18">
        <v>43566.564004629632</v>
      </c>
      <c r="Q3380" s="7"/>
      <c r="R3380" s="7" t="s">
        <v>18694</v>
      </c>
      <c r="S3380" s="8"/>
      <c r="T3380" s="8"/>
      <c r="U3380" s="19" t="str">
        <f>HYPERLINK("https://pbs.twimg.com/profile_images/1171733663802908672/vAMLm9NI.jpg","View")</f>
        <v>View</v>
      </c>
      <c r="V3380" s="8"/>
      <c r="W3380" s="8"/>
      <c r="X3380" s="8"/>
      <c r="Y3380" s="8"/>
      <c r="Z3380" s="8"/>
    </row>
    <row r="3381" spans="1:26" ht="12.75">
      <c r="A3381" s="11">
        <v>43747.15797453704</v>
      </c>
      <c r="B3381" s="12" t="str">
        <f>HYPERLINK("https://twitter.com/hlm2071","@hlm2071")</f>
        <v>@hlm2071</v>
      </c>
      <c r="C3381" s="7" t="s">
        <v>18695</v>
      </c>
      <c r="D3381" s="7" t="s">
        <v>160</v>
      </c>
      <c r="E3381" s="12" t="str">
        <f>HYPERLINK("https://twitter.com/hlm2071/status/1181883879524831232","1181883879524831232")</f>
        <v>1181883879524831232</v>
      </c>
      <c r="F3381" s="8"/>
      <c r="G3381" s="14" t="s">
        <v>18696</v>
      </c>
      <c r="H3381" s="8"/>
      <c r="I3381" s="15">
        <v>1</v>
      </c>
      <c r="J3381" s="15">
        <v>1</v>
      </c>
      <c r="K3381" s="12" t="str">
        <f>HYPERLINK("http://twitter.com/download/android","Twitter for Android")</f>
        <v>Twitter for Android</v>
      </c>
      <c r="L3381" s="16">
        <v>5460</v>
      </c>
      <c r="M3381" s="16">
        <v>4705</v>
      </c>
      <c r="N3381" s="16">
        <v>5</v>
      </c>
      <c r="O3381" s="17"/>
      <c r="P3381" s="18">
        <v>41670.490879629629</v>
      </c>
      <c r="Q3381" s="7"/>
      <c r="R3381" s="7" t="s">
        <v>18697</v>
      </c>
      <c r="S3381" s="8"/>
      <c r="T3381" s="8"/>
      <c r="U3381" s="19" t="str">
        <f>HYPERLINK("https://pbs.twimg.com/profile_images/661258136020496384/7dS9ixha.jpg","View")</f>
        <v>View</v>
      </c>
      <c r="V3381" s="8"/>
      <c r="W3381" s="8"/>
      <c r="X3381" s="8"/>
      <c r="Y3381" s="8"/>
      <c r="Z3381" s="8"/>
    </row>
    <row r="3382" spans="1:26" ht="12.75">
      <c r="A3382" s="11">
        <v>43747.15797453704</v>
      </c>
      <c r="B3382" s="12" t="str">
        <f>HYPERLINK("https://twitter.com/MucizeDuyar","@MucizeDuyar")</f>
        <v>@MucizeDuyar</v>
      </c>
      <c r="C3382" s="7" t="s">
        <v>18698</v>
      </c>
      <c r="D3382" s="7" t="s">
        <v>18699</v>
      </c>
      <c r="E3382" s="12" t="str">
        <f>HYPERLINK("https://twitter.com/MucizeDuyar/status/1181883875875856384","1181883875875856384")</f>
        <v>1181883875875856384</v>
      </c>
      <c r="F3382" s="8"/>
      <c r="G3382" s="14" t="s">
        <v>18700</v>
      </c>
      <c r="H3382" s="8"/>
      <c r="I3382" s="15">
        <v>0</v>
      </c>
      <c r="J3382" s="15">
        <v>0</v>
      </c>
      <c r="K3382" s="12" t="str">
        <f>HYPERLINK("http://twitter.com","Twitter Web Client")</f>
        <v>Twitter Web Client</v>
      </c>
      <c r="L3382" s="16">
        <v>6</v>
      </c>
      <c r="M3382" s="16">
        <v>0</v>
      </c>
      <c r="N3382" s="16">
        <v>0</v>
      </c>
      <c r="O3382" s="17"/>
      <c r="P3382" s="18">
        <v>43683.824282407411</v>
      </c>
      <c r="Q3382" s="7" t="s">
        <v>14010</v>
      </c>
      <c r="R3382" s="7" t="s">
        <v>18701</v>
      </c>
      <c r="S3382" s="15"/>
      <c r="T3382" s="8"/>
      <c r="U3382" s="19" t="str">
        <f>HYPERLINK("https://pbs.twimg.com/profile_images/1167218565960949760/1qe-4-fQ.jpg","View")</f>
        <v>View</v>
      </c>
      <c r="V3382" s="8"/>
      <c r="W3382" s="8"/>
      <c r="X3382" s="8"/>
      <c r="Y3382" s="8"/>
      <c r="Z3382" s="8"/>
    </row>
    <row r="3383" spans="1:26" ht="12.75">
      <c r="A3383" s="11">
        <v>43747.157812500001</v>
      </c>
      <c r="B3383" s="12" t="str">
        <f>HYPERLINK("https://twitter.com/u_krkyl","@u_krkyl")</f>
        <v>@u_krkyl</v>
      </c>
      <c r="C3383" s="7" t="s">
        <v>18702</v>
      </c>
      <c r="D3383" s="7" t="s">
        <v>18703</v>
      </c>
      <c r="E3383" s="12" t="str">
        <f>HYPERLINK("https://twitter.com/u_krkyl/status/1181883819739234304","1181883819739234304")</f>
        <v>1181883819739234304</v>
      </c>
      <c r="F3383" s="8"/>
      <c r="G3383" s="14" t="s">
        <v>18704</v>
      </c>
      <c r="H3383" s="8"/>
      <c r="I3383" s="15">
        <v>0</v>
      </c>
      <c r="J3383" s="15">
        <v>1</v>
      </c>
      <c r="K3383" s="12" t="str">
        <f>HYPERLINK("http://twitter.com/download/iphone","Twitter for iPhone")</f>
        <v>Twitter for iPhone</v>
      </c>
      <c r="L3383" s="16">
        <v>49</v>
      </c>
      <c r="M3383" s="16">
        <v>177</v>
      </c>
      <c r="N3383" s="16">
        <v>0</v>
      </c>
      <c r="O3383" s="17"/>
      <c r="P3383" s="18">
        <v>43710.129953703705</v>
      </c>
      <c r="Q3383" s="7" t="s">
        <v>313</v>
      </c>
      <c r="R3383" s="7" t="s">
        <v>18705</v>
      </c>
      <c r="S3383" s="14" t="s">
        <v>18706</v>
      </c>
      <c r="T3383" s="8"/>
      <c r="U3383" s="19" t="str">
        <f>HYPERLINK("https://pbs.twimg.com/profile_images/1180251723819937792/28VWmTEg.jpg","View")</f>
        <v>View</v>
      </c>
      <c r="V3383" s="8"/>
      <c r="W3383" s="8"/>
      <c r="X3383" s="8"/>
      <c r="Y3383" s="8"/>
      <c r="Z3383" s="8"/>
    </row>
    <row r="3384" spans="1:26" ht="12.75">
      <c r="A3384" s="11">
        <v>43747.157662037032</v>
      </c>
      <c r="B3384" s="12" t="str">
        <f>HYPERLINK("https://twitter.com/Kapadokyavuz","@Kapadokyavuz")</f>
        <v>@Kapadokyavuz</v>
      </c>
      <c r="C3384" s="7" t="s">
        <v>18707</v>
      </c>
      <c r="D3384" s="7" t="s">
        <v>18708</v>
      </c>
      <c r="E3384" s="12" t="str">
        <f>HYPERLINK("https://twitter.com/Kapadokyavuz/status/1181883764311498752","1181883764311498752")</f>
        <v>1181883764311498752</v>
      </c>
      <c r="F3384" s="8"/>
      <c r="G3384" s="7"/>
      <c r="H3384" s="8"/>
      <c r="I3384" s="15">
        <v>0</v>
      </c>
      <c r="J3384" s="15">
        <v>3</v>
      </c>
      <c r="K3384" s="12" t="str">
        <f>HYPERLINK("http://twitter.com/download/android","Twitter for Android")</f>
        <v>Twitter for Android</v>
      </c>
      <c r="L3384" s="16">
        <v>261</v>
      </c>
      <c r="M3384" s="16">
        <v>117</v>
      </c>
      <c r="N3384" s="16">
        <v>1</v>
      </c>
      <c r="O3384" s="17"/>
      <c r="P3384" s="18">
        <v>40745.494131944448</v>
      </c>
      <c r="Q3384" s="7" t="s">
        <v>18709</v>
      </c>
      <c r="R3384" s="7" t="s">
        <v>18710</v>
      </c>
      <c r="S3384" s="15"/>
      <c r="T3384" s="8"/>
      <c r="U3384" s="19" t="str">
        <f>HYPERLINK("https://pbs.twimg.com/profile_images/1164295653339607042/B23NVaR4.jpg","View")</f>
        <v>View</v>
      </c>
      <c r="V3384" s="8"/>
      <c r="W3384" s="8"/>
      <c r="X3384" s="8"/>
      <c r="Y3384" s="8"/>
      <c r="Z3384" s="8"/>
    </row>
    <row r="3385" spans="1:26" ht="12.75">
      <c r="A3385" s="11">
        <v>43747.157638888893</v>
      </c>
      <c r="B3385" s="12" t="str">
        <f>HYPERLINK("https://twitter.com/menfiri","@menfiri")</f>
        <v>@menfiri</v>
      </c>
      <c r="C3385" s="7" t="s">
        <v>18711</v>
      </c>
      <c r="D3385" s="7" t="s">
        <v>18712</v>
      </c>
      <c r="E3385" s="12" t="str">
        <f>HYPERLINK("https://twitter.com/menfiri/status/1181883758150144000","1181883758150144000")</f>
        <v>1181883758150144000</v>
      </c>
      <c r="F3385" s="8"/>
      <c r="G3385" s="7"/>
      <c r="H3385" s="8"/>
      <c r="I3385" s="15">
        <v>0</v>
      </c>
      <c r="J3385" s="15">
        <v>0</v>
      </c>
      <c r="K3385" s="12" t="str">
        <f>HYPERLINK("http://twitter.com/download/android","Twitter for Android")</f>
        <v>Twitter for Android</v>
      </c>
      <c r="L3385" s="16">
        <v>71</v>
      </c>
      <c r="M3385" s="16">
        <v>172</v>
      </c>
      <c r="N3385" s="16">
        <v>1</v>
      </c>
      <c r="O3385" s="17"/>
      <c r="P3385" s="18">
        <v>40695.095555555556</v>
      </c>
      <c r="Q3385" s="7"/>
      <c r="R3385" s="7"/>
      <c r="S3385" s="8"/>
      <c r="T3385" s="8"/>
      <c r="U3385" s="19" t="str">
        <f>HYPERLINK("https://pbs.twimg.com/profile_images/710855722498727936/FQq3waqq.jpg","View")</f>
        <v>View</v>
      </c>
      <c r="V3385" s="8"/>
      <c r="W3385" s="8"/>
      <c r="X3385" s="8"/>
      <c r="Y3385" s="8"/>
      <c r="Z3385" s="8"/>
    </row>
    <row r="3386" spans="1:26" ht="12.75">
      <c r="A3386" s="11">
        <v>43747.157546296294</v>
      </c>
      <c r="B3386" s="12" t="str">
        <f>HYPERLINK("https://twitter.com/SabriKaaNKyC","@SabriKaaNKyC")</f>
        <v>@SabriKaaNKyC</v>
      </c>
      <c r="C3386" s="7" t="s">
        <v>18713</v>
      </c>
      <c r="D3386" s="7" t="s">
        <v>18714</v>
      </c>
      <c r="E3386" s="12" t="str">
        <f>HYPERLINK("https://twitter.com/SabriKaaNKyC/status/1181883724381786113","1181883724381786113")</f>
        <v>1181883724381786113</v>
      </c>
      <c r="F3386" s="8"/>
      <c r="G3386" s="7"/>
      <c r="H3386" s="8"/>
      <c r="I3386" s="15">
        <v>0</v>
      </c>
      <c r="J3386" s="15">
        <v>1</v>
      </c>
      <c r="K3386" s="12" t="str">
        <f>HYPERLINK("http://twitter.com/download/iphone","Twitter for iPhone")</f>
        <v>Twitter for iPhone</v>
      </c>
      <c r="L3386" s="16">
        <v>26</v>
      </c>
      <c r="M3386" s="16">
        <v>112</v>
      </c>
      <c r="N3386" s="16">
        <v>0</v>
      </c>
      <c r="O3386" s="17"/>
      <c r="P3386" s="18">
        <v>41894.53025462963</v>
      </c>
      <c r="Q3386" s="7"/>
      <c r="R3386" s="7" t="s">
        <v>18715</v>
      </c>
      <c r="S3386" s="8"/>
      <c r="T3386" s="8"/>
      <c r="U3386" s="19" t="str">
        <f>HYPERLINK("https://pbs.twimg.com/profile_images/1114483786132197376/F-PhMerp.jpg","View")</f>
        <v>View</v>
      </c>
      <c r="V3386" s="8"/>
      <c r="W3386" s="8"/>
      <c r="X3386" s="8"/>
      <c r="Y3386" s="8"/>
      <c r="Z3386" s="8"/>
    </row>
    <row r="3387" spans="1:26" ht="12.75">
      <c r="A3387" s="11">
        <v>43747.157534722224</v>
      </c>
      <c r="B3387" s="12" t="str">
        <f>HYPERLINK("https://twitter.com/Uluagaca","@Uluagaca")</f>
        <v>@Uluagaca</v>
      </c>
      <c r="C3387" s="7" t="s">
        <v>4984</v>
      </c>
      <c r="D3387" s="7" t="s">
        <v>18716</v>
      </c>
      <c r="E3387" s="12" t="str">
        <f>HYPERLINK("https://twitter.com/Uluagaca/status/1181883719092756480","1181883719092756480")</f>
        <v>1181883719092756480</v>
      </c>
      <c r="F3387" s="8"/>
      <c r="G3387" s="14" t="s">
        <v>18717</v>
      </c>
      <c r="H3387" s="8"/>
      <c r="I3387" s="15">
        <v>3</v>
      </c>
      <c r="J3387" s="15">
        <v>10</v>
      </c>
      <c r="K3387" s="12" t="str">
        <f>HYPERLINK("http://twitter.com/download/android","Twitter for Android")</f>
        <v>Twitter for Android</v>
      </c>
      <c r="L3387" s="16">
        <v>59</v>
      </c>
      <c r="M3387" s="16">
        <v>338</v>
      </c>
      <c r="N3387" s="16">
        <v>0</v>
      </c>
      <c r="O3387" s="17"/>
      <c r="P3387" s="18">
        <v>40431.591712962967</v>
      </c>
      <c r="Q3387" s="7" t="s">
        <v>860</v>
      </c>
      <c r="R3387" s="7" t="s">
        <v>18718</v>
      </c>
      <c r="S3387" s="15"/>
      <c r="T3387" s="8"/>
      <c r="U3387" s="19" t="str">
        <f>HYPERLINK("https://pbs.twimg.com/profile_images/902515139181760512/hKlgzDCU.jpg","View")</f>
        <v>View</v>
      </c>
      <c r="V3387" s="8"/>
      <c r="W3387" s="8"/>
      <c r="X3387" s="8"/>
      <c r="Y3387" s="8"/>
      <c r="Z3387" s="8"/>
    </row>
    <row r="3388" spans="1:26" ht="12.75">
      <c r="A3388" s="11">
        <v>43747.157488425924</v>
      </c>
      <c r="B3388" s="12" t="str">
        <f>HYPERLINK("https://twitter.com/gulcegokcedagl1","@gulcegokcedagl1")</f>
        <v>@gulcegokcedagl1</v>
      </c>
      <c r="C3388" s="7" t="s">
        <v>18719</v>
      </c>
      <c r="D3388" s="7" t="s">
        <v>18720</v>
      </c>
      <c r="E3388" s="12" t="str">
        <f>HYPERLINK("https://twitter.com/gulcegokcedagl1/status/1181883703703801856","1181883703703801856")</f>
        <v>1181883703703801856</v>
      </c>
      <c r="F3388" s="8"/>
      <c r="G3388" s="7"/>
      <c r="H3388" s="8"/>
      <c r="I3388" s="15">
        <v>0</v>
      </c>
      <c r="J3388" s="15">
        <v>0</v>
      </c>
      <c r="K3388" s="12" t="str">
        <f>HYPERLINK("http://twitter.com","Twitter Web Client")</f>
        <v>Twitter Web Client</v>
      </c>
      <c r="L3388" s="16">
        <v>13</v>
      </c>
      <c r="M3388" s="16">
        <v>0</v>
      </c>
      <c r="N3388" s="16">
        <v>0</v>
      </c>
      <c r="O3388" s="17"/>
      <c r="P3388" s="18">
        <v>43675.100937499999</v>
      </c>
      <c r="Q3388" s="7" t="s">
        <v>18721</v>
      </c>
      <c r="R3388" s="7" t="s">
        <v>18722</v>
      </c>
      <c r="S3388" s="8"/>
      <c r="T3388" s="8"/>
      <c r="U3388" s="19" t="str">
        <f>HYPERLINK("https://pbs.twimg.com/profile_images/1158624497437696001/W8OYrwl_.jpg","View")</f>
        <v>View</v>
      </c>
      <c r="V3388" s="8"/>
      <c r="W3388" s="8"/>
      <c r="X3388" s="8"/>
      <c r="Y3388" s="8"/>
      <c r="Z3388" s="8"/>
    </row>
    <row r="3389" spans="1:26" ht="12.75">
      <c r="A3389" s="11">
        <v>43747.157453703709</v>
      </c>
      <c r="B3389" s="12" t="str">
        <f>HYPERLINK("https://twitter.com/Cihan19_07","@Cihan19_07")</f>
        <v>@Cihan19_07</v>
      </c>
      <c r="C3389" s="7" t="s">
        <v>18723</v>
      </c>
      <c r="D3389" s="13" t="s">
        <v>18724</v>
      </c>
      <c r="E3389" s="12" t="str">
        <f>HYPERLINK("https://twitter.com/Cihan19_07/status/1181883688684003328","1181883688684003328")</f>
        <v>1181883688684003328</v>
      </c>
      <c r="F3389" s="14" t="s">
        <v>16531</v>
      </c>
      <c r="G3389" s="7" t="s">
        <v>18725</v>
      </c>
      <c r="H3389" s="8"/>
      <c r="I3389" s="15">
        <v>0</v>
      </c>
      <c r="J3389" s="15">
        <v>0</v>
      </c>
      <c r="K3389" s="12" t="str">
        <f>HYPERLINK("http://twitter.com/download/iphone","Twitter for iPhone")</f>
        <v>Twitter for iPhone</v>
      </c>
      <c r="L3389" s="16">
        <v>57</v>
      </c>
      <c r="M3389" s="16">
        <v>233</v>
      </c>
      <c r="N3389" s="16">
        <v>2</v>
      </c>
      <c r="O3389" s="17"/>
      <c r="P3389" s="18">
        <v>41411.513055555552</v>
      </c>
      <c r="Q3389" s="7"/>
      <c r="R3389" s="7" t="s">
        <v>18726</v>
      </c>
      <c r="S3389" s="8"/>
      <c r="T3389" s="8"/>
      <c r="U3389" s="19" t="str">
        <f>HYPERLINK("https://pbs.twimg.com/profile_images/1181640924457246720/MrW_93Pb.jpg","View")</f>
        <v>View</v>
      </c>
      <c r="V3389" s="8"/>
      <c r="W3389" s="8"/>
      <c r="X3389" s="8"/>
      <c r="Y3389" s="8"/>
      <c r="Z3389" s="8"/>
    </row>
    <row r="3390" spans="1:26" ht="12.75">
      <c r="A3390" s="11">
        <v>43747.157395833332</v>
      </c>
      <c r="B3390" s="12" t="str">
        <f>HYPERLINK("https://twitter.com/Semetli007","@Semetli007")</f>
        <v>@Semetli007</v>
      </c>
      <c r="C3390" s="7" t="s">
        <v>18727</v>
      </c>
      <c r="D3390" s="7" t="s">
        <v>18728</v>
      </c>
      <c r="E3390" s="12" t="str">
        <f>HYPERLINK("https://twitter.com/Semetli007/status/1181883670128447488","1181883670128447488")</f>
        <v>1181883670128447488</v>
      </c>
      <c r="F3390" s="8"/>
      <c r="G3390" s="14" t="s">
        <v>18729</v>
      </c>
      <c r="H3390" s="8"/>
      <c r="I3390" s="15">
        <v>2</v>
      </c>
      <c r="J3390" s="15">
        <v>18</v>
      </c>
      <c r="K3390" s="12" t="str">
        <f>HYPERLINK("http://twitter.com/download/iphone","Twitter for iPhone")</f>
        <v>Twitter for iPhone</v>
      </c>
      <c r="L3390" s="16">
        <v>12543</v>
      </c>
      <c r="M3390" s="16">
        <v>12077</v>
      </c>
      <c r="N3390" s="16">
        <v>20</v>
      </c>
      <c r="O3390" s="17"/>
      <c r="P3390" s="18">
        <v>42017.023020833338</v>
      </c>
      <c r="Q3390" s="7"/>
      <c r="R3390" s="7" t="s">
        <v>18730</v>
      </c>
      <c r="S3390" s="8"/>
      <c r="T3390" s="8"/>
      <c r="U3390" s="19" t="str">
        <f>HYPERLINK("https://pbs.twimg.com/profile_images/623905831273242624/hXbjsPFM.jpg","View")</f>
        <v>View</v>
      </c>
      <c r="V3390" s="8"/>
      <c r="W3390" s="8"/>
      <c r="X3390" s="8"/>
      <c r="Y3390" s="8"/>
      <c r="Z3390" s="8"/>
    </row>
    <row r="3391" spans="1:26" ht="12.75">
      <c r="A3391" s="11">
        <v>43747.157314814816</v>
      </c>
      <c r="B3391" s="12" t="str">
        <f>HYPERLINK("https://twitter.com/tolgabedir55","@tolgabedir55")</f>
        <v>@tolgabedir55</v>
      </c>
      <c r="C3391" s="7" t="s">
        <v>18731</v>
      </c>
      <c r="D3391" s="7" t="s">
        <v>18732</v>
      </c>
      <c r="E3391" s="12" t="str">
        <f>HYPERLINK("https://twitter.com/tolgabedir55/status/1181883638297833473","1181883638297833473")</f>
        <v>1181883638297833473</v>
      </c>
      <c r="F3391" s="8"/>
      <c r="G3391" s="15"/>
      <c r="H3391" s="8"/>
      <c r="I3391" s="15">
        <v>0</v>
      </c>
      <c r="J3391" s="15">
        <v>0</v>
      </c>
      <c r="K3391" s="12" t="str">
        <f>HYPERLINK("http://twitter.com/download/android","Twitter for Android")</f>
        <v>Twitter for Android</v>
      </c>
      <c r="L3391" s="16">
        <v>22</v>
      </c>
      <c r="M3391" s="16">
        <v>324</v>
      </c>
      <c r="N3391" s="16">
        <v>0</v>
      </c>
      <c r="O3391" s="17"/>
      <c r="P3391" s="18">
        <v>43240.593888888892</v>
      </c>
      <c r="Q3391" s="7"/>
      <c r="R3391" s="7"/>
      <c r="S3391" s="8"/>
      <c r="T3391" s="8"/>
      <c r="U3391" s="19" t="str">
        <f>HYPERLINK("https://pbs.twimg.com/profile_images/1029655089521283072/a-XCB39x.jpg","View")</f>
        <v>View</v>
      </c>
      <c r="V3391" s="8"/>
      <c r="W3391" s="8"/>
      <c r="X3391" s="8"/>
      <c r="Y3391" s="8"/>
      <c r="Z3391" s="8"/>
    </row>
    <row r="3392" spans="1:26" ht="12.75">
      <c r="A3392" s="11">
        <v>43747.157199074078</v>
      </c>
      <c r="B3392" s="12" t="str">
        <f>HYPERLINK("https://twitter.com/aydinerden1402","@aydinerden1402")</f>
        <v>@aydinerden1402</v>
      </c>
      <c r="C3392" s="7" t="s">
        <v>18733</v>
      </c>
      <c r="D3392" s="7" t="s">
        <v>18734</v>
      </c>
      <c r="E3392" s="12" t="str">
        <f>HYPERLINK("https://twitter.com/aydinerden1402/status/1181883596287696897","1181883596287696897")</f>
        <v>1181883596287696897</v>
      </c>
      <c r="F3392" s="8"/>
      <c r="G3392" s="15"/>
      <c r="H3392" s="8"/>
      <c r="I3392" s="15">
        <v>0</v>
      </c>
      <c r="J3392" s="15">
        <v>0</v>
      </c>
      <c r="K3392" s="12" t="str">
        <f>HYPERLINK("http://twitter.com/download/iphone","Twitter for iPhone")</f>
        <v>Twitter for iPhone</v>
      </c>
      <c r="L3392" s="16">
        <v>81</v>
      </c>
      <c r="M3392" s="16">
        <v>165</v>
      </c>
      <c r="N3392" s="16">
        <v>0</v>
      </c>
      <c r="O3392" s="17"/>
      <c r="P3392" s="18">
        <v>40960.016770833332</v>
      </c>
      <c r="Q3392" s="7"/>
      <c r="R3392" s="7"/>
      <c r="S3392" s="8"/>
      <c r="T3392" s="8"/>
      <c r="U3392" s="19" t="str">
        <f>HYPERLINK("https://pbs.twimg.com/profile_images/807968163832954880/neVfgE4k.jpg","View")</f>
        <v>View</v>
      </c>
      <c r="V3392" s="8"/>
      <c r="W3392" s="8"/>
      <c r="X3392" s="8"/>
      <c r="Y3392" s="8"/>
      <c r="Z3392" s="8"/>
    </row>
    <row r="3393" spans="1:26" ht="12.75">
      <c r="A3393" s="11">
        <v>43747.157199074078</v>
      </c>
      <c r="B3393" s="12" t="str">
        <f>HYPERLINK("https://twitter.com/serhatgsfb","@serhatgsfb")</f>
        <v>@serhatgsfb</v>
      </c>
      <c r="C3393" s="7" t="s">
        <v>18735</v>
      </c>
      <c r="D3393" s="7" t="s">
        <v>18736</v>
      </c>
      <c r="E3393" s="12" t="str">
        <f>HYPERLINK("https://twitter.com/serhatgsfb/status/1181883595843133440","1181883595843133440")</f>
        <v>1181883595843133440</v>
      </c>
      <c r="F3393" s="8"/>
      <c r="G3393" s="15"/>
      <c r="H3393" s="8"/>
      <c r="I3393" s="15">
        <v>0</v>
      </c>
      <c r="J3393" s="15">
        <v>2</v>
      </c>
      <c r="K3393" s="12" t="str">
        <f>HYPERLINK("https://mobile.twitter.com","Twitter Web App")</f>
        <v>Twitter Web App</v>
      </c>
      <c r="L3393" s="16">
        <v>1217</v>
      </c>
      <c r="M3393" s="16">
        <v>1508</v>
      </c>
      <c r="N3393" s="16">
        <v>1</v>
      </c>
      <c r="O3393" s="17"/>
      <c r="P3393" s="18">
        <v>43528.651805555557</v>
      </c>
      <c r="Q3393" s="7"/>
      <c r="R3393" s="7" t="s">
        <v>18737</v>
      </c>
      <c r="S3393" s="8"/>
      <c r="T3393" s="8"/>
      <c r="U3393" s="19" t="str">
        <f>HYPERLINK("https://pbs.twimg.com/profile_images/1181180264367710208/PHQ8YKk-.jpg","View")</f>
        <v>View</v>
      </c>
      <c r="V3393" s="8"/>
      <c r="W3393" s="8"/>
      <c r="X3393" s="8"/>
      <c r="Y3393" s="8"/>
      <c r="Z3393" s="8"/>
    </row>
    <row r="3394" spans="1:26" ht="12.75">
      <c r="A3394" s="11">
        <v>43747.157164351855</v>
      </c>
      <c r="B3394" s="12" t="str">
        <f>HYPERLINK("https://twitter.com/sahinbing","@sahinbing")</f>
        <v>@sahinbing</v>
      </c>
      <c r="C3394" s="7" t="s">
        <v>18738</v>
      </c>
      <c r="D3394" s="7" t="s">
        <v>18739</v>
      </c>
      <c r="E3394" s="12" t="str">
        <f>HYPERLINK("https://twitter.com/sahinbing/status/1181883586070364160","1181883586070364160")</f>
        <v>1181883586070364160</v>
      </c>
      <c r="F3394" s="8"/>
      <c r="G3394" s="14" t="s">
        <v>18740</v>
      </c>
      <c r="H3394" s="8"/>
      <c r="I3394" s="15">
        <v>1</v>
      </c>
      <c r="J3394" s="15">
        <v>12</v>
      </c>
      <c r="K3394" s="12" t="str">
        <f>HYPERLINK("http://twitter.com/download/android","Twitter for Android")</f>
        <v>Twitter for Android</v>
      </c>
      <c r="L3394" s="16">
        <v>181</v>
      </c>
      <c r="M3394" s="16">
        <v>147</v>
      </c>
      <c r="N3394" s="16">
        <v>0</v>
      </c>
      <c r="O3394" s="17"/>
      <c r="P3394" s="18">
        <v>42804.242592592593</v>
      </c>
      <c r="Q3394" s="7" t="s">
        <v>1567</v>
      </c>
      <c r="R3394" s="7" t="s">
        <v>18741</v>
      </c>
      <c r="S3394" s="14" t="s">
        <v>18742</v>
      </c>
      <c r="T3394" s="8"/>
      <c r="U3394" s="19" t="str">
        <f>HYPERLINK("https://pbs.twimg.com/profile_images/1089168727059431424/t2vbQ4Xc.jpg","View")</f>
        <v>View</v>
      </c>
      <c r="V3394" s="8"/>
      <c r="W3394" s="8"/>
      <c r="X3394" s="8"/>
      <c r="Y3394" s="8"/>
      <c r="Z3394" s="8"/>
    </row>
    <row r="3395" spans="1:26" ht="12.75">
      <c r="A3395" s="11">
        <v>43747.157152777778</v>
      </c>
      <c r="B3395" s="12" t="str">
        <f>HYPERLINK("https://twitter.com/genclikbirligi","@genclikbirligi")</f>
        <v>@genclikbirligi</v>
      </c>
      <c r="C3395" s="7" t="s">
        <v>18743</v>
      </c>
      <c r="D3395" s="7" t="s">
        <v>18744</v>
      </c>
      <c r="E3395" s="12" t="str">
        <f>HYPERLINK("https://twitter.com/genclikbirligi/status/1181883579250483201","1181883579250483201")</f>
        <v>1181883579250483201</v>
      </c>
      <c r="F3395" s="8"/>
      <c r="G3395" s="14" t="s">
        <v>18081</v>
      </c>
      <c r="H3395" s="8"/>
      <c r="I3395" s="15">
        <v>16</v>
      </c>
      <c r="J3395" s="15">
        <v>66</v>
      </c>
      <c r="K3395" s="12" t="str">
        <f>HYPERLINK("https://about.twitter.com/products/tweetdeck","TweetDeck")</f>
        <v>TweetDeck</v>
      </c>
      <c r="L3395" s="16">
        <v>202006</v>
      </c>
      <c r="M3395" s="16">
        <v>97</v>
      </c>
      <c r="N3395" s="16">
        <v>340</v>
      </c>
      <c r="O3395" s="17" t="s">
        <v>984</v>
      </c>
      <c r="P3395" s="18">
        <v>40148.965312500004</v>
      </c>
      <c r="Q3395" s="7" t="s">
        <v>200</v>
      </c>
      <c r="R3395" s="7" t="s">
        <v>18745</v>
      </c>
      <c r="S3395" s="14" t="s">
        <v>9559</v>
      </c>
      <c r="T3395" s="8"/>
      <c r="U3395" s="19" t="str">
        <f>HYPERLINK("https://pbs.twimg.com/profile_images/1093427864790282241/nCmOaWcF.jpg","View")</f>
        <v>View</v>
      </c>
      <c r="V3395" s="8"/>
      <c r="W3395" s="8"/>
      <c r="X3395" s="8"/>
      <c r="Y3395" s="8"/>
      <c r="Z3395" s="8"/>
    </row>
    <row r="3396" spans="1:26" ht="12.75">
      <c r="A3396" s="11">
        <v>43747.157094907408</v>
      </c>
      <c r="B3396" s="12" t="str">
        <f>HYPERLINK("https://twitter.com/Turgutt1995","@Turgutt1995")</f>
        <v>@Turgutt1995</v>
      </c>
      <c r="C3396" s="7" t="s">
        <v>18746</v>
      </c>
      <c r="D3396" s="7" t="s">
        <v>9019</v>
      </c>
      <c r="E3396" s="12" t="str">
        <f>HYPERLINK("https://twitter.com/Turgutt1995/status/1181883558572544002","1181883558572544002")</f>
        <v>1181883558572544002</v>
      </c>
      <c r="F3396" s="8"/>
      <c r="G3396" s="14" t="s">
        <v>18747</v>
      </c>
      <c r="H3396" s="8"/>
      <c r="I3396" s="15">
        <v>1</v>
      </c>
      <c r="J3396" s="15">
        <v>2</v>
      </c>
      <c r="K3396" s="12" t="str">
        <f>HYPERLINK("http://twitter.com/download/iphone","Twitter for iPhone")</f>
        <v>Twitter for iPhone</v>
      </c>
      <c r="L3396" s="16">
        <v>657</v>
      </c>
      <c r="M3396" s="16">
        <v>90</v>
      </c>
      <c r="N3396" s="16">
        <v>0</v>
      </c>
      <c r="O3396" s="17"/>
      <c r="P3396" s="18">
        <v>41682.208668981482</v>
      </c>
      <c r="Q3396" s="7" t="s">
        <v>18748</v>
      </c>
      <c r="R3396" s="7" t="s">
        <v>18749</v>
      </c>
      <c r="S3396" s="14" t="s">
        <v>18750</v>
      </c>
      <c r="T3396" s="8"/>
      <c r="U3396" s="19" t="str">
        <f>HYPERLINK("https://pbs.twimg.com/profile_images/1139265185909215237/IrnXTvF5.jpg","View")</f>
        <v>View</v>
      </c>
      <c r="V3396" s="8"/>
      <c r="W3396" s="8"/>
      <c r="X3396" s="8"/>
      <c r="Y3396" s="8"/>
      <c r="Z3396" s="8"/>
    </row>
    <row r="3397" spans="1:26" ht="12.75">
      <c r="A3397" s="11">
        <v>43747.157094907408</v>
      </c>
      <c r="B3397" s="12" t="str">
        <f>HYPERLINK("https://twitter.com/RamazanBasoglu","@RamazanBasoglu")</f>
        <v>@RamazanBasoglu</v>
      </c>
      <c r="C3397" s="7" t="s">
        <v>18751</v>
      </c>
      <c r="D3397" s="7" t="s">
        <v>18752</v>
      </c>
      <c r="E3397" s="12" t="str">
        <f>HYPERLINK("https://twitter.com/RamazanBasoglu/status/1181883557301620741","1181883557301620741")</f>
        <v>1181883557301620741</v>
      </c>
      <c r="F3397" s="8"/>
      <c r="G3397" s="7"/>
      <c r="H3397" s="8"/>
      <c r="I3397" s="15">
        <v>0</v>
      </c>
      <c r="J3397" s="15">
        <v>0</v>
      </c>
      <c r="K3397" s="12" t="str">
        <f>HYPERLINK("https://mobile.twitter.com","Twitter Web App")</f>
        <v>Twitter Web App</v>
      </c>
      <c r="L3397" s="16">
        <v>207</v>
      </c>
      <c r="M3397" s="16">
        <v>315</v>
      </c>
      <c r="N3397" s="16">
        <v>0</v>
      </c>
      <c r="O3397" s="17"/>
      <c r="P3397" s="18">
        <v>43028.19798611111</v>
      </c>
      <c r="Q3397" s="7"/>
      <c r="R3397" s="7"/>
      <c r="S3397" s="8"/>
      <c r="T3397" s="8"/>
      <c r="U3397" s="19" t="str">
        <f>HYPERLINK("https://pbs.twimg.com/profile_images/1072574405522407426/Cg-i6bcG.jpg","View")</f>
        <v>View</v>
      </c>
      <c r="V3397" s="8"/>
      <c r="W3397" s="8"/>
      <c r="X3397" s="8"/>
      <c r="Y3397" s="8"/>
      <c r="Z3397" s="8"/>
    </row>
    <row r="3398" spans="1:26" ht="12.75">
      <c r="A3398" s="11">
        <v>43747.157071759255</v>
      </c>
      <c r="B3398" s="12" t="str">
        <f>HYPERLINK("https://twitter.com/ccandarli","@ccandarli")</f>
        <v>@ccandarli</v>
      </c>
      <c r="C3398" s="7" t="s">
        <v>18753</v>
      </c>
      <c r="D3398" s="7" t="s">
        <v>18754</v>
      </c>
      <c r="E3398" s="12" t="str">
        <f>HYPERLINK("https://twitter.com/ccandarli/status/1181883551937114118","1181883551937114118")</f>
        <v>1181883551937114118</v>
      </c>
      <c r="F3398" s="15"/>
      <c r="G3398" s="7"/>
      <c r="H3398" s="8"/>
      <c r="I3398" s="15">
        <v>0</v>
      </c>
      <c r="J3398" s="15">
        <v>0</v>
      </c>
      <c r="K3398" s="12" t="str">
        <f>HYPERLINK("http://twitter.com/download/android","Twitter for Android")</f>
        <v>Twitter for Android</v>
      </c>
      <c r="L3398" s="16">
        <v>726</v>
      </c>
      <c r="M3398" s="16">
        <v>211</v>
      </c>
      <c r="N3398" s="16">
        <v>5</v>
      </c>
      <c r="O3398" s="17"/>
      <c r="P3398" s="18">
        <v>40672.575787037036</v>
      </c>
      <c r="Q3398" s="7" t="s">
        <v>18755</v>
      </c>
      <c r="R3398" s="7" t="s">
        <v>18756</v>
      </c>
      <c r="S3398" s="8"/>
      <c r="T3398" s="8"/>
      <c r="U3398" s="19" t="str">
        <f>HYPERLINK("https://pbs.twimg.com/profile_images/1156306468678840320/OLJjfwS6.jpg","View")</f>
        <v>View</v>
      </c>
      <c r="V3398" s="8"/>
      <c r="W3398" s="8"/>
      <c r="X3398" s="8"/>
      <c r="Y3398" s="8"/>
      <c r="Z3398" s="8"/>
    </row>
    <row r="3399" spans="1:26" ht="12.75">
      <c r="A3399" s="11">
        <v>43747.156990740739</v>
      </c>
      <c r="B3399" s="12" t="str">
        <f>HYPERLINK("https://twitter.com/melekebdi","@melekebdi")</f>
        <v>@melekebdi</v>
      </c>
      <c r="C3399" s="7" t="s">
        <v>18757</v>
      </c>
      <c r="D3399" s="7" t="s">
        <v>18758</v>
      </c>
      <c r="E3399" s="12" t="str">
        <f>HYPERLINK("https://twitter.com/melekebdi/status/1181883523290075138","1181883523290075138")</f>
        <v>1181883523290075138</v>
      </c>
      <c r="F3399" s="8"/>
      <c r="G3399" s="14" t="s">
        <v>18759</v>
      </c>
      <c r="H3399" s="8"/>
      <c r="I3399" s="15">
        <v>0</v>
      </c>
      <c r="J3399" s="15">
        <v>0</v>
      </c>
      <c r="K3399" s="12" t="str">
        <f>HYPERLINK("http://twitter.com/download/android","Twitter for Android")</f>
        <v>Twitter for Android</v>
      </c>
      <c r="L3399" s="16">
        <v>140</v>
      </c>
      <c r="M3399" s="16">
        <v>128</v>
      </c>
      <c r="N3399" s="16">
        <v>0</v>
      </c>
      <c r="O3399" s="17"/>
      <c r="P3399" s="18">
        <v>40568.19368055556</v>
      </c>
      <c r="Q3399" s="7"/>
      <c r="R3399" s="7" t="s">
        <v>18760</v>
      </c>
      <c r="S3399" s="15"/>
      <c r="T3399" s="8"/>
      <c r="U3399" s="19" t="str">
        <f>HYPERLINK("https://pbs.twimg.com/profile_images/994843641884696577/JZ-XyciT.jpg","View")</f>
        <v>View</v>
      </c>
      <c r="V3399" s="8"/>
      <c r="W3399" s="8"/>
      <c r="X3399" s="8"/>
      <c r="Y3399" s="8"/>
      <c r="Z3399" s="8"/>
    </row>
    <row r="3400" spans="1:26" ht="12.75">
      <c r="A3400" s="11">
        <v>43747.15693287037</v>
      </c>
      <c r="B3400" s="12" t="str">
        <f>HYPERLINK("https://twitter.com/caglaKurtulmus","@caglaKurtulmus")</f>
        <v>@caglaKurtulmus</v>
      </c>
      <c r="C3400" s="7" t="s">
        <v>18761</v>
      </c>
      <c r="D3400" s="7" t="s">
        <v>18762</v>
      </c>
      <c r="E3400" s="12" t="str">
        <f>HYPERLINK("https://twitter.com/caglaKurtulmus/status/1181883501588680707","1181883501588680707")</f>
        <v>1181883501588680707</v>
      </c>
      <c r="F3400" s="14" t="s">
        <v>18763</v>
      </c>
      <c r="G3400" s="15"/>
      <c r="H3400" s="8"/>
      <c r="I3400" s="15">
        <v>0</v>
      </c>
      <c r="J3400" s="15">
        <v>0</v>
      </c>
      <c r="K3400" s="12" t="str">
        <f>HYPERLINK("http://twitter.com/download/iphone","Twitter for iPhone")</f>
        <v>Twitter for iPhone</v>
      </c>
      <c r="L3400" s="16">
        <v>713</v>
      </c>
      <c r="M3400" s="16">
        <v>1213</v>
      </c>
      <c r="N3400" s="16">
        <v>0</v>
      </c>
      <c r="O3400" s="17"/>
      <c r="P3400" s="18">
        <v>42305.611574074079</v>
      </c>
      <c r="Q3400" s="7" t="s">
        <v>69</v>
      </c>
      <c r="R3400" s="7" t="s">
        <v>18764</v>
      </c>
      <c r="S3400" s="8"/>
      <c r="T3400" s="8"/>
      <c r="U3400" s="19" t="str">
        <f>HYPERLINK("https://pbs.twimg.com/profile_images/1144168182976012288/Lcb0bh0R.png","View")</f>
        <v>View</v>
      </c>
      <c r="V3400" s="8"/>
      <c r="W3400" s="8"/>
      <c r="X3400" s="8"/>
      <c r="Y3400" s="8"/>
      <c r="Z3400" s="8"/>
    </row>
    <row r="3401" spans="1:26" ht="12.75">
      <c r="A3401" s="11">
        <v>43747.156909722224</v>
      </c>
      <c r="B3401" s="12" t="str">
        <f>HYPERLINK("https://twitter.com/trhuseyinbugra","@trhuseyinbugra")</f>
        <v>@trhuseyinbugra</v>
      </c>
      <c r="C3401" s="7" t="s">
        <v>18765</v>
      </c>
      <c r="D3401" s="7" t="s">
        <v>9777</v>
      </c>
      <c r="E3401" s="12" t="str">
        <f>HYPERLINK("https://twitter.com/trhuseyinbugra/status/1181883493355282432","1181883493355282432")</f>
        <v>1181883493355282432</v>
      </c>
      <c r="F3401" s="8"/>
      <c r="G3401" s="14" t="s">
        <v>18766</v>
      </c>
      <c r="H3401" s="8"/>
      <c r="I3401" s="15">
        <v>0</v>
      </c>
      <c r="J3401" s="15">
        <v>1</v>
      </c>
      <c r="K3401" s="12" t="str">
        <f>HYPERLINK("http://twitter.com/download/android","Twitter for Android")</f>
        <v>Twitter for Android</v>
      </c>
      <c r="L3401" s="16">
        <v>223</v>
      </c>
      <c r="M3401" s="16">
        <v>25</v>
      </c>
      <c r="N3401" s="16">
        <v>0</v>
      </c>
      <c r="O3401" s="17"/>
      <c r="P3401" s="18">
        <v>43140.728344907402</v>
      </c>
      <c r="Q3401" s="7" t="s">
        <v>18767</v>
      </c>
      <c r="R3401" s="7" t="s">
        <v>18768</v>
      </c>
      <c r="S3401" s="8"/>
      <c r="T3401" s="8"/>
      <c r="U3401" s="19" t="str">
        <f>HYPERLINK("https://pbs.twimg.com/profile_images/1181126840313888768/Dv_4gPzz.jpg","View")</f>
        <v>View</v>
      </c>
      <c r="V3401" s="8"/>
      <c r="W3401" s="8"/>
      <c r="X3401" s="8"/>
      <c r="Y3401" s="8"/>
      <c r="Z3401" s="8"/>
    </row>
    <row r="3402" spans="1:26" ht="12.75">
      <c r="A3402" s="11">
        <v>43747.15688657407</v>
      </c>
      <c r="B3402" s="12" t="str">
        <f>HYPERLINK("https://twitter.com/Zimirzalioglu","@Zimirzalioglu")</f>
        <v>@Zimirzalioglu</v>
      </c>
      <c r="C3402" s="7" t="s">
        <v>18769</v>
      </c>
      <c r="D3402" s="7" t="s">
        <v>18770</v>
      </c>
      <c r="E3402" s="12" t="str">
        <f>HYPERLINK("https://twitter.com/Zimirzalioglu/status/1181883482873700352","1181883482873700352")</f>
        <v>1181883482873700352</v>
      </c>
      <c r="F3402" s="8"/>
      <c r="G3402" s="7"/>
      <c r="H3402" s="8"/>
      <c r="I3402" s="15">
        <v>0</v>
      </c>
      <c r="J3402" s="15">
        <v>1</v>
      </c>
      <c r="K3402" s="12" t="str">
        <f>HYPERLINK("https://mobile.twitter.com","Twitter Web App")</f>
        <v>Twitter Web App</v>
      </c>
      <c r="L3402" s="16">
        <v>4</v>
      </c>
      <c r="M3402" s="16">
        <v>49</v>
      </c>
      <c r="N3402" s="16">
        <v>0</v>
      </c>
      <c r="O3402" s="17"/>
      <c r="P3402" s="18">
        <v>43731.354999999996</v>
      </c>
      <c r="Q3402" s="7"/>
      <c r="R3402" s="7" t="s">
        <v>18771</v>
      </c>
      <c r="S3402" s="8"/>
      <c r="T3402" s="8"/>
      <c r="U3402" s="19" t="str">
        <f>HYPERLINK("https://pbs.twimg.com/profile_images/1178785772771651586/-y93PXvQ.jpg","View")</f>
        <v>View</v>
      </c>
      <c r="V3402" s="8"/>
      <c r="W3402" s="8"/>
      <c r="X3402" s="8"/>
      <c r="Y3402" s="8"/>
      <c r="Z3402" s="8"/>
    </row>
    <row r="3403" spans="1:26" ht="12.75">
      <c r="A3403" s="11">
        <v>43747.156851851847</v>
      </c>
      <c r="B3403" s="12" t="str">
        <f>HYPERLINK("https://twitter.com/_mertkilinc","@_mertkilinc")</f>
        <v>@_mertkilinc</v>
      </c>
      <c r="C3403" s="7" t="s">
        <v>18772</v>
      </c>
      <c r="D3403" s="7" t="s">
        <v>18773</v>
      </c>
      <c r="E3403" s="12" t="str">
        <f>HYPERLINK("https://twitter.com/_mertkilinc/status/1181883470081122304","1181883470081122304")</f>
        <v>1181883470081122304</v>
      </c>
      <c r="F3403" s="8"/>
      <c r="G3403" s="14" t="s">
        <v>18774</v>
      </c>
      <c r="H3403" s="8"/>
      <c r="I3403" s="15">
        <v>1</v>
      </c>
      <c r="J3403" s="15">
        <v>8</v>
      </c>
      <c r="K3403" s="12" t="str">
        <f>HYPERLINK("http://twitter.com/download/iphone","Twitter for iPhone")</f>
        <v>Twitter for iPhone</v>
      </c>
      <c r="L3403" s="16">
        <v>156</v>
      </c>
      <c r="M3403" s="16">
        <v>157</v>
      </c>
      <c r="N3403" s="16">
        <v>1</v>
      </c>
      <c r="O3403" s="17"/>
      <c r="P3403" s="18">
        <v>41342.168402777781</v>
      </c>
      <c r="Q3403" s="7" t="s">
        <v>1392</v>
      </c>
      <c r="R3403" s="7" t="s">
        <v>18775</v>
      </c>
      <c r="S3403" s="14" t="s">
        <v>18776</v>
      </c>
      <c r="T3403" s="8"/>
      <c r="U3403" s="19" t="str">
        <f>HYPERLINK("https://pbs.twimg.com/profile_images/1178986801475784705/GaLZm9nd.jpg","View")</f>
        <v>View</v>
      </c>
      <c r="V3403" s="8"/>
      <c r="W3403" s="8"/>
      <c r="X3403" s="8"/>
      <c r="Y3403" s="8"/>
      <c r="Z3403" s="8"/>
    </row>
    <row r="3404" spans="1:26" ht="12.75">
      <c r="A3404" s="11">
        <v>43747.156840277778</v>
      </c>
      <c r="B3404" s="12" t="str">
        <f>HYPERLINK("https://twitter.com/meclksn","@meclksn")</f>
        <v>@meclksn</v>
      </c>
      <c r="C3404" s="7" t="s">
        <v>18777</v>
      </c>
      <c r="D3404" s="7" t="s">
        <v>18778</v>
      </c>
      <c r="E3404" s="12" t="str">
        <f>HYPERLINK("https://twitter.com/meclksn/status/1181883467635855360","1181883467635855360")</f>
        <v>1181883467635855360</v>
      </c>
      <c r="F3404" s="14" t="s">
        <v>18779</v>
      </c>
      <c r="G3404" s="14" t="s">
        <v>18780</v>
      </c>
      <c r="H3404" s="8"/>
      <c r="I3404" s="15">
        <v>0</v>
      </c>
      <c r="J3404" s="15">
        <v>0</v>
      </c>
      <c r="K3404" s="12" t="str">
        <f>HYPERLINK("https://mobile.twitter.com","Twitter Web App")</f>
        <v>Twitter Web App</v>
      </c>
      <c r="L3404" s="16">
        <v>45</v>
      </c>
      <c r="M3404" s="16">
        <v>244</v>
      </c>
      <c r="N3404" s="16">
        <v>1</v>
      </c>
      <c r="O3404" s="17"/>
      <c r="P3404" s="18">
        <v>43400.207326388889</v>
      </c>
      <c r="Q3404" s="7" t="s">
        <v>668</v>
      </c>
      <c r="R3404" s="7" t="s">
        <v>18781</v>
      </c>
      <c r="S3404" s="8"/>
      <c r="T3404" s="8"/>
      <c r="U3404" s="19" t="str">
        <f>HYPERLINK("https://pbs.twimg.com/profile_images/1100456806051168258/39ObqNDa.png","View")</f>
        <v>View</v>
      </c>
      <c r="V3404" s="8"/>
      <c r="W3404" s="8"/>
      <c r="X3404" s="8"/>
      <c r="Y3404" s="8"/>
      <c r="Z3404" s="8"/>
    </row>
    <row r="3405" spans="1:26" ht="12.75">
      <c r="A3405" s="11">
        <v>43747.156793981485</v>
      </c>
      <c r="B3405" s="12" t="str">
        <f>HYPERLINK("https://twitter.com/A_KARACALI","@A_KARACALI")</f>
        <v>@A_KARACALI</v>
      </c>
      <c r="C3405" s="7" t="s">
        <v>18782</v>
      </c>
      <c r="D3405" s="7" t="s">
        <v>18783</v>
      </c>
      <c r="E3405" s="12" t="str">
        <f>HYPERLINK("https://twitter.com/A_KARACALI/status/1181883449063464960","1181883449063464960")</f>
        <v>1181883449063464960</v>
      </c>
      <c r="F3405" s="14" t="s">
        <v>18784</v>
      </c>
      <c r="G3405" s="14" t="s">
        <v>18785</v>
      </c>
      <c r="H3405" s="8"/>
      <c r="I3405" s="15">
        <v>1</v>
      </c>
      <c r="J3405" s="15">
        <v>2</v>
      </c>
      <c r="K3405" s="12" t="str">
        <f>HYPERLINK("http://twitter.com/download/android","Twitter for Android")</f>
        <v>Twitter for Android</v>
      </c>
      <c r="L3405" s="16">
        <v>2212</v>
      </c>
      <c r="M3405" s="16">
        <v>577</v>
      </c>
      <c r="N3405" s="16">
        <v>3</v>
      </c>
      <c r="O3405" s="17"/>
      <c r="P3405" s="18">
        <v>40672.445729166662</v>
      </c>
      <c r="Q3405" s="7" t="s">
        <v>18786</v>
      </c>
      <c r="R3405" s="7" t="s">
        <v>18787</v>
      </c>
      <c r="S3405" s="8"/>
      <c r="T3405" s="8"/>
      <c r="U3405" s="19" t="str">
        <f>HYPERLINK("https://pbs.twimg.com/profile_images/1176245373234483200/SnwLBvgg.jpg","View")</f>
        <v>View</v>
      </c>
      <c r="V3405" s="8"/>
      <c r="W3405" s="8"/>
      <c r="X3405" s="8"/>
      <c r="Y3405" s="8"/>
      <c r="Z3405" s="8"/>
    </row>
    <row r="3406" spans="1:26" ht="12.75">
      <c r="A3406" s="11">
        <v>43747.156759259262</v>
      </c>
      <c r="B3406" s="12" t="str">
        <f>HYPERLINK("https://twitter.com/baskomutan1071","@baskomutan1071")</f>
        <v>@baskomutan1071</v>
      </c>
      <c r="C3406" s="7" t="s">
        <v>18788</v>
      </c>
      <c r="D3406" s="7" t="s">
        <v>18789</v>
      </c>
      <c r="E3406" s="12" t="str">
        <f>HYPERLINK("https://twitter.com/baskomutan1071/status/1181883437583671296","1181883437583671296")</f>
        <v>1181883437583671296</v>
      </c>
      <c r="F3406" s="8"/>
      <c r="G3406" s="14" t="s">
        <v>18790</v>
      </c>
      <c r="H3406" s="8"/>
      <c r="I3406" s="15">
        <v>4</v>
      </c>
      <c r="J3406" s="15">
        <v>18</v>
      </c>
      <c r="K3406" s="12" t="str">
        <f>HYPERLINK("https://mobile.twitter.com","Twitter Web App")</f>
        <v>Twitter Web App</v>
      </c>
      <c r="L3406" s="16">
        <v>3033</v>
      </c>
      <c r="M3406" s="16">
        <v>3086</v>
      </c>
      <c r="N3406" s="16">
        <v>0</v>
      </c>
      <c r="O3406" s="17"/>
      <c r="P3406" s="18">
        <v>43166.396087962959</v>
      </c>
      <c r="Q3406" s="7" t="s">
        <v>10674</v>
      </c>
      <c r="R3406" s="7" t="s">
        <v>18791</v>
      </c>
      <c r="S3406" s="14" t="s">
        <v>18792</v>
      </c>
      <c r="T3406" s="8"/>
      <c r="U3406" s="19" t="str">
        <f>HYPERLINK("https://pbs.twimg.com/profile_images/1154729037639684097/6UdZnM_G.jpg","View")</f>
        <v>View</v>
      </c>
      <c r="V3406" s="8"/>
      <c r="W3406" s="8"/>
      <c r="X3406" s="8"/>
      <c r="Y3406" s="8"/>
      <c r="Z3406" s="8"/>
    </row>
    <row r="3407" spans="1:26" ht="12.75">
      <c r="A3407" s="11">
        <v>43747.156759259262</v>
      </c>
      <c r="B3407" s="12" t="str">
        <f>HYPERLINK("https://twitter.com/aggressiveiron","@aggressiveiron")</f>
        <v>@aggressiveiron</v>
      </c>
      <c r="C3407" s="7" t="s">
        <v>18793</v>
      </c>
      <c r="D3407" s="7" t="s">
        <v>18794</v>
      </c>
      <c r="E3407" s="12" t="str">
        <f>HYPERLINK("https://twitter.com/aggressiveiron/status/1181883436967047168","1181883436967047168")</f>
        <v>1181883436967047168</v>
      </c>
      <c r="F3407" s="8"/>
      <c r="G3407" s="7"/>
      <c r="H3407" s="8"/>
      <c r="I3407" s="15">
        <v>0</v>
      </c>
      <c r="J3407" s="15">
        <v>0</v>
      </c>
      <c r="K3407" s="12" t="str">
        <f>HYPERLINK("http://twitter.com/download/iphone","Twitter for iPhone")</f>
        <v>Twitter for iPhone</v>
      </c>
      <c r="L3407" s="16">
        <v>275</v>
      </c>
      <c r="M3407" s="16">
        <v>211</v>
      </c>
      <c r="N3407" s="16">
        <v>0</v>
      </c>
      <c r="O3407" s="17"/>
      <c r="P3407" s="18">
        <v>40662.066736111112</v>
      </c>
      <c r="Q3407" s="7" t="s">
        <v>18795</v>
      </c>
      <c r="R3407" s="7" t="s">
        <v>18796</v>
      </c>
      <c r="S3407" s="8"/>
      <c r="T3407" s="8"/>
      <c r="U3407" s="19" t="str">
        <f>HYPERLINK("https://pbs.twimg.com/profile_images/1094569900121698304/6g4ahJdA.jpg","View")</f>
        <v>View</v>
      </c>
      <c r="V3407" s="8"/>
      <c r="W3407" s="8"/>
      <c r="X3407" s="8"/>
      <c r="Y3407" s="8"/>
      <c r="Z3407" s="8"/>
    </row>
    <row r="3408" spans="1:26" ht="12.75">
      <c r="A3408" s="11">
        <v>43747.156747685185</v>
      </c>
      <c r="B3408" s="12" t="str">
        <f>HYPERLINK("https://twitter.com/arifcen","@arifcen")</f>
        <v>@arifcen</v>
      </c>
      <c r="C3408" s="7" t="s">
        <v>18797</v>
      </c>
      <c r="D3408" s="7" t="s">
        <v>18798</v>
      </c>
      <c r="E3408" s="12" t="str">
        <f>HYPERLINK("https://twitter.com/arifcen/status/1181883432982458369","1181883432982458369")</f>
        <v>1181883432982458369</v>
      </c>
      <c r="F3408" s="8"/>
      <c r="G3408" s="7"/>
      <c r="H3408" s="8"/>
      <c r="I3408" s="15">
        <v>0</v>
      </c>
      <c r="J3408" s="15">
        <v>0</v>
      </c>
      <c r="K3408" s="12" t="str">
        <f>HYPERLINK("https://mobile.twitter.com","Twitter Web App")</f>
        <v>Twitter Web App</v>
      </c>
      <c r="L3408" s="16">
        <v>157</v>
      </c>
      <c r="M3408" s="16">
        <v>377</v>
      </c>
      <c r="N3408" s="16">
        <v>0</v>
      </c>
      <c r="O3408" s="17"/>
      <c r="P3408" s="18">
        <v>41032.515300925923</v>
      </c>
      <c r="Q3408" s="7" t="s">
        <v>18799</v>
      </c>
      <c r="R3408" s="7" t="s">
        <v>18800</v>
      </c>
      <c r="S3408" s="14" t="s">
        <v>18801</v>
      </c>
      <c r="T3408" s="8"/>
      <c r="U3408" s="19" t="str">
        <f>HYPERLINK("https://pbs.twimg.com/profile_images/1175729805423198209/iCQ-TNaX.jpg","View")</f>
        <v>View</v>
      </c>
      <c r="V3408" s="8"/>
      <c r="W3408" s="8"/>
      <c r="X3408" s="8"/>
      <c r="Y3408" s="8"/>
      <c r="Z3408" s="8"/>
    </row>
    <row r="3409" spans="1:26" ht="12.75">
      <c r="A3409" s="11">
        <v>43747.156712962962</v>
      </c>
      <c r="B3409" s="12" t="str">
        <f>HYPERLINK("https://twitter.com/icazulkelam","@icazulkelam")</f>
        <v>@icazulkelam</v>
      </c>
      <c r="C3409" s="7" t="s">
        <v>18802</v>
      </c>
      <c r="D3409" s="7" t="s">
        <v>18803</v>
      </c>
      <c r="E3409" s="12" t="str">
        <f>HYPERLINK("https://twitter.com/icazulkelam/status/1181883422681251840","1181883422681251840")</f>
        <v>1181883422681251840</v>
      </c>
      <c r="F3409" s="8"/>
      <c r="G3409" s="15"/>
      <c r="H3409" s="8"/>
      <c r="I3409" s="15">
        <v>0</v>
      </c>
      <c r="J3409" s="15">
        <v>0</v>
      </c>
      <c r="K3409" s="12" t="str">
        <f>HYPERLINK("https://mobile.twitter.com","Twitter Web App")</f>
        <v>Twitter Web App</v>
      </c>
      <c r="L3409" s="16">
        <v>53</v>
      </c>
      <c r="M3409" s="16">
        <v>366</v>
      </c>
      <c r="N3409" s="16">
        <v>0</v>
      </c>
      <c r="O3409" s="17"/>
      <c r="P3409" s="18">
        <v>43211.016331018516</v>
      </c>
      <c r="Q3409" s="7"/>
      <c r="R3409" s="7"/>
      <c r="S3409" s="8"/>
      <c r="T3409" s="8"/>
      <c r="U3409" s="19" t="str">
        <f>HYPERLINK("https://pbs.twimg.com/profile_images/987594973406167041/XVyskInN.jpg","View")</f>
        <v>View</v>
      </c>
      <c r="V3409" s="8"/>
      <c r="W3409" s="8"/>
      <c r="X3409" s="8"/>
      <c r="Y3409" s="8"/>
      <c r="Z3409" s="8"/>
    </row>
    <row r="3410" spans="1:26" ht="12.75">
      <c r="A3410" s="11">
        <v>43747.156689814816</v>
      </c>
      <c r="B3410" s="12" t="str">
        <f>HYPERLINK("https://twitter.com/sevvalkoca_","@sevvalkoca_")</f>
        <v>@sevvalkoca_</v>
      </c>
      <c r="C3410" s="7" t="s">
        <v>18804</v>
      </c>
      <c r="D3410" s="7" t="s">
        <v>18805</v>
      </c>
      <c r="E3410" s="12" t="str">
        <f>HYPERLINK("https://twitter.com/sevvalkoca_/status/1181883413734809601","1181883413734809601")</f>
        <v>1181883413734809601</v>
      </c>
      <c r="F3410" s="8"/>
      <c r="G3410" s="14" t="s">
        <v>18806</v>
      </c>
      <c r="H3410" s="8"/>
      <c r="I3410" s="15">
        <v>0</v>
      </c>
      <c r="J3410" s="15">
        <v>4</v>
      </c>
      <c r="K3410" s="12" t="str">
        <f>HYPERLINK("http://twitter.com/download/iphone","Twitter for iPhone")</f>
        <v>Twitter for iPhone</v>
      </c>
      <c r="L3410" s="16">
        <v>518</v>
      </c>
      <c r="M3410" s="16">
        <v>462</v>
      </c>
      <c r="N3410" s="16">
        <v>0</v>
      </c>
      <c r="O3410" s="17"/>
      <c r="P3410" s="18">
        <v>40941.616423611107</v>
      </c>
      <c r="Q3410" s="7" t="s">
        <v>287</v>
      </c>
      <c r="R3410" s="7"/>
      <c r="S3410" s="8"/>
      <c r="T3410" s="8"/>
      <c r="U3410" s="19" t="str">
        <f>HYPERLINK("https://pbs.twimg.com/profile_images/1178445021902774272/tIeGvWCE.jpg","View")</f>
        <v>View</v>
      </c>
      <c r="V3410" s="8"/>
      <c r="W3410" s="8"/>
      <c r="X3410" s="8"/>
      <c r="Y3410" s="8"/>
      <c r="Z3410" s="8"/>
    </row>
    <row r="3411" spans="1:26" ht="12.75">
      <c r="A3411" s="11">
        <v>43747.156689814816</v>
      </c>
      <c r="B3411" s="12" t="str">
        <f>HYPERLINK("https://twitter.com/GokhanKosif","@GokhanKosif")</f>
        <v>@GokhanKosif</v>
      </c>
      <c r="C3411" s="7" t="s">
        <v>18807</v>
      </c>
      <c r="D3411" s="7" t="s">
        <v>18808</v>
      </c>
      <c r="E3411" s="12" t="str">
        <f>HYPERLINK("https://twitter.com/GokhanKosif/status/1181883412040290304","1181883412040290304")</f>
        <v>1181883412040290304</v>
      </c>
      <c r="F3411" s="8"/>
      <c r="G3411" s="15"/>
      <c r="H3411" s="8"/>
      <c r="I3411" s="15">
        <v>0</v>
      </c>
      <c r="J3411" s="15">
        <v>1</v>
      </c>
      <c r="K3411" s="12" t="str">
        <f>HYPERLINK("http://twitter.com/download/iphone","Twitter for iPhone")</f>
        <v>Twitter for iPhone</v>
      </c>
      <c r="L3411" s="16">
        <v>39</v>
      </c>
      <c r="M3411" s="16">
        <v>187</v>
      </c>
      <c r="N3411" s="16">
        <v>1</v>
      </c>
      <c r="O3411" s="17"/>
      <c r="P3411" s="18">
        <v>42244.536122685182</v>
      </c>
      <c r="Q3411" s="7" t="s">
        <v>313</v>
      </c>
      <c r="R3411" s="7" t="s">
        <v>18809</v>
      </c>
      <c r="S3411" s="8"/>
      <c r="T3411" s="8"/>
      <c r="U3411" s="19" t="str">
        <f>HYPERLINK("https://pbs.twimg.com/profile_images/1171691027679330305/QpCcq7er.jpg","View")</f>
        <v>View</v>
      </c>
      <c r="V3411" s="8"/>
      <c r="W3411" s="8"/>
      <c r="X3411" s="8"/>
      <c r="Y3411" s="8"/>
      <c r="Z3411" s="8"/>
    </row>
    <row r="3412" spans="1:26" ht="12.75">
      <c r="A3412" s="11">
        <v>43747.1566087963</v>
      </c>
      <c r="B3412" s="12" t="str">
        <f>HYPERLINK("https://twitter.com/SedatGngr3","@SedatGngr3")</f>
        <v>@SedatGngr3</v>
      </c>
      <c r="C3412" s="7" t="s">
        <v>18810</v>
      </c>
      <c r="D3412" s="7" t="s">
        <v>18811</v>
      </c>
      <c r="E3412" s="12" t="str">
        <f>HYPERLINK("https://twitter.com/SedatGngr3/status/1181883382273318912","1181883382273318912")</f>
        <v>1181883382273318912</v>
      </c>
      <c r="F3412" s="8"/>
      <c r="G3412" s="14" t="s">
        <v>18812</v>
      </c>
      <c r="H3412" s="8"/>
      <c r="I3412" s="15">
        <v>0</v>
      </c>
      <c r="J3412" s="15">
        <v>4</v>
      </c>
      <c r="K3412" s="12" t="str">
        <f>HYPERLINK("http://twitter.com/download/iphone","Twitter for iPhone")</f>
        <v>Twitter for iPhone</v>
      </c>
      <c r="L3412" s="16">
        <v>372</v>
      </c>
      <c r="M3412" s="16">
        <v>439</v>
      </c>
      <c r="N3412" s="16">
        <v>2</v>
      </c>
      <c r="O3412" s="17"/>
      <c r="P3412" s="18">
        <v>40761.524444444447</v>
      </c>
      <c r="Q3412" s="7" t="s">
        <v>576</v>
      </c>
      <c r="R3412" s="7" t="s">
        <v>18813</v>
      </c>
      <c r="S3412" s="15"/>
      <c r="T3412" s="8"/>
      <c r="U3412" s="19" t="str">
        <f>HYPERLINK("https://pbs.twimg.com/profile_images/1175763230372880384/40i2XsJ6.jpg","View")</f>
        <v>View</v>
      </c>
      <c r="V3412" s="8"/>
      <c r="W3412" s="8"/>
      <c r="X3412" s="8"/>
      <c r="Y3412" s="8"/>
      <c r="Z3412" s="8"/>
    </row>
    <row r="3413" spans="1:26" ht="12.75">
      <c r="A3413" s="11">
        <v>43747.156527777777</v>
      </c>
      <c r="B3413" s="12" t="str">
        <f>HYPERLINK("https://twitter.com/canbaz299kd","@canbaz299kd")</f>
        <v>@canbaz299kd</v>
      </c>
      <c r="C3413" s="7" t="s">
        <v>18814</v>
      </c>
      <c r="D3413" s="7" t="s">
        <v>160</v>
      </c>
      <c r="E3413" s="12" t="str">
        <f>HYPERLINK("https://twitter.com/canbaz299kd/status/1181883354318278656","1181883354318278656")</f>
        <v>1181883354318278656</v>
      </c>
      <c r="F3413" s="8"/>
      <c r="G3413" s="15"/>
      <c r="H3413" s="8"/>
      <c r="I3413" s="15">
        <v>0</v>
      </c>
      <c r="J3413" s="15">
        <v>0</v>
      </c>
      <c r="K3413" s="12" t="str">
        <f>HYPERLINK("http://twitter.com/download/android","Twitter for Android")</f>
        <v>Twitter for Android</v>
      </c>
      <c r="L3413" s="16">
        <v>4</v>
      </c>
      <c r="M3413" s="16">
        <v>41</v>
      </c>
      <c r="N3413" s="16">
        <v>0</v>
      </c>
      <c r="O3413" s="17"/>
      <c r="P3413" s="18">
        <v>41547.550439814819</v>
      </c>
      <c r="Q3413" s="7" t="s">
        <v>69</v>
      </c>
      <c r="R3413" s="7"/>
      <c r="S3413" s="8"/>
      <c r="T3413" s="8"/>
      <c r="U3413" s="19" t="str">
        <f>HYPERLINK("https://pbs.twimg.com/profile_images/1105743745666990080/vL44HSVO.jpg","View")</f>
        <v>View</v>
      </c>
      <c r="V3413" s="8"/>
      <c r="W3413" s="8"/>
      <c r="X3413" s="8"/>
      <c r="Y3413" s="8"/>
      <c r="Z3413" s="8"/>
    </row>
    <row r="3414" spans="1:26" ht="12.75">
      <c r="A3414" s="11">
        <v>43747.156504629631</v>
      </c>
      <c r="B3414" s="12" t="str">
        <f>HYPERLINK("https://twitter.com/AhmetSa59922211","@AhmetSa59922211")</f>
        <v>@AhmetSa59922211</v>
      </c>
      <c r="C3414" s="7" t="s">
        <v>18815</v>
      </c>
      <c r="D3414" s="7" t="s">
        <v>18816</v>
      </c>
      <c r="E3414" s="12" t="str">
        <f>HYPERLINK("https://twitter.com/AhmetSa59922211/status/1181883346491707393","1181883346491707393")</f>
        <v>1181883346491707393</v>
      </c>
      <c r="F3414" s="15"/>
      <c r="G3414" s="7"/>
      <c r="H3414" s="8"/>
      <c r="I3414" s="15">
        <v>0</v>
      </c>
      <c r="J3414" s="15">
        <v>0</v>
      </c>
      <c r="K3414" s="12" t="str">
        <f>HYPERLINK("https://mobile.twitter.com","Twitter Web App")</f>
        <v>Twitter Web App</v>
      </c>
      <c r="L3414" s="16">
        <v>1042</v>
      </c>
      <c r="M3414" s="16">
        <v>1065</v>
      </c>
      <c r="N3414" s="16">
        <v>0</v>
      </c>
      <c r="O3414" s="17"/>
      <c r="P3414" s="18">
        <v>43367.130254629628</v>
      </c>
      <c r="Q3414" s="7" t="s">
        <v>18817</v>
      </c>
      <c r="R3414" s="7" t="s">
        <v>18818</v>
      </c>
      <c r="S3414" s="8"/>
      <c r="T3414" s="8"/>
      <c r="U3414" s="19" t="str">
        <f>HYPERLINK("https://pbs.twimg.com/profile_images/1044169383654948864/Of0kbXKn.jpg","View")</f>
        <v>View</v>
      </c>
      <c r="V3414" s="8"/>
      <c r="W3414" s="8"/>
      <c r="X3414" s="8"/>
      <c r="Y3414" s="8"/>
      <c r="Z3414" s="8"/>
    </row>
    <row r="3415" spans="1:26" ht="12.75">
      <c r="A3415" s="11">
        <v>43747.156493055554</v>
      </c>
      <c r="B3415" s="12" t="str">
        <f>HYPERLINK("https://twitter.com/Noyan59324263","@Noyan59324263")</f>
        <v>@Noyan59324263</v>
      </c>
      <c r="C3415" s="7" t="s">
        <v>18819</v>
      </c>
      <c r="D3415" s="7" t="s">
        <v>18820</v>
      </c>
      <c r="E3415" s="12" t="str">
        <f>HYPERLINK("https://twitter.com/Noyan59324263/status/1181883340087054336","1181883340087054336")</f>
        <v>1181883340087054336</v>
      </c>
      <c r="F3415" s="8"/>
      <c r="G3415" s="7"/>
      <c r="H3415" s="8"/>
      <c r="I3415" s="15">
        <v>0</v>
      </c>
      <c r="J3415" s="15">
        <v>0</v>
      </c>
      <c r="K3415" s="12" t="str">
        <f>HYPERLINK("http://twitter.com/download/android","Twitter for Android")</f>
        <v>Twitter for Android</v>
      </c>
      <c r="L3415" s="16">
        <v>22</v>
      </c>
      <c r="M3415" s="16">
        <v>34</v>
      </c>
      <c r="N3415" s="16">
        <v>0</v>
      </c>
      <c r="O3415" s="17"/>
      <c r="P3415" s="18">
        <v>42229.523923611108</v>
      </c>
      <c r="Q3415" s="7"/>
      <c r="R3415" s="7"/>
      <c r="S3415" s="8"/>
      <c r="T3415" s="8"/>
      <c r="U3415" s="20" t="s">
        <v>354</v>
      </c>
      <c r="V3415" s="8"/>
      <c r="W3415" s="8"/>
      <c r="X3415" s="8"/>
      <c r="Y3415" s="8"/>
      <c r="Z3415" s="8"/>
    </row>
    <row r="3416" spans="1:26" ht="12.75">
      <c r="A3416" s="11">
        <v>43747.156481481477</v>
      </c>
      <c r="B3416" s="12" t="str">
        <f>HYPERLINK("https://twitter.com/BY__R__Ak","@BY__R__Ak")</f>
        <v>@BY__R__Ak</v>
      </c>
      <c r="C3416" s="7" t="s">
        <v>18821</v>
      </c>
      <c r="D3416" s="7" t="s">
        <v>18822</v>
      </c>
      <c r="E3416" s="12" t="str">
        <f>HYPERLINK("https://twitter.com/BY__R__Ak/status/1181883337549455361","1181883337549455361")</f>
        <v>1181883337549455361</v>
      </c>
      <c r="F3416" s="8"/>
      <c r="G3416" s="14" t="s">
        <v>18823</v>
      </c>
      <c r="H3416" s="8"/>
      <c r="I3416" s="15">
        <v>0</v>
      </c>
      <c r="J3416" s="15">
        <v>2</v>
      </c>
      <c r="K3416" s="12" t="str">
        <f>HYPERLINK("http://twitter.com/download/android","Twitter for Android")</f>
        <v>Twitter for Android</v>
      </c>
      <c r="L3416" s="16">
        <v>85</v>
      </c>
      <c r="M3416" s="16">
        <v>596</v>
      </c>
      <c r="N3416" s="16">
        <v>2</v>
      </c>
      <c r="O3416" s="17"/>
      <c r="P3416" s="18">
        <v>41673.042974537035</v>
      </c>
      <c r="Q3416" s="7" t="s">
        <v>18824</v>
      </c>
      <c r="R3416" s="7" t="s">
        <v>18825</v>
      </c>
      <c r="S3416" s="8"/>
      <c r="T3416" s="8"/>
      <c r="U3416" s="19" t="str">
        <f>HYPERLINK("https://pbs.twimg.com/profile_images/1180853487548194817/dY6bBmre.jpg","View")</f>
        <v>View</v>
      </c>
      <c r="V3416" s="8"/>
      <c r="W3416" s="8"/>
      <c r="X3416" s="8"/>
      <c r="Y3416" s="8"/>
      <c r="Z3416" s="8"/>
    </row>
    <row r="3417" spans="1:26" ht="12.75">
      <c r="A3417" s="11">
        <v>43747.156446759254</v>
      </c>
      <c r="B3417" s="12" t="str">
        <f>HYPERLINK("https://twitter.com/ahmet_yrk","@ahmet_yrk")</f>
        <v>@ahmet_yrk</v>
      </c>
      <c r="C3417" s="7" t="s">
        <v>18826</v>
      </c>
      <c r="D3417" s="7" t="s">
        <v>18827</v>
      </c>
      <c r="E3417" s="12" t="str">
        <f>HYPERLINK("https://twitter.com/ahmet_yrk/status/1181883323389530112","1181883323389530112")</f>
        <v>1181883323389530112</v>
      </c>
      <c r="F3417" s="8"/>
      <c r="G3417" s="14" t="s">
        <v>18828</v>
      </c>
      <c r="H3417" s="8"/>
      <c r="I3417" s="15">
        <v>3</v>
      </c>
      <c r="J3417" s="15">
        <v>9</v>
      </c>
      <c r="K3417" s="12" t="str">
        <f>HYPERLINK("http://twitter.com/download/android","Twitter for Android")</f>
        <v>Twitter for Android</v>
      </c>
      <c r="L3417" s="16">
        <v>265</v>
      </c>
      <c r="M3417" s="16">
        <v>971</v>
      </c>
      <c r="N3417" s="16">
        <v>0</v>
      </c>
      <c r="O3417" s="17"/>
      <c r="P3417" s="18">
        <v>40729.371793981481</v>
      </c>
      <c r="Q3417" s="7" t="s">
        <v>18829</v>
      </c>
      <c r="R3417" s="7" t="s">
        <v>18830</v>
      </c>
      <c r="S3417" s="8"/>
      <c r="T3417" s="8"/>
      <c r="U3417" s="19" t="str">
        <f>HYPERLINK("https://pbs.twimg.com/profile_images/1053130234625703936/NoZFbIEj.jpg","View")</f>
        <v>View</v>
      </c>
      <c r="V3417" s="8"/>
      <c r="W3417" s="8"/>
      <c r="X3417" s="8"/>
      <c r="Y3417" s="8"/>
      <c r="Z3417" s="8"/>
    </row>
    <row r="3418" spans="1:26" ht="12.75">
      <c r="A3418" s="11">
        <v>43747.156423611115</v>
      </c>
      <c r="B3418" s="12" t="str">
        <f>HYPERLINK("https://twitter.com/AhmetSaylik","@AhmetSaylik")</f>
        <v>@AhmetSaylik</v>
      </c>
      <c r="C3418" s="7" t="s">
        <v>18831</v>
      </c>
      <c r="D3418" s="7" t="s">
        <v>18832</v>
      </c>
      <c r="E3418" s="12" t="str">
        <f>HYPERLINK("https://twitter.com/AhmetSaylik/status/1181883316762533889","1181883316762533889")</f>
        <v>1181883316762533889</v>
      </c>
      <c r="F3418" s="8"/>
      <c r="G3418" s="15"/>
      <c r="H3418" s="8"/>
      <c r="I3418" s="15">
        <v>0</v>
      </c>
      <c r="J3418" s="15">
        <v>4</v>
      </c>
      <c r="K3418" s="12" t="str">
        <f>HYPERLINK("http://twitter.com/download/iphone","Twitter for iPhone")</f>
        <v>Twitter for iPhone</v>
      </c>
      <c r="L3418" s="16">
        <v>936</v>
      </c>
      <c r="M3418" s="16">
        <v>386</v>
      </c>
      <c r="N3418" s="16">
        <v>0</v>
      </c>
      <c r="O3418" s="17"/>
      <c r="P3418" s="18">
        <v>40665.356759259259</v>
      </c>
      <c r="Q3418" s="7" t="s">
        <v>6778</v>
      </c>
      <c r="R3418" s="7" t="s">
        <v>18833</v>
      </c>
      <c r="S3418" s="14" t="s">
        <v>18834</v>
      </c>
      <c r="T3418" s="8"/>
      <c r="U3418" s="19" t="str">
        <f>HYPERLINK("https://pbs.twimg.com/profile_images/495603491826855936/htDjF77N.jpeg","View")</f>
        <v>View</v>
      </c>
      <c r="V3418" s="8"/>
      <c r="W3418" s="8"/>
      <c r="X3418" s="8"/>
      <c r="Y3418" s="8"/>
      <c r="Z3418" s="8"/>
    </row>
    <row r="3419" spans="1:26" ht="12.75">
      <c r="A3419" s="11">
        <v>43747.156307870369</v>
      </c>
      <c r="B3419" s="12" t="str">
        <f>HYPERLINK("https://twitter.com/ugurrcakar","@ugurrcakar")</f>
        <v>@ugurrcakar</v>
      </c>
      <c r="C3419" s="7" t="s">
        <v>18835</v>
      </c>
      <c r="D3419" s="7" t="s">
        <v>15087</v>
      </c>
      <c r="E3419" s="12" t="str">
        <f>HYPERLINK("https://twitter.com/ugurrcakar/status/1181883273657638913","1181883273657638913")</f>
        <v>1181883273657638913</v>
      </c>
      <c r="F3419" s="8"/>
      <c r="G3419" s="7"/>
      <c r="H3419" s="8"/>
      <c r="I3419" s="15">
        <v>1</v>
      </c>
      <c r="J3419" s="15">
        <v>1</v>
      </c>
      <c r="K3419" s="12" t="str">
        <f>HYPERLINK("http://twitter.com/download/iphone","Twitter for iPhone")</f>
        <v>Twitter for iPhone</v>
      </c>
      <c r="L3419" s="16">
        <v>127</v>
      </c>
      <c r="M3419" s="16">
        <v>233</v>
      </c>
      <c r="N3419" s="16">
        <v>0</v>
      </c>
      <c r="O3419" s="17"/>
      <c r="P3419" s="18">
        <v>40328.670543981483</v>
      </c>
      <c r="Q3419" s="7" t="s">
        <v>3373</v>
      </c>
      <c r="R3419" s="7" t="s">
        <v>18836</v>
      </c>
      <c r="S3419" s="14" t="s">
        <v>18837</v>
      </c>
      <c r="T3419" s="8"/>
      <c r="U3419" s="19" t="str">
        <f>HYPERLINK("https://pbs.twimg.com/profile_images/1077846814445969408/MPt-3s0x.jpg","View")</f>
        <v>View</v>
      </c>
      <c r="V3419" s="8"/>
      <c r="W3419" s="8"/>
      <c r="X3419" s="8"/>
      <c r="Y3419" s="8"/>
      <c r="Z3419" s="8"/>
    </row>
    <row r="3420" spans="1:26" ht="12.75">
      <c r="A3420" s="11">
        <v>43747.156180555554</v>
      </c>
      <c r="B3420" s="12" t="str">
        <f>HYPERLINK("https://twitter.com/GvenYlm11487257","@GvenYlm11487257")</f>
        <v>@GvenYlm11487257</v>
      </c>
      <c r="C3420" s="7" t="s">
        <v>18838</v>
      </c>
      <c r="D3420" s="7" t="s">
        <v>160</v>
      </c>
      <c r="E3420" s="12" t="str">
        <f>HYPERLINK("https://twitter.com/GvenYlm11487257/status/1181883227784597504","1181883227784597504")</f>
        <v>1181883227784597504</v>
      </c>
      <c r="F3420" s="8"/>
      <c r="G3420" s="14" t="s">
        <v>18839</v>
      </c>
      <c r="H3420" s="8"/>
      <c r="I3420" s="15">
        <v>0</v>
      </c>
      <c r="J3420" s="15">
        <v>3</v>
      </c>
      <c r="K3420" s="12" t="str">
        <f>HYPERLINK("http://twitter.com/download/android","Twitter for Android")</f>
        <v>Twitter for Android</v>
      </c>
      <c r="L3420" s="16">
        <v>22</v>
      </c>
      <c r="M3420" s="16">
        <v>258</v>
      </c>
      <c r="N3420" s="16">
        <v>0</v>
      </c>
      <c r="O3420" s="17"/>
      <c r="P3420" s="18">
        <v>43073.426111111112</v>
      </c>
      <c r="Q3420" s="7"/>
      <c r="R3420" s="7" t="s">
        <v>18840</v>
      </c>
      <c r="S3420" s="8"/>
      <c r="T3420" s="8"/>
      <c r="U3420" s="19" t="str">
        <f>HYPERLINK("https://pbs.twimg.com/profile_images/1094495102502883328/C-tFUszk.jpg","View")</f>
        <v>View</v>
      </c>
      <c r="V3420" s="8"/>
      <c r="W3420" s="8"/>
      <c r="X3420" s="8"/>
      <c r="Y3420" s="8"/>
      <c r="Z3420" s="8"/>
    </row>
    <row r="3421" spans="1:26" ht="12.75">
      <c r="A3421" s="11">
        <v>43747.156134259261</v>
      </c>
      <c r="B3421" s="12" t="str">
        <f>HYPERLINK("https://twitter.com/Bahar92702457","@Bahar92702457")</f>
        <v>@Bahar92702457</v>
      </c>
      <c r="C3421" s="7" t="s">
        <v>18841</v>
      </c>
      <c r="D3421" s="7" t="s">
        <v>18842</v>
      </c>
      <c r="E3421" s="12" t="str">
        <f>HYPERLINK("https://twitter.com/Bahar92702457/status/1181883212483698688","1181883212483698688")</f>
        <v>1181883212483698688</v>
      </c>
      <c r="F3421" s="8"/>
      <c r="G3421" s="14" t="s">
        <v>18843</v>
      </c>
      <c r="H3421" s="8"/>
      <c r="I3421" s="15">
        <v>1</v>
      </c>
      <c r="J3421" s="15">
        <v>1</v>
      </c>
      <c r="K3421" s="12" t="str">
        <f>HYPERLINK("https://mobile.twitter.com","Twitter Web App")</f>
        <v>Twitter Web App</v>
      </c>
      <c r="L3421" s="16">
        <v>234</v>
      </c>
      <c r="M3421" s="16">
        <v>92</v>
      </c>
      <c r="N3421" s="16">
        <v>0</v>
      </c>
      <c r="O3421" s="17"/>
      <c r="P3421" s="18">
        <v>43044.274097222224</v>
      </c>
      <c r="Q3421" s="7"/>
      <c r="R3421" s="7" t="s">
        <v>18844</v>
      </c>
      <c r="S3421" s="8"/>
      <c r="T3421" s="8"/>
      <c r="U3421" s="19" t="str">
        <f>HYPERLINK("https://pbs.twimg.com/profile_images/972144719248707585/nNOBJdq3.jpg","View")</f>
        <v>View</v>
      </c>
      <c r="V3421" s="8"/>
      <c r="W3421" s="8"/>
      <c r="X3421" s="8"/>
      <c r="Y3421" s="8"/>
      <c r="Z3421" s="8"/>
    </row>
    <row r="3422" spans="1:26" ht="12.75">
      <c r="A3422" s="11">
        <v>43747.156122685185</v>
      </c>
      <c r="B3422" s="12" t="str">
        <f>HYPERLINK("https://twitter.com/Hikmet_CAN52","@Hikmet_CAN52")</f>
        <v>@Hikmet_CAN52</v>
      </c>
      <c r="C3422" s="7" t="s">
        <v>18845</v>
      </c>
      <c r="D3422" s="7" t="s">
        <v>18846</v>
      </c>
      <c r="E3422" s="12" t="str">
        <f>HYPERLINK("https://twitter.com/Hikmet_CAN52/status/1181883205206589440","1181883205206589440")</f>
        <v>1181883205206589440</v>
      </c>
      <c r="F3422" s="8"/>
      <c r="G3422" s="14" t="s">
        <v>18847</v>
      </c>
      <c r="H3422" s="8"/>
      <c r="I3422" s="15">
        <v>0</v>
      </c>
      <c r="J3422" s="15">
        <v>2</v>
      </c>
      <c r="K3422" s="12" t="str">
        <f>HYPERLINK("http://twitter.com/download/android","Twitter for Android")</f>
        <v>Twitter for Android</v>
      </c>
      <c r="L3422" s="16">
        <v>62</v>
      </c>
      <c r="M3422" s="16">
        <v>322</v>
      </c>
      <c r="N3422" s="16">
        <v>0</v>
      </c>
      <c r="O3422" s="17"/>
      <c r="P3422" s="18">
        <v>43447.66851851852</v>
      </c>
      <c r="Q3422" s="7" t="s">
        <v>13632</v>
      </c>
      <c r="R3422" s="7" t="s">
        <v>18848</v>
      </c>
      <c r="S3422" s="8"/>
      <c r="T3422" s="8"/>
      <c r="U3422" s="19" t="str">
        <f>HYPERLINK("https://pbs.twimg.com/profile_images/1080865673063161856/IfK3d5UY.jpg","View")</f>
        <v>View</v>
      </c>
      <c r="V3422" s="8"/>
      <c r="W3422" s="8"/>
      <c r="X3422" s="8"/>
      <c r="Y3422" s="8"/>
      <c r="Z3422" s="8"/>
    </row>
    <row r="3423" spans="1:26" ht="12.75">
      <c r="A3423" s="11">
        <v>43747.156111111108</v>
      </c>
      <c r="B3423" s="12" t="str">
        <f>HYPERLINK("https://twitter.com/Bilinmezzz61","@Bilinmezzz61")</f>
        <v>@Bilinmezzz61</v>
      </c>
      <c r="C3423" s="7" t="s">
        <v>18849</v>
      </c>
      <c r="D3423" s="7" t="s">
        <v>160</v>
      </c>
      <c r="E3423" s="12" t="str">
        <f>HYPERLINK("https://twitter.com/Bilinmezzz61/status/1181883201272369153","1181883201272369153")</f>
        <v>1181883201272369153</v>
      </c>
      <c r="F3423" s="8"/>
      <c r="G3423" s="15"/>
      <c r="H3423" s="8"/>
      <c r="I3423" s="15">
        <v>0</v>
      </c>
      <c r="J3423" s="15">
        <v>0</v>
      </c>
      <c r="K3423" s="12" t="str">
        <f>HYPERLINK("http://twitter.com/download/iphone","Twitter for iPhone")</f>
        <v>Twitter for iPhone</v>
      </c>
      <c r="L3423" s="16">
        <v>480</v>
      </c>
      <c r="M3423" s="16">
        <v>989</v>
      </c>
      <c r="N3423" s="16">
        <v>0</v>
      </c>
      <c r="O3423" s="17"/>
      <c r="P3423" s="18">
        <v>43282.544502314813</v>
      </c>
      <c r="Q3423" s="7" t="s">
        <v>313</v>
      </c>
      <c r="R3423" s="7" t="s">
        <v>18850</v>
      </c>
      <c r="S3423" s="8"/>
      <c r="T3423" s="8"/>
      <c r="U3423" s="19" t="str">
        <f>HYPERLINK("https://pbs.twimg.com/profile_images/1164814571258839040/zbpRT2H7.jpg","View")</f>
        <v>View</v>
      </c>
      <c r="V3423" s="8"/>
      <c r="W3423" s="8"/>
      <c r="X3423" s="8"/>
      <c r="Y3423" s="8"/>
      <c r="Z3423" s="8"/>
    </row>
    <row r="3424" spans="1:26" ht="12.75">
      <c r="A3424" s="11">
        <v>43747.155995370369</v>
      </c>
      <c r="B3424" s="12" t="str">
        <f>HYPERLINK("https://twitter.com/mustyyy61khrmn","@mustyyy61khrmn")</f>
        <v>@mustyyy61khrmn</v>
      </c>
      <c r="C3424" s="7" t="s">
        <v>18851</v>
      </c>
      <c r="D3424" s="7" t="s">
        <v>160</v>
      </c>
      <c r="E3424" s="12" t="str">
        <f>HYPERLINK("https://twitter.com/mustyyy61khrmn/status/1181883161409708033","1181883161409708033")</f>
        <v>1181883161409708033</v>
      </c>
      <c r="F3424" s="8"/>
      <c r="G3424" s="14" t="s">
        <v>18852</v>
      </c>
      <c r="H3424" s="8"/>
      <c r="I3424" s="15">
        <v>0</v>
      </c>
      <c r="J3424" s="15">
        <v>3</v>
      </c>
      <c r="K3424" s="12" t="str">
        <f>HYPERLINK("http://twitter.com/download/iphone","Twitter for iPhone")</f>
        <v>Twitter for iPhone</v>
      </c>
      <c r="L3424" s="16">
        <v>577</v>
      </c>
      <c r="M3424" s="16">
        <v>554</v>
      </c>
      <c r="N3424" s="16">
        <v>0</v>
      </c>
      <c r="O3424" s="17"/>
      <c r="P3424" s="18">
        <v>41068.668761574074</v>
      </c>
      <c r="Q3424" s="7" t="s">
        <v>7733</v>
      </c>
      <c r="R3424" s="7" t="s">
        <v>18853</v>
      </c>
      <c r="S3424" s="8"/>
      <c r="T3424" s="8"/>
      <c r="U3424" s="19" t="str">
        <f>HYPERLINK("https://pbs.twimg.com/profile_images/1100461714196365325/q6nl9cnL.jpg","View")</f>
        <v>View</v>
      </c>
      <c r="V3424" s="8"/>
      <c r="W3424" s="8"/>
      <c r="X3424" s="8"/>
      <c r="Y3424" s="8"/>
      <c r="Z3424" s="8"/>
    </row>
    <row r="3425" spans="1:26" ht="12.75">
      <c r="A3425" s="11">
        <v>43747.155972222223</v>
      </c>
      <c r="B3425" s="12" t="str">
        <f>HYPERLINK("https://twitter.com/kayapinartuncay","@kayapinartuncay")</f>
        <v>@kayapinartuncay</v>
      </c>
      <c r="C3425" s="7" t="s">
        <v>18854</v>
      </c>
      <c r="D3425" s="7" t="s">
        <v>160</v>
      </c>
      <c r="E3425" s="12" t="str">
        <f>HYPERLINK("https://twitter.com/kayapinartuncay/status/1181883152165490689","1181883152165490689")</f>
        <v>1181883152165490689</v>
      </c>
      <c r="F3425" s="8"/>
      <c r="G3425" s="7"/>
      <c r="H3425" s="8"/>
      <c r="I3425" s="15">
        <v>0</v>
      </c>
      <c r="J3425" s="15">
        <v>0</v>
      </c>
      <c r="K3425" s="12" t="str">
        <f>HYPERLINK("https://mobile.twitter.com","Twitter Web App")</f>
        <v>Twitter Web App</v>
      </c>
      <c r="L3425" s="16">
        <v>41</v>
      </c>
      <c r="M3425" s="16">
        <v>158</v>
      </c>
      <c r="N3425" s="16">
        <v>0</v>
      </c>
      <c r="O3425" s="17"/>
      <c r="P3425" s="18">
        <v>40163.111956018518</v>
      </c>
      <c r="Q3425" s="7"/>
      <c r="R3425" s="7"/>
      <c r="S3425" s="8"/>
      <c r="T3425" s="8"/>
      <c r="U3425" s="19" t="str">
        <f>HYPERLINK("https://pbs.twimg.com/profile_images/721499904292581376/aL7-wReP.jpg","View")</f>
        <v>View</v>
      </c>
      <c r="V3425" s="8"/>
      <c r="W3425" s="8"/>
      <c r="X3425" s="8"/>
      <c r="Y3425" s="8"/>
      <c r="Z3425" s="8"/>
    </row>
    <row r="3426" spans="1:26" ht="12.75">
      <c r="A3426" s="11">
        <v>43747.155902777777</v>
      </c>
      <c r="B3426" s="12" t="str">
        <f>HYPERLINK("https://twitter.com/YASN76997660","@YASN76997660")</f>
        <v>@YASN76997660</v>
      </c>
      <c r="C3426" s="7" t="s">
        <v>18855</v>
      </c>
      <c r="D3426" s="7" t="s">
        <v>18856</v>
      </c>
      <c r="E3426" s="12" t="str">
        <f>HYPERLINK("https://twitter.com/YASN76997660/status/1181883126789918721","1181883126789918721")</f>
        <v>1181883126789918721</v>
      </c>
      <c r="F3426" s="8"/>
      <c r="G3426" s="14" t="s">
        <v>18857</v>
      </c>
      <c r="H3426" s="8"/>
      <c r="I3426" s="15">
        <v>0</v>
      </c>
      <c r="J3426" s="15">
        <v>2</v>
      </c>
      <c r="K3426" s="12" t="str">
        <f>HYPERLINK("http://twitter.com/download/android","Twitter for Android")</f>
        <v>Twitter for Android</v>
      </c>
      <c r="L3426" s="16">
        <v>6</v>
      </c>
      <c r="M3426" s="16">
        <v>18</v>
      </c>
      <c r="N3426" s="16">
        <v>0</v>
      </c>
      <c r="O3426" s="17"/>
      <c r="P3426" s="18">
        <v>43687.679247685184</v>
      </c>
      <c r="Q3426" s="7"/>
      <c r="R3426" s="7" t="s">
        <v>18858</v>
      </c>
      <c r="S3426" s="8"/>
      <c r="T3426" s="8"/>
      <c r="U3426" s="19" t="str">
        <f>HYPERLINK("https://pbs.twimg.com/profile_images/1160331179180068865/qouv-8ar.jpg","View")</f>
        <v>View</v>
      </c>
      <c r="V3426" s="8"/>
      <c r="W3426" s="8"/>
      <c r="X3426" s="8"/>
      <c r="Y3426" s="8"/>
      <c r="Z3426" s="8"/>
    </row>
    <row r="3427" spans="1:26" ht="12.75">
      <c r="A3427" s="11">
        <v>43747.15587962963</v>
      </c>
      <c r="B3427" s="12" t="str">
        <f>HYPERLINK("https://twitter.com/gunefimm","@gunefimm")</f>
        <v>@gunefimm</v>
      </c>
      <c r="C3427" s="7" t="s">
        <v>18859</v>
      </c>
      <c r="D3427" s="7" t="s">
        <v>18860</v>
      </c>
      <c r="E3427" s="12" t="str">
        <f>HYPERLINK("https://twitter.com/gunefimm/status/1181883118342553601","1181883118342553601")</f>
        <v>1181883118342553601</v>
      </c>
      <c r="F3427" s="8"/>
      <c r="G3427" s="14" t="s">
        <v>18861</v>
      </c>
      <c r="H3427" s="8"/>
      <c r="I3427" s="15">
        <v>2</v>
      </c>
      <c r="J3427" s="15">
        <v>44</v>
      </c>
      <c r="K3427" s="12" t="str">
        <f>HYPERLINK("http://twitter.com/download/android","Twitter for Android")</f>
        <v>Twitter for Android</v>
      </c>
      <c r="L3427" s="16">
        <v>9586</v>
      </c>
      <c r="M3427" s="16">
        <v>1528</v>
      </c>
      <c r="N3427" s="16">
        <v>29</v>
      </c>
      <c r="O3427" s="17"/>
      <c r="P3427" s="18">
        <v>42238.275844907403</v>
      </c>
      <c r="Q3427" s="7" t="s">
        <v>200</v>
      </c>
      <c r="R3427" s="7" t="s">
        <v>18862</v>
      </c>
      <c r="S3427" s="8"/>
      <c r="T3427" s="8"/>
      <c r="U3427" s="19" t="str">
        <f>HYPERLINK("https://pbs.twimg.com/profile_images/1181847239746035712/NSukVJq9.jpg","View")</f>
        <v>View</v>
      </c>
      <c r="V3427" s="8"/>
      <c r="W3427" s="8"/>
      <c r="X3427" s="8"/>
      <c r="Y3427" s="8"/>
      <c r="Z3427" s="8"/>
    </row>
    <row r="3428" spans="1:26" ht="12.75">
      <c r="A3428" s="11">
        <v>43747.155787037038</v>
      </c>
      <c r="B3428" s="12" t="str">
        <f>HYPERLINK("https://twitter.com/coskunsahann","@coskunsahann")</f>
        <v>@coskunsahann</v>
      </c>
      <c r="C3428" s="7" t="s">
        <v>18863</v>
      </c>
      <c r="D3428" s="7" t="s">
        <v>160</v>
      </c>
      <c r="E3428" s="12" t="str">
        <f>HYPERLINK("https://twitter.com/coskunsahann/status/1181883083458514944","1181883083458514944")</f>
        <v>1181883083458514944</v>
      </c>
      <c r="F3428" s="8"/>
      <c r="G3428" s="14" t="s">
        <v>18864</v>
      </c>
      <c r="H3428" s="8"/>
      <c r="I3428" s="15">
        <v>0</v>
      </c>
      <c r="J3428" s="15">
        <v>2</v>
      </c>
      <c r="K3428" s="12" t="str">
        <f>HYPERLINK("http://twitter.com/download/android","Twitter for Android")</f>
        <v>Twitter for Android</v>
      </c>
      <c r="L3428" s="16">
        <v>124</v>
      </c>
      <c r="M3428" s="16">
        <v>132</v>
      </c>
      <c r="N3428" s="16">
        <v>1</v>
      </c>
      <c r="O3428" s="17"/>
      <c r="P3428" s="18">
        <v>41592.48704861111</v>
      </c>
      <c r="Q3428" s="7" t="s">
        <v>12482</v>
      </c>
      <c r="R3428" s="7" t="s">
        <v>18865</v>
      </c>
      <c r="S3428" s="15"/>
      <c r="T3428" s="8"/>
      <c r="U3428" s="19" t="str">
        <f>HYPERLINK("https://pbs.twimg.com/profile_images/1114014714995073026/p8jcwqEs.jpg","View")</f>
        <v>View</v>
      </c>
      <c r="V3428" s="8"/>
      <c r="W3428" s="8"/>
      <c r="X3428" s="8"/>
      <c r="Y3428" s="8"/>
      <c r="Z3428" s="8"/>
    </row>
    <row r="3429" spans="1:26" ht="12.75">
      <c r="A3429" s="11">
        <v>43747.155717592592</v>
      </c>
      <c r="B3429" s="12" t="str">
        <f>HYPERLINK("https://twitter.com/ilahimorluk1","@ilahimorluk1")</f>
        <v>@ilahimorluk1</v>
      </c>
      <c r="C3429" s="7" t="s">
        <v>18866</v>
      </c>
      <c r="D3429" s="7" t="s">
        <v>18867</v>
      </c>
      <c r="E3429" s="12" t="str">
        <f>HYPERLINK("https://twitter.com/ilahimorluk1/status/1181883059592929280","1181883059592929280")</f>
        <v>1181883059592929280</v>
      </c>
      <c r="F3429" s="8"/>
      <c r="G3429" s="14" t="s">
        <v>18868</v>
      </c>
      <c r="H3429" s="8"/>
      <c r="I3429" s="15">
        <v>0</v>
      </c>
      <c r="J3429" s="15">
        <v>1</v>
      </c>
      <c r="K3429" s="12" t="str">
        <f>HYPERLINK("http://twitter.com/download/iphone","Twitter for iPhone")</f>
        <v>Twitter for iPhone</v>
      </c>
      <c r="L3429" s="16">
        <v>1</v>
      </c>
      <c r="M3429" s="16">
        <v>37</v>
      </c>
      <c r="N3429" s="16">
        <v>0</v>
      </c>
      <c r="O3429" s="17"/>
      <c r="P3429" s="18">
        <v>43746.162673611107</v>
      </c>
      <c r="Q3429" s="7"/>
      <c r="R3429" s="7" t="s">
        <v>18869</v>
      </c>
      <c r="S3429" s="8"/>
      <c r="T3429" s="8"/>
      <c r="U3429" s="19" t="str">
        <f>HYPERLINK("https://pbs.twimg.com/profile_images/1181523658625421312/eVAMStkp.jpg","View")</f>
        <v>View</v>
      </c>
      <c r="V3429" s="8"/>
      <c r="W3429" s="8"/>
      <c r="X3429" s="8"/>
      <c r="Y3429" s="8"/>
      <c r="Z3429" s="8"/>
    </row>
    <row r="3430" spans="1:26" ht="12.75">
      <c r="A3430" s="11">
        <v>43747.155706018515</v>
      </c>
      <c r="B3430" s="12" t="str">
        <f>HYPERLINK("https://twitter.com/CircassianMen","@CircassianMen")</f>
        <v>@CircassianMen</v>
      </c>
      <c r="C3430" s="7" t="s">
        <v>18870</v>
      </c>
      <c r="D3430" s="7" t="s">
        <v>18871</v>
      </c>
      <c r="E3430" s="12" t="str">
        <f>HYPERLINK("https://twitter.com/CircassianMen/status/1181883055784505344","1181883055784505344")</f>
        <v>1181883055784505344</v>
      </c>
      <c r="F3430" s="8"/>
      <c r="G3430" s="15"/>
      <c r="H3430" s="8"/>
      <c r="I3430" s="15">
        <v>0</v>
      </c>
      <c r="J3430" s="15">
        <v>0</v>
      </c>
      <c r="K3430" s="12" t="str">
        <f>HYPERLINK("http://twitter.com/download/android","Twitter for Android")</f>
        <v>Twitter for Android</v>
      </c>
      <c r="L3430" s="16">
        <v>433</v>
      </c>
      <c r="M3430" s="16">
        <v>306</v>
      </c>
      <c r="N3430" s="16">
        <v>2</v>
      </c>
      <c r="O3430" s="17"/>
      <c r="P3430" s="18">
        <v>41067.294560185182</v>
      </c>
      <c r="Q3430" s="7" t="s">
        <v>200</v>
      </c>
      <c r="R3430" s="7" t="s">
        <v>18872</v>
      </c>
      <c r="S3430" s="14" t="s">
        <v>18873</v>
      </c>
      <c r="T3430" s="8"/>
      <c r="U3430" s="19" t="str">
        <f>HYPERLINK("https://pbs.twimg.com/profile_images/1153062033488826368/xwRELMYT.jpg","View")</f>
        <v>View</v>
      </c>
      <c r="V3430" s="8"/>
      <c r="W3430" s="8"/>
      <c r="X3430" s="8"/>
      <c r="Y3430" s="8"/>
      <c r="Z3430" s="8"/>
    </row>
    <row r="3431" spans="1:26" ht="12.75">
      <c r="A3431" s="11">
        <v>43747.155694444446</v>
      </c>
      <c r="B3431" s="12" t="str">
        <f>HYPERLINK("https://twitter.com/HSaravas","@HSaravas")</f>
        <v>@HSaravas</v>
      </c>
      <c r="C3431" s="7" t="s">
        <v>18874</v>
      </c>
      <c r="D3431" s="7" t="s">
        <v>18875</v>
      </c>
      <c r="E3431" s="12" t="str">
        <f>HYPERLINK("https://twitter.com/HSaravas/status/1181883050046758912","1181883050046758912")</f>
        <v>1181883050046758912</v>
      </c>
      <c r="F3431" s="15"/>
      <c r="G3431" s="14" t="s">
        <v>18876</v>
      </c>
      <c r="H3431" s="8"/>
      <c r="I3431" s="15">
        <v>0</v>
      </c>
      <c r="J3431" s="15">
        <v>0</v>
      </c>
      <c r="K3431" s="12" t="str">
        <f>HYPERLINK("http://twitter.com","Twitter Web Client")</f>
        <v>Twitter Web Client</v>
      </c>
      <c r="L3431" s="16">
        <v>9</v>
      </c>
      <c r="M3431" s="16">
        <v>0</v>
      </c>
      <c r="N3431" s="16">
        <v>0</v>
      </c>
      <c r="O3431" s="17"/>
      <c r="P3431" s="18">
        <v>43683.853009259255</v>
      </c>
      <c r="Q3431" s="7" t="s">
        <v>14688</v>
      </c>
      <c r="R3431" s="7" t="s">
        <v>18877</v>
      </c>
      <c r="S3431" s="8"/>
      <c r="T3431" s="8"/>
      <c r="U3431" s="19" t="str">
        <f>HYPERLINK("https://pbs.twimg.com/profile_images/1167220790959452160/QL9Vv3QJ.jpg","View")</f>
        <v>View</v>
      </c>
      <c r="V3431" s="8"/>
      <c r="W3431" s="8"/>
      <c r="X3431" s="8"/>
      <c r="Y3431" s="8"/>
      <c r="Z3431" s="8"/>
    </row>
    <row r="3432" spans="1:26" ht="12.75">
      <c r="A3432" s="11">
        <v>43747.155624999999</v>
      </c>
      <c r="B3432" s="12" t="str">
        <f>HYPERLINK("https://twitter.com/ibrahimozmutlu2","@ibrahimozmutlu2")</f>
        <v>@ibrahimozmutlu2</v>
      </c>
      <c r="C3432" s="7" t="s">
        <v>18878</v>
      </c>
      <c r="D3432" s="7" t="s">
        <v>18879</v>
      </c>
      <c r="E3432" s="12" t="str">
        <f>HYPERLINK("https://twitter.com/ibrahimozmutlu2/status/1181883025828831233","1181883025828831233")</f>
        <v>1181883025828831233</v>
      </c>
      <c r="F3432" s="8"/>
      <c r="G3432" s="14" t="s">
        <v>18880</v>
      </c>
      <c r="H3432" s="8"/>
      <c r="I3432" s="15">
        <v>0</v>
      </c>
      <c r="J3432" s="15">
        <v>5</v>
      </c>
      <c r="K3432" s="12" t="str">
        <f>HYPERLINK("http://twitter.com/download/android","Twitter for Android")</f>
        <v>Twitter for Android</v>
      </c>
      <c r="L3432" s="16">
        <v>9722</v>
      </c>
      <c r="M3432" s="16">
        <v>10673</v>
      </c>
      <c r="N3432" s="16">
        <v>18</v>
      </c>
      <c r="O3432" s="17"/>
      <c r="P3432" s="18">
        <v>41623.168553240743</v>
      </c>
      <c r="Q3432" s="7" t="s">
        <v>6778</v>
      </c>
      <c r="R3432" s="7" t="s">
        <v>18881</v>
      </c>
      <c r="S3432" s="15"/>
      <c r="T3432" s="8"/>
      <c r="U3432" s="19" t="str">
        <f>HYPERLINK("https://pbs.twimg.com/profile_images/885555824210345984/tvWKLHc5.jpg","View")</f>
        <v>View</v>
      </c>
      <c r="V3432" s="8"/>
      <c r="W3432" s="8"/>
      <c r="X3432" s="8"/>
      <c r="Y3432" s="8"/>
      <c r="Z3432" s="8"/>
    </row>
    <row r="3433" spans="1:26" ht="12.75">
      <c r="A3433" s="11">
        <v>43747.15561342593</v>
      </c>
      <c r="B3433" s="12" t="str">
        <f>HYPERLINK("https://twitter.com/zmra01","@zmra01")</f>
        <v>@zmra01</v>
      </c>
      <c r="C3433" s="7" t="s">
        <v>18882</v>
      </c>
      <c r="D3433" s="7" t="s">
        <v>18883</v>
      </c>
      <c r="E3433" s="12" t="str">
        <f>HYPERLINK("https://twitter.com/zmra01/status/1181883023496814592","1181883023496814592")</f>
        <v>1181883023496814592</v>
      </c>
      <c r="F3433" s="8"/>
      <c r="G3433" s="14" t="s">
        <v>18884</v>
      </c>
      <c r="H3433" s="8"/>
      <c r="I3433" s="15">
        <v>0</v>
      </c>
      <c r="J3433" s="15">
        <v>9</v>
      </c>
      <c r="K3433" s="12" t="str">
        <f>HYPERLINK("http://twitter.com/download/android","Twitter for Android")</f>
        <v>Twitter for Android</v>
      </c>
      <c r="L3433" s="16">
        <v>3200</v>
      </c>
      <c r="M3433" s="16">
        <v>4924</v>
      </c>
      <c r="N3433" s="16">
        <v>1</v>
      </c>
      <c r="O3433" s="17"/>
      <c r="P3433" s="18">
        <v>43589.266250000001</v>
      </c>
      <c r="Q3433" s="7" t="s">
        <v>313</v>
      </c>
      <c r="R3433" s="7" t="s">
        <v>18885</v>
      </c>
      <c r="S3433" s="8"/>
      <c r="T3433" s="8"/>
      <c r="U3433" s="19" t="str">
        <f>HYPERLINK("https://pbs.twimg.com/profile_images/1151134600996913156/agNoi4n4.jpg","View")</f>
        <v>View</v>
      </c>
      <c r="V3433" s="8"/>
      <c r="W3433" s="8"/>
      <c r="X3433" s="8"/>
      <c r="Y3433" s="8"/>
      <c r="Z3433" s="8"/>
    </row>
    <row r="3434" spans="1:26" ht="12.75">
      <c r="A3434" s="11">
        <v>43747.15556712963</v>
      </c>
      <c r="B3434" s="12" t="str">
        <f>HYPERLINK("https://twitter.com/esrefdemirkan","@esrefdemirkan")</f>
        <v>@esrefdemirkan</v>
      </c>
      <c r="C3434" s="7" t="s">
        <v>18886</v>
      </c>
      <c r="D3434" s="7" t="s">
        <v>18887</v>
      </c>
      <c r="E3434" s="12" t="str">
        <f>HYPERLINK("https://twitter.com/esrefdemirkan/status/1181883006757277696","1181883006757277696")</f>
        <v>1181883006757277696</v>
      </c>
      <c r="F3434" s="15"/>
      <c r="G3434" s="7"/>
      <c r="H3434" s="8"/>
      <c r="I3434" s="15">
        <v>0</v>
      </c>
      <c r="J3434" s="15">
        <v>1</v>
      </c>
      <c r="K3434" s="12" t="str">
        <f>HYPERLINK("http://twitter.com/download/android","Twitter for Android")</f>
        <v>Twitter for Android</v>
      </c>
      <c r="L3434" s="16">
        <v>148</v>
      </c>
      <c r="M3434" s="16">
        <v>348</v>
      </c>
      <c r="N3434" s="16">
        <v>0</v>
      </c>
      <c r="O3434" s="17"/>
      <c r="P3434" s="18">
        <v>40433.587604166663</v>
      </c>
      <c r="Q3434" s="7"/>
      <c r="R3434" s="7" t="s">
        <v>18888</v>
      </c>
      <c r="S3434" s="8"/>
      <c r="T3434" s="8"/>
      <c r="U3434" s="19" t="str">
        <f>HYPERLINK("https://pbs.twimg.com/profile_images/1100655329434652672/CvvL1v0o.jpg","View")</f>
        <v>View</v>
      </c>
      <c r="V3434" s="8"/>
      <c r="W3434" s="8"/>
      <c r="X3434" s="8"/>
      <c r="Y3434" s="8"/>
      <c r="Z3434" s="8"/>
    </row>
    <row r="3435" spans="1:26" ht="12.75">
      <c r="A3435" s="11">
        <v>43747.155405092592</v>
      </c>
      <c r="B3435" s="12" t="str">
        <f>HYPERLINK("https://twitter.com/bolukmurat1","@bolukmurat1")</f>
        <v>@bolukmurat1</v>
      </c>
      <c r="C3435" s="7" t="s">
        <v>18889</v>
      </c>
      <c r="D3435" s="7" t="s">
        <v>18890</v>
      </c>
      <c r="E3435" s="12" t="str">
        <f>HYPERLINK("https://twitter.com/bolukmurat1/status/1181882946296467456","1181882946296467456")</f>
        <v>1181882946296467456</v>
      </c>
      <c r="F3435" s="8"/>
      <c r="G3435" s="14" t="s">
        <v>18891</v>
      </c>
      <c r="H3435" s="8"/>
      <c r="I3435" s="15">
        <v>2</v>
      </c>
      <c r="J3435" s="15">
        <v>2</v>
      </c>
      <c r="K3435" s="12" t="str">
        <f>HYPERLINK("http://twitter.com/download/android","Twitter for Android")</f>
        <v>Twitter for Android</v>
      </c>
      <c r="L3435" s="16">
        <v>372</v>
      </c>
      <c r="M3435" s="16">
        <v>126</v>
      </c>
      <c r="N3435" s="16">
        <v>0</v>
      </c>
      <c r="O3435" s="17"/>
      <c r="P3435" s="18">
        <v>42251.037106481483</v>
      </c>
      <c r="Q3435" s="7" t="s">
        <v>287</v>
      </c>
      <c r="R3435" s="7" t="s">
        <v>18892</v>
      </c>
      <c r="S3435" s="8"/>
      <c r="T3435" s="8"/>
      <c r="U3435" s="19" t="str">
        <f>HYPERLINK("https://pbs.twimg.com/profile_images/1171810769127825410/vRy4Gou4.jpg","View")</f>
        <v>View</v>
      </c>
      <c r="V3435" s="8"/>
      <c r="W3435" s="8"/>
      <c r="X3435" s="8"/>
      <c r="Y3435" s="8"/>
      <c r="Z3435" s="8"/>
    </row>
    <row r="3436" spans="1:26" ht="12.75">
      <c r="A3436" s="11">
        <v>43747.155335648145</v>
      </c>
      <c r="B3436" s="12" t="str">
        <f>HYPERLINK("https://twitter.com/Fanii27277303","@Fanii27277303")</f>
        <v>@Fanii27277303</v>
      </c>
      <c r="C3436" s="7" t="s">
        <v>18893</v>
      </c>
      <c r="D3436" s="7" t="s">
        <v>160</v>
      </c>
      <c r="E3436" s="12" t="str">
        <f>HYPERLINK("https://twitter.com/Fanii27277303/status/1181882919704547329","1181882919704547329")</f>
        <v>1181882919704547329</v>
      </c>
      <c r="F3436" s="15"/>
      <c r="G3436" s="14" t="s">
        <v>18894</v>
      </c>
      <c r="H3436" s="8"/>
      <c r="I3436" s="15">
        <v>0</v>
      </c>
      <c r="J3436" s="15">
        <v>2</v>
      </c>
      <c r="K3436" s="12" t="str">
        <f>HYPERLINK("http://twitter.com/download/android","Twitter for Android")</f>
        <v>Twitter for Android</v>
      </c>
      <c r="L3436" s="16">
        <v>77</v>
      </c>
      <c r="M3436" s="16">
        <v>240</v>
      </c>
      <c r="N3436" s="16">
        <v>0</v>
      </c>
      <c r="O3436" s="17"/>
      <c r="P3436" s="18">
        <v>43436.459178240737</v>
      </c>
      <c r="Q3436" s="7"/>
      <c r="R3436" s="7" t="s">
        <v>18895</v>
      </c>
      <c r="S3436" s="15"/>
      <c r="T3436" s="8"/>
      <c r="U3436" s="19" t="str">
        <f>HYPERLINK("https://pbs.twimg.com/profile_images/1128376608270815232/8wB06oC7.jpg","View")</f>
        <v>View</v>
      </c>
      <c r="V3436" s="8"/>
      <c r="W3436" s="8"/>
      <c r="X3436" s="8"/>
      <c r="Y3436" s="8"/>
      <c r="Z3436" s="8"/>
    </row>
    <row r="3437" spans="1:26" ht="12.75">
      <c r="A3437" s="11">
        <v>43747.155324074076</v>
      </c>
      <c r="B3437" s="12" t="str">
        <f>HYPERLINK("https://twitter.com/horsewomansilah","@horsewomansilah")</f>
        <v>@horsewomansilah</v>
      </c>
      <c r="C3437" s="7" t="s">
        <v>18896</v>
      </c>
      <c r="D3437" s="13" t="s">
        <v>18897</v>
      </c>
      <c r="E3437" s="12" t="str">
        <f>HYPERLINK("https://twitter.com/horsewomansilah/status/1181882918907662337","1181882918907662337")</f>
        <v>1181882918907662337</v>
      </c>
      <c r="F3437" s="8"/>
      <c r="G3437" s="14" t="s">
        <v>18898</v>
      </c>
      <c r="H3437" s="8"/>
      <c r="I3437" s="15">
        <v>0</v>
      </c>
      <c r="J3437" s="15">
        <v>2</v>
      </c>
      <c r="K3437" s="12" t="str">
        <f>HYPERLINK("http://twitter.com/download/iphone","Twitter for iPhone")</f>
        <v>Twitter for iPhone</v>
      </c>
      <c r="L3437" s="16">
        <v>302</v>
      </c>
      <c r="M3437" s="16">
        <v>487</v>
      </c>
      <c r="N3437" s="16">
        <v>3</v>
      </c>
      <c r="O3437" s="17"/>
      <c r="P3437" s="18">
        <v>40493.429236111115</v>
      </c>
      <c r="Q3437" s="7"/>
      <c r="R3437" s="7"/>
      <c r="S3437" s="8"/>
      <c r="T3437" s="8"/>
      <c r="U3437" s="19" t="str">
        <f>HYPERLINK("https://pbs.twimg.com/profile_images/1134070221180985344/pjBLVAqd.jpg","View")</f>
        <v>View</v>
      </c>
      <c r="V3437" s="8"/>
      <c r="W3437" s="8"/>
      <c r="X3437" s="8"/>
      <c r="Y3437" s="8"/>
      <c r="Z3437" s="8"/>
    </row>
    <row r="3438" spans="1:26" ht="12.75">
      <c r="A3438" s="11">
        <v>43747.155219907407</v>
      </c>
      <c r="B3438" s="12" t="str">
        <f>HYPERLINK("https://twitter.com/BaskirGokte","@BaskirGokte")</f>
        <v>@BaskirGokte</v>
      </c>
      <c r="C3438" s="7" t="s">
        <v>18899</v>
      </c>
      <c r="D3438" s="7" t="s">
        <v>18900</v>
      </c>
      <c r="E3438" s="12" t="str">
        <f>HYPERLINK("https://twitter.com/BaskirGokte/status/1181882878575206400","1181882878575206400")</f>
        <v>1181882878575206400</v>
      </c>
      <c r="F3438" s="8"/>
      <c r="G3438" s="15"/>
      <c r="H3438" s="8"/>
      <c r="I3438" s="15">
        <v>0</v>
      </c>
      <c r="J3438" s="15">
        <v>0</v>
      </c>
      <c r="K3438" s="12" t="str">
        <f>HYPERLINK("http://twitter.com","Twitter Web Client")</f>
        <v>Twitter Web Client</v>
      </c>
      <c r="L3438" s="16">
        <v>2</v>
      </c>
      <c r="M3438" s="16">
        <v>0</v>
      </c>
      <c r="N3438" s="16">
        <v>0</v>
      </c>
      <c r="O3438" s="17"/>
      <c r="P3438" s="18">
        <v>43668.995462962965</v>
      </c>
      <c r="Q3438" s="7" t="s">
        <v>12687</v>
      </c>
      <c r="R3438" s="7" t="s">
        <v>18901</v>
      </c>
      <c r="S3438" s="8"/>
      <c r="T3438" s="8"/>
      <c r="U3438" s="19" t="str">
        <f>HYPERLINK("https://pbs.twimg.com/profile_images/1154291551578861568/HcNo3Npl.jpg","View")</f>
        <v>View</v>
      </c>
      <c r="V3438" s="8"/>
      <c r="W3438" s="8"/>
      <c r="X3438" s="8"/>
      <c r="Y3438" s="8"/>
      <c r="Z3438" s="8"/>
    </row>
    <row r="3439" spans="1:26" ht="12.75">
      <c r="A3439" s="11">
        <v>43747.155208333337</v>
      </c>
      <c r="B3439" s="12" t="str">
        <f>HYPERLINK("https://twitter.com/hsyngny74","@hsyngny74")</f>
        <v>@hsyngny74</v>
      </c>
      <c r="C3439" s="7" t="s">
        <v>18902</v>
      </c>
      <c r="D3439" s="7" t="s">
        <v>18903</v>
      </c>
      <c r="E3439" s="12" t="str">
        <f>HYPERLINK("https://twitter.com/hsyngny74/status/1181882877350420480","1181882877350420480")</f>
        <v>1181882877350420480</v>
      </c>
      <c r="F3439" s="8"/>
      <c r="G3439" s="14" t="s">
        <v>18904</v>
      </c>
      <c r="H3439" s="8"/>
      <c r="I3439" s="15">
        <v>0</v>
      </c>
      <c r="J3439" s="15">
        <v>2</v>
      </c>
      <c r="K3439" s="12" t="str">
        <f>HYPERLINK("https://mobile.twitter.com","Twitter Web App")</f>
        <v>Twitter Web App</v>
      </c>
      <c r="L3439" s="16">
        <v>2860</v>
      </c>
      <c r="M3439" s="16">
        <v>2892</v>
      </c>
      <c r="N3439" s="16">
        <v>5</v>
      </c>
      <c r="O3439" s="17"/>
      <c r="P3439" s="18">
        <v>40770.007847222223</v>
      </c>
      <c r="Q3439" s="7" t="s">
        <v>18905</v>
      </c>
      <c r="R3439" s="7" t="s">
        <v>18906</v>
      </c>
      <c r="S3439" s="8"/>
      <c r="T3439" s="8"/>
      <c r="U3439" s="19" t="str">
        <f>HYPERLINK("https://pbs.twimg.com/profile_images/1125720276346576897/tlr3EP7V.jpg","View")</f>
        <v>View</v>
      </c>
      <c r="V3439" s="8"/>
      <c r="W3439" s="8"/>
      <c r="X3439" s="8"/>
      <c r="Y3439" s="8"/>
      <c r="Z3439" s="8"/>
    </row>
    <row r="3440" spans="1:26" ht="12.75">
      <c r="A3440" s="11">
        <v>43747.155150462961</v>
      </c>
      <c r="B3440" s="12" t="str">
        <f>HYPERLINK("https://twitter.com/kadirberkli","@kadirberkli")</f>
        <v>@kadirberkli</v>
      </c>
      <c r="C3440" s="7" t="s">
        <v>18907</v>
      </c>
      <c r="D3440" s="7" t="s">
        <v>18908</v>
      </c>
      <c r="E3440" s="12" t="str">
        <f>HYPERLINK("https://twitter.com/kadirberkli/status/1181882856081113088","1181882856081113088")</f>
        <v>1181882856081113088</v>
      </c>
      <c r="F3440" s="15"/>
      <c r="G3440" s="14" t="s">
        <v>18909</v>
      </c>
      <c r="H3440" s="8"/>
      <c r="I3440" s="15">
        <v>4</v>
      </c>
      <c r="J3440" s="15">
        <v>14</v>
      </c>
      <c r="K3440" s="12" t="str">
        <f>HYPERLINK("http://twitter.com/download/android","Twitter for Android")</f>
        <v>Twitter for Android</v>
      </c>
      <c r="L3440" s="16">
        <v>26114</v>
      </c>
      <c r="M3440" s="16">
        <v>316</v>
      </c>
      <c r="N3440" s="16">
        <v>30</v>
      </c>
      <c r="O3440" s="17"/>
      <c r="P3440" s="18">
        <v>40964.01054398148</v>
      </c>
      <c r="Q3440" s="7"/>
      <c r="R3440" s="7" t="s">
        <v>18910</v>
      </c>
      <c r="S3440" s="15"/>
      <c r="T3440" s="8"/>
      <c r="U3440" s="19" t="str">
        <f>HYPERLINK("https://pbs.twimg.com/profile_images/1181881307598671874/mN4BcW3I.jpg","View")</f>
        <v>View</v>
      </c>
      <c r="V3440" s="8"/>
      <c r="W3440" s="8"/>
      <c r="X3440" s="8"/>
      <c r="Y3440" s="8"/>
      <c r="Z3440" s="8"/>
    </row>
    <row r="3441" spans="1:26" ht="12.75">
      <c r="A3441" s="11">
        <v>43747.155150462961</v>
      </c>
      <c r="B3441" s="12" t="str">
        <f>HYPERLINK("https://twitter.com/idundar34","@idundar34")</f>
        <v>@idundar34</v>
      </c>
      <c r="C3441" s="7" t="s">
        <v>18911</v>
      </c>
      <c r="D3441" s="7" t="s">
        <v>18912</v>
      </c>
      <c r="E3441" s="12" t="str">
        <f>HYPERLINK("https://twitter.com/idundar34/status/1181882855561011200","1181882855561011200")</f>
        <v>1181882855561011200</v>
      </c>
      <c r="F3441" s="8"/>
      <c r="G3441" s="15"/>
      <c r="H3441" s="8"/>
      <c r="I3441" s="15">
        <v>0</v>
      </c>
      <c r="J3441" s="15">
        <v>0</v>
      </c>
      <c r="K3441" s="12" t="str">
        <f>HYPERLINK("https://mobile.twitter.com","Twitter Web App")</f>
        <v>Twitter Web App</v>
      </c>
      <c r="L3441" s="16">
        <v>146</v>
      </c>
      <c r="M3441" s="16">
        <v>237</v>
      </c>
      <c r="N3441" s="16">
        <v>0</v>
      </c>
      <c r="O3441" s="17"/>
      <c r="P3441" s="18">
        <v>40809.318298611113</v>
      </c>
      <c r="Q3441" s="7" t="s">
        <v>18913</v>
      </c>
      <c r="R3441" s="7" t="s">
        <v>18914</v>
      </c>
      <c r="S3441" s="8"/>
      <c r="T3441" s="8"/>
      <c r="U3441" s="19" t="str">
        <f>HYPERLINK("https://pbs.twimg.com/profile_images/1151132227620573185/hkfD1clc.jpg","View")</f>
        <v>View</v>
      </c>
      <c r="V3441" s="8"/>
      <c r="W3441" s="8"/>
      <c r="X3441" s="8"/>
      <c r="Y3441" s="8"/>
      <c r="Z3441" s="8"/>
    </row>
    <row r="3442" spans="1:26" ht="12.75">
      <c r="A3442" s="11">
        <v>43747.155150462961</v>
      </c>
      <c r="B3442" s="12" t="str">
        <f>HYPERLINK("https://twitter.com/ahtapot2019","@ahtapot2019")</f>
        <v>@ahtapot2019</v>
      </c>
      <c r="C3442" s="7" t="s">
        <v>18915</v>
      </c>
      <c r="D3442" s="7" t="s">
        <v>18916</v>
      </c>
      <c r="E3442" s="12" t="str">
        <f>HYPERLINK("https://twitter.com/ahtapot2019/status/1181882854986399744","1181882854986399744")</f>
        <v>1181882854986399744</v>
      </c>
      <c r="F3442" s="8"/>
      <c r="G3442" s="14" t="s">
        <v>18917</v>
      </c>
      <c r="H3442" s="8"/>
      <c r="I3442" s="15">
        <v>7</v>
      </c>
      <c r="J3442" s="15">
        <v>18</v>
      </c>
      <c r="K3442" s="12" t="str">
        <f>HYPERLINK("http://twitter.com","Twitter Web Client")</f>
        <v>Twitter Web Client</v>
      </c>
      <c r="L3442" s="16">
        <v>83</v>
      </c>
      <c r="M3442" s="16">
        <v>417</v>
      </c>
      <c r="N3442" s="16">
        <v>0</v>
      </c>
      <c r="O3442" s="17"/>
      <c r="P3442" s="18">
        <v>43746.664027777777</v>
      </c>
      <c r="Q3442" s="7"/>
      <c r="R3442" s="7" t="s">
        <v>18918</v>
      </c>
      <c r="S3442" s="8"/>
      <c r="T3442" s="8"/>
      <c r="U3442" s="19" t="str">
        <f>HYPERLINK("https://pbs.twimg.com/profile_images/1181705070859173890/S0lfLm7o.jpg","View")</f>
        <v>View</v>
      </c>
      <c r="V3442" s="8"/>
      <c r="W3442" s="8"/>
      <c r="X3442" s="8"/>
      <c r="Y3442" s="8"/>
      <c r="Z3442" s="8"/>
    </row>
    <row r="3443" spans="1:26" ht="12.75">
      <c r="A3443" s="11">
        <v>43747.155138888891</v>
      </c>
      <c r="B3443" s="12" t="str">
        <f>HYPERLINK("https://twitter.com/Depremss","@Depremss")</f>
        <v>@Depremss</v>
      </c>
      <c r="C3443" s="7" t="s">
        <v>18919</v>
      </c>
      <c r="D3443" s="7" t="s">
        <v>18920</v>
      </c>
      <c r="E3443" s="12" t="str">
        <f>HYPERLINK("https://twitter.com/Depremss/status/1181882850506870789","1181882850506870789")</f>
        <v>1181882850506870789</v>
      </c>
      <c r="F3443" s="15"/>
      <c r="G3443" s="15"/>
      <c r="H3443" s="8"/>
      <c r="I3443" s="15">
        <v>1</v>
      </c>
      <c r="J3443" s="15">
        <v>3</v>
      </c>
      <c r="K3443" s="12" t="str">
        <f>HYPERLINK("https://mobile.twitter.com","Twitter Web App")</f>
        <v>Twitter Web App</v>
      </c>
      <c r="L3443" s="16">
        <v>1971</v>
      </c>
      <c r="M3443" s="16">
        <v>21</v>
      </c>
      <c r="N3443" s="16">
        <v>2</v>
      </c>
      <c r="O3443" s="17"/>
      <c r="P3443" s="18">
        <v>43519.592962962968</v>
      </c>
      <c r="Q3443" s="7"/>
      <c r="R3443" s="7" t="s">
        <v>18921</v>
      </c>
      <c r="S3443" s="14" t="s">
        <v>18922</v>
      </c>
      <c r="T3443" s="8"/>
      <c r="U3443" s="19" t="str">
        <f>HYPERLINK("https://pbs.twimg.com/profile_images/1170464160594968578/eSiE6fJB.jpg","View")</f>
        <v>View</v>
      </c>
      <c r="V3443" s="8"/>
      <c r="W3443" s="8"/>
      <c r="X3443" s="8"/>
      <c r="Y3443" s="8"/>
      <c r="Z3443" s="8"/>
    </row>
    <row r="3444" spans="1:26" ht="12.75">
      <c r="A3444" s="11">
        <v>43747.155023148152</v>
      </c>
      <c r="B3444" s="12" t="str">
        <f>HYPERLINK("https://twitter.com/gulberk2006","@gulberk2006")</f>
        <v>@gulberk2006</v>
      </c>
      <c r="C3444" s="7" t="s">
        <v>18923</v>
      </c>
      <c r="D3444" s="7" t="s">
        <v>18924</v>
      </c>
      <c r="E3444" s="12" t="str">
        <f>HYPERLINK("https://twitter.com/gulberk2006/status/1181882807322214400","1181882807322214400")</f>
        <v>1181882807322214400</v>
      </c>
      <c r="F3444" s="8"/>
      <c r="G3444" s="14" t="s">
        <v>18925</v>
      </c>
      <c r="H3444" s="8"/>
      <c r="I3444" s="15">
        <v>0</v>
      </c>
      <c r="J3444" s="15">
        <v>8</v>
      </c>
      <c r="K3444" s="12" t="str">
        <f>HYPERLINK("http://twitter.com/download/iphone","Twitter for iPhone")</f>
        <v>Twitter for iPhone</v>
      </c>
      <c r="L3444" s="16">
        <v>464</v>
      </c>
      <c r="M3444" s="16">
        <v>179</v>
      </c>
      <c r="N3444" s="16">
        <v>0</v>
      </c>
      <c r="O3444" s="17"/>
      <c r="P3444" s="18">
        <v>41555.596631944441</v>
      </c>
      <c r="Q3444" s="7" t="s">
        <v>80</v>
      </c>
      <c r="R3444" s="7"/>
      <c r="S3444" s="8"/>
      <c r="T3444" s="8"/>
      <c r="U3444" s="19" t="str">
        <f>HYPERLINK("https://pbs.twimg.com/profile_images/1035115286557601792/tbP7pord.jpg","View")</f>
        <v>View</v>
      </c>
      <c r="V3444" s="8"/>
      <c r="W3444" s="8"/>
      <c r="X3444" s="8"/>
      <c r="Y3444" s="8"/>
      <c r="Z3444" s="8"/>
    </row>
    <row r="3445" spans="1:26" ht="12.75">
      <c r="A3445" s="11">
        <v>43747.155023148152</v>
      </c>
      <c r="B3445" s="12" t="str">
        <f>HYPERLINK("https://twitter.com/BilalUysal_","@BilalUysal_")</f>
        <v>@BilalUysal_</v>
      </c>
      <c r="C3445" s="7" t="s">
        <v>18926</v>
      </c>
      <c r="D3445" s="7" t="s">
        <v>18927</v>
      </c>
      <c r="E3445" s="12" t="str">
        <f>HYPERLINK("https://twitter.com/BilalUysal_/status/1181882806907162625","1181882806907162625")</f>
        <v>1181882806907162625</v>
      </c>
      <c r="F3445" s="8"/>
      <c r="G3445" s="7"/>
      <c r="H3445" s="8"/>
      <c r="I3445" s="15">
        <v>0</v>
      </c>
      <c r="J3445" s="15">
        <v>3</v>
      </c>
      <c r="K3445" s="12" t="str">
        <f>HYPERLINK("http://twitter.com/download/android","Twitter for Android")</f>
        <v>Twitter for Android</v>
      </c>
      <c r="L3445" s="16">
        <v>190</v>
      </c>
      <c r="M3445" s="16">
        <v>350</v>
      </c>
      <c r="N3445" s="16">
        <v>0</v>
      </c>
      <c r="O3445" s="17"/>
      <c r="P3445" s="18">
        <v>42080.254282407404</v>
      </c>
      <c r="Q3445" s="7" t="s">
        <v>18928</v>
      </c>
      <c r="R3445" s="7" t="s">
        <v>18929</v>
      </c>
      <c r="S3445" s="8"/>
      <c r="T3445" s="8"/>
      <c r="U3445" s="19" t="str">
        <f>HYPERLINK("https://pbs.twimg.com/profile_images/1150683098947948544/lE7t4SAW.jpg","View")</f>
        <v>View</v>
      </c>
      <c r="V3445" s="8"/>
      <c r="W3445" s="8"/>
      <c r="X3445" s="8"/>
      <c r="Y3445" s="8"/>
      <c r="Z3445" s="8"/>
    </row>
    <row r="3446" spans="1:26" ht="12.75">
      <c r="A3446" s="11">
        <v>43747.154988425929</v>
      </c>
      <c r="B3446" s="12" t="str">
        <f>HYPERLINK("https://twitter.com/frigolaaa25","@frigolaaa25")</f>
        <v>@frigolaaa25</v>
      </c>
      <c r="C3446" s="7" t="s">
        <v>18930</v>
      </c>
      <c r="D3446" s="7" t="s">
        <v>18931</v>
      </c>
      <c r="E3446" s="12" t="str">
        <f>HYPERLINK("https://twitter.com/frigolaaa25/status/1181882797172150272","1181882797172150272")</f>
        <v>1181882797172150272</v>
      </c>
      <c r="F3446" s="14" t="s">
        <v>18932</v>
      </c>
      <c r="G3446" s="15"/>
      <c r="H3446" s="8"/>
      <c r="I3446" s="15">
        <v>0</v>
      </c>
      <c r="J3446" s="15">
        <v>0</v>
      </c>
      <c r="K3446" s="12" t="str">
        <f>HYPERLINK("http://twitter.com/download/iphone","Twitter for iPhone")</f>
        <v>Twitter for iPhone</v>
      </c>
      <c r="L3446" s="16">
        <v>99</v>
      </c>
      <c r="M3446" s="16">
        <v>239</v>
      </c>
      <c r="N3446" s="16">
        <v>0</v>
      </c>
      <c r="O3446" s="17"/>
      <c r="P3446" s="18">
        <v>42572.354814814811</v>
      </c>
      <c r="Q3446" s="7" t="s">
        <v>8378</v>
      </c>
      <c r="R3446" s="7"/>
      <c r="S3446" s="8"/>
      <c r="T3446" s="8"/>
      <c r="U3446" s="19" t="str">
        <f>HYPERLINK("https://pbs.twimg.com/profile_images/1112665768842461184/dg5AJeSn.jpg","View")</f>
        <v>View</v>
      </c>
      <c r="V3446" s="8"/>
      <c r="W3446" s="8"/>
      <c r="X3446" s="8"/>
      <c r="Y3446" s="8"/>
      <c r="Z3446" s="8"/>
    </row>
    <row r="3447" spans="1:26" ht="12.75">
      <c r="A3447" s="11">
        <v>43747.154976851853</v>
      </c>
      <c r="B3447" s="12" t="str">
        <f>HYPERLINK("https://twitter.com/OkaySelmin","@OkaySelmin")</f>
        <v>@OkaySelmin</v>
      </c>
      <c r="C3447" s="7" t="s">
        <v>18933</v>
      </c>
      <c r="D3447" s="7" t="s">
        <v>18934</v>
      </c>
      <c r="E3447" s="12" t="str">
        <f>HYPERLINK("https://twitter.com/OkaySelmin/status/1181882790775808001","1181882790775808001")</f>
        <v>1181882790775808001</v>
      </c>
      <c r="F3447" s="15"/>
      <c r="G3447" s="7"/>
      <c r="H3447" s="8"/>
      <c r="I3447" s="15">
        <v>0</v>
      </c>
      <c r="J3447" s="15">
        <v>0</v>
      </c>
      <c r="K3447" s="12" t="str">
        <f>HYPERLINK("http://twitter.com","Twitter Web Client")</f>
        <v>Twitter Web Client</v>
      </c>
      <c r="L3447" s="16">
        <v>9</v>
      </c>
      <c r="M3447" s="16">
        <v>0</v>
      </c>
      <c r="N3447" s="16">
        <v>0</v>
      </c>
      <c r="O3447" s="17"/>
      <c r="P3447" s="18">
        <v>43668.861145833333</v>
      </c>
      <c r="Q3447" s="7" t="s">
        <v>498</v>
      </c>
      <c r="R3447" s="7" t="s">
        <v>18935</v>
      </c>
      <c r="S3447" s="15"/>
      <c r="T3447" s="8"/>
      <c r="U3447" s="19" t="str">
        <f>HYPERLINK("https://pbs.twimg.com/profile_images/1153752237665083394/w3RRhwlh.jpg","View")</f>
        <v>View</v>
      </c>
      <c r="V3447" s="8"/>
      <c r="W3447" s="8"/>
      <c r="X3447" s="8"/>
      <c r="Y3447" s="8"/>
      <c r="Z3447" s="8"/>
    </row>
    <row r="3448" spans="1:26" ht="12.75">
      <c r="A3448" s="11">
        <v>43747.154872685191</v>
      </c>
      <c r="B3448" s="12" t="str">
        <f>HYPERLINK("https://twitter.com/ismail_crpl","@ismail_crpl")</f>
        <v>@ismail_crpl</v>
      </c>
      <c r="C3448" s="7" t="s">
        <v>18936</v>
      </c>
      <c r="D3448" s="7" t="s">
        <v>18937</v>
      </c>
      <c r="E3448" s="12" t="str">
        <f>HYPERLINK("https://twitter.com/ismail_crpl/status/1181882753714987008","1181882753714987008")</f>
        <v>1181882753714987008</v>
      </c>
      <c r="F3448" s="8"/>
      <c r="G3448" s="14" t="s">
        <v>18938</v>
      </c>
      <c r="H3448" s="8"/>
      <c r="I3448" s="15">
        <v>0</v>
      </c>
      <c r="J3448" s="15">
        <v>7</v>
      </c>
      <c r="K3448" s="12" t="str">
        <f>HYPERLINK("http://twitter.com/download/iphone","Twitter for iPhone")</f>
        <v>Twitter for iPhone</v>
      </c>
      <c r="L3448" s="16">
        <v>502</v>
      </c>
      <c r="M3448" s="16">
        <v>68</v>
      </c>
      <c r="N3448" s="16">
        <v>0</v>
      </c>
      <c r="O3448" s="17"/>
      <c r="P3448" s="18">
        <v>41800.396226851852</v>
      </c>
      <c r="Q3448" s="7" t="s">
        <v>18939</v>
      </c>
      <c r="R3448" s="7" t="s">
        <v>18940</v>
      </c>
      <c r="S3448" s="15"/>
      <c r="T3448" s="8"/>
      <c r="U3448" s="19" t="str">
        <f>HYPERLINK("https://pbs.twimg.com/profile_images/1181872945821556736/T4Bq7--3.jpg","View")</f>
        <v>View</v>
      </c>
      <c r="V3448" s="8"/>
      <c r="W3448" s="8"/>
      <c r="X3448" s="8"/>
      <c r="Y3448" s="8"/>
      <c r="Z3448" s="8"/>
    </row>
    <row r="3449" spans="1:26" ht="12.75">
      <c r="A3449" s="11">
        <v>43747.154872685191</v>
      </c>
      <c r="B3449" s="12" t="str">
        <f>HYPERLINK("https://twitter.com/deniztrade33","@deniztrade33")</f>
        <v>@deniztrade33</v>
      </c>
      <c r="C3449" s="7" t="s">
        <v>18941</v>
      </c>
      <c r="D3449" s="7" t="s">
        <v>18942</v>
      </c>
      <c r="E3449" s="12" t="str">
        <f>HYPERLINK("https://twitter.com/deniztrade33/status/1181882753282924544","1181882753282924544")</f>
        <v>1181882753282924544</v>
      </c>
      <c r="F3449" s="14" t="s">
        <v>18943</v>
      </c>
      <c r="G3449" s="14" t="s">
        <v>18944</v>
      </c>
      <c r="H3449" s="8"/>
      <c r="I3449" s="15">
        <v>0</v>
      </c>
      <c r="J3449" s="15">
        <v>2</v>
      </c>
      <c r="K3449" s="12" t="str">
        <f>HYPERLINK("https://mobile.twitter.com","Twitter Web App")</f>
        <v>Twitter Web App</v>
      </c>
      <c r="L3449" s="16">
        <v>2</v>
      </c>
      <c r="M3449" s="16">
        <v>52</v>
      </c>
      <c r="N3449" s="16">
        <v>0</v>
      </c>
      <c r="O3449" s="20"/>
      <c r="P3449" s="18">
        <v>43712.485914351855</v>
      </c>
      <c r="Q3449" s="7"/>
      <c r="R3449" s="7" t="s">
        <v>18945</v>
      </c>
      <c r="S3449" s="15"/>
      <c r="T3449" s="8"/>
      <c r="U3449" s="19" t="str">
        <f>HYPERLINK("https://pbs.twimg.com/profile_images/1169322187565785088/X2aXOC8a.jpg","View")</f>
        <v>View</v>
      </c>
      <c r="V3449" s="8"/>
      <c r="W3449" s="8"/>
      <c r="X3449" s="8"/>
      <c r="Y3449" s="8"/>
      <c r="Z3449" s="8"/>
    </row>
    <row r="3450" spans="1:26" ht="12.75">
      <c r="A3450" s="11">
        <v>43747.154837962968</v>
      </c>
      <c r="B3450" s="12" t="str">
        <f>HYPERLINK("https://twitter.com/osmanmavi","@osmanmavi")</f>
        <v>@osmanmavi</v>
      </c>
      <c r="C3450" s="7" t="s">
        <v>18946</v>
      </c>
      <c r="D3450" s="7" t="s">
        <v>160</v>
      </c>
      <c r="E3450" s="12" t="str">
        <f>HYPERLINK("https://twitter.com/osmanmavi/status/1181882741694050304","1181882741694050304")</f>
        <v>1181882741694050304</v>
      </c>
      <c r="F3450" s="8"/>
      <c r="G3450" s="14" t="s">
        <v>18947</v>
      </c>
      <c r="H3450" s="8"/>
      <c r="I3450" s="15">
        <v>0</v>
      </c>
      <c r="J3450" s="15">
        <v>1</v>
      </c>
      <c r="K3450" s="12" t="str">
        <f>HYPERLINK("https://mobile.twitter.com","Twitter Web App")</f>
        <v>Twitter Web App</v>
      </c>
      <c r="L3450" s="16">
        <v>158</v>
      </c>
      <c r="M3450" s="16">
        <v>535</v>
      </c>
      <c r="N3450" s="16">
        <v>1</v>
      </c>
      <c r="O3450" s="17"/>
      <c r="P3450" s="18">
        <v>40387.236157407409</v>
      </c>
      <c r="Q3450" s="7"/>
      <c r="R3450" s="7" t="s">
        <v>18948</v>
      </c>
      <c r="S3450" s="8"/>
      <c r="T3450" s="8"/>
      <c r="U3450" s="19" t="str">
        <f>HYPERLINK("https://pbs.twimg.com/profile_images/884650598137724929/4Kt-0koI.jpg","View")</f>
        <v>View</v>
      </c>
      <c r="V3450" s="8"/>
      <c r="W3450" s="8"/>
      <c r="X3450" s="8"/>
      <c r="Y3450" s="8"/>
      <c r="Z3450" s="8"/>
    </row>
    <row r="3451" spans="1:26" ht="12.75">
      <c r="A3451" s="11">
        <v>43747.154803240745</v>
      </c>
      <c r="B3451" s="12" t="str">
        <f>HYPERLINK("https://twitter.com/Yozgatlitayip66","@Yozgatlitayip66")</f>
        <v>@Yozgatlitayip66</v>
      </c>
      <c r="C3451" s="7" t="s">
        <v>18949</v>
      </c>
      <c r="D3451" s="7" t="s">
        <v>13923</v>
      </c>
      <c r="E3451" s="12" t="str">
        <f>HYPERLINK("https://twitter.com/Yozgatlitayip66/status/1181882730314964992","1181882730314964992")</f>
        <v>1181882730314964992</v>
      </c>
      <c r="F3451" s="8"/>
      <c r="G3451" s="14" t="s">
        <v>18950</v>
      </c>
      <c r="H3451" s="8"/>
      <c r="I3451" s="15">
        <v>0</v>
      </c>
      <c r="J3451" s="15">
        <v>1</v>
      </c>
      <c r="K3451" s="12" t="str">
        <f>HYPERLINK("http://twitter.com/download/iphone","Twitter for iPhone")</f>
        <v>Twitter for iPhone</v>
      </c>
      <c r="L3451" s="16">
        <v>5516</v>
      </c>
      <c r="M3451" s="16">
        <v>5722</v>
      </c>
      <c r="N3451" s="16">
        <v>8</v>
      </c>
      <c r="O3451" s="17"/>
      <c r="P3451" s="18">
        <v>41202.379548611112</v>
      </c>
      <c r="Q3451" s="7" t="s">
        <v>18951</v>
      </c>
      <c r="R3451" s="7" t="s">
        <v>18952</v>
      </c>
      <c r="S3451" s="15"/>
      <c r="T3451" s="8"/>
      <c r="U3451" s="19" t="str">
        <f>HYPERLINK("https://pbs.twimg.com/profile_images/1105101444531843072/gDtM1SVU.jpg","View")</f>
        <v>View</v>
      </c>
      <c r="V3451" s="8"/>
      <c r="W3451" s="8"/>
      <c r="X3451" s="8"/>
      <c r="Y3451" s="8"/>
      <c r="Z3451" s="8"/>
    </row>
    <row r="3452" spans="1:26" ht="12.75">
      <c r="A3452" s="11">
        <v>43747.15457175926</v>
      </c>
      <c r="B3452" s="12" t="str">
        <f>HYPERLINK("https://twitter.com/GFBismet1907","@GFBismet1907")</f>
        <v>@GFBismet1907</v>
      </c>
      <c r="C3452" s="7" t="s">
        <v>18953</v>
      </c>
      <c r="D3452" s="7" t="s">
        <v>14293</v>
      </c>
      <c r="E3452" s="12" t="str">
        <f>HYPERLINK("https://twitter.com/GFBismet1907/status/1181882646579830785","1181882646579830785")</f>
        <v>1181882646579830785</v>
      </c>
      <c r="F3452" s="8"/>
      <c r="G3452" s="14" t="s">
        <v>2720</v>
      </c>
      <c r="H3452" s="8"/>
      <c r="I3452" s="15">
        <v>0</v>
      </c>
      <c r="J3452" s="15">
        <v>1</v>
      </c>
      <c r="K3452" s="12" t="str">
        <f>HYPERLINK("http://twitter.com/download/android","Twitter for Android")</f>
        <v>Twitter for Android</v>
      </c>
      <c r="L3452" s="16">
        <v>15</v>
      </c>
      <c r="M3452" s="16">
        <v>258</v>
      </c>
      <c r="N3452" s="16">
        <v>0</v>
      </c>
      <c r="O3452" s="17"/>
      <c r="P3452" s="18">
        <v>43639.236828703702</v>
      </c>
      <c r="Q3452" s="7" t="s">
        <v>287</v>
      </c>
      <c r="R3452" s="7" t="s">
        <v>18954</v>
      </c>
      <c r="S3452" s="14" t="s">
        <v>18955</v>
      </c>
      <c r="T3452" s="8"/>
      <c r="U3452" s="19" t="str">
        <f>HYPERLINK("https://pbs.twimg.com/profile_images/1144486735998439426/01GiZP1F.jpg","View")</f>
        <v>View</v>
      </c>
      <c r="V3452" s="8"/>
      <c r="W3452" s="8"/>
      <c r="X3452" s="8"/>
      <c r="Y3452" s="8"/>
      <c r="Z3452" s="8"/>
    </row>
    <row r="3453" spans="1:26" ht="12.75">
      <c r="A3453" s="11">
        <v>43747.15457175926</v>
      </c>
      <c r="B3453" s="12" t="str">
        <f>HYPERLINK("https://twitter.com/Tolgahannn1905","@Tolgahannn1905")</f>
        <v>@Tolgahannn1905</v>
      </c>
      <c r="C3453" s="7" t="s">
        <v>18956</v>
      </c>
      <c r="D3453" s="7" t="s">
        <v>18957</v>
      </c>
      <c r="E3453" s="12" t="str">
        <f>HYPERLINK("https://twitter.com/Tolgahannn1905/status/1181882646420480000","1181882646420480000")</f>
        <v>1181882646420480000</v>
      </c>
      <c r="F3453" s="8"/>
      <c r="G3453" s="14" t="s">
        <v>18958</v>
      </c>
      <c r="H3453" s="15"/>
      <c r="I3453" s="15">
        <v>1</v>
      </c>
      <c r="J3453" s="15">
        <v>19</v>
      </c>
      <c r="K3453" s="12" t="str">
        <f>HYPERLINK("https://mobile.twitter.com","Twitter Web App")</f>
        <v>Twitter Web App</v>
      </c>
      <c r="L3453" s="16">
        <v>2346</v>
      </c>
      <c r="M3453" s="16">
        <v>2357</v>
      </c>
      <c r="N3453" s="16">
        <v>0</v>
      </c>
      <c r="O3453" s="17"/>
      <c r="P3453" s="18">
        <v>43725.175173611111</v>
      </c>
      <c r="Q3453" s="7" t="s">
        <v>18959</v>
      </c>
      <c r="R3453" s="7" t="s">
        <v>18960</v>
      </c>
      <c r="S3453" s="15"/>
      <c r="T3453" s="8"/>
      <c r="U3453" s="19" t="str">
        <f>HYPERLINK("https://pbs.twimg.com/profile_images/1173918760035659777/C322ww3G.jpg","View")</f>
        <v>View</v>
      </c>
      <c r="V3453" s="8"/>
      <c r="W3453" s="8"/>
      <c r="X3453" s="8"/>
      <c r="Y3453" s="8"/>
      <c r="Z3453" s="8"/>
    </row>
    <row r="3454" spans="1:26" ht="12.75">
      <c r="A3454" s="11">
        <v>43747.154560185183</v>
      </c>
      <c r="B3454" s="12" t="str">
        <f>HYPERLINK("https://twitter.com/Cemil80048883","@Cemil80048883")</f>
        <v>@Cemil80048883</v>
      </c>
      <c r="C3454" s="7" t="s">
        <v>18961</v>
      </c>
      <c r="D3454" s="7" t="s">
        <v>18962</v>
      </c>
      <c r="E3454" s="12" t="str">
        <f>HYPERLINK("https://twitter.com/Cemil80048883/status/1181882642595221509","1181882642595221509")</f>
        <v>1181882642595221509</v>
      </c>
      <c r="F3454" s="8"/>
      <c r="G3454" s="14" t="s">
        <v>18963</v>
      </c>
      <c r="H3454" s="8"/>
      <c r="I3454" s="15">
        <v>0</v>
      </c>
      <c r="J3454" s="15">
        <v>2</v>
      </c>
      <c r="K3454" s="12" t="str">
        <f>HYPERLINK("http://twitter.com/download/android","Twitter for Android")</f>
        <v>Twitter for Android</v>
      </c>
      <c r="L3454" s="16">
        <v>6140</v>
      </c>
      <c r="M3454" s="16">
        <v>4034</v>
      </c>
      <c r="N3454" s="16">
        <v>7</v>
      </c>
      <c r="O3454" s="17"/>
      <c r="P3454" s="18">
        <v>42699.470057870371</v>
      </c>
      <c r="Q3454" s="7" t="s">
        <v>313</v>
      </c>
      <c r="R3454" s="7" t="s">
        <v>18964</v>
      </c>
      <c r="S3454" s="15"/>
      <c r="T3454" s="8"/>
      <c r="U3454" s="19" t="str">
        <f>HYPERLINK("https://pbs.twimg.com/profile_images/1011003738163736576/wX5HzUhv.jpg","View")</f>
        <v>View</v>
      </c>
      <c r="V3454" s="8"/>
      <c r="W3454" s="8"/>
      <c r="X3454" s="8"/>
      <c r="Y3454" s="8"/>
      <c r="Z3454" s="8"/>
    </row>
    <row r="3455" spans="1:26" ht="12.75">
      <c r="A3455" s="11">
        <v>43747.154432870375</v>
      </c>
      <c r="B3455" s="12" t="str">
        <f>HYPERLINK("https://twitter.com/krhn4635","@krhn4635")</f>
        <v>@krhn4635</v>
      </c>
      <c r="C3455" s="7" t="s">
        <v>18965</v>
      </c>
      <c r="D3455" s="7" t="s">
        <v>18966</v>
      </c>
      <c r="E3455" s="12" t="str">
        <f>HYPERLINK("https://twitter.com/krhn4635/status/1181882593874235392","1181882593874235392")</f>
        <v>1181882593874235392</v>
      </c>
      <c r="F3455" s="8"/>
      <c r="G3455" s="14" t="s">
        <v>18967</v>
      </c>
      <c r="H3455" s="8"/>
      <c r="I3455" s="15">
        <v>0</v>
      </c>
      <c r="J3455" s="15">
        <v>0</v>
      </c>
      <c r="K3455" s="12" t="str">
        <f>HYPERLINK("http://twitter.com/download/android","Twitter for Android")</f>
        <v>Twitter for Android</v>
      </c>
      <c r="L3455" s="16">
        <v>47</v>
      </c>
      <c r="M3455" s="16">
        <v>166</v>
      </c>
      <c r="N3455" s="16">
        <v>0</v>
      </c>
      <c r="O3455" s="17"/>
      <c r="P3455" s="18">
        <v>41577.064317129625</v>
      </c>
      <c r="Q3455" s="7"/>
      <c r="R3455" s="7" t="s">
        <v>18968</v>
      </c>
      <c r="S3455" s="8"/>
      <c r="T3455" s="8"/>
      <c r="U3455" s="19" t="str">
        <f>HYPERLINK("https://pbs.twimg.com/profile_images/773540883505549312/72heaAA2.jpg","View")</f>
        <v>View</v>
      </c>
      <c r="V3455" s="8"/>
      <c r="W3455" s="8"/>
      <c r="X3455" s="8"/>
      <c r="Y3455" s="8"/>
      <c r="Z3455" s="8"/>
    </row>
    <row r="3456" spans="1:26" ht="12.75">
      <c r="A3456" s="11">
        <v>43747.154305555552</v>
      </c>
      <c r="B3456" s="12" t="str">
        <f>HYPERLINK("https://twitter.com/MuratAk73841947","@MuratAk73841947")</f>
        <v>@MuratAk73841947</v>
      </c>
      <c r="C3456" s="7" t="s">
        <v>18969</v>
      </c>
      <c r="D3456" s="7" t="s">
        <v>18970</v>
      </c>
      <c r="E3456" s="12" t="str">
        <f>HYPERLINK("https://twitter.com/MuratAk73841947/status/1181882549498462208","1181882549498462208")</f>
        <v>1181882549498462208</v>
      </c>
      <c r="F3456" s="8"/>
      <c r="G3456" s="7"/>
      <c r="H3456" s="8"/>
      <c r="I3456" s="15">
        <v>0</v>
      </c>
      <c r="J3456" s="15">
        <v>1</v>
      </c>
      <c r="K3456" s="12" t="str">
        <f>HYPERLINK("http://twitter.com/download/android","Twitter for Android")</f>
        <v>Twitter for Android</v>
      </c>
      <c r="L3456" s="16">
        <v>116</v>
      </c>
      <c r="M3456" s="16">
        <v>165</v>
      </c>
      <c r="N3456" s="16">
        <v>0</v>
      </c>
      <c r="O3456" s="17"/>
      <c r="P3456" s="18">
        <v>43429.016967592594</v>
      </c>
      <c r="Q3456" s="7" t="s">
        <v>18971</v>
      </c>
      <c r="R3456" s="7"/>
      <c r="S3456" s="8"/>
      <c r="T3456" s="8"/>
      <c r="U3456" s="19" t="str">
        <f>HYPERLINK("https://pbs.twimg.com/profile_images/1067013394321018880/AWe6zTmM.jpg","View")</f>
        <v>View</v>
      </c>
      <c r="V3456" s="8"/>
      <c r="W3456" s="8"/>
      <c r="X3456" s="8"/>
      <c r="Y3456" s="8"/>
      <c r="Z3456" s="8"/>
    </row>
    <row r="3457" spans="1:26" ht="12.75">
      <c r="A3457" s="11">
        <v>43747.15425925926</v>
      </c>
      <c r="B3457" s="12" t="str">
        <f>HYPERLINK("https://twitter.com/EldesHiranaz","@EldesHiranaz")</f>
        <v>@EldesHiranaz</v>
      </c>
      <c r="C3457" s="7" t="s">
        <v>18972</v>
      </c>
      <c r="D3457" s="7" t="s">
        <v>18973</v>
      </c>
      <c r="E3457" s="12" t="str">
        <f>HYPERLINK("https://twitter.com/EldesHiranaz/status/1181882532821901313","1181882532821901313")</f>
        <v>1181882532821901313</v>
      </c>
      <c r="F3457" s="8"/>
      <c r="G3457" s="7"/>
      <c r="H3457" s="8"/>
      <c r="I3457" s="15">
        <v>0</v>
      </c>
      <c r="J3457" s="15">
        <v>0</v>
      </c>
      <c r="K3457" s="12" t="str">
        <f>HYPERLINK("http://twitter.com","Twitter Web Client")</f>
        <v>Twitter Web Client</v>
      </c>
      <c r="L3457" s="16">
        <v>6</v>
      </c>
      <c r="M3457" s="16">
        <v>0</v>
      </c>
      <c r="N3457" s="16">
        <v>0</v>
      </c>
      <c r="O3457" s="17"/>
      <c r="P3457" s="18">
        <v>43683.867384259254</v>
      </c>
      <c r="Q3457" s="7" t="s">
        <v>8299</v>
      </c>
      <c r="R3457" s="7" t="s">
        <v>18974</v>
      </c>
      <c r="S3457" s="8"/>
      <c r="T3457" s="8"/>
      <c r="U3457" s="19" t="str">
        <f>HYPERLINK("https://pbs.twimg.com/profile_images/1167222297540923393/Bje1v7vG.jpg","View")</f>
        <v>View</v>
      </c>
      <c r="V3457" s="8"/>
      <c r="W3457" s="8"/>
      <c r="X3457" s="8"/>
      <c r="Y3457" s="8"/>
      <c r="Z3457" s="8"/>
    </row>
    <row r="3458" spans="1:26" ht="12.75">
      <c r="A3458" s="11">
        <v>43747.154212962967</v>
      </c>
      <c r="B3458" s="12" t="str">
        <f>HYPERLINK("https://twitter.com/dykycn","@dykycn")</f>
        <v>@dykycn</v>
      </c>
      <c r="C3458" s="7" t="s">
        <v>18975</v>
      </c>
      <c r="D3458" s="7" t="s">
        <v>18976</v>
      </c>
      <c r="E3458" s="12" t="str">
        <f>HYPERLINK("https://twitter.com/dykycn/status/1181882514010447872","1181882514010447872")</f>
        <v>1181882514010447872</v>
      </c>
      <c r="F3458" s="8"/>
      <c r="G3458" s="7"/>
      <c r="H3458" s="8"/>
      <c r="I3458" s="15">
        <v>0</v>
      </c>
      <c r="J3458" s="15">
        <v>0</v>
      </c>
      <c r="K3458" s="12" t="str">
        <f>HYPERLINK("http://twitter.com/download/iphone","Twitter for iPhone")</f>
        <v>Twitter for iPhone</v>
      </c>
      <c r="L3458" s="16">
        <v>555</v>
      </c>
      <c r="M3458" s="16">
        <v>620</v>
      </c>
      <c r="N3458" s="16">
        <v>0</v>
      </c>
      <c r="O3458" s="17"/>
      <c r="P3458" s="18">
        <v>43356.557164351849</v>
      </c>
      <c r="Q3458" s="7"/>
      <c r="R3458" s="7" t="s">
        <v>18977</v>
      </c>
      <c r="S3458" s="8"/>
      <c r="T3458" s="8"/>
      <c r="U3458" s="19" t="str">
        <f>HYPERLINK("https://pbs.twimg.com/profile_images/1040339814267199488/43WoeE3I.jpg","View")</f>
        <v>View</v>
      </c>
      <c r="V3458" s="8"/>
      <c r="W3458" s="8"/>
      <c r="X3458" s="8"/>
      <c r="Y3458" s="8"/>
      <c r="Z3458" s="8"/>
    </row>
    <row r="3459" spans="1:26" ht="12.75">
      <c r="A3459" s="11">
        <v>43747.154166666667</v>
      </c>
      <c r="B3459" s="12" t="str">
        <f>HYPERLINK("https://twitter.com/ihsanacd1905","@ihsanacd1905")</f>
        <v>@ihsanacd1905</v>
      </c>
      <c r="C3459" s="7" t="s">
        <v>18978</v>
      </c>
      <c r="D3459" s="7" t="s">
        <v>18979</v>
      </c>
      <c r="E3459" s="12" t="str">
        <f>HYPERLINK("https://twitter.com/ihsanacd1905/status/1181882497241628675","1181882497241628675")</f>
        <v>1181882497241628675</v>
      </c>
      <c r="F3459" s="8"/>
      <c r="G3459" s="14" t="s">
        <v>18980</v>
      </c>
      <c r="H3459" s="8"/>
      <c r="I3459" s="15">
        <v>0</v>
      </c>
      <c r="J3459" s="15">
        <v>3</v>
      </c>
      <c r="K3459" s="12" t="str">
        <f>HYPERLINK("http://twitter.com/download/android","Twitter for Android")</f>
        <v>Twitter for Android</v>
      </c>
      <c r="L3459" s="16">
        <v>37</v>
      </c>
      <c r="M3459" s="16">
        <v>89</v>
      </c>
      <c r="N3459" s="16">
        <v>0</v>
      </c>
      <c r="O3459" s="17"/>
      <c r="P3459" s="18">
        <v>43595.038842592592</v>
      </c>
      <c r="Q3459" s="7"/>
      <c r="R3459" s="7" t="s">
        <v>18981</v>
      </c>
      <c r="S3459" s="8"/>
      <c r="T3459" s="8"/>
      <c r="U3459" s="19" t="str">
        <f>HYPERLINK("https://pbs.twimg.com/profile_images/1179703655362170881/p-jGP77M.jpg","View")</f>
        <v>View</v>
      </c>
      <c r="V3459" s="8"/>
      <c r="W3459" s="8"/>
      <c r="X3459" s="8"/>
      <c r="Y3459" s="8"/>
      <c r="Z3459" s="8"/>
    </row>
    <row r="3460" spans="1:26" ht="12.75">
      <c r="A3460" s="11">
        <v>43747.154131944444</v>
      </c>
      <c r="B3460" s="12" t="str">
        <f>HYPERLINK("https://twitter.com/ewdybur","@ewdybur")</f>
        <v>@ewdybur</v>
      </c>
      <c r="C3460" s="7" t="s">
        <v>18982</v>
      </c>
      <c r="D3460" s="7" t="s">
        <v>18983</v>
      </c>
      <c r="E3460" s="12" t="str">
        <f>HYPERLINK("https://twitter.com/ewdybur/status/1181882483668860930","1181882483668860930")</f>
        <v>1181882483668860930</v>
      </c>
      <c r="F3460" s="8"/>
      <c r="G3460" s="7"/>
      <c r="H3460" s="8"/>
      <c r="I3460" s="15">
        <v>0</v>
      </c>
      <c r="J3460" s="15">
        <v>0</v>
      </c>
      <c r="K3460" s="12" t="str">
        <f>HYPERLINK("http://twitter.com/download/android","Twitter for Android")</f>
        <v>Twitter for Android</v>
      </c>
      <c r="L3460" s="16">
        <v>13</v>
      </c>
      <c r="M3460" s="16">
        <v>45</v>
      </c>
      <c r="N3460" s="16">
        <v>0</v>
      </c>
      <c r="O3460" s="17"/>
      <c r="P3460" s="18">
        <v>43049.516597222224</v>
      </c>
      <c r="Q3460" s="7"/>
      <c r="R3460" s="7"/>
      <c r="S3460" s="8"/>
      <c r="T3460" s="8"/>
      <c r="U3460" s="19" t="str">
        <f>HYPERLINK("https://pbs.twimg.com/profile_images/949692850769448961/eWbhXwiF.jpg","View")</f>
        <v>View</v>
      </c>
      <c r="V3460" s="8"/>
      <c r="W3460" s="8"/>
      <c r="X3460" s="8"/>
      <c r="Y3460" s="8"/>
      <c r="Z3460" s="8"/>
    </row>
    <row r="3461" spans="1:26" ht="12.75">
      <c r="A3461" s="11">
        <v>43747.154097222221</v>
      </c>
      <c r="B3461" s="12" t="str">
        <f>HYPERLINK("https://twitter.com/JackMondey","@JackMondey")</f>
        <v>@JackMondey</v>
      </c>
      <c r="C3461" s="7" t="s">
        <v>18984</v>
      </c>
      <c r="D3461" s="7" t="s">
        <v>18985</v>
      </c>
      <c r="E3461" s="12" t="str">
        <f>HYPERLINK("https://twitter.com/JackMondey/status/1181882473644474368","1181882473644474368")</f>
        <v>1181882473644474368</v>
      </c>
      <c r="F3461" s="8"/>
      <c r="G3461" s="14" t="s">
        <v>18986</v>
      </c>
      <c r="H3461" s="8"/>
      <c r="I3461" s="15">
        <v>0</v>
      </c>
      <c r="J3461" s="15">
        <v>0</v>
      </c>
      <c r="K3461" s="12" t="str">
        <f>HYPERLINK("http://twitter.com/download/iphone","Twitter for iPhone")</f>
        <v>Twitter for iPhone</v>
      </c>
      <c r="L3461" s="16">
        <v>6</v>
      </c>
      <c r="M3461" s="16">
        <v>26</v>
      </c>
      <c r="N3461" s="16">
        <v>0</v>
      </c>
      <c r="O3461" s="17"/>
      <c r="P3461" s="18">
        <v>43731.508888888886</v>
      </c>
      <c r="Q3461" s="7"/>
      <c r="R3461" s="7" t="s">
        <v>18987</v>
      </c>
      <c r="S3461" s="8"/>
      <c r="T3461" s="8"/>
      <c r="U3461" s="20" t="s">
        <v>354</v>
      </c>
      <c r="V3461" s="8"/>
      <c r="W3461" s="8"/>
      <c r="X3461" s="8"/>
      <c r="Y3461" s="8"/>
      <c r="Z3461" s="8"/>
    </row>
    <row r="3462" spans="1:26" ht="12.75">
      <c r="A3462" s="11">
        <v>43747.154085648144</v>
      </c>
      <c r="B3462" s="12" t="str">
        <f>HYPERLINK("https://twitter.com/huseyinkocakhk","@huseyinkocakhk")</f>
        <v>@huseyinkocakhk</v>
      </c>
      <c r="C3462" s="7" t="s">
        <v>18988</v>
      </c>
      <c r="D3462" s="7" t="s">
        <v>18989</v>
      </c>
      <c r="E3462" s="12" t="str">
        <f>HYPERLINK("https://twitter.com/huseyinkocakhk/status/1181882469764812801","1181882469764812801")</f>
        <v>1181882469764812801</v>
      </c>
      <c r="F3462" s="8"/>
      <c r="G3462" s="14" t="s">
        <v>18990</v>
      </c>
      <c r="H3462" s="8"/>
      <c r="I3462" s="15">
        <v>0</v>
      </c>
      <c r="J3462" s="15">
        <v>6</v>
      </c>
      <c r="K3462" s="12" t="str">
        <f>HYPERLINK("http://twitter.com/download/android","Twitter for Android")</f>
        <v>Twitter for Android</v>
      </c>
      <c r="L3462" s="16">
        <v>33</v>
      </c>
      <c r="M3462" s="16">
        <v>173</v>
      </c>
      <c r="N3462" s="16">
        <v>0</v>
      </c>
      <c r="O3462" s="17"/>
      <c r="P3462" s="18">
        <v>42797.540879629625</v>
      </c>
      <c r="Q3462" s="7" t="s">
        <v>287</v>
      </c>
      <c r="R3462" s="7"/>
      <c r="S3462" s="8"/>
      <c r="T3462" s="8"/>
      <c r="U3462" s="19" t="str">
        <f>HYPERLINK("https://pbs.twimg.com/profile_images/1181884452278022146/aTTxImGB.jpg","View")</f>
        <v>View</v>
      </c>
      <c r="V3462" s="8"/>
      <c r="W3462" s="8"/>
      <c r="X3462" s="8"/>
      <c r="Y3462" s="8"/>
      <c r="Z3462" s="8"/>
    </row>
    <row r="3463" spans="1:26" ht="12.75">
      <c r="A3463" s="11">
        <v>43747.154062500005</v>
      </c>
      <c r="B3463" s="12" t="str">
        <f>HYPERLINK("https://twitter.com/Bubendegilmm","@Bubendegilmm")</f>
        <v>@Bubendegilmm</v>
      </c>
      <c r="C3463" s="7" t="s">
        <v>18991</v>
      </c>
      <c r="D3463" s="7" t="s">
        <v>18992</v>
      </c>
      <c r="E3463" s="12" t="str">
        <f>HYPERLINK("https://twitter.com/Bubendegilmm/status/1181882458192699392","1181882458192699392")</f>
        <v>1181882458192699392</v>
      </c>
      <c r="F3463" s="14" t="s">
        <v>2719</v>
      </c>
      <c r="G3463" s="14" t="s">
        <v>2720</v>
      </c>
      <c r="H3463" s="8"/>
      <c r="I3463" s="15">
        <v>0</v>
      </c>
      <c r="J3463" s="15">
        <v>0</v>
      </c>
      <c r="K3463" s="12" t="str">
        <f>HYPERLINK("https://mobile.twitter.com","Twitter Web App")</f>
        <v>Twitter Web App</v>
      </c>
      <c r="L3463" s="16">
        <v>97</v>
      </c>
      <c r="M3463" s="16">
        <v>200</v>
      </c>
      <c r="N3463" s="16">
        <v>0</v>
      </c>
      <c r="O3463" s="17"/>
      <c r="P3463" s="18">
        <v>42596.577372685184</v>
      </c>
      <c r="Q3463" s="7"/>
      <c r="R3463" s="7" t="s">
        <v>18993</v>
      </c>
      <c r="S3463" s="8"/>
      <c r="T3463" s="8"/>
      <c r="U3463" s="19" t="str">
        <f>HYPERLINK("https://pbs.twimg.com/profile_images/1167047960804372480/blovN7EQ.jpg","View")</f>
        <v>View</v>
      </c>
      <c r="V3463" s="8"/>
      <c r="W3463" s="8"/>
      <c r="X3463" s="8"/>
      <c r="Y3463" s="8"/>
      <c r="Z3463" s="8"/>
    </row>
    <row r="3464" spans="1:26" ht="12.75">
      <c r="A3464" s="11">
        <v>43747.153969907406</v>
      </c>
      <c r="B3464" s="12" t="str">
        <f>HYPERLINK("https://twitter.com/guccukaga_1907","@guccukaga_1907")</f>
        <v>@guccukaga_1907</v>
      </c>
      <c r="C3464" s="7" t="s">
        <v>18994</v>
      </c>
      <c r="D3464" s="7" t="s">
        <v>18995</v>
      </c>
      <c r="E3464" s="12" t="str">
        <f>HYPERLINK("https://twitter.com/guccukaga_1907/status/1181882424722100224","1181882424722100224")</f>
        <v>1181882424722100224</v>
      </c>
      <c r="F3464" s="8"/>
      <c r="G3464" s="14" t="s">
        <v>18996</v>
      </c>
      <c r="H3464" s="8"/>
      <c r="I3464" s="15">
        <v>0</v>
      </c>
      <c r="J3464" s="15">
        <v>11</v>
      </c>
      <c r="K3464" s="12" t="str">
        <f>HYPERLINK("http://twitter.com/download/android","Twitter for Android")</f>
        <v>Twitter for Android</v>
      </c>
      <c r="L3464" s="16">
        <v>568</v>
      </c>
      <c r="M3464" s="16">
        <v>654</v>
      </c>
      <c r="N3464" s="16">
        <v>2</v>
      </c>
      <c r="O3464" s="17"/>
      <c r="P3464" s="18">
        <v>43698.888981481483</v>
      </c>
      <c r="Q3464" s="7" t="s">
        <v>313</v>
      </c>
      <c r="R3464" s="7" t="s">
        <v>18997</v>
      </c>
      <c r="S3464" s="14" t="s">
        <v>18998</v>
      </c>
      <c r="T3464" s="8"/>
      <c r="U3464" s="19" t="str">
        <f>HYPERLINK("https://pbs.twimg.com/profile_images/1177831845658025984/T5VED7aJ.jpg","View")</f>
        <v>View</v>
      </c>
      <c r="V3464" s="8"/>
      <c r="W3464" s="8"/>
      <c r="X3464" s="8"/>
      <c r="Y3464" s="8"/>
      <c r="Z3464" s="8"/>
    </row>
    <row r="3465" spans="1:26" ht="12.75">
      <c r="A3465" s="11">
        <v>43747.153715277775</v>
      </c>
      <c r="B3465" s="12" t="str">
        <f>HYPERLINK("https://twitter.com/TcBeeerk","@TcBeeerk")</f>
        <v>@TcBeeerk</v>
      </c>
      <c r="C3465" s="7" t="s">
        <v>18999</v>
      </c>
      <c r="D3465" s="7" t="s">
        <v>160</v>
      </c>
      <c r="E3465" s="12" t="str">
        <f>HYPERLINK("https://twitter.com/TcBeeerk/status/1181882332388761600","1181882332388761600")</f>
        <v>1181882332388761600</v>
      </c>
      <c r="F3465" s="8"/>
      <c r="G3465" s="14" t="s">
        <v>19000</v>
      </c>
      <c r="H3465" s="8"/>
      <c r="I3465" s="15">
        <v>0</v>
      </c>
      <c r="J3465" s="15">
        <v>1</v>
      </c>
      <c r="K3465" s="12" t="str">
        <f>HYPERLINK("http://twitter.com/download/android","Twitter for Android")</f>
        <v>Twitter for Android</v>
      </c>
      <c r="L3465" s="16">
        <v>1</v>
      </c>
      <c r="M3465" s="16">
        <v>24</v>
      </c>
      <c r="N3465" s="16">
        <v>0</v>
      </c>
      <c r="O3465" s="17"/>
      <c r="P3465" s="18">
        <v>43745.148912037039</v>
      </c>
      <c r="Q3465" s="7"/>
      <c r="R3465" s="7"/>
      <c r="S3465" s="8"/>
      <c r="T3465" s="8"/>
      <c r="U3465" s="19" t="str">
        <f>HYPERLINK("https://pbs.twimg.com/profile_images/1181261359364952066/dxhInO2m.jpg","View")</f>
        <v>View</v>
      </c>
      <c r="V3465" s="8"/>
      <c r="W3465" s="8"/>
      <c r="X3465" s="8"/>
      <c r="Y3465" s="8"/>
      <c r="Z3465" s="8"/>
    </row>
    <row r="3466" spans="1:26" ht="12.75">
      <c r="A3466" s="11">
        <v>43747.153668981482</v>
      </c>
      <c r="B3466" s="12" t="str">
        <f>HYPERLINK("https://twitter.com/Ramazan_D38","@Ramazan_D38")</f>
        <v>@Ramazan_D38</v>
      </c>
      <c r="C3466" s="7" t="s">
        <v>19001</v>
      </c>
      <c r="D3466" s="7" t="s">
        <v>19002</v>
      </c>
      <c r="E3466" s="12" t="str">
        <f>HYPERLINK("https://twitter.com/Ramazan_D38/status/1181882319059275777","1181882319059275777")</f>
        <v>1181882319059275777</v>
      </c>
      <c r="F3466" s="14" t="s">
        <v>19003</v>
      </c>
      <c r="G3466" s="14" t="s">
        <v>19004</v>
      </c>
      <c r="H3466" s="8"/>
      <c r="I3466" s="15">
        <v>0</v>
      </c>
      <c r="J3466" s="15">
        <v>0</v>
      </c>
      <c r="K3466" s="12" t="str">
        <f>HYPERLINK("http://twitter.com/download/android","Twitter for Android")</f>
        <v>Twitter for Android</v>
      </c>
      <c r="L3466" s="16">
        <v>1229</v>
      </c>
      <c r="M3466" s="16">
        <v>1693</v>
      </c>
      <c r="N3466" s="16">
        <v>1</v>
      </c>
      <c r="O3466" s="17"/>
      <c r="P3466" s="18">
        <v>42767.03260416667</v>
      </c>
      <c r="Q3466" s="7" t="s">
        <v>19005</v>
      </c>
      <c r="R3466" s="7" t="s">
        <v>19006</v>
      </c>
      <c r="S3466" s="8"/>
      <c r="T3466" s="8"/>
      <c r="U3466" s="19" t="str">
        <f>HYPERLINK("https://pbs.twimg.com/profile_images/1179270842477240320/1xntS4PF.jpg","View")</f>
        <v>View</v>
      </c>
      <c r="V3466" s="8"/>
      <c r="W3466" s="8"/>
      <c r="X3466" s="8"/>
      <c r="Y3466" s="8"/>
      <c r="Z3466" s="8"/>
    </row>
    <row r="3467" spans="1:26" ht="12.75">
      <c r="A3467" s="11">
        <v>43747.153541666667</v>
      </c>
      <c r="B3467" s="12" t="str">
        <f>HYPERLINK("https://twitter.com/nevzatfidan18","@nevzatfidan18")</f>
        <v>@nevzatfidan18</v>
      </c>
      <c r="C3467" s="7" t="s">
        <v>19007</v>
      </c>
      <c r="D3467" s="7" t="s">
        <v>19008</v>
      </c>
      <c r="E3467" s="12" t="str">
        <f>HYPERLINK("https://twitter.com/nevzatfidan18/status/1181882273387483139","1181882273387483139")</f>
        <v>1181882273387483139</v>
      </c>
      <c r="F3467" s="8"/>
      <c r="G3467" s="14" t="s">
        <v>19009</v>
      </c>
      <c r="H3467" s="8"/>
      <c r="I3467" s="15">
        <v>0</v>
      </c>
      <c r="J3467" s="15">
        <v>0</v>
      </c>
      <c r="K3467" s="12" t="str">
        <f>HYPERLINK("http://twitter.com","Twitter Web Client")</f>
        <v>Twitter Web Client</v>
      </c>
      <c r="L3467" s="16">
        <v>3</v>
      </c>
      <c r="M3467" s="16">
        <v>0</v>
      </c>
      <c r="N3467" s="16">
        <v>0</v>
      </c>
      <c r="O3467" s="17"/>
      <c r="P3467" s="18">
        <v>43669.846956018519</v>
      </c>
      <c r="Q3467" s="7" t="s">
        <v>2201</v>
      </c>
      <c r="R3467" s="7" t="s">
        <v>19010</v>
      </c>
      <c r="S3467" s="8"/>
      <c r="T3467" s="8"/>
      <c r="U3467" s="19" t="str">
        <f>HYPERLINK("https://pbs.twimg.com/profile_images/1154293902217818112/9DVhQS0P.jpg","View")</f>
        <v>View</v>
      </c>
      <c r="V3467" s="8"/>
      <c r="W3467" s="8"/>
      <c r="X3467" s="8"/>
      <c r="Y3467" s="8"/>
      <c r="Z3467" s="8"/>
    </row>
    <row r="3468" spans="1:26" ht="12.75">
      <c r="A3468" s="11">
        <v>43747.153449074074</v>
      </c>
      <c r="B3468" s="12" t="str">
        <f>HYPERLINK("https://twitter.com/turkannecefoglu","@turkannecefoglu")</f>
        <v>@turkannecefoglu</v>
      </c>
      <c r="C3468" s="7" t="s">
        <v>19011</v>
      </c>
      <c r="D3468" s="7" t="s">
        <v>19012</v>
      </c>
      <c r="E3468" s="12" t="str">
        <f>HYPERLINK("https://twitter.com/turkannecefoglu/status/1181882239849816065","1181882239849816065")</f>
        <v>1181882239849816065</v>
      </c>
      <c r="F3468" s="8"/>
      <c r="G3468" s="14" t="s">
        <v>19013</v>
      </c>
      <c r="H3468" s="8"/>
      <c r="I3468" s="15">
        <v>0</v>
      </c>
      <c r="J3468" s="15">
        <v>0</v>
      </c>
      <c r="K3468" s="12" t="str">
        <f>HYPERLINK("http://twitter.com/download/android","Twitter for Android")</f>
        <v>Twitter for Android</v>
      </c>
      <c r="L3468" s="16">
        <v>41</v>
      </c>
      <c r="M3468" s="16">
        <v>201</v>
      </c>
      <c r="N3468" s="16">
        <v>0</v>
      </c>
      <c r="O3468" s="17"/>
      <c r="P3468" s="18">
        <v>42990.125833333332</v>
      </c>
      <c r="Q3468" s="7"/>
      <c r="R3468" s="7" t="s">
        <v>19014</v>
      </c>
      <c r="S3468" s="8"/>
      <c r="T3468" s="8"/>
      <c r="U3468" s="19" t="str">
        <f>HYPERLINK("https://pbs.twimg.com/profile_images/1171881639913373697/AVL8twZd.jpg","View")</f>
        <v>View</v>
      </c>
      <c r="V3468" s="8"/>
      <c r="W3468" s="8"/>
      <c r="X3468" s="8"/>
      <c r="Y3468" s="8"/>
      <c r="Z3468" s="8"/>
    </row>
    <row r="3469" spans="1:26" ht="12.75">
      <c r="A3469" s="11">
        <v>43747.153449074074</v>
      </c>
      <c r="B3469" s="12" t="str">
        <f>HYPERLINK("https://twitter.com/_eGeMeN_TURK_","@_eGeMeN_TURK_")</f>
        <v>@_eGeMeN_TURK_</v>
      </c>
      <c r="C3469" s="7" t="s">
        <v>807</v>
      </c>
      <c r="D3469" s="7" t="s">
        <v>19015</v>
      </c>
      <c r="E3469" s="12" t="str">
        <f>HYPERLINK("https://twitter.com/_eGeMeN_TURK_/status/1181882236704047110","1181882236704047110")</f>
        <v>1181882236704047110</v>
      </c>
      <c r="F3469" s="8"/>
      <c r="G3469" s="14" t="s">
        <v>19016</v>
      </c>
      <c r="H3469" s="8"/>
      <c r="I3469" s="15">
        <v>7</v>
      </c>
      <c r="J3469" s="15">
        <v>38</v>
      </c>
      <c r="K3469" s="12" t="str">
        <f>HYPERLINK("http://twitter.com/download/android","Twitter for Android")</f>
        <v>Twitter for Android</v>
      </c>
      <c r="L3469" s="16">
        <v>460</v>
      </c>
      <c r="M3469" s="16">
        <v>208</v>
      </c>
      <c r="N3469" s="16">
        <v>5</v>
      </c>
      <c r="O3469" s="17"/>
      <c r="P3469" s="18">
        <v>43531.464768518519</v>
      </c>
      <c r="Q3469" s="7" t="s">
        <v>19017</v>
      </c>
      <c r="R3469" s="7" t="s">
        <v>19018</v>
      </c>
      <c r="S3469" s="8"/>
      <c r="T3469" s="8"/>
      <c r="U3469" s="19" t="str">
        <f>HYPERLINK("https://pbs.twimg.com/profile_images/1175685304059146240/oQFv1cYQ.jpg","View")</f>
        <v>View</v>
      </c>
      <c r="V3469" s="8"/>
      <c r="W3469" s="8"/>
      <c r="X3469" s="8"/>
      <c r="Y3469" s="8"/>
      <c r="Z3469" s="8"/>
    </row>
    <row r="3470" spans="1:26" ht="12.75">
      <c r="A3470" s="11">
        <v>43747.153437500005</v>
      </c>
      <c r="B3470" s="12" t="str">
        <f>HYPERLINK("https://twitter.com/matizadaaam","@matizadaaam")</f>
        <v>@matizadaaam</v>
      </c>
      <c r="C3470" s="7" t="s">
        <v>19019</v>
      </c>
      <c r="D3470" s="7" t="s">
        <v>19020</v>
      </c>
      <c r="E3470" s="12" t="str">
        <f>HYPERLINK("https://twitter.com/matizadaaam/status/1181882234460090368","1181882234460090368")</f>
        <v>1181882234460090368</v>
      </c>
      <c r="F3470" s="8"/>
      <c r="G3470" s="7"/>
      <c r="H3470" s="8"/>
      <c r="I3470" s="15">
        <v>0</v>
      </c>
      <c r="J3470" s="15">
        <v>1</v>
      </c>
      <c r="K3470" s="12" t="str">
        <f>HYPERLINK("http://twitter.com/download/iphone","Twitter for iPhone")</f>
        <v>Twitter for iPhone</v>
      </c>
      <c r="L3470" s="16">
        <v>5</v>
      </c>
      <c r="M3470" s="16">
        <v>35</v>
      </c>
      <c r="N3470" s="16">
        <v>0</v>
      </c>
      <c r="O3470" s="17"/>
      <c r="P3470" s="18">
        <v>43569.738761574074</v>
      </c>
      <c r="Q3470" s="7" t="s">
        <v>313</v>
      </c>
      <c r="R3470" s="7" t="s">
        <v>19021</v>
      </c>
      <c r="S3470" s="8"/>
      <c r="T3470" s="8"/>
      <c r="U3470" s="19" t="str">
        <f>HYPERLINK("https://pbs.twimg.com/profile_images/1158082689750183942/LkCvaw4V.jpg","View")</f>
        <v>View</v>
      </c>
      <c r="V3470" s="8"/>
      <c r="W3470" s="8"/>
      <c r="X3470" s="8"/>
      <c r="Y3470" s="8"/>
      <c r="Z3470" s="8"/>
    </row>
    <row r="3471" spans="1:26" ht="12.75">
      <c r="A3471" s="11">
        <v>43747.153402777782</v>
      </c>
      <c r="B3471" s="12" t="str">
        <f>HYPERLINK("https://twitter.com/yasararic33","@yasararic33")</f>
        <v>@yasararic33</v>
      </c>
      <c r="C3471" s="7" t="s">
        <v>19022</v>
      </c>
      <c r="D3471" s="7" t="s">
        <v>291</v>
      </c>
      <c r="E3471" s="12" t="str">
        <f>HYPERLINK("https://twitter.com/yasararic33/status/1181882222950916097","1181882222950916097")</f>
        <v>1181882222950916097</v>
      </c>
      <c r="F3471" s="8"/>
      <c r="G3471" s="14" t="s">
        <v>19023</v>
      </c>
      <c r="H3471" s="8"/>
      <c r="I3471" s="15">
        <v>0</v>
      </c>
      <c r="J3471" s="15">
        <v>0</v>
      </c>
      <c r="K3471" s="12" t="str">
        <f>HYPERLINK("http://twitter.com/download/android","Twitter for Android")</f>
        <v>Twitter for Android</v>
      </c>
      <c r="L3471" s="16">
        <v>95</v>
      </c>
      <c r="M3471" s="16">
        <v>220</v>
      </c>
      <c r="N3471" s="16">
        <v>0</v>
      </c>
      <c r="O3471" s="17"/>
      <c r="P3471" s="18">
        <v>42997.11445601852</v>
      </c>
      <c r="Q3471" s="7" t="s">
        <v>1150</v>
      </c>
      <c r="R3471" s="7" t="s">
        <v>19024</v>
      </c>
      <c r="S3471" s="14" t="s">
        <v>19025</v>
      </c>
      <c r="T3471" s="8"/>
      <c r="U3471" s="19" t="str">
        <f>HYPERLINK("https://pbs.twimg.com/profile_images/1151203816173428736/rxME2UIQ.jpg","View")</f>
        <v>View</v>
      </c>
      <c r="V3471" s="8"/>
      <c r="W3471" s="8"/>
      <c r="X3471" s="8"/>
      <c r="Y3471" s="8"/>
      <c r="Z3471" s="8"/>
    </row>
    <row r="3472" spans="1:26" ht="12.75">
      <c r="A3472" s="11">
        <v>43747.153368055559</v>
      </c>
      <c r="B3472" s="12" t="str">
        <f>HYPERLINK("https://twitter.com/zahir_baran","@zahir_baran")</f>
        <v>@zahir_baran</v>
      </c>
      <c r="C3472" s="7" t="s">
        <v>19026</v>
      </c>
      <c r="D3472" s="7" t="s">
        <v>19027</v>
      </c>
      <c r="E3472" s="12" t="str">
        <f>HYPERLINK("https://twitter.com/zahir_baran/status/1181882208921030656","1181882208921030656")</f>
        <v>1181882208921030656</v>
      </c>
      <c r="F3472" s="8"/>
      <c r="G3472" s="14" t="s">
        <v>19028</v>
      </c>
      <c r="H3472" s="8"/>
      <c r="I3472" s="15">
        <v>0</v>
      </c>
      <c r="J3472" s="15">
        <v>7</v>
      </c>
      <c r="K3472" s="12" t="str">
        <f>HYPERLINK("http://twitter.com/download/android","Twitter for Android")</f>
        <v>Twitter for Android</v>
      </c>
      <c r="L3472" s="16">
        <v>1172</v>
      </c>
      <c r="M3472" s="16">
        <v>1117</v>
      </c>
      <c r="N3472" s="16">
        <v>1</v>
      </c>
      <c r="O3472" s="17"/>
      <c r="P3472" s="18">
        <v>42710.614479166667</v>
      </c>
      <c r="Q3472" s="7" t="s">
        <v>313</v>
      </c>
      <c r="R3472" s="7" t="s">
        <v>19029</v>
      </c>
      <c r="S3472" s="15"/>
      <c r="T3472" s="8"/>
      <c r="U3472" s="19" t="str">
        <f>HYPERLINK("https://pbs.twimg.com/profile_images/1119969889203236864/NDFChDcL.jpg","View")</f>
        <v>View</v>
      </c>
      <c r="V3472" s="8"/>
      <c r="W3472" s="8"/>
      <c r="X3472" s="8"/>
      <c r="Y3472" s="8"/>
      <c r="Z3472" s="8"/>
    </row>
    <row r="3473" spans="1:26" ht="12.75">
      <c r="A3473" s="11">
        <v>43747.153368055559</v>
      </c>
      <c r="B3473" s="12" t="str">
        <f>HYPERLINK("https://twitter.com/woxferr","@woxferr")</f>
        <v>@woxferr</v>
      </c>
      <c r="C3473" s="7" t="s">
        <v>19030</v>
      </c>
      <c r="D3473" s="7" t="s">
        <v>160</v>
      </c>
      <c r="E3473" s="12" t="str">
        <f>HYPERLINK("https://twitter.com/woxferr/status/1181882208870641664","1181882208870641664")</f>
        <v>1181882208870641664</v>
      </c>
      <c r="F3473" s="8"/>
      <c r="G3473" s="14" t="s">
        <v>19031</v>
      </c>
      <c r="H3473" s="8"/>
      <c r="I3473" s="15">
        <v>0</v>
      </c>
      <c r="J3473" s="15">
        <v>1</v>
      </c>
      <c r="K3473" s="12" t="str">
        <f>HYPERLINK("http://twitter.com/download/android","Twitter for Android")</f>
        <v>Twitter for Android</v>
      </c>
      <c r="L3473" s="16">
        <v>81</v>
      </c>
      <c r="M3473" s="16">
        <v>558</v>
      </c>
      <c r="N3473" s="16">
        <v>0</v>
      </c>
      <c r="O3473" s="17"/>
      <c r="P3473" s="18">
        <v>42227.620162037041</v>
      </c>
      <c r="Q3473" s="7" t="s">
        <v>313</v>
      </c>
      <c r="R3473" s="7" t="s">
        <v>19032</v>
      </c>
      <c r="S3473" s="14" t="s">
        <v>19033</v>
      </c>
      <c r="T3473" s="8"/>
      <c r="U3473" s="19" t="str">
        <f>HYPERLINK("https://pbs.twimg.com/profile_images/1107910061198884865/l_ckviOd.jpg","View")</f>
        <v>View</v>
      </c>
      <c r="V3473" s="8"/>
      <c r="W3473" s="8"/>
      <c r="X3473" s="8"/>
      <c r="Y3473" s="8"/>
      <c r="Z3473" s="8"/>
    </row>
    <row r="3474" spans="1:26" ht="12.75">
      <c r="A3474" s="11">
        <v>43747.153356481482</v>
      </c>
      <c r="B3474" s="12" t="str">
        <f>HYPERLINK("https://twitter.com/Emreeatsz","@Emreeatsz")</f>
        <v>@Emreeatsz</v>
      </c>
      <c r="C3474" s="7" t="s">
        <v>19034</v>
      </c>
      <c r="D3474" s="7" t="s">
        <v>19035</v>
      </c>
      <c r="E3474" s="12" t="str">
        <f>HYPERLINK("https://twitter.com/Emreeatsz/status/1181882202499506177","1181882202499506177")</f>
        <v>1181882202499506177</v>
      </c>
      <c r="F3474" s="8"/>
      <c r="G3474" s="14" t="s">
        <v>19036</v>
      </c>
      <c r="H3474" s="8"/>
      <c r="I3474" s="15">
        <v>0</v>
      </c>
      <c r="J3474" s="15">
        <v>6</v>
      </c>
      <c r="K3474" s="12" t="str">
        <f>HYPERLINK("http://twitter.com/download/android","Twitter for Android")</f>
        <v>Twitter for Android</v>
      </c>
      <c r="L3474" s="16">
        <v>252</v>
      </c>
      <c r="M3474" s="16">
        <v>176</v>
      </c>
      <c r="N3474" s="16">
        <v>2</v>
      </c>
      <c r="O3474" s="17"/>
      <c r="P3474" s="18">
        <v>43022.573900462958</v>
      </c>
      <c r="Q3474" s="7" t="s">
        <v>1639</v>
      </c>
      <c r="R3474" s="7">
        <v>28.06</v>
      </c>
      <c r="S3474" s="8"/>
      <c r="T3474" s="8"/>
      <c r="U3474" s="19" t="str">
        <f>HYPERLINK("https://pbs.twimg.com/profile_images/1141108111798874117/LQg9Mros.jpg","View")</f>
        <v>View</v>
      </c>
      <c r="V3474" s="8"/>
      <c r="W3474" s="8"/>
      <c r="X3474" s="8"/>
      <c r="Y3474" s="8"/>
      <c r="Z3474" s="8"/>
    </row>
    <row r="3475" spans="1:26" ht="12.75">
      <c r="A3475" s="11">
        <v>43747.153310185182</v>
      </c>
      <c r="B3475" s="12" t="str">
        <f>HYPERLINK("https://twitter.com/oporphi","@oporphi")</f>
        <v>@oporphi</v>
      </c>
      <c r="C3475" s="7" t="s">
        <v>19037</v>
      </c>
      <c r="D3475" s="7" t="s">
        <v>160</v>
      </c>
      <c r="E3475" s="12" t="str">
        <f>HYPERLINK("https://twitter.com/oporphi/status/1181882187580366848","1181882187580366848")</f>
        <v>1181882187580366848</v>
      </c>
      <c r="F3475" s="15"/>
      <c r="G3475" s="14" t="s">
        <v>19038</v>
      </c>
      <c r="H3475" s="8"/>
      <c r="I3475" s="15">
        <v>0</v>
      </c>
      <c r="J3475" s="15">
        <v>0</v>
      </c>
      <c r="K3475" s="12" t="str">
        <f>HYPERLINK("http://twitter.com/download/android","Twitter for Android")</f>
        <v>Twitter for Android</v>
      </c>
      <c r="L3475" s="16">
        <v>7</v>
      </c>
      <c r="M3475" s="16">
        <v>128</v>
      </c>
      <c r="N3475" s="16">
        <v>0</v>
      </c>
      <c r="O3475" s="17"/>
      <c r="P3475" s="18">
        <v>43607.892326388886</v>
      </c>
      <c r="Q3475" s="7"/>
      <c r="R3475" s="7"/>
      <c r="S3475" s="15"/>
      <c r="T3475" s="8"/>
      <c r="U3475" s="19" t="str">
        <f>HYPERLINK("https://pbs.twimg.com/profile_images/1175870976376152064/xI1NjS0B.jpg","View")</f>
        <v>View</v>
      </c>
      <c r="V3475" s="8"/>
      <c r="W3475" s="8"/>
      <c r="X3475" s="8"/>
      <c r="Y3475" s="8"/>
      <c r="Z3475" s="8"/>
    </row>
    <row r="3476" spans="1:26" ht="12.75">
      <c r="A3476" s="11">
        <v>43747.153287037036</v>
      </c>
      <c r="B3476" s="12" t="str">
        <f>HYPERLINK("https://twitter.com/OmerKorkmaz97","@OmerKorkmaz97")</f>
        <v>@OmerKorkmaz97</v>
      </c>
      <c r="C3476" s="7" t="s">
        <v>19039</v>
      </c>
      <c r="D3476" s="7" t="s">
        <v>19040</v>
      </c>
      <c r="E3476" s="12" t="str">
        <f>HYPERLINK("https://twitter.com/OmerKorkmaz97/status/1181882179653132288","1181882179653132288")</f>
        <v>1181882179653132288</v>
      </c>
      <c r="F3476" s="15"/>
      <c r="G3476" s="14" t="s">
        <v>19041</v>
      </c>
      <c r="H3476" s="8"/>
      <c r="I3476" s="15">
        <v>0</v>
      </c>
      <c r="J3476" s="15">
        <v>0</v>
      </c>
      <c r="K3476" s="12" t="str">
        <f>HYPERLINK("http://twitter.com/download/iphone","Twitter for iPhone")</f>
        <v>Twitter for iPhone</v>
      </c>
      <c r="L3476" s="16">
        <v>27</v>
      </c>
      <c r="M3476" s="16">
        <v>38</v>
      </c>
      <c r="N3476" s="16">
        <v>0</v>
      </c>
      <c r="O3476" s="17"/>
      <c r="P3476" s="18">
        <v>43526.593645833331</v>
      </c>
      <c r="Q3476" s="7" t="s">
        <v>252</v>
      </c>
      <c r="R3476" s="7" t="s">
        <v>19042</v>
      </c>
      <c r="S3476" s="15"/>
      <c r="T3476" s="8"/>
      <c r="U3476" s="19" t="str">
        <f>HYPERLINK("https://pbs.twimg.com/profile_images/1134911932471881728/eS4pqhcQ.jpg","View")</f>
        <v>View</v>
      </c>
      <c r="V3476" s="8"/>
      <c r="W3476" s="8"/>
      <c r="X3476" s="8"/>
      <c r="Y3476" s="8"/>
      <c r="Z3476" s="8"/>
    </row>
    <row r="3477" spans="1:26" ht="12.75">
      <c r="A3477" s="11">
        <v>43747.153113425928</v>
      </c>
      <c r="B3477" s="12" t="str">
        <f>HYPERLINK("https://twitter.com/betulbetultrz","@betulbetultrz")</f>
        <v>@betulbetultrz</v>
      </c>
      <c r="C3477" s="7" t="s">
        <v>19044</v>
      </c>
      <c r="D3477" s="7" t="s">
        <v>19045</v>
      </c>
      <c r="E3477" s="12" t="str">
        <f>HYPERLINK("https://twitter.com/betulbetultrz/status/1181882115161513985","1181882115161513985")</f>
        <v>1181882115161513985</v>
      </c>
      <c r="F3477" s="8"/>
      <c r="G3477" s="14" t="s">
        <v>19046</v>
      </c>
      <c r="H3477" s="8"/>
      <c r="I3477" s="15">
        <v>0</v>
      </c>
      <c r="J3477" s="15">
        <v>3</v>
      </c>
      <c r="K3477" s="12" t="str">
        <f>HYPERLINK("http://twitter.com/download/android","Twitter for Android")</f>
        <v>Twitter for Android</v>
      </c>
      <c r="L3477" s="16">
        <v>30</v>
      </c>
      <c r="M3477" s="16">
        <v>57</v>
      </c>
      <c r="N3477" s="16">
        <v>0</v>
      </c>
      <c r="O3477" s="17"/>
      <c r="P3477" s="18">
        <v>42538.991319444445</v>
      </c>
      <c r="Q3477" s="7" t="s">
        <v>4449</v>
      </c>
      <c r="R3477" s="7" t="s">
        <v>19047</v>
      </c>
      <c r="S3477" s="8"/>
      <c r="T3477" s="8"/>
      <c r="U3477" s="19" t="str">
        <f>HYPERLINK("https://pbs.twimg.com/profile_images/1171657946767536129/6e4zyoyd.jpg","View")</f>
        <v>View</v>
      </c>
      <c r="V3477" s="8"/>
      <c r="W3477" s="8"/>
      <c r="X3477" s="8"/>
      <c r="Y3477" s="8"/>
      <c r="Z3477" s="8"/>
    </row>
    <row r="3478" spans="1:26" ht="12.75">
      <c r="A3478" s="11">
        <v>43747.153113425928</v>
      </c>
      <c r="B3478" s="12" t="str">
        <f>HYPERLINK("https://twitter.com/fth_akpinar","@fth_akpinar")</f>
        <v>@fth_akpinar</v>
      </c>
      <c r="C3478" s="7" t="s">
        <v>19048</v>
      </c>
      <c r="D3478" s="7" t="s">
        <v>19049</v>
      </c>
      <c r="E3478" s="12" t="str">
        <f>HYPERLINK("https://twitter.com/fth_akpinar/status/1181882114758840320","1181882114758840320")</f>
        <v>1181882114758840320</v>
      </c>
      <c r="F3478" s="8"/>
      <c r="G3478" s="15"/>
      <c r="H3478" s="8"/>
      <c r="I3478" s="15">
        <v>0</v>
      </c>
      <c r="J3478" s="15">
        <v>0</v>
      </c>
      <c r="K3478" s="12" t="str">
        <f>HYPERLINK("https://mobile.twitter.com","Twitter Web App")</f>
        <v>Twitter Web App</v>
      </c>
      <c r="L3478" s="16">
        <v>104</v>
      </c>
      <c r="M3478" s="16">
        <v>100</v>
      </c>
      <c r="N3478" s="16">
        <v>1</v>
      </c>
      <c r="O3478" s="17"/>
      <c r="P3478" s="18">
        <v>40943.397893518515</v>
      </c>
      <c r="Q3478" s="7"/>
      <c r="R3478" s="7"/>
      <c r="S3478" s="15"/>
      <c r="T3478" s="8"/>
      <c r="U3478" s="19" t="str">
        <f>HYPERLINK("https://pbs.twimg.com/profile_images/858475226228822016/E9eUEnwA.jpg","View")</f>
        <v>View</v>
      </c>
      <c r="V3478" s="8"/>
      <c r="W3478" s="8"/>
      <c r="X3478" s="8"/>
      <c r="Y3478" s="8"/>
      <c r="Z3478" s="8"/>
    </row>
    <row r="3479" spans="1:26" ht="12.75">
      <c r="A3479" s="11">
        <v>43747.153067129635</v>
      </c>
      <c r="B3479" s="12" t="str">
        <f>HYPERLINK("https://twitter.com/Halil_Ersoz","@Halil_Ersoz")</f>
        <v>@Halil_Ersoz</v>
      </c>
      <c r="C3479" s="7" t="s">
        <v>19050</v>
      </c>
      <c r="D3479" s="7" t="s">
        <v>19051</v>
      </c>
      <c r="E3479" s="12" t="str">
        <f>HYPERLINK("https://twitter.com/Halil_Ersoz/status/1181882098493333505","1181882098493333505")</f>
        <v>1181882098493333505</v>
      </c>
      <c r="F3479" s="8"/>
      <c r="G3479" s="15"/>
      <c r="H3479" s="8"/>
      <c r="I3479" s="15">
        <v>0</v>
      </c>
      <c r="J3479" s="15">
        <v>1</v>
      </c>
      <c r="K3479" s="12" t="str">
        <f>HYPERLINK("https://mobile.twitter.com","Twitter Web App")</f>
        <v>Twitter Web App</v>
      </c>
      <c r="L3479" s="16">
        <v>185</v>
      </c>
      <c r="M3479" s="16">
        <v>65</v>
      </c>
      <c r="N3479" s="16">
        <v>0</v>
      </c>
      <c r="O3479" s="17"/>
      <c r="P3479" s="18">
        <v>40831.068009259259</v>
      </c>
      <c r="Q3479" s="7" t="s">
        <v>200</v>
      </c>
      <c r="R3479" s="7" t="s">
        <v>19052</v>
      </c>
      <c r="S3479" s="8"/>
      <c r="T3479" s="8"/>
      <c r="U3479" s="19" t="str">
        <f>HYPERLINK("https://pbs.twimg.com/profile_images/457544499565035520/i5fbHwvj.png","View")</f>
        <v>View</v>
      </c>
      <c r="V3479" s="8"/>
      <c r="W3479" s="8"/>
      <c r="X3479" s="8"/>
      <c r="Y3479" s="8"/>
      <c r="Z3479" s="8"/>
    </row>
    <row r="3480" spans="1:26" ht="12.75">
      <c r="A3480" s="11">
        <v>43747.152962962966</v>
      </c>
      <c r="B3480" s="12" t="str">
        <f>HYPERLINK("https://twitter.com/bilgeloy","@bilgeloy")</f>
        <v>@bilgeloy</v>
      </c>
      <c r="C3480" s="7" t="s">
        <v>19053</v>
      </c>
      <c r="D3480" s="7" t="s">
        <v>19054</v>
      </c>
      <c r="E3480" s="12" t="str">
        <f>HYPERLINK("https://twitter.com/bilgeloy/status/1181882063496069121","1181882063496069121")</f>
        <v>1181882063496069121</v>
      </c>
      <c r="F3480" s="8"/>
      <c r="G3480" s="14" t="s">
        <v>19055</v>
      </c>
      <c r="H3480" s="8"/>
      <c r="I3480" s="15">
        <v>0</v>
      </c>
      <c r="J3480" s="15">
        <v>5</v>
      </c>
      <c r="K3480" s="12" t="str">
        <f>HYPERLINK("https://mobile.twitter.com","Twitter Web App")</f>
        <v>Twitter Web App</v>
      </c>
      <c r="L3480" s="16">
        <v>149</v>
      </c>
      <c r="M3480" s="16">
        <v>101</v>
      </c>
      <c r="N3480" s="16">
        <v>0</v>
      </c>
      <c r="O3480" s="17"/>
      <c r="P3480" s="18">
        <v>43255.457800925928</v>
      </c>
      <c r="Q3480" s="7" t="s">
        <v>19056</v>
      </c>
      <c r="R3480" s="7" t="s">
        <v>19057</v>
      </c>
      <c r="S3480" s="8"/>
      <c r="T3480" s="8"/>
      <c r="U3480" s="19" t="str">
        <f>HYPERLINK("https://pbs.twimg.com/profile_images/1181451455598862336/67Up9hOT.jpg","View")</f>
        <v>View</v>
      </c>
      <c r="V3480" s="8"/>
      <c r="W3480" s="8"/>
      <c r="X3480" s="8"/>
      <c r="Y3480" s="8"/>
      <c r="Z3480" s="8"/>
    </row>
    <row r="3481" spans="1:26" ht="12.75">
      <c r="A3481" s="11">
        <v>43747.152951388889</v>
      </c>
      <c r="B3481" s="12" t="str">
        <f>HYPERLINK("https://twitter.com/Haydar23246986","@Haydar23246986")</f>
        <v>@Haydar23246986</v>
      </c>
      <c r="C3481" s="7" t="s">
        <v>19058</v>
      </c>
      <c r="D3481" s="7" t="s">
        <v>19059</v>
      </c>
      <c r="E3481" s="12" t="str">
        <f>HYPERLINK("https://twitter.com/Haydar23246986/status/1181882056982384641","1181882056982384641")</f>
        <v>1181882056982384641</v>
      </c>
      <c r="F3481" s="8"/>
      <c r="G3481" s="15"/>
      <c r="H3481" s="8"/>
      <c r="I3481" s="15">
        <v>0</v>
      </c>
      <c r="J3481" s="15">
        <v>0</v>
      </c>
      <c r="K3481" s="12" t="str">
        <f>HYPERLINK("http://twitter.com/download/android","Twitter for Android")</f>
        <v>Twitter for Android</v>
      </c>
      <c r="L3481" s="16">
        <v>1</v>
      </c>
      <c r="M3481" s="16">
        <v>11</v>
      </c>
      <c r="N3481" s="16">
        <v>0</v>
      </c>
      <c r="O3481" s="17"/>
      <c r="P3481" s="18">
        <v>43317.980775462958</v>
      </c>
      <c r="Q3481" s="7"/>
      <c r="R3481" s="7"/>
      <c r="S3481" s="15"/>
      <c r="T3481" s="8"/>
      <c r="U3481" s="19" t="str">
        <f>HYPERLINK("https://pbs.twimg.com/profile_images/1026355790930694144/j7C1FRbU.jpg","View")</f>
        <v>View</v>
      </c>
      <c r="V3481" s="8"/>
      <c r="W3481" s="8"/>
      <c r="X3481" s="8"/>
      <c r="Y3481" s="8"/>
      <c r="Z3481" s="8"/>
    </row>
    <row r="3482" spans="1:26" ht="12.75">
      <c r="A3482" s="11">
        <v>43747.152905092589</v>
      </c>
      <c r="B3482" s="12" t="str">
        <f>HYPERLINK("https://twitter.com/huma_ozgur","@huma_ozgur")</f>
        <v>@huma_ozgur</v>
      </c>
      <c r="C3482" s="7" t="s">
        <v>19060</v>
      </c>
      <c r="D3482" s="7" t="s">
        <v>19061</v>
      </c>
      <c r="E3482" s="12" t="str">
        <f>HYPERLINK("https://twitter.com/huma_ozgur/status/1181882040452620289","1181882040452620289")</f>
        <v>1181882040452620289</v>
      </c>
      <c r="F3482" s="8"/>
      <c r="G3482" s="15"/>
      <c r="H3482" s="8"/>
      <c r="I3482" s="15">
        <v>0</v>
      </c>
      <c r="J3482" s="15">
        <v>0</v>
      </c>
      <c r="K3482" s="12" t="str">
        <f>HYPERLINK("http://twitter.com/download/android","Twitter for Android")</f>
        <v>Twitter for Android</v>
      </c>
      <c r="L3482" s="16">
        <v>288</v>
      </c>
      <c r="M3482" s="16">
        <v>33</v>
      </c>
      <c r="N3482" s="16">
        <v>2</v>
      </c>
      <c r="O3482" s="17"/>
      <c r="P3482" s="18">
        <v>42880.38181712963</v>
      </c>
      <c r="Q3482" s="7"/>
      <c r="R3482" s="7" t="s">
        <v>19062</v>
      </c>
      <c r="S3482" s="8"/>
      <c r="T3482" s="8"/>
      <c r="U3482" s="19" t="str">
        <f>HYPERLINK("https://pbs.twimg.com/profile_images/1181541565753372673/OXGdlAji.jpg","View")</f>
        <v>View</v>
      </c>
      <c r="V3482" s="8"/>
      <c r="W3482" s="8"/>
      <c r="X3482" s="8"/>
      <c r="Y3482" s="8"/>
      <c r="Z3482" s="8"/>
    </row>
    <row r="3483" spans="1:26" ht="12.75">
      <c r="A3483" s="11">
        <v>43747.152835648143</v>
      </c>
      <c r="B3483" s="12" t="str">
        <f>HYPERLINK("https://twitter.com/ALokmaoglu","@ALokmaoglu")</f>
        <v>@ALokmaoglu</v>
      </c>
      <c r="C3483" s="7" t="s">
        <v>19063</v>
      </c>
      <c r="D3483" s="7" t="s">
        <v>19064</v>
      </c>
      <c r="E3483" s="12" t="str">
        <f>HYPERLINK("https://twitter.com/ALokmaoglu/status/1181882015228055552","1181882015228055552")</f>
        <v>1181882015228055552</v>
      </c>
      <c r="F3483" s="8"/>
      <c r="G3483" s="14" t="s">
        <v>19065</v>
      </c>
      <c r="H3483" s="8"/>
      <c r="I3483" s="15">
        <v>0</v>
      </c>
      <c r="J3483" s="15">
        <v>1</v>
      </c>
      <c r="K3483" s="12" t="str">
        <f>HYPERLINK("http://twitter.com","Twitter Web Client")</f>
        <v>Twitter Web Client</v>
      </c>
      <c r="L3483" s="16">
        <v>6</v>
      </c>
      <c r="M3483" s="16">
        <v>0</v>
      </c>
      <c r="N3483" s="16">
        <v>0</v>
      </c>
      <c r="O3483" s="17"/>
      <c r="P3483" s="18">
        <v>43668.967372685191</v>
      </c>
      <c r="Q3483" s="7" t="s">
        <v>13956</v>
      </c>
      <c r="R3483" s="7" t="s">
        <v>19066</v>
      </c>
      <c r="S3483" s="15"/>
      <c r="T3483" s="8"/>
      <c r="U3483" s="19" t="str">
        <f>HYPERLINK("https://pbs.twimg.com/profile_images/1153754899236171777/p00DIhYT.jpg","View")</f>
        <v>View</v>
      </c>
      <c r="V3483" s="8"/>
      <c r="W3483" s="8"/>
      <c r="X3483" s="8"/>
      <c r="Y3483" s="8"/>
      <c r="Z3483" s="8"/>
    </row>
    <row r="3484" spans="1:26" ht="12.75">
      <c r="A3484" s="11">
        <v>43747.152789351851</v>
      </c>
      <c r="B3484" s="12" t="str">
        <f>HYPERLINK("https://twitter.com/DelibaltaGokce","@DelibaltaGokce")</f>
        <v>@DelibaltaGokce</v>
      </c>
      <c r="C3484" s="7" t="s">
        <v>19067</v>
      </c>
      <c r="D3484" s="7" t="s">
        <v>19068</v>
      </c>
      <c r="E3484" s="12" t="str">
        <f>HYPERLINK("https://twitter.com/DelibaltaGokce/status/1181881997813260290","1181881997813260290")</f>
        <v>1181881997813260290</v>
      </c>
      <c r="F3484" s="15"/>
      <c r="G3484" s="14" t="s">
        <v>19069</v>
      </c>
      <c r="H3484" s="8"/>
      <c r="I3484" s="15">
        <v>0</v>
      </c>
      <c r="J3484" s="15">
        <v>3</v>
      </c>
      <c r="K3484" s="12" t="str">
        <f>HYPERLINK("http://twitter.com/download/android","Twitter for Android")</f>
        <v>Twitter for Android</v>
      </c>
      <c r="L3484" s="16">
        <v>192</v>
      </c>
      <c r="M3484" s="16">
        <v>187</v>
      </c>
      <c r="N3484" s="16">
        <v>1</v>
      </c>
      <c r="O3484" s="17"/>
      <c r="P3484" s="18">
        <v>42893.123935185184</v>
      </c>
      <c r="Q3484" s="7" t="s">
        <v>287</v>
      </c>
      <c r="R3484" s="7" t="s">
        <v>19070</v>
      </c>
      <c r="S3484" s="8"/>
      <c r="T3484" s="8"/>
      <c r="U3484" s="19" t="str">
        <f>HYPERLINK("https://pbs.twimg.com/profile_images/1173969772834373632/qKer_MOJ.jpg","View")</f>
        <v>View</v>
      </c>
      <c r="V3484" s="8"/>
      <c r="W3484" s="8"/>
      <c r="X3484" s="8"/>
      <c r="Y3484" s="8"/>
      <c r="Z3484" s="8"/>
    </row>
    <row r="3485" spans="1:26" ht="12.75">
      <c r="A3485" s="11">
        <v>43747.152754629627</v>
      </c>
      <c r="B3485" s="12" t="str">
        <f>HYPERLINK("https://twitter.com/MustafakemalC1","@MustafakemalC1")</f>
        <v>@MustafakemalC1</v>
      </c>
      <c r="C3485" s="7" t="s">
        <v>9560</v>
      </c>
      <c r="D3485" s="7" t="s">
        <v>19071</v>
      </c>
      <c r="E3485" s="12" t="str">
        <f>HYPERLINK("https://twitter.com/MustafakemalC1/status/1181881985708498944","1181881985708498944")</f>
        <v>1181881985708498944</v>
      </c>
      <c r="F3485" s="8"/>
      <c r="G3485" s="15"/>
      <c r="H3485" s="8"/>
      <c r="I3485" s="15">
        <v>0</v>
      </c>
      <c r="J3485" s="15">
        <v>1</v>
      </c>
      <c r="K3485" s="12" t="str">
        <f>HYPERLINK("http://twitter.com/download/android","Twitter for Android")</f>
        <v>Twitter for Android</v>
      </c>
      <c r="L3485" s="16">
        <v>42</v>
      </c>
      <c r="M3485" s="16">
        <v>61</v>
      </c>
      <c r="N3485" s="16">
        <v>0</v>
      </c>
      <c r="O3485" s="17"/>
      <c r="P3485" s="18">
        <v>43533.906655092593</v>
      </c>
      <c r="Q3485" s="7"/>
      <c r="R3485" s="7" t="s">
        <v>19072</v>
      </c>
      <c r="S3485" s="8"/>
      <c r="T3485" s="8"/>
      <c r="U3485" s="19" t="str">
        <f>HYPERLINK("https://pbs.twimg.com/profile_images/1162970204097384448/TVUMvRM7.jpg","View")</f>
        <v>View</v>
      </c>
      <c r="V3485" s="8"/>
      <c r="W3485" s="8"/>
      <c r="X3485" s="8"/>
      <c r="Y3485" s="8"/>
      <c r="Z3485" s="8"/>
    </row>
    <row r="3486" spans="1:26" ht="12.75">
      <c r="A3486" s="11">
        <v>43747.152743055558</v>
      </c>
      <c r="B3486" s="12" t="str">
        <f>HYPERLINK("https://twitter.com/Fenerkollik","@Fenerkollik")</f>
        <v>@Fenerkollik</v>
      </c>
      <c r="C3486" s="7" t="s">
        <v>19073</v>
      </c>
      <c r="D3486" s="7" t="s">
        <v>160</v>
      </c>
      <c r="E3486" s="12" t="str">
        <f>HYPERLINK("https://twitter.com/Fenerkollik/status/1181881982134960133","1181881982134960133")</f>
        <v>1181881982134960133</v>
      </c>
      <c r="F3486" s="8"/>
      <c r="G3486" s="7"/>
      <c r="H3486" s="8"/>
      <c r="I3486" s="15">
        <v>0</v>
      </c>
      <c r="J3486" s="15">
        <v>0</v>
      </c>
      <c r="K3486" s="12" t="str">
        <f>HYPERLINK("http://twitter.com/download/android","Twitter for Android")</f>
        <v>Twitter for Android</v>
      </c>
      <c r="L3486" s="16">
        <v>1339</v>
      </c>
      <c r="M3486" s="16">
        <v>802</v>
      </c>
      <c r="N3486" s="16">
        <v>14</v>
      </c>
      <c r="O3486" s="17"/>
      <c r="P3486" s="18">
        <v>40937.183124999996</v>
      </c>
      <c r="Q3486" s="7" t="s">
        <v>2765</v>
      </c>
      <c r="R3486" s="7" t="s">
        <v>19074</v>
      </c>
      <c r="S3486" s="8"/>
      <c r="T3486" s="8"/>
      <c r="U3486" s="19" t="str">
        <f>HYPERLINK("https://pbs.twimg.com/profile_images/1150053507392790533/y7RDMVEF.jpg","View")</f>
        <v>View</v>
      </c>
      <c r="V3486" s="8"/>
      <c r="W3486" s="8"/>
      <c r="X3486" s="8"/>
      <c r="Y3486" s="8"/>
      <c r="Z3486" s="8"/>
    </row>
    <row r="3487" spans="1:26" ht="12.75">
      <c r="A3487" s="11">
        <v>43747.152708333335</v>
      </c>
      <c r="B3487" s="12" t="str">
        <f>HYPERLINK("https://twitter.com/alperensahann","@alperensahann")</f>
        <v>@alperensahann</v>
      </c>
      <c r="C3487" s="7" t="s">
        <v>19075</v>
      </c>
      <c r="D3487" s="7" t="s">
        <v>160</v>
      </c>
      <c r="E3487" s="12" t="str">
        <f>HYPERLINK("https://twitter.com/alperensahann/status/1181881968365068289","1181881968365068289")</f>
        <v>1181881968365068289</v>
      </c>
      <c r="F3487" s="15"/>
      <c r="G3487" s="14" t="s">
        <v>19076</v>
      </c>
      <c r="H3487" s="8"/>
      <c r="I3487" s="15">
        <v>0</v>
      </c>
      <c r="J3487" s="15">
        <v>0</v>
      </c>
      <c r="K3487" s="12" t="str">
        <f>HYPERLINK("http://twitter.com/download/android","Twitter for Android")</f>
        <v>Twitter for Android</v>
      </c>
      <c r="L3487" s="16">
        <v>58</v>
      </c>
      <c r="M3487" s="16">
        <v>250</v>
      </c>
      <c r="N3487" s="16">
        <v>0</v>
      </c>
      <c r="O3487" s="17"/>
      <c r="P3487" s="18">
        <v>42577.011215277773</v>
      </c>
      <c r="Q3487" s="7"/>
      <c r="R3487" s="7"/>
      <c r="S3487" s="8"/>
      <c r="T3487" s="8"/>
      <c r="U3487" s="19" t="str">
        <f>HYPERLINK("https://pbs.twimg.com/profile_images/1178640733613559808/0M9SeocI.jpg","View")</f>
        <v>View</v>
      </c>
      <c r="V3487" s="8"/>
      <c r="W3487" s="8"/>
      <c r="X3487" s="8"/>
      <c r="Y3487" s="8"/>
      <c r="Z3487" s="8"/>
    </row>
    <row r="3488" spans="1:26" ht="12.75">
      <c r="A3488" s="11">
        <v>43747.152696759258</v>
      </c>
      <c r="B3488" s="12" t="str">
        <f>HYPERLINK("https://twitter.com/gunder_fatih","@gunder_fatih")</f>
        <v>@gunder_fatih</v>
      </c>
      <c r="C3488" s="7" t="s">
        <v>19077</v>
      </c>
      <c r="D3488" s="7" t="s">
        <v>160</v>
      </c>
      <c r="E3488" s="12" t="str">
        <f>HYPERLINK("https://twitter.com/gunder_fatih/status/1181881964002971648","1181881964002971648")</f>
        <v>1181881964002971648</v>
      </c>
      <c r="F3488" s="8"/>
      <c r="G3488" s="7"/>
      <c r="H3488" s="8"/>
      <c r="I3488" s="15">
        <v>0</v>
      </c>
      <c r="J3488" s="15">
        <v>0</v>
      </c>
      <c r="K3488" s="12" t="str">
        <f>HYPERLINK("http://twitter.com/download/iphone","Twitter for iPhone")</f>
        <v>Twitter for iPhone</v>
      </c>
      <c r="L3488" s="16">
        <v>2</v>
      </c>
      <c r="M3488" s="16">
        <v>5</v>
      </c>
      <c r="N3488" s="16">
        <v>0</v>
      </c>
      <c r="O3488" s="17"/>
      <c r="P3488" s="18">
        <v>43626.362222222218</v>
      </c>
      <c r="Q3488" s="7"/>
      <c r="R3488" s="7"/>
      <c r="S3488" s="8"/>
      <c r="T3488" s="8"/>
      <c r="U3488" s="20" t="s">
        <v>354</v>
      </c>
      <c r="V3488" s="8"/>
      <c r="W3488" s="8"/>
      <c r="X3488" s="8"/>
      <c r="Y3488" s="8"/>
      <c r="Z3488" s="8"/>
    </row>
    <row r="3489" spans="1:26" ht="12.75">
      <c r="A3489" s="11">
        <v>43747.152662037042</v>
      </c>
      <c r="B3489" s="12" t="str">
        <f>HYPERLINK("https://twitter.com/emir_yrdm","@emir_yrdm")</f>
        <v>@emir_yrdm</v>
      </c>
      <c r="C3489" s="7" t="s">
        <v>19078</v>
      </c>
      <c r="D3489" s="7" t="s">
        <v>19079</v>
      </c>
      <c r="E3489" s="12" t="str">
        <f>HYPERLINK("https://twitter.com/emir_yrdm/status/1181881953483726849","1181881953483726849")</f>
        <v>1181881953483726849</v>
      </c>
      <c r="F3489" s="8"/>
      <c r="G3489" s="15"/>
      <c r="H3489" s="8"/>
      <c r="I3489" s="15">
        <v>0</v>
      </c>
      <c r="J3489" s="15">
        <v>0</v>
      </c>
      <c r="K3489" s="12" t="str">
        <f>HYPERLINK("http://twitter.com/download/android","Twitter for Android")</f>
        <v>Twitter for Android</v>
      </c>
      <c r="L3489" s="16">
        <v>592</v>
      </c>
      <c r="M3489" s="16">
        <v>344</v>
      </c>
      <c r="N3489" s="16">
        <v>0</v>
      </c>
      <c r="O3489" s="17"/>
      <c r="P3489" s="18">
        <v>42014.35020833333</v>
      </c>
      <c r="Q3489" s="7"/>
      <c r="R3489" s="7"/>
      <c r="S3489" s="8"/>
      <c r="T3489" s="8"/>
      <c r="U3489" s="19" t="str">
        <f>HYPERLINK("https://pbs.twimg.com/profile_images/1057221614637588480/VHVO0vQZ.jpg","View")</f>
        <v>View</v>
      </c>
      <c r="V3489" s="8"/>
      <c r="W3489" s="8"/>
      <c r="X3489" s="8"/>
      <c r="Y3489" s="8"/>
      <c r="Z3489" s="8"/>
    </row>
    <row r="3490" spans="1:26" ht="12.75">
      <c r="A3490" s="11">
        <v>43747.152638888889</v>
      </c>
      <c r="B3490" s="12" t="str">
        <f>HYPERLINK("https://twitter.com/reistalha75","@reistalha75")</f>
        <v>@reistalha75</v>
      </c>
      <c r="C3490" s="7" t="s">
        <v>19080</v>
      </c>
      <c r="D3490" s="7" t="s">
        <v>19081</v>
      </c>
      <c r="E3490" s="12" t="str">
        <f>HYPERLINK("https://twitter.com/reistalha75/status/1181881942809202693","1181881942809202693")</f>
        <v>1181881942809202693</v>
      </c>
      <c r="F3490" s="8"/>
      <c r="G3490" s="14" t="s">
        <v>19082</v>
      </c>
      <c r="H3490" s="8"/>
      <c r="I3490" s="15">
        <v>0</v>
      </c>
      <c r="J3490" s="15">
        <v>6</v>
      </c>
      <c r="K3490" s="12" t="str">
        <f>HYPERLINK("http://twitter.com/download/iphone","Twitter for iPhone")</f>
        <v>Twitter for iPhone</v>
      </c>
      <c r="L3490" s="16">
        <v>548</v>
      </c>
      <c r="M3490" s="16">
        <v>66</v>
      </c>
      <c r="N3490" s="16">
        <v>0</v>
      </c>
      <c r="O3490" s="17"/>
      <c r="P3490" s="18">
        <v>43686.30668981481</v>
      </c>
      <c r="Q3490" s="7" t="s">
        <v>19083</v>
      </c>
      <c r="R3490" s="7" t="s">
        <v>19084</v>
      </c>
      <c r="S3490" s="14" t="s">
        <v>19085</v>
      </c>
      <c r="T3490" s="8"/>
      <c r="U3490" s="19" t="str">
        <f>HYPERLINK("https://pbs.twimg.com/profile_images/1180508498926428164/WihJeHwa.jpg","View")</f>
        <v>View</v>
      </c>
      <c r="V3490" s="8"/>
      <c r="W3490" s="8"/>
      <c r="X3490" s="8"/>
      <c r="Y3490" s="8"/>
      <c r="Z3490" s="8"/>
    </row>
    <row r="3491" spans="1:26" ht="12.75">
      <c r="A3491" s="11">
        <v>43747.15253472222</v>
      </c>
      <c r="B3491" s="12" t="str">
        <f>HYPERLINK("https://twitter.com/ferhandemir25","@ferhandemir25")</f>
        <v>@ferhandemir25</v>
      </c>
      <c r="C3491" s="7" t="s">
        <v>19086</v>
      </c>
      <c r="D3491" s="7" t="s">
        <v>19087</v>
      </c>
      <c r="E3491" s="12" t="str">
        <f>HYPERLINK("https://twitter.com/ferhandemir25/status/1181881905848958976","1181881905848958976")</f>
        <v>1181881905848958976</v>
      </c>
      <c r="F3491" s="8"/>
      <c r="G3491" s="14" t="s">
        <v>19088</v>
      </c>
      <c r="H3491" s="8"/>
      <c r="I3491" s="15">
        <v>14</v>
      </c>
      <c r="J3491" s="15">
        <v>64</v>
      </c>
      <c r="K3491" s="12" t="str">
        <f>HYPERLINK("http://twitter.com/download/android","Twitter for Android")</f>
        <v>Twitter for Android</v>
      </c>
      <c r="L3491" s="16">
        <v>36948</v>
      </c>
      <c r="M3491" s="16">
        <v>38898</v>
      </c>
      <c r="N3491" s="16">
        <v>38</v>
      </c>
      <c r="O3491" s="17"/>
      <c r="P3491" s="18">
        <v>40164.43204861111</v>
      </c>
      <c r="Q3491" s="7" t="s">
        <v>313</v>
      </c>
      <c r="R3491" s="7"/>
      <c r="S3491" s="8"/>
      <c r="T3491" s="8"/>
      <c r="U3491" s="19" t="str">
        <f>HYPERLINK("https://pbs.twimg.com/profile_images/951544407626526720/CxNsS8QX.jpg","View")</f>
        <v>View</v>
      </c>
      <c r="V3491" s="8"/>
      <c r="W3491" s="8"/>
      <c r="X3491" s="8"/>
      <c r="Y3491" s="8"/>
      <c r="Z3491" s="8"/>
    </row>
    <row r="3492" spans="1:26" ht="12.75">
      <c r="A3492" s="11">
        <v>43747.152499999997</v>
      </c>
      <c r="B3492" s="12" t="str">
        <f>HYPERLINK("https://twitter.com/ibrahmdd","@ibrahmdd")</f>
        <v>@ibrahmdd</v>
      </c>
      <c r="C3492" s="7" t="s">
        <v>9982</v>
      </c>
      <c r="D3492" s="7" t="s">
        <v>19089</v>
      </c>
      <c r="E3492" s="12" t="str">
        <f>HYPERLINK("https://twitter.com/ibrahmdd/status/1181881894042030080","1181881894042030080")</f>
        <v>1181881894042030080</v>
      </c>
      <c r="F3492" s="8"/>
      <c r="G3492" s="14" t="s">
        <v>19090</v>
      </c>
      <c r="H3492" s="8"/>
      <c r="I3492" s="15">
        <v>0</v>
      </c>
      <c r="J3492" s="15">
        <v>0</v>
      </c>
      <c r="K3492" s="12" t="str">
        <f>HYPERLINK("http://twitter.com/download/android","Twitter for Android")</f>
        <v>Twitter for Android</v>
      </c>
      <c r="L3492" s="16">
        <v>35</v>
      </c>
      <c r="M3492" s="16">
        <v>74</v>
      </c>
      <c r="N3492" s="16">
        <v>0</v>
      </c>
      <c r="O3492" s="17"/>
      <c r="P3492" s="18">
        <v>43378.657210648147</v>
      </c>
      <c r="Q3492" s="7"/>
      <c r="R3492" s="7"/>
      <c r="S3492" s="8"/>
      <c r="T3492" s="8"/>
      <c r="U3492" s="19" t="str">
        <f>HYPERLINK("https://pbs.twimg.com/profile_images/1181136542577893376/SgWU6xJB.jpg","View")</f>
        <v>View</v>
      </c>
      <c r="V3492" s="8"/>
      <c r="W3492" s="8"/>
      <c r="X3492" s="8"/>
      <c r="Y3492" s="8"/>
      <c r="Z3492" s="8"/>
    </row>
    <row r="3493" spans="1:26" ht="12.75">
      <c r="A3493" s="11">
        <v>43747.15247685185</v>
      </c>
      <c r="B3493" s="12" t="str">
        <f>HYPERLINK("https://twitter.com/SoykanParsak","@SoykanParsak")</f>
        <v>@SoykanParsak</v>
      </c>
      <c r="C3493" s="7" t="s">
        <v>19091</v>
      </c>
      <c r="D3493" s="7" t="s">
        <v>19092</v>
      </c>
      <c r="E3493" s="12" t="str">
        <f>HYPERLINK("https://twitter.com/SoykanParsak/status/1181881885074612229","1181881885074612229")</f>
        <v>1181881885074612229</v>
      </c>
      <c r="F3493" s="8"/>
      <c r="G3493" s="14" t="s">
        <v>19093</v>
      </c>
      <c r="H3493" s="8"/>
      <c r="I3493" s="15">
        <v>0</v>
      </c>
      <c r="J3493" s="15">
        <v>0</v>
      </c>
      <c r="K3493" s="12" t="str">
        <f>HYPERLINK("http://twitter.com","Twitter Web Client")</f>
        <v>Twitter Web Client</v>
      </c>
      <c r="L3493" s="16">
        <v>5</v>
      </c>
      <c r="M3493" s="16">
        <v>0</v>
      </c>
      <c r="N3493" s="16">
        <v>0</v>
      </c>
      <c r="O3493" s="17"/>
      <c r="P3493" s="18">
        <v>43668.983136574076</v>
      </c>
      <c r="Q3493" s="7" t="s">
        <v>3140</v>
      </c>
      <c r="R3493" s="7" t="s">
        <v>19094</v>
      </c>
      <c r="S3493" s="15"/>
      <c r="T3493" s="8"/>
      <c r="U3493" s="19" t="str">
        <f>HYPERLINK("https://pbs.twimg.com/profile_images/1153755917088935936/wsuT9Oog.jpg","View")</f>
        <v>View</v>
      </c>
      <c r="V3493" s="8"/>
      <c r="W3493" s="8"/>
      <c r="X3493" s="8"/>
      <c r="Y3493" s="8"/>
      <c r="Z3493" s="8"/>
    </row>
    <row r="3494" spans="1:26" ht="12.75">
      <c r="A3494" s="11">
        <v>43747.152465277773</v>
      </c>
      <c r="B3494" s="12" t="str">
        <f>HYPERLINK("https://twitter.com/m_alibarisan","@m_alibarisan")</f>
        <v>@m_alibarisan</v>
      </c>
      <c r="C3494" s="7" t="s">
        <v>19095</v>
      </c>
      <c r="D3494" s="7" t="s">
        <v>19096</v>
      </c>
      <c r="E3494" s="12" t="str">
        <f>HYPERLINK("https://twitter.com/m_alibarisan/status/1181881880532135936","1181881880532135936")</f>
        <v>1181881880532135936</v>
      </c>
      <c r="F3494" s="15"/>
      <c r="G3494" s="7"/>
      <c r="H3494" s="8"/>
      <c r="I3494" s="15">
        <v>8</v>
      </c>
      <c r="J3494" s="15">
        <v>64</v>
      </c>
      <c r="K3494" s="12" t="str">
        <f>HYPERLINK("http://twitter.com/download/android","Twitter for Android")</f>
        <v>Twitter for Android</v>
      </c>
      <c r="L3494" s="16">
        <v>3121</v>
      </c>
      <c r="M3494" s="16">
        <v>3367</v>
      </c>
      <c r="N3494" s="16">
        <v>1</v>
      </c>
      <c r="O3494" s="17"/>
      <c r="P3494" s="18">
        <v>43680.084479166668</v>
      </c>
      <c r="Q3494" s="7"/>
      <c r="R3494" s="7" t="s">
        <v>19097</v>
      </c>
      <c r="S3494" s="14" t="s">
        <v>19098</v>
      </c>
      <c r="T3494" s="8"/>
      <c r="U3494" s="19" t="str">
        <f>HYPERLINK("https://pbs.twimg.com/profile_images/1178674995985342464/y2TM8FDQ.jpg","View")</f>
        <v>View</v>
      </c>
      <c r="V3494" s="8"/>
      <c r="W3494" s="8"/>
      <c r="X3494" s="8"/>
      <c r="Y3494" s="8"/>
      <c r="Z3494" s="8"/>
    </row>
    <row r="3495" spans="1:26" ht="12.75">
      <c r="A3495" s="11">
        <v>43747.152465277773</v>
      </c>
      <c r="B3495" s="12" t="str">
        <f>HYPERLINK("https://twitter.com/SysV50","@SysV50")</f>
        <v>@SysV50</v>
      </c>
      <c r="C3495" s="7" t="s">
        <v>19099</v>
      </c>
      <c r="D3495" s="7" t="s">
        <v>19100</v>
      </c>
      <c r="E3495" s="12" t="str">
        <f>HYPERLINK("https://twitter.com/SysV50/status/1181881879399677952","1181881879399677952")</f>
        <v>1181881879399677952</v>
      </c>
      <c r="F3495" s="14" t="s">
        <v>14233</v>
      </c>
      <c r="G3495" s="14" t="s">
        <v>14234</v>
      </c>
      <c r="H3495" s="8"/>
      <c r="I3495" s="15">
        <v>0</v>
      </c>
      <c r="J3495" s="15">
        <v>1</v>
      </c>
      <c r="K3495" s="12" t="str">
        <f>HYPERLINK("http://twitter.com/download/android","Twitter for Android")</f>
        <v>Twitter for Android</v>
      </c>
      <c r="L3495" s="16">
        <v>2</v>
      </c>
      <c r="M3495" s="16">
        <v>99</v>
      </c>
      <c r="N3495" s="16">
        <v>0</v>
      </c>
      <c r="O3495" s="17"/>
      <c r="P3495" s="18">
        <v>43616.17863425926</v>
      </c>
      <c r="Q3495" s="7" t="s">
        <v>200</v>
      </c>
      <c r="R3495" s="7" t="s">
        <v>19101</v>
      </c>
      <c r="S3495" s="8"/>
      <c r="T3495" s="8"/>
      <c r="U3495" s="19" t="str">
        <f>HYPERLINK("https://pbs.twimg.com/profile_images/1134422554276442113/NIrGYfIC.jpg","View")</f>
        <v>View</v>
      </c>
      <c r="V3495" s="8"/>
      <c r="W3495" s="8"/>
      <c r="X3495" s="8"/>
      <c r="Y3495" s="8"/>
      <c r="Z3495" s="8"/>
    </row>
    <row r="3496" spans="1:26" ht="12.75">
      <c r="A3496" s="11">
        <v>43747.152395833335</v>
      </c>
      <c r="B3496" s="12" t="str">
        <f>HYPERLINK("https://twitter.com/Hepihic","@Hepihic")</f>
        <v>@Hepihic</v>
      </c>
      <c r="C3496" s="7" t="s">
        <v>19102</v>
      </c>
      <c r="D3496" s="7" t="s">
        <v>19103</v>
      </c>
      <c r="E3496" s="12" t="str">
        <f>HYPERLINK("https://twitter.com/Hepihic/status/1181881858386272256","1181881858386272256")</f>
        <v>1181881858386272256</v>
      </c>
      <c r="F3496" s="8"/>
      <c r="G3496" s="14" t="s">
        <v>19104</v>
      </c>
      <c r="H3496" s="8"/>
      <c r="I3496" s="15">
        <v>0</v>
      </c>
      <c r="J3496" s="15">
        <v>1</v>
      </c>
      <c r="K3496" s="12" t="str">
        <f>HYPERLINK("http://twitter.com/download/android","Twitter for Android")</f>
        <v>Twitter for Android</v>
      </c>
      <c r="L3496" s="16">
        <v>474</v>
      </c>
      <c r="M3496" s="16">
        <v>960</v>
      </c>
      <c r="N3496" s="16">
        <v>1</v>
      </c>
      <c r="O3496" s="17"/>
      <c r="P3496" s="18">
        <v>40581.059178240743</v>
      </c>
      <c r="Q3496" s="7" t="s">
        <v>287</v>
      </c>
      <c r="R3496" s="7" t="s">
        <v>19105</v>
      </c>
      <c r="S3496" s="14" t="s">
        <v>19106</v>
      </c>
      <c r="T3496" s="8"/>
      <c r="U3496" s="19" t="str">
        <f>HYPERLINK("https://pbs.twimg.com/profile_images/1013083938238205952/U9HYVYV6.jpg","View")</f>
        <v>View</v>
      </c>
      <c r="V3496" s="8"/>
      <c r="W3496" s="8"/>
      <c r="X3496" s="8"/>
      <c r="Y3496" s="8"/>
      <c r="Z3496" s="8"/>
    </row>
    <row r="3497" spans="1:26" ht="12.75">
      <c r="A3497" s="11">
        <v>43747.152384259258</v>
      </c>
      <c r="B3497" s="12" t="str">
        <f>HYPERLINK("https://twitter.com/OguzhannKara","@OguzhannKara")</f>
        <v>@OguzhannKara</v>
      </c>
      <c r="C3497" s="7" t="s">
        <v>19107</v>
      </c>
      <c r="D3497" s="7" t="s">
        <v>19108</v>
      </c>
      <c r="E3497" s="12" t="str">
        <f>HYPERLINK("https://twitter.com/OguzhannKara/status/1181881851520192512","1181881851520192512")</f>
        <v>1181881851520192512</v>
      </c>
      <c r="F3497" s="8"/>
      <c r="G3497" s="15"/>
      <c r="H3497" s="8"/>
      <c r="I3497" s="15">
        <v>0</v>
      </c>
      <c r="J3497" s="15">
        <v>0</v>
      </c>
      <c r="K3497" s="12" t="str">
        <f>HYPERLINK("http://twitter.com/download/android","Twitter for Android")</f>
        <v>Twitter for Android</v>
      </c>
      <c r="L3497" s="16">
        <v>185</v>
      </c>
      <c r="M3497" s="16">
        <v>150</v>
      </c>
      <c r="N3497" s="16">
        <v>1</v>
      </c>
      <c r="O3497" s="17"/>
      <c r="P3497" s="18">
        <v>41056.223298611112</v>
      </c>
      <c r="Q3497" s="7" t="s">
        <v>576</v>
      </c>
      <c r="R3497" s="7" t="s">
        <v>19109</v>
      </c>
      <c r="S3497" s="14" t="s">
        <v>19110</v>
      </c>
      <c r="T3497" s="8"/>
      <c r="U3497" s="19" t="str">
        <f>HYPERLINK("https://pbs.twimg.com/profile_images/982750971221757952/tYjTG-ta.jpg","View")</f>
        <v>View</v>
      </c>
      <c r="V3497" s="8"/>
      <c r="W3497" s="8"/>
      <c r="X3497" s="8"/>
      <c r="Y3497" s="8"/>
      <c r="Z3497" s="8"/>
    </row>
    <row r="3498" spans="1:26" ht="12.75">
      <c r="A3498" s="11">
        <v>43747.152361111112</v>
      </c>
      <c r="B3498" s="12" t="str">
        <f>HYPERLINK("https://twitter.com/turk_bilgekagan","@turk_bilgekagan")</f>
        <v>@turk_bilgekagan</v>
      </c>
      <c r="C3498" s="7" t="s">
        <v>19111</v>
      </c>
      <c r="D3498" s="7" t="s">
        <v>14166</v>
      </c>
      <c r="E3498" s="12" t="str">
        <f>HYPERLINK("https://twitter.com/turk_bilgekagan/status/1181881845685919746","1181881845685919746")</f>
        <v>1181881845685919746</v>
      </c>
      <c r="F3498" s="14" t="s">
        <v>19112</v>
      </c>
      <c r="G3498" s="15"/>
      <c r="H3498" s="8"/>
      <c r="I3498" s="15">
        <v>0</v>
      </c>
      <c r="J3498" s="15">
        <v>0</v>
      </c>
      <c r="K3498" s="12" t="str">
        <f>HYPERLINK("http://twitter.com/download/android","Twitter for Android")</f>
        <v>Twitter for Android</v>
      </c>
      <c r="L3498" s="16">
        <v>811</v>
      </c>
      <c r="M3498" s="16">
        <v>109</v>
      </c>
      <c r="N3498" s="16">
        <v>0</v>
      </c>
      <c r="O3498" s="17"/>
      <c r="P3498" s="18">
        <v>40389.071423611109</v>
      </c>
      <c r="Q3498" s="7"/>
      <c r="R3498" s="7" t="s">
        <v>19113</v>
      </c>
      <c r="S3498" s="8"/>
      <c r="T3498" s="8"/>
      <c r="U3498" s="19" t="str">
        <f>HYPERLINK("https://pbs.twimg.com/profile_images/1180923614335586305/0A2Ph9EV.jpg","View")</f>
        <v>View</v>
      </c>
      <c r="V3498" s="8"/>
      <c r="W3498" s="8"/>
      <c r="X3498" s="8"/>
      <c r="Y3498" s="8"/>
      <c r="Z3498" s="8"/>
    </row>
    <row r="3499" spans="1:26" ht="12.75">
      <c r="A3499" s="11">
        <v>43747.152303240742</v>
      </c>
      <c r="B3499" s="12" t="str">
        <f>HYPERLINK("https://twitter.com/alikuz35","@alikuz35")</f>
        <v>@alikuz35</v>
      </c>
      <c r="C3499" s="7" t="s">
        <v>19114</v>
      </c>
      <c r="D3499" s="7" t="s">
        <v>19115</v>
      </c>
      <c r="E3499" s="12" t="str">
        <f>HYPERLINK("https://twitter.com/alikuz35/status/1181881823833546755","1181881823833546755")</f>
        <v>1181881823833546755</v>
      </c>
      <c r="F3499" s="8"/>
      <c r="G3499" s="14" t="s">
        <v>19116</v>
      </c>
      <c r="H3499" s="8"/>
      <c r="I3499" s="15">
        <v>0</v>
      </c>
      <c r="J3499" s="15">
        <v>0</v>
      </c>
      <c r="K3499" s="12" t="str">
        <f>HYPERLINK("http://twitter.com/download/iphone","Twitter for iPhone")</f>
        <v>Twitter for iPhone</v>
      </c>
      <c r="L3499" s="16">
        <v>270</v>
      </c>
      <c r="M3499" s="16">
        <v>138</v>
      </c>
      <c r="N3499" s="16">
        <v>0</v>
      </c>
      <c r="O3499" s="17"/>
      <c r="P3499" s="18">
        <v>42582.167905092589</v>
      </c>
      <c r="Q3499" s="7" t="s">
        <v>19117</v>
      </c>
      <c r="R3499" s="7" t="s">
        <v>19118</v>
      </c>
      <c r="S3499" s="14" t="s">
        <v>19119</v>
      </c>
      <c r="T3499" s="8"/>
      <c r="U3499" s="19" t="str">
        <f>HYPERLINK("https://pbs.twimg.com/profile_images/1147995184426360833/B3t_lEfd.jpg","View")</f>
        <v>View</v>
      </c>
      <c r="V3499" s="8"/>
      <c r="W3499" s="8"/>
      <c r="X3499" s="8"/>
      <c r="Y3499" s="8"/>
      <c r="Z3499" s="8"/>
    </row>
    <row r="3500" spans="1:26" ht="12.75">
      <c r="A3500" s="11">
        <v>43747.152187500003</v>
      </c>
      <c r="B3500" s="12" t="str">
        <f>HYPERLINK("https://twitter.com/kartal99186","@kartal99186")</f>
        <v>@kartal99186</v>
      </c>
      <c r="C3500" s="7" t="s">
        <v>19120</v>
      </c>
      <c r="D3500" s="7" t="s">
        <v>19121</v>
      </c>
      <c r="E3500" s="12" t="str">
        <f>HYPERLINK("https://twitter.com/kartal99186/status/1181881781508816897","1181881781508816897")</f>
        <v>1181881781508816897</v>
      </c>
      <c r="F3500" s="8"/>
      <c r="G3500" s="14" t="s">
        <v>19122</v>
      </c>
      <c r="H3500" s="8"/>
      <c r="I3500" s="15">
        <v>1</v>
      </c>
      <c r="J3500" s="15">
        <v>1</v>
      </c>
      <c r="K3500" s="12" t="str">
        <f>HYPERLINK("http://twitter.com/download/android","Twitter for Android")</f>
        <v>Twitter for Android</v>
      </c>
      <c r="L3500" s="16">
        <v>454</v>
      </c>
      <c r="M3500" s="16">
        <v>1527</v>
      </c>
      <c r="N3500" s="16">
        <v>2</v>
      </c>
      <c r="O3500" s="17"/>
      <c r="P3500" s="18">
        <v>41046.011145833334</v>
      </c>
      <c r="Q3500" s="7"/>
      <c r="R3500" s="7" t="s">
        <v>19123</v>
      </c>
      <c r="S3500" s="8"/>
      <c r="T3500" s="8"/>
      <c r="U3500" s="19" t="str">
        <f>HYPERLINK("https://pbs.twimg.com/profile_images/1167878380714250240/4xN5mDal.jpg","View")</f>
        <v>View</v>
      </c>
      <c r="V3500" s="8"/>
      <c r="W3500" s="8"/>
      <c r="X3500" s="8"/>
      <c r="Y3500" s="8"/>
      <c r="Z3500" s="8"/>
    </row>
    <row r="3501" spans="1:26" ht="12.75">
      <c r="A3501" s="11">
        <v>43747.152175925927</v>
      </c>
      <c r="B3501" s="12" t="str">
        <f>HYPERLINK("https://twitter.com/TolgaAr65599201","@TolgaAr65599201")</f>
        <v>@TolgaAr65599201</v>
      </c>
      <c r="C3501" s="7" t="s">
        <v>19124</v>
      </c>
      <c r="D3501" s="7" t="s">
        <v>19125</v>
      </c>
      <c r="E3501" s="12" t="str">
        <f>HYPERLINK("https://twitter.com/TolgaAr65599201/status/1181881774537940992","1181881774537940992")</f>
        <v>1181881774537940992</v>
      </c>
      <c r="F3501" s="8"/>
      <c r="G3501" s="7"/>
      <c r="H3501" s="8"/>
      <c r="I3501" s="15">
        <v>0</v>
      </c>
      <c r="J3501" s="15">
        <v>0</v>
      </c>
      <c r="K3501" s="12" t="str">
        <f>HYPERLINK("http://twitter.com/download/android","Twitter for Android")</f>
        <v>Twitter for Android</v>
      </c>
      <c r="L3501" s="16">
        <v>85</v>
      </c>
      <c r="M3501" s="16">
        <v>408</v>
      </c>
      <c r="N3501" s="16">
        <v>0</v>
      </c>
      <c r="O3501" s="17"/>
      <c r="P3501" s="18">
        <v>43321.159282407403</v>
      </c>
      <c r="Q3501" s="7"/>
      <c r="R3501" s="7" t="s">
        <v>19126</v>
      </c>
      <c r="S3501" s="8"/>
      <c r="T3501" s="8"/>
      <c r="U3501" s="19" t="str">
        <f>HYPERLINK("https://pbs.twimg.com/profile_images/1027507857921589249/Lzm-VbHl.jpg","View")</f>
        <v>View</v>
      </c>
      <c r="V3501" s="8"/>
      <c r="W3501" s="8"/>
      <c r="X3501" s="8"/>
      <c r="Y3501" s="8"/>
      <c r="Z3501" s="8"/>
    </row>
    <row r="3502" spans="1:26" ht="12.75">
      <c r="A3502" s="11">
        <v>43747.152118055557</v>
      </c>
      <c r="B3502" s="12" t="str">
        <f>HYPERLINK("https://twitter.com/tekfurdicaprio","@tekfurdicaprio")</f>
        <v>@tekfurdicaprio</v>
      </c>
      <c r="C3502" s="7" t="s">
        <v>19127</v>
      </c>
      <c r="D3502" s="7" t="s">
        <v>19128</v>
      </c>
      <c r="E3502" s="12" t="str">
        <f>HYPERLINK("https://twitter.com/tekfurdicaprio/status/1181881755634151425","1181881755634151425")</f>
        <v>1181881755634151425</v>
      </c>
      <c r="F3502" s="14" t="s">
        <v>19129</v>
      </c>
      <c r="G3502" s="14" t="s">
        <v>19130</v>
      </c>
      <c r="H3502" s="8"/>
      <c r="I3502" s="15">
        <v>0</v>
      </c>
      <c r="J3502" s="15">
        <v>0</v>
      </c>
      <c r="K3502" s="12" t="str">
        <f>HYPERLINK("http://twitter.com/download/android","Twitter for Android")</f>
        <v>Twitter for Android</v>
      </c>
      <c r="L3502" s="16">
        <v>234</v>
      </c>
      <c r="M3502" s="16">
        <v>13</v>
      </c>
      <c r="N3502" s="16">
        <v>0</v>
      </c>
      <c r="O3502" s="17"/>
      <c r="P3502" s="18">
        <v>43667.245300925926</v>
      </c>
      <c r="Q3502" s="7"/>
      <c r="R3502" s="7" t="s">
        <v>19131</v>
      </c>
      <c r="S3502" s="8"/>
      <c r="T3502" s="8"/>
      <c r="U3502" s="19" t="str">
        <f>HYPERLINK("https://pbs.twimg.com/profile_images/1167368356573396994/ISB74-oX.png","View")</f>
        <v>View</v>
      </c>
      <c r="V3502" s="8"/>
      <c r="W3502" s="8"/>
      <c r="X3502" s="8"/>
      <c r="Y3502" s="8"/>
      <c r="Z3502" s="8"/>
    </row>
    <row r="3503" spans="1:26" ht="12.75">
      <c r="A3503" s="11">
        <v>43747.152048611111</v>
      </c>
      <c r="B3503" s="12" t="str">
        <f>HYPERLINK("https://twitter.com/sadevatandas42","@sadevatandas42")</f>
        <v>@sadevatandas42</v>
      </c>
      <c r="C3503" s="7" t="s">
        <v>19132</v>
      </c>
      <c r="D3503" s="7" t="s">
        <v>19133</v>
      </c>
      <c r="E3503" s="12" t="str">
        <f>HYPERLINK("https://twitter.com/sadevatandas42/status/1181881728996200449","1181881728996200449")</f>
        <v>1181881728996200449</v>
      </c>
      <c r="F3503" s="8"/>
      <c r="G3503" s="15"/>
      <c r="H3503" s="8"/>
      <c r="I3503" s="15">
        <v>0</v>
      </c>
      <c r="J3503" s="15">
        <v>1</v>
      </c>
      <c r="K3503" s="12" t="str">
        <f>HYPERLINK("https://mobile.twitter.com","Twitter Web App")</f>
        <v>Twitter Web App</v>
      </c>
      <c r="L3503" s="16">
        <v>3037</v>
      </c>
      <c r="M3503" s="16">
        <v>4368</v>
      </c>
      <c r="N3503" s="16">
        <v>3</v>
      </c>
      <c r="O3503" s="17"/>
      <c r="P3503" s="18">
        <v>40721.138437499998</v>
      </c>
      <c r="Q3503" s="7"/>
      <c r="R3503" s="7" t="s">
        <v>19134</v>
      </c>
      <c r="S3503" s="8"/>
      <c r="T3503" s="8"/>
      <c r="U3503" s="19" t="str">
        <f>HYPERLINK("https://pbs.twimg.com/profile_images/1080083760345960448/40j8hmxX.jpg","View")</f>
        <v>View</v>
      </c>
      <c r="V3503" s="8"/>
      <c r="W3503" s="8"/>
      <c r="X3503" s="8"/>
      <c r="Y3503" s="8"/>
      <c r="Z3503" s="8"/>
    </row>
    <row r="3504" spans="1:26" ht="12.75">
      <c r="A3504" s="11">
        <v>43747.151990740742</v>
      </c>
      <c r="B3504" s="12" t="str">
        <f>HYPERLINK("https://twitter.com/mucahittombul1","@mucahittombul1")</f>
        <v>@mucahittombul1</v>
      </c>
      <c r="C3504" s="7" t="s">
        <v>19135</v>
      </c>
      <c r="D3504" s="7" t="s">
        <v>19136</v>
      </c>
      <c r="E3504" s="12" t="str">
        <f>HYPERLINK("https://twitter.com/mucahittombul1/status/1181881708217618432","1181881708217618432")</f>
        <v>1181881708217618432</v>
      </c>
      <c r="F3504" s="8"/>
      <c r="G3504" s="14" t="s">
        <v>19137</v>
      </c>
      <c r="H3504" s="8"/>
      <c r="I3504" s="15">
        <v>0</v>
      </c>
      <c r="J3504" s="15">
        <v>1</v>
      </c>
      <c r="K3504" s="12" t="str">
        <f>HYPERLINK("http://twitter.com/download/android","Twitter for Android")</f>
        <v>Twitter for Android</v>
      </c>
      <c r="L3504" s="16">
        <v>1570</v>
      </c>
      <c r="M3504" s="16">
        <v>1520</v>
      </c>
      <c r="N3504" s="16">
        <v>0</v>
      </c>
      <c r="O3504" s="17"/>
      <c r="P3504" s="18">
        <v>43247.53297453704</v>
      </c>
      <c r="Q3504" s="7" t="s">
        <v>313</v>
      </c>
      <c r="R3504" s="7" t="s">
        <v>19138</v>
      </c>
      <c r="S3504" s="8"/>
      <c r="T3504" s="8"/>
      <c r="U3504" s="19" t="str">
        <f>HYPERLINK("https://pbs.twimg.com/profile_images/1177266919797399554/hy6kUI4t.jpg","View")</f>
        <v>View</v>
      </c>
      <c r="V3504" s="8"/>
      <c r="W3504" s="8"/>
      <c r="X3504" s="8"/>
      <c r="Y3504" s="8"/>
      <c r="Z3504" s="8"/>
    </row>
    <row r="3505" spans="1:26" ht="12.75">
      <c r="A3505" s="11">
        <v>43747.151990740742</v>
      </c>
      <c r="B3505" s="12" t="str">
        <f>HYPERLINK("https://twitter.com/hsynmelikzade","@hsynmelikzade")</f>
        <v>@hsynmelikzade</v>
      </c>
      <c r="C3505" s="7" t="s">
        <v>19139</v>
      </c>
      <c r="D3505" s="7" t="s">
        <v>13999</v>
      </c>
      <c r="E3505" s="12" t="str">
        <f>HYPERLINK("https://twitter.com/hsynmelikzade/status/1181881707747786754","1181881707747786754")</f>
        <v>1181881707747786754</v>
      </c>
      <c r="F3505" s="8"/>
      <c r="G3505" s="7"/>
      <c r="H3505" s="8"/>
      <c r="I3505" s="15">
        <v>0</v>
      </c>
      <c r="J3505" s="15">
        <v>0</v>
      </c>
      <c r="K3505" s="12" t="str">
        <f>HYPERLINK("https://mobile.twitter.com","Twitter Web App")</f>
        <v>Twitter Web App</v>
      </c>
      <c r="L3505" s="16">
        <v>105</v>
      </c>
      <c r="M3505" s="16">
        <v>323</v>
      </c>
      <c r="N3505" s="16">
        <v>0</v>
      </c>
      <c r="O3505" s="17"/>
      <c r="P3505" s="18">
        <v>41221.205127314817</v>
      </c>
      <c r="Q3505" s="7" t="s">
        <v>19140</v>
      </c>
      <c r="R3505" s="7"/>
      <c r="S3505" s="14" t="s">
        <v>19141</v>
      </c>
      <c r="T3505" s="8"/>
      <c r="U3505" s="19" t="str">
        <f>HYPERLINK("https://pbs.twimg.com/profile_images/1146061323991519232/jJC350ji.jpg","View")</f>
        <v>View</v>
      </c>
      <c r="V3505" s="8"/>
      <c r="W3505" s="8"/>
      <c r="X3505" s="8"/>
      <c r="Y3505" s="8"/>
      <c r="Z3505" s="8"/>
    </row>
    <row r="3506" spans="1:26" ht="12.75">
      <c r="A3506" s="11">
        <v>43747.151956018519</v>
      </c>
      <c r="B3506" s="12" t="str">
        <f>HYPERLINK("https://twitter.com/gurkan_celik","@gurkan_celik")</f>
        <v>@gurkan_celik</v>
      </c>
      <c r="C3506" s="7" t="s">
        <v>19142</v>
      </c>
      <c r="D3506" s="7" t="s">
        <v>160</v>
      </c>
      <c r="E3506" s="12" t="str">
        <f>HYPERLINK("https://twitter.com/gurkan_celik/status/1181881696158965762","1181881696158965762")</f>
        <v>1181881696158965762</v>
      </c>
      <c r="F3506" s="8"/>
      <c r="G3506" s="15"/>
      <c r="H3506" s="8"/>
      <c r="I3506" s="15">
        <v>0</v>
      </c>
      <c r="J3506" s="15">
        <v>0</v>
      </c>
      <c r="K3506" s="12" t="str">
        <f>HYPERLINK("http://twitter.com/download/android","Twitter for Android")</f>
        <v>Twitter for Android</v>
      </c>
      <c r="L3506" s="16">
        <v>22</v>
      </c>
      <c r="M3506" s="16">
        <v>48</v>
      </c>
      <c r="N3506" s="16">
        <v>0</v>
      </c>
      <c r="O3506" s="17"/>
      <c r="P3506" s="18">
        <v>40585.607129629629</v>
      </c>
      <c r="Q3506" s="7" t="s">
        <v>80</v>
      </c>
      <c r="R3506" s="7" t="s">
        <v>16157</v>
      </c>
      <c r="S3506" s="8"/>
      <c r="T3506" s="8"/>
      <c r="U3506" s="19" t="str">
        <f>HYPERLINK("https://pbs.twimg.com/profile_images/762309967504351232/KUURRkZq.jpg","View")</f>
        <v>View</v>
      </c>
      <c r="V3506" s="8"/>
      <c r="W3506" s="8"/>
      <c r="X3506" s="8"/>
      <c r="Y3506" s="8"/>
      <c r="Z3506" s="8"/>
    </row>
    <row r="3507" spans="1:26" ht="12.75">
      <c r="A3507" s="11">
        <v>43747.151932870373</v>
      </c>
      <c r="B3507" s="12" t="str">
        <f>HYPERLINK("https://twitter.com/TinaUcok","@TinaUcok")</f>
        <v>@TinaUcok</v>
      </c>
      <c r="C3507" s="7" t="s">
        <v>19143</v>
      </c>
      <c r="D3507" s="7" t="s">
        <v>19144</v>
      </c>
      <c r="E3507" s="12" t="str">
        <f>HYPERLINK("https://twitter.com/TinaUcok/status/1181881690484023297","1181881690484023297")</f>
        <v>1181881690484023297</v>
      </c>
      <c r="F3507" s="14" t="s">
        <v>19145</v>
      </c>
      <c r="G3507" s="15"/>
      <c r="H3507" s="8"/>
      <c r="I3507" s="15">
        <v>0</v>
      </c>
      <c r="J3507" s="15">
        <v>0</v>
      </c>
      <c r="K3507" s="12" t="str">
        <f>HYPERLINK("http://instagram.com","Instagram")</f>
        <v>Instagram</v>
      </c>
      <c r="L3507" s="16">
        <v>749</v>
      </c>
      <c r="M3507" s="16">
        <v>65</v>
      </c>
      <c r="N3507" s="16">
        <v>3</v>
      </c>
      <c r="O3507" s="17"/>
      <c r="P3507" s="18">
        <v>42219.547349537039</v>
      </c>
      <c r="Q3507" s="7" t="s">
        <v>19146</v>
      </c>
      <c r="R3507" s="7" t="s">
        <v>19147</v>
      </c>
      <c r="S3507" s="15"/>
      <c r="T3507" s="8"/>
      <c r="U3507" s="19" t="str">
        <f>HYPERLINK("https://pbs.twimg.com/profile_images/1167739092664291329/g7V9jxSH.jpg","View")</f>
        <v>View</v>
      </c>
      <c r="V3507" s="8"/>
      <c r="W3507" s="8"/>
      <c r="X3507" s="8"/>
      <c r="Y3507" s="8"/>
      <c r="Z3507" s="8"/>
    </row>
    <row r="3508" spans="1:26" ht="12.75">
      <c r="A3508" s="11">
        <v>43747.151909722219</v>
      </c>
      <c r="B3508" s="12" t="str">
        <f>HYPERLINK("https://twitter.com/yvzhatice718","@yvzhatice718")</f>
        <v>@yvzhatice718</v>
      </c>
      <c r="C3508" s="7" t="s">
        <v>19148</v>
      </c>
      <c r="D3508" s="7" t="s">
        <v>19149</v>
      </c>
      <c r="E3508" s="12" t="str">
        <f>HYPERLINK("https://twitter.com/yvzhatice718/status/1181881679130091520","1181881679130091520")</f>
        <v>1181881679130091520</v>
      </c>
      <c r="F3508" s="8"/>
      <c r="G3508" s="7"/>
      <c r="H3508" s="8"/>
      <c r="I3508" s="15">
        <v>0</v>
      </c>
      <c r="J3508" s="15">
        <v>1</v>
      </c>
      <c r="K3508" s="12" t="str">
        <f>HYPERLINK("http://twitter.com/download/iphone","Twitter for iPhone")</f>
        <v>Twitter for iPhone</v>
      </c>
      <c r="L3508" s="16">
        <v>23</v>
      </c>
      <c r="M3508" s="16">
        <v>42</v>
      </c>
      <c r="N3508" s="16">
        <v>0</v>
      </c>
      <c r="O3508" s="17"/>
      <c r="P3508" s="18">
        <v>43573.67591435185</v>
      </c>
      <c r="Q3508" s="7"/>
      <c r="R3508" s="7"/>
      <c r="S3508" s="8"/>
      <c r="T3508" s="8"/>
      <c r="U3508" s="19" t="str">
        <f>HYPERLINK("https://pbs.twimg.com/profile_images/1119016630405750786/1hwu4K-f.jpg","View")</f>
        <v>View</v>
      </c>
      <c r="V3508" s="8"/>
      <c r="W3508" s="8"/>
      <c r="X3508" s="8"/>
      <c r="Y3508" s="8"/>
      <c r="Z3508" s="8"/>
    </row>
    <row r="3509" spans="1:26" ht="12.75">
      <c r="A3509" s="11">
        <v>43747.151898148149</v>
      </c>
      <c r="B3509" s="12" t="str">
        <f>HYPERLINK("https://twitter.com/brahim56939944","@brahim56939944")</f>
        <v>@brahim56939944</v>
      </c>
      <c r="C3509" s="15" t="s">
        <v>9982</v>
      </c>
      <c r="D3509" s="7" t="s">
        <v>10687</v>
      </c>
      <c r="E3509" s="12" t="str">
        <f>HYPERLINK("https://twitter.com/brahim56939944/status/1181881677821480960","1181881677821480960")</f>
        <v>1181881677821480960</v>
      </c>
      <c r="F3509" s="15"/>
      <c r="G3509" s="14" t="s">
        <v>19150</v>
      </c>
      <c r="H3509" s="8"/>
      <c r="I3509" s="15">
        <v>0</v>
      </c>
      <c r="J3509" s="15">
        <v>1</v>
      </c>
      <c r="K3509" s="12" t="str">
        <f>HYPERLINK("http://twitter.com/download/android","Twitter for Android")</f>
        <v>Twitter for Android</v>
      </c>
      <c r="L3509" s="16">
        <v>227</v>
      </c>
      <c r="M3509" s="16">
        <v>959</v>
      </c>
      <c r="N3509" s="16">
        <v>0</v>
      </c>
      <c r="O3509" s="17"/>
      <c r="P3509" s="18">
        <v>43580.29215277778</v>
      </c>
      <c r="Q3509" s="7" t="s">
        <v>200</v>
      </c>
      <c r="R3509" s="7"/>
      <c r="S3509" s="15"/>
      <c r="T3509" s="8"/>
      <c r="U3509" s="19" t="str">
        <f>HYPERLINK("https://pbs.twimg.com/profile_images/1128426278120513537/X8Mzx2G8.jpg","View")</f>
        <v>View</v>
      </c>
      <c r="V3509" s="8"/>
      <c r="W3509" s="8"/>
      <c r="X3509" s="8"/>
      <c r="Y3509" s="8"/>
      <c r="Z3509" s="8"/>
    </row>
    <row r="3510" spans="1:26" ht="12.75">
      <c r="A3510" s="11">
        <v>43747.151898148149</v>
      </c>
      <c r="B3510" s="12" t="str">
        <f>HYPERLINK("https://twitter.com/KaraCoinn","@KaraCoinn")</f>
        <v>@KaraCoinn</v>
      </c>
      <c r="C3510" s="7" t="s">
        <v>19151</v>
      </c>
      <c r="D3510" s="7" t="s">
        <v>19152</v>
      </c>
      <c r="E3510" s="12" t="str">
        <f>HYPERLINK("https://twitter.com/KaraCoinn/status/1181881674084298752","1181881674084298752")</f>
        <v>1181881674084298752</v>
      </c>
      <c r="F3510" s="14" t="s">
        <v>19153</v>
      </c>
      <c r="G3510" s="14" t="s">
        <v>19154</v>
      </c>
      <c r="H3510" s="8"/>
      <c r="I3510" s="15">
        <v>0</v>
      </c>
      <c r="J3510" s="15">
        <v>0</v>
      </c>
      <c r="K3510" s="12" t="str">
        <f>HYPERLINK("https://mobile.twitter.com","Twitter Web App")</f>
        <v>Twitter Web App</v>
      </c>
      <c r="L3510" s="16">
        <v>314</v>
      </c>
      <c r="M3510" s="16">
        <v>167</v>
      </c>
      <c r="N3510" s="16">
        <v>2</v>
      </c>
      <c r="O3510" s="17"/>
      <c r="P3510" s="18">
        <v>42452.4058912037</v>
      </c>
      <c r="Q3510" s="7" t="s">
        <v>313</v>
      </c>
      <c r="R3510" s="7" t="s">
        <v>19155</v>
      </c>
      <c r="S3510" s="14" t="s">
        <v>19156</v>
      </c>
      <c r="T3510" s="8"/>
      <c r="U3510" s="19" t="str">
        <f>HYPERLINK("https://pbs.twimg.com/profile_images/1151017951337865216/mCd8Pnq9.jpg","View")</f>
        <v>View</v>
      </c>
      <c r="V3510" s="8"/>
      <c r="W3510" s="8"/>
      <c r="X3510" s="8"/>
      <c r="Y3510" s="8"/>
      <c r="Z3510" s="8"/>
    </row>
    <row r="3511" spans="1:26" ht="12.75">
      <c r="A3511" s="11">
        <v>43747.151770833334</v>
      </c>
      <c r="B3511" s="12" t="str">
        <f>HYPERLINK("https://twitter.com/turkeyswar","@turkeyswar")</f>
        <v>@turkeyswar</v>
      </c>
      <c r="C3511" s="7" t="s">
        <v>19157</v>
      </c>
      <c r="D3511" s="7" t="s">
        <v>19158</v>
      </c>
      <c r="E3511" s="12" t="str">
        <f>HYPERLINK("https://twitter.com/turkeyswar/status/1181881631877074944","1181881631877074944")</f>
        <v>1181881631877074944</v>
      </c>
      <c r="F3511" s="15"/>
      <c r="G3511" s="15"/>
      <c r="H3511" s="8"/>
      <c r="I3511" s="15">
        <v>0</v>
      </c>
      <c r="J3511" s="15">
        <v>5</v>
      </c>
      <c r="K3511" s="12" t="str">
        <f>HYPERLINK("http://twitter.com/download/android","Twitter for Android")</f>
        <v>Twitter for Android</v>
      </c>
      <c r="L3511" s="16">
        <v>1855</v>
      </c>
      <c r="M3511" s="16">
        <v>1711</v>
      </c>
      <c r="N3511" s="16">
        <v>0</v>
      </c>
      <c r="O3511" s="17"/>
      <c r="P3511" s="18">
        <v>41045.667928240742</v>
      </c>
      <c r="Q3511" s="7"/>
      <c r="R3511" s="7" t="s">
        <v>19159</v>
      </c>
      <c r="S3511" s="8"/>
      <c r="T3511" s="8"/>
      <c r="U3511" s="19" t="str">
        <f>HYPERLINK("https://pbs.twimg.com/profile_images/1162377538712363010/W4kKV8Je.jpg","View")</f>
        <v>View</v>
      </c>
      <c r="V3511" s="8"/>
      <c r="W3511" s="8"/>
      <c r="X3511" s="8"/>
      <c r="Y3511" s="8"/>
      <c r="Z3511" s="8"/>
    </row>
    <row r="3512" spans="1:26" ht="12.75">
      <c r="A3512" s="11">
        <v>43747.151759259257</v>
      </c>
      <c r="B3512" s="12" t="str">
        <f>HYPERLINK("https://twitter.com/sleymanozk","@sleymanozk")</f>
        <v>@sleymanozk</v>
      </c>
      <c r="C3512" s="7" t="s">
        <v>19160</v>
      </c>
      <c r="D3512" s="7" t="s">
        <v>19161</v>
      </c>
      <c r="E3512" s="12" t="str">
        <f>HYPERLINK("https://twitter.com/sleymanozk/status/1181881625367498752","1181881625367498752")</f>
        <v>1181881625367498752</v>
      </c>
      <c r="F3512" s="8"/>
      <c r="G3512" s="14" t="s">
        <v>19162</v>
      </c>
      <c r="H3512" s="8"/>
      <c r="I3512" s="15">
        <v>0</v>
      </c>
      <c r="J3512" s="15">
        <v>3</v>
      </c>
      <c r="K3512" s="12" t="str">
        <f>HYPERLINK("http://twitter.com/download/iphone","Twitter for iPhone")</f>
        <v>Twitter for iPhone</v>
      </c>
      <c r="L3512" s="16">
        <v>40</v>
      </c>
      <c r="M3512" s="16">
        <v>102</v>
      </c>
      <c r="N3512" s="16">
        <v>0</v>
      </c>
      <c r="O3512" s="17"/>
      <c r="P3512" s="18">
        <v>43585.480231481481</v>
      </c>
      <c r="Q3512" s="7" t="s">
        <v>80</v>
      </c>
      <c r="R3512" s="14" t="s">
        <v>19163</v>
      </c>
      <c r="S3512" s="8"/>
      <c r="T3512" s="8"/>
      <c r="U3512" s="19" t="str">
        <f>HYPERLINK("https://pbs.twimg.com/profile_images/1172130521155035136/vD6TSHkV.jpg","View")</f>
        <v>View</v>
      </c>
      <c r="V3512" s="8"/>
      <c r="W3512" s="8"/>
      <c r="X3512" s="8"/>
      <c r="Y3512" s="8"/>
      <c r="Z3512" s="8"/>
    </row>
    <row r="3513" spans="1:26" ht="12.75">
      <c r="A3513" s="11">
        <v>43747.151747685188</v>
      </c>
      <c r="B3513" s="12" t="str">
        <f>HYPERLINK("https://twitter.com/FuatOzen58","@FuatOzen58")</f>
        <v>@FuatOzen58</v>
      </c>
      <c r="C3513" s="7" t="s">
        <v>19164</v>
      </c>
      <c r="D3513" s="7" t="s">
        <v>19165</v>
      </c>
      <c r="E3513" s="12" t="str">
        <f>HYPERLINK("https://twitter.com/FuatOzen58/status/1181881622494433280","1181881622494433280")</f>
        <v>1181881622494433280</v>
      </c>
      <c r="F3513" s="8"/>
      <c r="G3513" s="15"/>
      <c r="H3513" s="8"/>
      <c r="I3513" s="15">
        <v>0</v>
      </c>
      <c r="J3513" s="15">
        <v>1</v>
      </c>
      <c r="K3513" s="12" t="str">
        <f>HYPERLINK("http://twitter.com/download/android","Twitter for Android")</f>
        <v>Twitter for Android</v>
      </c>
      <c r="L3513" s="16">
        <v>4679</v>
      </c>
      <c r="M3513" s="16">
        <v>1285</v>
      </c>
      <c r="N3513" s="16">
        <v>4</v>
      </c>
      <c r="O3513" s="17"/>
      <c r="P3513" s="18">
        <v>40856.470486111109</v>
      </c>
      <c r="Q3513" s="7"/>
      <c r="R3513" s="7" t="s">
        <v>19166</v>
      </c>
      <c r="S3513" s="8"/>
      <c r="T3513" s="8"/>
      <c r="U3513" s="19" t="str">
        <f>HYPERLINK("https://pbs.twimg.com/profile_images/1040537163849523201/SvqdypWX.jpg","View")</f>
        <v>View</v>
      </c>
      <c r="V3513" s="8"/>
      <c r="W3513" s="8"/>
      <c r="X3513" s="8"/>
      <c r="Y3513" s="8"/>
      <c r="Z3513" s="8"/>
    </row>
    <row r="3514" spans="1:26" ht="12.75">
      <c r="A3514" s="11">
        <v>43747.151747685188</v>
      </c>
      <c r="B3514" s="12" t="str">
        <f>HYPERLINK("https://twitter.com/rrabiacelik","@rrabiacelik")</f>
        <v>@rrabiacelik</v>
      </c>
      <c r="C3514" s="7" t="s">
        <v>19167</v>
      </c>
      <c r="D3514" s="7" t="s">
        <v>160</v>
      </c>
      <c r="E3514" s="12" t="str">
        <f>HYPERLINK("https://twitter.com/rrabiacelik/status/1181881621974306818","1181881621974306818")</f>
        <v>1181881621974306818</v>
      </c>
      <c r="F3514" s="8"/>
      <c r="G3514" s="15"/>
      <c r="H3514" s="8"/>
      <c r="I3514" s="15">
        <v>0</v>
      </c>
      <c r="J3514" s="15">
        <v>0</v>
      </c>
      <c r="K3514" s="12" t="str">
        <f>HYPERLINK("https://mobile.twitter.com","Twitter Web App")</f>
        <v>Twitter Web App</v>
      </c>
      <c r="L3514" s="16">
        <v>57</v>
      </c>
      <c r="M3514" s="16">
        <v>396</v>
      </c>
      <c r="N3514" s="16">
        <v>0</v>
      </c>
      <c r="O3514" s="17"/>
      <c r="P3514" s="18">
        <v>42977.123842592591</v>
      </c>
      <c r="Q3514" s="7" t="s">
        <v>313</v>
      </c>
      <c r="R3514" s="7" t="s">
        <v>19168</v>
      </c>
      <c r="S3514" s="15"/>
      <c r="T3514" s="8"/>
      <c r="U3514" s="19" t="str">
        <f>HYPERLINK("https://pbs.twimg.com/profile_images/1044173765905723392/5JBV2GFg.jpg","View")</f>
        <v>View</v>
      </c>
      <c r="V3514" s="8"/>
      <c r="W3514" s="8"/>
      <c r="X3514" s="8"/>
      <c r="Y3514" s="8"/>
      <c r="Z3514" s="8"/>
    </row>
    <row r="3515" spans="1:26" ht="12.75">
      <c r="A3515" s="11">
        <v>43747.151747685188</v>
      </c>
      <c r="B3515" s="12" t="str">
        <f>HYPERLINK("https://twitter.com/dilaraaacoskunn","@dilaraaacoskunn")</f>
        <v>@dilaraaacoskunn</v>
      </c>
      <c r="C3515" s="7" t="s">
        <v>19169</v>
      </c>
      <c r="D3515" s="7" t="s">
        <v>19170</v>
      </c>
      <c r="E3515" s="12" t="str">
        <f>HYPERLINK("https://twitter.com/dilaraaacoskunn/status/1181881621739397120","1181881621739397120")</f>
        <v>1181881621739397120</v>
      </c>
      <c r="F3515" s="8"/>
      <c r="G3515" s="14" t="s">
        <v>19171</v>
      </c>
      <c r="H3515" s="8"/>
      <c r="I3515" s="15">
        <v>0</v>
      </c>
      <c r="J3515" s="15">
        <v>2</v>
      </c>
      <c r="K3515" s="12" t="str">
        <f>HYPERLINK("http://twitter.com/download/android","Twitter for Android")</f>
        <v>Twitter for Android</v>
      </c>
      <c r="L3515" s="16">
        <v>116</v>
      </c>
      <c r="M3515" s="16">
        <v>195</v>
      </c>
      <c r="N3515" s="16">
        <v>0</v>
      </c>
      <c r="O3515" s="17"/>
      <c r="P3515" s="18">
        <v>42955.623657407406</v>
      </c>
      <c r="Q3515" s="7" t="s">
        <v>313</v>
      </c>
      <c r="R3515" s="7" t="s">
        <v>19172</v>
      </c>
      <c r="S3515" s="15"/>
      <c r="T3515" s="8"/>
      <c r="U3515" s="19" t="str">
        <f>HYPERLINK("https://pbs.twimg.com/profile_images/1179527147154808832/XLMg2IkN.jpg","View")</f>
        <v>View</v>
      </c>
      <c r="V3515" s="8"/>
      <c r="W3515" s="8"/>
      <c r="X3515" s="8"/>
      <c r="Y3515" s="8"/>
      <c r="Z3515" s="8"/>
    </row>
    <row r="3516" spans="1:26" ht="12.75">
      <c r="A3516" s="11">
        <v>43747.151655092588</v>
      </c>
      <c r="B3516" s="12" t="str">
        <f>HYPERLINK("https://twitter.com/Kubra__571","@Kubra__571")</f>
        <v>@Kubra__571</v>
      </c>
      <c r="C3516" s="7" t="s">
        <v>19173</v>
      </c>
      <c r="D3516" s="7" t="s">
        <v>19174</v>
      </c>
      <c r="E3516" s="12" t="str">
        <f>HYPERLINK("https://twitter.com/Kubra__571/status/1181881585794211842","1181881585794211842")</f>
        <v>1181881585794211842</v>
      </c>
      <c r="F3516" s="8"/>
      <c r="G3516" s="15"/>
      <c r="H3516" s="8"/>
      <c r="I3516" s="15">
        <v>14</v>
      </c>
      <c r="J3516" s="15">
        <v>53</v>
      </c>
      <c r="K3516" s="12" t="str">
        <f>HYPERLINK("http://twitter.com/download/android","Twitter for Android")</f>
        <v>Twitter for Android</v>
      </c>
      <c r="L3516" s="16">
        <v>10915</v>
      </c>
      <c r="M3516" s="16">
        <v>10894</v>
      </c>
      <c r="N3516" s="16">
        <v>1</v>
      </c>
      <c r="O3516" s="17"/>
      <c r="P3516" s="18">
        <v>40572.639803240745</v>
      </c>
      <c r="Q3516" s="7" t="s">
        <v>19175</v>
      </c>
      <c r="R3516" s="21" t="s">
        <v>19176</v>
      </c>
      <c r="S3516" s="8"/>
      <c r="T3516" s="8"/>
      <c r="U3516" s="19" t="str">
        <f>HYPERLINK("https://pbs.twimg.com/profile_images/1151021321716994048/KVY3WoTt.jpg","View")</f>
        <v>View</v>
      </c>
      <c r="V3516" s="8"/>
      <c r="W3516" s="8"/>
      <c r="X3516" s="8"/>
      <c r="Y3516" s="8"/>
      <c r="Z3516" s="8"/>
    </row>
    <row r="3517" spans="1:26" ht="12.75">
      <c r="A3517" s="11">
        <v>43747.151620370365</v>
      </c>
      <c r="B3517" s="12" t="str">
        <f>HYPERLINK("https://twitter.com/Omurabc","@Omurabc")</f>
        <v>@Omurabc</v>
      </c>
      <c r="C3517" s="7" t="s">
        <v>19177</v>
      </c>
      <c r="D3517" s="7" t="s">
        <v>19178</v>
      </c>
      <c r="E3517" s="12" t="str">
        <f>HYPERLINK("https://twitter.com/Omurabc/status/1181881576206012416","1181881576206012416")</f>
        <v>1181881576206012416</v>
      </c>
      <c r="F3517" s="8"/>
      <c r="G3517" s="15"/>
      <c r="H3517" s="8"/>
      <c r="I3517" s="15">
        <v>0</v>
      </c>
      <c r="J3517" s="15">
        <v>2</v>
      </c>
      <c r="K3517" s="12" t="str">
        <f>HYPERLINK("http://twitter.com/download/iphone","Twitter for iPhone")</f>
        <v>Twitter for iPhone</v>
      </c>
      <c r="L3517" s="16">
        <v>209</v>
      </c>
      <c r="M3517" s="16">
        <v>94</v>
      </c>
      <c r="N3517" s="16">
        <v>1</v>
      </c>
      <c r="O3517" s="17"/>
      <c r="P3517" s="18">
        <v>40470.47828703704</v>
      </c>
      <c r="Q3517" s="7" t="s">
        <v>1392</v>
      </c>
      <c r="R3517" s="7" t="s">
        <v>19179</v>
      </c>
      <c r="S3517" s="8"/>
      <c r="T3517" s="8"/>
      <c r="U3517" s="19" t="str">
        <f>HYPERLINK("https://pbs.twimg.com/profile_images/936145474301648896/nGOA1Rrf.jpg","View")</f>
        <v>View</v>
      </c>
      <c r="V3517" s="8"/>
      <c r="W3517" s="8"/>
      <c r="X3517" s="8"/>
      <c r="Y3517" s="8"/>
      <c r="Z3517" s="8"/>
    </row>
    <row r="3518" spans="1:26" ht="12.75">
      <c r="A3518" s="11">
        <v>43747.151608796295</v>
      </c>
      <c r="B3518" s="12" t="str">
        <f>HYPERLINK("https://twitter.com/7_husnu","@7_husnu")</f>
        <v>@7_husnu</v>
      </c>
      <c r="C3518" s="7" t="s">
        <v>19180</v>
      </c>
      <c r="D3518" s="7" t="s">
        <v>19181</v>
      </c>
      <c r="E3518" s="12" t="str">
        <f>HYPERLINK("https://twitter.com/7_husnu/status/1181881569063116800","1181881569063116800")</f>
        <v>1181881569063116800</v>
      </c>
      <c r="F3518" s="14" t="s">
        <v>19182</v>
      </c>
      <c r="G3518" s="14" t="s">
        <v>19183</v>
      </c>
      <c r="H3518" s="8"/>
      <c r="I3518" s="15">
        <v>0</v>
      </c>
      <c r="J3518" s="15">
        <v>1</v>
      </c>
      <c r="K3518" s="12" t="str">
        <f>HYPERLINK("http://twitter.com/download/android","Twitter for Android")</f>
        <v>Twitter for Android</v>
      </c>
      <c r="L3518" s="16">
        <v>1593</v>
      </c>
      <c r="M3518" s="16">
        <v>1688</v>
      </c>
      <c r="N3518" s="16">
        <v>0</v>
      </c>
      <c r="O3518" s="17"/>
      <c r="P3518" s="18">
        <v>43138.542523148149</v>
      </c>
      <c r="Q3518" s="7" t="s">
        <v>19184</v>
      </c>
      <c r="R3518" s="7" t="s">
        <v>19185</v>
      </c>
      <c r="S3518" s="8"/>
      <c r="T3518" s="8"/>
      <c r="U3518" s="19" t="str">
        <f>HYPERLINK("https://pbs.twimg.com/profile_images/961346580820439040/2gEsFjFe.jpg","View")</f>
        <v>View</v>
      </c>
      <c r="V3518" s="8"/>
      <c r="W3518" s="8"/>
      <c r="X3518" s="8"/>
      <c r="Y3518" s="8"/>
      <c r="Z3518" s="8"/>
    </row>
    <row r="3519" spans="1:26" ht="12.75">
      <c r="A3519" s="11">
        <v>43747.151539351849</v>
      </c>
      <c r="B3519" s="12" t="str">
        <f>HYPERLINK("https://twitter.com/erdem_dirik","@erdem_dirik")</f>
        <v>@erdem_dirik</v>
      </c>
      <c r="C3519" s="7" t="s">
        <v>19186</v>
      </c>
      <c r="D3519" s="7" t="s">
        <v>19187</v>
      </c>
      <c r="E3519" s="12" t="str">
        <f>HYPERLINK("https://twitter.com/erdem_dirik/status/1181881547500208128","1181881547500208128")</f>
        <v>1181881547500208128</v>
      </c>
      <c r="F3519" s="15"/>
      <c r="G3519" s="7"/>
      <c r="H3519" s="8"/>
      <c r="I3519" s="15">
        <v>0</v>
      </c>
      <c r="J3519" s="15">
        <v>0</v>
      </c>
      <c r="K3519" s="12" t="str">
        <f>HYPERLINK("http://twitter.com/download/android","Twitter for Android")</f>
        <v>Twitter for Android</v>
      </c>
      <c r="L3519" s="16">
        <v>76</v>
      </c>
      <c r="M3519" s="16">
        <v>132</v>
      </c>
      <c r="N3519" s="16">
        <v>0</v>
      </c>
      <c r="O3519" s="17"/>
      <c r="P3519" s="18">
        <v>42419.571342592593</v>
      </c>
      <c r="Q3519" s="7" t="s">
        <v>12616</v>
      </c>
      <c r="R3519" s="7" t="s">
        <v>19188</v>
      </c>
      <c r="S3519" s="8"/>
      <c r="T3519" s="8"/>
      <c r="U3519" s="19" t="str">
        <f>HYPERLINK("https://pbs.twimg.com/profile_images/1179524076148314112/f5wz_8Yz.jpg","View")</f>
        <v>View</v>
      </c>
      <c r="V3519" s="8"/>
      <c r="W3519" s="8"/>
      <c r="X3519" s="8"/>
      <c r="Y3519" s="8"/>
      <c r="Z3519" s="8"/>
    </row>
    <row r="3520" spans="1:26" ht="12.75">
      <c r="A3520" s="11">
        <v>43747.151516203703</v>
      </c>
      <c r="B3520" s="12" t="str">
        <f>HYPERLINK("https://twitter.com/ElicetinSermin","@ElicetinSermin")</f>
        <v>@ElicetinSermin</v>
      </c>
      <c r="C3520" s="7" t="s">
        <v>19189</v>
      </c>
      <c r="D3520" s="7" t="s">
        <v>19190</v>
      </c>
      <c r="E3520" s="12" t="str">
        <f>HYPERLINK("https://twitter.com/ElicetinSermin/status/1181881536121061376","1181881536121061376")</f>
        <v>1181881536121061376</v>
      </c>
      <c r="F3520" s="8"/>
      <c r="G3520" s="15"/>
      <c r="H3520" s="8"/>
      <c r="I3520" s="15">
        <v>0</v>
      </c>
      <c r="J3520" s="15">
        <v>0</v>
      </c>
      <c r="K3520" s="12" t="str">
        <f>HYPERLINK("http://twitter.com","Twitter Web Client")</f>
        <v>Twitter Web Client</v>
      </c>
      <c r="L3520" s="16">
        <v>4</v>
      </c>
      <c r="M3520" s="16">
        <v>0</v>
      </c>
      <c r="N3520" s="16">
        <v>0</v>
      </c>
      <c r="O3520" s="17"/>
      <c r="P3520" s="18">
        <v>43683.857893518521</v>
      </c>
      <c r="Q3520" s="7" t="s">
        <v>9575</v>
      </c>
      <c r="R3520" s="7" t="s">
        <v>19191</v>
      </c>
      <c r="S3520" s="8"/>
      <c r="T3520" s="8"/>
      <c r="U3520" s="19" t="str">
        <f>HYPERLINK("https://pbs.twimg.com/profile_images/1167221363775590410/tldSMD6y.jpg","View")</f>
        <v>View</v>
      </c>
      <c r="V3520" s="8"/>
      <c r="W3520" s="8"/>
      <c r="X3520" s="8"/>
      <c r="Y3520" s="8"/>
      <c r="Z3520" s="8"/>
    </row>
    <row r="3521" spans="1:26" ht="12.75">
      <c r="A3521" s="11">
        <v>43747.15148148148</v>
      </c>
      <c r="B3521" s="12" t="str">
        <f>HYPERLINK("https://twitter.com/bbarut","@bbarut")</f>
        <v>@bbarut</v>
      </c>
      <c r="C3521" s="7" t="s">
        <v>19192</v>
      </c>
      <c r="D3521" s="7" t="s">
        <v>19193</v>
      </c>
      <c r="E3521" s="12" t="str">
        <f>HYPERLINK("https://twitter.com/bbarut/status/1181881525962452993","1181881525962452993")</f>
        <v>1181881525962452993</v>
      </c>
      <c r="F3521" s="8"/>
      <c r="G3521" s="15"/>
      <c r="H3521" s="8"/>
      <c r="I3521" s="15">
        <v>0</v>
      </c>
      <c r="J3521" s="15">
        <v>0</v>
      </c>
      <c r="K3521" s="12" t="str">
        <f>HYPERLINK("http://twitter.com/download/iphone","Twitter for iPhone")</f>
        <v>Twitter for iPhone</v>
      </c>
      <c r="L3521" s="16">
        <v>311</v>
      </c>
      <c r="M3521" s="16">
        <v>253</v>
      </c>
      <c r="N3521" s="16">
        <v>2</v>
      </c>
      <c r="O3521" s="17"/>
      <c r="P3521" s="18">
        <v>40275.009953703702</v>
      </c>
      <c r="Q3521" s="7" t="s">
        <v>860</v>
      </c>
      <c r="R3521" s="7" t="s">
        <v>19194</v>
      </c>
      <c r="S3521" s="8"/>
      <c r="T3521" s="8"/>
      <c r="U3521" s="19" t="str">
        <f>HYPERLINK("https://pbs.twimg.com/profile_images/1051557717062680576/3mdJsOkq.jpg","View")</f>
        <v>View</v>
      </c>
      <c r="V3521" s="8"/>
      <c r="W3521" s="8"/>
      <c r="X3521" s="8"/>
      <c r="Y3521" s="8"/>
      <c r="Z3521" s="8"/>
    </row>
    <row r="3522" spans="1:26" ht="12.75">
      <c r="A3522" s="11">
        <v>43747.151469907403</v>
      </c>
      <c r="B3522" s="12" t="str">
        <f>HYPERLINK("https://twitter.com/IYI_BIR_INSAN_","@IYI_BIR_INSAN_")</f>
        <v>@IYI_BIR_INSAN_</v>
      </c>
      <c r="C3522" s="7" t="s">
        <v>19195</v>
      </c>
      <c r="D3522" s="7" t="s">
        <v>14293</v>
      </c>
      <c r="E3522" s="12" t="str">
        <f>HYPERLINK("https://twitter.com/IYI_BIR_INSAN_/status/1181881522477047808","1181881522477047808")</f>
        <v>1181881522477047808</v>
      </c>
      <c r="F3522" s="8"/>
      <c r="G3522" s="14" t="s">
        <v>19196</v>
      </c>
      <c r="H3522" s="8"/>
      <c r="I3522" s="15">
        <v>5</v>
      </c>
      <c r="J3522" s="15">
        <v>35</v>
      </c>
      <c r="K3522" s="12" t="str">
        <f>HYPERLINK("http://twitter.com/download/android","Twitter for Android")</f>
        <v>Twitter for Android</v>
      </c>
      <c r="L3522" s="16">
        <v>13439</v>
      </c>
      <c r="M3522" s="16">
        <v>13295</v>
      </c>
      <c r="N3522" s="16">
        <v>2</v>
      </c>
      <c r="O3522" s="17"/>
      <c r="P3522" s="18">
        <v>43467.348726851851</v>
      </c>
      <c r="Q3522" s="7" t="s">
        <v>252</v>
      </c>
      <c r="R3522" s="7" t="s">
        <v>19197</v>
      </c>
      <c r="S3522" s="8"/>
      <c r="T3522" s="8"/>
      <c r="U3522" s="19" t="str">
        <f>HYPERLINK("https://pbs.twimg.com/profile_images/1080501595677356032/NcjYpQtw.jpg","View")</f>
        <v>View</v>
      </c>
      <c r="V3522" s="8"/>
      <c r="W3522" s="8"/>
      <c r="X3522" s="8"/>
      <c r="Y3522" s="8"/>
      <c r="Z3522" s="8"/>
    </row>
    <row r="3523" spans="1:26" ht="12.75">
      <c r="A3523" s="11">
        <v>43747.15143518518</v>
      </c>
      <c r="B3523" s="12" t="str">
        <f>HYPERLINK("https://twitter.com/FurkanAwc","@FurkanAwc")</f>
        <v>@FurkanAwc</v>
      </c>
      <c r="C3523" s="7" t="s">
        <v>19198</v>
      </c>
      <c r="D3523" s="7" t="s">
        <v>160</v>
      </c>
      <c r="E3523" s="12" t="str">
        <f>HYPERLINK("https://twitter.com/FurkanAwc/status/1181881509902536704","1181881509902536704")</f>
        <v>1181881509902536704</v>
      </c>
      <c r="F3523" s="15"/>
      <c r="G3523" s="14" t="s">
        <v>19199</v>
      </c>
      <c r="H3523" s="8"/>
      <c r="I3523" s="15">
        <v>0</v>
      </c>
      <c r="J3523" s="15">
        <v>1</v>
      </c>
      <c r="K3523" s="12" t="str">
        <f>HYPERLINK("http://twitter.com/download/iphone","Twitter for iPhone")</f>
        <v>Twitter for iPhone</v>
      </c>
      <c r="L3523" s="16">
        <v>64</v>
      </c>
      <c r="M3523" s="16">
        <v>41</v>
      </c>
      <c r="N3523" s="16">
        <v>0</v>
      </c>
      <c r="O3523" s="17"/>
      <c r="P3523" s="18">
        <v>41951.233530092592</v>
      </c>
      <c r="Q3523" s="7" t="s">
        <v>576</v>
      </c>
      <c r="R3523" s="7" t="s">
        <v>19200</v>
      </c>
      <c r="S3523" s="8"/>
      <c r="T3523" s="8"/>
      <c r="U3523" s="19" t="str">
        <f>HYPERLINK("https://pbs.twimg.com/profile_images/1047792031999954944/kE7XrmSM.jpg","View")</f>
        <v>View</v>
      </c>
      <c r="V3523" s="8"/>
      <c r="W3523" s="8"/>
      <c r="X3523" s="8"/>
      <c r="Y3523" s="8"/>
      <c r="Z3523" s="8"/>
    </row>
    <row r="3524" spans="1:26" ht="12.75">
      <c r="A3524" s="11">
        <v>43747.15143518518</v>
      </c>
      <c r="B3524" s="12" t="str">
        <f>HYPERLINK("https://twitter.com/uA_1905_34","@uA_1905_34")</f>
        <v>@uA_1905_34</v>
      </c>
      <c r="C3524" s="7" t="s">
        <v>19201</v>
      </c>
      <c r="D3524" s="7" t="s">
        <v>13999</v>
      </c>
      <c r="E3524" s="12" t="str">
        <f>HYPERLINK("https://twitter.com/uA_1905_34/status/1181881507377537025","1181881507377537025")</f>
        <v>1181881507377537025</v>
      </c>
      <c r="F3524" s="15"/>
      <c r="G3524" s="14" t="s">
        <v>19202</v>
      </c>
      <c r="H3524" s="8"/>
      <c r="I3524" s="15">
        <v>0</v>
      </c>
      <c r="J3524" s="15">
        <v>3</v>
      </c>
      <c r="K3524" s="12" t="str">
        <f>HYPERLINK("http://twitter.com/download/android","Twitter for Android")</f>
        <v>Twitter for Android</v>
      </c>
      <c r="L3524" s="16">
        <v>218</v>
      </c>
      <c r="M3524" s="16">
        <v>285</v>
      </c>
      <c r="N3524" s="16">
        <v>0</v>
      </c>
      <c r="O3524" s="17"/>
      <c r="P3524" s="18">
        <v>43701.653680555552</v>
      </c>
      <c r="Q3524" s="7" t="s">
        <v>313</v>
      </c>
      <c r="R3524" s="7" t="s">
        <v>19203</v>
      </c>
      <c r="S3524" s="14" t="s">
        <v>19204</v>
      </c>
      <c r="T3524" s="8"/>
      <c r="U3524" s="19" t="str">
        <f>HYPERLINK("https://pbs.twimg.com/profile_images/1165393737180241922/YOxzgKzX.jpg","View")</f>
        <v>View</v>
      </c>
      <c r="V3524" s="8"/>
      <c r="W3524" s="8"/>
      <c r="X3524" s="8"/>
      <c r="Y3524" s="8"/>
      <c r="Z3524" s="8"/>
    </row>
    <row r="3525" spans="1:26" ht="12.75">
      <c r="A3525" s="11">
        <v>43747.151354166665</v>
      </c>
      <c r="B3525" s="12" t="str">
        <f>HYPERLINK("https://twitter.com/omerfrkgngr5","@omerfrkgngr5")</f>
        <v>@omerfrkgngr5</v>
      </c>
      <c r="C3525" s="7" t="s">
        <v>19205</v>
      </c>
      <c r="D3525" s="7" t="s">
        <v>160</v>
      </c>
      <c r="E3525" s="12" t="str">
        <f>HYPERLINK("https://twitter.com/omerfrkgngr5/status/1181881479867113473","1181881479867113473")</f>
        <v>1181881479867113473</v>
      </c>
      <c r="F3525" s="8"/>
      <c r="G3525" s="14" t="s">
        <v>19206</v>
      </c>
      <c r="H3525" s="8"/>
      <c r="I3525" s="15">
        <v>0</v>
      </c>
      <c r="J3525" s="15">
        <v>0</v>
      </c>
      <c r="K3525" s="12" t="str">
        <f>HYPERLINK("http://twitter.com/download/android","Twitter for Android")</f>
        <v>Twitter for Android</v>
      </c>
      <c r="L3525" s="16">
        <v>19</v>
      </c>
      <c r="M3525" s="16">
        <v>48</v>
      </c>
      <c r="N3525" s="16">
        <v>0</v>
      </c>
      <c r="O3525" s="17"/>
      <c r="P3525" s="18">
        <v>42645.520682870367</v>
      </c>
      <c r="Q3525" s="7" t="s">
        <v>4645</v>
      </c>
      <c r="R3525" s="7" t="s">
        <v>19207</v>
      </c>
      <c r="S3525" s="8"/>
      <c r="T3525" s="8"/>
      <c r="U3525" s="19" t="str">
        <f>HYPERLINK("https://pbs.twimg.com/profile_images/1158400163049811970/jXxNfBNy.jpg","View")</f>
        <v>View</v>
      </c>
      <c r="V3525" s="8"/>
      <c r="W3525" s="8"/>
      <c r="X3525" s="8"/>
      <c r="Y3525" s="8"/>
      <c r="Z3525" s="8"/>
    </row>
    <row r="3526" spans="1:26" ht="12.75">
      <c r="A3526" s="11">
        <v>43747.151296296295</v>
      </c>
      <c r="B3526" s="12" t="str">
        <f>HYPERLINK("https://twitter.com/KacSaatOlduTR","@KacSaatOlduTR")</f>
        <v>@KacSaatOlduTR</v>
      </c>
      <c r="C3526" s="7" t="s">
        <v>19208</v>
      </c>
      <c r="D3526" s="7" t="s">
        <v>15087</v>
      </c>
      <c r="E3526" s="12" t="str">
        <f>HYPERLINK("https://twitter.com/KacSaatOlduTR/status/1181881457695956995","1181881457695956995")</f>
        <v>1181881457695956995</v>
      </c>
      <c r="F3526" s="8"/>
      <c r="G3526" s="14" t="s">
        <v>19209</v>
      </c>
      <c r="H3526" s="8"/>
      <c r="I3526" s="15">
        <v>34</v>
      </c>
      <c r="J3526" s="15">
        <v>188</v>
      </c>
      <c r="K3526" s="12" t="str">
        <f>HYPERLINK("http://twitter.com/download/iphone","Twitter for iPhone")</f>
        <v>Twitter for iPhone</v>
      </c>
      <c r="L3526" s="16">
        <v>205151</v>
      </c>
      <c r="M3526" s="16">
        <v>77655</v>
      </c>
      <c r="N3526" s="16">
        <v>257</v>
      </c>
      <c r="O3526" s="17"/>
      <c r="P3526" s="18">
        <v>41154.368043981478</v>
      </c>
      <c r="Q3526" s="7"/>
      <c r="R3526" s="7" t="s">
        <v>19210</v>
      </c>
      <c r="S3526" s="8"/>
      <c r="T3526" s="8"/>
      <c r="U3526" s="19" t="str">
        <f>HYPERLINK("https://pbs.twimg.com/profile_images/867756154495152128/ZPpiFMAX.jpg","View")</f>
        <v>View</v>
      </c>
      <c r="V3526" s="8"/>
      <c r="W3526" s="8"/>
      <c r="X3526" s="8"/>
      <c r="Y3526" s="8"/>
      <c r="Z3526" s="8"/>
    </row>
    <row r="3527" spans="1:26" ht="12.75">
      <c r="A3527" s="11">
        <v>43747.151261574079</v>
      </c>
      <c r="B3527" s="12" t="str">
        <f>HYPERLINK("https://twitter.com/ZicTiRed250mg","@ZicTiRed250mg")</f>
        <v>@ZicTiRed250mg</v>
      </c>
      <c r="C3527" s="7" t="s">
        <v>19211</v>
      </c>
      <c r="D3527" s="7" t="s">
        <v>19212</v>
      </c>
      <c r="E3527" s="12" t="str">
        <f>HYPERLINK("https://twitter.com/ZicTiRed250mg/status/1181881446140538882","1181881446140538882")</f>
        <v>1181881446140538882</v>
      </c>
      <c r="F3527" s="14" t="s">
        <v>14233</v>
      </c>
      <c r="G3527" s="14" t="s">
        <v>14234</v>
      </c>
      <c r="H3527" s="8"/>
      <c r="I3527" s="15">
        <v>1</v>
      </c>
      <c r="J3527" s="15">
        <v>1</v>
      </c>
      <c r="K3527" s="12" t="str">
        <f>HYPERLINK("http://twitter.com/download/android","Twitter for Android")</f>
        <v>Twitter for Android</v>
      </c>
      <c r="L3527" s="16">
        <v>888</v>
      </c>
      <c r="M3527" s="16">
        <v>1230</v>
      </c>
      <c r="N3527" s="16">
        <v>1</v>
      </c>
      <c r="O3527" s="17"/>
      <c r="P3527" s="18">
        <v>42382.439467592594</v>
      </c>
      <c r="Q3527" s="7" t="s">
        <v>287</v>
      </c>
      <c r="R3527" s="7" t="s">
        <v>19213</v>
      </c>
      <c r="S3527" s="8"/>
      <c r="T3527" s="8"/>
      <c r="U3527" s="19" t="str">
        <f>HYPERLINK("https://pbs.twimg.com/profile_images/1149818985619369984/kpnsrYJp.jpg","View")</f>
        <v>View</v>
      </c>
      <c r="V3527" s="8"/>
      <c r="W3527" s="8"/>
      <c r="X3527" s="8"/>
      <c r="Y3527" s="8"/>
      <c r="Z3527" s="8"/>
    </row>
    <row r="3528" spans="1:26" ht="12.75">
      <c r="A3528" s="11">
        <v>43747.151226851856</v>
      </c>
      <c r="B3528" s="12" t="str">
        <f>HYPERLINK("https://twitter.com/ismaail_coban","@ismaail_coban")</f>
        <v>@ismaail_coban</v>
      </c>
      <c r="C3528" s="7" t="s">
        <v>19214</v>
      </c>
      <c r="D3528" s="7" t="s">
        <v>19215</v>
      </c>
      <c r="E3528" s="12" t="str">
        <f>HYPERLINK("https://twitter.com/ismaail_coban/status/1181881432173666304","1181881432173666304")</f>
        <v>1181881432173666304</v>
      </c>
      <c r="F3528" s="8"/>
      <c r="G3528" s="14" t="s">
        <v>19216</v>
      </c>
      <c r="H3528" s="8"/>
      <c r="I3528" s="15">
        <v>0</v>
      </c>
      <c r="J3528" s="15">
        <v>2</v>
      </c>
      <c r="K3528" s="12" t="str">
        <f>HYPERLINK("http://twitter.com/download/android","Twitter for Android")</f>
        <v>Twitter for Android</v>
      </c>
      <c r="L3528" s="16">
        <v>11</v>
      </c>
      <c r="M3528" s="16">
        <v>43</v>
      </c>
      <c r="N3528" s="16">
        <v>0</v>
      </c>
      <c r="O3528" s="17"/>
      <c r="P3528" s="18">
        <v>43718.121516203704</v>
      </c>
      <c r="Q3528" s="7"/>
      <c r="R3528" s="7"/>
      <c r="S3528" s="8"/>
      <c r="T3528" s="8"/>
      <c r="U3528" s="19" t="str">
        <f>HYPERLINK("https://pbs.twimg.com/profile_images/1181882536907157505/8IEHSYwP.jpg","View")</f>
        <v>View</v>
      </c>
      <c r="V3528" s="8"/>
      <c r="W3528" s="8"/>
      <c r="X3528" s="8"/>
      <c r="Y3528" s="8"/>
      <c r="Z3528" s="8"/>
    </row>
    <row r="3529" spans="1:26" ht="12.75">
      <c r="A3529" s="11">
        <v>43747.151203703703</v>
      </c>
      <c r="B3529" s="12" t="str">
        <f>HYPERLINK("https://twitter.com/Hilaldurmuss19","@Hilaldurmuss19")</f>
        <v>@Hilaldurmuss19</v>
      </c>
      <c r="C3529" s="7" t="s">
        <v>19217</v>
      </c>
      <c r="D3529" s="7" t="s">
        <v>19218</v>
      </c>
      <c r="E3529" s="12" t="str">
        <f>HYPERLINK("https://twitter.com/Hilaldurmuss19/status/1181881423868940288","1181881423868940288")</f>
        <v>1181881423868940288</v>
      </c>
      <c r="F3529" s="8"/>
      <c r="G3529" s="7"/>
      <c r="H3529" s="8"/>
      <c r="I3529" s="15">
        <v>0</v>
      </c>
      <c r="J3529" s="15">
        <v>1</v>
      </c>
      <c r="K3529" s="12" t="str">
        <f>HYPERLINK("http://twitter.com/download/iphone","Twitter for iPhone")</f>
        <v>Twitter for iPhone</v>
      </c>
      <c r="L3529" s="16">
        <v>4</v>
      </c>
      <c r="M3529" s="16">
        <v>18</v>
      </c>
      <c r="N3529" s="16">
        <v>0</v>
      </c>
      <c r="O3529" s="17"/>
      <c r="P3529" s="18">
        <v>43592.656284722223</v>
      </c>
      <c r="Q3529" s="7" t="s">
        <v>685</v>
      </c>
      <c r="R3529" s="7" t="s">
        <v>19219</v>
      </c>
      <c r="S3529" s="8"/>
      <c r="T3529" s="8"/>
      <c r="U3529" s="19" t="str">
        <f>HYPERLINK("https://pbs.twimg.com/profile_images/1125894878309826560/FeLHub80.jpg","View")</f>
        <v>View</v>
      </c>
      <c r="V3529" s="8"/>
      <c r="W3529" s="8"/>
      <c r="X3529" s="8"/>
      <c r="Y3529" s="8"/>
      <c r="Z3529" s="8"/>
    </row>
    <row r="3530" spans="1:26" ht="12.75">
      <c r="A3530" s="11">
        <v>43747.151145833333</v>
      </c>
      <c r="B3530" s="12" t="str">
        <f>HYPERLINK("https://twitter.com/onlinehakan","@onlinehakan")</f>
        <v>@onlinehakan</v>
      </c>
      <c r="C3530" s="7" t="s">
        <v>19220</v>
      </c>
      <c r="D3530" s="7" t="s">
        <v>19221</v>
      </c>
      <c r="E3530" s="12" t="str">
        <f>HYPERLINK("https://twitter.com/onlinehakan/status/1181881403685953536","1181881403685953536")</f>
        <v>1181881403685953536</v>
      </c>
      <c r="F3530" s="8"/>
      <c r="G3530" s="7"/>
      <c r="H3530" s="8"/>
      <c r="I3530" s="15">
        <v>0</v>
      </c>
      <c r="J3530" s="15">
        <v>0</v>
      </c>
      <c r="K3530" s="12" t="str">
        <f>HYPERLINK("http://twitter.com/download/android","Twitter for Android")</f>
        <v>Twitter for Android</v>
      </c>
      <c r="L3530" s="16">
        <v>5</v>
      </c>
      <c r="M3530" s="16">
        <v>5</v>
      </c>
      <c r="N3530" s="16">
        <v>0</v>
      </c>
      <c r="O3530" s="17"/>
      <c r="P3530" s="18">
        <v>42412.772812499999</v>
      </c>
      <c r="Q3530" s="7" t="s">
        <v>80</v>
      </c>
      <c r="R3530" s="7"/>
      <c r="S3530" s="8"/>
      <c r="T3530" s="8"/>
      <c r="U3530" s="19" t="str">
        <f>HYPERLINK("https://pbs.twimg.com/profile_images/1179435679803203586/l7JqJxHe.jpg","View")</f>
        <v>View</v>
      </c>
      <c r="V3530" s="8"/>
      <c r="W3530" s="8"/>
      <c r="X3530" s="8"/>
      <c r="Y3530" s="8"/>
      <c r="Z3530" s="8"/>
    </row>
    <row r="3531" spans="1:26" ht="12.75">
      <c r="A3531" s="11">
        <v>43747.151030092587</v>
      </c>
      <c r="B3531" s="12" t="str">
        <f>HYPERLINK("https://twitter.com/mesutce64961454","@mesutce64961454")</f>
        <v>@mesutce64961454</v>
      </c>
      <c r="C3531" s="7" t="s">
        <v>19222</v>
      </c>
      <c r="D3531" s="7" t="s">
        <v>19223</v>
      </c>
      <c r="E3531" s="12" t="str">
        <f>HYPERLINK("https://twitter.com/mesutce64961454/status/1181881362300706816","1181881362300706816")</f>
        <v>1181881362300706816</v>
      </c>
      <c r="F3531" s="15"/>
      <c r="G3531" s="15"/>
      <c r="H3531" s="8"/>
      <c r="I3531" s="15">
        <v>1</v>
      </c>
      <c r="J3531" s="15">
        <v>0</v>
      </c>
      <c r="K3531" s="12" t="str">
        <f>HYPERLINK("http://twitter.com","Twitter Web Client")</f>
        <v>Twitter Web Client</v>
      </c>
      <c r="L3531" s="16">
        <v>6</v>
      </c>
      <c r="M3531" s="16">
        <v>0</v>
      </c>
      <c r="N3531" s="16">
        <v>0</v>
      </c>
      <c r="O3531" s="17"/>
      <c r="P3531" s="18">
        <v>43668.853009259255</v>
      </c>
      <c r="Q3531" s="7" t="s">
        <v>4399</v>
      </c>
      <c r="R3531" s="7" t="s">
        <v>19224</v>
      </c>
      <c r="S3531" s="8"/>
      <c r="T3531" s="8"/>
      <c r="U3531" s="19" t="str">
        <f>HYPERLINK("https://pbs.twimg.com/profile_images/1153751598440570881/UooEamwv.jpg","View")</f>
        <v>View</v>
      </c>
      <c r="V3531" s="8"/>
      <c r="W3531" s="8"/>
      <c r="X3531" s="8"/>
      <c r="Y3531" s="8"/>
      <c r="Z3531" s="8"/>
    </row>
    <row r="3532" spans="1:26" ht="12.75">
      <c r="A3532" s="11">
        <v>43747.151006944448</v>
      </c>
      <c r="B3532" s="12" t="str">
        <f>HYPERLINK("https://twitter.com/mmansuraytac","@mmansuraytac")</f>
        <v>@mmansuraytac</v>
      </c>
      <c r="C3532" s="7" t="s">
        <v>19225</v>
      </c>
      <c r="D3532" s="7" t="s">
        <v>19226</v>
      </c>
      <c r="E3532" s="12" t="str">
        <f>HYPERLINK("https://twitter.com/mmansuraytac/status/1181881353941475330","1181881353941475330")</f>
        <v>1181881353941475330</v>
      </c>
      <c r="F3532" s="8"/>
      <c r="G3532" s="14" t="s">
        <v>19227</v>
      </c>
      <c r="H3532" s="8"/>
      <c r="I3532" s="15">
        <v>0</v>
      </c>
      <c r="J3532" s="15">
        <v>2</v>
      </c>
      <c r="K3532" s="12" t="str">
        <f>HYPERLINK("http://twitter.com/download/android","Twitter for Android")</f>
        <v>Twitter for Android</v>
      </c>
      <c r="L3532" s="16">
        <v>125</v>
      </c>
      <c r="M3532" s="16">
        <v>474</v>
      </c>
      <c r="N3532" s="16">
        <v>0</v>
      </c>
      <c r="O3532" s="17"/>
      <c r="P3532" s="18">
        <v>42379.980486111112</v>
      </c>
      <c r="Q3532" s="7" t="s">
        <v>19228</v>
      </c>
      <c r="R3532" s="7" t="s">
        <v>19229</v>
      </c>
      <c r="S3532" s="8"/>
      <c r="T3532" s="8"/>
      <c r="U3532" s="19" t="str">
        <f>HYPERLINK("https://pbs.twimg.com/profile_images/1150545478536302592/bVO0YY6V.jpg","View")</f>
        <v>View</v>
      </c>
      <c r="V3532" s="8"/>
      <c r="W3532" s="8"/>
      <c r="X3532" s="8"/>
      <c r="Y3532" s="8"/>
      <c r="Z3532" s="8"/>
    </row>
    <row r="3533" spans="1:26" ht="12.75">
      <c r="A3533" s="11">
        <v>43747.150937500002</v>
      </c>
      <c r="B3533" s="12" t="str">
        <f>HYPERLINK("https://twitter.com/BurakSa62503675","@BurakSa62503675")</f>
        <v>@BurakSa62503675</v>
      </c>
      <c r="C3533" s="7" t="s">
        <v>19230</v>
      </c>
      <c r="D3533" s="7" t="s">
        <v>19231</v>
      </c>
      <c r="E3533" s="12" t="str">
        <f>HYPERLINK("https://twitter.com/BurakSa62503675/status/1181881327852965888","1181881327852965888")</f>
        <v>1181881327852965888</v>
      </c>
      <c r="F3533" s="15"/>
      <c r="G3533" s="14" t="s">
        <v>19232</v>
      </c>
      <c r="H3533" s="8"/>
      <c r="I3533" s="15">
        <v>0</v>
      </c>
      <c r="J3533" s="15">
        <v>1</v>
      </c>
      <c r="K3533" s="12" t="str">
        <f>HYPERLINK("http://twitter.com/download/android","Twitter for Android")</f>
        <v>Twitter for Android</v>
      </c>
      <c r="L3533" s="16">
        <v>4</v>
      </c>
      <c r="M3533" s="16">
        <v>7</v>
      </c>
      <c r="N3533" s="16">
        <v>0</v>
      </c>
      <c r="O3533" s="17"/>
      <c r="P3533" s="18">
        <v>43673.536041666666</v>
      </c>
      <c r="Q3533" s="7"/>
      <c r="R3533" s="7" t="s">
        <v>19233</v>
      </c>
      <c r="S3533" s="8"/>
      <c r="T3533" s="8"/>
      <c r="U3533" s="19" t="str">
        <f>HYPERLINK("https://pbs.twimg.com/profile_images/1155208635741609985/w4PFf6cY.jpg","View")</f>
        <v>View</v>
      </c>
      <c r="V3533" s="8"/>
      <c r="W3533" s="8"/>
      <c r="X3533" s="8"/>
      <c r="Y3533" s="8"/>
      <c r="Z3533" s="8"/>
    </row>
    <row r="3534" spans="1:26" ht="12.75">
      <c r="A3534" s="11">
        <v>43747.150925925926</v>
      </c>
      <c r="B3534" s="12" t="str">
        <f>HYPERLINK("https://twitter.com/IlaslanMumin","@IlaslanMumin")</f>
        <v>@IlaslanMumin</v>
      </c>
      <c r="C3534" s="7" t="s">
        <v>19234</v>
      </c>
      <c r="D3534" s="7" t="s">
        <v>14293</v>
      </c>
      <c r="E3534" s="12" t="str">
        <f>HYPERLINK("https://twitter.com/IlaslanMumin/status/1181881325021736962","1181881325021736962")</f>
        <v>1181881325021736962</v>
      </c>
      <c r="F3534" s="8"/>
      <c r="G3534" s="14" t="s">
        <v>19235</v>
      </c>
      <c r="H3534" s="8"/>
      <c r="I3534" s="15">
        <v>0</v>
      </c>
      <c r="J3534" s="15">
        <v>4</v>
      </c>
      <c r="K3534" s="12" t="str">
        <f>HYPERLINK("http://twitter.com/download/android","Twitter for Android")</f>
        <v>Twitter for Android</v>
      </c>
      <c r="L3534" s="16">
        <v>150</v>
      </c>
      <c r="M3534" s="16">
        <v>110</v>
      </c>
      <c r="N3534" s="16">
        <v>0</v>
      </c>
      <c r="O3534" s="17"/>
      <c r="P3534" s="18">
        <v>43321.513229166667</v>
      </c>
      <c r="Q3534" s="7" t="s">
        <v>685</v>
      </c>
      <c r="R3534" s="7" t="s">
        <v>19236</v>
      </c>
      <c r="S3534" s="8"/>
      <c r="T3534" s="8"/>
      <c r="U3534" s="19" t="str">
        <f>HYPERLINK("https://pbs.twimg.com/profile_images/1122114773502648320/Oick5wC_.jpg","View")</f>
        <v>View</v>
      </c>
      <c r="V3534" s="8"/>
      <c r="W3534" s="8"/>
      <c r="X3534" s="8"/>
      <c r="Y3534" s="8"/>
      <c r="Z3534" s="8"/>
    </row>
    <row r="3535" spans="1:26" ht="12.75">
      <c r="A3535" s="11">
        <v>43747.150891203702</v>
      </c>
      <c r="B3535" s="12" t="str">
        <f>HYPERLINK("https://twitter.com/oktay_ozdemirr","@oktay_ozdemirr")</f>
        <v>@oktay_ozdemirr</v>
      </c>
      <c r="C3535" s="7" t="s">
        <v>19237</v>
      </c>
      <c r="D3535" s="7" t="s">
        <v>19238</v>
      </c>
      <c r="E3535" s="12" t="str">
        <f>HYPERLINK("https://twitter.com/oktay_ozdemirr/status/1181881310467497984","1181881310467497984")</f>
        <v>1181881310467497984</v>
      </c>
      <c r="F3535" s="8"/>
      <c r="G3535" s="15"/>
      <c r="H3535" s="8"/>
      <c r="I3535" s="15">
        <v>0</v>
      </c>
      <c r="J3535" s="15">
        <v>0</v>
      </c>
      <c r="K3535" s="12" t="str">
        <f>HYPERLINK("http://twitter.com/download/android","Twitter for Android")</f>
        <v>Twitter for Android</v>
      </c>
      <c r="L3535" s="16">
        <v>36</v>
      </c>
      <c r="M3535" s="16">
        <v>88</v>
      </c>
      <c r="N3535" s="16">
        <v>0</v>
      </c>
      <c r="O3535" s="17"/>
      <c r="P3535" s="18">
        <v>41162.160381944443</v>
      </c>
      <c r="Q3535" s="7" t="s">
        <v>898</v>
      </c>
      <c r="R3535" s="7" t="s">
        <v>19239</v>
      </c>
      <c r="S3535" s="8"/>
      <c r="T3535" s="8"/>
      <c r="U3535" s="19" t="str">
        <f>HYPERLINK("https://pbs.twimg.com/profile_images/987694202313207808/M1HO7ro3.jpg","View")</f>
        <v>View</v>
      </c>
      <c r="V3535" s="8"/>
      <c r="W3535" s="8"/>
      <c r="X3535" s="8"/>
      <c r="Y3535" s="8"/>
      <c r="Z3535" s="8"/>
    </row>
    <row r="3536" spans="1:26" ht="12.75">
      <c r="A3536" s="11">
        <v>43747.150856481487</v>
      </c>
      <c r="B3536" s="12" t="str">
        <f>HYPERLINK("https://twitter.com/ttttuncay","@ttttuncay")</f>
        <v>@ttttuncay</v>
      </c>
      <c r="C3536" s="7" t="s">
        <v>19240</v>
      </c>
      <c r="D3536" s="7" t="s">
        <v>19241</v>
      </c>
      <c r="E3536" s="12" t="str">
        <f>HYPERLINK("https://twitter.com/ttttuncay/status/1181881299725893632","1181881299725893632")</f>
        <v>1181881299725893632</v>
      </c>
      <c r="F3536" s="8"/>
      <c r="G3536" s="7"/>
      <c r="H3536" s="8"/>
      <c r="I3536" s="15">
        <v>0</v>
      </c>
      <c r="J3536" s="15">
        <v>0</v>
      </c>
      <c r="K3536" s="12" t="str">
        <f>HYPERLINK("http://twitter.com/download/iphone","Twitter for iPhone")</f>
        <v>Twitter for iPhone</v>
      </c>
      <c r="L3536" s="16">
        <v>77</v>
      </c>
      <c r="M3536" s="16">
        <v>500</v>
      </c>
      <c r="N3536" s="16">
        <v>0</v>
      </c>
      <c r="O3536" s="17"/>
      <c r="P3536" s="18">
        <v>43243.703784722224</v>
      </c>
      <c r="Q3536" s="7"/>
      <c r="R3536" s="7"/>
      <c r="S3536" s="8"/>
      <c r="T3536" s="8"/>
      <c r="U3536" s="19" t="str">
        <f>HYPERLINK("https://pbs.twimg.com/profile_images/1155715093876944897/t4Sfw41X.jpg","View")</f>
        <v>View</v>
      </c>
      <c r="V3536" s="8"/>
      <c r="W3536" s="8"/>
      <c r="X3536" s="8"/>
      <c r="Y3536" s="8"/>
      <c r="Z3536" s="8"/>
    </row>
    <row r="3537" spans="1:26" ht="12.75">
      <c r="A3537" s="11">
        <v>43747.150844907403</v>
      </c>
      <c r="B3537" s="12" t="str">
        <f>HYPERLINK("https://twitter.com/Ysrkeklik","@Ysrkeklik")</f>
        <v>@Ysrkeklik</v>
      </c>
      <c r="C3537" s="7" t="s">
        <v>19242</v>
      </c>
      <c r="D3537" s="7" t="s">
        <v>19243</v>
      </c>
      <c r="E3537" s="12" t="str">
        <f>HYPERLINK("https://twitter.com/Ysrkeklik/status/1181881294109777920","1181881294109777920")</f>
        <v>1181881294109777920</v>
      </c>
      <c r="F3537" s="14" t="s">
        <v>13995</v>
      </c>
      <c r="G3537" s="14" t="s">
        <v>13996</v>
      </c>
      <c r="H3537" s="8"/>
      <c r="I3537" s="15">
        <v>0</v>
      </c>
      <c r="J3537" s="15">
        <v>0</v>
      </c>
      <c r="K3537" s="12" t="str">
        <f>HYPERLINK("http://twitter.com/download/iphone","Twitter for iPhone")</f>
        <v>Twitter for iPhone</v>
      </c>
      <c r="L3537" s="16">
        <v>204</v>
      </c>
      <c r="M3537" s="16">
        <v>193</v>
      </c>
      <c r="N3537" s="16">
        <v>0</v>
      </c>
      <c r="O3537" s="17"/>
      <c r="P3537" s="18">
        <v>41146.314375000002</v>
      </c>
      <c r="Q3537" s="7" t="s">
        <v>313</v>
      </c>
      <c r="R3537" s="7" t="s">
        <v>19244</v>
      </c>
      <c r="S3537" s="8"/>
      <c r="T3537" s="8"/>
      <c r="U3537" s="19" t="str">
        <f>HYPERLINK("https://pbs.twimg.com/profile_images/1119982037098803201/gjc4Vr3I.jpg","View")</f>
        <v>View</v>
      </c>
      <c r="V3537" s="8"/>
      <c r="W3537" s="8"/>
      <c r="X3537" s="8"/>
      <c r="Y3537" s="8"/>
      <c r="Z3537" s="8"/>
    </row>
    <row r="3538" spans="1:26" ht="12.75">
      <c r="A3538" s="11">
        <v>43747.150659722218</v>
      </c>
      <c r="B3538" s="12" t="str">
        <f>HYPERLINK("https://twitter.com/abykcpr","@abykcpr")</f>
        <v>@abykcpr</v>
      </c>
      <c r="C3538" s="7" t="s">
        <v>19245</v>
      </c>
      <c r="D3538" s="7" t="s">
        <v>19246</v>
      </c>
      <c r="E3538" s="12" t="str">
        <f>HYPERLINK("https://twitter.com/abykcpr/status/1181881229232267266","1181881229232267266")</f>
        <v>1181881229232267266</v>
      </c>
      <c r="F3538" s="8"/>
      <c r="G3538" s="15"/>
      <c r="H3538" s="8"/>
      <c r="I3538" s="15">
        <v>0</v>
      </c>
      <c r="J3538" s="15">
        <v>0</v>
      </c>
      <c r="K3538" s="12" t="str">
        <f>HYPERLINK("https://mobile.twitter.com","Twitter Web App")</f>
        <v>Twitter Web App</v>
      </c>
      <c r="L3538" s="16">
        <v>99</v>
      </c>
      <c r="M3538" s="16">
        <v>162</v>
      </c>
      <c r="N3538" s="16">
        <v>1</v>
      </c>
      <c r="O3538" s="17"/>
      <c r="P3538" s="18">
        <v>41905.389131944445</v>
      </c>
      <c r="Q3538" s="7" t="s">
        <v>19247</v>
      </c>
      <c r="R3538" s="7" t="s">
        <v>19248</v>
      </c>
      <c r="S3538" s="8"/>
      <c r="T3538" s="8"/>
      <c r="U3538" s="19" t="str">
        <f>HYPERLINK("https://pbs.twimg.com/profile_images/843034525366210560/yW6LEo6j.jpg","View")</f>
        <v>View</v>
      </c>
      <c r="V3538" s="8"/>
      <c r="W3538" s="8"/>
      <c r="X3538" s="8"/>
      <c r="Y3538" s="8"/>
      <c r="Z3538" s="8"/>
    </row>
    <row r="3539" spans="1:26" ht="12.75">
      <c r="A3539" s="11">
        <v>43747.150636574079</v>
      </c>
      <c r="B3539" s="12" t="str">
        <f>HYPERLINK("https://twitter.com/yunusemre2824","@yunusemre2824")</f>
        <v>@yunusemre2824</v>
      </c>
      <c r="C3539" s="7" t="s">
        <v>16404</v>
      </c>
      <c r="D3539" s="7" t="s">
        <v>19249</v>
      </c>
      <c r="E3539" s="12" t="str">
        <f>HYPERLINK("https://twitter.com/yunusemre2824/status/1181881220659109889","1181881220659109889")</f>
        <v>1181881220659109889</v>
      </c>
      <c r="F3539" s="8"/>
      <c r="G3539" s="7"/>
      <c r="H3539" s="8"/>
      <c r="I3539" s="15">
        <v>0</v>
      </c>
      <c r="J3539" s="15">
        <v>2</v>
      </c>
      <c r="K3539" s="12" t="str">
        <f>HYPERLINK("https://mobile.twitter.com","Twitter Web App")</f>
        <v>Twitter Web App</v>
      </c>
      <c r="L3539" s="16">
        <v>554</v>
      </c>
      <c r="M3539" s="16">
        <v>230</v>
      </c>
      <c r="N3539" s="16">
        <v>0</v>
      </c>
      <c r="O3539" s="17"/>
      <c r="P3539" s="18">
        <v>42175.498425925922</v>
      </c>
      <c r="Q3539" s="7" t="s">
        <v>19250</v>
      </c>
      <c r="R3539" s="7" t="s">
        <v>19251</v>
      </c>
      <c r="S3539" s="8"/>
      <c r="T3539" s="8"/>
      <c r="U3539" s="19" t="str">
        <f>HYPERLINK("https://pbs.twimg.com/profile_images/1177287154470440967/ATsglQcK.jpg","View")</f>
        <v>View</v>
      </c>
      <c r="V3539" s="8"/>
      <c r="W3539" s="8"/>
      <c r="X3539" s="8"/>
      <c r="Y3539" s="8"/>
      <c r="Z3539" s="8"/>
    </row>
    <row r="3540" spans="1:26" ht="12.75">
      <c r="A3540" s="11">
        <v>43747.150555555556</v>
      </c>
      <c r="B3540" s="12" t="str">
        <f>HYPERLINK("https://twitter.com/carktan_yosun","@carktan_yosun")</f>
        <v>@carktan_yosun</v>
      </c>
      <c r="C3540" s="7" t="s">
        <v>19252</v>
      </c>
      <c r="D3540" s="7" t="s">
        <v>19253</v>
      </c>
      <c r="E3540" s="12" t="str">
        <f>HYPERLINK("https://twitter.com/carktan_yosun/status/1181881191051530241","1181881191051530241")</f>
        <v>1181881191051530241</v>
      </c>
      <c r="F3540" s="8"/>
      <c r="G3540" s="15"/>
      <c r="H3540" s="8"/>
      <c r="I3540" s="15">
        <v>0</v>
      </c>
      <c r="J3540" s="15">
        <v>0</v>
      </c>
      <c r="K3540" s="12" t="str">
        <f>HYPERLINK("http://twitter.com","Twitter Web Client")</f>
        <v>Twitter Web Client</v>
      </c>
      <c r="L3540" s="16">
        <v>20</v>
      </c>
      <c r="M3540" s="16">
        <v>0</v>
      </c>
      <c r="N3540" s="16">
        <v>0</v>
      </c>
      <c r="O3540" s="17"/>
      <c r="P3540" s="18">
        <v>43683.871840277774</v>
      </c>
      <c r="Q3540" s="7" t="s">
        <v>14731</v>
      </c>
      <c r="R3540" s="7" t="s">
        <v>19254</v>
      </c>
      <c r="S3540" s="8"/>
      <c r="T3540" s="8"/>
      <c r="U3540" s="19" t="str">
        <f>HYPERLINK("https://pbs.twimg.com/profile_images/1167222745140211712/8RAwxkV0.jpg","View")</f>
        <v>View</v>
      </c>
      <c r="V3540" s="8"/>
      <c r="W3540" s="8"/>
      <c r="X3540" s="8"/>
      <c r="Y3540" s="8"/>
      <c r="Z3540" s="8"/>
    </row>
    <row r="3541" spans="1:26" ht="12.75">
      <c r="A3541" s="11">
        <v>43747.150543981479</v>
      </c>
      <c r="B3541" s="12" t="str">
        <f>HYPERLINK("https://twitter.com/wenise_kids","@wenise_kids")</f>
        <v>@wenise_kids</v>
      </c>
      <c r="C3541" s="7" t="s">
        <v>19255</v>
      </c>
      <c r="D3541" s="7" t="s">
        <v>19256</v>
      </c>
      <c r="E3541" s="12" t="str">
        <f>HYPERLINK("https://twitter.com/wenise_kids/status/1181881186110582785","1181881186110582785")</f>
        <v>1181881186110582785</v>
      </c>
      <c r="F3541" s="8"/>
      <c r="G3541" s="15"/>
      <c r="H3541" s="8"/>
      <c r="I3541" s="15">
        <v>0</v>
      </c>
      <c r="J3541" s="15">
        <v>2</v>
      </c>
      <c r="K3541" s="12" t="str">
        <f>HYPERLINK("http://twitter.com/download/android","Twitter for Android")</f>
        <v>Twitter for Android</v>
      </c>
      <c r="L3541" s="16">
        <v>6187</v>
      </c>
      <c r="M3541" s="16">
        <v>6280</v>
      </c>
      <c r="N3541" s="16">
        <v>1</v>
      </c>
      <c r="O3541" s="17"/>
      <c r="P3541" s="18">
        <v>43643.546122685184</v>
      </c>
      <c r="Q3541" s="7" t="s">
        <v>19257</v>
      </c>
      <c r="R3541" s="7" t="s">
        <v>19258</v>
      </c>
      <c r="S3541" s="14" t="s">
        <v>19259</v>
      </c>
      <c r="T3541" s="8"/>
      <c r="U3541" s="19" t="str">
        <f>HYPERLINK("https://pbs.twimg.com/profile_images/1144337038126268416/0zdD0Qjf.jpg","View")</f>
        <v>View</v>
      </c>
      <c r="V3541" s="8"/>
      <c r="W3541" s="8"/>
      <c r="X3541" s="8"/>
      <c r="Y3541" s="8"/>
      <c r="Z3541" s="8"/>
    </row>
    <row r="3542" spans="1:26" ht="12.75">
      <c r="A3542" s="11">
        <v>43747.15053240741</v>
      </c>
      <c r="B3542" s="12" t="str">
        <f>HYPERLINK("https://twitter.com/InsaniyetM","@InsaniyetM")</f>
        <v>@InsaniyetM</v>
      </c>
      <c r="C3542" s="7" t="s">
        <v>19260</v>
      </c>
      <c r="D3542" s="7" t="s">
        <v>19261</v>
      </c>
      <c r="E3542" s="12" t="str">
        <f>HYPERLINK("https://twitter.com/InsaniyetM/status/1181881182004350976","1181881182004350976")</f>
        <v>1181881182004350976</v>
      </c>
      <c r="F3542" s="8"/>
      <c r="G3542" s="14" t="s">
        <v>19262</v>
      </c>
      <c r="H3542" s="8"/>
      <c r="I3542" s="15">
        <v>0</v>
      </c>
      <c r="J3542" s="15">
        <v>6</v>
      </c>
      <c r="K3542" s="12" t="str">
        <f>HYPERLINK("http://twitter.com/download/android","Twitter for Android")</f>
        <v>Twitter for Android</v>
      </c>
      <c r="L3542" s="16">
        <v>118</v>
      </c>
      <c r="M3542" s="16">
        <v>59</v>
      </c>
      <c r="N3542" s="16">
        <v>0</v>
      </c>
      <c r="O3542" s="17"/>
      <c r="P3542" s="18">
        <v>42874.027650462958</v>
      </c>
      <c r="Q3542" s="7"/>
      <c r="R3542" s="7" t="s">
        <v>19263</v>
      </c>
      <c r="S3542" s="8"/>
      <c r="T3542" s="8"/>
      <c r="U3542" s="19" t="str">
        <f>HYPERLINK("https://pbs.twimg.com/profile_images/865498618576289792/2KGjREeM.jpg","View")</f>
        <v>View</v>
      </c>
      <c r="V3542" s="8"/>
      <c r="W3542" s="8"/>
      <c r="X3542" s="8"/>
      <c r="Y3542" s="8"/>
      <c r="Z3542" s="8"/>
    </row>
    <row r="3543" spans="1:26" ht="12.75">
      <c r="A3543" s="11">
        <v>43747.150520833333</v>
      </c>
      <c r="B3543" s="12" t="str">
        <f>HYPERLINK("https://twitter.com/yeginismail","@yeginismail")</f>
        <v>@yeginismail</v>
      </c>
      <c r="C3543" s="7" t="s">
        <v>19264</v>
      </c>
      <c r="D3543" s="7" t="s">
        <v>19265</v>
      </c>
      <c r="E3543" s="12" t="str">
        <f>HYPERLINK("https://twitter.com/yeginismail/status/1181881175347998721","1181881175347998721")</f>
        <v>1181881175347998721</v>
      </c>
      <c r="F3543" s="14" t="s">
        <v>19266</v>
      </c>
      <c r="G3543" s="14" t="s">
        <v>19267</v>
      </c>
      <c r="H3543" s="8"/>
      <c r="I3543" s="15">
        <v>0</v>
      </c>
      <c r="J3543" s="15">
        <v>0</v>
      </c>
      <c r="K3543" s="12" t="str">
        <f>HYPERLINK("http://twitter.com/download/android","Twitter for Android")</f>
        <v>Twitter for Android</v>
      </c>
      <c r="L3543" s="16">
        <v>617</v>
      </c>
      <c r="M3543" s="16">
        <v>588</v>
      </c>
      <c r="N3543" s="16">
        <v>2</v>
      </c>
      <c r="O3543" s="17"/>
      <c r="P3543" s="18">
        <v>41333.6246875</v>
      </c>
      <c r="Q3543" s="7" t="s">
        <v>918</v>
      </c>
      <c r="R3543" s="7"/>
      <c r="S3543" s="8"/>
      <c r="T3543" s="8"/>
      <c r="U3543" s="19" t="str">
        <f>HYPERLINK("https://pbs.twimg.com/profile_images/1170795451878137857/zoMxoxKC.jpg","View")</f>
        <v>View</v>
      </c>
      <c r="V3543" s="8"/>
      <c r="W3543" s="8"/>
      <c r="X3543" s="8"/>
      <c r="Y3543" s="8"/>
      <c r="Z3543" s="8"/>
    </row>
    <row r="3544" spans="1:26" ht="12.75">
      <c r="A3544" s="11">
        <v>43747.150474537033</v>
      </c>
      <c r="B3544" s="12" t="str">
        <f>HYPERLINK("https://twitter.com/seldasoyer_","@seldasoyer_")</f>
        <v>@seldasoyer_</v>
      </c>
      <c r="C3544" s="7" t="s">
        <v>19268</v>
      </c>
      <c r="D3544" s="7" t="s">
        <v>19269</v>
      </c>
      <c r="E3544" s="12" t="str">
        <f>HYPERLINK("https://twitter.com/seldasoyer_/status/1181881158130425858","1181881158130425858")</f>
        <v>1181881158130425858</v>
      </c>
      <c r="F3544" s="8"/>
      <c r="G3544" s="14" t="s">
        <v>1350</v>
      </c>
      <c r="H3544" s="8"/>
      <c r="I3544" s="15">
        <v>201</v>
      </c>
      <c r="J3544" s="15">
        <v>417</v>
      </c>
      <c r="K3544" s="12" t="str">
        <f>HYPERLINK("http://twitter.com/download/android","Twitter for Android")</f>
        <v>Twitter for Android</v>
      </c>
      <c r="L3544" s="16">
        <v>99947</v>
      </c>
      <c r="M3544" s="16">
        <v>1969</v>
      </c>
      <c r="N3544" s="16">
        <v>106</v>
      </c>
      <c r="O3544" s="17"/>
      <c r="P3544" s="18">
        <v>42003.104479166665</v>
      </c>
      <c r="Q3544" s="7"/>
      <c r="R3544" s="7" t="s">
        <v>19270</v>
      </c>
      <c r="S3544" s="14" t="s">
        <v>19271</v>
      </c>
      <c r="T3544" s="8"/>
      <c r="U3544" s="19" t="str">
        <f>HYPERLINK("https://pbs.twimg.com/profile_images/1157946883643457536/JwXCM32w.jpg","View")</f>
        <v>View</v>
      </c>
      <c r="V3544" s="8"/>
      <c r="W3544" s="8"/>
      <c r="X3544" s="8"/>
      <c r="Y3544" s="8"/>
      <c r="Z3544" s="8"/>
    </row>
    <row r="3545" spans="1:26" ht="12.75">
      <c r="A3545" s="11">
        <v>43747.150474537033</v>
      </c>
      <c r="B3545" s="12" t="str">
        <f>HYPERLINK("https://twitter.com/Mustafa____1071","@Mustafa____1071")</f>
        <v>@Mustafa____1071</v>
      </c>
      <c r="C3545" s="7" t="s">
        <v>19272</v>
      </c>
      <c r="D3545" s="7" t="s">
        <v>19273</v>
      </c>
      <c r="E3545" s="12" t="str">
        <f>HYPERLINK("https://twitter.com/Mustafa____1071/status/1181881158084288512","1181881158084288512")</f>
        <v>1181881158084288512</v>
      </c>
      <c r="F3545" s="15"/>
      <c r="G3545" s="14" t="s">
        <v>19274</v>
      </c>
      <c r="H3545" s="8"/>
      <c r="I3545" s="15">
        <v>0</v>
      </c>
      <c r="J3545" s="15">
        <v>0</v>
      </c>
      <c r="K3545" s="12" t="str">
        <f>HYPERLINK("http://twitter.com/download/android","Twitter for Android")</f>
        <v>Twitter for Android</v>
      </c>
      <c r="L3545" s="16">
        <v>8</v>
      </c>
      <c r="M3545" s="16">
        <v>17</v>
      </c>
      <c r="N3545" s="16">
        <v>0</v>
      </c>
      <c r="O3545" s="17"/>
      <c r="P3545" s="18">
        <v>43043.507789351846</v>
      </c>
      <c r="Q3545" s="7" t="s">
        <v>16844</v>
      </c>
      <c r="R3545" s="7" t="s">
        <v>19275</v>
      </c>
      <c r="S3545" s="8"/>
      <c r="T3545" s="8"/>
      <c r="U3545" s="19" t="str">
        <f>HYPERLINK("https://pbs.twimg.com/profile_images/934148814830817280/GzCdGq8y.jpg","View")</f>
        <v>View</v>
      </c>
      <c r="V3545" s="8"/>
      <c r="W3545" s="8"/>
      <c r="X3545" s="8"/>
      <c r="Y3545" s="8"/>
      <c r="Z3545" s="8"/>
    </row>
    <row r="3546" spans="1:26" ht="12.75">
      <c r="A3546" s="11">
        <v>43747.150381944448</v>
      </c>
      <c r="B3546" s="12" t="str">
        <f>HYPERLINK("https://twitter.com/FALTUNYILDIZ","@FALTUNYILDIZ")</f>
        <v>@FALTUNYILDIZ</v>
      </c>
      <c r="C3546" s="7" t="s">
        <v>19276</v>
      </c>
      <c r="D3546" s="7" t="s">
        <v>19277</v>
      </c>
      <c r="E3546" s="12" t="str">
        <f>HYPERLINK("https://twitter.com/FALTUNYILDIZ/status/1181881125758746625","1181881125758746625")</f>
        <v>1181881125758746625</v>
      </c>
      <c r="F3546" s="8"/>
      <c r="G3546" s="15"/>
      <c r="H3546" s="8"/>
      <c r="I3546" s="15">
        <v>0</v>
      </c>
      <c r="J3546" s="15">
        <v>0</v>
      </c>
      <c r="K3546" s="12" t="str">
        <f>HYPERLINK("http://twitter.com/download/iphone","Twitter for iPhone")</f>
        <v>Twitter for iPhone</v>
      </c>
      <c r="L3546" s="16">
        <v>126</v>
      </c>
      <c r="M3546" s="16">
        <v>93</v>
      </c>
      <c r="N3546" s="16">
        <v>1</v>
      </c>
      <c r="O3546" s="17"/>
      <c r="P3546" s="18">
        <v>41453.41851851852</v>
      </c>
      <c r="Q3546" s="7" t="s">
        <v>19278</v>
      </c>
      <c r="R3546" s="7" t="s">
        <v>19279</v>
      </c>
      <c r="S3546" s="8"/>
      <c r="T3546" s="8"/>
      <c r="U3546" s="19" t="str">
        <f>HYPERLINK("https://pbs.twimg.com/profile_images/1122495597829939200/bZfxb7Ex.jpg","View")</f>
        <v>View</v>
      </c>
      <c r="V3546" s="8"/>
      <c r="W3546" s="8"/>
      <c r="X3546" s="8"/>
      <c r="Y3546" s="8"/>
      <c r="Z3546" s="8"/>
    </row>
    <row r="3547" spans="1:26" ht="12.75">
      <c r="A3547" s="11">
        <v>43747.150381944448</v>
      </c>
      <c r="B3547" s="12" t="str">
        <f>HYPERLINK("https://twitter.com/ahmet38060","@ahmet38060")</f>
        <v>@ahmet38060</v>
      </c>
      <c r="C3547" s="7" t="s">
        <v>19280</v>
      </c>
      <c r="D3547" s="7" t="s">
        <v>19281</v>
      </c>
      <c r="E3547" s="12" t="str">
        <f>HYPERLINK("https://twitter.com/ahmet38060/status/1181881124978659328","1181881124978659328")</f>
        <v>1181881124978659328</v>
      </c>
      <c r="F3547" s="8"/>
      <c r="G3547" s="7"/>
      <c r="H3547" s="8"/>
      <c r="I3547" s="15">
        <v>0</v>
      </c>
      <c r="J3547" s="15">
        <v>0</v>
      </c>
      <c r="K3547" s="12" t="str">
        <f>HYPERLINK("http://twitter.com/download/android","Twitter for Android")</f>
        <v>Twitter for Android</v>
      </c>
      <c r="L3547" s="16">
        <v>5</v>
      </c>
      <c r="M3547" s="16">
        <v>26</v>
      </c>
      <c r="N3547" s="16">
        <v>0</v>
      </c>
      <c r="O3547" s="17"/>
      <c r="P3547" s="18">
        <v>40748.3987962963</v>
      </c>
      <c r="Q3547" s="7"/>
      <c r="R3547" s="7"/>
      <c r="S3547" s="8"/>
      <c r="T3547" s="8"/>
      <c r="U3547" s="19" t="str">
        <f>HYPERLINK("https://pbs.twimg.com/profile_images/742360380643659780/ELkMMQRD.jpg","View")</f>
        <v>View</v>
      </c>
      <c r="V3547" s="8"/>
      <c r="W3547" s="8"/>
      <c r="X3547" s="8"/>
      <c r="Y3547" s="8"/>
      <c r="Z3547" s="8"/>
    </row>
    <row r="3548" spans="1:26" ht="12.75">
      <c r="A3548" s="11">
        <v>43747.150347222225</v>
      </c>
      <c r="B3548" s="12" t="str">
        <f>HYPERLINK("https://twitter.com/daral_han","@daral_han")</f>
        <v>@daral_han</v>
      </c>
      <c r="C3548" s="7" t="s">
        <v>19282</v>
      </c>
      <c r="D3548" s="7" t="s">
        <v>19283</v>
      </c>
      <c r="E3548" s="12" t="str">
        <f>HYPERLINK("https://twitter.com/daral_han/status/1181881114727768064","1181881114727768064")</f>
        <v>1181881114727768064</v>
      </c>
      <c r="F3548" s="8"/>
      <c r="G3548" s="14" t="s">
        <v>19284</v>
      </c>
      <c r="H3548" s="8"/>
      <c r="I3548" s="15">
        <v>0</v>
      </c>
      <c r="J3548" s="15">
        <v>1</v>
      </c>
      <c r="K3548" s="12" t="str">
        <f>HYPERLINK("http://twitter.com/download/android","Twitter for Android")</f>
        <v>Twitter for Android</v>
      </c>
      <c r="L3548" s="16">
        <v>342</v>
      </c>
      <c r="M3548" s="16">
        <v>1098</v>
      </c>
      <c r="N3548" s="16">
        <v>1</v>
      </c>
      <c r="O3548" s="17"/>
      <c r="P3548" s="18">
        <v>40934.686493055553</v>
      </c>
      <c r="Q3548" s="7" t="s">
        <v>19285</v>
      </c>
      <c r="R3548" s="7" t="s">
        <v>19286</v>
      </c>
      <c r="S3548" s="8"/>
      <c r="T3548" s="8"/>
      <c r="U3548" s="19" t="str">
        <f>HYPERLINK("https://pbs.twimg.com/profile_images/1153991337802444800/N6Tl8MPb.jpg","View")</f>
        <v>View</v>
      </c>
      <c r="V3548" s="8"/>
      <c r="W3548" s="8"/>
      <c r="X3548" s="8"/>
      <c r="Y3548" s="8"/>
      <c r="Z3548" s="8"/>
    </row>
    <row r="3549" spans="1:26" ht="12.75">
      <c r="A3549" s="11">
        <v>43747.150335648148</v>
      </c>
      <c r="B3549" s="12" t="str">
        <f>HYPERLINK("https://twitter.com/Abdullahsabunc3","@Abdullahsabunc3")</f>
        <v>@Abdullahsabunc3</v>
      </c>
      <c r="C3549" s="7" t="s">
        <v>19287</v>
      </c>
      <c r="D3549" s="7" t="s">
        <v>19288</v>
      </c>
      <c r="E3549" s="12" t="str">
        <f>HYPERLINK("https://twitter.com/Abdullahsabunc3/status/1181881107840675842","1181881107840675842")</f>
        <v>1181881107840675842</v>
      </c>
      <c r="F3549" s="15"/>
      <c r="G3549" s="14" t="s">
        <v>19289</v>
      </c>
      <c r="H3549" s="8"/>
      <c r="I3549" s="15">
        <v>0</v>
      </c>
      <c r="J3549" s="15">
        <v>1</v>
      </c>
      <c r="K3549" s="12" t="str">
        <f>HYPERLINK("http://twitter.com/download/android","Twitter for Android")</f>
        <v>Twitter for Android</v>
      </c>
      <c r="L3549" s="16">
        <v>155</v>
      </c>
      <c r="M3549" s="16">
        <v>175</v>
      </c>
      <c r="N3549" s="16">
        <v>0</v>
      </c>
      <c r="O3549" s="17"/>
      <c r="P3549" s="18">
        <v>42474.07980324074</v>
      </c>
      <c r="Q3549" s="7" t="s">
        <v>19290</v>
      </c>
      <c r="R3549" s="7" t="s">
        <v>19291</v>
      </c>
      <c r="S3549" s="8"/>
      <c r="T3549" s="8"/>
      <c r="U3549" s="19" t="str">
        <f>HYPERLINK("https://pbs.twimg.com/profile_images/1009710434038046720/pNXJkxSG.jpg","View")</f>
        <v>View</v>
      </c>
      <c r="V3549" s="8"/>
      <c r="W3549" s="8"/>
      <c r="X3549" s="8"/>
      <c r="Y3549" s="8"/>
      <c r="Z3549" s="8"/>
    </row>
    <row r="3550" spans="1:26" ht="12.75">
      <c r="A3550" s="11">
        <v>43747.150196759263</v>
      </c>
      <c r="B3550" s="12" t="str">
        <f>HYPERLINK("https://twitter.com/murattzdmr","@murattzdmr")</f>
        <v>@murattzdmr</v>
      </c>
      <c r="C3550" s="7" t="s">
        <v>19292</v>
      </c>
      <c r="D3550" s="7" t="s">
        <v>160</v>
      </c>
      <c r="E3550" s="12" t="str">
        <f>HYPERLINK("https://twitter.com/murattzdmr/status/1181881059564294144","1181881059564294144")</f>
        <v>1181881059564294144</v>
      </c>
      <c r="F3550" s="8"/>
      <c r="G3550" s="15"/>
      <c r="H3550" s="8"/>
      <c r="I3550" s="15">
        <v>0</v>
      </c>
      <c r="J3550" s="15">
        <v>0</v>
      </c>
      <c r="K3550" s="12" t="str">
        <f>HYPERLINK("http://twitter.com/download/android","Twitter for Android")</f>
        <v>Twitter for Android</v>
      </c>
      <c r="L3550" s="16">
        <v>195</v>
      </c>
      <c r="M3550" s="16">
        <v>1021</v>
      </c>
      <c r="N3550" s="16">
        <v>0</v>
      </c>
      <c r="O3550" s="17"/>
      <c r="P3550" s="18">
        <v>41772.191770833335</v>
      </c>
      <c r="Q3550" s="7" t="s">
        <v>19293</v>
      </c>
      <c r="R3550" s="7" t="s">
        <v>12392</v>
      </c>
      <c r="S3550" s="8"/>
      <c r="T3550" s="8"/>
      <c r="U3550" s="19" t="str">
        <f>HYPERLINK("https://pbs.twimg.com/profile_images/1148815714255593473/YNVxFKq4.jpg","View")</f>
        <v>View</v>
      </c>
      <c r="V3550" s="8"/>
      <c r="W3550" s="8"/>
      <c r="X3550" s="8"/>
      <c r="Y3550" s="8"/>
      <c r="Z3550" s="8"/>
    </row>
    <row r="3551" spans="1:26" ht="12.75">
      <c r="A3551" s="11">
        <v>43747.150081018517</v>
      </c>
      <c r="B3551" s="12" t="str">
        <f>HYPERLINK("https://twitter.com/RahmetSanl","@RahmetSanl")</f>
        <v>@RahmetSanl</v>
      </c>
      <c r="C3551" s="7" t="s">
        <v>19294</v>
      </c>
      <c r="D3551" s="7" t="s">
        <v>19295</v>
      </c>
      <c r="E3551" s="12" t="str">
        <f>HYPERLINK("https://twitter.com/RahmetSanl/status/1181881019235999744","1181881019235999744")</f>
        <v>1181881019235999744</v>
      </c>
      <c r="F3551" s="14" t="s">
        <v>19296</v>
      </c>
      <c r="G3551" s="14" t="s">
        <v>19297</v>
      </c>
      <c r="H3551" s="8"/>
      <c r="I3551" s="15">
        <v>0</v>
      </c>
      <c r="J3551" s="15">
        <v>0</v>
      </c>
      <c r="K3551" s="12" t="str">
        <f>HYPERLINK("http://twitter.com/download/android","Twitter for Android")</f>
        <v>Twitter for Android</v>
      </c>
      <c r="L3551" s="16">
        <v>127</v>
      </c>
      <c r="M3551" s="16">
        <v>167</v>
      </c>
      <c r="N3551" s="16">
        <v>0</v>
      </c>
      <c r="O3551" s="17"/>
      <c r="P3551" s="18">
        <v>43710.162905092591</v>
      </c>
      <c r="Q3551" s="7"/>
      <c r="R3551" s="7" t="s">
        <v>19298</v>
      </c>
      <c r="S3551" s="8"/>
      <c r="T3551" s="8"/>
      <c r="U3551" s="19" t="str">
        <f>HYPERLINK("https://pbs.twimg.com/profile_images/1168478435716534279/AEXsAEUm.jpg","View")</f>
        <v>View</v>
      </c>
      <c r="V3551" s="8"/>
      <c r="W3551" s="8"/>
      <c r="X3551" s="8"/>
      <c r="Y3551" s="8"/>
      <c r="Z3551" s="8"/>
    </row>
    <row r="3552" spans="1:26" ht="12.75">
      <c r="A3552" s="11">
        <v>43747.15006944444</v>
      </c>
      <c r="B3552" s="12" t="str">
        <f>HYPERLINK("https://twitter.com/Avrpli_Turkler","@Avrpli_Turkler")</f>
        <v>@Avrpli_Turkler</v>
      </c>
      <c r="C3552" s="7" t="s">
        <v>19299</v>
      </c>
      <c r="D3552" s="7" t="s">
        <v>19300</v>
      </c>
      <c r="E3552" s="12" t="str">
        <f>HYPERLINK("https://twitter.com/Avrpli_Turkler/status/1181881012609007616","1181881012609007616")</f>
        <v>1181881012609007616</v>
      </c>
      <c r="F3552" s="8"/>
      <c r="G3552" s="14" t="s">
        <v>19301</v>
      </c>
      <c r="H3552" s="8"/>
      <c r="I3552" s="15">
        <v>4</v>
      </c>
      <c r="J3552" s="15">
        <v>14</v>
      </c>
      <c r="K3552" s="12" t="str">
        <f>HYPERLINK("http://twitter.com/download/iphone","Twitter for iPhone")</f>
        <v>Twitter for iPhone</v>
      </c>
      <c r="L3552" s="16">
        <v>6684</v>
      </c>
      <c r="M3552" s="16">
        <v>8</v>
      </c>
      <c r="N3552" s="16">
        <v>24</v>
      </c>
      <c r="O3552" s="17"/>
      <c r="P3552" s="18">
        <v>43127.243622685186</v>
      </c>
      <c r="Q3552" s="7" t="s">
        <v>19302</v>
      </c>
      <c r="R3552" s="7" t="s">
        <v>19303</v>
      </c>
      <c r="S3552" s="15"/>
      <c r="T3552" s="8"/>
      <c r="U3552" s="19" t="str">
        <f>HYPERLINK("https://pbs.twimg.com/profile_images/1019302215192899584/iyKPt5CQ.jpg","View")</f>
        <v>View</v>
      </c>
      <c r="V3552" s="8"/>
      <c r="W3552" s="8"/>
      <c r="X3552" s="8"/>
      <c r="Y3552" s="8"/>
      <c r="Z3552" s="8"/>
    </row>
    <row r="3553" spans="1:26" ht="12.75">
      <c r="A3553" s="11">
        <v>43747.150046296301</v>
      </c>
      <c r="B3553" s="12" t="str">
        <f>HYPERLINK("https://twitter.com/Sonmez5534","@Sonmez5534")</f>
        <v>@Sonmez5534</v>
      </c>
      <c r="C3553" s="7" t="s">
        <v>19304</v>
      </c>
      <c r="D3553" s="7" t="s">
        <v>19305</v>
      </c>
      <c r="E3553" s="12" t="str">
        <f>HYPERLINK("https://twitter.com/Sonmez5534/status/1181881003117305856","1181881003117305856")</f>
        <v>1181881003117305856</v>
      </c>
      <c r="F3553" s="8"/>
      <c r="G3553" s="15"/>
      <c r="H3553" s="8"/>
      <c r="I3553" s="15">
        <v>0</v>
      </c>
      <c r="J3553" s="15">
        <v>0</v>
      </c>
      <c r="K3553" s="12" t="str">
        <f>HYPERLINK("https://mobile.twitter.com","Twitter Web App")</f>
        <v>Twitter Web App</v>
      </c>
      <c r="L3553" s="16">
        <v>4</v>
      </c>
      <c r="M3553" s="16">
        <v>51</v>
      </c>
      <c r="N3553" s="16">
        <v>0</v>
      </c>
      <c r="O3553" s="17"/>
      <c r="P3553" s="18">
        <v>42601.471087962964</v>
      </c>
      <c r="Q3553" s="7"/>
      <c r="R3553" s="7"/>
      <c r="S3553" s="8"/>
      <c r="T3553" s="8"/>
      <c r="U3553" s="20" t="s">
        <v>354</v>
      </c>
      <c r="V3553" s="8"/>
      <c r="W3553" s="8"/>
      <c r="X3553" s="8"/>
      <c r="Y3553" s="8"/>
      <c r="Z3553" s="8"/>
    </row>
    <row r="3554" spans="1:26" ht="12.75">
      <c r="A3554" s="11">
        <v>43747.150023148148</v>
      </c>
      <c r="B3554" s="12" t="str">
        <f>HYPERLINK("https://twitter.com/ECanpolat1453","@ECanpolat1453")</f>
        <v>@ECanpolat1453</v>
      </c>
      <c r="C3554" s="7" t="s">
        <v>19306</v>
      </c>
      <c r="D3554" s="7" t="s">
        <v>19307</v>
      </c>
      <c r="E3554" s="12" t="str">
        <f>HYPERLINK("https://twitter.com/ECanpolat1453/status/1181880998478389249","1181880998478389249")</f>
        <v>1181880998478389249</v>
      </c>
      <c r="F3554" s="8"/>
      <c r="G3554" s="14" t="s">
        <v>19308</v>
      </c>
      <c r="H3554" s="8"/>
      <c r="I3554" s="15">
        <v>2</v>
      </c>
      <c r="J3554" s="15">
        <v>3</v>
      </c>
      <c r="K3554" s="12" t="str">
        <f>HYPERLINK("http://twitter.com/download/iphone","Twitter for iPhone")</f>
        <v>Twitter for iPhone</v>
      </c>
      <c r="L3554" s="16">
        <v>8728</v>
      </c>
      <c r="M3554" s="16">
        <v>13</v>
      </c>
      <c r="N3554" s="16">
        <v>2</v>
      </c>
      <c r="O3554" s="17"/>
      <c r="P3554" s="18">
        <v>41424.329409722224</v>
      </c>
      <c r="Q3554" s="7" t="s">
        <v>6808</v>
      </c>
      <c r="R3554" s="7" t="s">
        <v>19309</v>
      </c>
      <c r="S3554" s="14" t="s">
        <v>19310</v>
      </c>
      <c r="T3554" s="8"/>
      <c r="U3554" s="19" t="str">
        <f>HYPERLINK("https://pbs.twimg.com/profile_images/1051210273539936256/CeE5ERpJ.jpg","View")</f>
        <v>View</v>
      </c>
      <c r="V3554" s="8"/>
      <c r="W3554" s="8"/>
      <c r="X3554" s="8"/>
      <c r="Y3554" s="8"/>
      <c r="Z3554" s="8"/>
    </row>
    <row r="3555" spans="1:26" ht="12.75">
      <c r="A3555" s="11">
        <v>43747.149942129632</v>
      </c>
      <c r="B3555" s="12" t="str">
        <f>HYPERLINK("https://twitter.com/AkZafer3","@AkZafer3")</f>
        <v>@AkZafer3</v>
      </c>
      <c r="C3555" s="7" t="s">
        <v>19311</v>
      </c>
      <c r="D3555" s="7" t="s">
        <v>19312</v>
      </c>
      <c r="E3555" s="12" t="str">
        <f>HYPERLINK("https://twitter.com/AkZafer3/status/1181880967717367813","1181880967717367813")</f>
        <v>1181880967717367813</v>
      </c>
      <c r="F3555" s="8"/>
      <c r="G3555" s="14" t="s">
        <v>19313</v>
      </c>
      <c r="H3555" s="8"/>
      <c r="I3555" s="15">
        <v>4</v>
      </c>
      <c r="J3555" s="15">
        <v>22</v>
      </c>
      <c r="K3555" s="12" t="str">
        <f>HYPERLINK("http://twitter.com/download/android","Twitter for Android")</f>
        <v>Twitter for Android</v>
      </c>
      <c r="L3555" s="16">
        <v>16366</v>
      </c>
      <c r="M3555" s="16">
        <v>16616</v>
      </c>
      <c r="N3555" s="16">
        <v>9</v>
      </c>
      <c r="O3555" s="17"/>
      <c r="P3555" s="18">
        <v>42535.624780092592</v>
      </c>
      <c r="Q3555" s="7" t="s">
        <v>19314</v>
      </c>
      <c r="R3555" s="7" t="s">
        <v>19315</v>
      </c>
      <c r="S3555" s="8"/>
      <c r="T3555" s="8"/>
      <c r="U3555" s="19" t="str">
        <f>HYPERLINK("https://pbs.twimg.com/profile_images/1150993456237621253/yUOkJMmx.jpg","View")</f>
        <v>View</v>
      </c>
      <c r="V3555" s="8"/>
      <c r="W3555" s="8"/>
      <c r="X3555" s="8"/>
      <c r="Y3555" s="8"/>
      <c r="Z3555" s="8"/>
    </row>
    <row r="3556" spans="1:26" ht="12.75">
      <c r="A3556" s="11">
        <v>43747.149884259255</v>
      </c>
      <c r="B3556" s="12" t="str">
        <f>HYPERLINK("https://twitter.com/Nebizade571","@Nebizade571")</f>
        <v>@Nebizade571</v>
      </c>
      <c r="C3556" s="7" t="s">
        <v>19316</v>
      </c>
      <c r="D3556" s="7" t="s">
        <v>19317</v>
      </c>
      <c r="E3556" s="12" t="str">
        <f>HYPERLINK("https://twitter.com/Nebizade571/status/1181880945135239173","1181880945135239173")</f>
        <v>1181880945135239173</v>
      </c>
      <c r="F3556" s="8"/>
      <c r="G3556" s="14" t="s">
        <v>19318</v>
      </c>
      <c r="H3556" s="8"/>
      <c r="I3556" s="15">
        <v>0</v>
      </c>
      <c r="J3556" s="15">
        <v>1</v>
      </c>
      <c r="K3556" s="12" t="str">
        <f>HYPERLINK("https://mobile.twitter.com","Twitter Web App")</f>
        <v>Twitter Web App</v>
      </c>
      <c r="L3556" s="16">
        <v>313</v>
      </c>
      <c r="M3556" s="16">
        <v>201</v>
      </c>
      <c r="N3556" s="16">
        <v>6</v>
      </c>
      <c r="O3556" s="17"/>
      <c r="P3556" s="18">
        <v>41528.367210648146</v>
      </c>
      <c r="Q3556" s="7"/>
      <c r="R3556" s="7" t="s">
        <v>19319</v>
      </c>
      <c r="S3556" s="8"/>
      <c r="T3556" s="8"/>
      <c r="U3556" s="19" t="str">
        <f>HYPERLINK("https://pbs.twimg.com/profile_images/532528354436472833/cRbqnoq3.jpeg","View")</f>
        <v>View</v>
      </c>
      <c r="V3556" s="8"/>
      <c r="W3556" s="8"/>
      <c r="X3556" s="8"/>
      <c r="Y3556" s="8"/>
      <c r="Z3556" s="8"/>
    </row>
    <row r="3557" spans="1:26" ht="12.75">
      <c r="A3557" s="11">
        <v>43747.149849537032</v>
      </c>
      <c r="B3557" s="12" t="str">
        <f>HYPERLINK("https://twitter.com/AbdulrahimYuren","@AbdulrahimYuren")</f>
        <v>@AbdulrahimYuren</v>
      </c>
      <c r="C3557" s="7" t="s">
        <v>19320</v>
      </c>
      <c r="D3557" s="7" t="s">
        <v>19321</v>
      </c>
      <c r="E3557" s="12" t="str">
        <f>HYPERLINK("https://twitter.com/AbdulrahimYuren/status/1181880932787261440","1181880932787261440")</f>
        <v>1181880932787261440</v>
      </c>
      <c r="F3557" s="8"/>
      <c r="G3557" s="14" t="s">
        <v>19322</v>
      </c>
      <c r="H3557" s="8"/>
      <c r="I3557" s="15">
        <v>0</v>
      </c>
      <c r="J3557" s="15">
        <v>0</v>
      </c>
      <c r="K3557" s="12" t="str">
        <f>HYPERLINK("http://twitter.com","Twitter Web Client")</f>
        <v>Twitter Web Client</v>
      </c>
      <c r="L3557" s="16">
        <v>5</v>
      </c>
      <c r="M3557" s="16">
        <v>0</v>
      </c>
      <c r="N3557" s="16">
        <v>0</v>
      </c>
      <c r="O3557" s="17"/>
      <c r="P3557" s="18">
        <v>43668.993425925924</v>
      </c>
      <c r="Q3557" s="7" t="s">
        <v>1408</v>
      </c>
      <c r="R3557" s="7" t="s">
        <v>19323</v>
      </c>
      <c r="S3557" s="8"/>
      <c r="T3557" s="8"/>
      <c r="U3557" s="19" t="str">
        <f>HYPERLINK("https://pbs.twimg.com/profile_images/1154291402118967296/-7oT2qr9.jpg","View")</f>
        <v>View</v>
      </c>
      <c r="V3557" s="8"/>
      <c r="W3557" s="8"/>
      <c r="X3557" s="8"/>
      <c r="Y3557" s="8"/>
      <c r="Z3557" s="8"/>
    </row>
    <row r="3558" spans="1:26" ht="12.75">
      <c r="A3558" s="11">
        <v>43747.14980324074</v>
      </c>
      <c r="B3558" s="12" t="str">
        <f>HYPERLINK("https://twitter.com/onlynour3","@onlynour3")</f>
        <v>@onlynour3</v>
      </c>
      <c r="C3558" s="7" t="s">
        <v>19324</v>
      </c>
      <c r="D3558" s="7" t="s">
        <v>19325</v>
      </c>
      <c r="E3558" s="12" t="str">
        <f>HYPERLINK("https://twitter.com/onlynour3/status/1181880916010033152","1181880916010033152")</f>
        <v>1181880916010033152</v>
      </c>
      <c r="F3558" s="14" t="s">
        <v>2113</v>
      </c>
      <c r="G3558" s="14" t="s">
        <v>2116</v>
      </c>
      <c r="H3558" s="8"/>
      <c r="I3558" s="15">
        <v>0</v>
      </c>
      <c r="J3558" s="15">
        <v>2</v>
      </c>
      <c r="K3558" s="12" t="str">
        <f>HYPERLINK("http://twitter.com/download/iphone","Twitter for iPhone")</f>
        <v>Twitter for iPhone</v>
      </c>
      <c r="L3558" s="16">
        <v>0</v>
      </c>
      <c r="M3558" s="16">
        <v>8</v>
      </c>
      <c r="N3558" s="16">
        <v>0</v>
      </c>
      <c r="O3558" s="17"/>
      <c r="P3558" s="18">
        <v>43746.375671296293</v>
      </c>
      <c r="Q3558" s="7"/>
      <c r="R3558" s="7"/>
      <c r="S3558" s="8"/>
      <c r="T3558" s="8"/>
      <c r="U3558" s="19" t="str">
        <f>HYPERLINK("https://pbs.twimg.com/profile_images/1181619921387696129/qlrueYPl.jpg","View")</f>
        <v>View</v>
      </c>
      <c r="V3558" s="8"/>
      <c r="W3558" s="8"/>
      <c r="X3558" s="8"/>
      <c r="Y3558" s="8"/>
      <c r="Z3558" s="8"/>
    </row>
    <row r="3559" spans="1:26" ht="12.75">
      <c r="A3559" s="11">
        <v>43747.149768518517</v>
      </c>
      <c r="B3559" s="12" t="str">
        <f>HYPERLINK("https://twitter.com/drmiralay8127","@drmiralay8127")</f>
        <v>@drmiralay8127</v>
      </c>
      <c r="C3559" s="7" t="s">
        <v>19326</v>
      </c>
      <c r="D3559" s="7" t="s">
        <v>19327</v>
      </c>
      <c r="E3559" s="12" t="str">
        <f>HYPERLINK("https://twitter.com/drmiralay8127/status/1181880903531995136","1181880903531995136")</f>
        <v>1181880903531995136</v>
      </c>
      <c r="F3559" s="8"/>
      <c r="G3559" s="7"/>
      <c r="H3559" s="8"/>
      <c r="I3559" s="15">
        <v>0</v>
      </c>
      <c r="J3559" s="15">
        <v>4</v>
      </c>
      <c r="K3559" s="12" t="str">
        <f>HYPERLINK("http://twitter.com/download/iphone","Twitter for iPhone")</f>
        <v>Twitter for iPhone</v>
      </c>
      <c r="L3559" s="16">
        <v>4632</v>
      </c>
      <c r="M3559" s="16">
        <v>4522</v>
      </c>
      <c r="N3559" s="16">
        <v>2</v>
      </c>
      <c r="O3559" s="17"/>
      <c r="P3559" s="18">
        <v>43050.70103009259</v>
      </c>
      <c r="Q3559" s="7" t="s">
        <v>19328</v>
      </c>
      <c r="R3559" s="7" t="s">
        <v>19329</v>
      </c>
      <c r="S3559" s="8"/>
      <c r="T3559" s="8"/>
      <c r="U3559" s="19" t="str">
        <f>HYPERLINK("https://pbs.twimg.com/profile_images/962442533342195712/ETWxbT-U.jpg","View")</f>
        <v>View</v>
      </c>
      <c r="V3559" s="8"/>
      <c r="W3559" s="8"/>
      <c r="X3559" s="8"/>
      <c r="Y3559" s="8"/>
      <c r="Z3559" s="8"/>
    </row>
    <row r="3560" spans="1:26" ht="12.75">
      <c r="A3560" s="11">
        <v>43747.149745370371</v>
      </c>
      <c r="B3560" s="12" t="str">
        <f>HYPERLINK("https://twitter.com/safataskiraan","@safataskiraan")</f>
        <v>@safataskiraan</v>
      </c>
      <c r="C3560" s="7" t="s">
        <v>19330</v>
      </c>
      <c r="D3560" s="7" t="s">
        <v>19331</v>
      </c>
      <c r="E3560" s="12" t="str">
        <f>HYPERLINK("https://twitter.com/safataskiraan/status/1181880896535846913","1181880896535846913")</f>
        <v>1181880896535846913</v>
      </c>
      <c r="F3560" s="8"/>
      <c r="G3560" s="14" t="s">
        <v>19332</v>
      </c>
      <c r="H3560" s="8"/>
      <c r="I3560" s="15">
        <v>0</v>
      </c>
      <c r="J3560" s="15">
        <v>2</v>
      </c>
      <c r="K3560" s="12" t="str">
        <f>HYPERLINK("http://twitter.com/download/android","Twitter for Android")</f>
        <v>Twitter for Android</v>
      </c>
      <c r="L3560" s="16">
        <v>118</v>
      </c>
      <c r="M3560" s="16">
        <v>23</v>
      </c>
      <c r="N3560" s="16">
        <v>0</v>
      </c>
      <c r="O3560" s="17"/>
      <c r="P3560" s="18">
        <v>41712.040937500002</v>
      </c>
      <c r="Q3560" s="7"/>
      <c r="R3560" s="7"/>
      <c r="S3560" s="8"/>
      <c r="T3560" s="8"/>
      <c r="U3560" s="19" t="str">
        <f>HYPERLINK("https://pbs.twimg.com/profile_images/1111245408691539968/Lt4QEUFO.jpg","View")</f>
        <v>View</v>
      </c>
      <c r="V3560" s="8"/>
      <c r="W3560" s="8"/>
      <c r="X3560" s="8"/>
      <c r="Y3560" s="8"/>
      <c r="Z3560" s="8"/>
    </row>
    <row r="3561" spans="1:26" ht="12.75">
      <c r="A3561" s="11">
        <v>43747.149687500001</v>
      </c>
      <c r="B3561" s="12" t="str">
        <f>HYPERLINK("https://twitter.com/yhykrts","@yhykrts")</f>
        <v>@yhykrts</v>
      </c>
      <c r="C3561" s="7" t="s">
        <v>19333</v>
      </c>
      <c r="D3561" s="7" t="s">
        <v>19334</v>
      </c>
      <c r="E3561" s="12" t="str">
        <f>HYPERLINK("https://twitter.com/yhykrts/status/1181880874817802240","1181880874817802240")</f>
        <v>1181880874817802240</v>
      </c>
      <c r="F3561" s="15"/>
      <c r="G3561" s="15"/>
      <c r="H3561" s="8"/>
      <c r="I3561" s="15">
        <v>0</v>
      </c>
      <c r="J3561" s="15">
        <v>0</v>
      </c>
      <c r="K3561" s="12" t="str">
        <f>HYPERLINK("http://twitter.com/download/iphone","Twitter for iPhone")</f>
        <v>Twitter for iPhone</v>
      </c>
      <c r="L3561" s="16">
        <v>957</v>
      </c>
      <c r="M3561" s="16">
        <v>292</v>
      </c>
      <c r="N3561" s="16">
        <v>6</v>
      </c>
      <c r="O3561" s="17"/>
      <c r="P3561" s="18">
        <v>40473.37976851852</v>
      </c>
      <c r="Q3561" s="7" t="s">
        <v>19335</v>
      </c>
      <c r="R3561" s="7" t="s">
        <v>19336</v>
      </c>
      <c r="S3561" s="14" t="s">
        <v>19337</v>
      </c>
      <c r="T3561" s="8"/>
      <c r="U3561" s="19" t="str">
        <f>HYPERLINK("https://pbs.twimg.com/profile_images/889378664101683200/YYFSJgAF.jpg","View")</f>
        <v>View</v>
      </c>
      <c r="V3561" s="8"/>
      <c r="W3561" s="8"/>
      <c r="X3561" s="8"/>
      <c r="Y3561" s="8"/>
      <c r="Z3561" s="8"/>
    </row>
    <row r="3562" spans="1:26" ht="12.75">
      <c r="A3562" s="11">
        <v>43747.149664351848</v>
      </c>
      <c r="B3562" s="12" t="str">
        <f>HYPERLINK("https://twitter.com/cerrahderler","@cerrahderler")</f>
        <v>@cerrahderler</v>
      </c>
      <c r="C3562" s="7" t="s">
        <v>19338</v>
      </c>
      <c r="D3562" s="7" t="s">
        <v>19339</v>
      </c>
      <c r="E3562" s="12" t="str">
        <f>HYPERLINK("https://twitter.com/cerrahderler/status/1181880867964227584","1181880867964227584")</f>
        <v>1181880867964227584</v>
      </c>
      <c r="F3562" s="8"/>
      <c r="G3562" s="14" t="s">
        <v>19340</v>
      </c>
      <c r="H3562" s="8"/>
      <c r="I3562" s="15">
        <v>0</v>
      </c>
      <c r="J3562" s="15">
        <v>0</v>
      </c>
      <c r="K3562" s="12" t="str">
        <f>HYPERLINK("http://twitter.com/download/iphone","Twitter for iPhone")</f>
        <v>Twitter for iPhone</v>
      </c>
      <c r="L3562" s="16">
        <v>654</v>
      </c>
      <c r="M3562" s="16">
        <v>179</v>
      </c>
      <c r="N3562" s="16">
        <v>0</v>
      </c>
      <c r="O3562" s="17"/>
      <c r="P3562" s="18">
        <v>41781.549050925925</v>
      </c>
      <c r="Q3562" s="7" t="s">
        <v>287</v>
      </c>
      <c r="R3562" s="7" t="s">
        <v>19341</v>
      </c>
      <c r="S3562" s="14" t="s">
        <v>19342</v>
      </c>
      <c r="T3562" s="8"/>
      <c r="U3562" s="19" t="str">
        <f>HYPERLINK("https://pbs.twimg.com/profile_images/1088918666647912450/ZIucJReP.jpg","View")</f>
        <v>View</v>
      </c>
      <c r="V3562" s="8"/>
      <c r="W3562" s="8"/>
      <c r="X3562" s="8"/>
      <c r="Y3562" s="8"/>
      <c r="Z3562" s="8"/>
    </row>
    <row r="3563" spans="1:26" ht="12.75">
      <c r="A3563" s="11">
        <v>43747.149664351848</v>
      </c>
      <c r="B3563" s="12" t="str">
        <f>HYPERLINK("https://twitter.com/fy0660","@fy0660")</f>
        <v>@fy0660</v>
      </c>
      <c r="C3563" s="7" t="s">
        <v>19343</v>
      </c>
      <c r="D3563" s="7" t="s">
        <v>19344</v>
      </c>
      <c r="E3563" s="12" t="str">
        <f>HYPERLINK("https://twitter.com/fy0660/status/1181880864445259776","1181880864445259776")</f>
        <v>1181880864445259776</v>
      </c>
      <c r="F3563" s="8"/>
      <c r="G3563" s="14" t="s">
        <v>19345</v>
      </c>
      <c r="H3563" s="8"/>
      <c r="I3563" s="15">
        <v>0</v>
      </c>
      <c r="J3563" s="15">
        <v>0</v>
      </c>
      <c r="K3563" s="12" t="str">
        <f>HYPERLINK("http://twitter.com/download/android","Twitter for Android")</f>
        <v>Twitter for Android</v>
      </c>
      <c r="L3563" s="16">
        <v>486</v>
      </c>
      <c r="M3563" s="16">
        <v>1132</v>
      </c>
      <c r="N3563" s="16">
        <v>0</v>
      </c>
      <c r="O3563" s="17"/>
      <c r="P3563" s="18">
        <v>42194.69908564815</v>
      </c>
      <c r="Q3563" s="7"/>
      <c r="R3563" s="7" t="s">
        <v>19346</v>
      </c>
      <c r="S3563" s="8"/>
      <c r="T3563" s="8"/>
      <c r="U3563" s="19" t="str">
        <f>HYPERLINK("https://pbs.twimg.com/profile_images/1035306866841202688/fw5p1Dzd.jpg","View")</f>
        <v>View</v>
      </c>
      <c r="V3563" s="8"/>
      <c r="W3563" s="8"/>
      <c r="X3563" s="8"/>
      <c r="Y3563" s="8"/>
      <c r="Z3563" s="8"/>
    </row>
    <row r="3564" spans="1:26" ht="12.75">
      <c r="A3564" s="11">
        <v>43747.149606481486</v>
      </c>
      <c r="B3564" s="12" t="str">
        <f>HYPERLINK("https://twitter.com/BerlyChain","@BerlyChain")</f>
        <v>@BerlyChain</v>
      </c>
      <c r="C3564" s="7" t="s">
        <v>19347</v>
      </c>
      <c r="D3564" s="7" t="s">
        <v>19348</v>
      </c>
      <c r="E3564" s="12" t="str">
        <f>HYPERLINK("https://twitter.com/BerlyChain/status/1181880847244369920","1181880847244369920")</f>
        <v>1181880847244369920</v>
      </c>
      <c r="F3564" s="8"/>
      <c r="G3564" s="15"/>
      <c r="H3564" s="8"/>
      <c r="I3564" s="15">
        <v>1</v>
      </c>
      <c r="J3564" s="15">
        <v>3</v>
      </c>
      <c r="K3564" s="12" t="str">
        <f>HYPERLINK("https://mobile.twitter.com","Twitter Web App")</f>
        <v>Twitter Web App</v>
      </c>
      <c r="L3564" s="16">
        <v>5334</v>
      </c>
      <c r="M3564" s="16">
        <v>1423</v>
      </c>
      <c r="N3564" s="16">
        <v>23</v>
      </c>
      <c r="O3564" s="17"/>
      <c r="P3564" s="18">
        <v>43026.097696759258</v>
      </c>
      <c r="Q3564" s="7" t="s">
        <v>19349</v>
      </c>
      <c r="R3564" s="7" t="s">
        <v>19350</v>
      </c>
      <c r="S3564" s="15"/>
      <c r="T3564" s="8"/>
      <c r="U3564" s="19" t="str">
        <f>HYPERLINK("https://pbs.twimg.com/profile_images/1143244044283338754/Nci4vt1P.png","View")</f>
        <v>View</v>
      </c>
      <c r="V3564" s="8"/>
      <c r="W3564" s="8"/>
      <c r="X3564" s="8"/>
      <c r="Y3564" s="8"/>
      <c r="Z3564" s="8"/>
    </row>
    <row r="3565" spans="1:26" ht="12.75">
      <c r="A3565" s="11">
        <v>43747.149583333332</v>
      </c>
      <c r="B3565" s="12" t="str">
        <f>HYPERLINK("https://twitter.com/06tbr","@06tbr")</f>
        <v>@06tbr</v>
      </c>
      <c r="C3565" s="7" t="s">
        <v>19351</v>
      </c>
      <c r="D3565" s="7" t="s">
        <v>160</v>
      </c>
      <c r="E3565" s="12" t="str">
        <f>HYPERLINK("https://twitter.com/06tbr/status/1181880838750904320","1181880838750904320")</f>
        <v>1181880838750904320</v>
      </c>
      <c r="F3565" s="8"/>
      <c r="G3565" s="7"/>
      <c r="H3565" s="8"/>
      <c r="I3565" s="15">
        <v>0</v>
      </c>
      <c r="J3565" s="15">
        <v>0</v>
      </c>
      <c r="K3565" s="12" t="str">
        <f>HYPERLINK("http://twitter.com/download/iphone","Twitter for iPhone")</f>
        <v>Twitter for iPhone</v>
      </c>
      <c r="L3565" s="16">
        <v>130</v>
      </c>
      <c r="M3565" s="16">
        <v>237</v>
      </c>
      <c r="N3565" s="16">
        <v>0</v>
      </c>
      <c r="O3565" s="17"/>
      <c r="P3565" s="18">
        <v>40972.125509259262</v>
      </c>
      <c r="Q3565" s="7"/>
      <c r="R3565" s="7"/>
      <c r="S3565" s="8"/>
      <c r="T3565" s="8"/>
      <c r="U3565" s="19" t="str">
        <f>HYPERLINK("https://pbs.twimg.com/profile_images/1153775961252466688/0er5BeGh.jpg","View")</f>
        <v>View</v>
      </c>
      <c r="V3565" s="8"/>
      <c r="W3565" s="8"/>
      <c r="X3565" s="8"/>
      <c r="Y3565" s="8"/>
      <c r="Z3565" s="8"/>
    </row>
    <row r="3566" spans="1:26" ht="12.75">
      <c r="A3566" s="11">
        <v>43747.149548611109</v>
      </c>
      <c r="B3566" s="12" t="str">
        <f>HYPERLINK("https://twitter.com/0Sdf0","@0Sdf0")</f>
        <v>@0Sdf0</v>
      </c>
      <c r="C3566" s="7" t="s">
        <v>19352</v>
      </c>
      <c r="D3566" s="7" t="s">
        <v>19353</v>
      </c>
      <c r="E3566" s="12" t="str">
        <f>HYPERLINK("https://twitter.com/0Sdf0/status/1181880823739506688","1181880823739506688")</f>
        <v>1181880823739506688</v>
      </c>
      <c r="F3566" s="8"/>
      <c r="G3566" s="7"/>
      <c r="H3566" s="8"/>
      <c r="I3566" s="15">
        <v>0</v>
      </c>
      <c r="J3566" s="15">
        <v>1</v>
      </c>
      <c r="K3566" s="12" t="str">
        <f>HYPERLINK("https://mobile.twitter.com","Twitter Web App")</f>
        <v>Twitter Web App</v>
      </c>
      <c r="L3566" s="16">
        <v>7</v>
      </c>
      <c r="M3566" s="16">
        <v>11</v>
      </c>
      <c r="N3566" s="16">
        <v>0</v>
      </c>
      <c r="O3566" s="17"/>
      <c r="P3566" s="18">
        <v>41819.144375000003</v>
      </c>
      <c r="Q3566" s="7"/>
      <c r="R3566" s="7"/>
      <c r="S3566" s="8"/>
      <c r="T3566" s="8"/>
      <c r="U3566" s="19" t="str">
        <f>HYPERLINK("https://pbs.twimg.com/profile_images/1158705819699032065/kU8Dq1h9.jpg","View")</f>
        <v>View</v>
      </c>
      <c r="V3566" s="8"/>
      <c r="W3566" s="8"/>
      <c r="X3566" s="8"/>
      <c r="Y3566" s="8"/>
      <c r="Z3566" s="8"/>
    </row>
    <row r="3567" spans="1:26" ht="12.75">
      <c r="A3567" s="11">
        <v>43747.149525462963</v>
      </c>
      <c r="B3567" s="12" t="str">
        <f>HYPERLINK("https://twitter.com/tarkan_akar25","@tarkan_akar25")</f>
        <v>@tarkan_akar25</v>
      </c>
      <c r="C3567" s="7" t="s">
        <v>19354</v>
      </c>
      <c r="D3567" s="7" t="s">
        <v>19355</v>
      </c>
      <c r="E3567" s="12" t="str">
        <f>HYPERLINK("https://twitter.com/tarkan_akar25/status/1181880815766114304","1181880815766114304")</f>
        <v>1181880815766114304</v>
      </c>
      <c r="F3567" s="8"/>
      <c r="G3567" s="15"/>
      <c r="H3567" s="8"/>
      <c r="I3567" s="15">
        <v>0</v>
      </c>
      <c r="J3567" s="15">
        <v>0</v>
      </c>
      <c r="K3567" s="12" t="str">
        <f>HYPERLINK("http://twitter.com/download/android","Twitter for Android")</f>
        <v>Twitter for Android</v>
      </c>
      <c r="L3567" s="16">
        <v>366</v>
      </c>
      <c r="M3567" s="16">
        <v>99</v>
      </c>
      <c r="N3567" s="16">
        <v>2</v>
      </c>
      <c r="O3567" s="17"/>
      <c r="P3567" s="18">
        <v>42435.536759259259</v>
      </c>
      <c r="Q3567" s="7"/>
      <c r="R3567" s="7"/>
      <c r="S3567" s="8"/>
      <c r="T3567" s="8"/>
      <c r="U3567" s="19" t="str">
        <f>HYPERLINK("https://pbs.twimg.com/profile_images/1157714783996653569/tVontVUQ.jpg","View")</f>
        <v>View</v>
      </c>
      <c r="V3567" s="8"/>
      <c r="W3567" s="8"/>
      <c r="X3567" s="8"/>
      <c r="Y3567" s="8"/>
      <c r="Z3567" s="8"/>
    </row>
    <row r="3568" spans="1:26" ht="12.75">
      <c r="A3568" s="11">
        <v>43747.149502314816</v>
      </c>
      <c r="B3568" s="12" t="str">
        <f>HYPERLINK("https://twitter.com/aliyyulala__","@aliyyulala__")</f>
        <v>@aliyyulala__</v>
      </c>
      <c r="C3568" s="7" t="s">
        <v>19356</v>
      </c>
      <c r="D3568" s="7" t="s">
        <v>19357</v>
      </c>
      <c r="E3568" s="12" t="str">
        <f>HYPERLINK("https://twitter.com/aliyyulala__/status/1181880809474494464","1181880809474494464")</f>
        <v>1181880809474494464</v>
      </c>
      <c r="F3568" s="14" t="s">
        <v>19358</v>
      </c>
      <c r="G3568" s="14" t="s">
        <v>19359</v>
      </c>
      <c r="H3568" s="8"/>
      <c r="I3568" s="15">
        <v>0</v>
      </c>
      <c r="J3568" s="15">
        <v>0</v>
      </c>
      <c r="K3568" s="12" t="str">
        <f>HYPERLINK("http://twitter.com/download/android","Twitter for Android")</f>
        <v>Twitter for Android</v>
      </c>
      <c r="L3568" s="16">
        <v>57</v>
      </c>
      <c r="M3568" s="16">
        <v>242</v>
      </c>
      <c r="N3568" s="16">
        <v>0</v>
      </c>
      <c r="O3568" s="17"/>
      <c r="P3568" s="18">
        <v>42649.339351851857</v>
      </c>
      <c r="Q3568" s="7"/>
      <c r="R3568" s="7" t="s">
        <v>19360</v>
      </c>
      <c r="S3568" s="15"/>
      <c r="T3568" s="8"/>
      <c r="U3568" s="19" t="str">
        <f>HYPERLINK("https://pbs.twimg.com/profile_images/902902530715271168/2IdQzRd9.jpg","View")</f>
        <v>View</v>
      </c>
      <c r="V3568" s="8"/>
      <c r="W3568" s="8"/>
      <c r="X3568" s="8"/>
      <c r="Y3568" s="8"/>
      <c r="Z3568" s="8"/>
    </row>
    <row r="3569" spans="1:26" ht="12.75">
      <c r="A3569" s="11">
        <v>43747.149479166663</v>
      </c>
      <c r="B3569" s="12" t="str">
        <f>HYPERLINK("https://twitter.com/43zorlu45","@43zorlu45")</f>
        <v>@43zorlu45</v>
      </c>
      <c r="C3569" s="7" t="s">
        <v>19361</v>
      </c>
      <c r="D3569" s="7" t="s">
        <v>160</v>
      </c>
      <c r="E3569" s="12" t="str">
        <f>HYPERLINK("https://twitter.com/43zorlu45/status/1181880798385000449","1181880798385000449")</f>
        <v>1181880798385000449</v>
      </c>
      <c r="F3569" s="8"/>
      <c r="G3569" s="15"/>
      <c r="H3569" s="8"/>
      <c r="I3569" s="15">
        <v>0</v>
      </c>
      <c r="J3569" s="15">
        <v>0</v>
      </c>
      <c r="K3569" s="12" t="str">
        <f>HYPERLINK("https://mobile.twitter.com","Twitter Web App")</f>
        <v>Twitter Web App</v>
      </c>
      <c r="L3569" s="16">
        <v>1</v>
      </c>
      <c r="M3569" s="16">
        <v>13</v>
      </c>
      <c r="N3569" s="16">
        <v>0</v>
      </c>
      <c r="O3569" s="17"/>
      <c r="P3569" s="18">
        <v>42842.253842592589</v>
      </c>
      <c r="Q3569" s="7"/>
      <c r="R3569" s="7"/>
      <c r="S3569" s="8"/>
      <c r="T3569" s="8"/>
      <c r="U3569" s="20" t="s">
        <v>354</v>
      </c>
      <c r="V3569" s="8"/>
      <c r="W3569" s="8"/>
      <c r="X3569" s="8"/>
      <c r="Y3569" s="8"/>
      <c r="Z3569" s="8"/>
    </row>
    <row r="3570" spans="1:26" ht="12.75">
      <c r="A3570" s="11">
        <v>43747.149467592593</v>
      </c>
      <c r="B3570" s="12" t="str">
        <f>HYPERLINK("https://twitter.com/nesliiihankara","@nesliiihankara")</f>
        <v>@nesliiihankara</v>
      </c>
      <c r="C3570" s="7" t="s">
        <v>19362</v>
      </c>
      <c r="D3570" s="7" t="s">
        <v>19363</v>
      </c>
      <c r="E3570" s="12" t="str">
        <f>HYPERLINK("https://twitter.com/nesliiihankara/status/1181880796514267136","1181880796514267136")</f>
        <v>1181880796514267136</v>
      </c>
      <c r="F3570" s="8"/>
      <c r="G3570" s="7"/>
      <c r="H3570" s="8"/>
      <c r="I3570" s="15">
        <v>0</v>
      </c>
      <c r="J3570" s="15">
        <v>4</v>
      </c>
      <c r="K3570" s="12" t="str">
        <f>HYPERLINK("http://twitter.com/download/android","Twitter for Android")</f>
        <v>Twitter for Android</v>
      </c>
      <c r="L3570" s="16">
        <v>1074</v>
      </c>
      <c r="M3570" s="16">
        <v>992</v>
      </c>
      <c r="N3570" s="16">
        <v>0</v>
      </c>
      <c r="O3570" s="17"/>
      <c r="P3570" s="18">
        <v>42216.542361111111</v>
      </c>
      <c r="Q3570" s="7" t="s">
        <v>19364</v>
      </c>
      <c r="R3570" s="7" t="s">
        <v>19365</v>
      </c>
      <c r="S3570" s="8"/>
      <c r="T3570" s="8"/>
      <c r="U3570" s="19" t="str">
        <f>HYPERLINK("https://pbs.twimg.com/profile_images/1181569548694228994/zAerP_J3.jpg","View")</f>
        <v>View</v>
      </c>
      <c r="V3570" s="8"/>
      <c r="W3570" s="8"/>
      <c r="X3570" s="8"/>
      <c r="Y3570" s="8"/>
      <c r="Z3570" s="8"/>
    </row>
    <row r="3571" spans="1:26" ht="12.75">
      <c r="A3571" s="11">
        <v>43747.149467592593</v>
      </c>
      <c r="B3571" s="12" t="str">
        <f>HYPERLINK("https://twitter.com/mahmutkok7","@mahmutkok7")</f>
        <v>@mahmutkok7</v>
      </c>
      <c r="C3571" s="7" t="s">
        <v>19366</v>
      </c>
      <c r="D3571" s="7" t="s">
        <v>19367</v>
      </c>
      <c r="E3571" s="12" t="str">
        <f>HYPERLINK("https://twitter.com/mahmutkok7/status/1181880794106728449","1181880794106728449")</f>
        <v>1181880794106728449</v>
      </c>
      <c r="F3571" s="8"/>
      <c r="G3571" s="15"/>
      <c r="H3571" s="8"/>
      <c r="I3571" s="15">
        <v>0</v>
      </c>
      <c r="J3571" s="15">
        <v>1</v>
      </c>
      <c r="K3571" s="12" t="str">
        <f>HYPERLINK("https://mobile.twitter.com","Twitter Web App")</f>
        <v>Twitter Web App</v>
      </c>
      <c r="L3571" s="16">
        <v>0</v>
      </c>
      <c r="M3571" s="16">
        <v>0</v>
      </c>
      <c r="N3571" s="16">
        <v>0</v>
      </c>
      <c r="O3571" s="17"/>
      <c r="P3571" s="18">
        <v>43744.648310185185</v>
      </c>
      <c r="Q3571" s="7"/>
      <c r="R3571" s="7"/>
      <c r="S3571" s="8"/>
      <c r="T3571" s="8"/>
      <c r="U3571" s="19" t="str">
        <f>HYPERLINK("https://pbs.twimg.com/profile_images/1180974584599842822/c1ZEILcW.jpg","View")</f>
        <v>View</v>
      </c>
      <c r="V3571" s="8"/>
      <c r="W3571" s="8"/>
      <c r="X3571" s="8"/>
      <c r="Y3571" s="8"/>
      <c r="Z3571" s="8"/>
    </row>
    <row r="3572" spans="1:26" ht="12.75">
      <c r="A3572" s="11">
        <v>43747.14943287037</v>
      </c>
      <c r="B3572" s="12" t="str">
        <f>HYPERLINK("https://twitter.com/Bozoklu10","@Bozoklu10")</f>
        <v>@Bozoklu10</v>
      </c>
      <c r="C3572" s="7" t="s">
        <v>19368</v>
      </c>
      <c r="D3572" s="7" t="s">
        <v>19369</v>
      </c>
      <c r="E3572" s="12" t="str">
        <f>HYPERLINK("https://twitter.com/Bozoklu10/status/1181880782786367488","1181880782786367488")</f>
        <v>1181880782786367488</v>
      </c>
      <c r="F3572" s="14" t="s">
        <v>19370</v>
      </c>
      <c r="G3572" s="7"/>
      <c r="H3572" s="8"/>
      <c r="I3572" s="15">
        <v>0</v>
      </c>
      <c r="J3572" s="15">
        <v>2</v>
      </c>
      <c r="K3572" s="12" t="str">
        <f>HYPERLINK("https://mobile.twitter.com","Twitter Web App")</f>
        <v>Twitter Web App</v>
      </c>
      <c r="L3572" s="16">
        <v>1014</v>
      </c>
      <c r="M3572" s="16">
        <v>508</v>
      </c>
      <c r="N3572" s="16">
        <v>4</v>
      </c>
      <c r="O3572" s="17"/>
      <c r="P3572" s="18">
        <v>41937.528321759259</v>
      </c>
      <c r="Q3572" s="7" t="s">
        <v>19371</v>
      </c>
      <c r="R3572" s="7" t="s">
        <v>19372</v>
      </c>
      <c r="S3572" s="8"/>
      <c r="T3572" s="8"/>
      <c r="U3572" s="19" t="str">
        <f>HYPERLINK("https://pbs.twimg.com/profile_images/1050794292116168704/N_tLoEdq.jpg","View")</f>
        <v>View</v>
      </c>
      <c r="V3572" s="8"/>
      <c r="W3572" s="8"/>
      <c r="X3572" s="8"/>
      <c r="Y3572" s="8"/>
      <c r="Z3572" s="8"/>
    </row>
    <row r="3573" spans="1:26" ht="12.75">
      <c r="A3573" s="11">
        <v>43747.149421296301</v>
      </c>
      <c r="B3573" s="12" t="str">
        <f>HYPERLINK("https://twitter.com/Siyahsa60416535","@Siyahsa60416535")</f>
        <v>@Siyahsa60416535</v>
      </c>
      <c r="C3573" s="7" t="s">
        <v>19373</v>
      </c>
      <c r="D3573" s="7" t="s">
        <v>19374</v>
      </c>
      <c r="E3573" s="12" t="str">
        <f>HYPERLINK("https://twitter.com/Siyahsa60416535/status/1181880777501487104","1181880777501487104")</f>
        <v>1181880777501487104</v>
      </c>
      <c r="F3573" s="8" t="s">
        <v>19375</v>
      </c>
      <c r="G3573" s="14" t="s">
        <v>17213</v>
      </c>
      <c r="H3573" s="8"/>
      <c r="I3573" s="15">
        <v>0</v>
      </c>
      <c r="J3573" s="15">
        <v>0</v>
      </c>
      <c r="K3573" s="12" t="str">
        <f>HYPERLINK("http://twitter.com/download/android","Twitter for Android")</f>
        <v>Twitter for Android</v>
      </c>
      <c r="L3573" s="16">
        <v>29</v>
      </c>
      <c r="M3573" s="16">
        <v>150</v>
      </c>
      <c r="N3573" s="16">
        <v>0</v>
      </c>
      <c r="O3573" s="17"/>
      <c r="P3573" s="18">
        <v>43729.605671296296</v>
      </c>
      <c r="Q3573" s="7"/>
      <c r="R3573" s="7" t="s">
        <v>19376</v>
      </c>
      <c r="S3573" s="8"/>
      <c r="T3573" s="8"/>
      <c r="U3573" s="19" t="str">
        <f>HYPERLINK("https://pbs.twimg.com/profile_images/1175523610338967557/QvgJMtjA.jpg","View")</f>
        <v>View</v>
      </c>
      <c r="V3573" s="8"/>
      <c r="W3573" s="8"/>
      <c r="X3573" s="8"/>
      <c r="Y3573" s="8"/>
      <c r="Z3573" s="8"/>
    </row>
    <row r="3574" spans="1:26" ht="12.75">
      <c r="A3574" s="11">
        <v>43747.149317129632</v>
      </c>
      <c r="B3574" s="12" t="str">
        <f>HYPERLINK("https://twitter.com/Mushtak29567103","@Mushtak29567103")</f>
        <v>@Mushtak29567103</v>
      </c>
      <c r="C3574" s="7" t="s">
        <v>19377</v>
      </c>
      <c r="D3574" s="7" t="s">
        <v>19378</v>
      </c>
      <c r="E3574" s="12" t="str">
        <f>HYPERLINK("https://twitter.com/Mushtak29567103/status/1181880741677977600","1181880741677977600")</f>
        <v>1181880741677977600</v>
      </c>
      <c r="F3574" s="8" t="s">
        <v>19379</v>
      </c>
      <c r="G3574" s="14" t="s">
        <v>19380</v>
      </c>
      <c r="H3574" s="8"/>
      <c r="I3574" s="15">
        <v>0</v>
      </c>
      <c r="J3574" s="15">
        <v>0</v>
      </c>
      <c r="K3574" s="12" t="str">
        <f>HYPERLINK("https://mobile.twitter.com","Twitter Web App")</f>
        <v>Twitter Web App</v>
      </c>
      <c r="L3574" s="16">
        <v>553</v>
      </c>
      <c r="M3574" s="16">
        <v>1797</v>
      </c>
      <c r="N3574" s="16">
        <v>1</v>
      </c>
      <c r="O3574" s="17"/>
      <c r="P3574" s="18">
        <v>43445.090254629627</v>
      </c>
      <c r="Q3574" s="7" t="s">
        <v>19381</v>
      </c>
      <c r="R3574" s="7" t="s">
        <v>19382</v>
      </c>
      <c r="S3574" s="14" t="s">
        <v>19383</v>
      </c>
      <c r="T3574" s="8"/>
      <c r="U3574" s="19" t="str">
        <f>HYPERLINK("https://pbs.twimg.com/profile_images/1072433583468482560/U8IXK553.jpg","View")</f>
        <v>View</v>
      </c>
      <c r="V3574" s="8"/>
      <c r="W3574" s="8"/>
      <c r="X3574" s="8"/>
      <c r="Y3574" s="8"/>
      <c r="Z3574" s="8"/>
    </row>
    <row r="3575" spans="1:26" ht="12.75">
      <c r="A3575" s="11">
        <v>43747.149270833332</v>
      </c>
      <c r="B3575" s="12" t="str">
        <f>HYPERLINK("https://twitter.com/rutbesiz_1Albay","@rutbesiz_1Albay")</f>
        <v>@rutbesiz_1Albay</v>
      </c>
      <c r="C3575" s="7" t="s">
        <v>19384</v>
      </c>
      <c r="D3575" s="7" t="s">
        <v>19385</v>
      </c>
      <c r="E3575" s="12" t="str">
        <f>HYPERLINK("https://twitter.com/rutbesiz_1Albay/status/1181880723256549376","1181880723256549376")</f>
        <v>1181880723256549376</v>
      </c>
      <c r="F3575" s="8"/>
      <c r="G3575" s="14" t="s">
        <v>19386</v>
      </c>
      <c r="H3575" s="8"/>
      <c r="I3575" s="15">
        <v>0</v>
      </c>
      <c r="J3575" s="15">
        <v>1</v>
      </c>
      <c r="K3575" s="12" t="str">
        <f>HYPERLINK("http://twitter.com/download/android","Twitter for Android")</f>
        <v>Twitter for Android</v>
      </c>
      <c r="L3575" s="16">
        <v>40</v>
      </c>
      <c r="M3575" s="16">
        <v>35</v>
      </c>
      <c r="N3575" s="16">
        <v>0</v>
      </c>
      <c r="O3575" s="17"/>
      <c r="P3575" s="18">
        <v>43490.237615740742</v>
      </c>
      <c r="Q3575" s="7" t="s">
        <v>19387</v>
      </c>
      <c r="R3575" s="7"/>
      <c r="S3575" s="14" t="s">
        <v>19388</v>
      </c>
      <c r="T3575" s="8"/>
      <c r="U3575" s="19" t="str">
        <f>HYPERLINK("https://pbs.twimg.com/profile_images/1180792326073061378/TC_JfEh7.jpg","View")</f>
        <v>View</v>
      </c>
      <c r="V3575" s="8"/>
      <c r="W3575" s="8"/>
      <c r="X3575" s="8"/>
      <c r="Y3575" s="8"/>
      <c r="Z3575" s="8"/>
    </row>
    <row r="3576" spans="1:26" ht="12.75">
      <c r="A3576" s="11">
        <v>43747.149259259255</v>
      </c>
      <c r="B3576" s="12" t="str">
        <f>HYPERLINK("https://twitter.com/ercan_bir_yolcu","@ercan_bir_yolcu")</f>
        <v>@ercan_bir_yolcu</v>
      </c>
      <c r="C3576" s="7" t="s">
        <v>19389</v>
      </c>
      <c r="D3576" s="7" t="s">
        <v>19390</v>
      </c>
      <c r="E3576" s="12" t="str">
        <f>HYPERLINK("https://twitter.com/ercan_bir_yolcu/status/1181880718789632001","1181880718789632001")</f>
        <v>1181880718789632001</v>
      </c>
      <c r="F3576" s="8"/>
      <c r="G3576" s="14" t="s">
        <v>19391</v>
      </c>
      <c r="H3576" s="8"/>
      <c r="I3576" s="15">
        <v>2</v>
      </c>
      <c r="J3576" s="15">
        <v>12</v>
      </c>
      <c r="K3576" s="12" t="str">
        <f>HYPERLINK("http://twitter.com/download/android","Twitter for Android")</f>
        <v>Twitter for Android</v>
      </c>
      <c r="L3576" s="16">
        <v>18100</v>
      </c>
      <c r="M3576" s="16">
        <v>17312</v>
      </c>
      <c r="N3576" s="16">
        <v>6</v>
      </c>
      <c r="O3576" s="17"/>
      <c r="P3576" s="18">
        <v>41052.990995370368</v>
      </c>
      <c r="Q3576" s="15" t="s">
        <v>19392</v>
      </c>
      <c r="R3576" s="7" t="s">
        <v>19393</v>
      </c>
      <c r="S3576" s="15"/>
      <c r="T3576" s="8"/>
      <c r="U3576" s="19" t="str">
        <f>HYPERLINK("https://pbs.twimg.com/profile_images/1151075902824091648/Ya9FdH4D.jpg","View")</f>
        <v>View</v>
      </c>
      <c r="V3576" s="8"/>
      <c r="W3576" s="8"/>
      <c r="X3576" s="8"/>
      <c r="Y3576" s="8"/>
      <c r="Z3576" s="8"/>
    </row>
    <row r="3577" spans="1:26" ht="12.75">
      <c r="A3577" s="11">
        <v>43747.149247685185</v>
      </c>
      <c r="B3577" s="12" t="str">
        <f>HYPERLINK("https://twitter.com/Hakankerimhamdi","@Hakankerimhamdi")</f>
        <v>@Hakankerimhamdi</v>
      </c>
      <c r="C3577" s="7" t="s">
        <v>19394</v>
      </c>
      <c r="D3577" s="7" t="s">
        <v>19395</v>
      </c>
      <c r="E3577" s="12" t="str">
        <f>HYPERLINK("https://twitter.com/Hakankerimhamdi/status/1181880716331757568","1181880716331757568")</f>
        <v>1181880716331757568</v>
      </c>
      <c r="F3577" s="8"/>
      <c r="G3577" s="15"/>
      <c r="H3577" s="8"/>
      <c r="I3577" s="15">
        <v>0</v>
      </c>
      <c r="J3577" s="15">
        <v>0</v>
      </c>
      <c r="K3577" s="12" t="str">
        <f>HYPERLINK("http://twitter.com/download/android","Twitter for Android")</f>
        <v>Twitter for Android</v>
      </c>
      <c r="L3577" s="16">
        <v>748</v>
      </c>
      <c r="M3577" s="16">
        <v>1205</v>
      </c>
      <c r="N3577" s="16">
        <v>0</v>
      </c>
      <c r="O3577" s="17"/>
      <c r="P3577" s="18">
        <v>43532.231458333335</v>
      </c>
      <c r="Q3577" s="7"/>
      <c r="R3577" s="7"/>
      <c r="S3577" s="8"/>
      <c r="T3577" s="8"/>
      <c r="U3577" s="19" t="str">
        <f>HYPERLINK("https://pbs.twimg.com/profile_images/1104045741184561153/A_GK82is.jpg","View")</f>
        <v>View</v>
      </c>
      <c r="V3577" s="8"/>
      <c r="W3577" s="8"/>
      <c r="X3577" s="8"/>
      <c r="Y3577" s="8"/>
      <c r="Z3577" s="8"/>
    </row>
    <row r="3578" spans="1:26" ht="12.75">
      <c r="A3578" s="11">
        <v>43747.149224537032</v>
      </c>
      <c r="B3578" s="12" t="str">
        <f>HYPERLINK("https://twitter.com/ismldogn","@ismldogn")</f>
        <v>@ismldogn</v>
      </c>
      <c r="C3578" s="7" t="s">
        <v>19396</v>
      </c>
      <c r="D3578" s="7" t="s">
        <v>16588</v>
      </c>
      <c r="E3578" s="12" t="str">
        <f>HYPERLINK("https://twitter.com/ismldogn/status/1181880705892192257","1181880705892192257")</f>
        <v>1181880705892192257</v>
      </c>
      <c r="F3578" s="8"/>
      <c r="G3578" s="14" t="s">
        <v>19397</v>
      </c>
      <c r="H3578" s="8"/>
      <c r="I3578" s="15">
        <v>0</v>
      </c>
      <c r="J3578" s="15">
        <v>5</v>
      </c>
      <c r="K3578" s="12" t="str">
        <f>HYPERLINK("https://mobile.twitter.com","Twitter Web App")</f>
        <v>Twitter Web App</v>
      </c>
      <c r="L3578" s="16">
        <v>759</v>
      </c>
      <c r="M3578" s="16">
        <v>1163</v>
      </c>
      <c r="N3578" s="16">
        <v>0</v>
      </c>
      <c r="O3578" s="17"/>
      <c r="P3578" s="18">
        <v>43033.081365740742</v>
      </c>
      <c r="Q3578" s="7" t="s">
        <v>19398</v>
      </c>
      <c r="R3578" s="7" t="s">
        <v>19399</v>
      </c>
      <c r="S3578" s="14" t="s">
        <v>19400</v>
      </c>
      <c r="T3578" s="8"/>
      <c r="U3578" s="19" t="str">
        <f>HYPERLINK("https://pbs.twimg.com/profile_images/1181163231055929345/4E50tGfA.jpg","View")</f>
        <v>View</v>
      </c>
      <c r="V3578" s="8"/>
      <c r="W3578" s="8"/>
      <c r="X3578" s="8"/>
      <c r="Y3578" s="8"/>
      <c r="Z3578" s="8"/>
    </row>
    <row r="3579" spans="1:26" ht="12.75">
      <c r="A3579" s="11">
        <v>43747.149201388893</v>
      </c>
      <c r="B3579" s="12" t="str">
        <f>HYPERLINK("https://twitter.com/hazretielci","@hazretielci")</f>
        <v>@hazretielci</v>
      </c>
      <c r="C3579" s="7" t="s">
        <v>19401</v>
      </c>
      <c r="D3579" s="7" t="s">
        <v>19402</v>
      </c>
      <c r="E3579" s="12" t="str">
        <f>HYPERLINK("https://twitter.com/hazretielci/status/1181880697063165952","1181880697063165952")</f>
        <v>1181880697063165952</v>
      </c>
      <c r="F3579" s="8"/>
      <c r="G3579" s="15"/>
      <c r="H3579" s="8"/>
      <c r="I3579" s="15">
        <v>0</v>
      </c>
      <c r="J3579" s="15">
        <v>1</v>
      </c>
      <c r="K3579" s="12" t="str">
        <f>HYPERLINK("http://twitter.com/download/android","Twitter for Android")</f>
        <v>Twitter for Android</v>
      </c>
      <c r="L3579" s="16">
        <v>103</v>
      </c>
      <c r="M3579" s="16">
        <v>204</v>
      </c>
      <c r="N3579" s="16">
        <v>0</v>
      </c>
      <c r="O3579" s="17"/>
      <c r="P3579" s="18">
        <v>42644.575648148151</v>
      </c>
      <c r="Q3579" s="7" t="s">
        <v>19403</v>
      </c>
      <c r="R3579" s="7" t="s">
        <v>19404</v>
      </c>
      <c r="S3579" s="14" t="s">
        <v>19405</v>
      </c>
      <c r="T3579" s="8"/>
      <c r="U3579" s="19" t="str">
        <f>HYPERLINK("https://pbs.twimg.com/profile_images/1162048449833000961/lA3OH6Lb.jpg","View")</f>
        <v>View</v>
      </c>
      <c r="V3579" s="8"/>
      <c r="W3579" s="8"/>
      <c r="X3579" s="8"/>
      <c r="Y3579" s="8"/>
      <c r="Z3579" s="8"/>
    </row>
    <row r="3580" spans="1:26" ht="12.75">
      <c r="A3580" s="11">
        <v>43747.149178240739</v>
      </c>
      <c r="B3580" s="12" t="str">
        <f>HYPERLINK("https://twitter.com/RidvanKeles","@RidvanKeles")</f>
        <v>@RidvanKeles</v>
      </c>
      <c r="C3580" s="7" t="s">
        <v>19406</v>
      </c>
      <c r="D3580" s="7" t="s">
        <v>14166</v>
      </c>
      <c r="E3580" s="12" t="str">
        <f>HYPERLINK("https://twitter.com/RidvanKeles/status/1181880691434442752","1181880691434442752")</f>
        <v>1181880691434442752</v>
      </c>
      <c r="F3580" s="8"/>
      <c r="G3580" s="14" t="s">
        <v>19407</v>
      </c>
      <c r="H3580" s="8"/>
      <c r="I3580" s="15">
        <v>0</v>
      </c>
      <c r="J3580" s="15">
        <v>2</v>
      </c>
      <c r="K3580" s="12" t="str">
        <f>HYPERLINK("http://twitter.com/download/android","Twitter for Android")</f>
        <v>Twitter for Android</v>
      </c>
      <c r="L3580" s="16">
        <v>265</v>
      </c>
      <c r="M3580" s="16">
        <v>159</v>
      </c>
      <c r="N3580" s="16">
        <v>0</v>
      </c>
      <c r="O3580" s="17"/>
      <c r="P3580" s="18">
        <v>41160.168611111112</v>
      </c>
      <c r="Q3580" s="7" t="s">
        <v>287</v>
      </c>
      <c r="R3580" s="7" t="s">
        <v>19408</v>
      </c>
      <c r="S3580" s="8"/>
      <c r="T3580" s="8"/>
      <c r="U3580" s="19" t="str">
        <f>HYPERLINK("https://pbs.twimg.com/profile_images/1179807401853227008/Vr2z--5w.jpg","View")</f>
        <v>View</v>
      </c>
      <c r="V3580" s="8"/>
      <c r="W3580" s="8"/>
      <c r="X3580" s="8"/>
      <c r="Y3580" s="8"/>
      <c r="Z3580" s="8"/>
    </row>
    <row r="3581" spans="1:26" ht="12.75">
      <c r="A3581" s="11">
        <v>43747.149108796293</v>
      </c>
      <c r="B3581" s="12" t="str">
        <f>HYPERLINK("https://twitter.com/KuranSemih","@KuranSemih")</f>
        <v>@KuranSemih</v>
      </c>
      <c r="C3581" s="7" t="s">
        <v>19409</v>
      </c>
      <c r="D3581" s="7" t="s">
        <v>19410</v>
      </c>
      <c r="E3581" s="12" t="str">
        <f>HYPERLINK("https://twitter.com/KuranSemih/status/1181880663080931328","1181880663080931328")</f>
        <v>1181880663080931328</v>
      </c>
      <c r="F3581" s="8"/>
      <c r="G3581" s="14" t="s">
        <v>19411</v>
      </c>
      <c r="H3581" s="8"/>
      <c r="I3581" s="15">
        <v>0</v>
      </c>
      <c r="J3581" s="15">
        <v>0</v>
      </c>
      <c r="K3581" s="12" t="str">
        <f>HYPERLINK("http://twitter.com/download/android","Twitter for Android")</f>
        <v>Twitter for Android</v>
      </c>
      <c r="L3581" s="16">
        <v>36</v>
      </c>
      <c r="M3581" s="16">
        <v>150</v>
      </c>
      <c r="N3581" s="16">
        <v>0</v>
      </c>
      <c r="O3581" s="17"/>
      <c r="P3581" s="18">
        <v>42194.99428240741</v>
      </c>
      <c r="Q3581" s="7"/>
      <c r="R3581" s="7"/>
      <c r="S3581" s="8"/>
      <c r="T3581" s="8"/>
      <c r="U3581" s="19" t="str">
        <f>HYPERLINK("https://pbs.twimg.com/profile_images/990715055992909825/ttBLhU8K.jpg","View")</f>
        <v>View</v>
      </c>
      <c r="V3581" s="8"/>
      <c r="W3581" s="8"/>
      <c r="X3581" s="8"/>
      <c r="Y3581" s="8"/>
      <c r="Z3581" s="8"/>
    </row>
    <row r="3582" spans="1:26" ht="12.75">
      <c r="A3582" s="11">
        <v>43747.14907407407</v>
      </c>
      <c r="B3582" s="12" t="str">
        <f>HYPERLINK("https://twitter.com/gerisiteferuat","@gerisiteferuat")</f>
        <v>@gerisiteferuat</v>
      </c>
      <c r="C3582" s="7" t="s">
        <v>19412</v>
      </c>
      <c r="D3582" s="7" t="s">
        <v>19413</v>
      </c>
      <c r="E3582" s="12" t="str">
        <f>HYPERLINK("https://twitter.com/gerisiteferuat/status/1181880651492012032","1181880651492012032")</f>
        <v>1181880651492012032</v>
      </c>
      <c r="F3582" s="8"/>
      <c r="G3582" s="14" t="s">
        <v>19414</v>
      </c>
      <c r="H3582" s="8"/>
      <c r="I3582" s="15">
        <v>0</v>
      </c>
      <c r="J3582" s="15">
        <v>0</v>
      </c>
      <c r="K3582" s="12" t="str">
        <f>HYPERLINK("http://twitter.com/download/android","Twitter for Android")</f>
        <v>Twitter for Android</v>
      </c>
      <c r="L3582" s="16">
        <v>1062</v>
      </c>
      <c r="M3582" s="16">
        <v>956</v>
      </c>
      <c r="N3582" s="16">
        <v>0</v>
      </c>
      <c r="O3582" s="17"/>
      <c r="P3582" s="18">
        <v>39989.315428240741</v>
      </c>
      <c r="Q3582" s="7"/>
      <c r="R3582" s="7" t="s">
        <v>19415</v>
      </c>
      <c r="S3582" s="8"/>
      <c r="T3582" s="8"/>
      <c r="U3582" s="19" t="str">
        <f>HYPERLINK("https://pbs.twimg.com/profile_images/1169995692108124161/3GJ0pTOC.jpg","View")</f>
        <v>View</v>
      </c>
      <c r="V3582" s="8"/>
      <c r="W3582" s="8"/>
      <c r="X3582" s="8"/>
      <c r="Y3582" s="8"/>
      <c r="Z3582" s="8"/>
    </row>
    <row r="3583" spans="1:26" ht="12.75">
      <c r="A3583" s="11">
        <v>43747.149062500001</v>
      </c>
      <c r="B3583" s="12" t="str">
        <f>HYPERLINK("https://twitter.com/Ultrags1986","@Ultrags1986")</f>
        <v>@Ultrags1986</v>
      </c>
      <c r="C3583" s="7" t="s">
        <v>19416</v>
      </c>
      <c r="D3583" s="7" t="s">
        <v>19417</v>
      </c>
      <c r="E3583" s="12" t="str">
        <f>HYPERLINK("https://twitter.com/Ultrags1986/status/1181880648505712640","1181880648505712640")</f>
        <v>1181880648505712640</v>
      </c>
      <c r="F3583" s="8"/>
      <c r="G3583" s="7"/>
      <c r="H3583" s="8"/>
      <c r="I3583" s="15">
        <v>0</v>
      </c>
      <c r="J3583" s="15">
        <v>1</v>
      </c>
      <c r="K3583" s="12" t="str">
        <f>HYPERLINK("http://twitter.com/download/android","Twitter for Android")</f>
        <v>Twitter for Android</v>
      </c>
      <c r="L3583" s="16">
        <v>4</v>
      </c>
      <c r="M3583" s="16">
        <v>102</v>
      </c>
      <c r="N3583" s="16">
        <v>0</v>
      </c>
      <c r="O3583" s="17"/>
      <c r="P3583" s="18">
        <v>42166.5783912037</v>
      </c>
      <c r="Q3583" s="7" t="s">
        <v>313</v>
      </c>
      <c r="R3583" s="7" t="s">
        <v>19418</v>
      </c>
      <c r="S3583" s="8"/>
      <c r="T3583" s="8"/>
      <c r="U3583" s="19" t="str">
        <f>HYPERLINK("https://pbs.twimg.com/profile_images/1086297893441540096/sCypytRc.jpg","View")</f>
        <v>View</v>
      </c>
      <c r="V3583" s="8"/>
      <c r="W3583" s="8"/>
      <c r="X3583" s="8"/>
      <c r="Y3583" s="8"/>
      <c r="Z3583" s="8"/>
    </row>
    <row r="3584" spans="1:26" ht="12.75">
      <c r="A3584" s="11">
        <v>43747.149062500001</v>
      </c>
      <c r="B3584" s="12" t="str">
        <f>HYPERLINK("https://twitter.com/mrgokturktr","@mrgokturktr")</f>
        <v>@mrgokturktr</v>
      </c>
      <c r="C3584" s="7" t="s">
        <v>19419</v>
      </c>
      <c r="D3584" s="7" t="s">
        <v>16767</v>
      </c>
      <c r="E3584" s="12" t="str">
        <f>HYPERLINK("https://twitter.com/mrgokturktr/status/1181880647574528000","1181880647574528000")</f>
        <v>1181880647574528000</v>
      </c>
      <c r="F3584" s="8"/>
      <c r="G3584" s="14" t="s">
        <v>19420</v>
      </c>
      <c r="H3584" s="8"/>
      <c r="I3584" s="15">
        <v>0</v>
      </c>
      <c r="J3584" s="15">
        <v>0</v>
      </c>
      <c r="K3584" s="12" t="str">
        <f>HYPERLINK("http://twitter.com/download/iphone","Twitter for iPhone")</f>
        <v>Twitter for iPhone</v>
      </c>
      <c r="L3584" s="16">
        <v>113</v>
      </c>
      <c r="M3584" s="16">
        <v>93</v>
      </c>
      <c r="N3584" s="16">
        <v>0</v>
      </c>
      <c r="O3584" s="17"/>
      <c r="P3584" s="18">
        <v>40994.040833333333</v>
      </c>
      <c r="Q3584" s="7" t="s">
        <v>12482</v>
      </c>
      <c r="R3584" s="7" t="s">
        <v>19421</v>
      </c>
      <c r="S3584" s="8"/>
      <c r="T3584" s="8"/>
      <c r="U3584" s="19" t="str">
        <f>HYPERLINK("https://pbs.twimg.com/profile_images/1136244048556150785/usq-qKn0.jpg","View")</f>
        <v>View</v>
      </c>
      <c r="V3584" s="8"/>
      <c r="W3584" s="8"/>
      <c r="X3584" s="8"/>
      <c r="Y3584" s="8"/>
      <c r="Z3584" s="8"/>
    </row>
    <row r="3585" spans="1:26" ht="12.75">
      <c r="A3585" s="11">
        <v>43747.148958333331</v>
      </c>
      <c r="B3585" s="12" t="str">
        <f>HYPERLINK("https://twitter.com/Hakanock_","@Hakanock_")</f>
        <v>@Hakanock_</v>
      </c>
      <c r="C3585" s="7" t="s">
        <v>19422</v>
      </c>
      <c r="D3585" s="7" t="s">
        <v>160</v>
      </c>
      <c r="E3585" s="12" t="str">
        <f>HYPERLINK("https://twitter.com/Hakanock_/status/1181880610643685378","1181880610643685378")</f>
        <v>1181880610643685378</v>
      </c>
      <c r="F3585" s="8"/>
      <c r="G3585" s="15"/>
      <c r="H3585" s="8"/>
      <c r="I3585" s="15">
        <v>0</v>
      </c>
      <c r="J3585" s="15">
        <v>1</v>
      </c>
      <c r="K3585" s="12" t="str">
        <f>HYPERLINK("http://twitter.com/download/iphone","Twitter for iPhone")</f>
        <v>Twitter for iPhone</v>
      </c>
      <c r="L3585" s="16">
        <v>210</v>
      </c>
      <c r="M3585" s="16">
        <v>65</v>
      </c>
      <c r="N3585" s="16">
        <v>0</v>
      </c>
      <c r="O3585" s="17"/>
      <c r="P3585" s="18">
        <v>41309.199895833335</v>
      </c>
      <c r="Q3585" s="7" t="s">
        <v>2225</v>
      </c>
      <c r="R3585" s="7" t="s">
        <v>19423</v>
      </c>
      <c r="S3585" s="14" t="s">
        <v>19424</v>
      </c>
      <c r="T3585" s="8"/>
      <c r="U3585" s="19" t="str">
        <f>HYPERLINK("https://pbs.twimg.com/profile_images/1180939510521221121/w9PDvIzE.jpg","View")</f>
        <v>View</v>
      </c>
      <c r="V3585" s="8"/>
      <c r="W3585" s="8"/>
      <c r="X3585" s="8"/>
      <c r="Y3585" s="8"/>
      <c r="Z3585" s="8"/>
    </row>
    <row r="3586" spans="1:26" ht="12.75">
      <c r="A3586" s="11">
        <v>43747.148946759262</v>
      </c>
      <c r="B3586" s="12" t="str">
        <f>HYPERLINK("https://twitter.com/Mrv104","@Mrv104")</f>
        <v>@Mrv104</v>
      </c>
      <c r="C3586" s="7" t="s">
        <v>19425</v>
      </c>
      <c r="D3586" s="7" t="s">
        <v>19426</v>
      </c>
      <c r="E3586" s="12" t="str">
        <f>HYPERLINK("https://twitter.com/Mrv104/status/1181880607078531073","1181880607078531073")</f>
        <v>1181880607078531073</v>
      </c>
      <c r="F3586" s="8"/>
      <c r="G3586" s="14" t="s">
        <v>19427</v>
      </c>
      <c r="H3586" s="8"/>
      <c r="I3586" s="15">
        <v>0</v>
      </c>
      <c r="J3586" s="15">
        <v>0</v>
      </c>
      <c r="K3586" s="12" t="str">
        <f>HYPERLINK("http://twitter.com/download/android","Twitter for Android")</f>
        <v>Twitter for Android</v>
      </c>
      <c r="L3586" s="16">
        <v>49</v>
      </c>
      <c r="M3586" s="16">
        <v>100</v>
      </c>
      <c r="N3586" s="16">
        <v>0</v>
      </c>
      <c r="O3586" s="17"/>
      <c r="P3586" s="18">
        <v>43020.48474537037</v>
      </c>
      <c r="Q3586" s="7" t="s">
        <v>11017</v>
      </c>
      <c r="R3586" s="7" t="s">
        <v>19428</v>
      </c>
      <c r="S3586" s="8"/>
      <c r="T3586" s="8"/>
      <c r="U3586" s="19" t="str">
        <f>HYPERLINK("https://pbs.twimg.com/profile_images/1180614832254570499/IwBiWCSg.jpg","View")</f>
        <v>View</v>
      </c>
      <c r="V3586" s="8"/>
      <c r="W3586" s="8"/>
      <c r="X3586" s="8"/>
      <c r="Y3586" s="8"/>
      <c r="Z3586" s="8"/>
    </row>
    <row r="3587" spans="1:26" ht="12.75">
      <c r="A3587" s="11">
        <v>43747.148946759262</v>
      </c>
      <c r="B3587" s="12" t="str">
        <f>HYPERLINK("https://twitter.com/EtrekLacin","@EtrekLacin")</f>
        <v>@EtrekLacin</v>
      </c>
      <c r="C3587" s="7" t="s">
        <v>19429</v>
      </c>
      <c r="D3587" s="7" t="s">
        <v>13966</v>
      </c>
      <c r="E3587" s="12" t="str">
        <f>HYPERLINK("https://twitter.com/EtrekLacin/status/1181880605568638977","1181880605568638977")</f>
        <v>1181880605568638977</v>
      </c>
      <c r="F3587" s="8"/>
      <c r="G3587" s="7"/>
      <c r="H3587" s="8"/>
      <c r="I3587" s="15">
        <v>0</v>
      </c>
      <c r="J3587" s="15">
        <v>0</v>
      </c>
      <c r="K3587" s="12" t="str">
        <f>HYPERLINK("http://twitter.com","Twitter Web Client")</f>
        <v>Twitter Web Client</v>
      </c>
      <c r="L3587" s="16">
        <v>2</v>
      </c>
      <c r="M3587" s="16">
        <v>0</v>
      </c>
      <c r="N3587" s="16">
        <v>0</v>
      </c>
      <c r="O3587" s="17"/>
      <c r="P3587" s="18">
        <v>43683.826342592598</v>
      </c>
      <c r="Q3587" s="7" t="s">
        <v>1193</v>
      </c>
      <c r="R3587" s="7" t="s">
        <v>19430</v>
      </c>
      <c r="S3587" s="8"/>
      <c r="T3587" s="8"/>
      <c r="U3587" s="19" t="str">
        <f>HYPERLINK("https://pbs.twimg.com/profile_images/1167218777840377856/-BA-nJOw.jpg","View")</f>
        <v>View</v>
      </c>
      <c r="V3587" s="8"/>
      <c r="W3587" s="8"/>
      <c r="X3587" s="8"/>
      <c r="Y3587" s="8"/>
      <c r="Z3587" s="8"/>
    </row>
    <row r="3588" spans="1:26" ht="12.75">
      <c r="A3588" s="11">
        <v>43747.148923611108</v>
      </c>
      <c r="B3588" s="12" t="str">
        <f>HYPERLINK("https://twitter.com/TrsAdm52","@TrsAdm52")</f>
        <v>@TrsAdm52</v>
      </c>
      <c r="C3588" s="7" t="s">
        <v>19431</v>
      </c>
      <c r="D3588" s="7" t="s">
        <v>19432</v>
      </c>
      <c r="E3588" s="12" t="str">
        <f>HYPERLINK("https://twitter.com/TrsAdm52/status/1181880599126130689","1181880599126130689")</f>
        <v>1181880599126130689</v>
      </c>
      <c r="F3588" s="8"/>
      <c r="G3588" s="15"/>
      <c r="H3588" s="8"/>
      <c r="I3588" s="15">
        <v>0</v>
      </c>
      <c r="J3588" s="15">
        <v>1</v>
      </c>
      <c r="K3588" s="12" t="str">
        <f>HYPERLINK("http://twitter.com/download/android","Twitter for Android")</f>
        <v>Twitter for Android</v>
      </c>
      <c r="L3588" s="16">
        <v>232</v>
      </c>
      <c r="M3588" s="16">
        <v>543</v>
      </c>
      <c r="N3588" s="16">
        <v>2</v>
      </c>
      <c r="O3588" s="17"/>
      <c r="P3588" s="18">
        <v>41102.674571759257</v>
      </c>
      <c r="Q3588" s="7" t="s">
        <v>19433</v>
      </c>
      <c r="R3588" s="7" t="s">
        <v>19434</v>
      </c>
      <c r="S3588" s="8"/>
      <c r="T3588" s="8"/>
      <c r="U3588" s="19" t="str">
        <f>HYPERLINK("https://pbs.twimg.com/profile_images/1175467344468090880/eldc5tap.jpg","View")</f>
        <v>View</v>
      </c>
      <c r="V3588" s="8"/>
      <c r="W3588" s="8"/>
      <c r="X3588" s="8"/>
      <c r="Y3588" s="8"/>
      <c r="Z3588" s="8"/>
    </row>
    <row r="3589" spans="1:26" ht="12.75">
      <c r="A3589" s="11">
        <v>43747.148923611108</v>
      </c>
      <c r="B3589" s="12" t="str">
        <f>HYPERLINK("https://twitter.com/ramazanuyanmaz1","@ramazanuyanmaz1")</f>
        <v>@ramazanuyanmaz1</v>
      </c>
      <c r="C3589" s="7" t="s">
        <v>19435</v>
      </c>
      <c r="D3589" s="7" t="s">
        <v>19436</v>
      </c>
      <c r="E3589" s="12" t="str">
        <f>HYPERLINK("https://twitter.com/ramazanuyanmaz1/status/1181880597297483776","1181880597297483776")</f>
        <v>1181880597297483776</v>
      </c>
      <c r="F3589" s="8"/>
      <c r="G3589" s="15"/>
      <c r="H3589" s="8"/>
      <c r="I3589" s="15">
        <v>0</v>
      </c>
      <c r="J3589" s="15">
        <v>0</v>
      </c>
      <c r="K3589" s="12" t="str">
        <f>HYPERLINK("https://mobile.twitter.com","Twitter Web App")</f>
        <v>Twitter Web App</v>
      </c>
      <c r="L3589" s="16">
        <v>4</v>
      </c>
      <c r="M3589" s="16">
        <v>15</v>
      </c>
      <c r="N3589" s="16">
        <v>0</v>
      </c>
      <c r="O3589" s="17"/>
      <c r="P3589" s="18">
        <v>42887.108622685184</v>
      </c>
      <c r="Q3589" s="7"/>
      <c r="R3589" s="7"/>
      <c r="S3589" s="8"/>
      <c r="T3589" s="8"/>
      <c r="U3589" s="20" t="s">
        <v>354</v>
      </c>
      <c r="V3589" s="8"/>
      <c r="W3589" s="8"/>
      <c r="X3589" s="8"/>
      <c r="Y3589" s="8"/>
      <c r="Z3589" s="8"/>
    </row>
    <row r="3590" spans="1:26" ht="12.75">
      <c r="A3590" s="11">
        <v>43747.148854166662</v>
      </c>
      <c r="B3590" s="12" t="str">
        <f>HYPERLINK("https://twitter.com/ibrahimozyavuz1","@ibrahimozyavuz1")</f>
        <v>@ibrahimozyavuz1</v>
      </c>
      <c r="C3590" s="7" t="s">
        <v>19437</v>
      </c>
      <c r="D3590" s="7" t="s">
        <v>160</v>
      </c>
      <c r="E3590" s="12" t="str">
        <f>HYPERLINK("https://twitter.com/ibrahimozyavuz1/status/1181880573738004481","1181880573738004481")</f>
        <v>1181880573738004481</v>
      </c>
      <c r="F3590" s="7"/>
      <c r="G3590" s="14" t="s">
        <v>19438</v>
      </c>
      <c r="H3590" s="8"/>
      <c r="I3590" s="15">
        <v>1</v>
      </c>
      <c r="J3590" s="15">
        <v>1</v>
      </c>
      <c r="K3590" s="12" t="str">
        <f>HYPERLINK("http://twitter.com/download/iphone","Twitter for iPhone")</f>
        <v>Twitter for iPhone</v>
      </c>
      <c r="L3590" s="16">
        <v>379</v>
      </c>
      <c r="M3590" s="16">
        <v>363</v>
      </c>
      <c r="N3590" s="16">
        <v>2</v>
      </c>
      <c r="O3590" s="17"/>
      <c r="P3590" s="18">
        <v>42016.431712962964</v>
      </c>
      <c r="Q3590" s="7" t="s">
        <v>313</v>
      </c>
      <c r="R3590" s="7" t="s">
        <v>19439</v>
      </c>
      <c r="S3590" s="8"/>
      <c r="T3590" s="8"/>
      <c r="U3590" s="19" t="str">
        <f>HYPERLINK("https://pbs.twimg.com/profile_images/1067211551269167106/msW9zHTL.jpg","View")</f>
        <v>View</v>
      </c>
      <c r="V3590" s="8"/>
      <c r="W3590" s="8"/>
      <c r="X3590" s="8"/>
      <c r="Y3590" s="8"/>
      <c r="Z3590" s="8"/>
    </row>
    <row r="3591" spans="1:26" ht="12.75">
      <c r="A3591" s="11">
        <v>43747.148819444439</v>
      </c>
      <c r="B3591" s="12" t="str">
        <f>HYPERLINK("https://twitter.com/erturkkol","@erturkkol")</f>
        <v>@erturkkol</v>
      </c>
      <c r="C3591" s="7" t="s">
        <v>19440</v>
      </c>
      <c r="D3591" s="7" t="s">
        <v>19441</v>
      </c>
      <c r="E3591" s="12" t="str">
        <f>HYPERLINK("https://twitter.com/erturkkol/status/1181880560576319488","1181880560576319488")</f>
        <v>1181880560576319488</v>
      </c>
      <c r="F3591" s="8"/>
      <c r="G3591" s="14" t="s">
        <v>19442</v>
      </c>
      <c r="H3591" s="8"/>
      <c r="I3591" s="15">
        <v>0</v>
      </c>
      <c r="J3591" s="15">
        <v>0</v>
      </c>
      <c r="K3591" s="12" t="str">
        <f>HYPERLINK("http://twitter.com/download/android","Twitter for Android")</f>
        <v>Twitter for Android</v>
      </c>
      <c r="L3591" s="16">
        <v>148</v>
      </c>
      <c r="M3591" s="16">
        <v>417</v>
      </c>
      <c r="N3591" s="16">
        <v>0</v>
      </c>
      <c r="O3591" s="17"/>
      <c r="P3591" s="18">
        <v>43223.14708333333</v>
      </c>
      <c r="Q3591" s="7"/>
      <c r="R3591" s="7" t="s">
        <v>19443</v>
      </c>
      <c r="S3591" s="8"/>
      <c r="T3591" s="8"/>
      <c r="U3591" s="19" t="str">
        <f>HYPERLINK("https://pbs.twimg.com/profile_images/1018789903310737408/hL2Y4JHV.jpg","View")</f>
        <v>View</v>
      </c>
      <c r="V3591" s="8"/>
      <c r="W3591" s="8"/>
      <c r="X3591" s="8"/>
      <c r="Y3591" s="8"/>
      <c r="Z3591" s="8"/>
    </row>
    <row r="3592" spans="1:26" ht="12.75">
      <c r="A3592" s="11">
        <v>43747.14875</v>
      </c>
      <c r="B3592" s="12" t="str">
        <f>HYPERLINK("https://twitter.com/zehirli34","@zehirli34")</f>
        <v>@zehirli34</v>
      </c>
      <c r="C3592" s="7" t="s">
        <v>19444</v>
      </c>
      <c r="D3592" s="7" t="s">
        <v>19445</v>
      </c>
      <c r="E3592" s="12" t="str">
        <f>HYPERLINK("https://twitter.com/zehirli34/status/1181880536048062465","1181880536048062465")</f>
        <v>1181880536048062465</v>
      </c>
      <c r="F3592" s="8"/>
      <c r="G3592" s="15"/>
      <c r="H3592" s="8"/>
      <c r="I3592" s="15">
        <v>0</v>
      </c>
      <c r="J3592" s="15">
        <v>4</v>
      </c>
      <c r="K3592" s="12" t="str">
        <f>HYPERLINK("https://mobile.twitter.com","Twitter Web App")</f>
        <v>Twitter Web App</v>
      </c>
      <c r="L3592" s="16">
        <v>2448</v>
      </c>
      <c r="M3592" s="16">
        <v>2353</v>
      </c>
      <c r="N3592" s="16">
        <v>1</v>
      </c>
      <c r="O3592" s="17"/>
      <c r="P3592" s="18">
        <v>42789.660324074073</v>
      </c>
      <c r="Q3592" s="7"/>
      <c r="R3592" s="7" t="s">
        <v>19446</v>
      </c>
      <c r="S3592" s="8"/>
      <c r="T3592" s="8"/>
      <c r="U3592" s="19" t="str">
        <f>HYPERLINK("https://pbs.twimg.com/profile_images/1160891524584017920/R5HyonaK.jpg","View")</f>
        <v>View</v>
      </c>
      <c r="V3592" s="8"/>
      <c r="W3592" s="8"/>
      <c r="X3592" s="8"/>
      <c r="Y3592" s="8"/>
      <c r="Z3592" s="8"/>
    </row>
    <row r="3593" spans="1:26" ht="12.75">
      <c r="A3593" s="11">
        <v>43747.148738425924</v>
      </c>
      <c r="B3593" s="12" t="str">
        <f>HYPERLINK("https://twitter.com/safaarsln","@safaarsln")</f>
        <v>@safaarsln</v>
      </c>
      <c r="C3593" s="13" t="s">
        <v>19447</v>
      </c>
      <c r="D3593" s="7" t="s">
        <v>160</v>
      </c>
      <c r="E3593" s="12" t="str">
        <f>HYPERLINK("https://twitter.com/safaarsln/status/1181880532134612994","1181880532134612994")</f>
        <v>1181880532134612994</v>
      </c>
      <c r="F3593" s="15"/>
      <c r="G3593" s="14" t="s">
        <v>19448</v>
      </c>
      <c r="H3593" s="8"/>
      <c r="I3593" s="15">
        <v>0</v>
      </c>
      <c r="J3593" s="15">
        <v>2</v>
      </c>
      <c r="K3593" s="12" t="str">
        <f>HYPERLINK("http://twitter.com/download/iphone","Twitter for iPhone")</f>
        <v>Twitter for iPhone</v>
      </c>
      <c r="L3593" s="16">
        <v>182</v>
      </c>
      <c r="M3593" s="16">
        <v>174</v>
      </c>
      <c r="N3593" s="16">
        <v>0</v>
      </c>
      <c r="O3593" s="17"/>
      <c r="P3593" s="18">
        <v>42427.212442129632</v>
      </c>
      <c r="Q3593" s="7" t="s">
        <v>19449</v>
      </c>
      <c r="R3593" s="13" t="s">
        <v>19450</v>
      </c>
      <c r="S3593" s="14" t="s">
        <v>19451</v>
      </c>
      <c r="T3593" s="8"/>
      <c r="U3593" s="19" t="str">
        <f>HYPERLINK("https://pbs.twimg.com/profile_images/1133468296160915456/t83QQyGS.jpg","View")</f>
        <v>View</v>
      </c>
      <c r="V3593" s="8"/>
      <c r="W3593" s="8"/>
      <c r="X3593" s="8"/>
      <c r="Y3593" s="8"/>
      <c r="Z3593" s="8"/>
    </row>
    <row r="3594" spans="1:26" ht="12.75">
      <c r="A3594" s="11">
        <v>43747.148726851854</v>
      </c>
      <c r="B3594" s="12" t="str">
        <f>HYPERLINK("https://twitter.com/nlnrudra1","@nlnrudra1")</f>
        <v>@nlnrudra1</v>
      </c>
      <c r="C3594" s="7" t="s">
        <v>19452</v>
      </c>
      <c r="D3594" s="7" t="s">
        <v>19453</v>
      </c>
      <c r="E3594" s="12" t="str">
        <f>HYPERLINK("https://twitter.com/nlnrudra1/status/1181880528221491201","1181880528221491201")</f>
        <v>1181880528221491201</v>
      </c>
      <c r="F3594" s="8"/>
      <c r="G3594" s="14" t="s">
        <v>19454</v>
      </c>
      <c r="H3594" s="8"/>
      <c r="I3594" s="15">
        <v>10</v>
      </c>
      <c r="J3594" s="15">
        <v>19</v>
      </c>
      <c r="K3594" s="12" t="str">
        <f>HYPERLINK("http://twitter.com/download/android","Twitter for Android")</f>
        <v>Twitter for Android</v>
      </c>
      <c r="L3594" s="16">
        <v>4366</v>
      </c>
      <c r="M3594" s="16">
        <v>4085</v>
      </c>
      <c r="N3594" s="16">
        <v>3</v>
      </c>
      <c r="O3594" s="17"/>
      <c r="P3594" s="18">
        <v>43099.436990740738</v>
      </c>
      <c r="Q3594" s="7" t="s">
        <v>80</v>
      </c>
      <c r="R3594" s="7" t="s">
        <v>19455</v>
      </c>
      <c r="S3594" s="15"/>
      <c r="T3594" s="8"/>
      <c r="U3594" s="19" t="str">
        <f>HYPERLINK("https://pbs.twimg.com/profile_images/998717614024093697/jVcABcSy.jpg","View")</f>
        <v>View</v>
      </c>
      <c r="V3594" s="8"/>
      <c r="W3594" s="8"/>
      <c r="X3594" s="8"/>
      <c r="Y3594" s="8"/>
      <c r="Z3594" s="8"/>
    </row>
    <row r="3595" spans="1:26" ht="12.75">
      <c r="A3595" s="11">
        <v>43747.148726851854</v>
      </c>
      <c r="B3595" s="12" t="str">
        <f>HYPERLINK("https://twitter.com/azbuz0","@azbuz0")</f>
        <v>@azbuz0</v>
      </c>
      <c r="C3595" s="14" t="s">
        <v>19456</v>
      </c>
      <c r="D3595" s="7" t="s">
        <v>19457</v>
      </c>
      <c r="E3595" s="12" t="str">
        <f>HYPERLINK("https://twitter.com/azbuz0/status/1181880527286083584","1181880527286083584")</f>
        <v>1181880527286083584</v>
      </c>
      <c r="F3595" s="14" t="s">
        <v>19458</v>
      </c>
      <c r="G3595" s="15"/>
      <c r="H3595" s="8"/>
      <c r="I3595" s="15">
        <v>0</v>
      </c>
      <c r="J3595" s="15">
        <v>2</v>
      </c>
      <c r="K3595" s="12" t="str">
        <f>HYPERLINK("https://mobile.twitter.com","Twitter Web App")</f>
        <v>Twitter Web App</v>
      </c>
      <c r="L3595" s="16">
        <v>435</v>
      </c>
      <c r="M3595" s="16">
        <v>4115</v>
      </c>
      <c r="N3595" s="16">
        <v>0</v>
      </c>
      <c r="O3595" s="17"/>
      <c r="P3595" s="18">
        <v>43446.059837962966</v>
      </c>
      <c r="Q3595" s="7"/>
      <c r="R3595" s="7" t="s">
        <v>19459</v>
      </c>
      <c r="S3595" s="14" t="s">
        <v>19460</v>
      </c>
      <c r="T3595" s="8"/>
      <c r="U3595" s="19" t="str">
        <f>HYPERLINK("https://pbs.twimg.com/profile_images/1181880757482086400/MmBljNl7.jpg","View")</f>
        <v>View</v>
      </c>
      <c r="V3595" s="8"/>
      <c r="W3595" s="8"/>
      <c r="X3595" s="8"/>
      <c r="Y3595" s="8"/>
      <c r="Z3595" s="8"/>
    </row>
    <row r="3596" spans="1:26" ht="12.75">
      <c r="A3596" s="11">
        <v>43747.148726851854</v>
      </c>
      <c r="B3596" s="12" t="str">
        <f>HYPERLINK("https://twitter.com/muriqisaw","@muriqisaw")</f>
        <v>@muriqisaw</v>
      </c>
      <c r="C3596" s="7" t="s">
        <v>19461</v>
      </c>
      <c r="D3596" s="7" t="s">
        <v>19462</v>
      </c>
      <c r="E3596" s="12" t="str">
        <f>HYPERLINK("https://twitter.com/muriqisaw/status/1181880527114182657","1181880527114182657")</f>
        <v>1181880527114182657</v>
      </c>
      <c r="F3596" s="15"/>
      <c r="G3596" s="14" t="s">
        <v>19463</v>
      </c>
      <c r="H3596" s="8"/>
      <c r="I3596" s="15">
        <v>0</v>
      </c>
      <c r="J3596" s="15">
        <v>2</v>
      </c>
      <c r="K3596" s="12" t="str">
        <f>HYPERLINK("http://twitter.com/download/android","Twitter for Android")</f>
        <v>Twitter for Android</v>
      </c>
      <c r="L3596" s="16">
        <v>24</v>
      </c>
      <c r="M3596" s="16">
        <v>274</v>
      </c>
      <c r="N3596" s="16">
        <v>0</v>
      </c>
      <c r="O3596" s="17"/>
      <c r="P3596" s="18">
        <v>42172.215324074074</v>
      </c>
      <c r="Q3596" s="7"/>
      <c r="R3596" s="7" t="s">
        <v>19464</v>
      </c>
      <c r="S3596" s="8"/>
      <c r="T3596" s="8"/>
      <c r="U3596" s="19" t="str">
        <f>HYPERLINK("https://pbs.twimg.com/profile_images/1167933694025158656/LgoaLidn.jpg","View")</f>
        <v>View</v>
      </c>
      <c r="V3596" s="8"/>
      <c r="W3596" s="8"/>
      <c r="X3596" s="8"/>
      <c r="Y3596" s="8"/>
      <c r="Z3596" s="8"/>
    </row>
    <row r="3597" spans="1:26" ht="12.75">
      <c r="A3597" s="11">
        <v>43747.148726851854</v>
      </c>
      <c r="B3597" s="12" t="str">
        <f>HYPERLINK("https://twitter.com/oztrkefendi","@oztrkefendi")</f>
        <v>@oztrkefendi</v>
      </c>
      <c r="C3597" s="7" t="s">
        <v>19465</v>
      </c>
      <c r="D3597" s="7" t="s">
        <v>19466</v>
      </c>
      <c r="E3597" s="12" t="str">
        <f>HYPERLINK("https://twitter.com/oztrkefendi/status/1181880525402902528","1181880525402902528")</f>
        <v>1181880525402902528</v>
      </c>
      <c r="F3597" s="8"/>
      <c r="G3597" s="14" t="s">
        <v>19467</v>
      </c>
      <c r="H3597" s="8"/>
      <c r="I3597" s="15">
        <v>3</v>
      </c>
      <c r="J3597" s="15">
        <v>31</v>
      </c>
      <c r="K3597" s="12" t="str">
        <f>HYPERLINK("https://mobile.twitter.com","Twitter Web App")</f>
        <v>Twitter Web App</v>
      </c>
      <c r="L3597" s="16">
        <v>2016</v>
      </c>
      <c r="M3597" s="16">
        <v>169</v>
      </c>
      <c r="N3597" s="16">
        <v>10</v>
      </c>
      <c r="O3597" s="17"/>
      <c r="P3597" s="18">
        <v>42906.151562500003</v>
      </c>
      <c r="Q3597" s="7" t="s">
        <v>19468</v>
      </c>
      <c r="R3597" s="7" t="s">
        <v>19469</v>
      </c>
      <c r="S3597" s="8"/>
      <c r="T3597" s="8"/>
      <c r="U3597" s="19" t="str">
        <f>HYPERLINK("https://pbs.twimg.com/profile_images/1176929806975455233/i-HLo5MS.jpg","View")</f>
        <v>View</v>
      </c>
      <c r="V3597" s="8"/>
      <c r="W3597" s="8"/>
      <c r="X3597" s="8"/>
      <c r="Y3597" s="8"/>
      <c r="Z3597" s="8"/>
    </row>
    <row r="3598" spans="1:26" ht="12.75">
      <c r="A3598" s="11">
        <v>43747.1487037037</v>
      </c>
      <c r="B3598" s="12" t="str">
        <f>HYPERLINK("https://twitter.com/kilincerilker","@kilincerilker")</f>
        <v>@kilincerilker</v>
      </c>
      <c r="C3598" s="7" t="s">
        <v>19470</v>
      </c>
      <c r="D3598" s="7" t="s">
        <v>19471</v>
      </c>
      <c r="E3598" s="12" t="str">
        <f>HYPERLINK("https://twitter.com/kilincerilker/status/1181880517089779712","1181880517089779712")</f>
        <v>1181880517089779712</v>
      </c>
      <c r="F3598" s="8"/>
      <c r="G3598" s="7"/>
      <c r="H3598" s="8"/>
      <c r="I3598" s="15">
        <v>0</v>
      </c>
      <c r="J3598" s="15">
        <v>3</v>
      </c>
      <c r="K3598" s="12" t="str">
        <f>HYPERLINK("http://twitter.com/download/android","Twitter for Android")</f>
        <v>Twitter for Android</v>
      </c>
      <c r="L3598" s="16">
        <v>3726</v>
      </c>
      <c r="M3598" s="16">
        <v>607</v>
      </c>
      <c r="N3598" s="16">
        <v>0</v>
      </c>
      <c r="O3598" s="17"/>
      <c r="P3598" s="18">
        <v>42769.296435185184</v>
      </c>
      <c r="Q3598" s="7" t="s">
        <v>287</v>
      </c>
      <c r="R3598" s="7" t="s">
        <v>19472</v>
      </c>
      <c r="S3598" s="8"/>
      <c r="T3598" s="8"/>
      <c r="U3598" s="19" t="str">
        <f>HYPERLINK("https://pbs.twimg.com/profile_images/1181618836900122624/Dme0PxMn.jpg","View")</f>
        <v>View</v>
      </c>
      <c r="V3598" s="8"/>
      <c r="W3598" s="8"/>
      <c r="X3598" s="8"/>
      <c r="Y3598" s="8"/>
      <c r="Z3598" s="8"/>
    </row>
    <row r="3599" spans="1:26" ht="12.75">
      <c r="A3599" s="11">
        <v>43747.148622685185</v>
      </c>
      <c r="B3599" s="12" t="str">
        <f>HYPERLINK("https://twitter.com/mesekdegilmelek","@mesekdegilmelek")</f>
        <v>@mesekdegilmelek</v>
      </c>
      <c r="C3599" s="7" t="s">
        <v>19473</v>
      </c>
      <c r="D3599" s="7" t="s">
        <v>19474</v>
      </c>
      <c r="E3599" s="12" t="str">
        <f>HYPERLINK("https://twitter.com/mesekdegilmelek/status/1181880490338467843","1181880490338467843")</f>
        <v>1181880490338467843</v>
      </c>
      <c r="F3599" s="8"/>
      <c r="G3599" s="7"/>
      <c r="H3599" s="8"/>
      <c r="I3599" s="15">
        <v>1</v>
      </c>
      <c r="J3599" s="15">
        <v>1</v>
      </c>
      <c r="K3599" s="12" t="str">
        <f>HYPERLINK("http://twitter.com/download/iphone","Twitter for iPhone")</f>
        <v>Twitter for iPhone</v>
      </c>
      <c r="L3599" s="16">
        <v>76</v>
      </c>
      <c r="M3599" s="16">
        <v>59</v>
      </c>
      <c r="N3599" s="16">
        <v>0</v>
      </c>
      <c r="O3599" s="17"/>
      <c r="P3599" s="18">
        <v>43343.358969907407</v>
      </c>
      <c r="Q3599" s="7" t="s">
        <v>313</v>
      </c>
      <c r="R3599" s="7" t="s">
        <v>19475</v>
      </c>
      <c r="S3599" s="8"/>
      <c r="T3599" s="8"/>
      <c r="U3599" s="19" t="str">
        <f>HYPERLINK("https://pbs.twimg.com/profile_images/1181624315244138500/njgfCV8h.jpg","View")</f>
        <v>View</v>
      </c>
      <c r="V3599" s="8"/>
      <c r="W3599" s="8"/>
      <c r="X3599" s="8"/>
      <c r="Y3599" s="8"/>
      <c r="Z3599" s="8"/>
    </row>
    <row r="3600" spans="1:26" ht="12.75">
      <c r="A3600" s="11">
        <v>43747.148622685185</v>
      </c>
      <c r="B3600" s="12" t="str">
        <f>HYPERLINK("https://twitter.com/BARUTHOCA","@BARUTHOCA")</f>
        <v>@BARUTHOCA</v>
      </c>
      <c r="C3600" s="7" t="s">
        <v>19476</v>
      </c>
      <c r="D3600" s="7" t="s">
        <v>19477</v>
      </c>
      <c r="E3600" s="12" t="str">
        <f>HYPERLINK("https://twitter.com/BARUTHOCA/status/1181880488367153152","1181880488367153152")</f>
        <v>1181880488367153152</v>
      </c>
      <c r="F3600" s="8"/>
      <c r="G3600" s="15"/>
      <c r="H3600" s="8"/>
      <c r="I3600" s="15">
        <v>0</v>
      </c>
      <c r="J3600" s="15">
        <v>3</v>
      </c>
      <c r="K3600" s="12" t="str">
        <f>HYPERLINK("http://twitter.com/download/android","Twitter for Android")</f>
        <v>Twitter for Android</v>
      </c>
      <c r="L3600" s="16">
        <v>31589</v>
      </c>
      <c r="M3600" s="16">
        <v>32189</v>
      </c>
      <c r="N3600" s="16">
        <v>32</v>
      </c>
      <c r="O3600" s="17"/>
      <c r="P3600" s="18">
        <v>40783.590682870374</v>
      </c>
      <c r="Q3600" s="7" t="s">
        <v>19478</v>
      </c>
      <c r="R3600" s="7" t="s">
        <v>19479</v>
      </c>
      <c r="S3600" s="8"/>
      <c r="T3600" s="8"/>
      <c r="U3600" s="19" t="str">
        <f>HYPERLINK("https://pbs.twimg.com/profile_images/687336510501335040/nsqSilHi.jpg","View")</f>
        <v>View</v>
      </c>
      <c r="V3600" s="8"/>
      <c r="W3600" s="8"/>
      <c r="X3600" s="8"/>
      <c r="Y3600" s="8"/>
      <c r="Z3600" s="8"/>
    </row>
    <row r="3601" spans="1:26" ht="12.75">
      <c r="A3601" s="11">
        <v>43747.148576388892</v>
      </c>
      <c r="B3601" s="12" t="str">
        <f>HYPERLINK("https://twitter.com/Mmacoo9","@Mmacoo9")</f>
        <v>@Mmacoo9</v>
      </c>
      <c r="C3601" s="7" t="s">
        <v>19480</v>
      </c>
      <c r="D3601" s="7" t="s">
        <v>19481</v>
      </c>
      <c r="E3601" s="12" t="str">
        <f>HYPERLINK("https://twitter.com/Mmacoo9/status/1181880472802152448","1181880472802152448")</f>
        <v>1181880472802152448</v>
      </c>
      <c r="F3601" s="8"/>
      <c r="G3601" s="14" t="s">
        <v>19482</v>
      </c>
      <c r="H3601" s="8"/>
      <c r="I3601" s="15">
        <v>0</v>
      </c>
      <c r="J3601" s="15">
        <v>5</v>
      </c>
      <c r="K3601" s="12" t="str">
        <f>HYPERLINK("http://twitter.com/download/android","Twitter for Android")</f>
        <v>Twitter for Android</v>
      </c>
      <c r="L3601" s="16">
        <v>2694</v>
      </c>
      <c r="M3601" s="16">
        <v>2753</v>
      </c>
      <c r="N3601" s="16">
        <v>0</v>
      </c>
      <c r="O3601" s="17"/>
      <c r="P3601" s="18">
        <v>43672.334479166668</v>
      </c>
      <c r="Q3601" s="7" t="s">
        <v>313</v>
      </c>
      <c r="R3601" s="7" t="s">
        <v>19483</v>
      </c>
      <c r="S3601" s="8"/>
      <c r="T3601" s="8"/>
      <c r="U3601" s="19" t="str">
        <f>HYPERLINK("https://pbs.twimg.com/profile_images/1179140320438689794/j-e_FTeu.jpg","View")</f>
        <v>View</v>
      </c>
      <c r="V3601" s="8"/>
      <c r="W3601" s="8"/>
      <c r="X3601" s="8"/>
      <c r="Y3601" s="8"/>
      <c r="Z3601" s="8"/>
    </row>
    <row r="3602" spans="1:26" ht="12.75">
      <c r="A3602" s="11">
        <v>43747.148576388892</v>
      </c>
      <c r="B3602" s="12" t="str">
        <f>HYPERLINK("https://twitter.com/ismailaabiii","@ismailaabiii")</f>
        <v>@ismailaabiii</v>
      </c>
      <c r="C3602" s="7" t="s">
        <v>19484</v>
      </c>
      <c r="D3602" s="7" t="s">
        <v>19485</v>
      </c>
      <c r="E3602" s="12" t="str">
        <f>HYPERLINK("https://twitter.com/ismailaabiii/status/1181880471019503616","1181880471019503616")</f>
        <v>1181880471019503616</v>
      </c>
      <c r="F3602" s="8"/>
      <c r="G3602" s="15"/>
      <c r="H3602" s="8"/>
      <c r="I3602" s="15">
        <v>0</v>
      </c>
      <c r="J3602" s="15">
        <v>0</v>
      </c>
      <c r="K3602" s="12" t="str">
        <f>HYPERLINK("https://mobile.twitter.com","Twitter Web App")</f>
        <v>Twitter Web App</v>
      </c>
      <c r="L3602" s="16">
        <v>161</v>
      </c>
      <c r="M3602" s="16">
        <v>159</v>
      </c>
      <c r="N3602" s="16">
        <v>0</v>
      </c>
      <c r="O3602" s="17"/>
      <c r="P3602" s="18">
        <v>43540.371018518519</v>
      </c>
      <c r="Q3602" s="7"/>
      <c r="R3602" s="7"/>
      <c r="S3602" s="8"/>
      <c r="T3602" s="8"/>
      <c r="U3602" s="19" t="str">
        <f>HYPERLINK("https://pbs.twimg.com/profile_images/1154667655992893441/NsKnIwRh.jpg","View")</f>
        <v>View</v>
      </c>
      <c r="V3602" s="8"/>
      <c r="W3602" s="8"/>
      <c r="X3602" s="8"/>
      <c r="Y3602" s="8"/>
      <c r="Z3602" s="8"/>
    </row>
    <row r="3603" spans="1:26" ht="12.75">
      <c r="A3603" s="11">
        <v>43747.148564814815</v>
      </c>
      <c r="B3603" s="12" t="str">
        <f>HYPERLINK("https://twitter.com/Rasitklnc","@Rasitklnc")</f>
        <v>@Rasitklnc</v>
      </c>
      <c r="C3603" s="7" t="s">
        <v>19486</v>
      </c>
      <c r="D3603" s="7" t="s">
        <v>14166</v>
      </c>
      <c r="E3603" s="12" t="str">
        <f>HYPERLINK("https://twitter.com/Rasitklnc/status/1181880469991907329","1181880469991907329")</f>
        <v>1181880469991907329</v>
      </c>
      <c r="F3603" s="8"/>
      <c r="G3603" s="15"/>
      <c r="H3603" s="8"/>
      <c r="I3603" s="15">
        <v>0</v>
      </c>
      <c r="J3603" s="15">
        <v>4</v>
      </c>
      <c r="K3603" s="12" t="str">
        <f>HYPERLINK("http://twitter.com/download/android","Twitter for Android")</f>
        <v>Twitter for Android</v>
      </c>
      <c r="L3603" s="16">
        <v>1537</v>
      </c>
      <c r="M3603" s="16">
        <v>1168</v>
      </c>
      <c r="N3603" s="16">
        <v>1</v>
      </c>
      <c r="O3603" s="17"/>
      <c r="P3603" s="18">
        <v>41621.255312499998</v>
      </c>
      <c r="Q3603" s="7" t="s">
        <v>252</v>
      </c>
      <c r="R3603" s="7" t="s">
        <v>19487</v>
      </c>
      <c r="S3603" s="8"/>
      <c r="T3603" s="8"/>
      <c r="U3603" s="19" t="str">
        <f>HYPERLINK("https://pbs.twimg.com/profile_images/1160684592178892801/tn7us_XA.jpg","View")</f>
        <v>View</v>
      </c>
      <c r="V3603" s="8"/>
      <c r="W3603" s="8"/>
      <c r="X3603" s="8"/>
      <c r="Y3603" s="8"/>
      <c r="Z3603" s="8"/>
    </row>
    <row r="3604" spans="1:26" ht="12.75">
      <c r="A3604" s="11">
        <v>43747.14842592593</v>
      </c>
      <c r="B3604" s="12" t="str">
        <f>HYPERLINK("https://twitter.com/CihanTURAN_","@CihanTURAN_")</f>
        <v>@CihanTURAN_</v>
      </c>
      <c r="C3604" s="7" t="s">
        <v>19488</v>
      </c>
      <c r="D3604" s="7" t="s">
        <v>19489</v>
      </c>
      <c r="E3604" s="12" t="str">
        <f>HYPERLINK("https://twitter.com/CihanTURAN_/status/1181880415952478210","1181880415952478210")</f>
        <v>1181880415952478210</v>
      </c>
      <c r="F3604" s="8"/>
      <c r="G3604" s="15"/>
      <c r="H3604" s="8"/>
      <c r="I3604" s="15">
        <v>0</v>
      </c>
      <c r="J3604" s="15">
        <v>0</v>
      </c>
      <c r="K3604" s="12" t="str">
        <f>HYPERLINK("http://twitter.com/download/android","Twitter for Android")</f>
        <v>Twitter for Android</v>
      </c>
      <c r="L3604" s="16">
        <v>1346</v>
      </c>
      <c r="M3604" s="16">
        <v>633</v>
      </c>
      <c r="N3604" s="16">
        <v>2</v>
      </c>
      <c r="O3604" s="17"/>
      <c r="P3604" s="18">
        <v>42691.380243055552</v>
      </c>
      <c r="Q3604" s="7" t="s">
        <v>19490</v>
      </c>
      <c r="R3604" s="7" t="s">
        <v>19491</v>
      </c>
      <c r="S3604" s="8"/>
      <c r="T3604" s="8"/>
      <c r="U3604" s="19" t="str">
        <f>HYPERLINK("https://pbs.twimg.com/profile_images/1177255547462139904/2QWImdHA.jpg","View")</f>
        <v>View</v>
      </c>
      <c r="V3604" s="8"/>
      <c r="W3604" s="8"/>
      <c r="X3604" s="8"/>
      <c r="Y3604" s="8"/>
      <c r="Z3604" s="8"/>
    </row>
    <row r="3605" spans="1:26" ht="12.75">
      <c r="A3605" s="11">
        <v>43747.148402777777</v>
      </c>
      <c r="B3605" s="12" t="str">
        <f>HYPERLINK("https://twitter.com/OzgeOzturkoglu","@OzgeOzturkoglu")</f>
        <v>@OzgeOzturkoglu</v>
      </c>
      <c r="C3605" s="7" t="s">
        <v>19492</v>
      </c>
      <c r="D3605" s="7" t="s">
        <v>14293</v>
      </c>
      <c r="E3605" s="12" t="str">
        <f>HYPERLINK("https://twitter.com/OzgeOzturkoglu/status/1181880408843137024","1181880408843137024")</f>
        <v>1181880408843137024</v>
      </c>
      <c r="F3605" s="8"/>
      <c r="G3605" s="14" t="s">
        <v>19493</v>
      </c>
      <c r="H3605" s="8"/>
      <c r="I3605" s="15">
        <v>0</v>
      </c>
      <c r="J3605" s="15">
        <v>15</v>
      </c>
      <c r="K3605" s="12" t="str">
        <f>HYPERLINK("http://twitter.com/download/iphone","Twitter for iPhone")</f>
        <v>Twitter for iPhone</v>
      </c>
      <c r="L3605" s="16">
        <v>688</v>
      </c>
      <c r="M3605" s="16">
        <v>29</v>
      </c>
      <c r="N3605" s="16">
        <v>1</v>
      </c>
      <c r="O3605" s="17"/>
      <c r="P3605" s="18">
        <v>43511.590196759258</v>
      </c>
      <c r="Q3605" s="7" t="s">
        <v>313</v>
      </c>
      <c r="R3605" s="7" t="s">
        <v>19494</v>
      </c>
      <c r="S3605" s="14" t="s">
        <v>19495</v>
      </c>
      <c r="T3605" s="8"/>
      <c r="U3605" s="19" t="str">
        <f>HYPERLINK("https://pbs.twimg.com/profile_images/1181081104444530693/_vZdF_-e.jpg","View")</f>
        <v>View</v>
      </c>
      <c r="V3605" s="8"/>
      <c r="W3605" s="8"/>
      <c r="X3605" s="8"/>
      <c r="Y3605" s="8"/>
      <c r="Z3605" s="8"/>
    </row>
    <row r="3606" spans="1:26" ht="12.75">
      <c r="A3606" s="11">
        <v>43747.148287037038</v>
      </c>
      <c r="B3606" s="12" t="str">
        <f>HYPERLINK("https://twitter.com/durizleTV","@durizleTV")</f>
        <v>@durizleTV</v>
      </c>
      <c r="C3606" s="7" t="s">
        <v>19496</v>
      </c>
      <c r="D3606" s="7" t="s">
        <v>19497</v>
      </c>
      <c r="E3606" s="12" t="str">
        <f>HYPERLINK("https://twitter.com/durizleTV/status/1181880368363970560","1181880368363970560")</f>
        <v>1181880368363970560</v>
      </c>
      <c r="F3606" s="8"/>
      <c r="G3606" s="14" t="s">
        <v>19498</v>
      </c>
      <c r="H3606" s="8"/>
      <c r="I3606" s="15">
        <v>14</v>
      </c>
      <c r="J3606" s="15">
        <v>99</v>
      </c>
      <c r="K3606" s="12" t="str">
        <f>HYPERLINK("http://twitter.com/download/iphone","Twitter for iPhone")</f>
        <v>Twitter for iPhone</v>
      </c>
      <c r="L3606" s="16">
        <v>22958</v>
      </c>
      <c r="M3606" s="16">
        <v>6000</v>
      </c>
      <c r="N3606" s="16">
        <v>24</v>
      </c>
      <c r="O3606" s="17"/>
      <c r="P3606" s="18">
        <v>42693.955752314811</v>
      </c>
      <c r="Q3606" s="7" t="s">
        <v>2277</v>
      </c>
      <c r="R3606" s="7"/>
      <c r="S3606" s="14" t="s">
        <v>19499</v>
      </c>
      <c r="T3606" s="8"/>
      <c r="U3606" s="19" t="str">
        <f>HYPERLINK("https://pbs.twimg.com/profile_images/1109504198100570113/6dYxe8-a.jpg","View")</f>
        <v>View</v>
      </c>
      <c r="V3606" s="8"/>
      <c r="W3606" s="8"/>
      <c r="X3606" s="8"/>
      <c r="Y3606" s="8"/>
      <c r="Z3606" s="8"/>
    </row>
    <row r="3607" spans="1:26" ht="12.75">
      <c r="A3607" s="11">
        <v>43747.148252314815</v>
      </c>
      <c r="B3607" s="12" t="str">
        <f>HYPERLINK("https://twitter.com/Aydinzor58","@Aydinzor58")</f>
        <v>@Aydinzor58</v>
      </c>
      <c r="C3607" s="7" t="s">
        <v>19500</v>
      </c>
      <c r="D3607" s="7" t="s">
        <v>19501</v>
      </c>
      <c r="E3607" s="12" t="str">
        <f>HYPERLINK("https://twitter.com/Aydinzor58/status/1181880352689799169","1181880352689799169")</f>
        <v>1181880352689799169</v>
      </c>
      <c r="F3607" s="8"/>
      <c r="G3607" s="15"/>
      <c r="H3607" s="8"/>
      <c r="I3607" s="15">
        <v>0</v>
      </c>
      <c r="J3607" s="15">
        <v>0</v>
      </c>
      <c r="K3607" s="12" t="str">
        <f>HYPERLINK("http://twitter.com/download/android","Twitter for Android")</f>
        <v>Twitter for Android</v>
      </c>
      <c r="L3607" s="16">
        <v>67</v>
      </c>
      <c r="M3607" s="16">
        <v>102</v>
      </c>
      <c r="N3607" s="16">
        <v>0</v>
      </c>
      <c r="O3607" s="17"/>
      <c r="P3607" s="18">
        <v>42570.33222222222</v>
      </c>
      <c r="Q3607" s="7" t="s">
        <v>313</v>
      </c>
      <c r="R3607" s="7" t="s">
        <v>19502</v>
      </c>
      <c r="S3607" s="15"/>
      <c r="T3607" s="8"/>
      <c r="U3607" s="19" t="str">
        <f>HYPERLINK("https://pbs.twimg.com/profile_images/1175169659617910784/BPBwSsN8.jpg","View")</f>
        <v>View</v>
      </c>
      <c r="V3607" s="8"/>
      <c r="W3607" s="8"/>
      <c r="X3607" s="8"/>
      <c r="Y3607" s="8"/>
      <c r="Z3607" s="8"/>
    </row>
    <row r="3608" spans="1:26" ht="12.75">
      <c r="A3608" s="11">
        <v>43747.148206018523</v>
      </c>
      <c r="B3608" s="12" t="str">
        <f>HYPERLINK("https://twitter.com/beylerbeyierdal","@beylerbeyierdal")</f>
        <v>@beylerbeyierdal</v>
      </c>
      <c r="C3608" s="7" t="s">
        <v>19503</v>
      </c>
      <c r="D3608" s="7" t="s">
        <v>19504</v>
      </c>
      <c r="E3608" s="12" t="str">
        <f>HYPERLINK("https://twitter.com/beylerbeyierdal/status/1181880338143944710","1181880338143944710")</f>
        <v>1181880338143944710</v>
      </c>
      <c r="F3608" s="14" t="s">
        <v>15745</v>
      </c>
      <c r="G3608" s="14" t="s">
        <v>15746</v>
      </c>
      <c r="H3608" s="8"/>
      <c r="I3608" s="15">
        <v>0</v>
      </c>
      <c r="J3608" s="15">
        <v>0</v>
      </c>
      <c r="K3608" s="12" t="str">
        <f>HYPERLINK("http://twitter.com/download/iphone","Twitter for iPhone")</f>
        <v>Twitter for iPhone</v>
      </c>
      <c r="L3608" s="16">
        <v>183</v>
      </c>
      <c r="M3608" s="16">
        <v>1560</v>
      </c>
      <c r="N3608" s="16">
        <v>0</v>
      </c>
      <c r="O3608" s="17"/>
      <c r="P3608" s="18">
        <v>40590.716249999998</v>
      </c>
      <c r="Q3608" s="7" t="s">
        <v>19505</v>
      </c>
      <c r="R3608" s="7" t="s">
        <v>19506</v>
      </c>
      <c r="S3608" s="8"/>
      <c r="T3608" s="8"/>
      <c r="U3608" s="19" t="str">
        <f>HYPERLINK("https://pbs.twimg.com/profile_images/1005629744866627584/M-WgZp6W.jpg","View")</f>
        <v>View</v>
      </c>
      <c r="V3608" s="8"/>
      <c r="W3608" s="8"/>
      <c r="X3608" s="8"/>
      <c r="Y3608" s="8"/>
      <c r="Z3608" s="8"/>
    </row>
    <row r="3609" spans="1:26" ht="12.75">
      <c r="A3609" s="11">
        <v>43747.148113425923</v>
      </c>
      <c r="B3609" s="12" t="str">
        <f>HYPERLINK("https://twitter.com/baqirAbbasi9","@baqirAbbasi9")</f>
        <v>@baqirAbbasi9</v>
      </c>
      <c r="C3609" s="7" t="s">
        <v>19507</v>
      </c>
      <c r="D3609" s="7" t="s">
        <v>19508</v>
      </c>
      <c r="E3609" s="12" t="str">
        <f>HYPERLINK("https://twitter.com/baqirAbbasi9/status/1181880304975388673","1181880304975388673")</f>
        <v>1181880304975388673</v>
      </c>
      <c r="F3609" s="8"/>
      <c r="G3609" s="15"/>
      <c r="H3609" s="8"/>
      <c r="I3609" s="15">
        <v>0</v>
      </c>
      <c r="J3609" s="15">
        <v>3</v>
      </c>
      <c r="K3609" s="12" t="str">
        <f>HYPERLINK("http://twitter.com/download/android","Twitter for Android")</f>
        <v>Twitter for Android</v>
      </c>
      <c r="L3609" s="16">
        <v>5935</v>
      </c>
      <c r="M3609" s="16">
        <v>5653</v>
      </c>
      <c r="N3609" s="16">
        <v>0</v>
      </c>
      <c r="O3609" s="17"/>
      <c r="P3609" s="18">
        <v>43268.122662037036</v>
      </c>
      <c r="Q3609" s="7" t="s">
        <v>8569</v>
      </c>
      <c r="R3609" s="7" t="s">
        <v>19509</v>
      </c>
      <c r="S3609" s="8"/>
      <c r="T3609" s="8"/>
      <c r="U3609" s="19" t="str">
        <f>HYPERLINK("https://pbs.twimg.com/profile_images/1169120227726151680/OavIbSud.jpg","View")</f>
        <v>View</v>
      </c>
      <c r="V3609" s="8"/>
      <c r="W3609" s="8"/>
      <c r="X3609" s="8"/>
      <c r="Y3609" s="8"/>
      <c r="Z3609" s="8"/>
    </row>
    <row r="3610" spans="1:26" ht="12.75">
      <c r="A3610" s="11">
        <v>43747.148090277777</v>
      </c>
      <c r="B3610" s="12" t="str">
        <f>HYPERLINK("https://twitter.com/Cenk50338735","@Cenk50338735")</f>
        <v>@Cenk50338735</v>
      </c>
      <c r="C3610" s="7" t="s">
        <v>19510</v>
      </c>
      <c r="D3610" s="7" t="s">
        <v>19511</v>
      </c>
      <c r="E3610" s="12" t="str">
        <f>HYPERLINK("https://twitter.com/Cenk50338735/status/1181880295781482496","1181880295781482496")</f>
        <v>1181880295781482496</v>
      </c>
      <c r="F3610" s="8"/>
      <c r="G3610" s="14" t="s">
        <v>19512</v>
      </c>
      <c r="H3610" s="8"/>
      <c r="I3610" s="15">
        <v>0</v>
      </c>
      <c r="J3610" s="15">
        <v>2</v>
      </c>
      <c r="K3610" s="12" t="str">
        <f>HYPERLINK("http://twitter.com/download/android","Twitter for Android")</f>
        <v>Twitter for Android</v>
      </c>
      <c r="L3610" s="16">
        <v>65</v>
      </c>
      <c r="M3610" s="16">
        <v>798</v>
      </c>
      <c r="N3610" s="16">
        <v>1</v>
      </c>
      <c r="O3610" s="17"/>
      <c r="P3610" s="18">
        <v>43491.558090277773</v>
      </c>
      <c r="Q3610" s="7"/>
      <c r="R3610" s="7"/>
      <c r="S3610" s="8"/>
      <c r="T3610" s="8"/>
      <c r="U3610" s="19" t="str">
        <f>HYPERLINK("https://pbs.twimg.com/profile_images/1089568762792214529/RnoF_9Y7.jpg","View")</f>
        <v>View</v>
      </c>
      <c r="V3610" s="8"/>
      <c r="W3610" s="8"/>
      <c r="X3610" s="8"/>
      <c r="Y3610" s="8"/>
      <c r="Z3610" s="8"/>
    </row>
    <row r="3611" spans="1:26" ht="12.75">
      <c r="A3611" s="11">
        <v>43747.1480787037</v>
      </c>
      <c r="B3611" s="12" t="str">
        <f>HYPERLINK("https://twitter.com/DenizGezmis68","@DenizGezmis68")</f>
        <v>@DenizGezmis68</v>
      </c>
      <c r="C3611" s="7" t="s">
        <v>19513</v>
      </c>
      <c r="D3611" s="7" t="s">
        <v>19514</v>
      </c>
      <c r="E3611" s="12" t="str">
        <f>HYPERLINK("https://twitter.com/DenizGezmis68/status/1181880293642444802","1181880293642444802")</f>
        <v>1181880293642444802</v>
      </c>
      <c r="F3611" s="8"/>
      <c r="G3611" s="14" t="s">
        <v>19515</v>
      </c>
      <c r="H3611" s="8"/>
      <c r="I3611" s="15">
        <v>0</v>
      </c>
      <c r="J3611" s="15">
        <v>0</v>
      </c>
      <c r="K3611" s="12" t="str">
        <f>HYPERLINK("http://twitter.com/download/iphone","Twitter for iPhone")</f>
        <v>Twitter for iPhone</v>
      </c>
      <c r="L3611" s="16">
        <v>1024</v>
      </c>
      <c r="M3611" s="16">
        <v>252</v>
      </c>
      <c r="N3611" s="16">
        <v>4</v>
      </c>
      <c r="O3611" s="17"/>
      <c r="P3611" s="18">
        <v>40932.25644675926</v>
      </c>
      <c r="Q3611" s="7" t="s">
        <v>200</v>
      </c>
      <c r="R3611" s="7" t="s">
        <v>19516</v>
      </c>
      <c r="S3611" s="8"/>
      <c r="T3611" s="8"/>
      <c r="U3611" s="19" t="str">
        <f>HYPERLINK("https://pbs.twimg.com/profile_images/824263514470621184/dFDiaWRI.jpg","View")</f>
        <v>View</v>
      </c>
      <c r="V3611" s="8"/>
      <c r="W3611" s="8"/>
      <c r="X3611" s="8"/>
      <c r="Y3611" s="8"/>
      <c r="Z3611" s="8"/>
    </row>
    <row r="3612" spans="1:26" ht="12.75">
      <c r="A3612" s="11">
        <v>43747.148032407407</v>
      </c>
      <c r="B3612" s="12" t="str">
        <f>HYPERLINK("https://twitter.com/kimyazen","@kimyazen")</f>
        <v>@kimyazen</v>
      </c>
      <c r="C3612" s="7" t="s">
        <v>19517</v>
      </c>
      <c r="D3612" s="7" t="s">
        <v>19518</v>
      </c>
      <c r="E3612" s="12" t="str">
        <f>HYPERLINK("https://twitter.com/kimyazen/status/1181880276344918016","1181880276344918016")</f>
        <v>1181880276344918016</v>
      </c>
      <c r="F3612" s="8"/>
      <c r="G3612" s="14" t="s">
        <v>19519</v>
      </c>
      <c r="H3612" s="8"/>
      <c r="I3612" s="15">
        <v>2</v>
      </c>
      <c r="J3612" s="15">
        <v>0</v>
      </c>
      <c r="K3612" s="12" t="str">
        <f>HYPERLINK("https://mobile.twitter.com","Twitter Web App")</f>
        <v>Twitter Web App</v>
      </c>
      <c r="L3612" s="16">
        <v>602</v>
      </c>
      <c r="M3612" s="16">
        <v>933</v>
      </c>
      <c r="N3612" s="16">
        <v>0</v>
      </c>
      <c r="O3612" s="17"/>
      <c r="P3612" s="18">
        <v>42352.179571759261</v>
      </c>
      <c r="Q3612" s="7"/>
      <c r="R3612" s="7" t="s">
        <v>6539</v>
      </c>
      <c r="S3612" s="8"/>
      <c r="T3612" s="8"/>
      <c r="U3612" s="19" t="str">
        <f>HYPERLINK("https://pbs.twimg.com/profile_images/1005735071914045440/EPWqPB7Q.jpg","View")</f>
        <v>View</v>
      </c>
      <c r="V3612" s="8"/>
      <c r="W3612" s="8"/>
      <c r="X3612" s="8"/>
      <c r="Y3612" s="8"/>
      <c r="Z3612" s="8"/>
    </row>
    <row r="3613" spans="1:26" ht="12.75">
      <c r="A3613" s="11">
        <v>43747.148020833338</v>
      </c>
      <c r="B3613" s="12" t="str">
        <f>HYPERLINK("https://twitter.com/sancak_q","@sancak_q")</f>
        <v>@sancak_q</v>
      </c>
      <c r="C3613" s="7" t="s">
        <v>19520</v>
      </c>
      <c r="D3613" s="7" t="s">
        <v>19521</v>
      </c>
      <c r="E3613" s="12" t="str">
        <f>HYPERLINK("https://twitter.com/sancak_q/status/1181880269168611328","1181880269168611328")</f>
        <v>1181880269168611328</v>
      </c>
      <c r="F3613" s="8"/>
      <c r="G3613" s="7"/>
      <c r="H3613" s="8"/>
      <c r="I3613" s="15">
        <v>0</v>
      </c>
      <c r="J3613" s="15">
        <v>1</v>
      </c>
      <c r="K3613" s="12" t="str">
        <f>HYPERLINK("http://twitter.com/download/android","Twitter for Android")</f>
        <v>Twitter for Android</v>
      </c>
      <c r="L3613" s="16">
        <v>95</v>
      </c>
      <c r="M3613" s="16">
        <v>109</v>
      </c>
      <c r="N3613" s="16">
        <v>0</v>
      </c>
      <c r="O3613" s="17"/>
      <c r="P3613" s="18">
        <v>41673.488969907405</v>
      </c>
      <c r="Q3613" s="7" t="s">
        <v>351</v>
      </c>
      <c r="R3613" s="7" t="s">
        <v>19522</v>
      </c>
      <c r="S3613" s="8"/>
      <c r="T3613" s="8"/>
      <c r="U3613" s="19" t="str">
        <f>HYPERLINK("https://pbs.twimg.com/profile_images/1162425075053813761/1efvLJmo.jpg","View")</f>
        <v>View</v>
      </c>
      <c r="V3613" s="8"/>
      <c r="W3613" s="8"/>
      <c r="X3613" s="8"/>
      <c r="Y3613" s="8"/>
      <c r="Z3613" s="8"/>
    </row>
    <row r="3614" spans="1:26" ht="12.75">
      <c r="A3614" s="11">
        <v>43747.147939814815</v>
      </c>
      <c r="B3614" s="12" t="str">
        <f>HYPERLINK("https://twitter.com/ene66","@ene66")</f>
        <v>@ene66</v>
      </c>
      <c r="C3614" s="7" t="s">
        <v>19523</v>
      </c>
      <c r="D3614" s="7" t="s">
        <v>19524</v>
      </c>
      <c r="E3614" s="12" t="str">
        <f>HYPERLINK("https://twitter.com/ene66/status/1181880242438332416","1181880242438332416")</f>
        <v>1181880242438332416</v>
      </c>
      <c r="F3614" s="8"/>
      <c r="G3614" s="7"/>
      <c r="H3614" s="8"/>
      <c r="I3614" s="15">
        <v>0</v>
      </c>
      <c r="J3614" s="15">
        <v>2</v>
      </c>
      <c r="K3614" s="12" t="str">
        <f>HYPERLINK("http://twitter.com/download/android","Twitter for Android")</f>
        <v>Twitter for Android</v>
      </c>
      <c r="L3614" s="16">
        <v>3862</v>
      </c>
      <c r="M3614" s="16">
        <v>3532</v>
      </c>
      <c r="N3614" s="16">
        <v>5</v>
      </c>
      <c r="O3614" s="17"/>
      <c r="P3614" s="18">
        <v>40705.245787037034</v>
      </c>
      <c r="Q3614" s="7" t="s">
        <v>287</v>
      </c>
      <c r="R3614" s="7" t="s">
        <v>19525</v>
      </c>
      <c r="S3614" s="8"/>
      <c r="T3614" s="8"/>
      <c r="U3614" s="19" t="str">
        <f>HYPERLINK("https://pbs.twimg.com/profile_images/940677666130231301/wwMrgKnG.jpg","View")</f>
        <v>View</v>
      </c>
      <c r="V3614" s="8"/>
      <c r="W3614" s="8"/>
      <c r="X3614" s="8"/>
      <c r="Y3614" s="8"/>
      <c r="Z3614" s="8"/>
    </row>
    <row r="3615" spans="1:26" ht="12.75">
      <c r="A3615" s="11">
        <v>43747.147928240738</v>
      </c>
      <c r="B3615" s="12" t="str">
        <f>HYPERLINK("https://twitter.com/FaTihArSlan_13","@FaTihArSlan_13")</f>
        <v>@FaTihArSlan_13</v>
      </c>
      <c r="C3615" s="7" t="s">
        <v>19526</v>
      </c>
      <c r="D3615" s="7" t="s">
        <v>19527</v>
      </c>
      <c r="E3615" s="12" t="str">
        <f>HYPERLINK("https://twitter.com/FaTihArSlan_13/status/1181880237426139137","1181880237426139137")</f>
        <v>1181880237426139137</v>
      </c>
      <c r="F3615" s="8"/>
      <c r="G3615" s="14" t="s">
        <v>19528</v>
      </c>
      <c r="H3615" s="8"/>
      <c r="I3615" s="15">
        <v>0</v>
      </c>
      <c r="J3615" s="15">
        <v>0</v>
      </c>
      <c r="K3615" s="12" t="str">
        <f>HYPERLINK("http://twitter.com/download/iphone","Twitter for iPhone")</f>
        <v>Twitter for iPhone</v>
      </c>
      <c r="L3615" s="16">
        <v>966</v>
      </c>
      <c r="M3615" s="16">
        <v>712</v>
      </c>
      <c r="N3615" s="16">
        <v>1</v>
      </c>
      <c r="O3615" s="17"/>
      <c r="P3615" s="18">
        <v>40844.630740740744</v>
      </c>
      <c r="Q3615" s="13"/>
      <c r="R3615" s="7" t="s">
        <v>19529</v>
      </c>
      <c r="S3615" s="8"/>
      <c r="T3615" s="8"/>
      <c r="U3615" s="19" t="str">
        <f>HYPERLINK("https://pbs.twimg.com/profile_images/885420100941164544/PLxCU1jp.jpg","View")</f>
        <v>View</v>
      </c>
      <c r="V3615" s="8"/>
      <c r="W3615" s="8"/>
      <c r="X3615" s="8"/>
      <c r="Y3615" s="8"/>
      <c r="Z3615" s="8"/>
    </row>
    <row r="3616" spans="1:26" ht="12.75">
      <c r="A3616" s="11">
        <v>43747.147870370369</v>
      </c>
      <c r="B3616" s="12" t="str">
        <f>HYPERLINK("https://twitter.com/zakkumec","@zakkumec")</f>
        <v>@zakkumec</v>
      </c>
      <c r="C3616" s="7" t="s">
        <v>19530</v>
      </c>
      <c r="D3616" s="7" t="s">
        <v>19531</v>
      </c>
      <c r="E3616" s="12" t="str">
        <f>HYPERLINK("https://twitter.com/zakkumec/status/1181880217389932544","1181880217389932544")</f>
        <v>1181880217389932544</v>
      </c>
      <c r="F3616" s="8"/>
      <c r="G3616" s="14" t="s">
        <v>19532</v>
      </c>
      <c r="H3616" s="8"/>
      <c r="I3616" s="15">
        <v>2</v>
      </c>
      <c r="J3616" s="15">
        <v>4</v>
      </c>
      <c r="K3616" s="12" t="str">
        <f>HYPERLINK("http://twitter.com/download/android","Twitter for Android")</f>
        <v>Twitter for Android</v>
      </c>
      <c r="L3616" s="16">
        <v>73</v>
      </c>
      <c r="M3616" s="16">
        <v>220</v>
      </c>
      <c r="N3616" s="16">
        <v>0</v>
      </c>
      <c r="O3616" s="17"/>
      <c r="P3616" s="18">
        <v>40232.068055555559</v>
      </c>
      <c r="Q3616" s="7"/>
      <c r="R3616" s="7" t="s">
        <v>19533</v>
      </c>
      <c r="S3616" s="8"/>
      <c r="T3616" s="8"/>
      <c r="U3616" s="19" t="str">
        <f>HYPERLINK("https://pbs.twimg.com/profile_images/1168267248139722752/AhWzX9nD.jpg","View")</f>
        <v>View</v>
      </c>
      <c r="V3616" s="8"/>
      <c r="W3616" s="8"/>
      <c r="X3616" s="8"/>
      <c r="Y3616" s="8"/>
      <c r="Z3616" s="8"/>
    </row>
    <row r="3617" spans="1:26" ht="12.75">
      <c r="A3617" s="11">
        <v>43747.14780092593</v>
      </c>
      <c r="B3617" s="12" t="str">
        <f>HYPERLINK("https://twitter.com/OguzhanCatakk","@OguzhanCatakk")</f>
        <v>@OguzhanCatakk</v>
      </c>
      <c r="C3617" s="7" t="s">
        <v>19534</v>
      </c>
      <c r="D3617" s="7" t="s">
        <v>19535</v>
      </c>
      <c r="E3617" s="12" t="str">
        <f>HYPERLINK("https://twitter.com/OguzhanCatakk/status/1181880192022859776","1181880192022859776")</f>
        <v>1181880192022859776</v>
      </c>
      <c r="F3617" s="15"/>
      <c r="G3617" s="14" t="s">
        <v>19536</v>
      </c>
      <c r="H3617" s="8"/>
      <c r="I3617" s="15">
        <v>2</v>
      </c>
      <c r="J3617" s="15">
        <v>2</v>
      </c>
      <c r="K3617" s="12" t="str">
        <f>HYPERLINK("http://twitter.com/download/android","Twitter for Android")</f>
        <v>Twitter for Android</v>
      </c>
      <c r="L3617" s="16">
        <v>84</v>
      </c>
      <c r="M3617" s="16">
        <v>110</v>
      </c>
      <c r="N3617" s="16">
        <v>2</v>
      </c>
      <c r="O3617" s="17"/>
      <c r="P3617" s="18">
        <v>42622.606874999998</v>
      </c>
      <c r="Q3617" s="7" t="s">
        <v>287</v>
      </c>
      <c r="R3617" s="7" t="s">
        <v>19537</v>
      </c>
      <c r="S3617" s="8"/>
      <c r="T3617" s="8"/>
      <c r="U3617" s="19" t="str">
        <f>HYPERLINK("https://pbs.twimg.com/profile_images/1139844450094424068/tucGE57-.jpg","View")</f>
        <v>View</v>
      </c>
      <c r="V3617" s="8"/>
      <c r="W3617" s="8"/>
      <c r="X3617" s="8"/>
      <c r="Y3617" s="8"/>
      <c r="Z3617" s="8"/>
    </row>
    <row r="3618" spans="1:26" ht="12.75">
      <c r="A3618" s="11">
        <v>43747.147766203707</v>
      </c>
      <c r="B3618" s="12" t="str">
        <f>HYPERLINK("https://twitter.com/mimmimhaber","@mimmimhaber")</f>
        <v>@mimmimhaber</v>
      </c>
      <c r="C3618" s="7" t="s">
        <v>19538</v>
      </c>
      <c r="D3618" s="7" t="s">
        <v>19539</v>
      </c>
      <c r="E3618" s="12" t="str">
        <f>HYPERLINK("https://twitter.com/mimmimhaber/status/1181880176839286784","1181880176839286784")</f>
        <v>1181880176839286784</v>
      </c>
      <c r="F3618" s="14" t="s">
        <v>19540</v>
      </c>
      <c r="G3618" s="7"/>
      <c r="H3618" s="8"/>
      <c r="I3618" s="15">
        <v>0</v>
      </c>
      <c r="J3618" s="15">
        <v>0</v>
      </c>
      <c r="K3618" s="12" t="str">
        <f>HYPERLINK("http://instagram.com","Instagram")</f>
        <v>Instagram</v>
      </c>
      <c r="L3618" s="16">
        <v>7</v>
      </c>
      <c r="M3618" s="16">
        <v>0</v>
      </c>
      <c r="N3618" s="16">
        <v>0</v>
      </c>
      <c r="O3618" s="17"/>
      <c r="P3618" s="18">
        <v>43746.328240740739</v>
      </c>
      <c r="Q3618" s="7"/>
      <c r="R3618" s="7" t="s">
        <v>19541</v>
      </c>
      <c r="S3618" s="8"/>
      <c r="T3618" s="8"/>
      <c r="U3618" s="19" t="str">
        <f>HYPERLINK("https://pbs.twimg.com/profile_images/1181583721738260482/nIx1ENZK.jpg","View")</f>
        <v>View</v>
      </c>
      <c r="V3618" s="8"/>
      <c r="W3618" s="8"/>
      <c r="X3618" s="8"/>
      <c r="Y3618" s="8"/>
      <c r="Z3618" s="8"/>
    </row>
    <row r="3619" spans="1:26" ht="12.75">
      <c r="A3619" s="11">
        <v>43747.147719907407</v>
      </c>
      <c r="B3619" s="12" t="str">
        <f>HYPERLINK("https://twitter.com/Barbaro66984099","@Barbaro66984099")</f>
        <v>@Barbaro66984099</v>
      </c>
      <c r="C3619" s="7" t="s">
        <v>19542</v>
      </c>
      <c r="D3619" s="7" t="s">
        <v>160</v>
      </c>
      <c r="E3619" s="12" t="str">
        <f>HYPERLINK("https://twitter.com/Barbaro66984099/status/1181880161056243713","1181880161056243713")</f>
        <v>1181880161056243713</v>
      </c>
      <c r="F3619" s="8"/>
      <c r="G3619" s="14" t="s">
        <v>19543</v>
      </c>
      <c r="H3619" s="8"/>
      <c r="I3619" s="15">
        <v>0</v>
      </c>
      <c r="J3619" s="15">
        <v>0</v>
      </c>
      <c r="K3619" s="12" t="str">
        <f>HYPERLINK("http://twitter.com/download/android","Twitter for Android")</f>
        <v>Twitter for Android</v>
      </c>
      <c r="L3619" s="16">
        <v>0</v>
      </c>
      <c r="M3619" s="16">
        <v>1</v>
      </c>
      <c r="N3619" s="16">
        <v>0</v>
      </c>
      <c r="O3619" s="17"/>
      <c r="P3619" s="18">
        <v>43696.471331018518</v>
      </c>
      <c r="Q3619" s="7"/>
      <c r="R3619" s="7"/>
      <c r="S3619" s="8"/>
      <c r="T3619" s="8"/>
      <c r="U3619" s="19" t="str">
        <f>HYPERLINK("https://pbs.twimg.com/profile_images/1163515831847989253/OH-W0cRw.jpg","View")</f>
        <v>View</v>
      </c>
      <c r="V3619" s="8"/>
      <c r="W3619" s="8"/>
      <c r="X3619" s="8"/>
      <c r="Y3619" s="8"/>
      <c r="Z3619" s="8"/>
    </row>
    <row r="3620" spans="1:26" ht="12.75">
      <c r="A3620" s="11">
        <v>43747.147696759261</v>
      </c>
      <c r="B3620" s="12" t="str">
        <f>HYPERLINK("https://twitter.com/rymysRT","@rymysRT")</f>
        <v>@rymysRT</v>
      </c>
      <c r="C3620" s="7" t="s">
        <v>19544</v>
      </c>
      <c r="D3620" s="7" t="s">
        <v>19545</v>
      </c>
      <c r="E3620" s="12" t="str">
        <f>HYPERLINK("https://twitter.com/rymysRT/status/1181880153594630144","1181880153594630144")</f>
        <v>1181880153594630144</v>
      </c>
      <c r="F3620" s="8"/>
      <c r="G3620" s="14" t="s">
        <v>19546</v>
      </c>
      <c r="H3620" s="8"/>
      <c r="I3620" s="15">
        <v>5</v>
      </c>
      <c r="J3620" s="15">
        <v>17</v>
      </c>
      <c r="K3620" s="12" t="str">
        <f>HYPERLINK("https://mobile.twitter.com","Twitter Web App")</f>
        <v>Twitter Web App</v>
      </c>
      <c r="L3620" s="16">
        <v>201</v>
      </c>
      <c r="M3620" s="16">
        <v>190</v>
      </c>
      <c r="N3620" s="16">
        <v>0</v>
      </c>
      <c r="O3620" s="17"/>
      <c r="P3620" s="18">
        <v>42846.311793981484</v>
      </c>
      <c r="Q3620" s="7"/>
      <c r="R3620" s="7" t="s">
        <v>19547</v>
      </c>
      <c r="S3620" s="8"/>
      <c r="T3620" s="8"/>
      <c r="U3620" s="19" t="str">
        <f>HYPERLINK("https://pbs.twimg.com/profile_images/884214747033456640/9qMl0IeQ.jpg","View")</f>
        <v>View</v>
      </c>
      <c r="V3620" s="8"/>
      <c r="W3620" s="8"/>
      <c r="X3620" s="8"/>
      <c r="Y3620" s="8"/>
      <c r="Z3620" s="8"/>
    </row>
    <row r="3621" spans="1:26" ht="12.75">
      <c r="A3621" s="11">
        <v>43747.147696759261</v>
      </c>
      <c r="B3621" s="12" t="str">
        <f>HYPERLINK("https://twitter.com/81_38TR","@81_38TR")</f>
        <v>@81_38TR</v>
      </c>
      <c r="C3621" s="7" t="s">
        <v>19548</v>
      </c>
      <c r="D3621" s="7" t="s">
        <v>19549</v>
      </c>
      <c r="E3621" s="12" t="str">
        <f>HYPERLINK("https://twitter.com/81_38TR/status/1181880151493230593","1181880151493230593")</f>
        <v>1181880151493230593</v>
      </c>
      <c r="F3621" s="8"/>
      <c r="G3621" s="14" t="s">
        <v>19550</v>
      </c>
      <c r="H3621" s="8"/>
      <c r="I3621" s="15">
        <v>0</v>
      </c>
      <c r="J3621" s="15">
        <v>1</v>
      </c>
      <c r="K3621" s="12" t="str">
        <f>HYPERLINK("https://mobile.twitter.com","Twitter Web App")</f>
        <v>Twitter Web App</v>
      </c>
      <c r="L3621" s="16">
        <v>202</v>
      </c>
      <c r="M3621" s="16">
        <v>771</v>
      </c>
      <c r="N3621" s="16">
        <v>0</v>
      </c>
      <c r="O3621" s="17"/>
      <c r="P3621" s="18">
        <v>43241.161053240736</v>
      </c>
      <c r="Q3621" s="7" t="s">
        <v>200</v>
      </c>
      <c r="R3621" s="7" t="s">
        <v>19551</v>
      </c>
      <c r="S3621" s="8"/>
      <c r="T3621" s="8"/>
      <c r="U3621" s="19" t="str">
        <f>HYPERLINK("https://pbs.twimg.com/profile_images/1134580930666991616/GLYCOvQm.jpg","View")</f>
        <v>View</v>
      </c>
      <c r="V3621" s="8"/>
      <c r="W3621" s="8"/>
      <c r="X3621" s="8"/>
      <c r="Y3621" s="8"/>
      <c r="Z3621" s="8"/>
    </row>
    <row r="3622" spans="1:26" ht="12.75">
      <c r="A3622" s="11">
        <v>43747.147662037038</v>
      </c>
      <c r="B3622" s="12" t="str">
        <f>HYPERLINK("https://twitter.com/MRBZDMN","@MRBZDMN")</f>
        <v>@MRBZDMN</v>
      </c>
      <c r="C3622" s="7" t="s">
        <v>19552</v>
      </c>
      <c r="D3622" s="7" t="s">
        <v>19553</v>
      </c>
      <c r="E3622" s="12" t="str">
        <f>HYPERLINK("https://twitter.com/MRBZDMN/status/1181880139694649344","1181880139694649344")</f>
        <v>1181880139694649344</v>
      </c>
      <c r="F3622" s="8"/>
      <c r="G3622" s="15"/>
      <c r="H3622" s="8"/>
      <c r="I3622" s="15">
        <v>1</v>
      </c>
      <c r="J3622" s="15">
        <v>4</v>
      </c>
      <c r="K3622" s="12" t="str">
        <f>HYPERLINK("http://twitter.com/download/iphone","Twitter for iPhone")</f>
        <v>Twitter for iPhone</v>
      </c>
      <c r="L3622" s="16">
        <v>20865</v>
      </c>
      <c r="M3622" s="16">
        <v>3977</v>
      </c>
      <c r="N3622" s="16">
        <v>36</v>
      </c>
      <c r="O3622" s="17"/>
      <c r="P3622" s="18">
        <v>42583.431064814809</v>
      </c>
      <c r="Q3622" s="7" t="s">
        <v>19554</v>
      </c>
      <c r="R3622" s="7" t="s">
        <v>19555</v>
      </c>
      <c r="S3622" s="8"/>
      <c r="T3622" s="8"/>
      <c r="U3622" s="19" t="str">
        <f>HYPERLINK("https://pbs.twimg.com/profile_images/1167339976125796354/eTXgxVos.jpg","View")</f>
        <v>View</v>
      </c>
      <c r="V3622" s="8"/>
      <c r="W3622" s="8"/>
      <c r="X3622" s="8"/>
      <c r="Y3622" s="8"/>
      <c r="Z3622" s="8"/>
    </row>
    <row r="3623" spans="1:26" ht="12.75">
      <c r="A3623" s="11">
        <v>43747.147592592592</v>
      </c>
      <c r="B3623" s="12" t="str">
        <f>HYPERLINK("https://twitter.com/3ALITAS","@3ALITAS")</f>
        <v>@3ALITAS</v>
      </c>
      <c r="C3623" s="7" t="s">
        <v>5669</v>
      </c>
      <c r="D3623" s="7" t="s">
        <v>18475</v>
      </c>
      <c r="E3623" s="12" t="str">
        <f>HYPERLINK("https://twitter.com/3ALITAS/status/1181880114491076608","1181880114491076608")</f>
        <v>1181880114491076608</v>
      </c>
      <c r="F3623" s="8"/>
      <c r="G3623" s="15"/>
      <c r="H3623" s="8"/>
      <c r="I3623" s="15">
        <v>0</v>
      </c>
      <c r="J3623" s="15">
        <v>1</v>
      </c>
      <c r="K3623" s="12" t="str">
        <f>HYPERLINK("http://twitter.com/download/iphone","Twitter for iPhone")</f>
        <v>Twitter for iPhone</v>
      </c>
      <c r="L3623" s="16">
        <v>37</v>
      </c>
      <c r="M3623" s="16">
        <v>107</v>
      </c>
      <c r="N3623" s="16">
        <v>0</v>
      </c>
      <c r="O3623" s="17"/>
      <c r="P3623" s="18">
        <v>40794.497754629629</v>
      </c>
      <c r="Q3623" s="7" t="s">
        <v>19556</v>
      </c>
      <c r="R3623" s="7" t="s">
        <v>17817</v>
      </c>
      <c r="S3623" s="8"/>
      <c r="T3623" s="8"/>
      <c r="U3623" s="19" t="str">
        <f>HYPERLINK("https://pbs.twimg.com/profile_images/378800000859536165/OBt5XN2l.jpeg","View")</f>
        <v>View</v>
      </c>
      <c r="V3623" s="8"/>
      <c r="W3623" s="8"/>
      <c r="X3623" s="8"/>
      <c r="Y3623" s="8"/>
      <c r="Z3623" s="8"/>
    </row>
    <row r="3624" spans="1:26" ht="12.75">
      <c r="A3624" s="11">
        <v>43747.147581018522</v>
      </c>
      <c r="B3624" s="12" t="str">
        <f>HYPERLINK("https://twitter.com/sencerdcan","@sencerdcan")</f>
        <v>@sencerdcan</v>
      </c>
      <c r="C3624" s="7" t="s">
        <v>19557</v>
      </c>
      <c r="D3624" s="7" t="s">
        <v>9635</v>
      </c>
      <c r="E3624" s="12" t="str">
        <f>HYPERLINK("https://twitter.com/sencerdcan/status/1181880112167428096","1181880112167428096")</f>
        <v>1181880112167428096</v>
      </c>
      <c r="F3624" s="14" t="s">
        <v>2113</v>
      </c>
      <c r="G3624" s="14" t="s">
        <v>2116</v>
      </c>
      <c r="H3624" s="8"/>
      <c r="I3624" s="15">
        <v>0</v>
      </c>
      <c r="J3624" s="15">
        <v>1</v>
      </c>
      <c r="K3624" s="12" t="str">
        <f>HYPERLINK("http://twitter.com/download/iphone","Twitter for iPhone")</f>
        <v>Twitter for iPhone</v>
      </c>
      <c r="L3624" s="16">
        <v>193</v>
      </c>
      <c r="M3624" s="16">
        <v>195</v>
      </c>
      <c r="N3624" s="16">
        <v>0</v>
      </c>
      <c r="O3624" s="17"/>
      <c r="P3624" s="18">
        <v>40739.188449074078</v>
      </c>
      <c r="Q3624" s="7" t="s">
        <v>19558</v>
      </c>
      <c r="R3624" s="7" t="s">
        <v>19559</v>
      </c>
      <c r="S3624" s="14" t="s">
        <v>19560</v>
      </c>
      <c r="T3624" s="8"/>
      <c r="U3624" s="19" t="str">
        <f>HYPERLINK("https://pbs.twimg.com/profile_images/1015182142547136512/ayVOZFN9.jpg","View")</f>
        <v>View</v>
      </c>
      <c r="V3624" s="8"/>
      <c r="W3624" s="8"/>
      <c r="X3624" s="8"/>
      <c r="Y3624" s="8"/>
      <c r="Z3624" s="8"/>
    </row>
    <row r="3625" spans="1:26" ht="12.75">
      <c r="A3625" s="11">
        <v>43747.147557870368</v>
      </c>
      <c r="B3625" s="12" t="str">
        <f>HYPERLINK("https://twitter.com/olurmudersiin","@olurmudersiin")</f>
        <v>@olurmudersiin</v>
      </c>
      <c r="C3625" s="7" t="s">
        <v>19561</v>
      </c>
      <c r="D3625" s="7" t="s">
        <v>19562</v>
      </c>
      <c r="E3625" s="12" t="str">
        <f>HYPERLINK("https://twitter.com/olurmudersiin/status/1181880103363645440","1181880103363645440")</f>
        <v>1181880103363645440</v>
      </c>
      <c r="F3625" s="8"/>
      <c r="G3625" s="14" t="s">
        <v>19563</v>
      </c>
      <c r="H3625" s="8"/>
      <c r="I3625" s="15">
        <v>0</v>
      </c>
      <c r="J3625" s="15">
        <v>1</v>
      </c>
      <c r="K3625" s="12" t="str">
        <f>HYPERLINK("http://twitter.com/download/iphone","Twitter for iPhone")</f>
        <v>Twitter for iPhone</v>
      </c>
      <c r="L3625" s="16">
        <v>202</v>
      </c>
      <c r="M3625" s="16">
        <v>214</v>
      </c>
      <c r="N3625" s="16">
        <v>0</v>
      </c>
      <c r="O3625" s="17"/>
      <c r="P3625" s="18">
        <v>42879.308865740742</v>
      </c>
      <c r="Q3625" s="7" t="s">
        <v>5418</v>
      </c>
      <c r="R3625" s="7" t="s">
        <v>19564</v>
      </c>
      <c r="S3625" s="14" t="s">
        <v>19565</v>
      </c>
      <c r="T3625" s="8"/>
      <c r="U3625" s="19" t="str">
        <f>HYPERLINK("https://pbs.twimg.com/profile_images/1154838051979505664/dTCPX5Qu.jpg","View")</f>
        <v>View</v>
      </c>
      <c r="V3625" s="8"/>
      <c r="W3625" s="8"/>
      <c r="X3625" s="8"/>
      <c r="Y3625" s="8"/>
      <c r="Z3625" s="8"/>
    </row>
    <row r="3626" spans="1:26" ht="12.75">
      <c r="A3626" s="11">
        <v>43747.147453703699</v>
      </c>
      <c r="B3626" s="12" t="str">
        <f>HYPERLINK("https://twitter.com/omersygl","@omersygl")</f>
        <v>@omersygl</v>
      </c>
      <c r="C3626" s="7" t="s">
        <v>19566</v>
      </c>
      <c r="D3626" s="7" t="s">
        <v>19567</v>
      </c>
      <c r="E3626" s="12" t="str">
        <f>HYPERLINK("https://twitter.com/omersygl/status/1181880066583810049","1181880066583810049")</f>
        <v>1181880066583810049</v>
      </c>
      <c r="F3626" s="8"/>
      <c r="G3626" s="7"/>
      <c r="H3626" s="8"/>
      <c r="I3626" s="15">
        <v>0</v>
      </c>
      <c r="J3626" s="15">
        <v>0</v>
      </c>
      <c r="K3626" s="12" t="str">
        <f>HYPERLINK("http://twitter.com/download/android","Twitter for Android")</f>
        <v>Twitter for Android</v>
      </c>
      <c r="L3626" s="16">
        <v>202</v>
      </c>
      <c r="M3626" s="16">
        <v>609</v>
      </c>
      <c r="N3626" s="16">
        <v>0</v>
      </c>
      <c r="O3626" s="17"/>
      <c r="P3626" s="18">
        <v>41123.489872685182</v>
      </c>
      <c r="Q3626" s="7"/>
      <c r="R3626" s="7" t="s">
        <v>19568</v>
      </c>
      <c r="S3626" s="15"/>
      <c r="T3626" s="8"/>
      <c r="U3626" s="19" t="str">
        <f>HYPERLINK("https://pbs.twimg.com/profile_images/1180146517593726981/CMI1i81T.jpg","View")</f>
        <v>View</v>
      </c>
      <c r="V3626" s="8"/>
      <c r="W3626" s="8"/>
      <c r="X3626" s="8"/>
      <c r="Y3626" s="8"/>
      <c r="Z3626" s="8"/>
    </row>
    <row r="3627" spans="1:26" ht="12.75">
      <c r="A3627" s="11">
        <v>43747.147337962961</v>
      </c>
      <c r="B3627" s="12" t="str">
        <f>HYPERLINK("https://twitter.com/karagoz_fatih","@karagoz_fatih")</f>
        <v>@karagoz_fatih</v>
      </c>
      <c r="C3627" s="7" t="s">
        <v>19569</v>
      </c>
      <c r="D3627" s="7" t="s">
        <v>19570</v>
      </c>
      <c r="E3627" s="12" t="str">
        <f>HYPERLINK("https://twitter.com/karagoz_fatih/status/1181880021796958208","1181880021796958208")</f>
        <v>1181880021796958208</v>
      </c>
      <c r="F3627" s="8"/>
      <c r="G3627" s="7"/>
      <c r="H3627" s="8"/>
      <c r="I3627" s="15">
        <v>0</v>
      </c>
      <c r="J3627" s="15">
        <v>0</v>
      </c>
      <c r="K3627" s="12" t="str">
        <f>HYPERLINK("http://twitter.com/download/android","Twitter for Android")</f>
        <v>Twitter for Android</v>
      </c>
      <c r="L3627" s="16">
        <v>17</v>
      </c>
      <c r="M3627" s="16">
        <v>165</v>
      </c>
      <c r="N3627" s="16">
        <v>0</v>
      </c>
      <c r="O3627" s="17"/>
      <c r="P3627" s="18">
        <v>41097.945335648146</v>
      </c>
      <c r="Q3627" s="7"/>
      <c r="R3627" s="7"/>
      <c r="S3627" s="8"/>
      <c r="T3627" s="8"/>
      <c r="U3627" s="20" t="s">
        <v>354</v>
      </c>
      <c r="V3627" s="8"/>
      <c r="W3627" s="8"/>
      <c r="X3627" s="8"/>
      <c r="Y3627" s="8"/>
      <c r="Z3627" s="8"/>
    </row>
    <row r="3628" spans="1:26" ht="12.75">
      <c r="A3628" s="11">
        <v>43747.147268518514</v>
      </c>
      <c r="B3628" s="12" t="str">
        <f>HYPERLINK("https://twitter.com/vcan56","@vcan56")</f>
        <v>@vcan56</v>
      </c>
      <c r="C3628" s="7" t="s">
        <v>19571</v>
      </c>
      <c r="D3628" s="7" t="s">
        <v>19572</v>
      </c>
      <c r="E3628" s="12" t="str">
        <f>HYPERLINK("https://twitter.com/vcan56/status/1181879996576604160","1181879996576604160")</f>
        <v>1181879996576604160</v>
      </c>
      <c r="F3628" s="8"/>
      <c r="G3628" s="7"/>
      <c r="H3628" s="8"/>
      <c r="I3628" s="15">
        <v>0</v>
      </c>
      <c r="J3628" s="15">
        <v>0</v>
      </c>
      <c r="K3628" s="12" t="str">
        <f>HYPERLINK("http://twitter.com/download/android","Twitter for Android")</f>
        <v>Twitter for Android</v>
      </c>
      <c r="L3628" s="16">
        <v>17</v>
      </c>
      <c r="M3628" s="16">
        <v>27</v>
      </c>
      <c r="N3628" s="16">
        <v>0</v>
      </c>
      <c r="O3628" s="17"/>
      <c r="P3628" s="18">
        <v>43079.206354166672</v>
      </c>
      <c r="Q3628" s="7"/>
      <c r="R3628" s="7" t="s">
        <v>14403</v>
      </c>
      <c r="S3628" s="14" t="s">
        <v>5017</v>
      </c>
      <c r="T3628" s="8"/>
      <c r="U3628" s="19" t="str">
        <f>HYPERLINK("https://pbs.twimg.com/profile_images/1153413080954679298/zNKhT9aV.jpg","View")</f>
        <v>View</v>
      </c>
      <c r="V3628" s="8"/>
      <c r="W3628" s="8"/>
      <c r="X3628" s="8"/>
      <c r="Y3628" s="8"/>
      <c r="Z3628" s="8"/>
    </row>
    <row r="3629" spans="1:26" ht="12.75">
      <c r="A3629" s="11">
        <v>43747.147222222222</v>
      </c>
      <c r="B3629" s="12" t="str">
        <f>HYPERLINK("https://twitter.com/c_ankay23","@c_ankay23")</f>
        <v>@c_ankay23</v>
      </c>
      <c r="C3629" s="7" t="s">
        <v>19573</v>
      </c>
      <c r="D3629" s="7" t="s">
        <v>19574</v>
      </c>
      <c r="E3629" s="12" t="str">
        <f>HYPERLINK("https://twitter.com/c_ankay23/status/1181879983389708288","1181879983389708288")</f>
        <v>1181879983389708288</v>
      </c>
      <c r="F3629" s="15"/>
      <c r="G3629" s="14" t="s">
        <v>19575</v>
      </c>
      <c r="H3629" s="8"/>
      <c r="I3629" s="15">
        <v>0</v>
      </c>
      <c r="J3629" s="15">
        <v>1</v>
      </c>
      <c r="K3629" s="12" t="str">
        <f>HYPERLINK("http://twitter.com/download/iphone","Twitter for iPhone")</f>
        <v>Twitter for iPhone</v>
      </c>
      <c r="L3629" s="16">
        <v>93</v>
      </c>
      <c r="M3629" s="16">
        <v>153</v>
      </c>
      <c r="N3629" s="16">
        <v>0</v>
      </c>
      <c r="O3629" s="17"/>
      <c r="P3629" s="18">
        <v>42980.773726851854</v>
      </c>
      <c r="Q3629" s="7" t="s">
        <v>11017</v>
      </c>
      <c r="R3629" s="7" t="s">
        <v>19576</v>
      </c>
      <c r="S3629" s="14" t="s">
        <v>19577</v>
      </c>
      <c r="T3629" s="8"/>
      <c r="U3629" s="19" t="str">
        <f>HYPERLINK("https://pbs.twimg.com/profile_images/1181669824847601664/Ih1SUsDH.jpg","View")</f>
        <v>View</v>
      </c>
      <c r="V3629" s="8"/>
      <c r="W3629" s="8"/>
      <c r="X3629" s="8"/>
      <c r="Y3629" s="8"/>
      <c r="Z3629" s="8"/>
    </row>
    <row r="3630" spans="1:26" ht="12.75">
      <c r="A3630" s="11">
        <v>43747.147175925929</v>
      </c>
      <c r="B3630" s="12" t="str">
        <f>HYPERLINK("https://twitter.com/hanifi0225","@hanifi0225")</f>
        <v>@hanifi0225</v>
      </c>
      <c r="C3630" s="7" t="s">
        <v>19578</v>
      </c>
      <c r="D3630" s="7" t="s">
        <v>19579</v>
      </c>
      <c r="E3630" s="12" t="str">
        <f>HYPERLINK("https://twitter.com/hanifi0225/status/1181879963550670848","1181879963550670848")</f>
        <v>1181879963550670848</v>
      </c>
      <c r="F3630" s="8"/>
      <c r="G3630" s="15"/>
      <c r="H3630" s="8"/>
      <c r="I3630" s="15">
        <v>0</v>
      </c>
      <c r="J3630" s="15">
        <v>0</v>
      </c>
      <c r="K3630" s="12" t="str">
        <f>HYPERLINK("http://twitter.com/download/android","Twitter for Android")</f>
        <v>Twitter for Android</v>
      </c>
      <c r="L3630" s="16">
        <v>3</v>
      </c>
      <c r="M3630" s="16">
        <v>18</v>
      </c>
      <c r="N3630" s="16">
        <v>0</v>
      </c>
      <c r="O3630" s="17"/>
      <c r="P3630" s="18">
        <v>43703.147870370369</v>
      </c>
      <c r="Q3630" s="7"/>
      <c r="R3630" s="7"/>
      <c r="S3630" s="15"/>
      <c r="T3630" s="8"/>
      <c r="U3630" s="19" t="str">
        <f>HYPERLINK("https://pbs.twimg.com/profile_images/1165937355343257601/VuGHpoT6.jpg","View")</f>
        <v>View</v>
      </c>
      <c r="V3630" s="8"/>
      <c r="W3630" s="8"/>
      <c r="X3630" s="8"/>
      <c r="Y3630" s="8"/>
      <c r="Z3630" s="8"/>
    </row>
    <row r="3631" spans="1:26" ht="12.75">
      <c r="A3631" s="11">
        <v>43747.147164351853</v>
      </c>
      <c r="B3631" s="12" t="str">
        <f>HYPERLINK("https://twitter.com/av_hatipoglu87","@av_hatipoglu87")</f>
        <v>@av_hatipoglu87</v>
      </c>
      <c r="C3631" s="7" t="s">
        <v>19580</v>
      </c>
      <c r="D3631" s="7" t="s">
        <v>19581</v>
      </c>
      <c r="E3631" s="12" t="str">
        <f>HYPERLINK("https://twitter.com/av_hatipoglu87/status/1181879961331871745","1181879961331871745")</f>
        <v>1181879961331871745</v>
      </c>
      <c r="F3631" s="15"/>
      <c r="G3631" s="7"/>
      <c r="H3631" s="8"/>
      <c r="I3631" s="15">
        <v>0</v>
      </c>
      <c r="J3631" s="15">
        <v>0</v>
      </c>
      <c r="K3631" s="12" t="str">
        <f>HYPERLINK("http://twitter.com/download/android","Twitter for Android")</f>
        <v>Twitter for Android</v>
      </c>
      <c r="L3631" s="16">
        <v>450</v>
      </c>
      <c r="M3631" s="16">
        <v>177</v>
      </c>
      <c r="N3631" s="16">
        <v>1</v>
      </c>
      <c r="O3631" s="17"/>
      <c r="P3631" s="18">
        <v>42313.377974537041</v>
      </c>
      <c r="Q3631" s="7" t="s">
        <v>12893</v>
      </c>
      <c r="R3631" s="7" t="s">
        <v>19582</v>
      </c>
      <c r="S3631" s="8"/>
      <c r="T3631" s="8"/>
      <c r="U3631" s="19" t="str">
        <f>HYPERLINK("https://pbs.twimg.com/profile_images/1166461179943882752/xuFW6YGH.jpg","View")</f>
        <v>View</v>
      </c>
      <c r="V3631" s="8"/>
      <c r="W3631" s="8"/>
      <c r="X3631" s="8"/>
      <c r="Y3631" s="8"/>
      <c r="Z3631" s="8"/>
    </row>
    <row r="3632" spans="1:26" ht="12.75">
      <c r="A3632" s="11">
        <v>43747.147164351853</v>
      </c>
      <c r="B3632" s="12" t="str">
        <f>HYPERLINK("https://twitter.com/gokhanEroglu__","@gokhanEroglu__")</f>
        <v>@gokhanEroglu__</v>
      </c>
      <c r="C3632" s="7" t="s">
        <v>19583</v>
      </c>
      <c r="D3632" s="7" t="s">
        <v>19584</v>
      </c>
      <c r="E3632" s="12" t="str">
        <f>HYPERLINK("https://twitter.com/gokhanEroglu__/status/1181879958479806464","1181879958479806464")</f>
        <v>1181879958479806464</v>
      </c>
      <c r="F3632" s="8"/>
      <c r="G3632" s="15"/>
      <c r="H3632" s="8"/>
      <c r="I3632" s="15">
        <v>0</v>
      </c>
      <c r="J3632" s="15">
        <v>3</v>
      </c>
      <c r="K3632" s="12" t="str">
        <f>HYPERLINK("https://mobile.twitter.com","Twitter Web App")</f>
        <v>Twitter Web App</v>
      </c>
      <c r="L3632" s="16">
        <v>1873</v>
      </c>
      <c r="M3632" s="16">
        <v>1854</v>
      </c>
      <c r="N3632" s="16">
        <v>0</v>
      </c>
      <c r="O3632" s="17"/>
      <c r="P3632" s="18">
        <v>43005.632928240739</v>
      </c>
      <c r="Q3632" s="7" t="s">
        <v>19585</v>
      </c>
      <c r="R3632" s="7" t="s">
        <v>19586</v>
      </c>
      <c r="S3632" s="14" t="s">
        <v>19587</v>
      </c>
      <c r="T3632" s="8"/>
      <c r="U3632" s="19" t="str">
        <f>HYPERLINK("https://pbs.twimg.com/profile_images/1169323254730899456/h1LkvxRk.jpg","View")</f>
        <v>View</v>
      </c>
      <c r="V3632" s="8"/>
      <c r="W3632" s="8"/>
      <c r="X3632" s="8"/>
      <c r="Y3632" s="8"/>
      <c r="Z3632" s="8"/>
    </row>
    <row r="3633" spans="1:26" ht="12.75">
      <c r="A3633" s="11">
        <v>43747.147152777776</v>
      </c>
      <c r="B3633" s="12" t="str">
        <f>HYPERLINK("https://twitter.com/ibrahimcoskun","@ibrahimcoskun")</f>
        <v>@ibrahimcoskun</v>
      </c>
      <c r="C3633" s="7" t="s">
        <v>19588</v>
      </c>
      <c r="D3633" s="7" t="s">
        <v>19589</v>
      </c>
      <c r="E3633" s="12" t="str">
        <f>HYPERLINK("https://twitter.com/ibrahimcoskun/status/1181879954633629697","1181879954633629697")</f>
        <v>1181879954633629697</v>
      </c>
      <c r="F3633" s="8"/>
      <c r="G3633" s="14" t="s">
        <v>19590</v>
      </c>
      <c r="H3633" s="8"/>
      <c r="I3633" s="15">
        <v>3</v>
      </c>
      <c r="J3633" s="15">
        <v>4</v>
      </c>
      <c r="K3633" s="12" t="str">
        <f>HYPERLINK("http://twitter.com/download/iphone","Twitter for iPhone")</f>
        <v>Twitter for iPhone</v>
      </c>
      <c r="L3633" s="16">
        <v>5110</v>
      </c>
      <c r="M3633" s="16">
        <v>2780</v>
      </c>
      <c r="N3633" s="16">
        <v>15</v>
      </c>
      <c r="O3633" s="17"/>
      <c r="P3633" s="18">
        <v>40258.13417824074</v>
      </c>
      <c r="Q3633" s="7"/>
      <c r="R3633" s="7" t="s">
        <v>19591</v>
      </c>
      <c r="S3633" s="8"/>
      <c r="T3633" s="8"/>
      <c r="U3633" s="19" t="str">
        <f>HYPERLINK("https://pbs.twimg.com/profile_images/1181298375049670657/DkX0KN5K.jpg","View")</f>
        <v>View</v>
      </c>
      <c r="V3633" s="8"/>
      <c r="W3633" s="8"/>
      <c r="X3633" s="8"/>
      <c r="Y3633" s="8"/>
      <c r="Z3633" s="8"/>
    </row>
    <row r="3634" spans="1:26" ht="12.75">
      <c r="A3634" s="11">
        <v>43747.14707175926</v>
      </c>
      <c r="B3634" s="12" t="str">
        <f>HYPERLINK("https://twitter.com/kaankndzlr","@kaankndzlr")</f>
        <v>@kaankndzlr</v>
      </c>
      <c r="C3634" s="7" t="s">
        <v>19592</v>
      </c>
      <c r="D3634" s="7" t="s">
        <v>11672</v>
      </c>
      <c r="E3634" s="12" t="str">
        <f>HYPERLINK("https://twitter.com/kaankndzlr/status/1181879928754786305","1181879928754786305")</f>
        <v>1181879928754786305</v>
      </c>
      <c r="F3634" s="8"/>
      <c r="G3634" s="14" t="s">
        <v>19593</v>
      </c>
      <c r="H3634" s="8"/>
      <c r="I3634" s="15">
        <v>0</v>
      </c>
      <c r="J3634" s="15">
        <v>1</v>
      </c>
      <c r="K3634" s="12" t="str">
        <f>HYPERLINK("http://twitter.com/download/android","Twitter for Android")</f>
        <v>Twitter for Android</v>
      </c>
      <c r="L3634" s="16">
        <v>47</v>
      </c>
      <c r="M3634" s="16">
        <v>61</v>
      </c>
      <c r="N3634" s="16">
        <v>0</v>
      </c>
      <c r="O3634" s="17"/>
      <c r="P3634" s="18">
        <v>42827.149675925924</v>
      </c>
      <c r="Q3634" s="7"/>
      <c r="R3634" s="7"/>
      <c r="S3634" s="8"/>
      <c r="T3634" s="8"/>
      <c r="U3634" s="19" t="str">
        <f>HYPERLINK("https://pbs.twimg.com/profile_images/1173370416200658945/s5JGpUnA.jpg","View")</f>
        <v>View</v>
      </c>
      <c r="V3634" s="8"/>
      <c r="W3634" s="8"/>
      <c r="X3634" s="8"/>
      <c r="Y3634" s="8"/>
      <c r="Z3634" s="8"/>
    </row>
    <row r="3635" spans="1:26" ht="12.75">
      <c r="A3635" s="11">
        <v>43747.147048611107</v>
      </c>
      <c r="B3635" s="12" t="str">
        <f>HYPERLINK("https://twitter.com/beserihoyrat","@beserihoyrat")</f>
        <v>@beserihoyrat</v>
      </c>
      <c r="C3635" s="7" t="s">
        <v>19594</v>
      </c>
      <c r="D3635" s="7" t="s">
        <v>160</v>
      </c>
      <c r="E3635" s="12" t="str">
        <f>HYPERLINK("https://twitter.com/beserihoyrat/status/1181879918369673216","1181879918369673216")</f>
        <v>1181879918369673216</v>
      </c>
      <c r="F3635" s="8"/>
      <c r="G3635" s="14" t="s">
        <v>19595</v>
      </c>
      <c r="H3635" s="8"/>
      <c r="I3635" s="15">
        <v>1</v>
      </c>
      <c r="J3635" s="15">
        <v>34</v>
      </c>
      <c r="K3635" s="12" t="str">
        <f>HYPERLINK("http://twitter.com/download/iphone","Twitter for iPhone")</f>
        <v>Twitter for iPhone</v>
      </c>
      <c r="L3635" s="16">
        <v>7074</v>
      </c>
      <c r="M3635" s="16">
        <v>160</v>
      </c>
      <c r="N3635" s="16">
        <v>29</v>
      </c>
      <c r="O3635" s="17"/>
      <c r="P3635" s="18">
        <v>42296.293888888889</v>
      </c>
      <c r="Q3635" s="7"/>
      <c r="R3635" s="7" t="s">
        <v>19596</v>
      </c>
      <c r="S3635" s="8"/>
      <c r="T3635" s="8"/>
      <c r="U3635" s="19" t="str">
        <f>HYPERLINK("https://pbs.twimg.com/profile_images/1181878893210460160/QkDStYE6.jpg","View")</f>
        <v>View</v>
      </c>
      <c r="V3635" s="8"/>
      <c r="W3635" s="8"/>
      <c r="X3635" s="8"/>
      <c r="Y3635" s="8"/>
      <c r="Z3635" s="8"/>
    </row>
    <row r="3636" spans="1:26" ht="12.75">
      <c r="A3636" s="11">
        <v>43747.147002314814</v>
      </c>
      <c r="B3636" s="12" t="str">
        <f>HYPERLINK("https://twitter.com/F3RH4ND","@F3RH4ND")</f>
        <v>@F3RH4ND</v>
      </c>
      <c r="C3636" s="7" t="s">
        <v>19597</v>
      </c>
      <c r="D3636" s="7" t="s">
        <v>19598</v>
      </c>
      <c r="E3636" s="12" t="str">
        <f>HYPERLINK("https://twitter.com/F3RH4ND/status/1181879902452244480","1181879902452244480")</f>
        <v>1181879902452244480</v>
      </c>
      <c r="F3636" s="15"/>
      <c r="G3636" s="7"/>
      <c r="H3636" s="8"/>
      <c r="I3636" s="15">
        <v>0</v>
      </c>
      <c r="J3636" s="15">
        <v>0</v>
      </c>
      <c r="K3636" s="12" t="str">
        <f>HYPERLINK("http://twitter.com/download/iphone","Twitter for iPhone")</f>
        <v>Twitter for iPhone</v>
      </c>
      <c r="L3636" s="16">
        <v>75</v>
      </c>
      <c r="M3636" s="16">
        <v>209</v>
      </c>
      <c r="N3636" s="16">
        <v>0</v>
      </c>
      <c r="O3636" s="17"/>
      <c r="P3636" s="18">
        <v>40829.079270833332</v>
      </c>
      <c r="Q3636" s="7" t="s">
        <v>19599</v>
      </c>
      <c r="R3636" s="7" t="s">
        <v>19600</v>
      </c>
      <c r="S3636" s="15"/>
      <c r="T3636" s="8"/>
      <c r="U3636" s="19" t="str">
        <f>HYPERLINK("https://pbs.twimg.com/profile_images/758978336299167749/xHDzctp7.jpg","View")</f>
        <v>View</v>
      </c>
      <c r="V3636" s="8"/>
      <c r="W3636" s="8"/>
      <c r="X3636" s="8"/>
      <c r="Y3636" s="8"/>
      <c r="Z3636" s="8"/>
    </row>
    <row r="3637" spans="1:26" ht="12.75">
      <c r="A3637" s="11">
        <v>43747.146979166668</v>
      </c>
      <c r="B3637" s="12" t="str">
        <f>HYPERLINK("https://twitter.com/YusufOzdemirce","@YusufOzdemirce")</f>
        <v>@YusufOzdemirce</v>
      </c>
      <c r="C3637" s="7" t="s">
        <v>19601</v>
      </c>
      <c r="D3637" s="7" t="s">
        <v>19602</v>
      </c>
      <c r="E3637" s="12" t="str">
        <f>HYPERLINK("https://twitter.com/YusufOzdemirce/status/1181879895015723008","1181879895015723008")</f>
        <v>1181879895015723008</v>
      </c>
      <c r="F3637" s="8"/>
      <c r="G3637" s="15"/>
      <c r="H3637" s="8"/>
      <c r="I3637" s="15">
        <v>0</v>
      </c>
      <c r="J3637" s="15">
        <v>0</v>
      </c>
      <c r="K3637" s="12" t="str">
        <f>HYPERLINK("http://twitter.com/download/android","Twitter for Android")</f>
        <v>Twitter for Android</v>
      </c>
      <c r="L3637" s="16">
        <v>473</v>
      </c>
      <c r="M3637" s="16">
        <v>701</v>
      </c>
      <c r="N3637" s="16">
        <v>0</v>
      </c>
      <c r="O3637" s="17"/>
      <c r="P3637" s="18">
        <v>40766.293715277774</v>
      </c>
      <c r="Q3637" s="7"/>
      <c r="R3637" s="7" t="s">
        <v>19603</v>
      </c>
      <c r="S3637" s="8"/>
      <c r="T3637" s="8"/>
      <c r="U3637" s="19" t="str">
        <f>HYPERLINK("https://pbs.twimg.com/profile_images/1180151596052860930/ppwBg0Uw.jpg","View")</f>
        <v>View</v>
      </c>
      <c r="V3637" s="8"/>
      <c r="W3637" s="8"/>
      <c r="X3637" s="8"/>
      <c r="Y3637" s="8"/>
      <c r="Z3637" s="8"/>
    </row>
    <row r="3638" spans="1:26" ht="12.75">
      <c r="A3638" s="11">
        <v>43747.146979166668</v>
      </c>
      <c r="B3638" s="12" t="str">
        <f>HYPERLINK("https://twitter.com/furkanyilmaz58","@furkanyilmaz58")</f>
        <v>@furkanyilmaz58</v>
      </c>
      <c r="C3638" s="7" t="s">
        <v>19604</v>
      </c>
      <c r="D3638" s="7" t="s">
        <v>19605</v>
      </c>
      <c r="E3638" s="12" t="str">
        <f>HYPERLINK("https://twitter.com/furkanyilmaz58/status/1181879893954568192","1181879893954568192")</f>
        <v>1181879893954568192</v>
      </c>
      <c r="F3638" s="15"/>
      <c r="G3638" s="14" t="s">
        <v>19606</v>
      </c>
      <c r="H3638" s="8"/>
      <c r="I3638" s="15">
        <v>0</v>
      </c>
      <c r="J3638" s="15">
        <v>2</v>
      </c>
      <c r="K3638" s="12" t="str">
        <f>HYPERLINK("http://twitter.com/download/android","Twitter for Android")</f>
        <v>Twitter for Android</v>
      </c>
      <c r="L3638" s="16">
        <v>1696</v>
      </c>
      <c r="M3638" s="16">
        <v>1478</v>
      </c>
      <c r="N3638" s="16">
        <v>0</v>
      </c>
      <c r="O3638" s="17"/>
      <c r="P3638" s="18">
        <v>43134.18372685185</v>
      </c>
      <c r="Q3638" s="7"/>
      <c r="R3638" s="7" t="s">
        <v>19607</v>
      </c>
      <c r="S3638" s="8"/>
      <c r="T3638" s="8"/>
      <c r="U3638" s="19" t="str">
        <f>HYPERLINK("https://pbs.twimg.com/profile_images/1159401814057521152/UNufaVGt.jpg","View")</f>
        <v>View</v>
      </c>
      <c r="V3638" s="8"/>
      <c r="W3638" s="8"/>
      <c r="X3638" s="8"/>
      <c r="Y3638" s="8"/>
      <c r="Z3638" s="8"/>
    </row>
    <row r="3639" spans="1:26" ht="12.75">
      <c r="A3639" s="11">
        <v>43747.146944444445</v>
      </c>
      <c r="B3639" s="12" t="str">
        <f>HYPERLINK("https://twitter.com/humeyranrc","@humeyranrc")</f>
        <v>@humeyranrc</v>
      </c>
      <c r="C3639" s="7" t="s">
        <v>19608</v>
      </c>
      <c r="D3639" s="7" t="s">
        <v>19609</v>
      </c>
      <c r="E3639" s="12" t="str">
        <f>HYPERLINK("https://twitter.com/humeyranrc/status/1181879880557965313","1181879880557965313")</f>
        <v>1181879880557965313</v>
      </c>
      <c r="F3639" s="8"/>
      <c r="G3639" s="7"/>
      <c r="H3639" s="8"/>
      <c r="I3639" s="15">
        <v>0</v>
      </c>
      <c r="J3639" s="15">
        <v>1</v>
      </c>
      <c r="K3639" s="12" t="str">
        <f>HYPERLINK("http://twitter.com/download/android","Twitter for Android")</f>
        <v>Twitter for Android</v>
      </c>
      <c r="L3639" s="16">
        <v>735</v>
      </c>
      <c r="M3639" s="16">
        <v>626</v>
      </c>
      <c r="N3639" s="16">
        <v>1</v>
      </c>
      <c r="O3639" s="20"/>
      <c r="P3639" s="18">
        <v>42077.131736111114</v>
      </c>
      <c r="Q3639" s="7" t="s">
        <v>576</v>
      </c>
      <c r="R3639" s="7" t="s">
        <v>19610</v>
      </c>
      <c r="S3639" s="15"/>
      <c r="T3639" s="8"/>
      <c r="U3639" s="19" t="str">
        <f>HYPERLINK("https://pbs.twimg.com/profile_images/1169753931196616707/Ixh7Jcd-.jpg","View")</f>
        <v>View</v>
      </c>
      <c r="V3639" s="8"/>
      <c r="W3639" s="8"/>
      <c r="X3639" s="8"/>
      <c r="Y3639" s="8"/>
      <c r="Z3639" s="8"/>
    </row>
    <row r="3640" spans="1:26" ht="12.75">
      <c r="A3640" s="11">
        <v>43747.146886574075</v>
      </c>
      <c r="B3640" s="12" t="str">
        <f>HYPERLINK("https://twitter.com/ulutanrim","@ulutanrim")</f>
        <v>@ulutanrim</v>
      </c>
      <c r="C3640" s="7" t="s">
        <v>19611</v>
      </c>
      <c r="D3640" s="7" t="s">
        <v>19612</v>
      </c>
      <c r="E3640" s="12" t="str">
        <f>HYPERLINK("https://twitter.com/ulutanrim/status/1181879857841655809","1181879857841655809")</f>
        <v>1181879857841655809</v>
      </c>
      <c r="F3640" s="14" t="s">
        <v>19613</v>
      </c>
      <c r="G3640" s="14" t="s">
        <v>19614</v>
      </c>
      <c r="H3640" s="8"/>
      <c r="I3640" s="15">
        <v>0</v>
      </c>
      <c r="J3640" s="15">
        <v>1</v>
      </c>
      <c r="K3640" s="12" t="str">
        <f>HYPERLINK("http://twitter.com/download/android","Twitter for Android")</f>
        <v>Twitter for Android</v>
      </c>
      <c r="L3640" s="16">
        <v>1280</v>
      </c>
      <c r="M3640" s="16">
        <v>1014</v>
      </c>
      <c r="N3640" s="16">
        <v>0</v>
      </c>
      <c r="O3640" s="17"/>
      <c r="P3640" s="18">
        <v>43069.358530092592</v>
      </c>
      <c r="Q3640" s="7" t="s">
        <v>8492</v>
      </c>
      <c r="R3640" s="7" t="s">
        <v>19615</v>
      </c>
      <c r="S3640" s="14" t="s">
        <v>19616</v>
      </c>
      <c r="T3640" s="8"/>
      <c r="U3640" s="19" t="str">
        <f>HYPERLINK("https://pbs.twimg.com/profile_images/1157704382244429827/7p84NDdu.jpg","View")</f>
        <v>View</v>
      </c>
      <c r="V3640" s="8"/>
      <c r="W3640" s="8"/>
      <c r="X3640" s="8"/>
      <c r="Y3640" s="8"/>
      <c r="Z3640" s="8"/>
    </row>
    <row r="3641" spans="1:26" ht="12.75">
      <c r="A3641" s="11">
        <v>43747.14671296296</v>
      </c>
      <c r="B3641" s="12" t="str">
        <f>HYPERLINK("https://twitter.com/ZvonimirBobann","@ZvonimirBobann")</f>
        <v>@ZvonimirBobann</v>
      </c>
      <c r="C3641" s="7" t="s">
        <v>19617</v>
      </c>
      <c r="D3641" s="7" t="s">
        <v>19618</v>
      </c>
      <c r="E3641" s="12" t="str">
        <f>HYPERLINK("https://twitter.com/ZvonimirBobann/status/1181879798819360770","1181879798819360770")</f>
        <v>1181879798819360770</v>
      </c>
      <c r="F3641" s="15"/>
      <c r="G3641" s="7"/>
      <c r="H3641" s="8"/>
      <c r="I3641" s="15">
        <v>0</v>
      </c>
      <c r="J3641" s="15">
        <v>0</v>
      </c>
      <c r="K3641" s="12" t="str">
        <f>HYPERLINK("http://twitter.com/download/android","Twitter for Android")</f>
        <v>Twitter for Android</v>
      </c>
      <c r="L3641" s="16">
        <v>62</v>
      </c>
      <c r="M3641" s="16">
        <v>114</v>
      </c>
      <c r="N3641" s="16">
        <v>0</v>
      </c>
      <c r="O3641" s="17"/>
      <c r="P3641" s="18">
        <v>42499.009305555555</v>
      </c>
      <c r="Q3641" s="7" t="s">
        <v>19619</v>
      </c>
      <c r="R3641" s="7" t="s">
        <v>19620</v>
      </c>
      <c r="S3641" s="15"/>
      <c r="T3641" s="8"/>
      <c r="U3641" s="19" t="str">
        <f>HYPERLINK("https://pbs.twimg.com/profile_images/1061622262787424256/MTG9iBIq.jpg","View")</f>
        <v>View</v>
      </c>
      <c r="V3641" s="8"/>
      <c r="W3641" s="8"/>
      <c r="X3641" s="8"/>
      <c r="Y3641" s="8"/>
      <c r="Z3641" s="8"/>
    </row>
    <row r="3642" spans="1:26" ht="12.75">
      <c r="A3642" s="11">
        <v>43747.146689814814</v>
      </c>
      <c r="B3642" s="12" t="str">
        <f>HYPERLINK("https://twitter.com/vuraltugba7","@vuraltugba7")</f>
        <v>@vuraltugba7</v>
      </c>
      <c r="C3642" s="7" t="s">
        <v>19621</v>
      </c>
      <c r="D3642" s="7" t="s">
        <v>13999</v>
      </c>
      <c r="E3642" s="12" t="str">
        <f>HYPERLINK("https://twitter.com/vuraltugba7/status/1181879788555980802","1181879788555980802")</f>
        <v>1181879788555980802</v>
      </c>
      <c r="F3642" s="8"/>
      <c r="G3642" s="15"/>
      <c r="H3642" s="8"/>
      <c r="I3642" s="15">
        <v>0</v>
      </c>
      <c r="J3642" s="15">
        <v>0</v>
      </c>
      <c r="K3642" s="12" t="str">
        <f>HYPERLINK("http://twitter.com/download/android","Twitter for Android")</f>
        <v>Twitter for Android</v>
      </c>
      <c r="L3642" s="16">
        <v>197</v>
      </c>
      <c r="M3642" s="16">
        <v>141</v>
      </c>
      <c r="N3642" s="16">
        <v>0</v>
      </c>
      <c r="O3642" s="17"/>
      <c r="P3642" s="18">
        <v>42162.085520833338</v>
      </c>
      <c r="Q3642" s="7" t="s">
        <v>19622</v>
      </c>
      <c r="R3642" s="7" t="s">
        <v>19623</v>
      </c>
      <c r="S3642" s="8"/>
      <c r="T3642" s="8"/>
      <c r="U3642" s="19" t="str">
        <f>HYPERLINK("https://pbs.twimg.com/profile_images/1179697796980588544/yuhN-yA6.jpg","View")</f>
        <v>View</v>
      </c>
      <c r="V3642" s="8"/>
      <c r="W3642" s="8"/>
      <c r="X3642" s="8"/>
      <c r="Y3642" s="8"/>
      <c r="Z3642" s="8"/>
    </row>
    <row r="3643" spans="1:26" ht="12.75">
      <c r="A3643" s="11">
        <v>43747.146562499998</v>
      </c>
      <c r="B3643" s="12" t="str">
        <f>HYPERLINK("https://twitter.com/hickimsin","@hickimsin")</f>
        <v>@hickimsin</v>
      </c>
      <c r="C3643" s="7" t="s">
        <v>19624</v>
      </c>
      <c r="D3643" s="7" t="s">
        <v>19625</v>
      </c>
      <c r="E3643" s="12" t="str">
        <f>HYPERLINK("https://twitter.com/hickimsin/status/1181879742775078912","1181879742775078912")</f>
        <v>1181879742775078912</v>
      </c>
      <c r="F3643" s="8"/>
      <c r="G3643" s="14" t="s">
        <v>19626</v>
      </c>
      <c r="H3643" s="8"/>
      <c r="I3643" s="15">
        <v>0</v>
      </c>
      <c r="J3643" s="15">
        <v>1</v>
      </c>
      <c r="K3643" s="12" t="str">
        <f>HYPERLINK("http://twitter.com/download/iphone","Twitter for iPhone")</f>
        <v>Twitter for iPhone</v>
      </c>
      <c r="L3643" s="16">
        <v>15</v>
      </c>
      <c r="M3643" s="16">
        <v>65</v>
      </c>
      <c r="N3643" s="16">
        <v>0</v>
      </c>
      <c r="O3643" s="17"/>
      <c r="P3643" s="18">
        <v>43011.299664351856</v>
      </c>
      <c r="Q3643" s="7"/>
      <c r="R3643" s="7"/>
      <c r="S3643" s="8"/>
      <c r="T3643" s="8"/>
      <c r="U3643" s="19" t="str">
        <f>HYPERLINK("https://pbs.twimg.com/profile_images/1181159132428148737/EmW3atPw.jpg","View")</f>
        <v>View</v>
      </c>
      <c r="V3643" s="8"/>
      <c r="W3643" s="8"/>
      <c r="X3643" s="8"/>
      <c r="Y3643" s="8"/>
      <c r="Z3643" s="8"/>
    </row>
    <row r="3644" spans="1:26" ht="12.75">
      <c r="A3644" s="11">
        <v>43747.146527777775</v>
      </c>
      <c r="B3644" s="12" t="str">
        <f>HYPERLINK("https://twitter.com/Esrakrc61","@Esrakrc61")</f>
        <v>@Esrakrc61</v>
      </c>
      <c r="C3644" s="7" t="s">
        <v>19627</v>
      </c>
      <c r="D3644" s="7" t="s">
        <v>19628</v>
      </c>
      <c r="E3644" s="12" t="str">
        <f>HYPERLINK("https://twitter.com/Esrakrc61/status/1181879730330636288","1181879730330636288")</f>
        <v>1181879730330636288</v>
      </c>
      <c r="F3644" s="8"/>
      <c r="G3644" s="14" t="s">
        <v>19629</v>
      </c>
      <c r="H3644" s="8"/>
      <c r="I3644" s="15">
        <v>0</v>
      </c>
      <c r="J3644" s="15">
        <v>2</v>
      </c>
      <c r="K3644" s="12" t="str">
        <f>HYPERLINK("http://twitter.com/download/iphone","Twitter for iPhone")</f>
        <v>Twitter for iPhone</v>
      </c>
      <c r="L3644" s="16">
        <v>209</v>
      </c>
      <c r="M3644" s="16">
        <v>308</v>
      </c>
      <c r="N3644" s="16">
        <v>1</v>
      </c>
      <c r="O3644" s="17"/>
      <c r="P3644" s="18">
        <v>40278.366863425923</v>
      </c>
      <c r="Q3644" s="7" t="s">
        <v>860</v>
      </c>
      <c r="R3644" s="7" t="s">
        <v>19630</v>
      </c>
      <c r="S3644" s="14" t="s">
        <v>19631</v>
      </c>
      <c r="T3644" s="8"/>
      <c r="U3644" s="19" t="str">
        <f>HYPERLINK("https://pbs.twimg.com/profile_images/1163478321298100229/VzFa1B1s.jpg","View")</f>
        <v>View</v>
      </c>
      <c r="V3644" s="8"/>
      <c r="W3644" s="8"/>
      <c r="X3644" s="8"/>
      <c r="Y3644" s="8"/>
      <c r="Z3644" s="8"/>
    </row>
    <row r="3645" spans="1:26" ht="12.75">
      <c r="A3645" s="11">
        <v>43747.146527777775</v>
      </c>
      <c r="B3645" s="12" t="str">
        <f>HYPERLINK("https://twitter.com/Hatpal1","@Hatpal1")</f>
        <v>@Hatpal1</v>
      </c>
      <c r="C3645" s="7" t="s">
        <v>19632</v>
      </c>
      <c r="D3645" s="7" t="s">
        <v>160</v>
      </c>
      <c r="E3645" s="12" t="str">
        <f>HYPERLINK("https://twitter.com/Hatpal1/status/1181879728116043776","1181879728116043776")</f>
        <v>1181879728116043776</v>
      </c>
      <c r="F3645" s="8"/>
      <c r="G3645" s="15"/>
      <c r="H3645" s="8"/>
      <c r="I3645" s="15">
        <v>0</v>
      </c>
      <c r="J3645" s="15">
        <v>1</v>
      </c>
      <c r="K3645" s="12" t="str">
        <f>HYPERLINK("http://twitter.com/download/android","Twitter for Android")</f>
        <v>Twitter for Android</v>
      </c>
      <c r="L3645" s="16">
        <v>5</v>
      </c>
      <c r="M3645" s="16">
        <v>100</v>
      </c>
      <c r="N3645" s="16">
        <v>0</v>
      </c>
      <c r="O3645" s="17"/>
      <c r="P3645" s="18">
        <v>42855.618391203709</v>
      </c>
      <c r="Q3645" s="7" t="s">
        <v>200</v>
      </c>
      <c r="R3645" s="7" t="s">
        <v>19633</v>
      </c>
      <c r="S3645" s="8"/>
      <c r="T3645" s="8"/>
      <c r="U3645" s="19" t="str">
        <f>HYPERLINK("https://pbs.twimg.com/profile_images/858808752203550720/pmWbghoT.jpg","View")</f>
        <v>View</v>
      </c>
      <c r="V3645" s="8"/>
      <c r="W3645" s="8"/>
      <c r="X3645" s="8"/>
      <c r="Y3645" s="8"/>
      <c r="Z3645" s="8"/>
    </row>
    <row r="3646" spans="1:26" ht="12.75">
      <c r="A3646" s="11">
        <v>43747.146504629629</v>
      </c>
      <c r="B3646" s="12" t="str">
        <f>HYPERLINK("https://twitter.com/arifdurmaz5555","@arifdurmaz5555")</f>
        <v>@arifdurmaz5555</v>
      </c>
      <c r="C3646" s="7" t="s">
        <v>19634</v>
      </c>
      <c r="D3646" s="7" t="s">
        <v>19635</v>
      </c>
      <c r="E3646" s="12" t="str">
        <f>HYPERLINK("https://twitter.com/arifdurmaz5555/status/1181879720914358272","1181879720914358272")</f>
        <v>1181879720914358272</v>
      </c>
      <c r="F3646" s="8"/>
      <c r="G3646" s="14" t="s">
        <v>19636</v>
      </c>
      <c r="H3646" s="8"/>
      <c r="I3646" s="15">
        <v>0</v>
      </c>
      <c r="J3646" s="15">
        <v>0</v>
      </c>
      <c r="K3646" s="12" t="str">
        <f>HYPERLINK("http://twitter.com/download/android","Twitter for Android")</f>
        <v>Twitter for Android</v>
      </c>
      <c r="L3646" s="16">
        <v>363</v>
      </c>
      <c r="M3646" s="16">
        <v>607</v>
      </c>
      <c r="N3646" s="16">
        <v>0</v>
      </c>
      <c r="O3646" s="17"/>
      <c r="P3646" s="18">
        <v>42106.35229166667</v>
      </c>
      <c r="Q3646" s="7"/>
      <c r="R3646" s="7"/>
      <c r="S3646" s="8"/>
      <c r="T3646" s="8"/>
      <c r="U3646" s="19" t="str">
        <f>HYPERLINK("https://pbs.twimg.com/profile_images/1082705353689759746/rpkF0Nxi.jpg","View")</f>
        <v>View</v>
      </c>
      <c r="V3646" s="8"/>
      <c r="W3646" s="8"/>
      <c r="X3646" s="8"/>
      <c r="Y3646" s="8"/>
      <c r="Z3646" s="8"/>
    </row>
    <row r="3647" spans="1:26" ht="12.75">
      <c r="A3647" s="11">
        <v>43747.146423611106</v>
      </c>
      <c r="B3647" s="12" t="str">
        <f>HYPERLINK("https://twitter.com/AlbanFirat","@AlbanFirat")</f>
        <v>@AlbanFirat</v>
      </c>
      <c r="C3647" s="7" t="s">
        <v>19637</v>
      </c>
      <c r="D3647" s="7" t="s">
        <v>160</v>
      </c>
      <c r="E3647" s="12" t="str">
        <f>HYPERLINK("https://twitter.com/AlbanFirat/status/1181879692225368064","1181879692225368064")</f>
        <v>1181879692225368064</v>
      </c>
      <c r="F3647" s="8"/>
      <c r="G3647" s="14" t="s">
        <v>19638</v>
      </c>
      <c r="H3647" s="8"/>
      <c r="I3647" s="15">
        <v>0</v>
      </c>
      <c r="J3647" s="15">
        <v>0</v>
      </c>
      <c r="K3647" s="12" t="str">
        <f>HYPERLINK("http://twitter.com/download/iphone","Twitter for iPhone")</f>
        <v>Twitter for iPhone</v>
      </c>
      <c r="L3647" s="16">
        <v>3</v>
      </c>
      <c r="M3647" s="16">
        <v>81</v>
      </c>
      <c r="N3647" s="16">
        <v>0</v>
      </c>
      <c r="O3647" s="17"/>
      <c r="P3647" s="18">
        <v>43654.125787037032</v>
      </c>
      <c r="Q3647" s="7"/>
      <c r="R3647" s="7" t="s">
        <v>19639</v>
      </c>
      <c r="S3647" s="15"/>
      <c r="T3647" s="8"/>
      <c r="U3647" s="19" t="str">
        <f>HYPERLINK("https://pbs.twimg.com/profile_images/1148173058257096705/qa5EMgxX.jpg","View")</f>
        <v>View</v>
      </c>
      <c r="V3647" s="8"/>
      <c r="W3647" s="8"/>
      <c r="X3647" s="8"/>
      <c r="Y3647" s="8"/>
      <c r="Z3647" s="8"/>
    </row>
    <row r="3648" spans="1:26" ht="12.75">
      <c r="A3648" s="11">
        <v>43747.146261574075</v>
      </c>
      <c r="B3648" s="12" t="str">
        <f>HYPERLINK("https://twitter.com/lavittabella_","@lavittabella_")</f>
        <v>@lavittabella_</v>
      </c>
      <c r="C3648" s="7" t="s">
        <v>19640</v>
      </c>
      <c r="D3648" s="7" t="s">
        <v>19641</v>
      </c>
      <c r="E3648" s="12" t="str">
        <f>HYPERLINK("https://twitter.com/lavittabella_/status/1181879633177960448","1181879633177960448")</f>
        <v>1181879633177960448</v>
      </c>
      <c r="F3648" s="8"/>
      <c r="G3648" s="7"/>
      <c r="H3648" s="8"/>
      <c r="I3648" s="15">
        <v>0</v>
      </c>
      <c r="J3648" s="15">
        <v>0</v>
      </c>
      <c r="K3648" s="12" t="str">
        <f>HYPERLINK("http://twitter.com/download/android","Twitter for Android")</f>
        <v>Twitter for Android</v>
      </c>
      <c r="L3648" s="16">
        <v>439</v>
      </c>
      <c r="M3648" s="16">
        <v>350</v>
      </c>
      <c r="N3648" s="16">
        <v>0</v>
      </c>
      <c r="O3648" s="17"/>
      <c r="P3648" s="18">
        <v>43245.508831018524</v>
      </c>
      <c r="Q3648" s="7" t="s">
        <v>313</v>
      </c>
      <c r="R3648" s="7"/>
      <c r="S3648" s="8"/>
      <c r="T3648" s="8"/>
      <c r="U3648" s="19" t="str">
        <f>HYPERLINK("https://pbs.twimg.com/profile_images/1154124028497600512/w3FoO6lW.jpg","View")</f>
        <v>View</v>
      </c>
      <c r="V3648" s="8"/>
      <c r="W3648" s="8"/>
      <c r="X3648" s="8"/>
      <c r="Y3648" s="8"/>
      <c r="Z3648" s="8"/>
    </row>
    <row r="3649" spans="1:26" ht="12.75">
      <c r="A3649" s="11">
        <v>43747.146238425921</v>
      </c>
      <c r="B3649" s="12" t="str">
        <f>HYPERLINK("https://twitter.com/shifremiunuttum","@shifremiunuttum")</f>
        <v>@shifremiunuttum</v>
      </c>
      <c r="C3649" s="7" t="s">
        <v>19642</v>
      </c>
      <c r="D3649" s="7" t="s">
        <v>19643</v>
      </c>
      <c r="E3649" s="12" t="str">
        <f>HYPERLINK("https://twitter.com/shifremiunuttum/status/1181879623879143425","1181879623879143425")</f>
        <v>1181879623879143425</v>
      </c>
      <c r="F3649" s="8"/>
      <c r="G3649" s="7"/>
      <c r="H3649" s="8"/>
      <c r="I3649" s="15">
        <v>0</v>
      </c>
      <c r="J3649" s="15">
        <v>0</v>
      </c>
      <c r="K3649" s="12" t="str">
        <f>HYPERLINK("https://mobile.twitter.com","Twitter Web App")</f>
        <v>Twitter Web App</v>
      </c>
      <c r="L3649" s="16">
        <v>72</v>
      </c>
      <c r="M3649" s="16">
        <v>195</v>
      </c>
      <c r="N3649" s="16">
        <v>1</v>
      </c>
      <c r="O3649" s="17"/>
      <c r="P3649" s="18">
        <v>42319.988807870366</v>
      </c>
      <c r="Q3649" s="7"/>
      <c r="R3649" s="7" t="s">
        <v>19644</v>
      </c>
      <c r="S3649" s="8"/>
      <c r="T3649" s="8"/>
      <c r="U3649" s="19" t="str">
        <f>HYPERLINK("https://pbs.twimg.com/profile_images/917196877275258881/smar5L0O.jpg","View")</f>
        <v>View</v>
      </c>
      <c r="V3649" s="8"/>
      <c r="W3649" s="8"/>
      <c r="X3649" s="8"/>
      <c r="Y3649" s="8"/>
      <c r="Z3649" s="8"/>
    </row>
    <row r="3650" spans="1:26" ht="12.75">
      <c r="A3650" s="11">
        <v>43747.146145833336</v>
      </c>
      <c r="B3650" s="12" t="str">
        <f>HYPERLINK("https://twitter.com/CetinMuraat","@CetinMuraat")</f>
        <v>@CetinMuraat</v>
      </c>
      <c r="C3650" s="7" t="s">
        <v>19645</v>
      </c>
      <c r="D3650" s="7" t="s">
        <v>19646</v>
      </c>
      <c r="E3650" s="12" t="str">
        <f>HYPERLINK("https://twitter.com/CetinMuraat/status/1181879589448175616","1181879589448175616")</f>
        <v>1181879589448175616</v>
      </c>
      <c r="F3650" s="8"/>
      <c r="G3650" s="14" t="s">
        <v>19647</v>
      </c>
      <c r="H3650" s="8"/>
      <c r="I3650" s="15">
        <v>0</v>
      </c>
      <c r="J3650" s="15">
        <v>1</v>
      </c>
      <c r="K3650" s="12" t="str">
        <f>HYPERLINK("http://twitter.com/download/android","Twitter for Android")</f>
        <v>Twitter for Android</v>
      </c>
      <c r="L3650" s="16">
        <v>45</v>
      </c>
      <c r="M3650" s="16">
        <v>64</v>
      </c>
      <c r="N3650" s="16">
        <v>0</v>
      </c>
      <c r="O3650" s="17"/>
      <c r="P3650" s="18">
        <v>43739.168622685189</v>
      </c>
      <c r="Q3650" s="7" t="s">
        <v>120</v>
      </c>
      <c r="R3650" s="7" t="s">
        <v>19648</v>
      </c>
      <c r="S3650" s="15"/>
      <c r="T3650" s="8"/>
      <c r="U3650" s="19" t="str">
        <f>HYPERLINK("https://pbs.twimg.com/profile_images/1180249548448419841/c2zR6KS9.jpg","View")</f>
        <v>View</v>
      </c>
      <c r="V3650" s="8"/>
      <c r="W3650" s="8"/>
      <c r="X3650" s="8"/>
      <c r="Y3650" s="8"/>
      <c r="Z3650" s="8"/>
    </row>
    <row r="3651" spans="1:26" ht="12.75">
      <c r="A3651" s="11">
        <v>43747.146122685182</v>
      </c>
      <c r="B3651" s="12" t="str">
        <f>HYPERLINK("https://twitter.com/MuhammetkKaplan","@MuhammetkKaplan")</f>
        <v>@MuhammetkKaplan</v>
      </c>
      <c r="C3651" s="7" t="s">
        <v>19649</v>
      </c>
      <c r="D3651" s="7" t="s">
        <v>19650</v>
      </c>
      <c r="E3651" s="12" t="str">
        <f>HYPERLINK("https://twitter.com/MuhammetkKaplan/status/1181879583366356994","1181879583366356994")</f>
        <v>1181879583366356994</v>
      </c>
      <c r="F3651" s="14" t="s">
        <v>19651</v>
      </c>
      <c r="G3651" s="15"/>
      <c r="H3651" s="8"/>
      <c r="I3651" s="15">
        <v>0</v>
      </c>
      <c r="J3651" s="15">
        <v>2</v>
      </c>
      <c r="K3651" s="12" t="str">
        <f>HYPERLINK("https://mobile.twitter.com","Twitter Web App")</f>
        <v>Twitter Web App</v>
      </c>
      <c r="L3651" s="16">
        <v>1194</v>
      </c>
      <c r="M3651" s="16">
        <v>1408</v>
      </c>
      <c r="N3651" s="16">
        <v>0</v>
      </c>
      <c r="O3651" s="17"/>
      <c r="P3651" s="18">
        <v>43135.103148148148</v>
      </c>
      <c r="Q3651" s="7"/>
      <c r="R3651" s="7" t="s">
        <v>19652</v>
      </c>
      <c r="S3651" s="14" t="s">
        <v>19653</v>
      </c>
      <c r="T3651" s="8"/>
      <c r="U3651" s="19" t="str">
        <f>HYPERLINK("https://pbs.twimg.com/profile_images/1175413912952553472/ZyvhhYxc.jpg","View")</f>
        <v>View</v>
      </c>
      <c r="V3651" s="8"/>
      <c r="W3651" s="8"/>
      <c r="X3651" s="8"/>
      <c r="Y3651" s="8"/>
      <c r="Z3651" s="8"/>
    </row>
    <row r="3652" spans="1:26" ht="12.75">
      <c r="A3652" s="11">
        <v>43747.146122685182</v>
      </c>
      <c r="B3652" s="12" t="str">
        <f>HYPERLINK("https://twitter.com/serifloytt","@serifloytt")</f>
        <v>@serifloytt</v>
      </c>
      <c r="C3652" s="7" t="s">
        <v>19654</v>
      </c>
      <c r="D3652" s="7" t="s">
        <v>19655</v>
      </c>
      <c r="E3652" s="12" t="str">
        <f>HYPERLINK("https://twitter.com/serifloytt/status/1181879581424439301","1181879581424439301")</f>
        <v>1181879581424439301</v>
      </c>
      <c r="F3652" s="8"/>
      <c r="G3652" s="7"/>
      <c r="H3652" s="8"/>
      <c r="I3652" s="15">
        <v>0</v>
      </c>
      <c r="J3652" s="15">
        <v>0</v>
      </c>
      <c r="K3652" s="12" t="str">
        <f>HYPERLINK("http://twitter.com/download/iphone","Twitter for iPhone")</f>
        <v>Twitter for iPhone</v>
      </c>
      <c r="L3652" s="16">
        <v>113</v>
      </c>
      <c r="M3652" s="16">
        <v>386</v>
      </c>
      <c r="N3652" s="16">
        <v>2</v>
      </c>
      <c r="O3652" s="17"/>
      <c r="P3652" s="18">
        <v>40559.349143518521</v>
      </c>
      <c r="Q3652" s="7" t="s">
        <v>19656</v>
      </c>
      <c r="R3652" s="7"/>
      <c r="S3652" s="8"/>
      <c r="T3652" s="8"/>
      <c r="U3652" s="19" t="str">
        <f>HYPERLINK("https://pbs.twimg.com/profile_images/1160202291108032516/mLSY3LZo.jpg","View")</f>
        <v>View</v>
      </c>
      <c r="V3652" s="8"/>
      <c r="W3652" s="8"/>
      <c r="X3652" s="8"/>
      <c r="Y3652" s="8"/>
      <c r="Z3652" s="8"/>
    </row>
    <row r="3653" spans="1:26" ht="12.75">
      <c r="A3653" s="11">
        <v>43747.146111111113</v>
      </c>
      <c r="B3653" s="12" t="str">
        <f>HYPERLINK("https://twitter.com/Esistgro","@Esistgro")</f>
        <v>@Esistgro</v>
      </c>
      <c r="C3653" s="7" t="s">
        <v>19657</v>
      </c>
      <c r="D3653" s="7" t="s">
        <v>160</v>
      </c>
      <c r="E3653" s="12" t="str">
        <f>HYPERLINK("https://twitter.com/Esistgro/status/1181879580635914241","1181879580635914241")</f>
        <v>1181879580635914241</v>
      </c>
      <c r="F3653" s="14" t="s">
        <v>19658</v>
      </c>
      <c r="G3653" s="15"/>
      <c r="H3653" s="8"/>
      <c r="I3653" s="15">
        <v>0</v>
      </c>
      <c r="J3653" s="15">
        <v>0</v>
      </c>
      <c r="K3653" s="12" t="str">
        <f>HYPERLINK("http://twitter.com/download/android","Twitter for Android")</f>
        <v>Twitter for Android</v>
      </c>
      <c r="L3653" s="16">
        <v>32</v>
      </c>
      <c r="M3653" s="16">
        <v>52</v>
      </c>
      <c r="N3653" s="16">
        <v>0</v>
      </c>
      <c r="O3653" s="17"/>
      <c r="P3653" s="18">
        <v>42772.526192129633</v>
      </c>
      <c r="Q3653" s="7" t="s">
        <v>19659</v>
      </c>
      <c r="R3653" s="7" t="s">
        <v>19660</v>
      </c>
      <c r="S3653" s="14" t="s">
        <v>19661</v>
      </c>
      <c r="T3653" s="8"/>
      <c r="U3653" s="19" t="str">
        <f>HYPERLINK("https://pbs.twimg.com/profile_images/884029381215236097/kK4jWQQ6.jpg","View")</f>
        <v>View</v>
      </c>
      <c r="V3653" s="8"/>
      <c r="W3653" s="8"/>
      <c r="X3653" s="8"/>
      <c r="Y3653" s="8"/>
      <c r="Z3653" s="8"/>
    </row>
    <row r="3654" spans="1:26" ht="12.75">
      <c r="A3654" s="11">
        <v>43747.146053240736</v>
      </c>
      <c r="B3654" s="12" t="str">
        <f>HYPERLINK("https://twitter.com/Brousah","@Brousah")</f>
        <v>@Brousah</v>
      </c>
      <c r="C3654" s="7" t="s">
        <v>19662</v>
      </c>
      <c r="D3654" s="7" t="s">
        <v>19663</v>
      </c>
      <c r="E3654" s="12" t="str">
        <f>HYPERLINK("https://twitter.com/Brousah/status/1181879558276038662","1181879558276038662")</f>
        <v>1181879558276038662</v>
      </c>
      <c r="F3654" s="8"/>
      <c r="G3654" s="15"/>
      <c r="H3654" s="8"/>
      <c r="I3654" s="15">
        <v>0</v>
      </c>
      <c r="J3654" s="15">
        <v>0</v>
      </c>
      <c r="K3654" s="12" t="str">
        <f>HYPERLINK("http://twitter.com/download/android","Twitter for Android")</f>
        <v>Twitter for Android</v>
      </c>
      <c r="L3654" s="16">
        <v>1</v>
      </c>
      <c r="M3654" s="16">
        <v>110</v>
      </c>
      <c r="N3654" s="16">
        <v>0</v>
      </c>
      <c r="O3654" s="17"/>
      <c r="P3654" s="18">
        <v>43186.613969907412</v>
      </c>
      <c r="Q3654" s="7" t="s">
        <v>19664</v>
      </c>
      <c r="R3654" s="7" t="s">
        <v>19665</v>
      </c>
      <c r="S3654" s="15"/>
      <c r="T3654" s="8"/>
      <c r="U3654" s="19" t="str">
        <f>HYPERLINK("https://pbs.twimg.com/profile_images/978752314419875841/CPcnyEtQ.jpg","View")</f>
        <v>View</v>
      </c>
      <c r="V3654" s="8"/>
      <c r="W3654" s="8"/>
      <c r="X3654" s="8"/>
      <c r="Y3654" s="8"/>
      <c r="Z3654" s="8"/>
    </row>
    <row r="3655" spans="1:26" ht="12.75">
      <c r="A3655" s="11">
        <v>43747.146030092597</v>
      </c>
      <c r="B3655" s="12" t="str">
        <f>HYPERLINK("https://twitter.com/artuvanerdem","@artuvanerdem")</f>
        <v>@artuvanerdem</v>
      </c>
      <c r="C3655" s="7" t="s">
        <v>19666</v>
      </c>
      <c r="D3655" s="7" t="s">
        <v>19667</v>
      </c>
      <c r="E3655" s="12" t="str">
        <f>HYPERLINK("https://twitter.com/artuvanerdem/status/1181879548683702272","1181879548683702272")</f>
        <v>1181879548683702272</v>
      </c>
      <c r="F3655" s="14" t="s">
        <v>19668</v>
      </c>
      <c r="G3655" s="14" t="s">
        <v>19669</v>
      </c>
      <c r="H3655" s="8"/>
      <c r="I3655" s="15">
        <v>0</v>
      </c>
      <c r="J3655" s="15">
        <v>0</v>
      </c>
      <c r="K3655" s="12" t="str">
        <f>HYPERLINK("https://mobile.twitter.com","Twitter Web App")</f>
        <v>Twitter Web App</v>
      </c>
      <c r="L3655" s="16">
        <v>1182</v>
      </c>
      <c r="M3655" s="16">
        <v>1397</v>
      </c>
      <c r="N3655" s="16">
        <v>0</v>
      </c>
      <c r="O3655" s="17"/>
      <c r="P3655" s="18">
        <v>42571.42668981482</v>
      </c>
      <c r="Q3655" s="7"/>
      <c r="R3655" s="7" t="s">
        <v>19670</v>
      </c>
      <c r="S3655" s="14" t="s">
        <v>19671</v>
      </c>
      <c r="T3655" s="8"/>
      <c r="U3655" s="19" t="str">
        <f>HYPERLINK("https://pbs.twimg.com/profile_images/1159732786313474049/irJerpmi.jpg","View")</f>
        <v>View</v>
      </c>
      <c r="V3655" s="8"/>
      <c r="W3655" s="8"/>
      <c r="X3655" s="8"/>
      <c r="Y3655" s="8"/>
      <c r="Z3655" s="8"/>
    </row>
    <row r="3656" spans="1:26" ht="12.75">
      <c r="A3656" s="11">
        <v>43747.146018518513</v>
      </c>
      <c r="B3656" s="12" t="str">
        <f>HYPERLINK("https://twitter.com/sairamon","@sairamon")</f>
        <v>@sairamon</v>
      </c>
      <c r="C3656" s="7" t="s">
        <v>19672</v>
      </c>
      <c r="D3656" s="7" t="s">
        <v>19673</v>
      </c>
      <c r="E3656" s="12" t="str">
        <f>HYPERLINK("https://twitter.com/sairamon/status/1181879546863333376","1181879546863333376")</f>
        <v>1181879546863333376</v>
      </c>
      <c r="F3656" s="14" t="s">
        <v>19674</v>
      </c>
      <c r="G3656" s="7"/>
      <c r="H3656" s="8"/>
      <c r="I3656" s="15">
        <v>0</v>
      </c>
      <c r="J3656" s="15">
        <v>1</v>
      </c>
      <c r="K3656" s="12" t="str">
        <f>HYPERLINK("http://twitter.com/download/android","Twitter for Android")</f>
        <v>Twitter for Android</v>
      </c>
      <c r="L3656" s="16">
        <v>76</v>
      </c>
      <c r="M3656" s="16">
        <v>22</v>
      </c>
      <c r="N3656" s="16">
        <v>0</v>
      </c>
      <c r="O3656" s="17"/>
      <c r="P3656" s="18">
        <v>43264.614282407405</v>
      </c>
      <c r="Q3656" s="7" t="s">
        <v>19675</v>
      </c>
      <c r="R3656" s="7" t="s">
        <v>19676</v>
      </c>
      <c r="S3656" s="15"/>
      <c r="T3656" s="8"/>
      <c r="U3656" s="19" t="str">
        <f>HYPERLINK("https://pbs.twimg.com/profile_images/1007183438695321600/zB9ku5hQ.jpg","View")</f>
        <v>View</v>
      </c>
      <c r="V3656" s="8"/>
      <c r="W3656" s="8"/>
      <c r="X3656" s="8"/>
      <c r="Y3656" s="8"/>
      <c r="Z3656" s="8"/>
    </row>
    <row r="3657" spans="1:26" ht="12.75">
      <c r="A3657" s="11">
        <v>43747.145949074074</v>
      </c>
      <c r="B3657" s="12" t="str">
        <f>HYPERLINK("https://twitter.com/abondanziya","@abondanziya")</f>
        <v>@abondanziya</v>
      </c>
      <c r="C3657" s="7" t="s">
        <v>19677</v>
      </c>
      <c r="D3657" s="7" t="s">
        <v>19678</v>
      </c>
      <c r="E3657" s="12" t="str">
        <f>HYPERLINK("https://twitter.com/abondanziya/status/1181879519252291584","1181879519252291584")</f>
        <v>1181879519252291584</v>
      </c>
      <c r="F3657" s="8"/>
      <c r="G3657" s="15"/>
      <c r="H3657" s="8"/>
      <c r="I3657" s="15">
        <v>0</v>
      </c>
      <c r="J3657" s="15">
        <v>0</v>
      </c>
      <c r="K3657" s="12" t="str">
        <f>HYPERLINK("http://twitter.com/download/android","Twitter for Android")</f>
        <v>Twitter for Android</v>
      </c>
      <c r="L3657" s="16">
        <v>27</v>
      </c>
      <c r="M3657" s="16">
        <v>165</v>
      </c>
      <c r="N3657" s="16">
        <v>0</v>
      </c>
      <c r="O3657" s="17"/>
      <c r="P3657" s="18">
        <v>42882.243981481486</v>
      </c>
      <c r="Q3657" s="7"/>
      <c r="R3657" s="7" t="s">
        <v>19679</v>
      </c>
      <c r="S3657" s="15"/>
      <c r="T3657" s="8"/>
      <c r="U3657" s="19" t="str">
        <f>HYPERLINK("https://pbs.twimg.com/profile_images/1128861896797503489/7Fbf15X0.jpg","View")</f>
        <v>View</v>
      </c>
      <c r="V3657" s="8"/>
      <c r="W3657" s="8"/>
      <c r="X3657" s="8"/>
      <c r="Y3657" s="8"/>
      <c r="Z3657" s="8"/>
    </row>
    <row r="3658" spans="1:26" ht="12.75">
      <c r="A3658" s="11">
        <v>43747.145902777775</v>
      </c>
      <c r="B3658" s="12" t="str">
        <f>HYPERLINK("https://twitter.com/Arslan__","@Arslan__")</f>
        <v>@Arslan__</v>
      </c>
      <c r="C3658" s="7" t="s">
        <v>19680</v>
      </c>
      <c r="D3658" s="7" t="s">
        <v>19681</v>
      </c>
      <c r="E3658" s="12" t="str">
        <f>HYPERLINK("https://twitter.com/Arslan__/status/1181879505163620352","1181879505163620352")</f>
        <v>1181879505163620352</v>
      </c>
      <c r="F3658" s="14" t="s">
        <v>19682</v>
      </c>
      <c r="G3658" s="14" t="s">
        <v>19683</v>
      </c>
      <c r="H3658" s="8"/>
      <c r="I3658" s="15">
        <v>0</v>
      </c>
      <c r="J3658" s="15">
        <v>0</v>
      </c>
      <c r="K3658" s="12" t="str">
        <f>HYPERLINK("http://twitter.com/download/iphone","Twitter for iPhone")</f>
        <v>Twitter for iPhone</v>
      </c>
      <c r="L3658" s="16">
        <v>321</v>
      </c>
      <c r="M3658" s="16">
        <v>433</v>
      </c>
      <c r="N3658" s="16">
        <v>2</v>
      </c>
      <c r="O3658" s="17"/>
      <c r="P3658" s="18">
        <v>40163.37877314815</v>
      </c>
      <c r="Q3658" s="7" t="s">
        <v>1150</v>
      </c>
      <c r="R3658" s="7" t="s">
        <v>19684</v>
      </c>
      <c r="S3658" s="8"/>
      <c r="T3658" s="8"/>
      <c r="U3658" s="19" t="str">
        <f>HYPERLINK("https://pbs.twimg.com/profile_images/1174249926865408000/looRKRtC.jpg","View")</f>
        <v>View</v>
      </c>
      <c r="V3658" s="8"/>
      <c r="W3658" s="8"/>
      <c r="X3658" s="8"/>
      <c r="Y3658" s="8"/>
      <c r="Z3658" s="8"/>
    </row>
    <row r="3659" spans="1:26" ht="12.75">
      <c r="A3659" s="11">
        <v>43747.145902777775</v>
      </c>
      <c r="B3659" s="12" t="str">
        <f>HYPERLINK("https://twitter.com/cnsabanci","@cnsabanci")</f>
        <v>@cnsabanci</v>
      </c>
      <c r="C3659" s="7" t="s">
        <v>19685</v>
      </c>
      <c r="D3659" s="7" t="s">
        <v>19686</v>
      </c>
      <c r="E3659" s="12" t="str">
        <f>HYPERLINK("https://twitter.com/cnsabanci/status/1181879503070662656","1181879503070662656")</f>
        <v>1181879503070662656</v>
      </c>
      <c r="F3659" s="8"/>
      <c r="G3659" s="14" t="s">
        <v>19687</v>
      </c>
      <c r="H3659" s="8"/>
      <c r="I3659" s="15">
        <v>0</v>
      </c>
      <c r="J3659" s="15">
        <v>0</v>
      </c>
      <c r="K3659" s="12" t="str">
        <f>HYPERLINK("https://mobile.twitter.com","Twitter Web App")</f>
        <v>Twitter Web App</v>
      </c>
      <c r="L3659" s="16">
        <v>78</v>
      </c>
      <c r="M3659" s="16">
        <v>282</v>
      </c>
      <c r="N3659" s="16">
        <v>0</v>
      </c>
      <c r="O3659" s="17"/>
      <c r="P3659" s="18">
        <v>43597.146006944444</v>
      </c>
      <c r="Q3659" s="7" t="s">
        <v>19599</v>
      </c>
      <c r="R3659" s="7" t="s">
        <v>2563</v>
      </c>
      <c r="S3659" s="8"/>
      <c r="T3659" s="8"/>
      <c r="U3659" s="19" t="str">
        <f>HYPERLINK("https://pbs.twimg.com/profile_images/1181273646310014977/KNIbqAje.jpg","View")</f>
        <v>View</v>
      </c>
      <c r="V3659" s="8"/>
      <c r="W3659" s="8"/>
      <c r="X3659" s="8"/>
      <c r="Y3659" s="8"/>
      <c r="Z3659" s="8"/>
    </row>
    <row r="3660" spans="1:26" ht="12.75">
      <c r="A3660" s="11">
        <v>43747.145856481482</v>
      </c>
      <c r="B3660" s="12" t="str">
        <f>HYPERLINK("https://twitter.com/kuyrukluaa","@kuyrukluaa")</f>
        <v>@kuyrukluaa</v>
      </c>
      <c r="C3660" s="7" t="s">
        <v>19688</v>
      </c>
      <c r="D3660" s="7" t="s">
        <v>19689</v>
      </c>
      <c r="E3660" s="12" t="str">
        <f>HYPERLINK("https://twitter.com/kuyrukluaa/status/1181879487593697281","1181879487593697281")</f>
        <v>1181879487593697281</v>
      </c>
      <c r="F3660" s="8"/>
      <c r="G3660" s="15"/>
      <c r="H3660" s="8"/>
      <c r="I3660" s="15">
        <v>0</v>
      </c>
      <c r="J3660" s="15">
        <v>0</v>
      </c>
      <c r="K3660" s="12" t="str">
        <f>HYPERLINK("http://twitter.com/download/android","Twitter for Android")</f>
        <v>Twitter for Android</v>
      </c>
      <c r="L3660" s="16">
        <v>35</v>
      </c>
      <c r="M3660" s="16">
        <v>47</v>
      </c>
      <c r="N3660" s="16">
        <v>1</v>
      </c>
      <c r="O3660" s="17"/>
      <c r="P3660" s="18">
        <v>42011.52449074074</v>
      </c>
      <c r="Q3660" s="7"/>
      <c r="R3660" s="7"/>
      <c r="S3660" s="8"/>
      <c r="T3660" s="8"/>
      <c r="U3660" s="19" t="str">
        <f>HYPERLINK("https://pbs.twimg.com/profile_images/1061967819439570950/Snsk2nfr.jpg","View")</f>
        <v>View</v>
      </c>
      <c r="V3660" s="8"/>
      <c r="W3660" s="8"/>
      <c r="X3660" s="8"/>
      <c r="Y3660" s="8"/>
      <c r="Z3660" s="8"/>
    </row>
    <row r="3661" spans="1:26" ht="12.75">
      <c r="A3661" s="11">
        <v>43747.145810185189</v>
      </c>
      <c r="B3661" s="12" t="str">
        <f>HYPERLINK("https://twitter.com/DogruAbdulkadir","@DogruAbdulkadir")</f>
        <v>@DogruAbdulkadir</v>
      </c>
      <c r="C3661" s="7" t="s">
        <v>19690</v>
      </c>
      <c r="D3661" s="7" t="s">
        <v>19691</v>
      </c>
      <c r="E3661" s="12" t="str">
        <f>HYPERLINK("https://twitter.com/DogruAbdulkadir/status/1181879469847564291","1181879469847564291")</f>
        <v>1181879469847564291</v>
      </c>
      <c r="F3661" s="8"/>
      <c r="G3661" s="15"/>
      <c r="H3661" s="8"/>
      <c r="I3661" s="15">
        <v>0</v>
      </c>
      <c r="J3661" s="15">
        <v>0</v>
      </c>
      <c r="K3661" s="12" t="str">
        <f>HYPERLINK("https://mobile.twitter.com","Twitter Web App")</f>
        <v>Twitter Web App</v>
      </c>
      <c r="L3661" s="16">
        <v>0</v>
      </c>
      <c r="M3661" s="16">
        <v>28</v>
      </c>
      <c r="N3661" s="16">
        <v>0</v>
      </c>
      <c r="O3661" s="17"/>
      <c r="P3661" s="18">
        <v>43570.526874999996</v>
      </c>
      <c r="Q3661" s="7"/>
      <c r="R3661" s="7"/>
      <c r="S3661" s="8"/>
      <c r="T3661" s="8"/>
      <c r="U3661" s="20" t="s">
        <v>354</v>
      </c>
      <c r="V3661" s="8"/>
      <c r="W3661" s="8"/>
      <c r="X3661" s="8"/>
      <c r="Y3661" s="8"/>
      <c r="Z3661" s="8"/>
    </row>
    <row r="3662" spans="1:26" ht="12.75">
      <c r="A3662" s="11">
        <v>43747.145752314813</v>
      </c>
      <c r="B3662" s="12" t="str">
        <f>HYPERLINK("https://twitter.com/Emrah1705","@Emrah1705")</f>
        <v>@Emrah1705</v>
      </c>
      <c r="C3662" s="13" t="s">
        <v>18635</v>
      </c>
      <c r="D3662" s="7" t="s">
        <v>19692</v>
      </c>
      <c r="E3662" s="12" t="str">
        <f>HYPERLINK("https://twitter.com/Emrah1705/status/1181879449492627457","1181879449492627457")</f>
        <v>1181879449492627457</v>
      </c>
      <c r="F3662" s="15"/>
      <c r="G3662" s="7"/>
      <c r="H3662" s="8"/>
      <c r="I3662" s="15">
        <v>0</v>
      </c>
      <c r="J3662" s="15">
        <v>0</v>
      </c>
      <c r="K3662" s="12" t="str">
        <f>HYPERLINK("http://twitter.com/download/iphone","Twitter for iPhone")</f>
        <v>Twitter for iPhone</v>
      </c>
      <c r="L3662" s="16">
        <v>100</v>
      </c>
      <c r="M3662" s="16">
        <v>717</v>
      </c>
      <c r="N3662" s="16">
        <v>1</v>
      </c>
      <c r="O3662" s="17"/>
      <c r="P3662" s="18">
        <v>40222.581828703704</v>
      </c>
      <c r="Q3662" s="7" t="s">
        <v>860</v>
      </c>
      <c r="R3662" s="13"/>
      <c r="S3662" s="8"/>
      <c r="T3662" s="8"/>
      <c r="U3662" s="19" t="str">
        <f>HYPERLINK("https://pbs.twimg.com/profile_images/1170698989617983488/WVJdbPP6.jpg","View")</f>
        <v>View</v>
      </c>
      <c r="V3662" s="8"/>
      <c r="W3662" s="8"/>
      <c r="X3662" s="8"/>
      <c r="Y3662" s="8"/>
      <c r="Z3662" s="8"/>
    </row>
    <row r="3663" spans="1:26" ht="12.75">
      <c r="A3663" s="11">
        <v>43747.145752314813</v>
      </c>
      <c r="B3663" s="12" t="str">
        <f>HYPERLINK("https://twitter.com/mhmtnsyksl","@mhmtnsyksl")</f>
        <v>@mhmtnsyksl</v>
      </c>
      <c r="C3663" s="7" t="s">
        <v>19693</v>
      </c>
      <c r="D3663" s="7" t="s">
        <v>160</v>
      </c>
      <c r="E3663" s="12" t="str">
        <f>HYPERLINK("https://twitter.com/mhmtnsyksl/status/1181879446695022593","1181879446695022593")</f>
        <v>1181879446695022593</v>
      </c>
      <c r="F3663" s="8"/>
      <c r="G3663" s="15"/>
      <c r="H3663" s="8"/>
      <c r="I3663" s="15">
        <v>0</v>
      </c>
      <c r="J3663" s="15">
        <v>0</v>
      </c>
      <c r="K3663" s="12" t="str">
        <f>HYPERLINK("http://twitter.com/download/iphone","Twitter for iPhone")</f>
        <v>Twitter for iPhone</v>
      </c>
      <c r="L3663" s="16">
        <v>0</v>
      </c>
      <c r="M3663" s="16">
        <v>4</v>
      </c>
      <c r="N3663" s="16">
        <v>0</v>
      </c>
      <c r="O3663" s="17"/>
      <c r="P3663" s="18">
        <v>43574.467488425929</v>
      </c>
      <c r="Q3663" s="7"/>
      <c r="R3663" s="7" t="s">
        <v>19694</v>
      </c>
      <c r="S3663" s="15"/>
      <c r="T3663" s="8"/>
      <c r="U3663" s="19" t="str">
        <f>HYPERLINK("https://pbs.twimg.com/profile_images/1119303096457412610/kZpZPYi_.jpg","View")</f>
        <v>View</v>
      </c>
      <c r="V3663" s="8"/>
      <c r="W3663" s="8"/>
      <c r="X3663" s="8"/>
      <c r="Y3663" s="8"/>
      <c r="Z3663" s="8"/>
    </row>
    <row r="3664" spans="1:26" ht="12.75">
      <c r="A3664" s="11">
        <v>43747.145729166667</v>
      </c>
      <c r="B3664" s="12" t="str">
        <f>HYPERLINK("https://twitter.com/KaanDuyan7","@KaanDuyan7")</f>
        <v>@KaanDuyan7</v>
      </c>
      <c r="C3664" s="7" t="s">
        <v>19695</v>
      </c>
      <c r="D3664" s="7" t="s">
        <v>19696</v>
      </c>
      <c r="E3664" s="12" t="str">
        <f>HYPERLINK("https://twitter.com/KaanDuyan7/status/1181879439564705797","1181879439564705797")</f>
        <v>1181879439564705797</v>
      </c>
      <c r="F3664" s="8"/>
      <c r="G3664" s="14" t="s">
        <v>19697</v>
      </c>
      <c r="H3664" s="8"/>
      <c r="I3664" s="15">
        <v>0</v>
      </c>
      <c r="J3664" s="15">
        <v>1</v>
      </c>
      <c r="K3664" s="12" t="str">
        <f>HYPERLINK("http://twitter.com/download/android","Twitter for Android")</f>
        <v>Twitter for Android</v>
      </c>
      <c r="L3664" s="16">
        <v>11</v>
      </c>
      <c r="M3664" s="16">
        <v>50</v>
      </c>
      <c r="N3664" s="16">
        <v>0</v>
      </c>
      <c r="O3664" s="17"/>
      <c r="P3664" s="18">
        <v>43589.438368055555</v>
      </c>
      <c r="Q3664" s="7"/>
      <c r="R3664" s="7" t="s">
        <v>19698</v>
      </c>
      <c r="S3664" s="15"/>
      <c r="T3664" s="8"/>
      <c r="U3664" s="19" t="str">
        <f>HYPERLINK("https://pbs.twimg.com/profile_images/1132740519820443650/L7j-9Fow.jpg","View")</f>
        <v>View</v>
      </c>
      <c r="V3664" s="8"/>
      <c r="W3664" s="8"/>
      <c r="X3664" s="8"/>
      <c r="Y3664" s="8"/>
      <c r="Z3664" s="8"/>
    </row>
    <row r="3665" spans="1:26" ht="12.75">
      <c r="A3665" s="11">
        <v>43747.14571759259</v>
      </c>
      <c r="B3665" s="12" t="str">
        <f>HYPERLINK("https://twitter.com/CanSIVRI93","@CanSIVRI93")</f>
        <v>@CanSIVRI93</v>
      </c>
      <c r="C3665" s="7" t="s">
        <v>19699</v>
      </c>
      <c r="D3665" s="7" t="s">
        <v>19700</v>
      </c>
      <c r="E3665" s="12" t="str">
        <f>HYPERLINK("https://twitter.com/CanSIVRI93/status/1181879436532162560","1181879436532162560")</f>
        <v>1181879436532162560</v>
      </c>
      <c r="F3665" s="8"/>
      <c r="G3665" s="14" t="s">
        <v>19701</v>
      </c>
      <c r="H3665" s="8"/>
      <c r="I3665" s="15">
        <v>0</v>
      </c>
      <c r="J3665" s="15">
        <v>1</v>
      </c>
      <c r="K3665" s="12" t="str">
        <f>HYPERLINK("http://twitter.com/download/android","Twitter for Android")</f>
        <v>Twitter for Android</v>
      </c>
      <c r="L3665" s="16">
        <v>17</v>
      </c>
      <c r="M3665" s="16">
        <v>81</v>
      </c>
      <c r="N3665" s="16">
        <v>0</v>
      </c>
      <c r="O3665" s="17"/>
      <c r="P3665" s="18">
        <v>42666.092789351853</v>
      </c>
      <c r="Q3665" s="7" t="s">
        <v>313</v>
      </c>
      <c r="R3665" s="7" t="s">
        <v>19702</v>
      </c>
      <c r="S3665" s="8"/>
      <c r="T3665" s="8"/>
      <c r="U3665" s="19" t="str">
        <f>HYPERLINK("https://pbs.twimg.com/profile_images/1032584784931966976/IGkSAVQu.jpg","View")</f>
        <v>View</v>
      </c>
      <c r="V3665" s="8"/>
      <c r="W3665" s="8"/>
      <c r="X3665" s="8"/>
      <c r="Y3665" s="8"/>
      <c r="Z3665" s="8"/>
    </row>
    <row r="3666" spans="1:26" ht="12.75">
      <c r="A3666" s="11">
        <v>43747.145509259259</v>
      </c>
      <c r="B3666" s="12" t="str">
        <f>HYPERLINK("https://twitter.com/ydyalcindonmez","@ydyalcindonmez")</f>
        <v>@ydyalcindonmez</v>
      </c>
      <c r="C3666" s="7" t="s">
        <v>19703</v>
      </c>
      <c r="D3666" s="7" t="s">
        <v>19704</v>
      </c>
      <c r="E3666" s="12" t="str">
        <f>HYPERLINK("https://twitter.com/ydyalcindonmez/status/1181879362150383616","1181879362150383616")</f>
        <v>1181879362150383616</v>
      </c>
      <c r="F3666" s="14" t="s">
        <v>19705</v>
      </c>
      <c r="G3666" s="14" t="s">
        <v>19706</v>
      </c>
      <c r="H3666" s="8"/>
      <c r="I3666" s="15">
        <v>0</v>
      </c>
      <c r="J3666" s="15">
        <v>1</v>
      </c>
      <c r="K3666" s="12" t="str">
        <f>HYPERLINK("https://mobile.twitter.com","Twitter Web App")</f>
        <v>Twitter Web App</v>
      </c>
      <c r="L3666" s="16">
        <v>131</v>
      </c>
      <c r="M3666" s="16">
        <v>886</v>
      </c>
      <c r="N3666" s="16">
        <v>0</v>
      </c>
      <c r="O3666" s="17"/>
      <c r="P3666" s="18">
        <v>40496.29751157407</v>
      </c>
      <c r="Q3666" s="7"/>
      <c r="R3666" s="7"/>
      <c r="S3666" s="15"/>
      <c r="T3666" s="8"/>
      <c r="U3666" s="19" t="str">
        <f>HYPERLINK("https://pbs.twimg.com/profile_images/378800000672694252/8fb9d9dcdc9313ce3554a4ae4c8ac07f.jpeg","View")</f>
        <v>View</v>
      </c>
      <c r="V3666" s="8"/>
      <c r="W3666" s="8"/>
      <c r="X3666" s="8"/>
      <c r="Y3666" s="8"/>
      <c r="Z3666" s="8"/>
    </row>
    <row r="3667" spans="1:26" ht="12.75">
      <c r="A3667" s="11">
        <v>43747.145509259259</v>
      </c>
      <c r="B3667" s="12" t="str">
        <f>HYPERLINK("https://twitter.com/BilalCimen5","@BilalCimen5")</f>
        <v>@BilalCimen5</v>
      </c>
      <c r="C3667" s="7" t="s">
        <v>19707</v>
      </c>
      <c r="D3667" s="7" t="s">
        <v>19708</v>
      </c>
      <c r="E3667" s="12" t="str">
        <f>HYPERLINK("https://twitter.com/BilalCimen5/status/1181879358849458176","1181879358849458176")</f>
        <v>1181879358849458176</v>
      </c>
      <c r="F3667" s="8"/>
      <c r="G3667" s="15"/>
      <c r="H3667" s="8"/>
      <c r="I3667" s="15">
        <v>0</v>
      </c>
      <c r="J3667" s="15">
        <v>0</v>
      </c>
      <c r="K3667" s="12" t="str">
        <f>HYPERLINK("http://twitter.com/download/android","Twitter for Android")</f>
        <v>Twitter for Android</v>
      </c>
      <c r="L3667" s="16">
        <v>47</v>
      </c>
      <c r="M3667" s="16">
        <v>706</v>
      </c>
      <c r="N3667" s="16">
        <v>0</v>
      </c>
      <c r="O3667" s="17"/>
      <c r="P3667" s="18">
        <v>43047.491724537038</v>
      </c>
      <c r="Q3667" s="7"/>
      <c r="R3667" s="7"/>
      <c r="S3667" s="8"/>
      <c r="T3667" s="8"/>
      <c r="U3667" s="19" t="str">
        <f>HYPERLINK("https://pbs.twimg.com/profile_images/1004349311696687105/unRDGwRM.jpg","View")</f>
        <v>View</v>
      </c>
      <c r="V3667" s="8"/>
      <c r="W3667" s="8"/>
      <c r="X3667" s="8"/>
      <c r="Y3667" s="8"/>
      <c r="Z3667" s="8"/>
    </row>
    <row r="3668" spans="1:26" ht="12.75">
      <c r="A3668" s="11">
        <v>43747.14543981482</v>
      </c>
      <c r="B3668" s="12" t="str">
        <f>HYPERLINK("https://twitter.com/oguzhannvv","@oguzhannvv")</f>
        <v>@oguzhannvv</v>
      </c>
      <c r="C3668" s="7" t="s">
        <v>19709</v>
      </c>
      <c r="D3668" s="7" t="s">
        <v>160</v>
      </c>
      <c r="E3668" s="12" t="str">
        <f>HYPERLINK("https://twitter.com/oguzhannvv/status/1181879335520735232","1181879335520735232")</f>
        <v>1181879335520735232</v>
      </c>
      <c r="F3668" s="8"/>
      <c r="G3668" s="7"/>
      <c r="H3668" s="8"/>
      <c r="I3668" s="15">
        <v>0</v>
      </c>
      <c r="J3668" s="15">
        <v>0</v>
      </c>
      <c r="K3668" s="12" t="str">
        <f>HYPERLINK("http://twitter.com/download/iphone","Twitter for iPhone")</f>
        <v>Twitter for iPhone</v>
      </c>
      <c r="L3668" s="16">
        <v>16</v>
      </c>
      <c r="M3668" s="16">
        <v>27</v>
      </c>
      <c r="N3668" s="16">
        <v>0</v>
      </c>
      <c r="O3668" s="17"/>
      <c r="P3668" s="18">
        <v>43177.134085648147</v>
      </c>
      <c r="Q3668" s="7" t="s">
        <v>2013</v>
      </c>
      <c r="R3668" s="7" t="s">
        <v>19710</v>
      </c>
      <c r="S3668" s="8"/>
      <c r="T3668" s="8"/>
      <c r="U3668" s="19" t="str">
        <f>HYPERLINK("https://pbs.twimg.com/profile_images/1168433847798837248/I1nZ8YV8.jpg","View")</f>
        <v>View</v>
      </c>
      <c r="V3668" s="8"/>
      <c r="W3668" s="8"/>
      <c r="X3668" s="8"/>
      <c r="Y3668" s="8"/>
      <c r="Z3668" s="8"/>
    </row>
    <row r="3669" spans="1:26" ht="12.75">
      <c r="A3669" s="11">
        <v>43747.145381944443</v>
      </c>
      <c r="B3669" s="12" t="str">
        <f>HYPERLINK("https://twitter.com/abrav_ci","@abrav_ci")</f>
        <v>@abrav_ci</v>
      </c>
      <c r="C3669" s="7" t="s">
        <v>19711</v>
      </c>
      <c r="D3669" s="7" t="s">
        <v>19712</v>
      </c>
      <c r="E3669" s="12" t="str">
        <f>HYPERLINK("https://twitter.com/abrav_ci/status/1181879312707915777","1181879312707915777")</f>
        <v>1181879312707915777</v>
      </c>
      <c r="F3669" s="8"/>
      <c r="G3669" s="14" t="s">
        <v>19713</v>
      </c>
      <c r="H3669" s="8"/>
      <c r="I3669" s="15">
        <v>0</v>
      </c>
      <c r="J3669" s="15">
        <v>0</v>
      </c>
      <c r="K3669" s="12" t="str">
        <f>HYPERLINK("http://twitter.com/download/android","Twitter for Android")</f>
        <v>Twitter for Android</v>
      </c>
      <c r="L3669" s="16">
        <v>1986</v>
      </c>
      <c r="M3669" s="16">
        <v>2458</v>
      </c>
      <c r="N3669" s="16">
        <v>2</v>
      </c>
      <c r="O3669" s="17"/>
      <c r="P3669" s="18">
        <v>42827.677812499998</v>
      </c>
      <c r="Q3669" s="7" t="s">
        <v>80</v>
      </c>
      <c r="R3669" s="7" t="s">
        <v>19714</v>
      </c>
      <c r="S3669" s="8"/>
      <c r="T3669" s="8"/>
      <c r="U3669" s="19" t="str">
        <f>HYPERLINK("https://pbs.twimg.com/profile_images/1134186622143139842/soTv1ikn.jpg","View")</f>
        <v>View</v>
      </c>
      <c r="V3669" s="8"/>
      <c r="W3669" s="8"/>
      <c r="X3669" s="8"/>
      <c r="Y3669" s="8"/>
      <c r="Z3669" s="8"/>
    </row>
    <row r="3670" spans="1:26" ht="12.75">
      <c r="A3670" s="11">
        <v>43747.145381944443</v>
      </c>
      <c r="B3670" s="12" t="str">
        <f>HYPERLINK("https://twitter.com/serseri28461488","@serseri28461488")</f>
        <v>@serseri28461488</v>
      </c>
      <c r="C3670" s="7" t="s">
        <v>19715</v>
      </c>
      <c r="D3670" s="7" t="s">
        <v>160</v>
      </c>
      <c r="E3670" s="12" t="str">
        <f>HYPERLINK("https://twitter.com/serseri28461488/status/1181879312481431552","1181879312481431552")</f>
        <v>1181879312481431552</v>
      </c>
      <c r="F3670" s="8"/>
      <c r="G3670" s="14" t="s">
        <v>19716</v>
      </c>
      <c r="H3670" s="8"/>
      <c r="I3670" s="15">
        <v>0</v>
      </c>
      <c r="J3670" s="15">
        <v>0</v>
      </c>
      <c r="K3670" s="12" t="str">
        <f>HYPERLINK("http://twitter.com/download/iphone","Twitter for iPhone")</f>
        <v>Twitter for iPhone</v>
      </c>
      <c r="L3670" s="16">
        <v>1</v>
      </c>
      <c r="M3670" s="16">
        <v>152</v>
      </c>
      <c r="N3670" s="16">
        <v>0</v>
      </c>
      <c r="O3670" s="17"/>
      <c r="P3670" s="18">
        <v>43746.61204861111</v>
      </c>
      <c r="Q3670" s="7"/>
      <c r="R3670" s="7" t="s">
        <v>19717</v>
      </c>
      <c r="S3670" s="8"/>
      <c r="T3670" s="8"/>
      <c r="U3670" s="19" t="str">
        <f>HYPERLINK("https://pbs.twimg.com/profile_images/1181686176899571723/KPDDuwgR.jpg","View")</f>
        <v>View</v>
      </c>
      <c r="V3670" s="8"/>
      <c r="W3670" s="8"/>
      <c r="X3670" s="8"/>
      <c r="Y3670" s="8"/>
      <c r="Z3670" s="8"/>
    </row>
    <row r="3671" spans="1:26" ht="12.75">
      <c r="A3671" s="11">
        <v>43747.145335648151</v>
      </c>
      <c r="B3671" s="12" t="str">
        <f>HYPERLINK("https://twitter.com/ZeynepTebessum","@ZeynepTebessum")</f>
        <v>@ZeynepTebessum</v>
      </c>
      <c r="C3671" s="7" t="s">
        <v>19718</v>
      </c>
      <c r="D3671" s="7" t="s">
        <v>19719</v>
      </c>
      <c r="E3671" s="12" t="str">
        <f>HYPERLINK("https://twitter.com/ZeynepTebessum/status/1181879299734953986","1181879299734953986")</f>
        <v>1181879299734953986</v>
      </c>
      <c r="F3671" s="8"/>
      <c r="G3671" s="14" t="s">
        <v>19720</v>
      </c>
      <c r="H3671" s="8"/>
      <c r="I3671" s="15">
        <v>0</v>
      </c>
      <c r="J3671" s="15">
        <v>0</v>
      </c>
      <c r="K3671" s="12" t="str">
        <f>HYPERLINK("http://twitter.com/download/android","Twitter for Android")</f>
        <v>Twitter for Android</v>
      </c>
      <c r="L3671" s="16">
        <v>206</v>
      </c>
      <c r="M3671" s="16">
        <v>274</v>
      </c>
      <c r="N3671" s="16">
        <v>0</v>
      </c>
      <c r="O3671" s="17"/>
      <c r="P3671" s="18">
        <v>43284.761863425927</v>
      </c>
      <c r="Q3671" s="7"/>
      <c r="R3671" s="7"/>
      <c r="S3671" s="8"/>
      <c r="T3671" s="8"/>
      <c r="U3671" s="19" t="str">
        <f>HYPERLINK("https://pbs.twimg.com/profile_images/1128550863054811136/xc9Rb2Ot.jpg","View")</f>
        <v>View</v>
      </c>
      <c r="V3671" s="8"/>
      <c r="W3671" s="8"/>
      <c r="X3671" s="8"/>
      <c r="Y3671" s="8"/>
      <c r="Z3671" s="8"/>
    </row>
    <row r="3672" spans="1:26" ht="12.75">
      <c r="A3672" s="11">
        <v>43747.145219907412</v>
      </c>
      <c r="B3672" s="12" t="str">
        <f>HYPERLINK("https://twitter.com/Musakan21","@Musakan21")</f>
        <v>@Musakan21</v>
      </c>
      <c r="C3672" s="7" t="s">
        <v>19721</v>
      </c>
      <c r="D3672" s="7" t="s">
        <v>160</v>
      </c>
      <c r="E3672" s="12" t="str">
        <f>HYPERLINK("https://twitter.com/Musakan21/status/1181879255954853888","1181879255954853888")</f>
        <v>1181879255954853888</v>
      </c>
      <c r="F3672" s="8"/>
      <c r="G3672" s="14" t="s">
        <v>19722</v>
      </c>
      <c r="H3672" s="8"/>
      <c r="I3672" s="15">
        <v>0</v>
      </c>
      <c r="J3672" s="15">
        <v>1</v>
      </c>
      <c r="K3672" s="12" t="str">
        <f>HYPERLINK("http://twitter.com/download/android","Twitter for Android")</f>
        <v>Twitter for Android</v>
      </c>
      <c r="L3672" s="16">
        <v>6</v>
      </c>
      <c r="M3672" s="16">
        <v>45</v>
      </c>
      <c r="N3672" s="16">
        <v>0</v>
      </c>
      <c r="O3672" s="17"/>
      <c r="P3672" s="18">
        <v>43398.047256944439</v>
      </c>
      <c r="Q3672" s="7"/>
      <c r="R3672" s="7"/>
      <c r="S3672" s="8"/>
      <c r="T3672" s="8"/>
      <c r="U3672" s="19" t="str">
        <f>HYPERLINK("https://pbs.twimg.com/profile_images/1055372176365416448/hpSuUwKO.jpg","View")</f>
        <v>View</v>
      </c>
      <c r="V3672" s="8"/>
      <c r="W3672" s="8"/>
      <c r="X3672" s="8"/>
      <c r="Y3672" s="8"/>
      <c r="Z3672" s="8"/>
    </row>
    <row r="3673" spans="1:26" ht="12.75">
      <c r="A3673" s="11">
        <v>43747.145185185189</v>
      </c>
      <c r="B3673" s="12" t="str">
        <f>HYPERLINK("https://twitter.com/samialtintas07","@samialtintas07")</f>
        <v>@samialtintas07</v>
      </c>
      <c r="C3673" s="7" t="s">
        <v>19723</v>
      </c>
      <c r="D3673" s="7" t="s">
        <v>3552</v>
      </c>
      <c r="E3673" s="12" t="str">
        <f>HYPERLINK("https://twitter.com/samialtintas07/status/1181879242436628481","1181879242436628481")</f>
        <v>1181879242436628481</v>
      </c>
      <c r="F3673" s="15"/>
      <c r="G3673" s="14" t="s">
        <v>19724</v>
      </c>
      <c r="H3673" s="8"/>
      <c r="I3673" s="15">
        <v>0</v>
      </c>
      <c r="J3673" s="15">
        <v>3</v>
      </c>
      <c r="K3673" s="12" t="str">
        <f>HYPERLINK("http://twitter.com/download/iphone","Twitter for iPhone")</f>
        <v>Twitter for iPhone</v>
      </c>
      <c r="L3673" s="16">
        <v>1045</v>
      </c>
      <c r="M3673" s="16">
        <v>1046</v>
      </c>
      <c r="N3673" s="16">
        <v>0</v>
      </c>
      <c r="O3673" s="17"/>
      <c r="P3673" s="18">
        <v>40697.294861111113</v>
      </c>
      <c r="Q3673" s="7" t="s">
        <v>19725</v>
      </c>
      <c r="R3673" s="7"/>
      <c r="S3673" s="8"/>
      <c r="T3673" s="8"/>
      <c r="U3673" s="19" t="str">
        <f>HYPERLINK("https://pbs.twimg.com/profile_images/1180860020302454784/bZ9XsyGW.jpg","View")</f>
        <v>View</v>
      </c>
      <c r="V3673" s="8"/>
      <c r="W3673" s="8"/>
      <c r="X3673" s="8"/>
      <c r="Y3673" s="8"/>
      <c r="Z3673" s="8"/>
    </row>
    <row r="3674" spans="1:26" ht="12.75">
      <c r="A3674" s="11">
        <v>43747.145162037035</v>
      </c>
      <c r="B3674" s="12" t="str">
        <f>HYPERLINK("https://twitter.com/Elifim341","@Elifim341")</f>
        <v>@Elifim341</v>
      </c>
      <c r="C3674" s="7" t="s">
        <v>13729</v>
      </c>
      <c r="D3674" s="7" t="s">
        <v>19726</v>
      </c>
      <c r="E3674" s="12" t="str">
        <f>HYPERLINK("https://twitter.com/Elifim341/status/1181879233464934400","1181879233464934400")</f>
        <v>1181879233464934400</v>
      </c>
      <c r="F3674" s="8"/>
      <c r="G3674" s="14" t="s">
        <v>19727</v>
      </c>
      <c r="H3674" s="8"/>
      <c r="I3674" s="15">
        <v>6</v>
      </c>
      <c r="J3674" s="15">
        <v>44</v>
      </c>
      <c r="K3674" s="12" t="str">
        <f>HYPERLINK("http://twitter.com/download/android","Twitter for Android")</f>
        <v>Twitter for Android</v>
      </c>
      <c r="L3674" s="16">
        <v>860</v>
      </c>
      <c r="M3674" s="16">
        <v>713</v>
      </c>
      <c r="N3674" s="16">
        <v>2</v>
      </c>
      <c r="O3674" s="17"/>
      <c r="P3674" s="18">
        <v>43526.130879629629</v>
      </c>
      <c r="Q3674" s="7" t="s">
        <v>19728</v>
      </c>
      <c r="R3674" s="7" t="s">
        <v>19729</v>
      </c>
      <c r="S3674" s="8"/>
      <c r="T3674" s="8"/>
      <c r="U3674" s="19" t="str">
        <f>HYPERLINK("https://pbs.twimg.com/profile_images/1146689506592116736/oJW27-CQ.jpg","View")</f>
        <v>View</v>
      </c>
      <c r="V3674" s="8"/>
      <c r="W3674" s="8"/>
      <c r="X3674" s="8"/>
      <c r="Y3674" s="8"/>
      <c r="Z3674" s="8"/>
    </row>
    <row r="3675" spans="1:26" ht="12.75">
      <c r="A3675" s="11">
        <v>43747.14508101852</v>
      </c>
      <c r="B3675" s="12" t="str">
        <f>HYPERLINK("https://twitter.com/sonerdalgic","@sonerdalgic")</f>
        <v>@sonerdalgic</v>
      </c>
      <c r="C3675" s="7" t="s">
        <v>19730</v>
      </c>
      <c r="D3675" s="7" t="s">
        <v>19731</v>
      </c>
      <c r="E3675" s="12" t="str">
        <f>HYPERLINK("https://twitter.com/sonerdalgic/status/1181879207045029888","1181879207045029888")</f>
        <v>1181879207045029888</v>
      </c>
      <c r="F3675" s="8"/>
      <c r="G3675" s="7"/>
      <c r="H3675" s="8"/>
      <c r="I3675" s="15">
        <v>0</v>
      </c>
      <c r="J3675" s="15">
        <v>1</v>
      </c>
      <c r="K3675" s="12" t="str">
        <f>HYPERLINK("https://mobile.twitter.com","Twitter Web App")</f>
        <v>Twitter Web App</v>
      </c>
      <c r="L3675" s="16">
        <v>177</v>
      </c>
      <c r="M3675" s="16">
        <v>369</v>
      </c>
      <c r="N3675" s="16">
        <v>0</v>
      </c>
      <c r="O3675" s="17"/>
      <c r="P3675" s="18">
        <v>40063.158877314811</v>
      </c>
      <c r="Q3675" s="7" t="s">
        <v>19732</v>
      </c>
      <c r="R3675" s="7" t="s">
        <v>19733</v>
      </c>
      <c r="S3675" s="8"/>
      <c r="T3675" s="8"/>
      <c r="U3675" s="19" t="str">
        <f>HYPERLINK("https://pbs.twimg.com/profile_images/770505507085910016/3LgUuTU6.jpg","View")</f>
        <v>View</v>
      </c>
      <c r="V3675" s="8"/>
      <c r="W3675" s="8"/>
      <c r="X3675" s="8"/>
      <c r="Y3675" s="8"/>
      <c r="Z3675" s="8"/>
    </row>
    <row r="3676" spans="1:26" ht="12.75">
      <c r="A3676" s="11">
        <v>43747.145023148143</v>
      </c>
      <c r="B3676" s="12" t="str">
        <f>HYPERLINK("https://twitter.com/burhanalisa","@burhanalisa")</f>
        <v>@burhanalisa</v>
      </c>
      <c r="C3676" s="7" t="s">
        <v>19734</v>
      </c>
      <c r="D3676" s="7" t="s">
        <v>19735</v>
      </c>
      <c r="E3676" s="12" t="str">
        <f>HYPERLINK("https://twitter.com/burhanalisa/status/1181879182558683136","1181879182558683136")</f>
        <v>1181879182558683136</v>
      </c>
      <c r="F3676" s="8"/>
      <c r="G3676" s="15"/>
      <c r="H3676" s="8"/>
      <c r="I3676" s="15">
        <v>0</v>
      </c>
      <c r="J3676" s="15">
        <v>0</v>
      </c>
      <c r="K3676" s="12" t="str">
        <f>HYPERLINK("http://twitter.com/download/android","Twitter for Android")</f>
        <v>Twitter for Android</v>
      </c>
      <c r="L3676" s="16">
        <v>499</v>
      </c>
      <c r="M3676" s="16">
        <v>1669</v>
      </c>
      <c r="N3676" s="16">
        <v>0</v>
      </c>
      <c r="O3676" s="17"/>
      <c r="P3676" s="18">
        <v>40262.327476851853</v>
      </c>
      <c r="Q3676" s="7" t="s">
        <v>19736</v>
      </c>
      <c r="R3676" s="7" t="s">
        <v>19737</v>
      </c>
      <c r="S3676" s="8"/>
      <c r="T3676" s="8"/>
      <c r="U3676" s="19" t="str">
        <f>HYPERLINK("https://pbs.twimg.com/profile_images/925098110963146752/Yt86pdZa.jpg","View")</f>
        <v>View</v>
      </c>
      <c r="V3676" s="8"/>
      <c r="W3676" s="8"/>
      <c r="X3676" s="8"/>
      <c r="Y3676" s="8"/>
      <c r="Z3676" s="8"/>
    </row>
    <row r="3677" spans="1:26" ht="12.75">
      <c r="A3677" s="11">
        <v>43747.145011574074</v>
      </c>
      <c r="B3677" s="12" t="str">
        <f>HYPERLINK("https://twitter.com/tasdemir_cemile","@tasdemir_cemile")</f>
        <v>@tasdemir_cemile</v>
      </c>
      <c r="C3677" s="7" t="s">
        <v>19738</v>
      </c>
      <c r="D3677" s="7" t="s">
        <v>19739</v>
      </c>
      <c r="E3677" s="12" t="str">
        <f>HYPERLINK("https://twitter.com/tasdemir_cemile/status/1181879182185373696","1181879182185373696")</f>
        <v>1181879182185373696</v>
      </c>
      <c r="F3677" s="8"/>
      <c r="G3677" s="14" t="s">
        <v>4573</v>
      </c>
      <c r="H3677" s="8"/>
      <c r="I3677" s="15">
        <v>227</v>
      </c>
      <c r="J3677" s="15">
        <v>640</v>
      </c>
      <c r="K3677" s="12" t="str">
        <f>HYPERLINK("http://twitter.com/download/iphone","Twitter for iPhone")</f>
        <v>Twitter for iPhone</v>
      </c>
      <c r="L3677" s="16">
        <v>106299</v>
      </c>
      <c r="M3677" s="16">
        <v>1427</v>
      </c>
      <c r="N3677" s="16">
        <v>117</v>
      </c>
      <c r="O3677" s="17"/>
      <c r="P3677" s="18">
        <v>41711.174351851849</v>
      </c>
      <c r="Q3677" s="7" t="s">
        <v>19740</v>
      </c>
      <c r="R3677" s="7" t="s">
        <v>19741</v>
      </c>
      <c r="S3677" s="14" t="s">
        <v>19742</v>
      </c>
      <c r="T3677" s="8"/>
      <c r="U3677" s="19" t="str">
        <f>HYPERLINK("https://pbs.twimg.com/profile_images/1175640388427747328/rmft0D7b.jpg","View")</f>
        <v>View</v>
      </c>
      <c r="V3677" s="8"/>
      <c r="W3677" s="8"/>
      <c r="X3677" s="8"/>
      <c r="Y3677" s="8"/>
      <c r="Z3677" s="8"/>
    </row>
    <row r="3678" spans="1:26" ht="12.75">
      <c r="A3678" s="11">
        <v>43747.145011574074</v>
      </c>
      <c r="B3678" s="12" t="str">
        <f>HYPERLINK("https://twitter.com/ahtozlu","@ahtozlu")</f>
        <v>@ahtozlu</v>
      </c>
      <c r="C3678" s="7" t="s">
        <v>19743</v>
      </c>
      <c r="D3678" s="7" t="s">
        <v>19744</v>
      </c>
      <c r="E3678" s="12" t="str">
        <f>HYPERLINK("https://twitter.com/ahtozlu/status/1181879180566388737","1181879180566388737")</f>
        <v>1181879180566388737</v>
      </c>
      <c r="F3678" s="8"/>
      <c r="G3678" s="15"/>
      <c r="H3678" s="8"/>
      <c r="I3678" s="15">
        <v>0</v>
      </c>
      <c r="J3678" s="15">
        <v>0</v>
      </c>
      <c r="K3678" s="12" t="str">
        <f>HYPERLINK("http://twitter.com/download/android","Twitter for Android")</f>
        <v>Twitter for Android</v>
      </c>
      <c r="L3678" s="16">
        <v>279</v>
      </c>
      <c r="M3678" s="16">
        <v>859</v>
      </c>
      <c r="N3678" s="16">
        <v>1</v>
      </c>
      <c r="O3678" s="17"/>
      <c r="P3678" s="18">
        <v>42280.534039351856</v>
      </c>
      <c r="Q3678" s="7" t="s">
        <v>19745</v>
      </c>
      <c r="R3678" s="7" t="s">
        <v>19746</v>
      </c>
      <c r="S3678" s="8"/>
      <c r="T3678" s="8"/>
      <c r="U3678" s="19" t="str">
        <f>HYPERLINK("https://pbs.twimg.com/profile_images/1133835035688226818/zsNVtWfd.jpg","View")</f>
        <v>View</v>
      </c>
      <c r="V3678" s="8"/>
      <c r="W3678" s="8"/>
      <c r="X3678" s="8"/>
      <c r="Y3678" s="8"/>
      <c r="Z3678" s="8"/>
    </row>
    <row r="3679" spans="1:26" ht="12.75">
      <c r="A3679" s="11">
        <v>43747.145011574074</v>
      </c>
      <c r="B3679" s="12" t="str">
        <f>HYPERLINK("https://twitter.com/technical_moon","@technical_moon")</f>
        <v>@technical_moon</v>
      </c>
      <c r="C3679" s="7" t="s">
        <v>19747</v>
      </c>
      <c r="D3679" s="7" t="s">
        <v>19748</v>
      </c>
      <c r="E3679" s="12" t="str">
        <f>HYPERLINK("https://twitter.com/technical_moon/status/1181879178863493121","1181879178863493121")</f>
        <v>1181879178863493121</v>
      </c>
      <c r="F3679" s="14" t="s">
        <v>19749</v>
      </c>
      <c r="G3679" s="14" t="s">
        <v>19750</v>
      </c>
      <c r="H3679" s="8"/>
      <c r="I3679" s="15">
        <v>0</v>
      </c>
      <c r="J3679" s="15">
        <v>1</v>
      </c>
      <c r="K3679" s="12" t="str">
        <f>HYPERLINK("http://twitter.com/download/android","Twitter for Android")</f>
        <v>Twitter for Android</v>
      </c>
      <c r="L3679" s="16">
        <v>598</v>
      </c>
      <c r="M3679" s="16">
        <v>290</v>
      </c>
      <c r="N3679" s="16">
        <v>1</v>
      </c>
      <c r="O3679" s="17"/>
      <c r="P3679" s="18">
        <v>42936.354837962965</v>
      </c>
      <c r="Q3679" s="7" t="s">
        <v>19751</v>
      </c>
      <c r="R3679" s="7" t="s">
        <v>19752</v>
      </c>
      <c r="S3679" s="8"/>
      <c r="T3679" s="8"/>
      <c r="U3679" s="19" t="str">
        <f>HYPERLINK("https://pbs.twimg.com/profile_images/1178860482930847745/EM13YQ9Q.jpg","View")</f>
        <v>View</v>
      </c>
      <c r="V3679" s="8"/>
      <c r="W3679" s="8"/>
      <c r="X3679" s="8"/>
      <c r="Y3679" s="8"/>
      <c r="Z3679" s="8"/>
    </row>
    <row r="3680" spans="1:26" ht="12.75">
      <c r="A3680" s="11">
        <v>43747.144976851851</v>
      </c>
      <c r="B3680" s="12" t="str">
        <f>HYPERLINK("https://twitter.com/zllktlr","@zllktlr")</f>
        <v>@zllktlr</v>
      </c>
      <c r="C3680" s="7" t="s">
        <v>19753</v>
      </c>
      <c r="D3680" s="7" t="s">
        <v>19754</v>
      </c>
      <c r="E3680" s="12" t="str">
        <f>HYPERLINK("https://twitter.com/zllktlr/status/1181879169023713283","1181879169023713283")</f>
        <v>1181879169023713283</v>
      </c>
      <c r="F3680" s="8"/>
      <c r="G3680" s="14" t="s">
        <v>19755</v>
      </c>
      <c r="H3680" s="8"/>
      <c r="I3680" s="15">
        <v>2</v>
      </c>
      <c r="J3680" s="15">
        <v>2</v>
      </c>
      <c r="K3680" s="12" t="str">
        <f>HYPERLINK("https://mobile.twitter.com","Twitter Web App")</f>
        <v>Twitter Web App</v>
      </c>
      <c r="L3680" s="16">
        <v>10892</v>
      </c>
      <c r="M3680" s="16">
        <v>5650</v>
      </c>
      <c r="N3680" s="16">
        <v>29</v>
      </c>
      <c r="O3680" s="17"/>
      <c r="P3680" s="18">
        <v>40754.868564814817</v>
      </c>
      <c r="Q3680" s="7" t="s">
        <v>313</v>
      </c>
      <c r="R3680" s="7" t="s">
        <v>19756</v>
      </c>
      <c r="S3680" s="8"/>
      <c r="T3680" s="8"/>
      <c r="U3680" s="19" t="str">
        <f>HYPERLINK("https://pbs.twimg.com/profile_images/1167815820082393089/Yjh9962U.jpg","View")</f>
        <v>View</v>
      </c>
      <c r="V3680" s="8"/>
      <c r="W3680" s="8"/>
      <c r="X3680" s="8"/>
      <c r="Y3680" s="8"/>
      <c r="Z3680" s="8"/>
    </row>
    <row r="3681" spans="1:26" ht="12.75">
      <c r="A3681" s="11">
        <v>43747.144976851851</v>
      </c>
      <c r="B3681" s="12" t="str">
        <f>HYPERLINK("https://twitter.com/ecankoksal","@ecankoksal")</f>
        <v>@ecankoksal</v>
      </c>
      <c r="C3681" s="7" t="s">
        <v>19757</v>
      </c>
      <c r="D3681" s="7" t="s">
        <v>19758</v>
      </c>
      <c r="E3681" s="12" t="str">
        <f>HYPERLINK("https://twitter.com/ecankoksal/status/1181879167224295424","1181879167224295424")</f>
        <v>1181879167224295424</v>
      </c>
      <c r="F3681" s="8"/>
      <c r="G3681" s="14" t="s">
        <v>19759</v>
      </c>
      <c r="H3681" s="8"/>
      <c r="I3681" s="15">
        <v>0</v>
      </c>
      <c r="J3681" s="15">
        <v>2</v>
      </c>
      <c r="K3681" s="12" t="str">
        <f>HYPERLINK("http://twitter.com/download/iphone","Twitter for iPhone")</f>
        <v>Twitter for iPhone</v>
      </c>
      <c r="L3681" s="16">
        <v>643</v>
      </c>
      <c r="M3681" s="16">
        <v>90</v>
      </c>
      <c r="N3681" s="16">
        <v>0</v>
      </c>
      <c r="O3681" s="17"/>
      <c r="P3681" s="18">
        <v>41717.270891203705</v>
      </c>
      <c r="Q3681" s="7" t="s">
        <v>19760</v>
      </c>
      <c r="R3681" s="7" t="s">
        <v>19761</v>
      </c>
      <c r="S3681" s="14" t="s">
        <v>19762</v>
      </c>
      <c r="T3681" s="8"/>
      <c r="U3681" s="19" t="str">
        <f>HYPERLINK("https://pbs.twimg.com/profile_images/1179850677897617408/dFhlYxT-.jpg","View")</f>
        <v>View</v>
      </c>
      <c r="V3681" s="8"/>
      <c r="W3681" s="8"/>
      <c r="X3681" s="8"/>
      <c r="Y3681" s="8"/>
      <c r="Z3681" s="8"/>
    </row>
    <row r="3682" spans="1:26" ht="12.75">
      <c r="A3682" s="11">
        <v>43747.144976851851</v>
      </c>
      <c r="B3682" s="12" t="str">
        <f>HYPERLINK("https://twitter.com/_ahmet_demirtas","@_ahmet_demirtas")</f>
        <v>@_ahmet_demirtas</v>
      </c>
      <c r="C3682" s="7" t="s">
        <v>19763</v>
      </c>
      <c r="D3682" s="7" t="s">
        <v>19764</v>
      </c>
      <c r="E3682" s="12" t="str">
        <f>HYPERLINK("https://twitter.com/_ahmet_demirtas/status/1181879166007947264","1181879166007947264")</f>
        <v>1181879166007947264</v>
      </c>
      <c r="F3682" s="14" t="s">
        <v>2631</v>
      </c>
      <c r="G3682" s="14" t="s">
        <v>2632</v>
      </c>
      <c r="H3682" s="8"/>
      <c r="I3682" s="15">
        <v>0</v>
      </c>
      <c r="J3682" s="15">
        <v>0</v>
      </c>
      <c r="K3682" s="12" t="str">
        <f>HYPERLINK("http://twitter.com/download/android","Twitter for Android")</f>
        <v>Twitter for Android</v>
      </c>
      <c r="L3682" s="16">
        <v>390</v>
      </c>
      <c r="M3682" s="16">
        <v>519</v>
      </c>
      <c r="N3682" s="16">
        <v>0</v>
      </c>
      <c r="O3682" s="17"/>
      <c r="P3682" s="18">
        <v>40935.221412037034</v>
      </c>
      <c r="Q3682" s="7" t="s">
        <v>287</v>
      </c>
      <c r="R3682" s="7" t="s">
        <v>19765</v>
      </c>
      <c r="S3682" s="8"/>
      <c r="T3682" s="8"/>
      <c r="U3682" s="19" t="str">
        <f>HYPERLINK("https://pbs.twimg.com/profile_images/520631377826308097/hIdvtuHs.jpeg","View")</f>
        <v>View</v>
      </c>
      <c r="V3682" s="8"/>
      <c r="W3682" s="8"/>
      <c r="X3682" s="8"/>
      <c r="Y3682" s="8"/>
      <c r="Z3682" s="8"/>
    </row>
    <row r="3683" spans="1:26" ht="12.75">
      <c r="A3683" s="11">
        <v>43747.144942129627</v>
      </c>
      <c r="B3683" s="12" t="str">
        <f>HYPERLINK("https://twitter.com/OuzhanMehmetTE1","@OuzhanMehmetTE1")</f>
        <v>@OuzhanMehmetTE1</v>
      </c>
      <c r="C3683" s="7" t="s">
        <v>19766</v>
      </c>
      <c r="D3683" s="7" t="s">
        <v>19767</v>
      </c>
      <c r="E3683" s="12" t="str">
        <f>HYPERLINK("https://twitter.com/OuzhanMehmetTE1/status/1181879157044776960","1181879157044776960")</f>
        <v>1181879157044776960</v>
      </c>
      <c r="F3683" s="8"/>
      <c r="G3683" s="7"/>
      <c r="H3683" s="8"/>
      <c r="I3683" s="15">
        <v>0</v>
      </c>
      <c r="J3683" s="15">
        <v>0</v>
      </c>
      <c r="K3683" s="12" t="str">
        <f>HYPERLINK("http://twitter.com/download/iphone","Twitter for iPhone")</f>
        <v>Twitter for iPhone</v>
      </c>
      <c r="L3683" s="16">
        <v>107</v>
      </c>
      <c r="M3683" s="16">
        <v>392</v>
      </c>
      <c r="N3683" s="16">
        <v>0</v>
      </c>
      <c r="O3683" s="17"/>
      <c r="P3683" s="18">
        <v>43458.568078703705</v>
      </c>
      <c r="Q3683" s="7" t="s">
        <v>19768</v>
      </c>
      <c r="R3683" s="7" t="s">
        <v>19769</v>
      </c>
      <c r="S3683" s="8"/>
      <c r="T3683" s="8"/>
      <c r="U3683" s="19" t="str">
        <f>HYPERLINK("https://pbs.twimg.com/profile_images/1151228344744079360/EfaNiUnl.jpg","View")</f>
        <v>View</v>
      </c>
      <c r="V3683" s="8"/>
      <c r="W3683" s="8"/>
      <c r="X3683" s="8"/>
      <c r="Y3683" s="8"/>
      <c r="Z3683" s="8"/>
    </row>
    <row r="3684" spans="1:26" ht="12.75">
      <c r="A3684" s="11">
        <v>43747.144895833335</v>
      </c>
      <c r="B3684" s="12" t="str">
        <f>HYPERLINK("https://twitter.com/unsalmusavirRT","@unsalmusavirRT")</f>
        <v>@unsalmusavirRT</v>
      </c>
      <c r="C3684" s="7" t="s">
        <v>19770</v>
      </c>
      <c r="D3684" s="7" t="s">
        <v>15787</v>
      </c>
      <c r="E3684" s="12" t="str">
        <f>HYPERLINK("https://twitter.com/unsalmusavirRT/status/1181879136505253888","1181879136505253888")</f>
        <v>1181879136505253888</v>
      </c>
      <c r="F3684" s="8"/>
      <c r="G3684" s="7"/>
      <c r="H3684" s="8"/>
      <c r="I3684" s="15">
        <v>4</v>
      </c>
      <c r="J3684" s="15">
        <v>4</v>
      </c>
      <c r="K3684" s="12" t="str">
        <f>HYPERLINK("http://twitter.com/download/android","Twitter for Android")</f>
        <v>Twitter for Android</v>
      </c>
      <c r="L3684" s="16">
        <v>14117</v>
      </c>
      <c r="M3684" s="16">
        <v>12799</v>
      </c>
      <c r="N3684" s="16">
        <v>24</v>
      </c>
      <c r="O3684" s="17"/>
      <c r="P3684" s="18">
        <v>41571.17052083333</v>
      </c>
      <c r="Q3684" s="7"/>
      <c r="R3684" s="7" t="s">
        <v>19771</v>
      </c>
      <c r="S3684" s="8"/>
      <c r="T3684" s="8"/>
      <c r="U3684" s="19" t="str">
        <f>HYPERLINK("https://pbs.twimg.com/profile_images/1148292456758284288/tE9MAZqm.jpg","View")</f>
        <v>View</v>
      </c>
      <c r="V3684" s="8"/>
      <c r="W3684" s="8"/>
      <c r="X3684" s="8"/>
      <c r="Y3684" s="8"/>
      <c r="Z3684" s="8"/>
    </row>
    <row r="3685" spans="1:26" ht="12.75">
      <c r="A3685" s="11">
        <v>43747.144814814819</v>
      </c>
      <c r="B3685" s="12" t="str">
        <f>HYPERLINK("https://twitter.com/AkkucFuat","@AkkucFuat")</f>
        <v>@AkkucFuat</v>
      </c>
      <c r="C3685" s="7" t="s">
        <v>19772</v>
      </c>
      <c r="D3685" s="7" t="s">
        <v>19773</v>
      </c>
      <c r="E3685" s="12" t="str">
        <f>HYPERLINK("https://twitter.com/AkkucFuat/status/1181879109640736769","1181879109640736769")</f>
        <v>1181879109640736769</v>
      </c>
      <c r="F3685" s="8"/>
      <c r="G3685" s="14" t="s">
        <v>19774</v>
      </c>
      <c r="H3685" s="8"/>
      <c r="I3685" s="15">
        <v>0</v>
      </c>
      <c r="J3685" s="15">
        <v>9</v>
      </c>
      <c r="K3685" s="12" t="str">
        <f>HYPERLINK("http://twitter.com/download/android","Twitter for Android")</f>
        <v>Twitter for Android</v>
      </c>
      <c r="L3685" s="16">
        <v>399</v>
      </c>
      <c r="M3685" s="16">
        <v>325</v>
      </c>
      <c r="N3685" s="16">
        <v>0</v>
      </c>
      <c r="O3685" s="17"/>
      <c r="P3685" s="18">
        <v>43346.090358796297</v>
      </c>
      <c r="Q3685" s="7" t="s">
        <v>5541</v>
      </c>
      <c r="R3685" s="7" t="s">
        <v>19775</v>
      </c>
      <c r="S3685" s="14" t="s">
        <v>19776</v>
      </c>
      <c r="T3685" s="8"/>
      <c r="U3685" s="19" t="str">
        <f>HYPERLINK("https://pbs.twimg.com/profile_images/1174013366999887875/ymZfixrX.jpg","View")</f>
        <v>View</v>
      </c>
      <c r="V3685" s="8"/>
      <c r="W3685" s="8"/>
      <c r="X3685" s="8"/>
      <c r="Y3685" s="8"/>
      <c r="Z3685" s="8"/>
    </row>
    <row r="3686" spans="1:26" ht="12.75">
      <c r="A3686" s="11">
        <v>43747.144768518519</v>
      </c>
      <c r="B3686" s="12" t="str">
        <f>HYPERLINK("https://twitter.com/muhammettapis","@muhammettapis")</f>
        <v>@muhammettapis</v>
      </c>
      <c r="C3686" s="7" t="s">
        <v>13620</v>
      </c>
      <c r="D3686" s="7" t="s">
        <v>160</v>
      </c>
      <c r="E3686" s="12" t="str">
        <f>HYPERLINK("https://twitter.com/muhammettapis/status/1181879091764633601","1181879091764633601")</f>
        <v>1181879091764633601</v>
      </c>
      <c r="F3686" s="8"/>
      <c r="G3686" s="7"/>
      <c r="H3686" s="8"/>
      <c r="I3686" s="15">
        <v>0</v>
      </c>
      <c r="J3686" s="15">
        <v>0</v>
      </c>
      <c r="K3686" s="12" t="str">
        <f>HYPERLINK("http://twitter.com/download/android","Twitter for Android")</f>
        <v>Twitter for Android</v>
      </c>
      <c r="L3686" s="16">
        <v>19</v>
      </c>
      <c r="M3686" s="16">
        <v>75</v>
      </c>
      <c r="N3686" s="16">
        <v>0</v>
      </c>
      <c r="O3686" s="17"/>
      <c r="P3686" s="18">
        <v>41642.279560185183</v>
      </c>
      <c r="Q3686" s="7" t="s">
        <v>313</v>
      </c>
      <c r="R3686" s="7"/>
      <c r="S3686" s="14" t="s">
        <v>19777</v>
      </c>
      <c r="T3686" s="8"/>
      <c r="U3686" s="19" t="str">
        <f>HYPERLINK("https://pbs.twimg.com/profile_images/1174427436790009857/Ww7TGjM-.jpg","View")</f>
        <v>View</v>
      </c>
      <c r="V3686" s="8"/>
      <c r="W3686" s="8"/>
      <c r="X3686" s="8"/>
      <c r="Y3686" s="8"/>
      <c r="Z3686" s="8"/>
    </row>
    <row r="3687" spans="1:26" ht="12.75">
      <c r="A3687" s="11">
        <v>43747.144756944443</v>
      </c>
      <c r="B3687" s="12" t="str">
        <f>HYPERLINK("https://twitter.com/huseyinnberk","@huseyinnberk")</f>
        <v>@huseyinnberk</v>
      </c>
      <c r="C3687" s="7" t="s">
        <v>19778</v>
      </c>
      <c r="D3687" s="7" t="s">
        <v>19779</v>
      </c>
      <c r="E3687" s="12" t="str">
        <f>HYPERLINK("https://twitter.com/huseyinnberk/status/1181879087780024322","1181879087780024322")</f>
        <v>1181879087780024322</v>
      </c>
      <c r="F3687" s="8"/>
      <c r="G3687" s="15"/>
      <c r="H3687" s="8"/>
      <c r="I3687" s="15">
        <v>0</v>
      </c>
      <c r="J3687" s="15">
        <v>5</v>
      </c>
      <c r="K3687" s="12" t="str">
        <f>HYPERLINK("http://twitter.com/download/android","Twitter for Android")</f>
        <v>Twitter for Android</v>
      </c>
      <c r="L3687" s="16">
        <v>190</v>
      </c>
      <c r="M3687" s="16">
        <v>161</v>
      </c>
      <c r="N3687" s="16">
        <v>0</v>
      </c>
      <c r="O3687" s="17"/>
      <c r="P3687" s="18">
        <v>43037.175069444449</v>
      </c>
      <c r="Q3687" s="7"/>
      <c r="R3687" s="7" t="s">
        <v>19780</v>
      </c>
      <c r="S3687" s="8"/>
      <c r="T3687" s="8"/>
      <c r="U3687" s="19" t="str">
        <f>HYPERLINK("https://pbs.twimg.com/profile_images/1146880342151827456/SG6OuFTG.jpg","View")</f>
        <v>View</v>
      </c>
      <c r="V3687" s="8"/>
      <c r="W3687" s="8"/>
      <c r="X3687" s="8"/>
      <c r="Y3687" s="8"/>
      <c r="Z3687" s="8"/>
    </row>
    <row r="3688" spans="1:26" ht="12.75">
      <c r="A3688" s="11">
        <v>43747.144745370373</v>
      </c>
      <c r="B3688" s="12" t="str">
        <f>HYPERLINK("https://twitter.com/Muzafferoksz","@Muzafferoksz")</f>
        <v>@Muzafferoksz</v>
      </c>
      <c r="C3688" s="7" t="s">
        <v>19781</v>
      </c>
      <c r="D3688" s="7" t="s">
        <v>19782</v>
      </c>
      <c r="E3688" s="12" t="str">
        <f>HYPERLINK("https://twitter.com/Muzafferoksz/status/1181879084600741893","1181879084600741893")</f>
        <v>1181879084600741893</v>
      </c>
      <c r="F3688" s="8"/>
      <c r="G3688" s="15"/>
      <c r="H3688" s="8"/>
      <c r="I3688" s="15">
        <v>0</v>
      </c>
      <c r="J3688" s="15">
        <v>2</v>
      </c>
      <c r="K3688" s="12" t="str">
        <f>HYPERLINK("http://twitter.com/download/android","Twitter for Android")</f>
        <v>Twitter for Android</v>
      </c>
      <c r="L3688" s="16">
        <v>769</v>
      </c>
      <c r="M3688" s="16">
        <v>690</v>
      </c>
      <c r="N3688" s="16">
        <v>2</v>
      </c>
      <c r="O3688" s="17"/>
      <c r="P3688" s="18">
        <v>42948.596909722226</v>
      </c>
      <c r="Q3688" s="7" t="s">
        <v>2277</v>
      </c>
      <c r="R3688" s="7" t="s">
        <v>19783</v>
      </c>
      <c r="S3688" s="15"/>
      <c r="T3688" s="8"/>
      <c r="U3688" s="19" t="str">
        <f>HYPERLINK("https://pbs.twimg.com/profile_images/922427869460140033/2bCddAU3.jpg","View")</f>
        <v>View</v>
      </c>
      <c r="V3688" s="8"/>
      <c r="W3688" s="8"/>
      <c r="X3688" s="8"/>
      <c r="Y3688" s="8"/>
      <c r="Z3688" s="8"/>
    </row>
    <row r="3689" spans="1:26" ht="12.75">
      <c r="A3689" s="11">
        <v>43747.144745370373</v>
      </c>
      <c r="B3689" s="12" t="str">
        <f>HYPERLINK("https://twitter.com/sedaterdm","@sedaterdm")</f>
        <v>@sedaterdm</v>
      </c>
      <c r="C3689" s="7" t="s">
        <v>19784</v>
      </c>
      <c r="D3689" s="7" t="s">
        <v>19785</v>
      </c>
      <c r="E3689" s="12" t="str">
        <f>HYPERLINK("https://twitter.com/sedaterdm/status/1181879084466483206","1181879084466483206")</f>
        <v>1181879084466483206</v>
      </c>
      <c r="F3689" s="8"/>
      <c r="G3689" s="15"/>
      <c r="H3689" s="8"/>
      <c r="I3689" s="15">
        <v>0</v>
      </c>
      <c r="J3689" s="15">
        <v>1</v>
      </c>
      <c r="K3689" s="12" t="str">
        <f>HYPERLINK("http://twitter.com/download/android","Twitter for Android")</f>
        <v>Twitter for Android</v>
      </c>
      <c r="L3689" s="16">
        <v>765</v>
      </c>
      <c r="M3689" s="16">
        <v>66</v>
      </c>
      <c r="N3689" s="16">
        <v>0</v>
      </c>
      <c r="O3689" s="17"/>
      <c r="P3689" s="18">
        <v>41523.351886574077</v>
      </c>
      <c r="Q3689" s="7" t="s">
        <v>19786</v>
      </c>
      <c r="R3689" s="7"/>
      <c r="S3689" s="14" t="s">
        <v>19787</v>
      </c>
      <c r="T3689" s="8"/>
      <c r="U3689" s="19" t="str">
        <f>HYPERLINK("https://pbs.twimg.com/profile_images/1000875407036559360/lCZEhUa0.jpg","View")</f>
        <v>View</v>
      </c>
      <c r="V3689" s="8"/>
      <c r="W3689" s="8"/>
      <c r="X3689" s="8"/>
      <c r="Y3689" s="8"/>
      <c r="Z3689" s="8"/>
    </row>
    <row r="3690" spans="1:26" ht="12.75">
      <c r="A3690" s="11">
        <v>43747.14472222222</v>
      </c>
      <c r="B3690" s="12" t="str">
        <f>HYPERLINK("https://twitter.com/Eylul_213","@Eylul_213")</f>
        <v>@Eylul_213</v>
      </c>
      <c r="C3690" s="7" t="s">
        <v>19788</v>
      </c>
      <c r="D3690" s="7" t="s">
        <v>19789</v>
      </c>
      <c r="E3690" s="12" t="str">
        <f>HYPERLINK("https://twitter.com/Eylul_213/status/1181879076514144256","1181879076514144256")</f>
        <v>1181879076514144256</v>
      </c>
      <c r="F3690" s="8"/>
      <c r="G3690" s="15"/>
      <c r="H3690" s="8"/>
      <c r="I3690" s="15">
        <v>0</v>
      </c>
      <c r="J3690" s="15">
        <v>0</v>
      </c>
      <c r="K3690" s="12" t="str">
        <f>HYPERLINK("http://twitter.com/download/android","Twitter for Android")</f>
        <v>Twitter for Android</v>
      </c>
      <c r="L3690" s="16">
        <v>8</v>
      </c>
      <c r="M3690" s="16">
        <v>6</v>
      </c>
      <c r="N3690" s="16">
        <v>1</v>
      </c>
      <c r="O3690" s="17"/>
      <c r="P3690" s="18">
        <v>43742.25172453704</v>
      </c>
      <c r="Q3690" s="7"/>
      <c r="R3690" s="7" t="s">
        <v>19790</v>
      </c>
      <c r="S3690" s="8"/>
      <c r="T3690" s="8"/>
      <c r="U3690" s="19" t="str">
        <f>HYPERLINK("https://pbs.twimg.com/profile_images/1181871897186840576/1558zkb3.jpg","View")</f>
        <v>View</v>
      </c>
      <c r="V3690" s="8"/>
      <c r="W3690" s="8"/>
      <c r="X3690" s="8"/>
      <c r="Y3690" s="8"/>
      <c r="Z3690" s="8"/>
    </row>
    <row r="3691" spans="1:26" ht="12.75">
      <c r="A3691" s="11">
        <v>43747.14471064815</v>
      </c>
      <c r="B3691" s="12" t="str">
        <f>HYPERLINK("https://twitter.com/nurtenayar","@nurtenayar")</f>
        <v>@nurtenayar</v>
      </c>
      <c r="C3691" s="7" t="s">
        <v>19791</v>
      </c>
      <c r="D3691" s="7" t="s">
        <v>19792</v>
      </c>
      <c r="E3691" s="12" t="str">
        <f>HYPERLINK("https://twitter.com/nurtenayar/status/1181879072705658881","1181879072705658881")</f>
        <v>1181879072705658881</v>
      </c>
      <c r="F3691" s="8"/>
      <c r="G3691" s="15"/>
      <c r="H3691" s="8"/>
      <c r="I3691" s="15">
        <v>0</v>
      </c>
      <c r="J3691" s="15">
        <v>0</v>
      </c>
      <c r="K3691" s="12" t="str">
        <f>HYPERLINK("http://twitter.com/download/android","Twitter for Android")</f>
        <v>Twitter for Android</v>
      </c>
      <c r="L3691" s="16">
        <v>49</v>
      </c>
      <c r="M3691" s="16">
        <v>106</v>
      </c>
      <c r="N3691" s="16">
        <v>0</v>
      </c>
      <c r="O3691" s="17"/>
      <c r="P3691" s="18">
        <v>41276.391944444447</v>
      </c>
      <c r="Q3691" s="7"/>
      <c r="R3691" s="7"/>
      <c r="S3691" s="8"/>
      <c r="T3691" s="8"/>
      <c r="U3691" s="19" t="str">
        <f>HYPERLINK("https://pbs.twimg.com/profile_images/445191256608481280/3-WbOxY6.jpeg","View")</f>
        <v>View</v>
      </c>
      <c r="V3691" s="8"/>
      <c r="W3691" s="8"/>
      <c r="X3691" s="8"/>
      <c r="Y3691" s="8"/>
      <c r="Z3691" s="8"/>
    </row>
    <row r="3692" spans="1:26" ht="12.75">
      <c r="A3692" s="11">
        <v>43747.144571759258</v>
      </c>
      <c r="B3692" s="12" t="str">
        <f>HYPERLINK("https://twitter.com/talhasurucu","@talhasurucu")</f>
        <v>@talhasurucu</v>
      </c>
      <c r="C3692" s="7" t="s">
        <v>19793</v>
      </c>
      <c r="D3692" s="7" t="s">
        <v>19794</v>
      </c>
      <c r="E3692" s="12" t="str">
        <f>HYPERLINK("https://twitter.com/talhasurucu/status/1181879021434486784","1181879021434486784")</f>
        <v>1181879021434486784</v>
      </c>
      <c r="F3692" s="8"/>
      <c r="G3692" s="14" t="s">
        <v>19795</v>
      </c>
      <c r="H3692" s="8"/>
      <c r="I3692" s="15">
        <v>0</v>
      </c>
      <c r="J3692" s="15">
        <v>1</v>
      </c>
      <c r="K3692" s="12" t="str">
        <f>HYPERLINK("http://twitter.com/download/iphone","Twitter for iPhone")</f>
        <v>Twitter for iPhone</v>
      </c>
      <c r="L3692" s="16">
        <v>531</v>
      </c>
      <c r="M3692" s="16">
        <v>586</v>
      </c>
      <c r="N3692" s="16">
        <v>0</v>
      </c>
      <c r="O3692" s="17"/>
      <c r="P3692" s="18">
        <v>41109.088692129633</v>
      </c>
      <c r="Q3692" s="7" t="s">
        <v>313</v>
      </c>
      <c r="R3692" s="7" t="s">
        <v>19796</v>
      </c>
      <c r="S3692" s="8"/>
      <c r="T3692" s="8"/>
      <c r="U3692" s="19" t="str">
        <f>HYPERLINK("https://pbs.twimg.com/profile_images/673416933052702720/WYXDvR85.jpg","View")</f>
        <v>View</v>
      </c>
      <c r="V3692" s="8"/>
      <c r="W3692" s="8"/>
      <c r="X3692" s="8"/>
      <c r="Y3692" s="8"/>
      <c r="Z3692" s="8"/>
    </row>
    <row r="3693" spans="1:26" ht="12.75">
      <c r="A3693" s="11">
        <v>43747.144571759258</v>
      </c>
      <c r="B3693" s="12" t="str">
        <f>HYPERLINK("https://twitter.com/turansch","@turansch")</f>
        <v>@turansch</v>
      </c>
      <c r="C3693" s="7" t="s">
        <v>19797</v>
      </c>
      <c r="D3693" s="7" t="s">
        <v>19798</v>
      </c>
      <c r="E3693" s="12" t="str">
        <f>HYPERLINK("https://twitter.com/turansch/status/1181879021434478592","1181879021434478592")</f>
        <v>1181879021434478592</v>
      </c>
      <c r="F3693" s="15"/>
      <c r="G3693" s="14" t="s">
        <v>19799</v>
      </c>
      <c r="H3693" s="8"/>
      <c r="I3693" s="15">
        <v>0</v>
      </c>
      <c r="J3693" s="15">
        <v>0</v>
      </c>
      <c r="K3693" s="12" t="str">
        <f>HYPERLINK("https://mobile.twitter.com","Twitter Web App")</f>
        <v>Twitter Web App</v>
      </c>
      <c r="L3693" s="16">
        <v>707</v>
      </c>
      <c r="M3693" s="16">
        <v>775</v>
      </c>
      <c r="N3693" s="16">
        <v>0</v>
      </c>
      <c r="O3693" s="17"/>
      <c r="P3693" s="18">
        <v>40931.69694444444</v>
      </c>
      <c r="Q3693" s="7"/>
      <c r="R3693" s="7" t="s">
        <v>19800</v>
      </c>
      <c r="S3693" s="8"/>
      <c r="T3693" s="8"/>
      <c r="U3693" s="19" t="str">
        <f>HYPERLINK("https://pbs.twimg.com/profile_images/488793002890887168/9bXjwO-B.jpeg","View")</f>
        <v>View</v>
      </c>
      <c r="V3693" s="8"/>
      <c r="W3693" s="8"/>
      <c r="X3693" s="8"/>
      <c r="Y3693" s="8"/>
      <c r="Z3693" s="8"/>
    </row>
    <row r="3694" spans="1:26" ht="12.75">
      <c r="A3694" s="11">
        <v>43747.144479166665</v>
      </c>
      <c r="B3694" s="12" t="str">
        <f>HYPERLINK("https://twitter.com/umutbalyemeez","@umutbalyemeez")</f>
        <v>@umutbalyemeez</v>
      </c>
      <c r="C3694" s="7" t="s">
        <v>19801</v>
      </c>
      <c r="D3694" s="7" t="s">
        <v>19802</v>
      </c>
      <c r="E3694" s="12" t="str">
        <f>HYPERLINK("https://twitter.com/umutbalyemeez/status/1181878988907728897","1181878988907728897")</f>
        <v>1181878988907728897</v>
      </c>
      <c r="F3694" s="8"/>
      <c r="G3694" s="14" t="s">
        <v>19803</v>
      </c>
      <c r="H3694" s="8"/>
      <c r="I3694" s="15">
        <v>0</v>
      </c>
      <c r="J3694" s="15">
        <v>0</v>
      </c>
      <c r="K3694" s="12" t="str">
        <f>HYPERLINK("http://twitter.com/download/android","Twitter for Android")</f>
        <v>Twitter for Android</v>
      </c>
      <c r="L3694" s="16">
        <v>56</v>
      </c>
      <c r="M3694" s="16">
        <v>108</v>
      </c>
      <c r="N3694" s="16">
        <v>0</v>
      </c>
      <c r="O3694" s="17"/>
      <c r="P3694" s="18">
        <v>43664.088888888888</v>
      </c>
      <c r="Q3694" s="7"/>
      <c r="R3694" s="7"/>
      <c r="S3694" s="8"/>
      <c r="T3694" s="8"/>
      <c r="U3694" s="19" t="str">
        <f>HYPERLINK("https://pbs.twimg.com/profile_images/1177339944660099073/ChCgpQew.jpg","View")</f>
        <v>View</v>
      </c>
      <c r="V3694" s="8"/>
      <c r="W3694" s="8"/>
      <c r="X3694" s="8"/>
      <c r="Y3694" s="8"/>
      <c r="Z3694" s="8"/>
    </row>
    <row r="3695" spans="1:26" ht="12.75">
      <c r="A3695" s="11">
        <v>43747.144467592589</v>
      </c>
      <c r="B3695" s="12" t="str">
        <f>HYPERLINK("https://twitter.com/algurman","@algurman")</f>
        <v>@algurman</v>
      </c>
      <c r="C3695" s="7" t="s">
        <v>19804</v>
      </c>
      <c r="D3695" s="7" t="s">
        <v>19805</v>
      </c>
      <c r="E3695" s="12" t="str">
        <f>HYPERLINK("https://twitter.com/algurman/status/1181878984210046976","1181878984210046976")</f>
        <v>1181878984210046976</v>
      </c>
      <c r="F3695" s="15"/>
      <c r="G3695" s="7"/>
      <c r="H3695" s="8"/>
      <c r="I3695" s="15">
        <v>0</v>
      </c>
      <c r="J3695" s="15">
        <v>0</v>
      </c>
      <c r="K3695" s="12" t="str">
        <f>HYPERLINK("http://twitter.com/download/android","Twitter for Android")</f>
        <v>Twitter for Android</v>
      </c>
      <c r="L3695" s="16">
        <v>1760</v>
      </c>
      <c r="M3695" s="16">
        <v>1394</v>
      </c>
      <c r="N3695" s="16">
        <v>1</v>
      </c>
      <c r="O3695" s="17"/>
      <c r="P3695" s="18">
        <v>42420.552488425921</v>
      </c>
      <c r="Q3695" s="7"/>
      <c r="R3695" s="7" t="s">
        <v>19806</v>
      </c>
      <c r="S3695" s="15"/>
      <c r="T3695" s="8"/>
      <c r="U3695" s="19" t="str">
        <f>HYPERLINK("https://pbs.twimg.com/profile_images/1177875062378110976/OBtlm9nM.jpg","View")</f>
        <v>View</v>
      </c>
      <c r="V3695" s="8"/>
      <c r="W3695" s="8"/>
      <c r="X3695" s="8"/>
      <c r="Y3695" s="8"/>
      <c r="Z3695" s="8"/>
    </row>
    <row r="3696" spans="1:26" ht="12.75">
      <c r="A3696" s="11">
        <v>43747.144456018519</v>
      </c>
      <c r="B3696" s="12" t="str">
        <f>HYPERLINK("https://twitter.com/DaisyLoshh","@DaisyLoshh")</f>
        <v>@DaisyLoshh</v>
      </c>
      <c r="C3696" s="7" t="s">
        <v>19807</v>
      </c>
      <c r="D3696" s="7" t="s">
        <v>19808</v>
      </c>
      <c r="E3696" s="12" t="str">
        <f>HYPERLINK("https://twitter.com/DaisyLoshh/status/1181878979193647104","1181878979193647104")</f>
        <v>1181878979193647104</v>
      </c>
      <c r="F3696" s="15"/>
      <c r="G3696" s="14" t="s">
        <v>19809</v>
      </c>
      <c r="H3696" s="8"/>
      <c r="I3696" s="15">
        <v>1</v>
      </c>
      <c r="J3696" s="15">
        <v>0</v>
      </c>
      <c r="K3696" s="12" t="str">
        <f>HYPERLINK("http://twitter.com/download/iphone","Twitter for iPhone")</f>
        <v>Twitter for iPhone</v>
      </c>
      <c r="L3696" s="16">
        <v>6</v>
      </c>
      <c r="M3696" s="16">
        <v>74</v>
      </c>
      <c r="N3696" s="16">
        <v>0</v>
      </c>
      <c r="O3696" s="17"/>
      <c r="P3696" s="18">
        <v>43507.798449074078</v>
      </c>
      <c r="Q3696" s="7"/>
      <c r="R3696" s="7" t="s">
        <v>19810</v>
      </c>
      <c r="S3696" s="15"/>
      <c r="T3696" s="8"/>
      <c r="U3696" s="19" t="str">
        <f>HYPERLINK("https://pbs.twimg.com/profile_images/1095158219746488320/MWNwEoCp.jpg","View")</f>
        <v>View</v>
      </c>
      <c r="V3696" s="8"/>
      <c r="W3696" s="8"/>
      <c r="X3696" s="8"/>
      <c r="Y3696" s="8"/>
      <c r="Z3696" s="8"/>
    </row>
    <row r="3697" spans="1:26" ht="12.75">
      <c r="A3697" s="11">
        <v>43747.144409722227</v>
      </c>
      <c r="B3697" s="12" t="str">
        <f>HYPERLINK("https://twitter.com/TarkAca94527960","@TarkAca94527960")</f>
        <v>@TarkAca94527960</v>
      </c>
      <c r="C3697" s="7" t="s">
        <v>19811</v>
      </c>
      <c r="D3697" s="7" t="s">
        <v>19812</v>
      </c>
      <c r="E3697" s="12" t="str">
        <f>HYPERLINK("https://twitter.com/TarkAca94527960/status/1181878961787330561","1181878961787330561")</f>
        <v>1181878961787330561</v>
      </c>
      <c r="F3697" s="8"/>
      <c r="G3697" s="14" t="s">
        <v>19813</v>
      </c>
      <c r="H3697" s="8"/>
      <c r="I3697" s="15">
        <v>0</v>
      </c>
      <c r="J3697" s="15">
        <v>2</v>
      </c>
      <c r="K3697" s="12" t="str">
        <f>HYPERLINK("http://twitter.com/download/iphone","Twitter for iPhone")</f>
        <v>Twitter for iPhone</v>
      </c>
      <c r="L3697" s="16">
        <v>4</v>
      </c>
      <c r="M3697" s="16">
        <v>1</v>
      </c>
      <c r="N3697" s="16">
        <v>0</v>
      </c>
      <c r="O3697" s="17"/>
      <c r="P3697" s="18">
        <v>43229.517604166671</v>
      </c>
      <c r="Q3697" s="7" t="s">
        <v>313</v>
      </c>
      <c r="R3697" s="7"/>
      <c r="S3697" s="8"/>
      <c r="T3697" s="8"/>
      <c r="U3697" s="19" t="str">
        <f>HYPERLINK("https://pbs.twimg.com/profile_images/1181562861610524672/Dl_IzU0k.jpg","View")</f>
        <v>View</v>
      </c>
      <c r="V3697" s="8"/>
      <c r="W3697" s="8"/>
      <c r="X3697" s="8"/>
      <c r="Y3697" s="8"/>
      <c r="Z3697" s="8"/>
    </row>
    <row r="3698" spans="1:26" ht="12.75">
      <c r="A3698" s="11">
        <v>43747.144363425927</v>
      </c>
      <c r="B3698" s="12" t="str">
        <f>HYPERLINK("https://twitter.com/polatpo56262777","@polatpo56262777")</f>
        <v>@polatpo56262777</v>
      </c>
      <c r="C3698" s="7" t="s">
        <v>19814</v>
      </c>
      <c r="D3698" s="7" t="s">
        <v>160</v>
      </c>
      <c r="E3698" s="12" t="str">
        <f>HYPERLINK("https://twitter.com/polatpo56262777/status/1181878943806345216","1181878943806345216")</f>
        <v>1181878943806345216</v>
      </c>
      <c r="F3698" s="8"/>
      <c r="G3698" s="15"/>
      <c r="H3698" s="8"/>
      <c r="I3698" s="15">
        <v>0</v>
      </c>
      <c r="J3698" s="15">
        <v>0</v>
      </c>
      <c r="K3698" s="12" t="str">
        <f>HYPERLINK("http://twitter.com/download/android","Twitter for Android")</f>
        <v>Twitter for Android</v>
      </c>
      <c r="L3698" s="16">
        <v>0</v>
      </c>
      <c r="M3698" s="16">
        <v>15</v>
      </c>
      <c r="N3698" s="16">
        <v>0</v>
      </c>
      <c r="O3698" s="17"/>
      <c r="P3698" s="18">
        <v>43633.570694444439</v>
      </c>
      <c r="Q3698" s="7"/>
      <c r="R3698" s="7"/>
      <c r="S3698" s="15"/>
      <c r="T3698" s="8"/>
      <c r="U3698" s="20" t="s">
        <v>354</v>
      </c>
      <c r="V3698" s="8"/>
      <c r="W3698" s="8"/>
      <c r="X3698" s="8"/>
      <c r="Y3698" s="8"/>
      <c r="Z3698" s="8"/>
    </row>
    <row r="3699" spans="1:26" ht="12.75">
      <c r="A3699" s="11">
        <v>43747.144305555557</v>
      </c>
      <c r="B3699" s="12" t="str">
        <f>HYPERLINK("https://twitter.com/seVimli_pandaaa","@seVimli_pandaaa")</f>
        <v>@seVimli_pandaaa</v>
      </c>
      <c r="C3699" s="7" t="s">
        <v>19815</v>
      </c>
      <c r="D3699" s="7" t="s">
        <v>19816</v>
      </c>
      <c r="E3699" s="12" t="str">
        <f>HYPERLINK("https://twitter.com/seVimli_pandaaa/status/1181878925871452160","1181878925871452160")</f>
        <v>1181878925871452160</v>
      </c>
      <c r="F3699" s="8"/>
      <c r="G3699" s="15"/>
      <c r="H3699" s="8"/>
      <c r="I3699" s="15">
        <v>0</v>
      </c>
      <c r="J3699" s="15">
        <v>1</v>
      </c>
      <c r="K3699" s="12" t="str">
        <f>HYPERLINK("http://twitter.com/download/android","Twitter for Android")</f>
        <v>Twitter for Android</v>
      </c>
      <c r="L3699" s="16">
        <v>23</v>
      </c>
      <c r="M3699" s="16">
        <v>379</v>
      </c>
      <c r="N3699" s="16">
        <v>0</v>
      </c>
      <c r="O3699" s="17"/>
      <c r="P3699" s="18">
        <v>43608.493576388893</v>
      </c>
      <c r="Q3699" s="7"/>
      <c r="R3699" s="7" t="s">
        <v>19817</v>
      </c>
      <c r="S3699" s="8"/>
      <c r="T3699" s="8"/>
      <c r="U3699" s="19" t="str">
        <f>HYPERLINK("https://pbs.twimg.com/profile_images/1131635917763022850/kQC63UYW.jpg","View")</f>
        <v>View</v>
      </c>
      <c r="V3699" s="8"/>
      <c r="W3699" s="8"/>
      <c r="X3699" s="8"/>
      <c r="Y3699" s="8"/>
      <c r="Z3699" s="8"/>
    </row>
    <row r="3700" spans="1:26" ht="12.75">
      <c r="A3700" s="11">
        <v>43747.144247685181</v>
      </c>
      <c r="B3700" s="12" t="str">
        <f>HYPERLINK("https://twitter.com/sukrucanaydogdu","@sukrucanaydogdu")</f>
        <v>@sukrucanaydogdu</v>
      </c>
      <c r="C3700" s="7" t="s">
        <v>19818</v>
      </c>
      <c r="D3700" s="7" t="s">
        <v>19819</v>
      </c>
      <c r="E3700" s="12" t="str">
        <f>HYPERLINK("https://twitter.com/sukrucanaydogdu/status/1181878904681877506","1181878904681877506")</f>
        <v>1181878904681877506</v>
      </c>
      <c r="F3700" s="8"/>
      <c r="G3700" s="14" t="s">
        <v>19820</v>
      </c>
      <c r="H3700" s="8"/>
      <c r="I3700" s="15">
        <v>0</v>
      </c>
      <c r="J3700" s="15">
        <v>0</v>
      </c>
      <c r="K3700" s="12" t="str">
        <f>HYPERLINK("http://twitter.com/download/android","Twitter for Android")</f>
        <v>Twitter for Android</v>
      </c>
      <c r="L3700" s="16">
        <v>170</v>
      </c>
      <c r="M3700" s="16">
        <v>51</v>
      </c>
      <c r="N3700" s="16">
        <v>1</v>
      </c>
      <c r="O3700" s="17"/>
      <c r="P3700" s="18">
        <v>41089.632569444446</v>
      </c>
      <c r="Q3700" s="7" t="s">
        <v>313</v>
      </c>
      <c r="R3700" s="7" t="s">
        <v>19821</v>
      </c>
      <c r="S3700" s="14" t="s">
        <v>19822</v>
      </c>
      <c r="T3700" s="8"/>
      <c r="U3700" s="19" t="str">
        <f>HYPERLINK("https://pbs.twimg.com/profile_images/1034053591844175873/-JC0r8Vs.jpg","View")</f>
        <v>View</v>
      </c>
      <c r="V3700" s="8"/>
      <c r="W3700" s="8"/>
      <c r="X3700" s="8"/>
      <c r="Y3700" s="8"/>
      <c r="Z3700" s="8"/>
    </row>
    <row r="3701" spans="1:26" ht="12.75">
      <c r="A3701" s="11">
        <v>43747.144247685181</v>
      </c>
      <c r="B3701" s="12" t="str">
        <f>HYPERLINK("https://twitter.com/Hakgeldi34","@Hakgeldi34")</f>
        <v>@Hakgeldi34</v>
      </c>
      <c r="C3701" s="7" t="s">
        <v>9982</v>
      </c>
      <c r="D3701" s="7" t="s">
        <v>19823</v>
      </c>
      <c r="E3701" s="12" t="str">
        <f>HYPERLINK("https://twitter.com/Hakgeldi34/status/1181878902324633603","1181878902324633603")</f>
        <v>1181878902324633603</v>
      </c>
      <c r="F3701" s="8"/>
      <c r="G3701" s="14" t="s">
        <v>19824</v>
      </c>
      <c r="H3701" s="8"/>
      <c r="I3701" s="15">
        <v>3</v>
      </c>
      <c r="J3701" s="15">
        <v>9</v>
      </c>
      <c r="K3701" s="12" t="str">
        <f>HYPERLINK("http://twitter.com/download/android","Twitter for Android")</f>
        <v>Twitter for Android</v>
      </c>
      <c r="L3701" s="16">
        <v>1204</v>
      </c>
      <c r="M3701" s="16">
        <v>1249</v>
      </c>
      <c r="N3701" s="16">
        <v>1</v>
      </c>
      <c r="O3701" s="17"/>
      <c r="P3701" s="18">
        <v>43414.512280092589</v>
      </c>
      <c r="Q3701" s="7"/>
      <c r="R3701" s="7"/>
      <c r="S3701" s="15"/>
      <c r="T3701" s="8"/>
      <c r="U3701" s="19" t="str">
        <f>HYPERLINK("https://pbs.twimg.com/profile_images/1148294365644840962/HW4qsQ7Q.jpg","View")</f>
        <v>View</v>
      </c>
      <c r="V3701" s="8"/>
      <c r="W3701" s="8"/>
      <c r="X3701" s="8"/>
      <c r="Y3701" s="8"/>
      <c r="Z3701" s="8"/>
    </row>
    <row r="3702" spans="1:26" ht="12.75">
      <c r="A3702" s="11">
        <v>43747.144108796296</v>
      </c>
      <c r="B3702" s="12" t="str">
        <f>HYPERLINK("https://twitter.com/KendineYusufCan","@KendineYusufCan")</f>
        <v>@KendineYusufCan</v>
      </c>
      <c r="C3702" s="7" t="s">
        <v>15226</v>
      </c>
      <c r="D3702" s="7" t="s">
        <v>160</v>
      </c>
      <c r="E3702" s="12" t="str">
        <f>HYPERLINK("https://twitter.com/KendineYusufCan/status/1181878853188440064","1181878853188440064")</f>
        <v>1181878853188440064</v>
      </c>
      <c r="F3702" s="8"/>
      <c r="G3702" s="14" t="s">
        <v>19825</v>
      </c>
      <c r="H3702" s="8"/>
      <c r="I3702" s="15">
        <v>0</v>
      </c>
      <c r="J3702" s="15">
        <v>0</v>
      </c>
      <c r="K3702" s="12" t="str">
        <f>HYPERLINK("http://twitter.com/download/iphone","Twitter for iPhone")</f>
        <v>Twitter for iPhone</v>
      </c>
      <c r="L3702" s="16">
        <v>36</v>
      </c>
      <c r="M3702" s="16">
        <v>32</v>
      </c>
      <c r="N3702" s="16">
        <v>0</v>
      </c>
      <c r="O3702" s="17"/>
      <c r="P3702" s="18">
        <v>43275.571354166663</v>
      </c>
      <c r="Q3702" s="7"/>
      <c r="R3702" s="7" t="s">
        <v>19826</v>
      </c>
      <c r="S3702" s="8"/>
      <c r="T3702" s="8"/>
      <c r="U3702" s="19" t="str">
        <f>HYPERLINK("https://pbs.twimg.com/profile_images/1164859870153191424/OsLvfVR5.jpg","View")</f>
        <v>View</v>
      </c>
      <c r="V3702" s="8"/>
      <c r="W3702" s="8"/>
      <c r="X3702" s="8"/>
      <c r="Y3702" s="8"/>
      <c r="Z3702" s="8"/>
    </row>
    <row r="3703" spans="1:26" ht="12.75">
      <c r="A3703" s="11">
        <v>43747.144108796296</v>
      </c>
      <c r="B3703" s="12" t="str">
        <f>HYPERLINK("https://twitter.com/EbubekirOZYGT","@EbubekirOZYGT")</f>
        <v>@EbubekirOZYGT</v>
      </c>
      <c r="C3703" s="7" t="s">
        <v>19827</v>
      </c>
      <c r="D3703" s="7" t="s">
        <v>19828</v>
      </c>
      <c r="E3703" s="12" t="str">
        <f>HYPERLINK("https://twitter.com/EbubekirOZYGT/status/1181878852861222912","1181878852861222912")</f>
        <v>1181878852861222912</v>
      </c>
      <c r="F3703" s="8"/>
      <c r="G3703" s="14" t="s">
        <v>19829</v>
      </c>
      <c r="H3703" s="8"/>
      <c r="I3703" s="15">
        <v>2</v>
      </c>
      <c r="J3703" s="15">
        <v>7</v>
      </c>
      <c r="K3703" s="12" t="str">
        <f>HYPERLINK("http://twitter.com/download/android","Twitter for Android")</f>
        <v>Twitter for Android</v>
      </c>
      <c r="L3703" s="16">
        <v>2034</v>
      </c>
      <c r="M3703" s="16">
        <v>2811</v>
      </c>
      <c r="N3703" s="16">
        <v>0</v>
      </c>
      <c r="O3703" s="17"/>
      <c r="P3703" s="18">
        <v>43066.136249999996</v>
      </c>
      <c r="Q3703" s="7"/>
      <c r="R3703" s="7" t="s">
        <v>19830</v>
      </c>
      <c r="S3703" s="8"/>
      <c r="T3703" s="8"/>
      <c r="U3703" s="19" t="str">
        <f>HYPERLINK("https://pbs.twimg.com/profile_images/1179626178015039488/ZK2lZxSQ.jpg","View")</f>
        <v>View</v>
      </c>
      <c r="V3703" s="8"/>
      <c r="W3703" s="8"/>
      <c r="X3703" s="8"/>
      <c r="Y3703" s="8"/>
      <c r="Z3703" s="8"/>
    </row>
    <row r="3704" spans="1:26" ht="12.75">
      <c r="A3704" s="11">
        <v>43747.144085648149</v>
      </c>
      <c r="B3704" s="12" t="str">
        <f>HYPERLINK("https://twitter.com/mehmetp4634","@mehmetp4634")</f>
        <v>@mehmetp4634</v>
      </c>
      <c r="C3704" s="7" t="s">
        <v>19831</v>
      </c>
      <c r="D3704" s="7" t="s">
        <v>19832</v>
      </c>
      <c r="E3704" s="12" t="str">
        <f>HYPERLINK("https://twitter.com/mehmetp4634/status/1181878843457572864","1181878843457572864")</f>
        <v>1181878843457572864</v>
      </c>
      <c r="F3704" s="8"/>
      <c r="G3704" s="15"/>
      <c r="H3704" s="8"/>
      <c r="I3704" s="15">
        <v>0</v>
      </c>
      <c r="J3704" s="15">
        <v>0</v>
      </c>
      <c r="K3704" s="12" t="str">
        <f>HYPERLINK("http://twitter.com/download/android","Twitter for Android")</f>
        <v>Twitter for Android</v>
      </c>
      <c r="L3704" s="16">
        <v>5356</v>
      </c>
      <c r="M3704" s="16">
        <v>166</v>
      </c>
      <c r="N3704" s="16">
        <v>2</v>
      </c>
      <c r="O3704" s="17"/>
      <c r="P3704" s="18">
        <v>41581.438356481478</v>
      </c>
      <c r="Q3704" s="7" t="s">
        <v>19833</v>
      </c>
      <c r="R3704" s="7" t="s">
        <v>19834</v>
      </c>
      <c r="S3704" s="15"/>
      <c r="T3704" s="8"/>
      <c r="U3704" s="19" t="str">
        <f>HYPERLINK("https://pbs.twimg.com/profile_images/946138419280916480/oTOBHC3q.jpg","View")</f>
        <v>View</v>
      </c>
      <c r="V3704" s="8"/>
      <c r="W3704" s="8"/>
      <c r="X3704" s="8"/>
      <c r="Y3704" s="8"/>
      <c r="Z3704" s="8"/>
    </row>
    <row r="3705" spans="1:26" ht="12.75">
      <c r="A3705" s="11">
        <v>43747.144027777773</v>
      </c>
      <c r="B3705" s="12" t="str">
        <f>HYPERLINK("https://twitter.com/hunturk1453","@hunturk1453")</f>
        <v>@hunturk1453</v>
      </c>
      <c r="C3705" s="7" t="s">
        <v>19835</v>
      </c>
      <c r="D3705" s="7" t="s">
        <v>160</v>
      </c>
      <c r="E3705" s="12" t="str">
        <f>HYPERLINK("https://twitter.com/hunturk1453/status/1181878824717492225","1181878824717492225")</f>
        <v>1181878824717492225</v>
      </c>
      <c r="F3705" s="8"/>
      <c r="G3705" s="14" t="s">
        <v>19836</v>
      </c>
      <c r="H3705" s="8"/>
      <c r="I3705" s="15">
        <v>1</v>
      </c>
      <c r="J3705" s="15">
        <v>2</v>
      </c>
      <c r="K3705" s="12" t="str">
        <f>HYPERLINK("https://mobile.twitter.com","Twitter Web App")</f>
        <v>Twitter Web App</v>
      </c>
      <c r="L3705" s="16">
        <v>983</v>
      </c>
      <c r="M3705" s="16">
        <v>89</v>
      </c>
      <c r="N3705" s="16">
        <v>7</v>
      </c>
      <c r="O3705" s="17"/>
      <c r="P3705" s="18">
        <v>40211.286087962959</v>
      </c>
      <c r="Q3705" s="7" t="s">
        <v>3321</v>
      </c>
      <c r="R3705" s="7" t="s">
        <v>19837</v>
      </c>
      <c r="S3705" s="8"/>
      <c r="T3705" s="8"/>
      <c r="U3705" s="19" t="str">
        <f>HYPERLINK("https://pbs.twimg.com/profile_images/816259492501422080/6az77eP7.jpg","View")</f>
        <v>View</v>
      </c>
      <c r="V3705" s="8"/>
      <c r="W3705" s="8"/>
      <c r="X3705" s="8"/>
      <c r="Y3705" s="8"/>
      <c r="Z3705" s="8"/>
    </row>
    <row r="3706" spans="1:26" ht="12.75">
      <c r="A3706" s="11">
        <v>43747.144004629634</v>
      </c>
      <c r="B3706" s="12" t="str">
        <f>HYPERLINK("https://twitter.com/kara_aziz_II","@kara_aziz_II")</f>
        <v>@kara_aziz_II</v>
      </c>
      <c r="C3706" s="7" t="s">
        <v>19838</v>
      </c>
      <c r="D3706" s="7" t="s">
        <v>19839</v>
      </c>
      <c r="E3706" s="12" t="str">
        <f>HYPERLINK("https://twitter.com/kara_aziz_II/status/1181878817054511104","1181878817054511104")</f>
        <v>1181878817054511104</v>
      </c>
      <c r="F3706" s="8"/>
      <c r="G3706" s="15"/>
      <c r="H3706" s="8"/>
      <c r="I3706" s="15">
        <v>0</v>
      </c>
      <c r="J3706" s="15">
        <v>1</v>
      </c>
      <c r="K3706" s="12" t="str">
        <f>HYPERLINK("https://mobile.twitter.com","Twitter Web App")</f>
        <v>Twitter Web App</v>
      </c>
      <c r="L3706" s="16">
        <v>15</v>
      </c>
      <c r="M3706" s="16">
        <v>76</v>
      </c>
      <c r="N3706" s="16">
        <v>0</v>
      </c>
      <c r="O3706" s="17"/>
      <c r="P3706" s="18">
        <v>43736.032037037032</v>
      </c>
      <c r="Q3706" s="7" t="s">
        <v>860</v>
      </c>
      <c r="R3706" s="7" t="s">
        <v>19840</v>
      </c>
      <c r="S3706" s="8"/>
      <c r="T3706" s="8"/>
      <c r="U3706" s="19" t="str">
        <f>HYPERLINK("https://pbs.twimg.com/profile_images/1177854887079632901/igyGYiz-.jpg","View")</f>
        <v>View</v>
      </c>
      <c r="V3706" s="8"/>
      <c r="W3706" s="8"/>
      <c r="X3706" s="8"/>
      <c r="Y3706" s="8"/>
      <c r="Z3706" s="8"/>
    </row>
    <row r="3707" spans="1:26" ht="12.75">
      <c r="A3707" s="11">
        <v>43747.143993055557</v>
      </c>
      <c r="B3707" s="12" t="str">
        <f>HYPERLINK("https://twitter.com/murat41045663","@murat41045663")</f>
        <v>@murat41045663</v>
      </c>
      <c r="C3707" s="7" t="s">
        <v>12392</v>
      </c>
      <c r="D3707" s="7" t="s">
        <v>19841</v>
      </c>
      <c r="E3707" s="12" t="str">
        <f>HYPERLINK("https://twitter.com/murat41045663/status/1181878812910526464","1181878812910526464")</f>
        <v>1181878812910526464</v>
      </c>
      <c r="F3707" s="8"/>
      <c r="G3707" s="14" t="s">
        <v>19842</v>
      </c>
      <c r="H3707" s="8"/>
      <c r="I3707" s="15">
        <v>0</v>
      </c>
      <c r="J3707" s="15">
        <v>2</v>
      </c>
      <c r="K3707" s="12" t="str">
        <f>HYPERLINK("http://twitter.com/download/iphone","Twitter for iPhone")</f>
        <v>Twitter for iPhone</v>
      </c>
      <c r="L3707" s="16">
        <v>24</v>
      </c>
      <c r="M3707" s="16">
        <v>72</v>
      </c>
      <c r="N3707" s="16">
        <v>0</v>
      </c>
      <c r="O3707" s="17"/>
      <c r="P3707" s="18">
        <v>43660.565347222218</v>
      </c>
      <c r="Q3707" s="7"/>
      <c r="R3707" s="7" t="s">
        <v>19843</v>
      </c>
      <c r="S3707" s="8"/>
      <c r="T3707" s="8"/>
      <c r="U3707" s="19" t="str">
        <f>HYPERLINK("https://pbs.twimg.com/profile_images/1150504054168150021/3qvp6F9E.jpg","View")</f>
        <v>View</v>
      </c>
      <c r="V3707" s="8"/>
      <c r="W3707" s="8"/>
      <c r="X3707" s="8"/>
      <c r="Y3707" s="8"/>
      <c r="Z3707" s="8"/>
    </row>
    <row r="3708" spans="1:26" ht="12.75">
      <c r="A3708" s="11">
        <v>43747.143912037034</v>
      </c>
      <c r="B3708" s="12" t="str">
        <f>HYPERLINK("https://twitter.com/UcgunZeki","@UcgunZeki")</f>
        <v>@UcgunZeki</v>
      </c>
      <c r="C3708" s="7" t="s">
        <v>19844</v>
      </c>
      <c r="D3708" s="7" t="s">
        <v>160</v>
      </c>
      <c r="E3708" s="12" t="str">
        <f>HYPERLINK("https://twitter.com/UcgunZeki/status/1181878782967402497","1181878782967402497")</f>
        <v>1181878782967402497</v>
      </c>
      <c r="F3708" s="15"/>
      <c r="G3708" s="15"/>
      <c r="H3708" s="8"/>
      <c r="I3708" s="15">
        <v>0</v>
      </c>
      <c r="J3708" s="15">
        <v>0</v>
      </c>
      <c r="K3708" s="12" t="str">
        <f>HYPERLINK("http://twitter.com/download/android","Twitter for Android")</f>
        <v>Twitter for Android</v>
      </c>
      <c r="L3708" s="16">
        <v>1</v>
      </c>
      <c r="M3708" s="16">
        <v>9</v>
      </c>
      <c r="N3708" s="16">
        <v>0</v>
      </c>
      <c r="O3708" s="17"/>
      <c r="P3708" s="18">
        <v>43626.277754629627</v>
      </c>
      <c r="Q3708" s="7" t="s">
        <v>19845</v>
      </c>
      <c r="R3708" s="7" t="s">
        <v>19846</v>
      </c>
      <c r="S3708" s="8"/>
      <c r="T3708" s="8"/>
      <c r="U3708" s="19" t="str">
        <f>HYPERLINK("https://pbs.twimg.com/profile_images/1138078819875721217/4kZceQkB.jpg","View")</f>
        <v>View</v>
      </c>
      <c r="V3708" s="8"/>
      <c r="W3708" s="8"/>
      <c r="X3708" s="8"/>
      <c r="Y3708" s="8"/>
      <c r="Z3708" s="8"/>
    </row>
    <row r="3709" spans="1:26" ht="12.75">
      <c r="A3709" s="11">
        <v>43747.143877314811</v>
      </c>
      <c r="B3709" s="12" t="str">
        <f>HYPERLINK("https://twitter.com/aleeynabozkurt","@aleeynabozkurt")</f>
        <v>@aleeynabozkurt</v>
      </c>
      <c r="C3709" s="7" t="s">
        <v>19847</v>
      </c>
      <c r="D3709" s="7" t="s">
        <v>19848</v>
      </c>
      <c r="E3709" s="12" t="str">
        <f>HYPERLINK("https://twitter.com/aleeynabozkurt/status/1181878768727740417","1181878768727740417")</f>
        <v>1181878768727740417</v>
      </c>
      <c r="F3709" s="8"/>
      <c r="G3709" s="14" t="s">
        <v>19849</v>
      </c>
      <c r="H3709" s="8"/>
      <c r="I3709" s="15">
        <v>0</v>
      </c>
      <c r="J3709" s="15">
        <v>0</v>
      </c>
      <c r="K3709" s="12" t="str">
        <f>HYPERLINK("https://mobile.twitter.com","Twitter Web App")</f>
        <v>Twitter Web App</v>
      </c>
      <c r="L3709" s="16">
        <v>160</v>
      </c>
      <c r="M3709" s="16">
        <v>118</v>
      </c>
      <c r="N3709" s="16">
        <v>0</v>
      </c>
      <c r="O3709" s="17"/>
      <c r="P3709" s="18">
        <v>41437.444236111114</v>
      </c>
      <c r="Q3709" s="7"/>
      <c r="R3709" s="7"/>
      <c r="S3709" s="15"/>
      <c r="T3709" s="8"/>
      <c r="U3709" s="19" t="str">
        <f>HYPERLINK("https://pbs.twimg.com/profile_images/1078043688230637568/ppZuL8wt.jpg","View")</f>
        <v>View</v>
      </c>
      <c r="V3709" s="8"/>
      <c r="W3709" s="8"/>
      <c r="X3709" s="8"/>
      <c r="Y3709" s="8"/>
      <c r="Z3709" s="8"/>
    </row>
    <row r="3710" spans="1:26" ht="12.75">
      <c r="A3710" s="11">
        <v>43747.143877314811</v>
      </c>
      <c r="B3710" s="12" t="str">
        <f>HYPERLINK("https://twitter.com/sayitmeral","@sayitmeral")</f>
        <v>@sayitmeral</v>
      </c>
      <c r="C3710" s="7" t="s">
        <v>19850</v>
      </c>
      <c r="D3710" s="7" t="s">
        <v>19851</v>
      </c>
      <c r="E3710" s="12" t="str">
        <f>HYPERLINK("https://twitter.com/sayitmeral/status/1181878767825891329","1181878767825891329")</f>
        <v>1181878767825891329</v>
      </c>
      <c r="F3710" s="8"/>
      <c r="G3710" s="14" t="s">
        <v>19852</v>
      </c>
      <c r="H3710" s="8"/>
      <c r="I3710" s="15">
        <v>0</v>
      </c>
      <c r="J3710" s="15">
        <v>0</v>
      </c>
      <c r="K3710" s="12" t="str">
        <f>HYPERLINK("https://mobile.twitter.com","Twitter Web App")</f>
        <v>Twitter Web App</v>
      </c>
      <c r="L3710" s="16">
        <v>8</v>
      </c>
      <c r="M3710" s="16">
        <v>4</v>
      </c>
      <c r="N3710" s="16">
        <v>0</v>
      </c>
      <c r="O3710" s="17"/>
      <c r="P3710" s="18">
        <v>42349.397789351853</v>
      </c>
      <c r="Q3710" s="7"/>
      <c r="R3710" s="7"/>
      <c r="S3710" s="8"/>
      <c r="T3710" s="8"/>
      <c r="U3710" s="19" t="str">
        <f>HYPERLINK("https://pbs.twimg.com/profile_images/735064466354778112/NmAqW__O.jpg","View")</f>
        <v>View</v>
      </c>
      <c r="V3710" s="8"/>
      <c r="W3710" s="8"/>
      <c r="X3710" s="8"/>
      <c r="Y3710" s="8"/>
      <c r="Z3710" s="8"/>
    </row>
    <row r="3711" spans="1:26" ht="12.75">
      <c r="A3711" s="11">
        <v>43747.143819444449</v>
      </c>
      <c r="B3711" s="12" t="str">
        <f>HYPERLINK("https://twitter.com/Akrpburcu","@Akrpburcu")</f>
        <v>@Akrpburcu</v>
      </c>
      <c r="C3711" s="7" t="s">
        <v>19853</v>
      </c>
      <c r="D3711" s="7" t="s">
        <v>16624</v>
      </c>
      <c r="E3711" s="12" t="str">
        <f>HYPERLINK("https://twitter.com/Akrpburcu/status/1181878746485276672","1181878746485276672")</f>
        <v>1181878746485276672</v>
      </c>
      <c r="F3711" s="8"/>
      <c r="G3711" s="14" t="s">
        <v>19854</v>
      </c>
      <c r="H3711" s="8"/>
      <c r="I3711" s="15">
        <v>1</v>
      </c>
      <c r="J3711" s="15">
        <v>1</v>
      </c>
      <c r="K3711" s="12" t="str">
        <f>HYPERLINK("http://twitter.com/download/iphone","Twitter for iPhone")</f>
        <v>Twitter for iPhone</v>
      </c>
      <c r="L3711" s="16">
        <v>2087</v>
      </c>
      <c r="M3711" s="16">
        <v>2136</v>
      </c>
      <c r="N3711" s="16">
        <v>1</v>
      </c>
      <c r="O3711" s="17"/>
      <c r="P3711" s="18">
        <v>43551.066944444443</v>
      </c>
      <c r="Q3711" s="7"/>
      <c r="R3711" s="7" t="s">
        <v>19855</v>
      </c>
      <c r="S3711" s="8"/>
      <c r="T3711" s="8"/>
      <c r="U3711" s="19" t="str">
        <f>HYPERLINK("https://pbs.twimg.com/profile_images/1178020135052988423/KnA5kPeo.jpg","View")</f>
        <v>View</v>
      </c>
      <c r="V3711" s="8"/>
      <c r="W3711" s="8"/>
      <c r="X3711" s="8"/>
      <c r="Y3711" s="8"/>
      <c r="Z3711" s="8"/>
    </row>
    <row r="3712" spans="1:26" ht="12.75">
      <c r="A3712" s="11">
        <v>43747.143738425926</v>
      </c>
      <c r="B3712" s="12" t="str">
        <f>HYPERLINK("https://twitter.com/TugayOzayAsan","@TugayOzayAsan")</f>
        <v>@TugayOzayAsan</v>
      </c>
      <c r="C3712" s="7" t="s">
        <v>19856</v>
      </c>
      <c r="D3712" s="7" t="s">
        <v>19857</v>
      </c>
      <c r="E3712" s="12" t="str">
        <f>HYPERLINK("https://twitter.com/TugayOzayAsan/status/1181878721013276672","1181878721013276672")</f>
        <v>1181878721013276672</v>
      </c>
      <c r="F3712" s="15"/>
      <c r="G3712" s="7"/>
      <c r="H3712" s="8"/>
      <c r="I3712" s="15">
        <v>0</v>
      </c>
      <c r="J3712" s="15">
        <v>0</v>
      </c>
      <c r="K3712" s="12" t="str">
        <f>HYPERLINK("http://twitter.com/download/android","Twitter for Android")</f>
        <v>Twitter for Android</v>
      </c>
      <c r="L3712" s="16">
        <v>450</v>
      </c>
      <c r="M3712" s="16">
        <v>659</v>
      </c>
      <c r="N3712" s="16">
        <v>0</v>
      </c>
      <c r="O3712" s="17"/>
      <c r="P3712" s="18">
        <v>41539.240451388891</v>
      </c>
      <c r="Q3712" s="7" t="s">
        <v>19858</v>
      </c>
      <c r="R3712" s="7" t="s">
        <v>19859</v>
      </c>
      <c r="S3712" s="14" t="s">
        <v>19860</v>
      </c>
      <c r="T3712" s="8"/>
      <c r="U3712" s="19" t="str">
        <f>HYPERLINK("https://pbs.twimg.com/profile_images/1103603851524038658/3YCkmrMn.jpg","View")</f>
        <v>View</v>
      </c>
      <c r="V3712" s="8"/>
      <c r="W3712" s="8"/>
      <c r="X3712" s="8"/>
      <c r="Y3712" s="8"/>
      <c r="Z3712" s="8"/>
    </row>
    <row r="3713" spans="1:26" ht="12.75">
      <c r="A3713" s="11">
        <v>43747.14366898148</v>
      </c>
      <c r="B3713" s="12" t="str">
        <f>HYPERLINK("https://twitter.com/ahuoglu","@ahuoglu")</f>
        <v>@ahuoglu</v>
      </c>
      <c r="C3713" s="7" t="s">
        <v>19861</v>
      </c>
      <c r="D3713" s="7" t="s">
        <v>19862</v>
      </c>
      <c r="E3713" s="12" t="str">
        <f>HYPERLINK("https://twitter.com/ahuoglu/status/1181878692890517504","1181878692890517504")</f>
        <v>1181878692890517504</v>
      </c>
      <c r="F3713" s="8"/>
      <c r="G3713" s="14" t="s">
        <v>19863</v>
      </c>
      <c r="H3713" s="8"/>
      <c r="I3713" s="15">
        <v>0</v>
      </c>
      <c r="J3713" s="15">
        <v>0</v>
      </c>
      <c r="K3713" s="12" t="str">
        <f>HYPERLINK("http://twitter.com/download/iphone","Twitter for iPhone")</f>
        <v>Twitter for iPhone</v>
      </c>
      <c r="L3713" s="16">
        <v>270</v>
      </c>
      <c r="M3713" s="16">
        <v>305</v>
      </c>
      <c r="N3713" s="16">
        <v>1</v>
      </c>
      <c r="O3713" s="17"/>
      <c r="P3713" s="18">
        <v>40587.569965277777</v>
      </c>
      <c r="Q3713" s="7"/>
      <c r="R3713" s="7" t="s">
        <v>19864</v>
      </c>
      <c r="S3713" s="8"/>
      <c r="T3713" s="8"/>
      <c r="U3713" s="19" t="str">
        <f>HYPERLINK("https://pbs.twimg.com/profile_images/1176608522542428161/Uyq3lPlR.jpg","View")</f>
        <v>View</v>
      </c>
      <c r="V3713" s="8"/>
      <c r="W3713" s="8"/>
      <c r="X3713" s="8"/>
      <c r="Y3713" s="8"/>
      <c r="Z3713" s="8"/>
    </row>
    <row r="3714" spans="1:26" ht="12.75">
      <c r="A3714" s="11">
        <v>43747.143657407403</v>
      </c>
      <c r="B3714" s="12" t="str">
        <f>HYPERLINK("https://twitter.com/cinarefe0904","@cinarefe0904")</f>
        <v>@cinarefe0904</v>
      </c>
      <c r="C3714" s="7" t="s">
        <v>19865</v>
      </c>
      <c r="D3714" s="7" t="s">
        <v>19866</v>
      </c>
      <c r="E3714" s="12" t="str">
        <f>HYPERLINK("https://twitter.com/cinarefe0904/status/1181878691028176896","1181878691028176896")</f>
        <v>1181878691028176896</v>
      </c>
      <c r="F3714" s="8"/>
      <c r="G3714" s="15"/>
      <c r="H3714" s="8"/>
      <c r="I3714" s="15">
        <v>0</v>
      </c>
      <c r="J3714" s="15">
        <v>0</v>
      </c>
      <c r="K3714" s="12" t="str">
        <f>HYPERLINK("http://twitter.com/download/android","Twitter for Android")</f>
        <v>Twitter for Android</v>
      </c>
      <c r="L3714" s="16">
        <v>4</v>
      </c>
      <c r="M3714" s="16">
        <v>50</v>
      </c>
      <c r="N3714" s="16">
        <v>0</v>
      </c>
      <c r="O3714" s="17"/>
      <c r="P3714" s="18">
        <v>43426.196412037039</v>
      </c>
      <c r="Q3714" s="7" t="s">
        <v>13642</v>
      </c>
      <c r="R3714" s="7" t="s">
        <v>19867</v>
      </c>
      <c r="S3714" s="8"/>
      <c r="T3714" s="8"/>
      <c r="U3714" s="19" t="str">
        <f>HYPERLINK("https://pbs.twimg.com/profile_images/1065626598743912450/jvvK3-CT.jpg","View")</f>
        <v>View</v>
      </c>
      <c r="V3714" s="8"/>
      <c r="W3714" s="8"/>
      <c r="X3714" s="8"/>
      <c r="Y3714" s="8"/>
      <c r="Z3714" s="8"/>
    </row>
    <row r="3715" spans="1:26" ht="12.75">
      <c r="A3715" s="11">
        <v>43747.14362268518</v>
      </c>
      <c r="B3715" s="12" t="str">
        <f>HYPERLINK("https://twitter.com/ankara_guclu_","@ankara_guclu_")</f>
        <v>@ankara_guclu_</v>
      </c>
      <c r="C3715" s="7" t="s">
        <v>12895</v>
      </c>
      <c r="D3715" s="7" t="s">
        <v>19869</v>
      </c>
      <c r="E3715" s="12" t="str">
        <f>HYPERLINK("https://twitter.com/ankara_guclu_/status/1181878677879037953","1181878677879037953")</f>
        <v>1181878677879037953</v>
      </c>
      <c r="F3715" s="8"/>
      <c r="G3715" s="14" t="s">
        <v>19870</v>
      </c>
      <c r="H3715" s="8"/>
      <c r="I3715" s="15">
        <v>0</v>
      </c>
      <c r="J3715" s="15">
        <v>0</v>
      </c>
      <c r="K3715" s="12" t="str">
        <f>HYPERLINK("http://twitter.com/download/android","Twitter for Android")</f>
        <v>Twitter for Android</v>
      </c>
      <c r="L3715" s="16">
        <v>0</v>
      </c>
      <c r="M3715" s="16">
        <v>0</v>
      </c>
      <c r="N3715" s="16">
        <v>0</v>
      </c>
      <c r="O3715" s="17"/>
      <c r="P3715" s="18">
        <v>43266.235081018516</v>
      </c>
      <c r="Q3715" s="7"/>
      <c r="R3715" s="7"/>
      <c r="S3715" s="8"/>
      <c r="T3715" s="8"/>
      <c r="U3715" s="19" t="str">
        <f>HYPERLINK("https://pbs.twimg.com/profile_images/1181874159535710209/49p6Hh-t.jpg","View")</f>
        <v>View</v>
      </c>
      <c r="V3715" s="8"/>
      <c r="W3715" s="8"/>
      <c r="X3715" s="8"/>
      <c r="Y3715" s="8"/>
      <c r="Z3715" s="8"/>
    </row>
    <row r="3716" spans="1:26" ht="12.75">
      <c r="A3716" s="11">
        <v>43747.143611111111</v>
      </c>
      <c r="B3716" s="12" t="str">
        <f>HYPERLINK("https://twitter.com/yazi_yorum__","@yazi_yorum__")</f>
        <v>@yazi_yorum__</v>
      </c>
      <c r="C3716" s="7" t="s">
        <v>19871</v>
      </c>
      <c r="D3716" s="7" t="s">
        <v>19872</v>
      </c>
      <c r="E3716" s="12" t="str">
        <f>HYPERLINK("https://twitter.com/yazi_yorum__/status/1181878673219227648","1181878673219227648")</f>
        <v>1181878673219227648</v>
      </c>
      <c r="F3716" s="8"/>
      <c r="G3716" s="14" t="s">
        <v>19873</v>
      </c>
      <c r="H3716" s="8"/>
      <c r="I3716" s="15">
        <v>1</v>
      </c>
      <c r="J3716" s="15">
        <v>1</v>
      </c>
      <c r="K3716" s="12" t="str">
        <f>HYPERLINK("http://twitter.com/download/android","Twitter for Android")</f>
        <v>Twitter for Android</v>
      </c>
      <c r="L3716" s="16">
        <v>121954</v>
      </c>
      <c r="M3716" s="16">
        <v>56336</v>
      </c>
      <c r="N3716" s="16">
        <v>84</v>
      </c>
      <c r="O3716" s="17"/>
      <c r="P3716" s="18">
        <v>41532.642870370371</v>
      </c>
      <c r="Q3716" s="7"/>
      <c r="R3716" s="7" t="s">
        <v>19874</v>
      </c>
      <c r="S3716" s="8"/>
      <c r="T3716" s="8"/>
      <c r="U3716" s="19" t="str">
        <f>HYPERLINK("https://pbs.twimg.com/profile_images/1115660749223944193/uAYR7kn9.jpg","View")</f>
        <v>View</v>
      </c>
      <c r="V3716" s="8"/>
      <c r="W3716" s="8"/>
      <c r="X3716" s="8"/>
      <c r="Y3716" s="8"/>
      <c r="Z3716" s="8"/>
    </row>
    <row r="3717" spans="1:26" ht="12.75">
      <c r="A3717" s="11">
        <v>43747.143611111111</v>
      </c>
      <c r="B3717" s="12" t="str">
        <f>HYPERLINK("https://twitter.com/HanifiLd","@HanifiLd")</f>
        <v>@HanifiLd</v>
      </c>
      <c r="C3717" s="7" t="s">
        <v>19875</v>
      </c>
      <c r="D3717" s="7" t="s">
        <v>19876</v>
      </c>
      <c r="E3717" s="12" t="str">
        <f>HYPERLINK("https://twitter.com/HanifiLd/status/1181878671298183168","1181878671298183168")</f>
        <v>1181878671298183168</v>
      </c>
      <c r="F3717" s="8"/>
      <c r="G3717" s="15"/>
      <c r="H3717" s="8"/>
      <c r="I3717" s="15">
        <v>0</v>
      </c>
      <c r="J3717" s="15">
        <v>0</v>
      </c>
      <c r="K3717" s="12" t="str">
        <f>HYPERLINK("http://twitter.com/download/android","Twitter for Android")</f>
        <v>Twitter for Android</v>
      </c>
      <c r="L3717" s="16">
        <v>186</v>
      </c>
      <c r="M3717" s="16">
        <v>189</v>
      </c>
      <c r="N3717" s="16">
        <v>0</v>
      </c>
      <c r="O3717" s="17"/>
      <c r="P3717" s="18">
        <v>41827.507928240739</v>
      </c>
      <c r="Q3717" s="7"/>
      <c r="R3717" s="7" t="s">
        <v>19877</v>
      </c>
      <c r="S3717" s="8"/>
      <c r="T3717" s="8"/>
      <c r="U3717" s="19" t="str">
        <f>HYPERLINK("https://pbs.twimg.com/profile_images/1151633614377029634/HxUgtMKW.jpg","View")</f>
        <v>View</v>
      </c>
      <c r="V3717" s="8"/>
      <c r="W3717" s="8"/>
      <c r="X3717" s="8"/>
      <c r="Y3717" s="8"/>
      <c r="Z3717" s="8"/>
    </row>
    <row r="3718" spans="1:26" ht="12.75">
      <c r="A3718" s="11">
        <v>43747.143599537041</v>
      </c>
      <c r="B3718" s="12" t="str">
        <f>HYPERLINK("https://twitter.com/BrkDastan","@BrkDastan")</f>
        <v>@BrkDastan</v>
      </c>
      <c r="C3718" s="7" t="s">
        <v>19878</v>
      </c>
      <c r="D3718" s="7" t="s">
        <v>1077</v>
      </c>
      <c r="E3718" s="12" t="str">
        <f>HYPERLINK("https://twitter.com/BrkDastan/status/1181878668580261891","1181878668580261891")</f>
        <v>1181878668580261891</v>
      </c>
      <c r="F3718" s="8"/>
      <c r="G3718" s="14" t="s">
        <v>19879</v>
      </c>
      <c r="H3718" s="8"/>
      <c r="I3718" s="15">
        <v>0</v>
      </c>
      <c r="J3718" s="15">
        <v>0</v>
      </c>
      <c r="K3718" s="12" t="str">
        <f>HYPERLINK("http://twitter.com/download/android","Twitter for Android")</f>
        <v>Twitter for Android</v>
      </c>
      <c r="L3718" s="16">
        <v>290</v>
      </c>
      <c r="M3718" s="16">
        <v>197</v>
      </c>
      <c r="N3718" s="16">
        <v>0</v>
      </c>
      <c r="O3718" s="17"/>
      <c r="P3718" s="18">
        <v>41843.11142361111</v>
      </c>
      <c r="Q3718" s="7" t="s">
        <v>19880</v>
      </c>
      <c r="R3718" s="7"/>
      <c r="S3718" s="8"/>
      <c r="T3718" s="8"/>
      <c r="U3718" s="19" t="str">
        <f>HYPERLINK("https://pbs.twimg.com/profile_images/1114801873972858882/-GaCe7IE.jpg","View")</f>
        <v>View</v>
      </c>
      <c r="V3718" s="8"/>
      <c r="W3718" s="8"/>
      <c r="X3718" s="8"/>
      <c r="Y3718" s="8"/>
      <c r="Z3718" s="8"/>
    </row>
    <row r="3719" spans="1:26" ht="12.75">
      <c r="A3719" s="11">
        <v>43747.143576388888</v>
      </c>
      <c r="B3719" s="12" t="str">
        <f>HYPERLINK("https://twitter.com/FatihGunes27","@FatihGunes27")</f>
        <v>@FatihGunes27</v>
      </c>
      <c r="C3719" s="7" t="s">
        <v>19881</v>
      </c>
      <c r="D3719" s="7" t="s">
        <v>19882</v>
      </c>
      <c r="E3719" s="12" t="str">
        <f>HYPERLINK("https://twitter.com/FatihGunes27/status/1181878658891472896","1181878658891472896")</f>
        <v>1181878658891472896</v>
      </c>
      <c r="F3719" s="8"/>
      <c r="G3719" s="15"/>
      <c r="H3719" s="8"/>
      <c r="I3719" s="15">
        <v>0</v>
      </c>
      <c r="J3719" s="15">
        <v>0</v>
      </c>
      <c r="K3719" s="12" t="str">
        <f>HYPERLINK("http://twitter.com/download/iphone","Twitter for iPhone")</f>
        <v>Twitter for iPhone</v>
      </c>
      <c r="L3719" s="16">
        <v>36</v>
      </c>
      <c r="M3719" s="16">
        <v>87</v>
      </c>
      <c r="N3719" s="16">
        <v>0</v>
      </c>
      <c r="O3719" s="17"/>
      <c r="P3719" s="18">
        <v>41989.481747685189</v>
      </c>
      <c r="Q3719" s="7" t="s">
        <v>4645</v>
      </c>
      <c r="R3719" s="7" t="s">
        <v>19883</v>
      </c>
      <c r="S3719" s="8"/>
      <c r="T3719" s="8"/>
      <c r="U3719" s="19" t="str">
        <f>HYPERLINK("https://pbs.twimg.com/profile_images/1181865842860011521/xo3vczqS.jpg","View")</f>
        <v>View</v>
      </c>
      <c r="V3719" s="8"/>
      <c r="W3719" s="8"/>
      <c r="X3719" s="8"/>
      <c r="Y3719" s="8"/>
      <c r="Z3719" s="8"/>
    </row>
    <row r="3720" spans="1:26" ht="12.75">
      <c r="A3720" s="11">
        <v>43747.143564814818</v>
      </c>
      <c r="B3720" s="12" t="str">
        <f>HYPERLINK("https://twitter.com/aleynaparlaak61","@aleynaparlaak61")</f>
        <v>@aleynaparlaak61</v>
      </c>
      <c r="C3720" s="13" t="s">
        <v>5783</v>
      </c>
      <c r="D3720" s="7" t="s">
        <v>160</v>
      </c>
      <c r="E3720" s="12" t="str">
        <f>HYPERLINK("https://twitter.com/aleynaparlaak61/status/1181878657394073601","1181878657394073601")</f>
        <v>1181878657394073601</v>
      </c>
      <c r="F3720" s="8"/>
      <c r="G3720" s="14" t="s">
        <v>19884</v>
      </c>
      <c r="H3720" s="8"/>
      <c r="I3720" s="15">
        <v>0</v>
      </c>
      <c r="J3720" s="15">
        <v>0</v>
      </c>
      <c r="K3720" s="12" t="str">
        <f>HYPERLINK("http://twitter.com/download/android","Twitter for Android")</f>
        <v>Twitter for Android</v>
      </c>
      <c r="L3720" s="16">
        <v>637</v>
      </c>
      <c r="M3720" s="16">
        <v>524</v>
      </c>
      <c r="N3720" s="16">
        <v>0</v>
      </c>
      <c r="O3720" s="17"/>
      <c r="P3720" s="18">
        <v>43726.407696759255</v>
      </c>
      <c r="Q3720" s="7" t="s">
        <v>313</v>
      </c>
      <c r="R3720" s="7" t="s">
        <v>19885</v>
      </c>
      <c r="S3720" s="8"/>
      <c r="T3720" s="8"/>
      <c r="U3720" s="19" t="str">
        <f>HYPERLINK("https://pbs.twimg.com/profile_images/1181226340583907328/D2f4K0h5.jpg","View")</f>
        <v>View</v>
      </c>
      <c r="V3720" s="8"/>
      <c r="W3720" s="8"/>
      <c r="X3720" s="8"/>
      <c r="Y3720" s="8"/>
      <c r="Z3720" s="8"/>
    </row>
    <row r="3721" spans="1:26" ht="12.75">
      <c r="A3721" s="11">
        <v>43747.143506944441</v>
      </c>
      <c r="B3721" s="12" t="str">
        <f>HYPERLINK("https://twitter.com/Tamburcu_Mervee","@Tamburcu_Mervee")</f>
        <v>@Tamburcu_Mervee</v>
      </c>
      <c r="C3721" s="7" t="s">
        <v>19886</v>
      </c>
      <c r="D3721" s="7" t="s">
        <v>19887</v>
      </c>
      <c r="E3721" s="12" t="str">
        <f>HYPERLINK("https://twitter.com/Tamburcu_Mervee/status/1181878636888150021","1181878636888150021")</f>
        <v>1181878636888150021</v>
      </c>
      <c r="F3721" s="8"/>
      <c r="G3721" s="14" t="s">
        <v>19888</v>
      </c>
      <c r="H3721" s="8"/>
      <c r="I3721" s="15">
        <v>0</v>
      </c>
      <c r="J3721" s="15">
        <v>2</v>
      </c>
      <c r="K3721" s="12" t="str">
        <f>HYPERLINK("https://mobile.twitter.com","Twitter Web App")</f>
        <v>Twitter Web App</v>
      </c>
      <c r="L3721" s="16">
        <v>159</v>
      </c>
      <c r="M3721" s="16">
        <v>58</v>
      </c>
      <c r="N3721" s="16">
        <v>1</v>
      </c>
      <c r="O3721" s="17"/>
      <c r="P3721" s="18">
        <v>41382.259328703702</v>
      </c>
      <c r="Q3721" s="7"/>
      <c r="R3721" s="7" t="s">
        <v>19889</v>
      </c>
      <c r="S3721" s="15"/>
      <c r="T3721" s="8"/>
      <c r="U3721" s="19" t="str">
        <f>HYPERLINK("https://pbs.twimg.com/profile_images/1118783767001300992/Qqw4bvCO.png","View")</f>
        <v>View</v>
      </c>
      <c r="V3721" s="8"/>
      <c r="W3721" s="8"/>
      <c r="X3721" s="8"/>
      <c r="Y3721" s="8"/>
      <c r="Z3721" s="8"/>
    </row>
    <row r="3722" spans="1:26" ht="12.75">
      <c r="A3722" s="11">
        <v>43747.143472222218</v>
      </c>
      <c r="B3722" s="12" t="str">
        <f>HYPERLINK("https://twitter.com/Uzuncavdartkd","@Uzuncavdartkd")</f>
        <v>@Uzuncavdartkd</v>
      </c>
      <c r="C3722" s="7" t="s">
        <v>19890</v>
      </c>
      <c r="D3722" s="7" t="s">
        <v>19891</v>
      </c>
      <c r="E3722" s="12" t="str">
        <f>HYPERLINK("https://twitter.com/Uzuncavdartkd/status/1181878624472973312","1181878624472973312")</f>
        <v>1181878624472973312</v>
      </c>
      <c r="F3722" s="8"/>
      <c r="G3722" s="14" t="s">
        <v>19892</v>
      </c>
      <c r="H3722" s="8"/>
      <c r="I3722" s="15">
        <v>0</v>
      </c>
      <c r="J3722" s="15">
        <v>0</v>
      </c>
      <c r="K3722" s="12" t="str">
        <f>HYPERLINK("http://twitter.com/download/iphone","Twitter for iPhone")</f>
        <v>Twitter for iPhone</v>
      </c>
      <c r="L3722" s="16">
        <v>7</v>
      </c>
      <c r="M3722" s="16">
        <v>13</v>
      </c>
      <c r="N3722" s="16">
        <v>0</v>
      </c>
      <c r="O3722" s="17"/>
      <c r="P3722" s="18">
        <v>43681.565046296295</v>
      </c>
      <c r="Q3722" s="7" t="s">
        <v>313</v>
      </c>
      <c r="R3722" s="7" t="s">
        <v>19893</v>
      </c>
      <c r="S3722" s="8"/>
      <c r="T3722" s="8"/>
      <c r="U3722" s="19" t="str">
        <f>HYPERLINK("https://pbs.twimg.com/profile_images/1158130915727597572/hhre5yPD.jpg","View")</f>
        <v>View</v>
      </c>
      <c r="V3722" s="8"/>
      <c r="W3722" s="8"/>
      <c r="X3722" s="8"/>
      <c r="Y3722" s="8"/>
      <c r="Z3722" s="8"/>
    </row>
    <row r="3723" spans="1:26" ht="12.75">
      <c r="A3723" s="11">
        <v>43747.143437499995</v>
      </c>
      <c r="B3723" s="12" t="str">
        <f>HYPERLINK("https://twitter.com/gooooolronaldo","@gooooolronaldo")</f>
        <v>@gooooolronaldo</v>
      </c>
      <c r="C3723" s="7" t="s">
        <v>9982</v>
      </c>
      <c r="D3723" s="7" t="s">
        <v>19894</v>
      </c>
      <c r="E3723" s="12" t="str">
        <f>HYPERLINK("https://twitter.com/gooooolronaldo/status/1181878610883420160","1181878610883420160")</f>
        <v>1181878610883420160</v>
      </c>
      <c r="F3723" s="8"/>
      <c r="G3723" s="7"/>
      <c r="H3723" s="8"/>
      <c r="I3723" s="15">
        <v>0</v>
      </c>
      <c r="J3723" s="15">
        <v>1</v>
      </c>
      <c r="K3723" s="12" t="str">
        <f>HYPERLINK("http://twitter.com","Twitter Web Client")</f>
        <v>Twitter Web Client</v>
      </c>
      <c r="L3723" s="16">
        <v>13</v>
      </c>
      <c r="M3723" s="16">
        <v>56</v>
      </c>
      <c r="N3723" s="16">
        <v>0</v>
      </c>
      <c r="O3723" s="17"/>
      <c r="P3723" s="18">
        <v>42289.261782407411</v>
      </c>
      <c r="Q3723" s="7"/>
      <c r="R3723" s="7" t="s">
        <v>19895</v>
      </c>
      <c r="S3723" s="8"/>
      <c r="T3723" s="8"/>
      <c r="U3723" s="19" t="str">
        <f>HYPERLINK("https://pbs.twimg.com/profile_images/1180876439404580865/ublBlTbW.jpg","View")</f>
        <v>View</v>
      </c>
      <c r="V3723" s="8"/>
      <c r="W3723" s="8"/>
      <c r="X3723" s="8"/>
      <c r="Y3723" s="8"/>
      <c r="Z3723" s="8"/>
    </row>
    <row r="3724" spans="1:26" ht="12.75">
      <c r="A3724" s="11">
        <v>43747.14340277778</v>
      </c>
      <c r="B3724" s="12" t="str">
        <f>HYPERLINK("https://twitter.com/omercengixx","@omercengixx")</f>
        <v>@omercengixx</v>
      </c>
      <c r="C3724" s="7" t="s">
        <v>19896</v>
      </c>
      <c r="D3724" s="7" t="s">
        <v>19897</v>
      </c>
      <c r="E3724" s="12" t="str">
        <f>HYPERLINK("https://twitter.com/omercengixx/status/1181878595574218752","1181878595574218752")</f>
        <v>1181878595574218752</v>
      </c>
      <c r="F3724" s="8"/>
      <c r="G3724" s="7"/>
      <c r="H3724" s="8"/>
      <c r="I3724" s="15">
        <v>0</v>
      </c>
      <c r="J3724" s="15">
        <v>0</v>
      </c>
      <c r="K3724" s="12" t="str">
        <f>HYPERLINK("https://mobile.twitter.com","Twitter Web App")</f>
        <v>Twitter Web App</v>
      </c>
      <c r="L3724" s="16">
        <v>15</v>
      </c>
      <c r="M3724" s="16">
        <v>148</v>
      </c>
      <c r="N3724" s="16">
        <v>0</v>
      </c>
      <c r="O3724" s="17"/>
      <c r="P3724" s="18">
        <v>43511.059166666666</v>
      </c>
      <c r="Q3724" s="7" t="s">
        <v>200</v>
      </c>
      <c r="R3724" s="21" t="s">
        <v>19898</v>
      </c>
      <c r="S3724" s="8"/>
      <c r="T3724" s="8"/>
      <c r="U3724" s="19" t="str">
        <f>HYPERLINK("https://pbs.twimg.com/profile_images/1096382094627008512/ezYNH00t.jpg","View")</f>
        <v>View</v>
      </c>
      <c r="V3724" s="8"/>
      <c r="W3724" s="8"/>
      <c r="X3724" s="8"/>
      <c r="Y3724" s="8"/>
      <c r="Z3724" s="8"/>
    </row>
    <row r="3725" spans="1:26" ht="12.75">
      <c r="A3725" s="11">
        <v>43747.143368055556</v>
      </c>
      <c r="B3725" s="12" t="str">
        <f>HYPERLINK("https://twitter.com/yuuzn54","@yuuzn54")</f>
        <v>@yuuzn54</v>
      </c>
      <c r="C3725" s="7" t="s">
        <v>5104</v>
      </c>
      <c r="D3725" s="7" t="s">
        <v>19899</v>
      </c>
      <c r="E3725" s="12" t="str">
        <f>HYPERLINK("https://twitter.com/yuuzn54/status/1181878584622891008","1181878584622891008")</f>
        <v>1181878584622891008</v>
      </c>
      <c r="F3725" s="8"/>
      <c r="G3725" s="7"/>
      <c r="H3725" s="8"/>
      <c r="I3725" s="15">
        <v>0</v>
      </c>
      <c r="J3725" s="15">
        <v>0</v>
      </c>
      <c r="K3725" s="12" t="str">
        <f>HYPERLINK("http://twitter.com/download/android","Twitter for Android")</f>
        <v>Twitter for Android</v>
      </c>
      <c r="L3725" s="16">
        <v>717</v>
      </c>
      <c r="M3725" s="16">
        <v>614</v>
      </c>
      <c r="N3725" s="16">
        <v>0</v>
      </c>
      <c r="O3725" s="17"/>
      <c r="P3725" s="18">
        <v>42273.661724537036</v>
      </c>
      <c r="Q3725" s="7"/>
      <c r="R3725" s="7" t="s">
        <v>19900</v>
      </c>
      <c r="S3725" s="8"/>
      <c r="T3725" s="8"/>
      <c r="U3725" s="19" t="str">
        <f>HYPERLINK("https://pbs.twimg.com/profile_images/1175157843344986115/SHKQiD_z.jpg","View")</f>
        <v>View</v>
      </c>
      <c r="V3725" s="8"/>
      <c r="W3725" s="8"/>
      <c r="X3725" s="8"/>
      <c r="Y3725" s="8"/>
      <c r="Z3725" s="8"/>
    </row>
    <row r="3726" spans="1:26" ht="12.75">
      <c r="A3726" s="11">
        <v>43747.14329861111</v>
      </c>
      <c r="B3726" s="12" t="str">
        <f>HYPERLINK("https://twitter.com/ferhat95719363","@ferhat95719363")</f>
        <v>@ferhat95719363</v>
      </c>
      <c r="C3726" s="7" t="s">
        <v>19901</v>
      </c>
      <c r="D3726" s="7" t="s">
        <v>19902</v>
      </c>
      <c r="E3726" s="12" t="str">
        <f>HYPERLINK("https://twitter.com/ferhat95719363/status/1181878560610508800","1181878560610508800")</f>
        <v>1181878560610508800</v>
      </c>
      <c r="F3726" s="8"/>
      <c r="G3726" s="15"/>
      <c r="H3726" s="8"/>
      <c r="I3726" s="15">
        <v>0</v>
      </c>
      <c r="J3726" s="15">
        <v>0</v>
      </c>
      <c r="K3726" s="12" t="str">
        <f>HYPERLINK("http://twitter.com/download/iphone","Twitter for iPhone")</f>
        <v>Twitter for iPhone</v>
      </c>
      <c r="L3726" s="16">
        <v>1</v>
      </c>
      <c r="M3726" s="16">
        <v>41</v>
      </c>
      <c r="N3726" s="16">
        <v>0</v>
      </c>
      <c r="O3726" s="17"/>
      <c r="P3726" s="18">
        <v>43734.079837962963</v>
      </c>
      <c r="Q3726" s="7" t="s">
        <v>19903</v>
      </c>
      <c r="R3726" s="7" t="s">
        <v>19904</v>
      </c>
      <c r="S3726" s="8"/>
      <c r="T3726" s="8"/>
      <c r="U3726" s="19" t="str">
        <f>HYPERLINK("https://pbs.twimg.com/profile_images/1181841508019982336/r6ppDIMJ.jpg","View")</f>
        <v>View</v>
      </c>
      <c r="V3726" s="8"/>
      <c r="W3726" s="8"/>
      <c r="X3726" s="8"/>
      <c r="Y3726" s="8"/>
      <c r="Z3726" s="8"/>
    </row>
    <row r="3727" spans="1:26" ht="12.75">
      <c r="A3727" s="11">
        <v>43747.143148148149</v>
      </c>
      <c r="B3727" s="12" t="str">
        <f>HYPERLINK("https://twitter.com/batuhansayar008","@batuhansayar008")</f>
        <v>@batuhansayar008</v>
      </c>
      <c r="C3727" s="7" t="s">
        <v>19905</v>
      </c>
      <c r="D3727" s="7" t="s">
        <v>160</v>
      </c>
      <c r="E3727" s="12" t="str">
        <f>HYPERLINK("https://twitter.com/batuhansayar008/status/1181878504188760064","1181878504188760064")</f>
        <v>1181878504188760064</v>
      </c>
      <c r="F3727" s="8"/>
      <c r="G3727" s="7"/>
      <c r="H3727" s="8"/>
      <c r="I3727" s="15">
        <v>0</v>
      </c>
      <c r="J3727" s="15">
        <v>0</v>
      </c>
      <c r="K3727" s="12" t="str">
        <f>HYPERLINK("http://twitter.com/download/android","Twitter for Android")</f>
        <v>Twitter for Android</v>
      </c>
      <c r="L3727" s="16">
        <v>21</v>
      </c>
      <c r="M3727" s="16">
        <v>136</v>
      </c>
      <c r="N3727" s="16">
        <v>0</v>
      </c>
      <c r="O3727" s="17"/>
      <c r="P3727" s="18">
        <v>42281.126550925925</v>
      </c>
      <c r="Q3727" s="7" t="s">
        <v>19906</v>
      </c>
      <c r="R3727" s="7" t="s">
        <v>19907</v>
      </c>
      <c r="S3727" s="8"/>
      <c r="T3727" s="8"/>
      <c r="U3727" s="19" t="str">
        <f>HYPERLINK("https://pbs.twimg.com/profile_images/1034089329587613696/2cZDa97s.jpg","View")</f>
        <v>View</v>
      </c>
      <c r="V3727" s="8"/>
      <c r="W3727" s="8"/>
      <c r="X3727" s="8"/>
      <c r="Y3727" s="8"/>
      <c r="Z3727" s="8"/>
    </row>
    <row r="3728" spans="1:26" ht="12.75">
      <c r="A3728" s="11">
        <v>43747.143136574072</v>
      </c>
      <c r="B3728" s="12" t="str">
        <f>HYPERLINK("https://twitter.com/tolga79681776","@tolga79681776")</f>
        <v>@tolga79681776</v>
      </c>
      <c r="C3728" s="7" t="s">
        <v>19908</v>
      </c>
      <c r="D3728" s="7" t="s">
        <v>19909</v>
      </c>
      <c r="E3728" s="12" t="str">
        <f>HYPERLINK("https://twitter.com/tolga79681776/status/1181878498916519937","1181878498916519937")</f>
        <v>1181878498916519937</v>
      </c>
      <c r="F3728" s="15"/>
      <c r="G3728" s="14" t="s">
        <v>19910</v>
      </c>
      <c r="H3728" s="8"/>
      <c r="I3728" s="15">
        <v>0</v>
      </c>
      <c r="J3728" s="15">
        <v>0</v>
      </c>
      <c r="K3728" s="12" t="str">
        <f>HYPERLINK("http://twitter.com/download/iphone","Twitter for iPhone")</f>
        <v>Twitter for iPhone</v>
      </c>
      <c r="L3728" s="16">
        <v>1</v>
      </c>
      <c r="M3728" s="16">
        <v>30</v>
      </c>
      <c r="N3728" s="16">
        <v>0</v>
      </c>
      <c r="O3728" s="17"/>
      <c r="P3728" s="18">
        <v>43445.481886574074</v>
      </c>
      <c r="Q3728" s="7"/>
      <c r="R3728" s="7"/>
      <c r="S3728" s="15"/>
      <c r="T3728" s="8"/>
      <c r="U3728" s="19" t="str">
        <f>HYPERLINK("https://pbs.twimg.com/profile_images/1072575594955751425/o2XQYpzy.jpg","View")</f>
        <v>View</v>
      </c>
      <c r="V3728" s="8"/>
      <c r="W3728" s="8"/>
      <c r="X3728" s="8"/>
      <c r="Y3728" s="8"/>
      <c r="Z3728" s="8"/>
    </row>
    <row r="3729" spans="1:26" ht="12.75">
      <c r="A3729" s="11">
        <v>43747.142939814818</v>
      </c>
      <c r="B3729" s="12" t="str">
        <f>HYPERLINK("https://twitter.com/Hakan4479679862","@Hakan4479679862")</f>
        <v>@Hakan4479679862</v>
      </c>
      <c r="C3729" s="13" t="s">
        <v>19911</v>
      </c>
      <c r="D3729" s="7" t="s">
        <v>160</v>
      </c>
      <c r="E3729" s="12" t="str">
        <f>HYPERLINK("https://twitter.com/Hakan4479679862/status/1181878430557704193","1181878430557704193")</f>
        <v>1181878430557704193</v>
      </c>
      <c r="F3729" s="15"/>
      <c r="G3729" s="7"/>
      <c r="H3729" s="8"/>
      <c r="I3729" s="15">
        <v>0</v>
      </c>
      <c r="J3729" s="15">
        <v>0</v>
      </c>
      <c r="K3729" s="12" t="str">
        <f>HYPERLINK("http://twitter.com/download/android","Twitter for Android")</f>
        <v>Twitter for Android</v>
      </c>
      <c r="L3729" s="16">
        <v>622</v>
      </c>
      <c r="M3729" s="16">
        <v>1288</v>
      </c>
      <c r="N3729" s="16">
        <v>0</v>
      </c>
      <c r="O3729" s="17"/>
      <c r="P3729" s="18">
        <v>43634.021550925929</v>
      </c>
      <c r="Q3729" s="7" t="s">
        <v>1343</v>
      </c>
      <c r="R3729" s="13" t="s">
        <v>19912</v>
      </c>
      <c r="S3729" s="8"/>
      <c r="T3729" s="8"/>
      <c r="U3729" s="19" t="str">
        <f>HYPERLINK("https://pbs.twimg.com/profile_images/1181876140891344899/6kYFZHvW.jpg","View")</f>
        <v>View</v>
      </c>
      <c r="V3729" s="8"/>
      <c r="W3729" s="8"/>
      <c r="X3729" s="8"/>
      <c r="Y3729" s="8"/>
      <c r="Z3729" s="8"/>
    </row>
    <row r="3730" spans="1:26" ht="12.75">
      <c r="A3730" s="11">
        <v>43747.142928240741</v>
      </c>
      <c r="B3730" s="12" t="str">
        <f>HYPERLINK("https://twitter.com/sibellkaya07","@sibellkaya07")</f>
        <v>@sibellkaya07</v>
      </c>
      <c r="C3730" s="7" t="s">
        <v>19913</v>
      </c>
      <c r="D3730" s="7" t="s">
        <v>19914</v>
      </c>
      <c r="E3730" s="12" t="str">
        <f>HYPERLINK("https://twitter.com/sibellkaya07/status/1181878424643743745","1181878424643743745")</f>
        <v>1181878424643743745</v>
      </c>
      <c r="F3730" s="8"/>
      <c r="G3730" s="15"/>
      <c r="H3730" s="8"/>
      <c r="I3730" s="15">
        <v>0</v>
      </c>
      <c r="J3730" s="15">
        <v>0</v>
      </c>
      <c r="K3730" s="12" t="str">
        <f>HYPERLINK("http://twitter.com/download/iphone","Twitter for iPhone")</f>
        <v>Twitter for iPhone</v>
      </c>
      <c r="L3730" s="16">
        <v>94</v>
      </c>
      <c r="M3730" s="16">
        <v>112</v>
      </c>
      <c r="N3730" s="16">
        <v>2</v>
      </c>
      <c r="O3730" s="17"/>
      <c r="P3730" s="18">
        <v>42256.535625000004</v>
      </c>
      <c r="Q3730" s="7"/>
      <c r="R3730" s="7"/>
      <c r="S3730" s="8"/>
      <c r="T3730" s="8"/>
      <c r="U3730" s="19" t="str">
        <f>HYPERLINK("https://pbs.twimg.com/profile_images/872573161325416448/ERRKScJN.jpg","View")</f>
        <v>View</v>
      </c>
      <c r="V3730" s="8"/>
      <c r="W3730" s="8"/>
      <c r="X3730" s="8"/>
      <c r="Y3730" s="8"/>
      <c r="Z3730" s="8"/>
    </row>
    <row r="3731" spans="1:26" ht="12.75">
      <c r="A3731" s="11">
        <v>43747.142881944441</v>
      </c>
      <c r="B3731" s="12" t="str">
        <f>HYPERLINK("https://twitter.com/KbrAtmn","@KbrAtmn")</f>
        <v>@KbrAtmn</v>
      </c>
      <c r="C3731" s="7" t="s">
        <v>19915</v>
      </c>
      <c r="D3731" s="7" t="s">
        <v>19916</v>
      </c>
      <c r="E3731" s="12" t="str">
        <f>HYPERLINK("https://twitter.com/KbrAtmn/status/1181878408076238848","1181878408076238848")</f>
        <v>1181878408076238848</v>
      </c>
      <c r="F3731" s="8"/>
      <c r="G3731" s="7"/>
      <c r="H3731" s="8"/>
      <c r="I3731" s="15">
        <v>0</v>
      </c>
      <c r="J3731" s="15">
        <v>0</v>
      </c>
      <c r="K3731" s="12" t="str">
        <f>HYPERLINK("http://twitter.com/download/iphone","Twitter for iPhone")</f>
        <v>Twitter for iPhone</v>
      </c>
      <c r="L3731" s="16">
        <v>110</v>
      </c>
      <c r="M3731" s="16">
        <v>160</v>
      </c>
      <c r="N3731" s="16">
        <v>0</v>
      </c>
      <c r="O3731" s="17"/>
      <c r="P3731" s="18">
        <v>41120.958113425928</v>
      </c>
      <c r="Q3731" s="7" t="s">
        <v>80</v>
      </c>
      <c r="R3731" s="7"/>
      <c r="S3731" s="8"/>
      <c r="T3731" s="8"/>
      <c r="U3731" s="19" t="str">
        <f>HYPERLINK("https://pbs.twimg.com/profile_images/1172478296015196160/_0Uywuz-.jpg","View")</f>
        <v>View</v>
      </c>
      <c r="V3731" s="8"/>
      <c r="W3731" s="8"/>
      <c r="X3731" s="8"/>
      <c r="Y3731" s="8"/>
      <c r="Z3731" s="8"/>
    </row>
    <row r="3732" spans="1:26" ht="12.75">
      <c r="A3732" s="11">
        <v>43747.142870370371</v>
      </c>
      <c r="B3732" s="12" t="str">
        <f>HYPERLINK("https://twitter.com/D_cnky","@D_cnky")</f>
        <v>@D_cnky</v>
      </c>
      <c r="C3732" s="7" t="s">
        <v>19917</v>
      </c>
      <c r="D3732" s="7" t="s">
        <v>19918</v>
      </c>
      <c r="E3732" s="12" t="str">
        <f>HYPERLINK("https://twitter.com/D_cnky/status/1181878403340873728","1181878403340873728")</f>
        <v>1181878403340873728</v>
      </c>
      <c r="F3732" s="8"/>
      <c r="G3732" s="14" t="s">
        <v>19919</v>
      </c>
      <c r="H3732" s="8"/>
      <c r="I3732" s="15">
        <v>0</v>
      </c>
      <c r="J3732" s="15">
        <v>0</v>
      </c>
      <c r="K3732" s="12" t="str">
        <f>HYPERLINK("http://twitter.com/download/android","Twitter for Android")</f>
        <v>Twitter for Android</v>
      </c>
      <c r="L3732" s="16">
        <v>83</v>
      </c>
      <c r="M3732" s="16">
        <v>122</v>
      </c>
      <c r="N3732" s="16">
        <v>0</v>
      </c>
      <c r="O3732" s="17"/>
      <c r="P3732" s="18">
        <v>42032.651921296296</v>
      </c>
      <c r="Q3732" s="7"/>
      <c r="R3732" s="7"/>
      <c r="S3732" s="8"/>
      <c r="T3732" s="8"/>
      <c r="U3732" s="19" t="str">
        <f>HYPERLINK("https://pbs.twimg.com/profile_images/1042418141496860673/1gsObPNN.jpg","View")</f>
        <v>View</v>
      </c>
      <c r="V3732" s="8"/>
      <c r="W3732" s="8"/>
      <c r="X3732" s="8"/>
      <c r="Y3732" s="8"/>
      <c r="Z3732" s="8"/>
    </row>
    <row r="3733" spans="1:26" ht="12.75">
      <c r="A3733" s="11">
        <v>43747.142847222218</v>
      </c>
      <c r="B3733" s="12" t="str">
        <f>HYPERLINK("https://twitter.com/shnbarut","@shnbarut")</f>
        <v>@shnbarut</v>
      </c>
      <c r="C3733" s="7" t="s">
        <v>19920</v>
      </c>
      <c r="D3733" s="7" t="s">
        <v>160</v>
      </c>
      <c r="E3733" s="12" t="str">
        <f>HYPERLINK("https://twitter.com/shnbarut/status/1181878395325558784","1181878395325558784")</f>
        <v>1181878395325558784</v>
      </c>
      <c r="F3733" s="8"/>
      <c r="G3733" s="7"/>
      <c r="H3733" s="8"/>
      <c r="I3733" s="15">
        <v>0</v>
      </c>
      <c r="J3733" s="15">
        <v>0</v>
      </c>
      <c r="K3733" s="12" t="str">
        <f>HYPERLINK("http://twitter.com/download/iphone","Twitter for iPhone")</f>
        <v>Twitter for iPhone</v>
      </c>
      <c r="L3733" s="16">
        <v>146</v>
      </c>
      <c r="M3733" s="16">
        <v>166</v>
      </c>
      <c r="N3733" s="16">
        <v>0</v>
      </c>
      <c r="O3733" s="17"/>
      <c r="P3733" s="18">
        <v>40972.542118055557</v>
      </c>
      <c r="Q3733" s="7" t="s">
        <v>19921</v>
      </c>
      <c r="R3733" s="7" t="s">
        <v>19922</v>
      </c>
      <c r="S3733" s="8"/>
      <c r="T3733" s="8"/>
      <c r="U3733" s="19" t="str">
        <f>HYPERLINK("https://pbs.twimg.com/profile_images/556162507417849857/teWxK9td.jpeg","View")</f>
        <v>View</v>
      </c>
      <c r="V3733" s="8"/>
      <c r="W3733" s="8"/>
      <c r="X3733" s="8"/>
      <c r="Y3733" s="8"/>
      <c r="Z3733" s="8"/>
    </row>
    <row r="3734" spans="1:26" ht="12.75">
      <c r="A3734" s="11">
        <v>43747.142800925925</v>
      </c>
      <c r="B3734" s="12" t="str">
        <f>HYPERLINK("https://twitter.com/uzulmeknk","@uzulmeknk")</f>
        <v>@uzulmeknk</v>
      </c>
      <c r="C3734" s="7" t="s">
        <v>19923</v>
      </c>
      <c r="D3734" s="7" t="s">
        <v>15742</v>
      </c>
      <c r="E3734" s="12" t="str">
        <f>HYPERLINK("https://twitter.com/uzulmeknk/status/1181878377474613248","1181878377474613248")</f>
        <v>1181878377474613248</v>
      </c>
      <c r="F3734" s="8"/>
      <c r="G3734" s="14" t="s">
        <v>19924</v>
      </c>
      <c r="H3734" s="8"/>
      <c r="I3734" s="15">
        <v>0</v>
      </c>
      <c r="J3734" s="15">
        <v>0</v>
      </c>
      <c r="K3734" s="12" t="str">
        <f>HYPERLINK("http://twitter.com/download/android","Twitter for Android")</f>
        <v>Twitter for Android</v>
      </c>
      <c r="L3734" s="16">
        <v>31</v>
      </c>
      <c r="M3734" s="16">
        <v>148</v>
      </c>
      <c r="N3734" s="16">
        <v>0</v>
      </c>
      <c r="O3734" s="17"/>
      <c r="P3734" s="18">
        <v>43695.228773148148</v>
      </c>
      <c r="Q3734" s="7" t="s">
        <v>313</v>
      </c>
      <c r="R3734" s="7" t="s">
        <v>19925</v>
      </c>
      <c r="S3734" s="8"/>
      <c r="T3734" s="8"/>
      <c r="U3734" s="19" t="str">
        <f>HYPERLINK("https://pbs.twimg.com/profile_images/1167919987798839296/_V3opMXX.jpg","View")</f>
        <v>View</v>
      </c>
      <c r="V3734" s="8"/>
      <c r="W3734" s="8"/>
      <c r="X3734" s="8"/>
      <c r="Y3734" s="8"/>
      <c r="Z3734" s="8"/>
    </row>
    <row r="3735" spans="1:26" ht="12.75">
      <c r="A3735" s="11">
        <v>43747.142754629633</v>
      </c>
      <c r="B3735" s="12" t="str">
        <f>HYPERLINK("https://twitter.com/KadirBerber53","@KadirBerber53")</f>
        <v>@KadirBerber53</v>
      </c>
      <c r="C3735" s="7" t="s">
        <v>19926</v>
      </c>
      <c r="D3735" s="7" t="s">
        <v>19927</v>
      </c>
      <c r="E3735" s="12" t="str">
        <f>HYPERLINK("https://twitter.com/KadirBerber53/status/1181878363654365184","1181878363654365184")</f>
        <v>1181878363654365184</v>
      </c>
      <c r="F3735" s="8"/>
      <c r="G3735" s="14" t="s">
        <v>19928</v>
      </c>
      <c r="H3735" s="8"/>
      <c r="I3735" s="15">
        <v>0</v>
      </c>
      <c r="J3735" s="15">
        <v>1</v>
      </c>
      <c r="K3735" s="12" t="str">
        <f>HYPERLINK("http://twitter.com/download/iphone","Twitter for iPhone")</f>
        <v>Twitter for iPhone</v>
      </c>
      <c r="L3735" s="16">
        <v>389</v>
      </c>
      <c r="M3735" s="16">
        <v>64</v>
      </c>
      <c r="N3735" s="16">
        <v>0</v>
      </c>
      <c r="O3735" s="17"/>
      <c r="P3735" s="18">
        <v>42462.286539351851</v>
      </c>
      <c r="Q3735" s="7" t="s">
        <v>19929</v>
      </c>
      <c r="R3735" s="7" t="s">
        <v>19930</v>
      </c>
      <c r="S3735" s="14" t="s">
        <v>19931</v>
      </c>
      <c r="T3735" s="8"/>
      <c r="U3735" s="19" t="str">
        <f>HYPERLINK("https://pbs.twimg.com/profile_images/1153779122306527234/-w-T1rRU.jpg","View")</f>
        <v>View</v>
      </c>
      <c r="V3735" s="8"/>
      <c r="W3735" s="8"/>
      <c r="X3735" s="8"/>
      <c r="Y3735" s="8"/>
      <c r="Z3735" s="8"/>
    </row>
    <row r="3736" spans="1:26" ht="12.75">
      <c r="A3736" s="11">
        <v>43747.142743055556</v>
      </c>
      <c r="B3736" s="12" t="str">
        <f>HYPERLINK("https://twitter.com/fevzi573","@fevzi573")</f>
        <v>@fevzi573</v>
      </c>
      <c r="C3736" s="7" t="s">
        <v>19932</v>
      </c>
      <c r="D3736" s="7" t="s">
        <v>19933</v>
      </c>
      <c r="E3736" s="12" t="str">
        <f>HYPERLINK("https://twitter.com/fevzi573/status/1181878357375488000","1181878357375488000")</f>
        <v>1181878357375488000</v>
      </c>
      <c r="F3736" s="8"/>
      <c r="G3736" s="7"/>
      <c r="H3736" s="8"/>
      <c r="I3736" s="15">
        <v>0</v>
      </c>
      <c r="J3736" s="15">
        <v>0</v>
      </c>
      <c r="K3736" s="12" t="str">
        <f>HYPERLINK("https://mobile.twitter.com","Twitter Web App")</f>
        <v>Twitter Web App</v>
      </c>
      <c r="L3736" s="16">
        <v>551</v>
      </c>
      <c r="M3736" s="16">
        <v>617</v>
      </c>
      <c r="N3736" s="16">
        <v>0</v>
      </c>
      <c r="O3736" s="17"/>
      <c r="P3736" s="18">
        <v>41429.446736111109</v>
      </c>
      <c r="Q3736" s="7" t="s">
        <v>200</v>
      </c>
      <c r="R3736" s="7"/>
      <c r="S3736" s="8"/>
      <c r="T3736" s="8"/>
      <c r="U3736" s="19" t="str">
        <f>HYPERLINK("https://pbs.twimg.com/profile_images/738001409170411522/yF9PW1SU.jpg","View")</f>
        <v>View</v>
      </c>
      <c r="V3736" s="8"/>
      <c r="W3736" s="8"/>
      <c r="X3736" s="8"/>
      <c r="Y3736" s="8"/>
      <c r="Z3736" s="8"/>
    </row>
    <row r="3737" spans="1:26" ht="12.75">
      <c r="A3737" s="11">
        <v>43747.14271990741</v>
      </c>
      <c r="B3737" s="12" t="str">
        <f>HYPERLINK("https://twitter.com/Joonmymicasa","@Joonmymicasa")</f>
        <v>@Joonmymicasa</v>
      </c>
      <c r="C3737" s="7" t="s">
        <v>19934</v>
      </c>
      <c r="D3737" s="7" t="s">
        <v>19935</v>
      </c>
      <c r="E3737" s="12" t="str">
        <f>HYPERLINK("https://twitter.com/Joonmymicasa/status/1181878351528628230","1181878351528628230")</f>
        <v>1181878351528628230</v>
      </c>
      <c r="F3737" s="8"/>
      <c r="G3737" s="14" t="s">
        <v>19936</v>
      </c>
      <c r="H3737" s="8"/>
      <c r="I3737" s="15">
        <v>0</v>
      </c>
      <c r="J3737" s="15">
        <v>0</v>
      </c>
      <c r="K3737" s="12" t="str">
        <f>HYPERLINK("http://twitter.com/download/android","Twitter for Android")</f>
        <v>Twitter for Android</v>
      </c>
      <c r="L3737" s="16">
        <v>256</v>
      </c>
      <c r="M3737" s="16">
        <v>249</v>
      </c>
      <c r="N3737" s="16">
        <v>1</v>
      </c>
      <c r="O3737" s="17"/>
      <c r="P3737" s="18">
        <v>41628.167071759257</v>
      </c>
      <c r="Q3737" s="7" t="s">
        <v>19937</v>
      </c>
      <c r="R3737" s="7" t="s">
        <v>19938</v>
      </c>
      <c r="S3737" s="14" t="s">
        <v>19939</v>
      </c>
      <c r="T3737" s="8"/>
      <c r="U3737" s="19" t="str">
        <f>HYPERLINK("https://pbs.twimg.com/profile_images/1180881094436147200/kChKxhaE.jpg","View")</f>
        <v>View</v>
      </c>
      <c r="V3737" s="8"/>
      <c r="W3737" s="8"/>
      <c r="X3737" s="8"/>
      <c r="Y3737" s="8"/>
      <c r="Z3737" s="8"/>
    </row>
    <row r="3738" spans="1:26" ht="12.75">
      <c r="A3738" s="11">
        <v>43747.142696759256</v>
      </c>
      <c r="B3738" s="12" t="str">
        <f>HYPERLINK("https://twitter.com/RLGR1453","@RLGR1453")</f>
        <v>@RLGR1453</v>
      </c>
      <c r="C3738" s="7" t="s">
        <v>19940</v>
      </c>
      <c r="D3738" s="7" t="s">
        <v>19941</v>
      </c>
      <c r="E3738" s="12" t="str">
        <f>HYPERLINK("https://twitter.com/RLGR1453/status/1181878340745072641","1181878340745072641")</f>
        <v>1181878340745072641</v>
      </c>
      <c r="F3738" s="14" t="s">
        <v>16732</v>
      </c>
      <c r="G3738" s="7"/>
      <c r="H3738" s="8"/>
      <c r="I3738" s="15">
        <v>0</v>
      </c>
      <c r="J3738" s="15">
        <v>1</v>
      </c>
      <c r="K3738" s="12" t="str">
        <f>HYPERLINK("http://twitter.com/download/android","Twitter for Android")</f>
        <v>Twitter for Android</v>
      </c>
      <c r="L3738" s="16">
        <v>57</v>
      </c>
      <c r="M3738" s="16">
        <v>158</v>
      </c>
      <c r="N3738" s="16">
        <v>0</v>
      </c>
      <c r="O3738" s="17"/>
      <c r="P3738" s="18">
        <v>40676.198518518519</v>
      </c>
      <c r="Q3738" s="7" t="s">
        <v>576</v>
      </c>
      <c r="R3738" s="7" t="s">
        <v>19942</v>
      </c>
      <c r="S3738" s="8"/>
      <c r="T3738" s="8"/>
      <c r="U3738" s="19" t="str">
        <f>HYPERLINK("https://pbs.twimg.com/profile_images/760223962966130689/pDYS1E4v.jpg","View")</f>
        <v>View</v>
      </c>
      <c r="V3738" s="8"/>
      <c r="W3738" s="8"/>
      <c r="X3738" s="8"/>
      <c r="Y3738" s="8"/>
      <c r="Z3738" s="8"/>
    </row>
    <row r="3739" spans="1:26" ht="12.75">
      <c r="A3739" s="11">
        <v>43747.14267361111</v>
      </c>
      <c r="B3739" s="12" t="str">
        <f>HYPERLINK("https://twitter.com/mehmet_taspnar1","@mehmet_taspnar1")</f>
        <v>@mehmet_taspnar1</v>
      </c>
      <c r="C3739" s="7" t="s">
        <v>19943</v>
      </c>
      <c r="D3739" s="7" t="s">
        <v>19944</v>
      </c>
      <c r="E3739" s="12" t="str">
        <f>HYPERLINK("https://twitter.com/mehmet_taspnar1/status/1181878333988052992","1181878333988052992")</f>
        <v>1181878333988052992</v>
      </c>
      <c r="F3739" s="8"/>
      <c r="G3739" s="15"/>
      <c r="H3739" s="8"/>
      <c r="I3739" s="15">
        <v>0</v>
      </c>
      <c r="J3739" s="15">
        <v>0</v>
      </c>
      <c r="K3739" s="12" t="str">
        <f>HYPERLINK("http://twitter.com/download/iphone","Twitter for iPhone")</f>
        <v>Twitter for iPhone</v>
      </c>
      <c r="L3739" s="16">
        <v>15</v>
      </c>
      <c r="M3739" s="16">
        <v>30</v>
      </c>
      <c r="N3739" s="16">
        <v>0</v>
      </c>
      <c r="O3739" s="17"/>
      <c r="P3739" s="18">
        <v>42711.59784722222</v>
      </c>
      <c r="Q3739" s="7"/>
      <c r="R3739" s="7"/>
      <c r="S3739" s="8"/>
      <c r="T3739" s="8"/>
      <c r="U3739" s="20" t="s">
        <v>354</v>
      </c>
      <c r="V3739" s="8"/>
      <c r="W3739" s="8"/>
      <c r="X3739" s="8"/>
      <c r="Y3739" s="8"/>
      <c r="Z3739" s="8"/>
    </row>
    <row r="3740" spans="1:26" ht="12.75">
      <c r="A3740" s="11">
        <v>43747.142662037033</v>
      </c>
      <c r="B3740" s="12" t="str">
        <f>HYPERLINK("https://twitter.com/erb4s","@erb4s")</f>
        <v>@erb4s</v>
      </c>
      <c r="C3740" s="7" t="s">
        <v>19945</v>
      </c>
      <c r="D3740" s="7" t="s">
        <v>19946</v>
      </c>
      <c r="E3740" s="12" t="str">
        <f>HYPERLINK("https://twitter.com/erb4s/status/1181878328476786688","1181878328476786688")</f>
        <v>1181878328476786688</v>
      </c>
      <c r="F3740" s="8"/>
      <c r="G3740" s="14" t="s">
        <v>19947</v>
      </c>
      <c r="H3740" s="8"/>
      <c r="I3740" s="15">
        <v>0</v>
      </c>
      <c r="J3740" s="15">
        <v>0</v>
      </c>
      <c r="K3740" s="12" t="str">
        <f>HYPERLINK("http://twitter.com/download/iphone","Twitter for iPhone")</f>
        <v>Twitter for iPhone</v>
      </c>
      <c r="L3740" s="16">
        <v>1487</v>
      </c>
      <c r="M3740" s="16">
        <v>1621</v>
      </c>
      <c r="N3740" s="16">
        <v>1</v>
      </c>
      <c r="O3740" s="17"/>
      <c r="P3740" s="18">
        <v>43521.467951388884</v>
      </c>
      <c r="Q3740" s="7" t="s">
        <v>18905</v>
      </c>
      <c r="R3740" s="7" t="s">
        <v>19948</v>
      </c>
      <c r="S3740" s="8"/>
      <c r="T3740" s="8"/>
      <c r="U3740" s="19" t="str">
        <f>HYPERLINK("https://pbs.twimg.com/profile_images/1170126201198919680/r2TCxUuR.jpg","View")</f>
        <v>View</v>
      </c>
      <c r="V3740" s="8"/>
      <c r="W3740" s="8"/>
      <c r="X3740" s="8"/>
      <c r="Y3740" s="8"/>
      <c r="Z3740" s="8"/>
    </row>
    <row r="3741" spans="1:26" ht="12.75">
      <c r="A3741" s="11">
        <v>43747.142662037033</v>
      </c>
      <c r="B3741" s="12" t="str">
        <f>HYPERLINK("https://twitter.com/Furkan13500","@Furkan13500")</f>
        <v>@Furkan13500</v>
      </c>
      <c r="C3741" s="7" t="s">
        <v>19949</v>
      </c>
      <c r="D3741" s="7" t="s">
        <v>19950</v>
      </c>
      <c r="E3741" s="12" t="str">
        <f>HYPERLINK("https://twitter.com/Furkan13500/status/1181878328409632771","1181878328409632771")</f>
        <v>1181878328409632771</v>
      </c>
      <c r="F3741" s="8"/>
      <c r="G3741" s="7"/>
      <c r="H3741" s="8"/>
      <c r="I3741" s="15">
        <v>0</v>
      </c>
      <c r="J3741" s="15">
        <v>0</v>
      </c>
      <c r="K3741" s="12" t="str">
        <f>HYPERLINK("http://twitter.com/download/iphone","Twitter for iPhone")</f>
        <v>Twitter for iPhone</v>
      </c>
      <c r="L3741" s="16">
        <v>10</v>
      </c>
      <c r="M3741" s="16">
        <v>95</v>
      </c>
      <c r="N3741" s="16">
        <v>0</v>
      </c>
      <c r="O3741" s="17"/>
      <c r="P3741" s="18">
        <v>43625.057557870372</v>
      </c>
      <c r="Q3741" s="7"/>
      <c r="R3741" s="7" t="s">
        <v>19951</v>
      </c>
      <c r="S3741" s="8"/>
      <c r="T3741" s="8"/>
      <c r="U3741" s="19" t="str">
        <f>HYPERLINK("https://pbs.twimg.com/profile_images/1149743567851655168/9KAIPeVY.jpg","View")</f>
        <v>View</v>
      </c>
      <c r="V3741" s="8"/>
      <c r="W3741" s="8"/>
      <c r="X3741" s="8"/>
      <c r="Y3741" s="8"/>
      <c r="Z3741" s="8"/>
    </row>
    <row r="3742" spans="1:26" ht="12.75">
      <c r="A3742" s="11">
        <v>43747.142662037033</v>
      </c>
      <c r="B3742" s="12" t="str">
        <f>HYPERLINK("https://twitter.com/hikmetkurtar","@hikmetkurtar")</f>
        <v>@hikmetkurtar</v>
      </c>
      <c r="C3742" s="7" t="s">
        <v>19952</v>
      </c>
      <c r="D3742" s="7" t="s">
        <v>19953</v>
      </c>
      <c r="E3742" s="12" t="str">
        <f>HYPERLINK("https://twitter.com/hikmetkurtar/status/1181878327700807682","1181878327700807682")</f>
        <v>1181878327700807682</v>
      </c>
      <c r="F3742" s="8"/>
      <c r="G3742" s="15"/>
      <c r="H3742" s="8"/>
      <c r="I3742" s="15">
        <v>0</v>
      </c>
      <c r="J3742" s="15">
        <v>0</v>
      </c>
      <c r="K3742" s="12" t="str">
        <f>HYPERLINK("http://twitter.com/download/android","Twitter for Android")</f>
        <v>Twitter for Android</v>
      </c>
      <c r="L3742" s="16">
        <v>20</v>
      </c>
      <c r="M3742" s="16">
        <v>72</v>
      </c>
      <c r="N3742" s="16">
        <v>0</v>
      </c>
      <c r="O3742" s="17"/>
      <c r="P3742" s="18">
        <v>41884.903437499997</v>
      </c>
      <c r="Q3742" s="7"/>
      <c r="R3742" s="7"/>
      <c r="S3742" s="8"/>
      <c r="T3742" s="8"/>
      <c r="U3742" s="19" t="str">
        <f>HYPERLINK("https://pbs.twimg.com/profile_images/1155410849705660416/keRBW-0D.jpg","View")</f>
        <v>View</v>
      </c>
      <c r="V3742" s="8"/>
      <c r="W3742" s="8"/>
      <c r="X3742" s="8"/>
      <c r="Y3742" s="8"/>
      <c r="Z3742" s="8"/>
    </row>
    <row r="3743" spans="1:26" ht="12.75">
      <c r="A3743" s="11">
        <v>43747.142546296294</v>
      </c>
      <c r="B3743" s="12" t="str">
        <f>HYPERLINK("https://twitter.com/Erdalulupolimer","@Erdalulupolimer")</f>
        <v>@Erdalulupolimer</v>
      </c>
      <c r="C3743" s="7" t="s">
        <v>19954</v>
      </c>
      <c r="D3743" s="7" t="s">
        <v>19955</v>
      </c>
      <c r="E3743" s="12" t="str">
        <f>HYPERLINK("https://twitter.com/Erdalulupolimer/status/1181878286185648128","1181878286185648128")</f>
        <v>1181878286185648128</v>
      </c>
      <c r="F3743" s="8"/>
      <c r="G3743" s="7"/>
      <c r="H3743" s="8"/>
      <c r="I3743" s="15">
        <v>0</v>
      </c>
      <c r="J3743" s="15">
        <v>0</v>
      </c>
      <c r="K3743" s="12" t="str">
        <f>HYPERLINK("http://twitter.com/download/iphone","Twitter for iPhone")</f>
        <v>Twitter for iPhone</v>
      </c>
      <c r="L3743" s="16">
        <v>420</v>
      </c>
      <c r="M3743" s="16">
        <v>444</v>
      </c>
      <c r="N3743" s="16">
        <v>1</v>
      </c>
      <c r="O3743" s="17"/>
      <c r="P3743" s="18">
        <v>40673.048078703701</v>
      </c>
      <c r="Q3743" s="7" t="s">
        <v>19956</v>
      </c>
      <c r="R3743" s="7" t="s">
        <v>19957</v>
      </c>
      <c r="S3743" s="14" t="s">
        <v>19958</v>
      </c>
      <c r="T3743" s="8"/>
      <c r="U3743" s="19" t="str">
        <f>HYPERLINK("https://pbs.twimg.com/profile_images/848940481367220224/7fgKDvix.jpg","View")</f>
        <v>View</v>
      </c>
      <c r="V3743" s="8"/>
      <c r="W3743" s="8"/>
      <c r="X3743" s="8"/>
      <c r="Y3743" s="8"/>
      <c r="Z3743" s="8"/>
    </row>
    <row r="3744" spans="1:26" ht="12.75">
      <c r="A3744" s="11">
        <v>43747.142500000002</v>
      </c>
      <c r="B3744" s="12" t="str">
        <f>HYPERLINK("https://twitter.com/HarekatiBaris","@HarekatiBaris")</f>
        <v>@HarekatiBaris</v>
      </c>
      <c r="C3744" s="7" t="s">
        <v>19959</v>
      </c>
      <c r="D3744" s="7" t="s">
        <v>19960</v>
      </c>
      <c r="E3744" s="12" t="str">
        <f>HYPERLINK("https://twitter.com/HarekatiBaris/status/1181878270008143872","1181878270008143872")</f>
        <v>1181878270008143872</v>
      </c>
      <c r="F3744" s="15"/>
      <c r="G3744" s="14" t="s">
        <v>19961</v>
      </c>
      <c r="H3744" s="8"/>
      <c r="I3744" s="15">
        <v>0</v>
      </c>
      <c r="J3744" s="15">
        <v>2</v>
      </c>
      <c r="K3744" s="12" t="str">
        <f>HYPERLINK("http://twitter.com/download/android","Twitter for Android")</f>
        <v>Twitter for Android</v>
      </c>
      <c r="L3744" s="16">
        <v>1</v>
      </c>
      <c r="M3744" s="16">
        <v>6</v>
      </c>
      <c r="N3744" s="16">
        <v>0</v>
      </c>
      <c r="O3744" s="17"/>
      <c r="P3744" s="18">
        <v>43747.076909722222</v>
      </c>
      <c r="Q3744" s="7" t="s">
        <v>19962</v>
      </c>
      <c r="R3744" s="7" t="s">
        <v>19963</v>
      </c>
      <c r="S3744" s="8"/>
      <c r="T3744" s="8"/>
      <c r="U3744" s="19" t="str">
        <f>HYPERLINK("https://pbs.twimg.com/profile_images/1181854807197458432/YqBgbb9o.jpg","View")</f>
        <v>View</v>
      </c>
      <c r="V3744" s="8"/>
      <c r="W3744" s="8"/>
      <c r="X3744" s="8"/>
      <c r="Y3744" s="8"/>
      <c r="Z3744" s="8"/>
    </row>
    <row r="3745" spans="1:26" ht="12.75">
      <c r="A3745" s="11">
        <v>43747.142488425925</v>
      </c>
      <c r="B3745" s="12" t="str">
        <f>HYPERLINK("https://twitter.com/metin_metin__","@metin_metin__")</f>
        <v>@metin_metin__</v>
      </c>
      <c r="C3745" s="7" t="s">
        <v>19964</v>
      </c>
      <c r="D3745" s="7" t="s">
        <v>19965</v>
      </c>
      <c r="E3745" s="12" t="str">
        <f>HYPERLINK("https://twitter.com/metin_metin__/status/1181878265650302976","1181878265650302976")</f>
        <v>1181878265650302976</v>
      </c>
      <c r="F3745" s="8"/>
      <c r="G3745" s="7"/>
      <c r="H3745" s="8"/>
      <c r="I3745" s="15">
        <v>0</v>
      </c>
      <c r="J3745" s="15">
        <v>0</v>
      </c>
      <c r="K3745" s="12" t="str">
        <f>HYPERLINK("http://twitter.com/download/iphone","Twitter for iPhone")</f>
        <v>Twitter for iPhone</v>
      </c>
      <c r="L3745" s="16">
        <v>529</v>
      </c>
      <c r="M3745" s="16">
        <v>532</v>
      </c>
      <c r="N3745" s="16">
        <v>0</v>
      </c>
      <c r="O3745" s="17"/>
      <c r="P3745" s="18">
        <v>42674.538020833337</v>
      </c>
      <c r="Q3745" s="7" t="s">
        <v>19966</v>
      </c>
      <c r="R3745" s="7" t="s">
        <v>19967</v>
      </c>
      <c r="S3745" s="8"/>
      <c r="T3745" s="8"/>
      <c r="U3745" s="19" t="str">
        <f>HYPERLINK("https://pbs.twimg.com/profile_images/1181875464530518017/UiSGH2ts.jpg","View")</f>
        <v>View</v>
      </c>
      <c r="V3745" s="8"/>
      <c r="W3745" s="8"/>
      <c r="X3745" s="8"/>
      <c r="Y3745" s="8"/>
      <c r="Z3745" s="8"/>
    </row>
    <row r="3746" spans="1:26" ht="12.75">
      <c r="A3746" s="11">
        <v>43747.142361111109</v>
      </c>
      <c r="B3746" s="12" t="str">
        <f>HYPERLINK("https://twitter.com/rmznbc","@rmznbc")</f>
        <v>@rmznbc</v>
      </c>
      <c r="C3746" s="7" t="s">
        <v>19968</v>
      </c>
      <c r="D3746" s="7" t="s">
        <v>19969</v>
      </c>
      <c r="E3746" s="12" t="str">
        <f>HYPERLINK("https://twitter.com/rmznbc/status/1181878220808962048","1181878220808962048")</f>
        <v>1181878220808962048</v>
      </c>
      <c r="F3746" s="14" t="s">
        <v>19970</v>
      </c>
      <c r="G3746" s="15"/>
      <c r="H3746" s="8"/>
      <c r="I3746" s="15">
        <v>0</v>
      </c>
      <c r="J3746" s="15">
        <v>0</v>
      </c>
      <c r="K3746" s="12" t="str">
        <f>HYPERLINK("http://twitter.com","Twitter Web Client")</f>
        <v>Twitter Web Client</v>
      </c>
      <c r="L3746" s="16">
        <v>635</v>
      </c>
      <c r="M3746" s="16">
        <v>116</v>
      </c>
      <c r="N3746" s="16">
        <v>3</v>
      </c>
      <c r="O3746" s="17"/>
      <c r="P3746" s="18">
        <v>40784.347777777773</v>
      </c>
      <c r="Q3746" s="7" t="s">
        <v>19971</v>
      </c>
      <c r="R3746" s="7" t="s">
        <v>19972</v>
      </c>
      <c r="S3746" s="8"/>
      <c r="T3746" s="8"/>
      <c r="U3746" s="19" t="str">
        <f>HYPERLINK("https://pbs.twimg.com/profile_images/1166679071100743680/nUxfZSBJ.jpg","View")</f>
        <v>View</v>
      </c>
      <c r="V3746" s="8"/>
      <c r="W3746" s="8"/>
      <c r="X3746" s="8"/>
      <c r="Y3746" s="8"/>
      <c r="Z3746" s="8"/>
    </row>
    <row r="3747" spans="1:26" ht="12.75">
      <c r="A3747" s="11">
        <v>43747.142361111109</v>
      </c>
      <c r="B3747" s="12" t="str">
        <f>HYPERLINK("https://twitter.com/Ciko2Zagor1","@Ciko2Zagor1")</f>
        <v>@Ciko2Zagor1</v>
      </c>
      <c r="C3747" s="7" t="s">
        <v>19973</v>
      </c>
      <c r="D3747" s="7" t="s">
        <v>19974</v>
      </c>
      <c r="E3747" s="12" t="str">
        <f>HYPERLINK("https://twitter.com/Ciko2Zagor1/status/1181878217931677697","1181878217931677697")</f>
        <v>1181878217931677697</v>
      </c>
      <c r="F3747" s="8"/>
      <c r="G3747" s="15"/>
      <c r="H3747" s="8"/>
      <c r="I3747" s="15">
        <v>0</v>
      </c>
      <c r="J3747" s="15">
        <v>0</v>
      </c>
      <c r="K3747" s="12" t="str">
        <f>HYPERLINK("http://twitter.com/download/android","Twitter for Android")</f>
        <v>Twitter for Android</v>
      </c>
      <c r="L3747" s="16">
        <v>2</v>
      </c>
      <c r="M3747" s="16">
        <v>30</v>
      </c>
      <c r="N3747" s="16">
        <v>0</v>
      </c>
      <c r="O3747" s="17"/>
      <c r="P3747" s="18">
        <v>43664.634120370371</v>
      </c>
      <c r="Q3747" s="7"/>
      <c r="R3747" s="7"/>
      <c r="S3747" s="8"/>
      <c r="T3747" s="8"/>
      <c r="U3747" s="19" t="str">
        <f>HYPERLINK("https://pbs.twimg.com/profile_images/1169285532213551104/p8ISv8Vz.jpg","View")</f>
        <v>View</v>
      </c>
      <c r="V3747" s="8"/>
      <c r="W3747" s="8"/>
      <c r="X3747" s="8"/>
      <c r="Y3747" s="8"/>
      <c r="Z3747" s="8"/>
    </row>
    <row r="3748" spans="1:26" ht="12.75">
      <c r="A3748" s="11">
        <v>43747.142291666663</v>
      </c>
      <c r="B3748" s="12" t="str">
        <f>HYPERLINK("https://twitter.com/Rojjek","@Rojjek")</f>
        <v>@Rojjek</v>
      </c>
      <c r="C3748" s="7" t="s">
        <v>19975</v>
      </c>
      <c r="D3748" s="7" t="s">
        <v>19976</v>
      </c>
      <c r="E3748" s="12" t="str">
        <f>HYPERLINK("https://twitter.com/Rojjek/status/1181878196553289728","1181878196553289728")</f>
        <v>1181878196553289728</v>
      </c>
      <c r="F3748" s="8"/>
      <c r="G3748" s="14" t="s">
        <v>19977</v>
      </c>
      <c r="H3748" s="8"/>
      <c r="I3748" s="15">
        <v>0</v>
      </c>
      <c r="J3748" s="15">
        <v>0</v>
      </c>
      <c r="K3748" s="12" t="str">
        <f>HYPERLINK("http://twitter.com/download/iphone","Twitter for iPhone")</f>
        <v>Twitter for iPhone</v>
      </c>
      <c r="L3748" s="16">
        <v>3192</v>
      </c>
      <c r="M3748" s="16">
        <v>150</v>
      </c>
      <c r="N3748" s="16">
        <v>8</v>
      </c>
      <c r="O3748" s="17"/>
      <c r="P3748" s="18">
        <v>39931.561157407406</v>
      </c>
      <c r="Q3748" s="7" t="s">
        <v>19978</v>
      </c>
      <c r="R3748" s="7" t="s">
        <v>19979</v>
      </c>
      <c r="S3748" s="8"/>
      <c r="T3748" s="8"/>
      <c r="U3748" s="19" t="str">
        <f>HYPERLINK("https://pbs.twimg.com/profile_images/1181285182281846790/Xyx_5elV.jpg","View")</f>
        <v>View</v>
      </c>
      <c r="V3748" s="8"/>
      <c r="W3748" s="8"/>
      <c r="X3748" s="8"/>
      <c r="Y3748" s="8"/>
      <c r="Z3748" s="8"/>
    </row>
    <row r="3749" spans="1:26" ht="12.75">
      <c r="A3749" s="11">
        <v>43747.142280092594</v>
      </c>
      <c r="B3749" s="12" t="str">
        <f>HYPERLINK("https://twitter.com/turk1903","@turk1903")</f>
        <v>@turk1903</v>
      </c>
      <c r="C3749" s="7" t="s">
        <v>13948</v>
      </c>
      <c r="D3749" s="7" t="s">
        <v>160</v>
      </c>
      <c r="E3749" s="12" t="str">
        <f>HYPERLINK("https://twitter.com/turk1903/status/1181878192375828480","1181878192375828480")</f>
        <v>1181878192375828480</v>
      </c>
      <c r="F3749" s="8"/>
      <c r="G3749" s="7"/>
      <c r="H3749" s="8"/>
      <c r="I3749" s="15">
        <v>0</v>
      </c>
      <c r="J3749" s="15">
        <v>0</v>
      </c>
      <c r="K3749" s="12" t="str">
        <f>HYPERLINK("http://twitter.com/download/iphone","Twitter for iPhone")</f>
        <v>Twitter for iPhone</v>
      </c>
      <c r="L3749" s="16">
        <v>39</v>
      </c>
      <c r="M3749" s="16">
        <v>130</v>
      </c>
      <c r="N3749" s="16">
        <v>0</v>
      </c>
      <c r="O3749" s="17"/>
      <c r="P3749" s="18">
        <v>43705.06559027778</v>
      </c>
      <c r="Q3749" s="7" t="s">
        <v>200</v>
      </c>
      <c r="R3749" s="7"/>
      <c r="S3749" s="8"/>
      <c r="T3749" s="8"/>
      <c r="U3749" s="19" t="str">
        <f>HYPERLINK("https://pbs.twimg.com/profile_images/1181415580399816704/E9Rk1qNv.jpg","View")</f>
        <v>View</v>
      </c>
      <c r="V3749" s="8"/>
      <c r="W3749" s="8"/>
      <c r="X3749" s="8"/>
      <c r="Y3749" s="8"/>
      <c r="Z3749" s="8"/>
    </row>
    <row r="3750" spans="1:26" ht="12.75">
      <c r="A3750" s="11">
        <v>43747.142233796301</v>
      </c>
      <c r="B3750" s="12" t="str">
        <f>HYPERLINK("https://twitter.com/ErkuTurk","@ErkuTurk")</f>
        <v>@ErkuTurk</v>
      </c>
      <c r="C3750" s="7" t="s">
        <v>19980</v>
      </c>
      <c r="D3750" s="7" t="s">
        <v>19981</v>
      </c>
      <c r="E3750" s="12" t="str">
        <f>HYPERLINK("https://twitter.com/ErkuTurk/status/1181878173442686977","1181878173442686977")</f>
        <v>1181878173442686977</v>
      </c>
      <c r="F3750" s="7"/>
      <c r="G3750" s="14" t="s">
        <v>19982</v>
      </c>
      <c r="H3750" s="8"/>
      <c r="I3750" s="15">
        <v>0</v>
      </c>
      <c r="J3750" s="15">
        <v>2</v>
      </c>
      <c r="K3750" s="12" t="str">
        <f>HYPERLINK("http://twitter.com/download/iphone","Twitter for iPhone")</f>
        <v>Twitter for iPhone</v>
      </c>
      <c r="L3750" s="16">
        <v>399</v>
      </c>
      <c r="M3750" s="16">
        <v>445</v>
      </c>
      <c r="N3750" s="16">
        <v>0</v>
      </c>
      <c r="O3750" s="17"/>
      <c r="P3750" s="18">
        <v>42987.023159722223</v>
      </c>
      <c r="Q3750" s="7" t="s">
        <v>313</v>
      </c>
      <c r="R3750" s="7" t="s">
        <v>19983</v>
      </c>
      <c r="S3750" s="14" t="s">
        <v>19984</v>
      </c>
      <c r="T3750" s="8"/>
      <c r="U3750" s="19" t="str">
        <f>HYPERLINK("https://pbs.twimg.com/profile_images/1166266321623011328/Amq0bnLD.jpg","View")</f>
        <v>View</v>
      </c>
      <c r="V3750" s="8"/>
      <c r="W3750" s="8"/>
      <c r="X3750" s="8"/>
      <c r="Y3750" s="8"/>
      <c r="Z3750" s="8"/>
    </row>
    <row r="3751" spans="1:26" ht="12.75">
      <c r="A3751" s="11">
        <v>43747.142199074078</v>
      </c>
      <c r="B3751" s="12" t="str">
        <f>HYPERLINK("https://twitter.com/___cesuryurek","@___cesuryurek")</f>
        <v>@___cesuryurek</v>
      </c>
      <c r="C3751" s="7" t="s">
        <v>19985</v>
      </c>
      <c r="D3751" s="7" t="s">
        <v>19986</v>
      </c>
      <c r="E3751" s="12" t="str">
        <f>HYPERLINK("https://twitter.com/___cesuryurek/status/1181878160830410755","1181878160830410755")</f>
        <v>1181878160830410755</v>
      </c>
      <c r="F3751" s="8"/>
      <c r="G3751" s="15"/>
      <c r="H3751" s="8"/>
      <c r="I3751" s="15">
        <v>0</v>
      </c>
      <c r="J3751" s="15">
        <v>0</v>
      </c>
      <c r="K3751" s="12" t="str">
        <f>HYPERLINK("http://twitter.com/download/android","Twitter for Android")</f>
        <v>Twitter for Android</v>
      </c>
      <c r="L3751" s="16">
        <v>2290</v>
      </c>
      <c r="M3751" s="16">
        <v>2658</v>
      </c>
      <c r="N3751" s="16">
        <v>0</v>
      </c>
      <c r="O3751" s="17"/>
      <c r="P3751" s="18">
        <v>43225.981215277774</v>
      </c>
      <c r="Q3751" s="7"/>
      <c r="R3751" s="7" t="s">
        <v>19987</v>
      </c>
      <c r="S3751" s="8"/>
      <c r="T3751" s="8"/>
      <c r="U3751" s="19" t="str">
        <f>HYPERLINK("https://pbs.twimg.com/profile_images/1171063770338267142/XcKrwptG.jpg","View")</f>
        <v>View</v>
      </c>
      <c r="V3751" s="8"/>
      <c r="W3751" s="8"/>
      <c r="X3751" s="8"/>
      <c r="Y3751" s="8"/>
      <c r="Z3751" s="8"/>
    </row>
    <row r="3752" spans="1:26" ht="12.75">
      <c r="A3752" s="11">
        <v>43747.142118055555</v>
      </c>
      <c r="B3752" s="12" t="str">
        <f>HYPERLINK("https://twitter.com/ShinpowBbx","@ShinpowBbx")</f>
        <v>@ShinpowBbx</v>
      </c>
      <c r="C3752" s="7" t="s">
        <v>19988</v>
      </c>
      <c r="D3752" s="7" t="s">
        <v>19989</v>
      </c>
      <c r="E3752" s="12" t="str">
        <f>HYPERLINK("https://twitter.com/ShinpowBbx/status/1181878132585967616","1181878132585967616")</f>
        <v>1181878132585967616</v>
      </c>
      <c r="F3752" s="8"/>
      <c r="G3752" s="7"/>
      <c r="H3752" s="8"/>
      <c r="I3752" s="15">
        <v>0</v>
      </c>
      <c r="J3752" s="15">
        <v>0</v>
      </c>
      <c r="K3752" s="12" t="str">
        <f>HYPERLINK("http://twitter.com/download/android","Twitter for Android")</f>
        <v>Twitter for Android</v>
      </c>
      <c r="L3752" s="16">
        <v>101</v>
      </c>
      <c r="M3752" s="16">
        <v>40</v>
      </c>
      <c r="N3752" s="16">
        <v>0</v>
      </c>
      <c r="O3752" s="17"/>
      <c r="P3752" s="18">
        <v>40719.284421296295</v>
      </c>
      <c r="Q3752" s="7"/>
      <c r="R3752" s="7" t="s">
        <v>19990</v>
      </c>
      <c r="S3752" s="8"/>
      <c r="T3752" s="8"/>
      <c r="U3752" s="19" t="str">
        <f>HYPERLINK("https://pbs.twimg.com/profile_images/844664122704904196/Cxyzxbix.jpg","View")</f>
        <v>View</v>
      </c>
      <c r="V3752" s="8"/>
      <c r="W3752" s="8"/>
      <c r="X3752" s="8"/>
      <c r="Y3752" s="8"/>
      <c r="Z3752" s="8"/>
    </row>
    <row r="3753" spans="1:26" ht="12.75">
      <c r="A3753" s="11">
        <v>43747.142106481479</v>
      </c>
      <c r="B3753" s="12" t="str">
        <f>HYPERLINK("https://twitter.com/DrEmreeCakir","@DrEmreeCakir")</f>
        <v>@DrEmreeCakir</v>
      </c>
      <c r="C3753" s="7" t="s">
        <v>19991</v>
      </c>
      <c r="D3753" s="7" t="s">
        <v>19992</v>
      </c>
      <c r="E3753" s="12" t="str">
        <f>HYPERLINK("https://twitter.com/DrEmreeCakir/status/1181878125807984640","1181878125807984640")</f>
        <v>1181878125807984640</v>
      </c>
      <c r="F3753" s="14" t="s">
        <v>19993</v>
      </c>
      <c r="G3753" s="15"/>
      <c r="H3753" s="8"/>
      <c r="I3753" s="15">
        <v>0</v>
      </c>
      <c r="J3753" s="15">
        <v>0</v>
      </c>
      <c r="K3753" s="12" t="str">
        <f>HYPERLINK("http://twitter.com/download/iphone","Twitter for iPhone")</f>
        <v>Twitter for iPhone</v>
      </c>
      <c r="L3753" s="16">
        <v>290</v>
      </c>
      <c r="M3753" s="16">
        <v>530</v>
      </c>
      <c r="N3753" s="16">
        <v>0</v>
      </c>
      <c r="O3753" s="17"/>
      <c r="P3753" s="18">
        <v>43101.599953703699</v>
      </c>
      <c r="Q3753" s="7" t="s">
        <v>313</v>
      </c>
      <c r="R3753" s="7" t="s">
        <v>18686</v>
      </c>
      <c r="S3753" s="14" t="s">
        <v>19994</v>
      </c>
      <c r="T3753" s="8"/>
      <c r="U3753" s="19" t="str">
        <f>HYPERLINK("https://pbs.twimg.com/profile_images/1051930416712744960/BhTjSSWc.jpg","View")</f>
        <v>View</v>
      </c>
      <c r="V3753" s="8"/>
      <c r="W3753" s="8"/>
      <c r="X3753" s="8"/>
      <c r="Y3753" s="8"/>
      <c r="Z3753" s="8"/>
    </row>
    <row r="3754" spans="1:26" ht="12.75">
      <c r="A3754" s="11">
        <v>43747.142083333332</v>
      </c>
      <c r="B3754" s="12" t="str">
        <f>HYPERLINK("https://twitter.com/hamza_kulaksiz","@hamza_kulaksiz")</f>
        <v>@hamza_kulaksiz</v>
      </c>
      <c r="C3754" s="7" t="s">
        <v>19995</v>
      </c>
      <c r="D3754" s="7" t="s">
        <v>19996</v>
      </c>
      <c r="E3754" s="12" t="str">
        <f>HYPERLINK("https://twitter.com/hamza_kulaksiz/status/1181878118941954048","1181878118941954048")</f>
        <v>1181878118941954048</v>
      </c>
      <c r="F3754" s="8"/>
      <c r="G3754" s="15"/>
      <c r="H3754" s="8"/>
      <c r="I3754" s="15">
        <v>0</v>
      </c>
      <c r="J3754" s="15">
        <v>0</v>
      </c>
      <c r="K3754" s="12" t="str">
        <f>HYPERLINK("http://twitter.com/download/iphone","Twitter for iPhone")</f>
        <v>Twitter for iPhone</v>
      </c>
      <c r="L3754" s="16">
        <v>11</v>
      </c>
      <c r="M3754" s="16">
        <v>27</v>
      </c>
      <c r="N3754" s="16">
        <v>0</v>
      </c>
      <c r="O3754" s="17"/>
      <c r="P3754" s="18">
        <v>43593.380659722221</v>
      </c>
      <c r="Q3754" s="7"/>
      <c r="R3754" s="7" t="s">
        <v>19997</v>
      </c>
      <c r="S3754" s="8"/>
      <c r="T3754" s="8"/>
      <c r="U3754" s="19" t="str">
        <f>HYPERLINK("https://pbs.twimg.com/profile_images/1126160259301638145/sSJj0YhQ.jpg","View")</f>
        <v>View</v>
      </c>
      <c r="V3754" s="8"/>
      <c r="W3754" s="8"/>
      <c r="X3754" s="8"/>
      <c r="Y3754" s="8"/>
      <c r="Z3754" s="8"/>
    </row>
    <row r="3755" spans="1:26" ht="12.75">
      <c r="A3755" s="11">
        <v>43747.142013888893</v>
      </c>
      <c r="B3755" s="12" t="str">
        <f>HYPERLINK("https://twitter.com/SudeMirayCan","@SudeMirayCan")</f>
        <v>@SudeMirayCan</v>
      </c>
      <c r="C3755" s="7" t="s">
        <v>19998</v>
      </c>
      <c r="D3755" s="7" t="s">
        <v>19999</v>
      </c>
      <c r="E3755" s="12" t="str">
        <f>HYPERLINK("https://twitter.com/SudeMirayCan/status/1181878095843876866","1181878095843876866")</f>
        <v>1181878095843876866</v>
      </c>
      <c r="F3755" s="15"/>
      <c r="G3755" s="14" t="s">
        <v>20000</v>
      </c>
      <c r="H3755" s="8"/>
      <c r="I3755" s="15">
        <v>6</v>
      </c>
      <c r="J3755" s="15">
        <v>5</v>
      </c>
      <c r="K3755" s="12" t="str">
        <f>HYPERLINK("http://twitter.com/download/android","Twitter for Android")</f>
        <v>Twitter for Android</v>
      </c>
      <c r="L3755" s="16">
        <v>10950</v>
      </c>
      <c r="M3755" s="16">
        <v>9775</v>
      </c>
      <c r="N3755" s="16">
        <v>18</v>
      </c>
      <c r="O3755" s="17"/>
      <c r="P3755" s="18">
        <v>42327.161168981482</v>
      </c>
      <c r="Q3755" s="7"/>
      <c r="R3755" s="7" t="s">
        <v>20001</v>
      </c>
      <c r="S3755" s="8"/>
      <c r="T3755" s="8"/>
      <c r="U3755" s="19" t="str">
        <f>HYPERLINK("https://pbs.twimg.com/profile_images/1144956394208149504/Jmv_NhKa.jpg","View")</f>
        <v>View</v>
      </c>
      <c r="V3755" s="8"/>
      <c r="W3755" s="8"/>
      <c r="X3755" s="8"/>
      <c r="Y3755" s="8"/>
      <c r="Z3755" s="8"/>
    </row>
    <row r="3756" spans="1:26" ht="12.75">
      <c r="A3756" s="11">
        <v>43747.142013888893</v>
      </c>
      <c r="B3756" s="12" t="str">
        <f>HYPERLINK("https://twitter.com/35Yuca","@35Yuca")</f>
        <v>@35Yuca</v>
      </c>
      <c r="C3756" s="7" t="s">
        <v>20002</v>
      </c>
      <c r="D3756" s="7" t="s">
        <v>160</v>
      </c>
      <c r="E3756" s="12" t="str">
        <f>HYPERLINK("https://twitter.com/35Yuca/status/1181878092580687873","1181878092580687873")</f>
        <v>1181878092580687873</v>
      </c>
      <c r="F3756" s="8"/>
      <c r="G3756" s="14" t="s">
        <v>20003</v>
      </c>
      <c r="H3756" s="8"/>
      <c r="I3756" s="15">
        <v>0</v>
      </c>
      <c r="J3756" s="15">
        <v>0</v>
      </c>
      <c r="K3756" s="12" t="str">
        <f>HYPERLINK("https://mobile.twitter.com","Twitter Web App")</f>
        <v>Twitter Web App</v>
      </c>
      <c r="L3756" s="16">
        <v>4062</v>
      </c>
      <c r="M3756" s="16">
        <v>3702</v>
      </c>
      <c r="N3756" s="16">
        <v>5</v>
      </c>
      <c r="O3756" s="17"/>
      <c r="P3756" s="18">
        <v>42344.486967592587</v>
      </c>
      <c r="Q3756" s="7"/>
      <c r="R3756" s="7" t="s">
        <v>20004</v>
      </c>
      <c r="S3756" s="8"/>
      <c r="T3756" s="8"/>
      <c r="U3756" s="19" t="str">
        <f>HYPERLINK("https://pbs.twimg.com/profile_images/673774251124633600/0eO-8uNU.jpg","View")</f>
        <v>View</v>
      </c>
      <c r="V3756" s="8"/>
      <c r="W3756" s="8"/>
      <c r="X3756" s="8"/>
      <c r="Y3756" s="8"/>
      <c r="Z3756" s="8"/>
    </row>
    <row r="3757" spans="1:26" ht="12.75">
      <c r="A3757" s="11">
        <v>43747.141956018517</v>
      </c>
      <c r="B3757" s="12" t="str">
        <f>HYPERLINK("https://twitter.com/Malcomxxyz","@Malcomxxyz")</f>
        <v>@Malcomxxyz</v>
      </c>
      <c r="C3757" s="7" t="s">
        <v>20005</v>
      </c>
      <c r="D3757" s="7" t="s">
        <v>20006</v>
      </c>
      <c r="E3757" s="12" t="str">
        <f>HYPERLINK("https://twitter.com/Malcomxxyz/status/1181878073765122048","1181878073765122048")</f>
        <v>1181878073765122048</v>
      </c>
      <c r="F3757" s="8"/>
      <c r="G3757" s="7"/>
      <c r="H3757" s="8"/>
      <c r="I3757" s="15">
        <v>0</v>
      </c>
      <c r="J3757" s="15">
        <v>0</v>
      </c>
      <c r="K3757" s="12" t="str">
        <f>HYPERLINK("http://twitter.com/download/android","Twitter for Android")</f>
        <v>Twitter for Android</v>
      </c>
      <c r="L3757" s="16">
        <v>19</v>
      </c>
      <c r="M3757" s="16">
        <v>177</v>
      </c>
      <c r="N3757" s="16">
        <v>0</v>
      </c>
      <c r="O3757" s="17"/>
      <c r="P3757" s="18">
        <v>43247.558113425926</v>
      </c>
      <c r="Q3757" s="7"/>
      <c r="R3757" s="7" t="s">
        <v>20007</v>
      </c>
      <c r="S3757" s="8"/>
      <c r="T3757" s="8"/>
      <c r="U3757" s="19" t="str">
        <f>HYPERLINK("https://pbs.twimg.com/profile_images/1167305252426506240/ptV99A0z.jpg","View")</f>
        <v>View</v>
      </c>
      <c r="V3757" s="8"/>
      <c r="W3757" s="8"/>
      <c r="X3757" s="8"/>
      <c r="Y3757" s="8"/>
      <c r="Z3757" s="8"/>
    </row>
    <row r="3758" spans="1:26" ht="12.75">
      <c r="A3758" s="11">
        <v>43747.141956018517</v>
      </c>
      <c r="B3758" s="12" t="str">
        <f>HYPERLINK("https://twitter.com/GokTurk_1A","@GokTurk_1A")</f>
        <v>@GokTurk_1A</v>
      </c>
      <c r="C3758" s="7" t="s">
        <v>20008</v>
      </c>
      <c r="D3758" s="7" t="s">
        <v>20009</v>
      </c>
      <c r="E3758" s="12" t="str">
        <f>HYPERLINK("https://twitter.com/GokTurk_1A/status/1181878073706373120","1181878073706373120")</f>
        <v>1181878073706373120</v>
      </c>
      <c r="F3758" s="8"/>
      <c r="G3758" s="15"/>
      <c r="H3758" s="8"/>
      <c r="I3758" s="15">
        <v>0</v>
      </c>
      <c r="J3758" s="15">
        <v>1</v>
      </c>
      <c r="K3758" s="12" t="str">
        <f>HYPERLINK("https://mobile.twitter.com","Twitter Web App")</f>
        <v>Twitter Web App</v>
      </c>
      <c r="L3758" s="16">
        <v>2764</v>
      </c>
      <c r="M3758" s="16">
        <v>124</v>
      </c>
      <c r="N3758" s="16">
        <v>12</v>
      </c>
      <c r="O3758" s="17"/>
      <c r="P3758" s="18">
        <v>42578.166504629626</v>
      </c>
      <c r="Q3758" s="7"/>
      <c r="R3758" s="13" t="s">
        <v>20010</v>
      </c>
      <c r="S3758" s="8"/>
      <c r="T3758" s="8"/>
      <c r="U3758" s="19" t="str">
        <f>HYPERLINK("https://pbs.twimg.com/profile_images/1151177536900149248/wKw4KUL5.jpg","View")</f>
        <v>View</v>
      </c>
      <c r="V3758" s="8"/>
      <c r="W3758" s="8"/>
      <c r="X3758" s="8"/>
      <c r="Y3758" s="8"/>
      <c r="Z3758" s="8"/>
    </row>
    <row r="3759" spans="1:26" ht="12.75">
      <c r="A3759" s="11">
        <v>43747.141921296294</v>
      </c>
      <c r="B3759" s="12" t="str">
        <f>HYPERLINK("https://twitter.com/emacid","@emacid")</f>
        <v>@emacid</v>
      </c>
      <c r="C3759" s="7" t="s">
        <v>20011</v>
      </c>
      <c r="D3759" s="7" t="s">
        <v>20012</v>
      </c>
      <c r="E3759" s="12" t="str">
        <f>HYPERLINK("https://twitter.com/emacid/status/1181878060284596225","1181878060284596225")</f>
        <v>1181878060284596225</v>
      </c>
      <c r="F3759" s="8"/>
      <c r="G3759" s="14" t="s">
        <v>20013</v>
      </c>
      <c r="H3759" s="8"/>
      <c r="I3759" s="15">
        <v>1</v>
      </c>
      <c r="J3759" s="15">
        <v>5</v>
      </c>
      <c r="K3759" s="12" t="str">
        <f>HYPERLINK("http://twitter.com/download/android","Twitter for Android")</f>
        <v>Twitter for Android</v>
      </c>
      <c r="L3759" s="16">
        <v>3726</v>
      </c>
      <c r="M3759" s="16">
        <v>3446</v>
      </c>
      <c r="N3759" s="16">
        <v>0</v>
      </c>
      <c r="O3759" s="17"/>
      <c r="P3759" s="18">
        <v>40628.113796296297</v>
      </c>
      <c r="Q3759" s="7"/>
      <c r="R3759" s="7" t="s">
        <v>20014</v>
      </c>
      <c r="S3759" s="8"/>
      <c r="T3759" s="8"/>
      <c r="U3759" s="19" t="str">
        <f>HYPERLINK("https://pbs.twimg.com/profile_images/1151448302761783296/Jv07oG0Y.jpg","View")</f>
        <v>View</v>
      </c>
      <c r="V3759" s="8"/>
      <c r="W3759" s="8"/>
      <c r="X3759" s="8"/>
      <c r="Y3759" s="8"/>
      <c r="Z3759" s="8"/>
    </row>
    <row r="3760" spans="1:26" ht="12.75">
      <c r="A3760" s="11">
        <v>43747.141793981486</v>
      </c>
      <c r="B3760" s="12" t="str">
        <f>HYPERLINK("https://twitter.com/TR06Ank","@TR06Ank")</f>
        <v>@TR06Ank</v>
      </c>
      <c r="C3760" s="7" t="s">
        <v>918</v>
      </c>
      <c r="D3760" s="7" t="s">
        <v>20015</v>
      </c>
      <c r="E3760" s="12" t="str">
        <f>HYPERLINK("https://twitter.com/TR06Ank/status/1181878015128674304","1181878015128674304")</f>
        <v>1181878015128674304</v>
      </c>
      <c r="F3760" s="8"/>
      <c r="G3760" s="14" t="s">
        <v>20016</v>
      </c>
      <c r="H3760" s="8"/>
      <c r="I3760" s="15">
        <v>0</v>
      </c>
      <c r="J3760" s="15">
        <v>0</v>
      </c>
      <c r="K3760" s="12" t="str">
        <f>HYPERLINK("http://twitter.com/download/iphone","Twitter for iPhone")</f>
        <v>Twitter for iPhone</v>
      </c>
      <c r="L3760" s="16">
        <v>14252</v>
      </c>
      <c r="M3760" s="16">
        <v>12161</v>
      </c>
      <c r="N3760" s="16">
        <v>16</v>
      </c>
      <c r="O3760" s="17"/>
      <c r="P3760" s="18">
        <v>42053.338958333334</v>
      </c>
      <c r="Q3760" s="7" t="s">
        <v>20017</v>
      </c>
      <c r="R3760" s="7" t="s">
        <v>20018</v>
      </c>
      <c r="S3760" s="8"/>
      <c r="T3760" s="8"/>
      <c r="U3760" s="19" t="str">
        <f>HYPERLINK("https://pbs.twimg.com/profile_images/1151119610080628736/gFKQ3VnD.jpg","View")</f>
        <v>View</v>
      </c>
      <c r="V3760" s="8"/>
      <c r="W3760" s="8"/>
      <c r="X3760" s="8"/>
      <c r="Y3760" s="8"/>
      <c r="Z3760" s="8"/>
    </row>
    <row r="3761" spans="1:26" ht="12.75">
      <c r="A3761" s="11">
        <v>43747.141736111109</v>
      </c>
      <c r="B3761" s="12" t="str">
        <f>HYPERLINK("https://twitter.com/DozerCemil_61","@DozerCemil_61")</f>
        <v>@DozerCemil_61</v>
      </c>
      <c r="C3761" s="7" t="s">
        <v>20019</v>
      </c>
      <c r="D3761" s="7" t="s">
        <v>14428</v>
      </c>
      <c r="E3761" s="12" t="str">
        <f>HYPERLINK("https://twitter.com/DozerCemil_61/status/1181877991925850117","1181877991925850117")</f>
        <v>1181877991925850117</v>
      </c>
      <c r="F3761" s="14" t="s">
        <v>14429</v>
      </c>
      <c r="G3761" s="14" t="s">
        <v>14430</v>
      </c>
      <c r="H3761" s="8"/>
      <c r="I3761" s="15">
        <v>0</v>
      </c>
      <c r="J3761" s="15">
        <v>1</v>
      </c>
      <c r="K3761" s="12" t="str">
        <f>HYPERLINK("https://mobile.twitter.com","Twitter Web App")</f>
        <v>Twitter Web App</v>
      </c>
      <c r="L3761" s="16">
        <v>1038</v>
      </c>
      <c r="M3761" s="16">
        <v>1998</v>
      </c>
      <c r="N3761" s="16">
        <v>1</v>
      </c>
      <c r="O3761" s="17"/>
      <c r="P3761" s="18">
        <v>43104.234340277777</v>
      </c>
      <c r="Q3761" s="7" t="s">
        <v>1748</v>
      </c>
      <c r="R3761" s="7" t="s">
        <v>20020</v>
      </c>
      <c r="S3761" s="8"/>
      <c r="T3761" s="8"/>
      <c r="U3761" s="19" t="str">
        <f>HYPERLINK("https://pbs.twimg.com/profile_images/973143670710030336/8YhoB-fF.jpg","View")</f>
        <v>View</v>
      </c>
      <c r="V3761" s="8"/>
      <c r="W3761" s="8"/>
      <c r="X3761" s="8"/>
      <c r="Y3761" s="8"/>
      <c r="Z3761" s="8"/>
    </row>
    <row r="3762" spans="1:26" ht="12.75">
      <c r="A3762" s="11">
        <v>43747.141724537039</v>
      </c>
      <c r="B3762" s="12" t="str">
        <f>HYPERLINK("https://twitter.com/omrfaruuuk","@omrfaruuuk")</f>
        <v>@omrfaruuuk</v>
      </c>
      <c r="C3762" s="7" t="s">
        <v>2801</v>
      </c>
      <c r="D3762" s="7" t="s">
        <v>20021</v>
      </c>
      <c r="E3762" s="12" t="str">
        <f>HYPERLINK("https://twitter.com/omrfaruuuk/status/1181877988364828672","1181877988364828672")</f>
        <v>1181877988364828672</v>
      </c>
      <c r="F3762" s="8"/>
      <c r="G3762" s="7"/>
      <c r="H3762" s="8"/>
      <c r="I3762" s="15">
        <v>0</v>
      </c>
      <c r="J3762" s="15">
        <v>1</v>
      </c>
      <c r="K3762" s="12" t="str">
        <f>HYPERLINK("http://twitter.com/download/iphone","Twitter for iPhone")</f>
        <v>Twitter for iPhone</v>
      </c>
      <c r="L3762" s="16">
        <v>17</v>
      </c>
      <c r="M3762" s="16">
        <v>128</v>
      </c>
      <c r="N3762" s="16">
        <v>0</v>
      </c>
      <c r="O3762" s="17"/>
      <c r="P3762" s="18">
        <v>43121.008518518516</v>
      </c>
      <c r="Q3762" s="7" t="s">
        <v>2050</v>
      </c>
      <c r="R3762" s="7" t="s">
        <v>20022</v>
      </c>
      <c r="S3762" s="8"/>
      <c r="T3762" s="8"/>
      <c r="U3762" s="19" t="str">
        <f>HYPERLINK("https://pbs.twimg.com/profile_images/1105387426091069440/zIe-gvwu.jpg","View")</f>
        <v>View</v>
      </c>
      <c r="V3762" s="8"/>
      <c r="W3762" s="8"/>
      <c r="X3762" s="8"/>
      <c r="Y3762" s="8"/>
      <c r="Z3762" s="8"/>
    </row>
    <row r="3763" spans="1:26" ht="12.75">
      <c r="A3763" s="11">
        <v>43747.141701388886</v>
      </c>
      <c r="B3763" s="12" t="str">
        <f>HYPERLINK("https://twitter.com/dalierzincanli","@dalierzincanli")</f>
        <v>@dalierzincanli</v>
      </c>
      <c r="C3763" s="7" t="s">
        <v>20023</v>
      </c>
      <c r="D3763" s="7" t="s">
        <v>16624</v>
      </c>
      <c r="E3763" s="12" t="str">
        <f>HYPERLINK("https://twitter.com/dalierzincanli/status/1181877982132129792","1181877982132129792")</f>
        <v>1181877982132129792</v>
      </c>
      <c r="F3763" s="8"/>
      <c r="G3763" s="14" t="s">
        <v>1502</v>
      </c>
      <c r="H3763" s="8"/>
      <c r="I3763" s="15">
        <v>49</v>
      </c>
      <c r="J3763" s="15">
        <v>182</v>
      </c>
      <c r="K3763" s="12" t="str">
        <f>HYPERLINK("http://twitter.com/download/iphone","Twitter for iPhone")</f>
        <v>Twitter for iPhone</v>
      </c>
      <c r="L3763" s="16">
        <v>639871</v>
      </c>
      <c r="M3763" s="16">
        <v>1</v>
      </c>
      <c r="N3763" s="16">
        <v>326</v>
      </c>
      <c r="O3763" s="17" t="s">
        <v>984</v>
      </c>
      <c r="P3763" s="18">
        <v>40893.655729166669</v>
      </c>
      <c r="Q3763" s="7"/>
      <c r="R3763" s="7" t="s">
        <v>20024</v>
      </c>
      <c r="S3763" s="14" t="s">
        <v>20025</v>
      </c>
      <c r="T3763" s="8"/>
      <c r="U3763" s="19" t="str">
        <f>HYPERLINK("https://pbs.twimg.com/profile_images/1181869476901511168/Qd4J6aKn.jpg","View")</f>
        <v>View</v>
      </c>
      <c r="V3763" s="8"/>
      <c r="W3763" s="8"/>
      <c r="X3763" s="8"/>
      <c r="Y3763" s="8"/>
      <c r="Z3763" s="8"/>
    </row>
    <row r="3764" spans="1:26" ht="12.75">
      <c r="A3764" s="11">
        <v>43747.141689814816</v>
      </c>
      <c r="B3764" s="12" t="str">
        <f>HYPERLINK("https://twitter.com/politicscience1","@politicscience1")</f>
        <v>@politicscience1</v>
      </c>
      <c r="C3764" s="7" t="s">
        <v>20026</v>
      </c>
      <c r="D3764" s="7" t="s">
        <v>20027</v>
      </c>
      <c r="E3764" s="12" t="str">
        <f>HYPERLINK("https://twitter.com/politicscience1/status/1181877975240908800","1181877975240908800")</f>
        <v>1181877975240908800</v>
      </c>
      <c r="F3764" s="8"/>
      <c r="G3764" s="14" t="s">
        <v>20028</v>
      </c>
      <c r="H3764" s="8"/>
      <c r="I3764" s="15">
        <v>19</v>
      </c>
      <c r="J3764" s="15">
        <v>22</v>
      </c>
      <c r="K3764" s="12" t="str">
        <f>HYPERLINK("http://twitter.com/download/android","Twitter for Android")</f>
        <v>Twitter for Android</v>
      </c>
      <c r="L3764" s="16">
        <v>4173</v>
      </c>
      <c r="M3764" s="16">
        <v>3191</v>
      </c>
      <c r="N3764" s="16">
        <v>0</v>
      </c>
      <c r="O3764" s="17"/>
      <c r="P3764" s="18">
        <v>43229.082384259258</v>
      </c>
      <c r="Q3764" s="7"/>
      <c r="R3764" s="7"/>
      <c r="S3764" s="8"/>
      <c r="T3764" s="8"/>
      <c r="U3764" s="19" t="str">
        <f>HYPERLINK("https://pbs.twimg.com/profile_images/1143061738071494656/qIuJsonV.jpg","View")</f>
        <v>View</v>
      </c>
      <c r="V3764" s="8"/>
      <c r="W3764" s="8"/>
      <c r="X3764" s="8"/>
      <c r="Y3764" s="8"/>
      <c r="Z3764" s="8"/>
    </row>
    <row r="3765" spans="1:26" ht="12.75">
      <c r="A3765" s="11">
        <v>43747.141689814816</v>
      </c>
      <c r="B3765" s="12" t="str">
        <f>HYPERLINK("https://twitter.com/mustafaerr","@mustafaerr")</f>
        <v>@mustafaerr</v>
      </c>
      <c r="C3765" s="7" t="s">
        <v>20029</v>
      </c>
      <c r="D3765" s="7" t="s">
        <v>160</v>
      </c>
      <c r="E3765" s="12" t="str">
        <f>HYPERLINK("https://twitter.com/mustafaerr/status/1181877974641053696","1181877974641053696")</f>
        <v>1181877974641053696</v>
      </c>
      <c r="F3765" s="8"/>
      <c r="G3765" s="14" t="s">
        <v>20030</v>
      </c>
      <c r="H3765" s="8"/>
      <c r="I3765" s="15">
        <v>2</v>
      </c>
      <c r="J3765" s="15">
        <v>1</v>
      </c>
      <c r="K3765" s="12" t="str">
        <f>HYPERLINK("http://twitter.com/download/android","Twitter for Android")</f>
        <v>Twitter for Android</v>
      </c>
      <c r="L3765" s="16">
        <v>605</v>
      </c>
      <c r="M3765" s="16">
        <v>646</v>
      </c>
      <c r="N3765" s="16">
        <v>2</v>
      </c>
      <c r="O3765" s="17"/>
      <c r="P3765" s="18">
        <v>40423.473229166666</v>
      </c>
      <c r="Q3765" s="7"/>
      <c r="R3765" s="7" t="s">
        <v>20031</v>
      </c>
      <c r="S3765" s="8"/>
      <c r="T3765" s="8"/>
      <c r="U3765" s="19" t="str">
        <f>HYPERLINK("https://pbs.twimg.com/profile_images/1004866643015733248/9gCg-UUt.jpg","View")</f>
        <v>View</v>
      </c>
      <c r="V3765" s="8"/>
      <c r="W3765" s="8"/>
      <c r="X3765" s="8"/>
      <c r="Y3765" s="8"/>
      <c r="Z3765" s="8"/>
    </row>
    <row r="3766" spans="1:26" ht="12.75">
      <c r="A3766" s="11">
        <v>43747.14163194444</v>
      </c>
      <c r="B3766" s="12" t="str">
        <f>HYPERLINK("https://twitter.com/canomo133","@canomo133")</f>
        <v>@canomo133</v>
      </c>
      <c r="C3766" s="7" t="s">
        <v>20032</v>
      </c>
      <c r="D3766" s="7" t="s">
        <v>160</v>
      </c>
      <c r="E3766" s="12" t="str">
        <f>HYPERLINK("https://twitter.com/canomo133/status/1181877956123201536","1181877956123201536")</f>
        <v>1181877956123201536</v>
      </c>
      <c r="F3766" s="8"/>
      <c r="G3766" s="14" t="s">
        <v>20033</v>
      </c>
      <c r="H3766" s="8"/>
      <c r="I3766" s="15">
        <v>0</v>
      </c>
      <c r="J3766" s="15">
        <v>0</v>
      </c>
      <c r="K3766" s="12" t="str">
        <f>HYPERLINK("http://twitter.com/download/iphone","Twitter for iPhone")</f>
        <v>Twitter for iPhone</v>
      </c>
      <c r="L3766" s="16">
        <v>453</v>
      </c>
      <c r="M3766" s="16">
        <v>318</v>
      </c>
      <c r="N3766" s="16">
        <v>0</v>
      </c>
      <c r="O3766" s="17"/>
      <c r="P3766" s="18">
        <v>43081.240254629629</v>
      </c>
      <c r="Q3766" s="7"/>
      <c r="R3766" s="7" t="s">
        <v>20034</v>
      </c>
      <c r="S3766" s="14" t="s">
        <v>11592</v>
      </c>
      <c r="T3766" s="8"/>
      <c r="U3766" s="19" t="str">
        <f>HYPERLINK("https://pbs.twimg.com/profile_images/1178703584336257026/B2LTYSed.jpg","View")</f>
        <v>View</v>
      </c>
      <c r="V3766" s="8"/>
      <c r="W3766" s="8"/>
      <c r="X3766" s="8"/>
      <c r="Y3766" s="8"/>
      <c r="Z3766" s="8"/>
    </row>
    <row r="3767" spans="1:26" ht="12.75">
      <c r="A3767" s="11">
        <v>43747.141550925924</v>
      </c>
      <c r="B3767" s="12" t="str">
        <f>HYPERLINK("https://twitter.com/AytekinAkay","@AytekinAkay")</f>
        <v>@AytekinAkay</v>
      </c>
      <c r="C3767" s="7" t="s">
        <v>20035</v>
      </c>
      <c r="D3767" s="7" t="s">
        <v>20036</v>
      </c>
      <c r="E3767" s="12" t="str">
        <f>HYPERLINK("https://twitter.com/AytekinAkay/status/1181877926859554816","1181877926859554816")</f>
        <v>1181877926859554816</v>
      </c>
      <c r="F3767" s="8"/>
      <c r="G3767" s="7"/>
      <c r="H3767" s="8"/>
      <c r="I3767" s="15">
        <v>0</v>
      </c>
      <c r="J3767" s="15">
        <v>1</v>
      </c>
      <c r="K3767" s="12" t="str">
        <f>HYPERLINK("https://mobile.twitter.com","Twitter Web App")</f>
        <v>Twitter Web App</v>
      </c>
      <c r="L3767" s="16">
        <v>3612</v>
      </c>
      <c r="M3767" s="16">
        <v>5002</v>
      </c>
      <c r="N3767" s="16">
        <v>6</v>
      </c>
      <c r="O3767" s="17"/>
      <c r="P3767" s="18">
        <v>40701.580891203703</v>
      </c>
      <c r="Q3767" s="7" t="s">
        <v>576</v>
      </c>
      <c r="R3767" s="7" t="s">
        <v>20037</v>
      </c>
      <c r="S3767" s="8"/>
      <c r="T3767" s="8"/>
      <c r="U3767" s="19" t="str">
        <f>HYPERLINK("https://pbs.twimg.com/profile_images/1132729804497797120/3ifGKHIg.jpg","View")</f>
        <v>View</v>
      </c>
      <c r="V3767" s="8"/>
      <c r="W3767" s="8"/>
      <c r="X3767" s="8"/>
      <c r="Y3767" s="8"/>
      <c r="Z3767" s="8"/>
    </row>
    <row r="3768" spans="1:26" ht="12.75">
      <c r="A3768" s="11">
        <v>43747.141423611116</v>
      </c>
      <c r="B3768" s="12" t="str">
        <f>HYPERLINK("https://twitter.com/Fancycanvasart","@Fancycanvasart")</f>
        <v>@Fancycanvasart</v>
      </c>
      <c r="C3768" s="7" t="s">
        <v>6869</v>
      </c>
      <c r="D3768" s="7" t="s">
        <v>20038</v>
      </c>
      <c r="E3768" s="12" t="str">
        <f>HYPERLINK("https://twitter.com/Fancycanvasart/status/1181877880894185472","1181877880894185472")</f>
        <v>1181877880894185472</v>
      </c>
      <c r="F3768" s="8"/>
      <c r="G3768" s="15"/>
      <c r="H3768" s="8"/>
      <c r="I3768" s="15">
        <v>0</v>
      </c>
      <c r="J3768" s="15">
        <v>0</v>
      </c>
      <c r="K3768" s="12" t="str">
        <f>HYPERLINK("http://twitter.com/download/android","Twitter for Android")</f>
        <v>Twitter for Android</v>
      </c>
      <c r="L3768" s="16">
        <v>91</v>
      </c>
      <c r="M3768" s="16">
        <v>371</v>
      </c>
      <c r="N3768" s="16">
        <v>1</v>
      </c>
      <c r="O3768" s="17"/>
      <c r="P3768" s="18">
        <v>39777.340763888889</v>
      </c>
      <c r="Q3768" s="7" t="s">
        <v>20039</v>
      </c>
      <c r="R3768" s="7"/>
      <c r="S3768" s="8"/>
      <c r="T3768" s="8"/>
      <c r="U3768" s="19" t="str">
        <f>HYPERLINK("https://pbs.twimg.com/profile_images/1181272433552175104/7TKI3Gll.jpg","View")</f>
        <v>View</v>
      </c>
      <c r="V3768" s="8"/>
      <c r="W3768" s="8"/>
      <c r="X3768" s="8"/>
      <c r="Y3768" s="8"/>
      <c r="Z3768" s="8"/>
    </row>
    <row r="3769" spans="1:26" ht="12.75">
      <c r="A3769" s="11">
        <v>43747.141388888893</v>
      </c>
      <c r="B3769" s="12" t="str">
        <f>HYPERLINK("https://twitter.com/karahanbey2023","@karahanbey2023")</f>
        <v>@karahanbey2023</v>
      </c>
      <c r="C3769" s="7" t="s">
        <v>20040</v>
      </c>
      <c r="D3769" s="7" t="s">
        <v>20041</v>
      </c>
      <c r="E3769" s="12" t="str">
        <f>HYPERLINK("https://twitter.com/karahanbey2023/status/1181877868214784034","1181877868214784034")</f>
        <v>1181877868214784034</v>
      </c>
      <c r="F3769" s="8"/>
      <c r="G3769" s="15"/>
      <c r="H3769" s="8"/>
      <c r="I3769" s="15">
        <v>0</v>
      </c>
      <c r="J3769" s="15">
        <v>1</v>
      </c>
      <c r="K3769" s="12" t="str">
        <f>HYPERLINK("https://mobile.twitter.com","Twitter Web App")</f>
        <v>Twitter Web App</v>
      </c>
      <c r="L3769" s="16">
        <v>1025</v>
      </c>
      <c r="M3769" s="16">
        <v>470</v>
      </c>
      <c r="N3769" s="16">
        <v>2</v>
      </c>
      <c r="O3769" s="17"/>
      <c r="P3769" s="18">
        <v>42854.348495370374</v>
      </c>
      <c r="Q3769" s="7" t="s">
        <v>200</v>
      </c>
      <c r="R3769" s="7" t="s">
        <v>20042</v>
      </c>
      <c r="S3769" s="8"/>
      <c r="T3769" s="8"/>
      <c r="U3769" s="19" t="str">
        <f>HYPERLINK("https://pbs.twimg.com/profile_images/1181280329895682049/9LdBJDuy.jpg","View")</f>
        <v>View</v>
      </c>
      <c r="V3769" s="8"/>
      <c r="W3769" s="8"/>
      <c r="X3769" s="8"/>
      <c r="Y3769" s="8"/>
      <c r="Z3769" s="8"/>
    </row>
    <row r="3770" spans="1:26" ht="12.75">
      <c r="A3770" s="11">
        <v>43747.141377314816</v>
      </c>
      <c r="B3770" s="12" t="str">
        <f>HYPERLINK("https://twitter.com/Ramazan27074302","@Ramazan27074302")</f>
        <v>@Ramazan27074302</v>
      </c>
      <c r="C3770" s="7" t="s">
        <v>20043</v>
      </c>
      <c r="D3770" s="7" t="s">
        <v>160</v>
      </c>
      <c r="E3770" s="12" t="str">
        <f>HYPERLINK("https://twitter.com/Ramazan27074302/status/1181877864641318912","1181877864641318912")</f>
        <v>1181877864641318912</v>
      </c>
      <c r="F3770" s="8"/>
      <c r="G3770" s="15"/>
      <c r="H3770" s="8"/>
      <c r="I3770" s="15">
        <v>0</v>
      </c>
      <c r="J3770" s="15">
        <v>0</v>
      </c>
      <c r="K3770" s="12" t="str">
        <f>HYPERLINK("http://twitter.com/download/android","Twitter for Android")</f>
        <v>Twitter for Android</v>
      </c>
      <c r="L3770" s="16">
        <v>75</v>
      </c>
      <c r="M3770" s="16">
        <v>218</v>
      </c>
      <c r="N3770" s="16">
        <v>0</v>
      </c>
      <c r="O3770" s="17"/>
      <c r="P3770" s="18">
        <v>43513.147766203707</v>
      </c>
      <c r="Q3770" s="7" t="s">
        <v>2277</v>
      </c>
      <c r="R3770" s="7" t="s">
        <v>20044</v>
      </c>
      <c r="S3770" s="14" t="s">
        <v>20045</v>
      </c>
      <c r="T3770" s="8"/>
      <c r="U3770" s="19" t="str">
        <f>HYPERLINK("https://pbs.twimg.com/profile_images/1097884440280383488/lNyqtGDm.jpg","View")</f>
        <v>View</v>
      </c>
      <c r="V3770" s="8"/>
      <c r="W3770" s="8"/>
      <c r="X3770" s="8"/>
      <c r="Y3770" s="8"/>
      <c r="Z3770" s="8"/>
    </row>
    <row r="3771" spans="1:26" ht="12.75">
      <c r="A3771" s="11">
        <v>43747.141342592593</v>
      </c>
      <c r="B3771" s="12" t="str">
        <f>HYPERLINK("https://twitter.com/alitpl57","@alitpl57")</f>
        <v>@alitpl57</v>
      </c>
      <c r="C3771" s="7" t="s">
        <v>20046</v>
      </c>
      <c r="D3771" s="7" t="s">
        <v>20047</v>
      </c>
      <c r="E3771" s="12" t="str">
        <f>HYPERLINK("https://twitter.com/alitpl57/status/1181877850951094272","1181877850951094272")</f>
        <v>1181877850951094272</v>
      </c>
      <c r="F3771" s="15"/>
      <c r="G3771" s="15"/>
      <c r="H3771" s="8"/>
      <c r="I3771" s="15">
        <v>0</v>
      </c>
      <c r="J3771" s="15">
        <v>0</v>
      </c>
      <c r="K3771" s="12" t="str">
        <f>HYPERLINK("http://twitter.com/download/iphone","Twitter for iPhone")</f>
        <v>Twitter for iPhone</v>
      </c>
      <c r="L3771" s="16">
        <v>422</v>
      </c>
      <c r="M3771" s="16">
        <v>528</v>
      </c>
      <c r="N3771" s="16">
        <v>0</v>
      </c>
      <c r="O3771" s="17"/>
      <c r="P3771" s="18">
        <v>43466.089502314819</v>
      </c>
      <c r="Q3771" s="7" t="s">
        <v>7322</v>
      </c>
      <c r="R3771" s="7" t="s">
        <v>20048</v>
      </c>
      <c r="S3771" s="15"/>
      <c r="T3771" s="8"/>
      <c r="U3771" s="19" t="str">
        <f>HYPERLINK("https://pbs.twimg.com/profile_images/1164969705335140353/NCYyEDQ9.jpg","View")</f>
        <v>View</v>
      </c>
      <c r="V3771" s="8"/>
      <c r="W3771" s="8"/>
      <c r="X3771" s="8"/>
      <c r="Y3771" s="8"/>
      <c r="Z3771" s="8"/>
    </row>
    <row r="3772" spans="1:26" ht="12.75">
      <c r="A3772" s="11">
        <v>43747.141273148147</v>
      </c>
      <c r="B3772" s="12" t="str">
        <f>HYPERLINK("https://twitter.com/semrascs","@semrascs")</f>
        <v>@semrascs</v>
      </c>
      <c r="C3772" s="7" t="s">
        <v>20049</v>
      </c>
      <c r="D3772" s="7" t="s">
        <v>20050</v>
      </c>
      <c r="E3772" s="12" t="str">
        <f>HYPERLINK("https://twitter.com/semrascs/status/1181877824715722753","1181877824715722753")</f>
        <v>1181877824715722753</v>
      </c>
      <c r="F3772" s="14" t="s">
        <v>20051</v>
      </c>
      <c r="G3772" s="14" t="s">
        <v>20052</v>
      </c>
      <c r="H3772" s="8"/>
      <c r="I3772" s="15">
        <v>0</v>
      </c>
      <c r="J3772" s="15">
        <v>0</v>
      </c>
      <c r="K3772" s="12" t="str">
        <f>HYPERLINK("http://twitter.com/download/android","Twitter for Android")</f>
        <v>Twitter for Android</v>
      </c>
      <c r="L3772" s="16">
        <v>430</v>
      </c>
      <c r="M3772" s="16">
        <v>547</v>
      </c>
      <c r="N3772" s="16">
        <v>3</v>
      </c>
      <c r="O3772" s="17"/>
      <c r="P3772" s="18">
        <v>42163.246215277773</v>
      </c>
      <c r="Q3772" s="7"/>
      <c r="R3772" s="7" t="s">
        <v>20053</v>
      </c>
      <c r="S3772" s="8"/>
      <c r="T3772" s="8"/>
      <c r="U3772" s="19" t="str">
        <f>HYPERLINK("https://pbs.twimg.com/profile_images/1181116763464974336/9TEI0-6B.jpg","View")</f>
        <v>View</v>
      </c>
      <c r="V3772" s="8"/>
      <c r="W3772" s="8"/>
      <c r="X3772" s="8"/>
      <c r="Y3772" s="8"/>
      <c r="Z3772" s="8"/>
    </row>
    <row r="3773" spans="1:26" ht="12.75">
      <c r="A3773" s="11">
        <v>43747.141238425931</v>
      </c>
      <c r="B3773" s="12" t="str">
        <f>HYPERLINK("https://twitter.com/HurOsmanliTT","@HurOsmanliTT")</f>
        <v>@HurOsmanliTT</v>
      </c>
      <c r="C3773" s="13" t="s">
        <v>20054</v>
      </c>
      <c r="D3773" s="7" t="s">
        <v>20055</v>
      </c>
      <c r="E3773" s="12" t="str">
        <f>HYPERLINK("https://twitter.com/HurOsmanliTT/status/1181877813063901184","1181877813063901184")</f>
        <v>1181877813063901184</v>
      </c>
      <c r="F3773" s="8"/>
      <c r="G3773" s="14" t="s">
        <v>20000</v>
      </c>
      <c r="H3773" s="8"/>
      <c r="I3773" s="15">
        <v>9</v>
      </c>
      <c r="J3773" s="15">
        <v>14</v>
      </c>
      <c r="K3773" s="12" t="str">
        <f>HYPERLINK("http://twitter.com/download/android","Twitter for Android")</f>
        <v>Twitter for Android</v>
      </c>
      <c r="L3773" s="16">
        <v>5004</v>
      </c>
      <c r="M3773" s="16">
        <v>5465</v>
      </c>
      <c r="N3773" s="16">
        <v>0</v>
      </c>
      <c r="O3773" s="17"/>
      <c r="P3773" s="18">
        <v>41747.135682870372</v>
      </c>
      <c r="Q3773" s="7"/>
      <c r="R3773" s="7" t="s">
        <v>20056</v>
      </c>
      <c r="S3773" s="14" t="s">
        <v>20057</v>
      </c>
      <c r="T3773" s="8"/>
      <c r="U3773" s="19" t="str">
        <f>HYPERLINK("https://pbs.twimg.com/profile_images/1175420537268576256/jqjkfFie.jpg","View")</f>
        <v>View</v>
      </c>
      <c r="V3773" s="8"/>
      <c r="W3773" s="8"/>
      <c r="X3773" s="8"/>
      <c r="Y3773" s="8"/>
      <c r="Z3773" s="8"/>
    </row>
    <row r="3774" spans="1:26" ht="12.75">
      <c r="A3774" s="11">
        <v>43747.141192129631</v>
      </c>
      <c r="B3774" s="12" t="str">
        <f>HYPERLINK("https://twitter.com/Ben37575018","@Ben37575018")</f>
        <v>@Ben37575018</v>
      </c>
      <c r="C3774" s="7" t="s">
        <v>9049</v>
      </c>
      <c r="D3774" s="7" t="s">
        <v>20058</v>
      </c>
      <c r="E3774" s="12" t="str">
        <f>HYPERLINK("https://twitter.com/Ben37575018/status/1181877797406609408","1181877797406609408")</f>
        <v>1181877797406609408</v>
      </c>
      <c r="F3774" s="8"/>
      <c r="G3774" s="15"/>
      <c r="H3774" s="8"/>
      <c r="I3774" s="15">
        <v>0</v>
      </c>
      <c r="J3774" s="15">
        <v>0</v>
      </c>
      <c r="K3774" s="12" t="str">
        <f>HYPERLINK("http://twitter.com/download/android","Twitter for Android")</f>
        <v>Twitter for Android</v>
      </c>
      <c r="L3774" s="16">
        <v>4</v>
      </c>
      <c r="M3774" s="16">
        <v>20</v>
      </c>
      <c r="N3774" s="16">
        <v>0</v>
      </c>
      <c r="O3774" s="17"/>
      <c r="P3774" s="18">
        <v>43332.095046296294</v>
      </c>
      <c r="Q3774" s="7"/>
      <c r="R3774" s="7"/>
      <c r="S3774" s="8"/>
      <c r="T3774" s="8"/>
      <c r="U3774" s="20" t="s">
        <v>354</v>
      </c>
      <c r="V3774" s="8"/>
      <c r="W3774" s="8"/>
      <c r="X3774" s="8"/>
      <c r="Y3774" s="8"/>
      <c r="Z3774" s="8"/>
    </row>
    <row r="3775" spans="1:26" ht="12.75">
      <c r="A3775" s="11">
        <v>43747.141180555554</v>
      </c>
      <c r="B3775" s="12" t="str">
        <f>HYPERLINK("https://twitter.com/UurSel10","@UurSel10")</f>
        <v>@UurSel10</v>
      </c>
      <c r="C3775" s="7" t="s">
        <v>20059</v>
      </c>
      <c r="D3775" s="7" t="s">
        <v>20060</v>
      </c>
      <c r="E3775" s="12" t="str">
        <f>HYPERLINK("https://twitter.com/UurSel10/status/1181877792939679744","1181877792939679744")</f>
        <v>1181877792939679744</v>
      </c>
      <c r="F3775" s="8"/>
      <c r="G3775" s="14" t="s">
        <v>20061</v>
      </c>
      <c r="H3775" s="8"/>
      <c r="I3775" s="15">
        <v>0</v>
      </c>
      <c r="J3775" s="15">
        <v>1</v>
      </c>
      <c r="K3775" s="12" t="str">
        <f>HYPERLINK("http://twitter.com/download/iphone","Twitter for iPhone")</f>
        <v>Twitter for iPhone</v>
      </c>
      <c r="L3775" s="16">
        <v>11</v>
      </c>
      <c r="M3775" s="16">
        <v>8</v>
      </c>
      <c r="N3775" s="16">
        <v>0</v>
      </c>
      <c r="O3775" s="17"/>
      <c r="P3775" s="18">
        <v>43643.078020833331</v>
      </c>
      <c r="Q3775" s="7"/>
      <c r="R3775" s="7" t="s">
        <v>20062</v>
      </c>
      <c r="S3775" s="8"/>
      <c r="T3775" s="8"/>
      <c r="U3775" s="19" t="str">
        <f>HYPERLINK("https://pbs.twimg.com/profile_images/1154473971527688193/_rnoDhwS.jpg","View")</f>
        <v>View</v>
      </c>
      <c r="V3775" s="8"/>
      <c r="W3775" s="8"/>
      <c r="X3775" s="8"/>
      <c r="Y3775" s="8"/>
      <c r="Z3775" s="8"/>
    </row>
    <row r="3776" spans="1:26" ht="12.75">
      <c r="A3776" s="11">
        <v>43747.141134259262</v>
      </c>
      <c r="B3776" s="12" t="str">
        <f>HYPERLINK("https://twitter.com/mehmedizeko44","@mehmedizeko44")</f>
        <v>@mehmedizeko44</v>
      </c>
      <c r="C3776" s="7" t="s">
        <v>20063</v>
      </c>
      <c r="D3776" s="7" t="s">
        <v>20064</v>
      </c>
      <c r="E3776" s="12" t="str">
        <f>HYPERLINK("https://twitter.com/mehmedizeko44/status/1181877775902429184","1181877775902429184")</f>
        <v>1181877775902429184</v>
      </c>
      <c r="F3776" s="8"/>
      <c r="G3776" s="14" t="s">
        <v>20065</v>
      </c>
      <c r="H3776" s="8"/>
      <c r="I3776" s="15">
        <v>1</v>
      </c>
      <c r="J3776" s="15">
        <v>1</v>
      </c>
      <c r="K3776" s="12" t="str">
        <f>HYPERLINK("http://twitter.com/download/android","Twitter for Android")</f>
        <v>Twitter for Android</v>
      </c>
      <c r="L3776" s="16">
        <v>80</v>
      </c>
      <c r="M3776" s="16">
        <v>110</v>
      </c>
      <c r="N3776" s="16">
        <v>0</v>
      </c>
      <c r="O3776" s="17"/>
      <c r="P3776" s="18">
        <v>42468.287731481483</v>
      </c>
      <c r="Q3776" s="7"/>
      <c r="R3776" s="7"/>
      <c r="S3776" s="8"/>
      <c r="T3776" s="8"/>
      <c r="U3776" s="19" t="str">
        <f>HYPERLINK("https://pbs.twimg.com/profile_images/884863057930973185/Tk2aKBlh.jpg","View")</f>
        <v>View</v>
      </c>
      <c r="V3776" s="8"/>
      <c r="W3776" s="8"/>
      <c r="X3776" s="8"/>
      <c r="Y3776" s="8"/>
      <c r="Z3776" s="8"/>
    </row>
    <row r="3777" spans="1:26" ht="12.75">
      <c r="A3777" s="11">
        <v>43747.141111111108</v>
      </c>
      <c r="B3777" s="12" t="str">
        <f>HYPERLINK("https://twitter.com/savcibey_o","@savcibey_o")</f>
        <v>@savcibey_o</v>
      </c>
      <c r="C3777" s="7" t="s">
        <v>20066</v>
      </c>
      <c r="D3777" s="7" t="s">
        <v>20067</v>
      </c>
      <c r="E3777" s="12" t="str">
        <f>HYPERLINK("https://twitter.com/savcibey_o/status/1181877765366337543","1181877765366337543")</f>
        <v>1181877765366337543</v>
      </c>
      <c r="F3777" s="8"/>
      <c r="G3777" s="14" t="s">
        <v>20068</v>
      </c>
      <c r="H3777" s="8"/>
      <c r="I3777" s="15">
        <v>0</v>
      </c>
      <c r="J3777" s="15">
        <v>1</v>
      </c>
      <c r="K3777" s="12" t="str">
        <f>HYPERLINK("http://twitter.com/download/android","Twitter for Android")</f>
        <v>Twitter for Android</v>
      </c>
      <c r="L3777" s="16">
        <v>947</v>
      </c>
      <c r="M3777" s="16">
        <v>1654</v>
      </c>
      <c r="N3777" s="16">
        <v>0</v>
      </c>
      <c r="O3777" s="17"/>
      <c r="P3777" s="18">
        <v>43374.028715277775</v>
      </c>
      <c r="Q3777" s="7"/>
      <c r="R3777" s="7" t="s">
        <v>20069</v>
      </c>
      <c r="S3777" s="8"/>
      <c r="T3777" s="8"/>
      <c r="U3777" s="19" t="str">
        <f>HYPERLINK("https://pbs.twimg.com/profile_images/1151725150070562816/Fc0dZGLw.jpg","View")</f>
        <v>View</v>
      </c>
      <c r="V3777" s="8"/>
      <c r="W3777" s="8"/>
      <c r="X3777" s="8"/>
      <c r="Y3777" s="8"/>
      <c r="Z3777" s="8"/>
    </row>
    <row r="3778" spans="1:26" ht="12.75">
      <c r="A3778" s="11">
        <v>43747.141053240739</v>
      </c>
      <c r="B3778" s="12" t="str">
        <f>HYPERLINK("https://twitter.com/NobodysPerrfect","@NobodysPerrfect")</f>
        <v>@NobodysPerrfect</v>
      </c>
      <c r="C3778" s="7" t="s">
        <v>20070</v>
      </c>
      <c r="D3778" s="7" t="s">
        <v>20071</v>
      </c>
      <c r="E3778" s="12" t="str">
        <f>HYPERLINK("https://twitter.com/NobodysPerrfect/status/1181877744659025920","1181877744659025920")</f>
        <v>1181877744659025920</v>
      </c>
      <c r="F3778" s="14" t="s">
        <v>18114</v>
      </c>
      <c r="G3778" s="14" t="s">
        <v>10369</v>
      </c>
      <c r="H3778" s="8"/>
      <c r="I3778" s="15">
        <v>0</v>
      </c>
      <c r="J3778" s="15">
        <v>0</v>
      </c>
      <c r="K3778" s="12" t="str">
        <f>HYPERLINK("https://mobile.twitter.com","Twitter Web App")</f>
        <v>Twitter Web App</v>
      </c>
      <c r="L3778" s="16">
        <v>366</v>
      </c>
      <c r="M3778" s="16">
        <v>168</v>
      </c>
      <c r="N3778" s="16">
        <v>1</v>
      </c>
      <c r="O3778" s="17"/>
      <c r="P3778" s="18">
        <v>40974.385358796295</v>
      </c>
      <c r="Q3778" s="7" t="s">
        <v>8228</v>
      </c>
      <c r="R3778" s="7" t="s">
        <v>20072</v>
      </c>
      <c r="S3778" s="8"/>
      <c r="T3778" s="8"/>
      <c r="U3778" s="19" t="str">
        <f>HYPERLINK("https://pbs.twimg.com/profile_images/1152532262849789952/VkIowbZE.jpg","View")</f>
        <v>View</v>
      </c>
      <c r="V3778" s="8"/>
      <c r="W3778" s="8"/>
      <c r="X3778" s="8"/>
      <c r="Y3778" s="8"/>
      <c r="Z3778" s="8"/>
    </row>
    <row r="3779" spans="1:26" ht="12.75">
      <c r="A3779" s="11">
        <v>43747.141041666662</v>
      </c>
      <c r="B3779" s="12" t="str">
        <f>HYPERLINK("https://twitter.com/kemalcancrkc","@kemalcancrkc")</f>
        <v>@kemalcancrkc</v>
      </c>
      <c r="C3779" s="7" t="s">
        <v>20073</v>
      </c>
      <c r="D3779" s="7" t="s">
        <v>160</v>
      </c>
      <c r="E3779" s="12" t="str">
        <f>HYPERLINK("https://twitter.com/kemalcancrkc/status/1181877741764911104","1181877741764911104")</f>
        <v>1181877741764911104</v>
      </c>
      <c r="F3779" s="15"/>
      <c r="G3779" s="15"/>
      <c r="H3779" s="8"/>
      <c r="I3779" s="15">
        <v>0</v>
      </c>
      <c r="J3779" s="15">
        <v>1</v>
      </c>
      <c r="K3779" s="12" t="str">
        <f>HYPERLINK("http://twitter.com/download/iphone","Twitter for iPhone")</f>
        <v>Twitter for iPhone</v>
      </c>
      <c r="L3779" s="16">
        <v>17</v>
      </c>
      <c r="M3779" s="16">
        <v>21</v>
      </c>
      <c r="N3779" s="16">
        <v>0</v>
      </c>
      <c r="O3779" s="17"/>
      <c r="P3779" s="18">
        <v>43631.396087962959</v>
      </c>
      <c r="Q3779" s="7" t="s">
        <v>12326</v>
      </c>
      <c r="R3779" s="7"/>
      <c r="S3779" s="15"/>
      <c r="T3779" s="8"/>
      <c r="U3779" s="19" t="str">
        <f>HYPERLINK("https://pbs.twimg.com/profile_images/1146070306290905088/bsvnvz_9.jpg","View")</f>
        <v>View</v>
      </c>
      <c r="V3779" s="8"/>
      <c r="W3779" s="8"/>
      <c r="X3779" s="8"/>
      <c r="Y3779" s="8"/>
      <c r="Z3779" s="8"/>
    </row>
    <row r="3780" spans="1:26" ht="12.75">
      <c r="A3780" s="11">
        <v>43747.1409837963</v>
      </c>
      <c r="B3780" s="12" t="str">
        <f>HYPERLINK("https://twitter.com/kurcuvali","@kurcuvali")</f>
        <v>@kurcuvali</v>
      </c>
      <c r="C3780" s="7" t="s">
        <v>20074</v>
      </c>
      <c r="D3780" s="7" t="s">
        <v>20075</v>
      </c>
      <c r="E3780" s="12" t="str">
        <f>HYPERLINK("https://twitter.com/kurcuvali/status/1181877720067842048","1181877720067842048")</f>
        <v>1181877720067842048</v>
      </c>
      <c r="F3780" s="8"/>
      <c r="G3780" s="14" t="s">
        <v>20076</v>
      </c>
      <c r="H3780" s="8"/>
      <c r="I3780" s="15">
        <v>0</v>
      </c>
      <c r="J3780" s="15">
        <v>0</v>
      </c>
      <c r="K3780" s="12" t="str">
        <f>HYPERLINK("http://twitter.com/download/android","Twitter for Android")</f>
        <v>Twitter for Android</v>
      </c>
      <c r="L3780" s="16">
        <v>1</v>
      </c>
      <c r="M3780" s="16">
        <v>15</v>
      </c>
      <c r="N3780" s="16">
        <v>0</v>
      </c>
      <c r="O3780" s="17"/>
      <c r="P3780" s="18">
        <v>43478.604641203703</v>
      </c>
      <c r="Q3780" s="7"/>
      <c r="R3780" s="7"/>
      <c r="S3780" s="8"/>
      <c r="T3780" s="8"/>
      <c r="U3780" s="19" t="str">
        <f>HYPERLINK("https://pbs.twimg.com/profile_images/1084579584803250177/dkrCTlbr.jpg","View")</f>
        <v>View</v>
      </c>
      <c r="V3780" s="8"/>
      <c r="W3780" s="8"/>
      <c r="X3780" s="8"/>
      <c r="Y3780" s="8"/>
      <c r="Z3780" s="8"/>
    </row>
    <row r="3781" spans="1:26" ht="12.75">
      <c r="A3781" s="11">
        <v>43747.140949074077</v>
      </c>
      <c r="B3781" s="12" t="str">
        <f>HYPERLINK("https://twitter.com/ByrmDmrhn","@ByrmDmrhn")</f>
        <v>@ByrmDmrhn</v>
      </c>
      <c r="C3781" s="7" t="s">
        <v>20077</v>
      </c>
      <c r="D3781" s="7" t="s">
        <v>20078</v>
      </c>
      <c r="E3781" s="12" t="str">
        <f>HYPERLINK("https://twitter.com/ByrmDmrhn/status/1181877707908489221","1181877707908489221")</f>
        <v>1181877707908489221</v>
      </c>
      <c r="F3781" s="8"/>
      <c r="G3781" s="14" t="s">
        <v>9287</v>
      </c>
      <c r="H3781" s="8"/>
      <c r="I3781" s="15">
        <v>1</v>
      </c>
      <c r="J3781" s="15">
        <v>7</v>
      </c>
      <c r="K3781" s="12" t="str">
        <f>HYPERLINK("http://twitter.com/download/android","Twitter for Android")</f>
        <v>Twitter for Android</v>
      </c>
      <c r="L3781" s="16">
        <v>5812</v>
      </c>
      <c r="M3781" s="16">
        <v>5375</v>
      </c>
      <c r="N3781" s="16">
        <v>8</v>
      </c>
      <c r="O3781" s="17"/>
      <c r="P3781" s="18">
        <v>43401.7659837963</v>
      </c>
      <c r="Q3781" s="7" t="s">
        <v>200</v>
      </c>
      <c r="R3781" s="7" t="s">
        <v>20079</v>
      </c>
      <c r="S3781" s="8"/>
      <c r="T3781" s="8"/>
      <c r="U3781" s="19" t="str">
        <f>HYPERLINK("https://pbs.twimg.com/profile_images/1118787139532132352/9xUgSd0A.jpg","View")</f>
        <v>View</v>
      </c>
      <c r="V3781" s="8"/>
      <c r="W3781" s="8"/>
      <c r="X3781" s="8"/>
      <c r="Y3781" s="8"/>
      <c r="Z3781" s="8"/>
    </row>
    <row r="3782" spans="1:26" ht="12.75">
      <c r="A3782" s="11">
        <v>43747.140856481477</v>
      </c>
      <c r="B3782" s="12" t="str">
        <f>HYPERLINK("https://twitter.com/surmeert","@surmeert")</f>
        <v>@surmeert</v>
      </c>
      <c r="C3782" s="7" t="s">
        <v>5109</v>
      </c>
      <c r="D3782" s="7" t="s">
        <v>160</v>
      </c>
      <c r="E3782" s="12" t="str">
        <f>HYPERLINK("https://twitter.com/surmeert/status/1181877676300218370","1181877676300218370")</f>
        <v>1181877676300218370</v>
      </c>
      <c r="F3782" s="8"/>
      <c r="G3782" s="7"/>
      <c r="H3782" s="8"/>
      <c r="I3782" s="15">
        <v>0</v>
      </c>
      <c r="J3782" s="15">
        <v>0</v>
      </c>
      <c r="K3782" s="12" t="str">
        <f>HYPERLINK("http://twitter.com/download/android","Twitter for Android")</f>
        <v>Twitter for Android</v>
      </c>
      <c r="L3782" s="16">
        <v>48</v>
      </c>
      <c r="M3782" s="16">
        <v>65</v>
      </c>
      <c r="N3782" s="16">
        <v>0</v>
      </c>
      <c r="O3782" s="17"/>
      <c r="P3782" s="18">
        <v>43607.068692129629</v>
      </c>
      <c r="Q3782" s="7"/>
      <c r="R3782" s="7"/>
      <c r="S3782" s="8"/>
      <c r="T3782" s="8"/>
      <c r="U3782" s="19" t="str">
        <f>HYPERLINK("https://pbs.twimg.com/profile_images/1166719400919162884/SxAL2u3x.jpg","View")</f>
        <v>View</v>
      </c>
      <c r="V3782" s="8"/>
      <c r="W3782" s="8"/>
      <c r="X3782" s="8"/>
      <c r="Y3782" s="8"/>
      <c r="Z3782" s="8"/>
    </row>
    <row r="3783" spans="1:26" ht="12.75">
      <c r="A3783" s="11">
        <v>43747.14061342593</v>
      </c>
      <c r="B3783" s="12" t="str">
        <f>HYPERLINK("https://twitter.com/EsmeEsra","@EsmeEsra")</f>
        <v>@EsmeEsra</v>
      </c>
      <c r="C3783" s="7" t="s">
        <v>20080</v>
      </c>
      <c r="D3783" s="7" t="s">
        <v>20081</v>
      </c>
      <c r="E3783" s="12" t="str">
        <f>HYPERLINK("https://twitter.com/EsmeEsra/status/1181877584423981056","1181877584423981056")</f>
        <v>1181877584423981056</v>
      </c>
      <c r="F3783" s="8"/>
      <c r="G3783" s="15"/>
      <c r="H3783" s="8"/>
      <c r="I3783" s="15">
        <v>0</v>
      </c>
      <c r="J3783" s="15">
        <v>1</v>
      </c>
      <c r="K3783" s="12" t="str">
        <f>HYPERLINK("http://twitter.com/download/android","Twitter for Android")</f>
        <v>Twitter for Android</v>
      </c>
      <c r="L3783" s="16">
        <v>37</v>
      </c>
      <c r="M3783" s="16">
        <v>59</v>
      </c>
      <c r="N3783" s="16">
        <v>0</v>
      </c>
      <c r="O3783" s="17"/>
      <c r="P3783" s="18">
        <v>40943.201921296299</v>
      </c>
      <c r="Q3783" s="7" t="s">
        <v>313</v>
      </c>
      <c r="R3783" s="7" t="s">
        <v>20082</v>
      </c>
      <c r="S3783" s="8"/>
      <c r="T3783" s="8"/>
      <c r="U3783" s="19" t="str">
        <f>HYPERLINK("https://pbs.twimg.com/profile_images/1148522006150864897/TKlnCHBD.jpg","View")</f>
        <v>View</v>
      </c>
      <c r="V3783" s="8"/>
      <c r="W3783" s="8"/>
      <c r="X3783" s="8"/>
      <c r="Y3783" s="8"/>
      <c r="Z3783" s="8"/>
    </row>
    <row r="3784" spans="1:26" ht="12.75">
      <c r="A3784" s="11">
        <v>43747.140590277777</v>
      </c>
      <c r="B3784" s="12" t="str">
        <f>HYPERLINK("https://twitter.com/yesimtatar_","@yesimtatar_")</f>
        <v>@yesimtatar_</v>
      </c>
      <c r="C3784" s="7" t="s">
        <v>20083</v>
      </c>
      <c r="D3784" s="7" t="s">
        <v>20084</v>
      </c>
      <c r="E3784" s="12" t="str">
        <f>HYPERLINK("https://twitter.com/yesimtatar_/status/1181877576731676673","1181877576731676673")</f>
        <v>1181877576731676673</v>
      </c>
      <c r="F3784" s="8"/>
      <c r="G3784" s="14" t="s">
        <v>20085</v>
      </c>
      <c r="H3784" s="8"/>
      <c r="I3784" s="15">
        <v>4</v>
      </c>
      <c r="J3784" s="15">
        <v>13</v>
      </c>
      <c r="K3784" s="12" t="str">
        <f>HYPERLINK("http://twitter.com/download/android","Twitter for Android")</f>
        <v>Twitter for Android</v>
      </c>
      <c r="L3784" s="16">
        <v>20342</v>
      </c>
      <c r="M3784" s="16">
        <v>20488</v>
      </c>
      <c r="N3784" s="16">
        <v>52</v>
      </c>
      <c r="O3784" s="17"/>
      <c r="P3784" s="18">
        <v>41732.520775462966</v>
      </c>
      <c r="Q3784" s="7" t="s">
        <v>287</v>
      </c>
      <c r="R3784" s="7" t="s">
        <v>20086</v>
      </c>
      <c r="S3784" s="14" t="s">
        <v>20087</v>
      </c>
      <c r="T3784" s="8"/>
      <c r="U3784" s="19" t="str">
        <f>HYPERLINK("https://pbs.twimg.com/profile_images/1058731842671644673/rx9zKk7e.jpg","View")</f>
        <v>View</v>
      </c>
      <c r="V3784" s="8"/>
      <c r="W3784" s="8"/>
      <c r="X3784" s="8"/>
      <c r="Y3784" s="8"/>
      <c r="Z3784" s="8"/>
    </row>
    <row r="3785" spans="1:26" ht="12.75">
      <c r="A3785" s="11">
        <v>43747.140567129631</v>
      </c>
      <c r="B3785" s="12" t="str">
        <f>HYPERLINK("https://twitter.com/berranurkaratas","@berranurkaratas")</f>
        <v>@berranurkaratas</v>
      </c>
      <c r="C3785" s="7" t="s">
        <v>20088</v>
      </c>
      <c r="D3785" s="15" t="s">
        <v>20089</v>
      </c>
      <c r="E3785" s="12" t="str">
        <f>HYPERLINK("https://twitter.com/berranurkaratas/status/1181877569509044227","1181877569509044227")</f>
        <v>1181877569509044227</v>
      </c>
      <c r="F3785" s="8"/>
      <c r="G3785" s="7"/>
      <c r="H3785" s="8"/>
      <c r="I3785" s="15">
        <v>0</v>
      </c>
      <c r="J3785" s="15">
        <v>2</v>
      </c>
      <c r="K3785" s="12" t="str">
        <f>HYPERLINK("http://twitter.com/download/android","Twitter for Android")</f>
        <v>Twitter for Android</v>
      </c>
      <c r="L3785" s="16">
        <v>53</v>
      </c>
      <c r="M3785" s="16">
        <v>62</v>
      </c>
      <c r="N3785" s="16">
        <v>0</v>
      </c>
      <c r="O3785" s="17"/>
      <c r="P3785" s="18">
        <v>43706.481111111112</v>
      </c>
      <c r="Q3785" s="7" t="s">
        <v>20090</v>
      </c>
      <c r="R3785" s="7" t="s">
        <v>20091</v>
      </c>
      <c r="S3785" s="8"/>
      <c r="T3785" s="8"/>
      <c r="U3785" s="19" t="str">
        <f>HYPERLINK("https://pbs.twimg.com/profile_images/1181672912870412290/qfLkz5ks.jpg","View")</f>
        <v>View</v>
      </c>
      <c r="V3785" s="8"/>
      <c r="W3785" s="8"/>
      <c r="X3785" s="8"/>
      <c r="Y3785" s="8"/>
      <c r="Z3785" s="8"/>
    </row>
    <row r="3786" spans="1:26" ht="12.75">
      <c r="A3786" s="11">
        <v>43747.140567129631</v>
      </c>
      <c r="B3786" s="12" t="str">
        <f>HYPERLINK("https://twitter.com/55ZABUN","@55ZABUN")</f>
        <v>@55ZABUN</v>
      </c>
      <c r="C3786" s="7" t="s">
        <v>20092</v>
      </c>
      <c r="D3786" s="7" t="s">
        <v>20093</v>
      </c>
      <c r="E3786" s="12" t="str">
        <f>HYPERLINK("https://twitter.com/55ZABUN/status/1181877569408442371","1181877569408442371")</f>
        <v>1181877569408442371</v>
      </c>
      <c r="F3786" s="8"/>
      <c r="G3786" s="7"/>
      <c r="H3786" s="8"/>
      <c r="I3786" s="15">
        <v>0</v>
      </c>
      <c r="J3786" s="15">
        <v>3</v>
      </c>
      <c r="K3786" s="12" t="str">
        <f>HYPERLINK("http://twitter.com/download/iphone","Twitter for iPhone")</f>
        <v>Twitter for iPhone</v>
      </c>
      <c r="L3786" s="16">
        <v>1435</v>
      </c>
      <c r="M3786" s="16">
        <v>1705</v>
      </c>
      <c r="N3786" s="16">
        <v>0</v>
      </c>
      <c r="O3786" s="17"/>
      <c r="P3786" s="18">
        <v>41153.714490740742</v>
      </c>
      <c r="Q3786" s="7"/>
      <c r="R3786" s="7" t="s">
        <v>20094</v>
      </c>
      <c r="S3786" s="15"/>
      <c r="T3786" s="8"/>
      <c r="U3786" s="19" t="str">
        <f>HYPERLINK("https://pbs.twimg.com/profile_images/1174708041511505921/9Fkx1hT_.jpg","View")</f>
        <v>View</v>
      </c>
      <c r="V3786" s="8"/>
      <c r="W3786" s="8"/>
      <c r="X3786" s="8"/>
      <c r="Y3786" s="8"/>
      <c r="Z3786" s="8"/>
    </row>
    <row r="3787" spans="1:26" ht="12.75">
      <c r="A3787" s="11">
        <v>43747.140555555554</v>
      </c>
      <c r="B3787" s="12" t="str">
        <f>HYPERLINK("https://twitter.com/cryamk","@cryamk")</f>
        <v>@cryamk</v>
      </c>
      <c r="C3787" s="7" t="s">
        <v>20095</v>
      </c>
      <c r="D3787" s="7" t="s">
        <v>20096</v>
      </c>
      <c r="E3787" s="12" t="str">
        <f>HYPERLINK("https://twitter.com/cryamk/status/1181877566715695106","1181877566715695106")</f>
        <v>1181877566715695106</v>
      </c>
      <c r="F3787" s="8"/>
      <c r="G3787" s="14" t="s">
        <v>20097</v>
      </c>
      <c r="H3787" s="8"/>
      <c r="I3787" s="15">
        <v>0</v>
      </c>
      <c r="J3787" s="15">
        <v>2</v>
      </c>
      <c r="K3787" s="12" t="str">
        <f>HYPERLINK("http://twitter.com/download/android","Twitter for Android")</f>
        <v>Twitter for Android</v>
      </c>
      <c r="L3787" s="16">
        <v>46</v>
      </c>
      <c r="M3787" s="16">
        <v>169</v>
      </c>
      <c r="N3787" s="16">
        <v>0</v>
      </c>
      <c r="O3787" s="17"/>
      <c r="P3787" s="18">
        <v>43209.412453703699</v>
      </c>
      <c r="Q3787" s="7" t="s">
        <v>20098</v>
      </c>
      <c r="R3787" s="7" t="s">
        <v>20099</v>
      </c>
      <c r="S3787" s="8"/>
      <c r="T3787" s="8"/>
      <c r="U3787" s="19" t="str">
        <f>HYPERLINK("https://pbs.twimg.com/profile_images/1181878148088115200/TGK9uMLM.jpg","View")</f>
        <v>View</v>
      </c>
      <c r="V3787" s="8"/>
      <c r="W3787" s="8"/>
      <c r="X3787" s="8"/>
      <c r="Y3787" s="8"/>
      <c r="Z3787" s="8"/>
    </row>
    <row r="3788" spans="1:26" ht="12.75">
      <c r="A3788" s="11">
        <v>43747.140555555554</v>
      </c>
      <c r="B3788" s="12" t="str">
        <f>HYPERLINK("https://twitter.com/oguzhan1791","@oguzhan1791")</f>
        <v>@oguzhan1791</v>
      </c>
      <c r="C3788" s="7" t="s">
        <v>20100</v>
      </c>
      <c r="D3788" s="7" t="s">
        <v>20101</v>
      </c>
      <c r="E3788" s="12" t="str">
        <f>HYPERLINK("https://twitter.com/oguzhan1791/status/1181877563955798017","1181877563955798017")</f>
        <v>1181877563955798017</v>
      </c>
      <c r="F3788" s="8"/>
      <c r="G3788" s="14" t="s">
        <v>20102</v>
      </c>
      <c r="H3788" s="8"/>
      <c r="I3788" s="15">
        <v>1</v>
      </c>
      <c r="J3788" s="15">
        <v>5</v>
      </c>
      <c r="K3788" s="12" t="str">
        <f>HYPERLINK("http://twitter.com/download/android","Twitter for Android")</f>
        <v>Twitter for Android</v>
      </c>
      <c r="L3788" s="16">
        <v>586</v>
      </c>
      <c r="M3788" s="16">
        <v>291</v>
      </c>
      <c r="N3788" s="16">
        <v>0</v>
      </c>
      <c r="O3788" s="17"/>
      <c r="P3788" s="18">
        <v>40818.086550925924</v>
      </c>
      <c r="Q3788" s="7" t="s">
        <v>287</v>
      </c>
      <c r="R3788" s="7" t="s">
        <v>20103</v>
      </c>
      <c r="S3788" s="15"/>
      <c r="T3788" s="8"/>
      <c r="U3788" s="19" t="str">
        <f>HYPERLINK("https://pbs.twimg.com/profile_images/1162622582136410112/yahx_QAp.jpg","View")</f>
        <v>View</v>
      </c>
      <c r="V3788" s="8"/>
      <c r="W3788" s="8"/>
      <c r="X3788" s="8"/>
      <c r="Y3788" s="8"/>
      <c r="Z3788" s="8"/>
    </row>
    <row r="3789" spans="1:26" ht="12.75">
      <c r="A3789" s="11">
        <v>43747.140543981484</v>
      </c>
      <c r="B3789" s="12" t="str">
        <f>HYPERLINK("https://twitter.com/suphimurattensi","@suphimurattensi")</f>
        <v>@suphimurattensi</v>
      </c>
      <c r="C3789" s="7" t="s">
        <v>20104</v>
      </c>
      <c r="D3789" s="7" t="s">
        <v>20105</v>
      </c>
      <c r="E3789" s="12" t="str">
        <f>HYPERLINK("https://twitter.com/suphimurattensi/status/1181877563150491649","1181877563150491649")</f>
        <v>1181877563150491649</v>
      </c>
      <c r="F3789" s="8"/>
      <c r="G3789" s="14" t="s">
        <v>20106</v>
      </c>
      <c r="H3789" s="8"/>
      <c r="I3789" s="15">
        <v>0</v>
      </c>
      <c r="J3789" s="15">
        <v>3</v>
      </c>
      <c r="K3789" s="12" t="str">
        <f>HYPERLINK("http://twitter.com/download/android","Twitter for Android")</f>
        <v>Twitter for Android</v>
      </c>
      <c r="L3789" s="16">
        <v>617</v>
      </c>
      <c r="M3789" s="16">
        <v>500</v>
      </c>
      <c r="N3789" s="16">
        <v>6</v>
      </c>
      <c r="O3789" s="17"/>
      <c r="P3789" s="18">
        <v>41326.98578703704</v>
      </c>
      <c r="Q3789" s="7" t="s">
        <v>4895</v>
      </c>
      <c r="R3789" s="7" t="s">
        <v>20107</v>
      </c>
      <c r="S3789" s="14" t="s">
        <v>20108</v>
      </c>
      <c r="T3789" s="8"/>
      <c r="U3789" s="19" t="str">
        <f>HYPERLINK("https://pbs.twimg.com/profile_images/1152009904955252738/XUExn16l.jpg","View")</f>
        <v>View</v>
      </c>
      <c r="V3789" s="8"/>
      <c r="W3789" s="8"/>
      <c r="X3789" s="8"/>
      <c r="Y3789" s="8"/>
      <c r="Z3789" s="8"/>
    </row>
    <row r="3790" spans="1:26" ht="12.75">
      <c r="A3790" s="11">
        <v>43747.140486111108</v>
      </c>
      <c r="B3790" s="12" t="str">
        <f>HYPERLINK("https://twitter.com/fuckinwstyle","@fuckinwstyle")</f>
        <v>@fuckinwstyle</v>
      </c>
      <c r="C3790" s="7" t="s">
        <v>3141</v>
      </c>
      <c r="D3790" s="7" t="s">
        <v>20109</v>
      </c>
      <c r="E3790" s="12" t="str">
        <f>HYPERLINK("https://twitter.com/fuckinwstyle/status/1181877540346044416","1181877540346044416")</f>
        <v>1181877540346044416</v>
      </c>
      <c r="F3790" s="8"/>
      <c r="G3790" s="14" t="s">
        <v>20110</v>
      </c>
      <c r="H3790" s="8"/>
      <c r="I3790" s="15">
        <v>0</v>
      </c>
      <c r="J3790" s="15">
        <v>2</v>
      </c>
      <c r="K3790" s="12" t="str">
        <f>HYPERLINK("http://twitter.com/download/android","Twitter for Android")</f>
        <v>Twitter for Android</v>
      </c>
      <c r="L3790" s="16">
        <v>106</v>
      </c>
      <c r="M3790" s="16">
        <v>128</v>
      </c>
      <c r="N3790" s="16">
        <v>0</v>
      </c>
      <c r="O3790" s="17"/>
      <c r="P3790" s="18">
        <v>41471.981770833336</v>
      </c>
      <c r="Q3790" s="7" t="s">
        <v>2201</v>
      </c>
      <c r="R3790" s="7" t="s">
        <v>20111</v>
      </c>
      <c r="S3790" s="8"/>
      <c r="T3790" s="8"/>
      <c r="U3790" s="19" t="str">
        <f>HYPERLINK("https://pbs.twimg.com/profile_images/1181652827715846144/tHcpWVjQ.jpg","View")</f>
        <v>View</v>
      </c>
      <c r="V3790" s="8"/>
      <c r="W3790" s="8"/>
      <c r="X3790" s="8"/>
      <c r="Y3790" s="8"/>
      <c r="Z3790" s="8"/>
    </row>
    <row r="3791" spans="1:26" ht="12.75">
      <c r="A3791" s="11">
        <v>43747.140439814815</v>
      </c>
      <c r="B3791" s="12" t="str">
        <f>HYPERLINK("https://twitter.com/saudadeshipper","@saudadeshipper")</f>
        <v>@saudadeshipper</v>
      </c>
      <c r="C3791" s="7" t="s">
        <v>20112</v>
      </c>
      <c r="D3791" s="7" t="s">
        <v>160</v>
      </c>
      <c r="E3791" s="12" t="str">
        <f>HYPERLINK("https://twitter.com/saudadeshipper/status/1181877523321430016","1181877523321430016")</f>
        <v>1181877523321430016</v>
      </c>
      <c r="F3791" s="8"/>
      <c r="G3791" s="14" t="s">
        <v>20113</v>
      </c>
      <c r="H3791" s="8"/>
      <c r="I3791" s="15">
        <v>0</v>
      </c>
      <c r="J3791" s="15">
        <v>2</v>
      </c>
      <c r="K3791" s="12" t="str">
        <f>HYPERLINK("http://twitter.com/download/iphone","Twitter for iPhone")</f>
        <v>Twitter for iPhone</v>
      </c>
      <c r="L3791" s="16">
        <v>232</v>
      </c>
      <c r="M3791" s="16">
        <v>204</v>
      </c>
      <c r="N3791" s="16">
        <v>0</v>
      </c>
      <c r="O3791" s="17"/>
      <c r="P3791" s="18">
        <v>43639.072048611109</v>
      </c>
      <c r="Q3791" s="7" t="s">
        <v>20114</v>
      </c>
      <c r="R3791" s="7"/>
      <c r="S3791" s="8"/>
      <c r="T3791" s="8"/>
      <c r="U3791" s="19" t="str">
        <f>HYPERLINK("https://pbs.twimg.com/profile_images/1179391843177504769/ZWt0NlnR.jpg","View")</f>
        <v>View</v>
      </c>
      <c r="V3791" s="8"/>
      <c r="W3791" s="8"/>
      <c r="X3791" s="8"/>
      <c r="Y3791" s="8"/>
      <c r="Z3791" s="8"/>
    </row>
    <row r="3792" spans="1:26" ht="12.75">
      <c r="A3792" s="11">
        <v>43747.140405092592</v>
      </c>
      <c r="B3792" s="12" t="str">
        <f>HYPERLINK("https://twitter.com/aosmantrgt","@aosmantrgt")</f>
        <v>@aosmantrgt</v>
      </c>
      <c r="C3792" s="7" t="s">
        <v>20115</v>
      </c>
      <c r="D3792" s="7" t="s">
        <v>20116</v>
      </c>
      <c r="E3792" s="12" t="str">
        <f>HYPERLINK("https://twitter.com/aosmantrgt/status/1181877511862542337","1181877511862542337")</f>
        <v>1181877511862542337</v>
      </c>
      <c r="F3792" s="8"/>
      <c r="G3792" s="14" t="s">
        <v>20117</v>
      </c>
      <c r="H3792" s="8"/>
      <c r="I3792" s="15">
        <v>0</v>
      </c>
      <c r="J3792" s="15">
        <v>1</v>
      </c>
      <c r="K3792" s="12" t="str">
        <f>HYPERLINK("http://twitter.com/download/android","Twitter for Android")</f>
        <v>Twitter for Android</v>
      </c>
      <c r="L3792" s="16">
        <v>1155</v>
      </c>
      <c r="M3792" s="16">
        <v>1368</v>
      </c>
      <c r="N3792" s="16">
        <v>0</v>
      </c>
      <c r="O3792" s="17"/>
      <c r="P3792" s="18">
        <v>41792.046631944446</v>
      </c>
      <c r="Q3792" s="7" t="s">
        <v>2592</v>
      </c>
      <c r="R3792" s="7" t="s">
        <v>20118</v>
      </c>
      <c r="S3792" s="8"/>
      <c r="T3792" s="8"/>
      <c r="U3792" s="19" t="str">
        <f>HYPERLINK("https://pbs.twimg.com/profile_images/1178054451153821698/F4RJ07AZ.jpg","View")</f>
        <v>View</v>
      </c>
      <c r="V3792" s="8"/>
      <c r="W3792" s="8"/>
      <c r="X3792" s="8"/>
      <c r="Y3792" s="8"/>
      <c r="Z3792" s="8"/>
    </row>
    <row r="3793" spans="1:26" ht="12.75">
      <c r="A3793" s="11">
        <v>43747.140393518523</v>
      </c>
      <c r="B3793" s="12" t="str">
        <f>HYPERLINK("https://twitter.com/borsalinoreal","@borsalinoreal")</f>
        <v>@borsalinoreal</v>
      </c>
      <c r="C3793" s="7" t="s">
        <v>20119</v>
      </c>
      <c r="D3793" s="7" t="s">
        <v>20120</v>
      </c>
      <c r="E3793" s="12" t="str">
        <f>HYPERLINK("https://twitter.com/borsalinoreal/status/1181877505659228160","1181877505659228160")</f>
        <v>1181877505659228160</v>
      </c>
      <c r="F3793" s="8"/>
      <c r="G3793" s="14" t="s">
        <v>20121</v>
      </c>
      <c r="H3793" s="8"/>
      <c r="I3793" s="15">
        <v>0</v>
      </c>
      <c r="J3793" s="15">
        <v>2</v>
      </c>
      <c r="K3793" s="12" t="str">
        <f>HYPERLINK("http://twitter.com/download/android","Twitter for Android")</f>
        <v>Twitter for Android</v>
      </c>
      <c r="L3793" s="16">
        <v>244</v>
      </c>
      <c r="M3793" s="16">
        <v>1701</v>
      </c>
      <c r="N3793" s="16">
        <v>2</v>
      </c>
      <c r="O3793" s="17"/>
      <c r="P3793" s="18">
        <v>43478.348657407405</v>
      </c>
      <c r="Q3793" s="7" t="s">
        <v>20122</v>
      </c>
      <c r="R3793" s="7" t="s">
        <v>20123</v>
      </c>
      <c r="S3793" s="8"/>
      <c r="T3793" s="8"/>
      <c r="U3793" s="19" t="str">
        <f>HYPERLINK("https://pbs.twimg.com/profile_images/1173637555662839813/d7fRnLSV.jpg","View")</f>
        <v>View</v>
      </c>
      <c r="V3793" s="8"/>
      <c r="W3793" s="8"/>
      <c r="X3793" s="8"/>
      <c r="Y3793" s="8"/>
      <c r="Z3793" s="8"/>
    </row>
    <row r="3794" spans="1:26" ht="12.75">
      <c r="A3794" s="11">
        <v>43747.140381944446</v>
      </c>
      <c r="B3794" s="12" t="str">
        <f>HYPERLINK("https://twitter.com/ercanuysaltr","@ercanuysaltr")</f>
        <v>@ercanuysaltr</v>
      </c>
      <c r="C3794" s="7" t="s">
        <v>20124</v>
      </c>
      <c r="D3794" s="7" t="s">
        <v>20125</v>
      </c>
      <c r="E3794" s="12" t="str">
        <f>HYPERLINK("https://twitter.com/ercanuysaltr/status/1181877503931146241","1181877503931146241")</f>
        <v>1181877503931146241</v>
      </c>
      <c r="F3794" s="8"/>
      <c r="G3794" s="7"/>
      <c r="H3794" s="8"/>
      <c r="I3794" s="15">
        <v>0</v>
      </c>
      <c r="J3794" s="15">
        <v>0</v>
      </c>
      <c r="K3794" s="12" t="str">
        <f>HYPERLINK("http://twitter.com/download/iphone","Twitter for iPhone")</f>
        <v>Twitter for iPhone</v>
      </c>
      <c r="L3794" s="16">
        <v>30</v>
      </c>
      <c r="M3794" s="16">
        <v>213</v>
      </c>
      <c r="N3794" s="16">
        <v>0</v>
      </c>
      <c r="O3794" s="17"/>
      <c r="P3794" s="18">
        <v>43638.402175925927</v>
      </c>
      <c r="Q3794" s="7" t="s">
        <v>8299</v>
      </c>
      <c r="R3794" s="7" t="s">
        <v>20126</v>
      </c>
      <c r="S3794" s="8"/>
      <c r="T3794" s="8"/>
      <c r="U3794" s="19" t="str">
        <f>HYPERLINK("https://pbs.twimg.com/profile_images/1142811679731986432/c4JgofTH.jpg","View")</f>
        <v>View</v>
      </c>
      <c r="V3794" s="8"/>
      <c r="W3794" s="8"/>
      <c r="X3794" s="8"/>
      <c r="Y3794" s="8"/>
      <c r="Z3794" s="8"/>
    </row>
    <row r="3795" spans="1:26" ht="12.75">
      <c r="A3795" s="11">
        <v>43747.140381944446</v>
      </c>
      <c r="B3795" s="12" t="str">
        <f>HYPERLINK("https://twitter.com/srvt_s","@srvt_s")</f>
        <v>@srvt_s</v>
      </c>
      <c r="C3795" s="7" t="s">
        <v>20127</v>
      </c>
      <c r="D3795" s="7" t="s">
        <v>20128</v>
      </c>
      <c r="E3795" s="12" t="str">
        <f>HYPERLINK("https://twitter.com/srvt_s/status/1181877501024493568","1181877501024493568")</f>
        <v>1181877501024493568</v>
      </c>
      <c r="F3795" s="8"/>
      <c r="G3795" s="14" t="s">
        <v>20129</v>
      </c>
      <c r="H3795" s="8"/>
      <c r="I3795" s="15">
        <v>0</v>
      </c>
      <c r="J3795" s="15">
        <v>0</v>
      </c>
      <c r="K3795" s="12" t="str">
        <f>HYPERLINK("http://twitter.com/download/android","Twitter for Android")</f>
        <v>Twitter for Android</v>
      </c>
      <c r="L3795" s="16">
        <v>2111</v>
      </c>
      <c r="M3795" s="16">
        <v>1909</v>
      </c>
      <c r="N3795" s="16">
        <v>6</v>
      </c>
      <c r="O3795" s="17"/>
      <c r="P3795" s="18">
        <v>40177.025381944448</v>
      </c>
      <c r="Q3795" s="7" t="s">
        <v>20130</v>
      </c>
      <c r="R3795" s="7" t="s">
        <v>20131</v>
      </c>
      <c r="S3795" s="8"/>
      <c r="T3795" s="8"/>
      <c r="U3795" s="19" t="str">
        <f>HYPERLINK("https://pbs.twimg.com/profile_images/1122143564362866689/YWM02Fmt.jpg","View")</f>
        <v>View</v>
      </c>
      <c r="V3795" s="8"/>
      <c r="W3795" s="8"/>
      <c r="X3795" s="8"/>
      <c r="Y3795" s="8"/>
      <c r="Z3795" s="8"/>
    </row>
    <row r="3796" spans="1:26" ht="12.75">
      <c r="A3796" s="11">
        <v>43747.140324074076</v>
      </c>
      <c r="B3796" s="12" t="str">
        <f>HYPERLINK("https://twitter.com/MahmutMuslihan1","@MahmutMuslihan1")</f>
        <v>@MahmutMuslihan1</v>
      </c>
      <c r="C3796" s="7" t="s">
        <v>20133</v>
      </c>
      <c r="D3796" s="7" t="s">
        <v>20134</v>
      </c>
      <c r="E3796" s="12" t="str">
        <f>HYPERLINK("https://twitter.com/MahmutMuslihan1/status/1181877481260900368","1181877481260900368")</f>
        <v>1181877481260900368</v>
      </c>
      <c r="F3796" s="8"/>
      <c r="G3796" s="14" t="s">
        <v>20135</v>
      </c>
      <c r="H3796" s="8"/>
      <c r="I3796" s="15">
        <v>0</v>
      </c>
      <c r="J3796" s="15">
        <v>1</v>
      </c>
      <c r="K3796" s="12" t="str">
        <f>HYPERLINK("http://twitter.com/download/android","Twitter for Android")</f>
        <v>Twitter for Android</v>
      </c>
      <c r="L3796" s="16">
        <v>937</v>
      </c>
      <c r="M3796" s="16">
        <v>70</v>
      </c>
      <c r="N3796" s="16">
        <v>0</v>
      </c>
      <c r="O3796" s="17"/>
      <c r="P3796" s="18">
        <v>43739.481770833328</v>
      </c>
      <c r="Q3796" s="7"/>
      <c r="R3796" s="7" t="s">
        <v>20136</v>
      </c>
      <c r="S3796" s="8"/>
      <c r="T3796" s="8"/>
      <c r="U3796" s="19" t="str">
        <f>HYPERLINK("https://pbs.twimg.com/profile_images/1179103178522054658/aQQ3VMRc.jpg","View")</f>
        <v>View</v>
      </c>
      <c r="V3796" s="8"/>
      <c r="W3796" s="8"/>
      <c r="X3796" s="8"/>
      <c r="Y3796" s="8"/>
      <c r="Z3796" s="8"/>
    </row>
    <row r="3797" spans="1:26" ht="12.75">
      <c r="A3797" s="11">
        <v>43747.1403125</v>
      </c>
      <c r="B3797" s="12" t="str">
        <f>HYPERLINK("https://twitter.com/melsoo11","@melsoo11")</f>
        <v>@melsoo11</v>
      </c>
      <c r="C3797" s="7" t="s">
        <v>2540</v>
      </c>
      <c r="D3797" s="7" t="s">
        <v>20137</v>
      </c>
      <c r="E3797" s="12" t="str">
        <f>HYPERLINK("https://twitter.com/melsoo11/status/1181877477733552129","1181877477733552129")</f>
        <v>1181877477733552129</v>
      </c>
      <c r="F3797" s="8"/>
      <c r="G3797" s="7"/>
      <c r="H3797" s="8"/>
      <c r="I3797" s="15">
        <v>0</v>
      </c>
      <c r="J3797" s="15">
        <v>1</v>
      </c>
      <c r="K3797" s="12" t="str">
        <f>HYPERLINK("http://twitter.com/download/iphone","Twitter for iPhone")</f>
        <v>Twitter for iPhone</v>
      </c>
      <c r="L3797" s="16">
        <v>3</v>
      </c>
      <c r="M3797" s="16">
        <v>17</v>
      </c>
      <c r="N3797" s="16">
        <v>0</v>
      </c>
      <c r="O3797" s="17"/>
      <c r="P3797" s="18">
        <v>43734.685520833329</v>
      </c>
      <c r="Q3797" s="7"/>
      <c r="R3797" s="7" t="s">
        <v>20138</v>
      </c>
      <c r="S3797" s="8"/>
      <c r="T3797" s="8"/>
      <c r="U3797" s="19" t="str">
        <f>HYPERLINK("https://pbs.twimg.com/profile_images/1179698385777020928/mKeCvjBB.jpg","View")</f>
        <v>View</v>
      </c>
      <c r="V3797" s="8"/>
      <c r="W3797" s="8"/>
      <c r="X3797" s="8"/>
      <c r="Y3797" s="8"/>
      <c r="Z3797" s="8"/>
    </row>
    <row r="3798" spans="1:26" ht="12.75">
      <c r="A3798" s="11">
        <v>43747.140277777777</v>
      </c>
      <c r="B3798" s="12" t="str">
        <f>HYPERLINK("https://twitter.com/NayabShams55","@NayabShams55")</f>
        <v>@NayabShams55</v>
      </c>
      <c r="C3798" s="7" t="s">
        <v>20139</v>
      </c>
      <c r="D3798" s="7" t="s">
        <v>20140</v>
      </c>
      <c r="E3798" s="12" t="str">
        <f>HYPERLINK("https://twitter.com/NayabShams55/status/1181877466400530432","1181877466400530432")</f>
        <v>1181877466400530432</v>
      </c>
      <c r="F3798" s="14" t="s">
        <v>20141</v>
      </c>
      <c r="G3798" s="14" t="s">
        <v>20142</v>
      </c>
      <c r="H3798" s="8"/>
      <c r="I3798" s="15">
        <v>1</v>
      </c>
      <c r="J3798" s="15">
        <v>2</v>
      </c>
      <c r="K3798" s="12" t="str">
        <f>HYPERLINK("http://twitter.com/download/android","Twitter for Android")</f>
        <v>Twitter for Android</v>
      </c>
      <c r="L3798" s="16">
        <v>25</v>
      </c>
      <c r="M3798" s="16">
        <v>115</v>
      </c>
      <c r="N3798" s="16">
        <v>0</v>
      </c>
      <c r="O3798" s="17"/>
      <c r="P3798" s="18">
        <v>42607.956967592589</v>
      </c>
      <c r="Q3798" s="7"/>
      <c r="R3798" s="7"/>
      <c r="S3798" s="8"/>
      <c r="T3798" s="8"/>
      <c r="U3798" s="19" t="str">
        <f>HYPERLINK("https://pbs.twimg.com/profile_images/769442327450546176/WCXjSG_Y.jpg","View")</f>
        <v>View</v>
      </c>
      <c r="V3798" s="8"/>
      <c r="W3798" s="8"/>
      <c r="X3798" s="8"/>
      <c r="Y3798" s="8"/>
      <c r="Z3798" s="8"/>
    </row>
    <row r="3799" spans="1:26" ht="12.75">
      <c r="A3799" s="11">
        <v>43747.1402662037</v>
      </c>
      <c r="B3799" s="12" t="str">
        <f>HYPERLINK("https://twitter.com/hakannbiyik","@hakannbiyik")</f>
        <v>@hakannbiyik</v>
      </c>
      <c r="C3799" s="7" t="s">
        <v>20143</v>
      </c>
      <c r="D3799" s="7" t="s">
        <v>20144</v>
      </c>
      <c r="E3799" s="12" t="str">
        <f>HYPERLINK("https://twitter.com/hakannbiyik/status/1181877462378131457","1181877462378131457")</f>
        <v>1181877462378131457</v>
      </c>
      <c r="F3799" s="8"/>
      <c r="G3799" s="14" t="s">
        <v>20145</v>
      </c>
      <c r="H3799" s="8"/>
      <c r="I3799" s="15">
        <v>0</v>
      </c>
      <c r="J3799" s="15">
        <v>0</v>
      </c>
      <c r="K3799" s="12" t="str">
        <f>HYPERLINK("http://twitter.com/download/iphone","Twitter for iPhone")</f>
        <v>Twitter for iPhone</v>
      </c>
      <c r="L3799" s="16">
        <v>107</v>
      </c>
      <c r="M3799" s="16">
        <v>234</v>
      </c>
      <c r="N3799" s="16">
        <v>0</v>
      </c>
      <c r="O3799" s="17"/>
      <c r="P3799" s="18">
        <v>40931.745891203704</v>
      </c>
      <c r="Q3799" s="7"/>
      <c r="R3799" s="7" t="s">
        <v>20146</v>
      </c>
      <c r="S3799" s="15"/>
      <c r="T3799" s="8"/>
      <c r="U3799" s="19" t="str">
        <f>HYPERLINK("https://pbs.twimg.com/profile_images/1163206348848455680/R6ayFlEu.jpg","View")</f>
        <v>View</v>
      </c>
      <c r="V3799" s="8"/>
      <c r="W3799" s="8"/>
      <c r="X3799" s="8"/>
      <c r="Y3799" s="8"/>
      <c r="Z3799" s="8"/>
    </row>
    <row r="3800" spans="1:26" ht="12.75">
      <c r="A3800" s="11">
        <v>43747.140243055561</v>
      </c>
      <c r="B3800" s="12" t="str">
        <f>HYPERLINK("https://twitter.com/Ciniroglu1","@Ciniroglu1")</f>
        <v>@Ciniroglu1</v>
      </c>
      <c r="C3800" s="7" t="s">
        <v>20147</v>
      </c>
      <c r="D3800" s="7" t="s">
        <v>20148</v>
      </c>
      <c r="E3800" s="12" t="str">
        <f>HYPERLINK("https://twitter.com/Ciniroglu1/status/1181877450822864897","1181877450822864897")</f>
        <v>1181877450822864897</v>
      </c>
      <c r="F3800" s="8"/>
      <c r="G3800" s="14" t="s">
        <v>20149</v>
      </c>
      <c r="H3800" s="8"/>
      <c r="I3800" s="15">
        <v>0</v>
      </c>
      <c r="J3800" s="15">
        <v>0</v>
      </c>
      <c r="K3800" s="12" t="str">
        <f>HYPERLINK("http://twitter.com/download/android","Twitter for Android")</f>
        <v>Twitter for Android</v>
      </c>
      <c r="L3800" s="16">
        <v>1541</v>
      </c>
      <c r="M3800" s="16">
        <v>2220</v>
      </c>
      <c r="N3800" s="16">
        <v>0</v>
      </c>
      <c r="O3800" s="17"/>
      <c r="P3800" s="18">
        <v>43542.512060185181</v>
      </c>
      <c r="Q3800" s="7"/>
      <c r="R3800" s="7"/>
      <c r="S3800" s="8"/>
      <c r="T3800" s="8"/>
      <c r="U3800" s="19" t="str">
        <f>HYPERLINK("https://pbs.twimg.com/profile_images/1151839490580914176/58fgnQ9W.jpg","View")</f>
        <v>View</v>
      </c>
      <c r="V3800" s="8"/>
      <c r="W3800" s="8"/>
      <c r="X3800" s="8"/>
      <c r="Y3800" s="8"/>
      <c r="Z3800" s="8"/>
    </row>
    <row r="3801" spans="1:26" ht="12.75">
      <c r="A3801" s="11">
        <v>43747.140162037038</v>
      </c>
      <c r="B3801" s="12" t="str">
        <f>HYPERLINK("https://twitter.com/Zagor2C","@Zagor2C")</f>
        <v>@Zagor2C</v>
      </c>
      <c r="C3801" s="7" t="s">
        <v>20150</v>
      </c>
      <c r="D3801" s="15" t="s">
        <v>20151</v>
      </c>
      <c r="E3801" s="12" t="str">
        <f>HYPERLINK("https://twitter.com/Zagor2C/status/1181877422494535680","1181877422494535680")</f>
        <v>1181877422494535680</v>
      </c>
      <c r="F3801" s="8"/>
      <c r="G3801" s="15"/>
      <c r="H3801" s="8"/>
      <c r="I3801" s="15">
        <v>0</v>
      </c>
      <c r="J3801" s="15">
        <v>0</v>
      </c>
      <c r="K3801" s="12" t="str">
        <f>HYPERLINK("http://twitter.com/download/android","Twitter for Android")</f>
        <v>Twitter for Android</v>
      </c>
      <c r="L3801" s="16">
        <v>2</v>
      </c>
      <c r="M3801" s="16">
        <v>30</v>
      </c>
      <c r="N3801" s="16">
        <v>0</v>
      </c>
      <c r="O3801" s="17"/>
      <c r="P3801" s="18">
        <v>43725.058749999997</v>
      </c>
      <c r="Q3801" s="7"/>
      <c r="R3801" s="7"/>
      <c r="S3801" s="8"/>
      <c r="T3801" s="8"/>
      <c r="U3801" s="19" t="str">
        <f>HYPERLINK("https://pbs.twimg.com/profile_images/1173875620381634560/EP00Lt9k.jpg","View")</f>
        <v>View</v>
      </c>
      <c r="V3801" s="8"/>
      <c r="W3801" s="8"/>
      <c r="X3801" s="8"/>
      <c r="Y3801" s="8"/>
      <c r="Z3801" s="8"/>
    </row>
    <row r="3802" spans="1:26" ht="12.75">
      <c r="A3802" s="11">
        <v>43747.140127314815</v>
      </c>
      <c r="B3802" s="12" t="str">
        <f>HYPERLINK("https://twitter.com/KadiirDogaan","@KadiirDogaan")</f>
        <v>@KadiirDogaan</v>
      </c>
      <c r="C3802" s="7" t="s">
        <v>20152</v>
      </c>
      <c r="D3802" s="7" t="s">
        <v>20153</v>
      </c>
      <c r="E3802" s="12" t="str">
        <f>HYPERLINK("https://twitter.com/KadiirDogaan/status/1181877408284184577","1181877408284184577")</f>
        <v>1181877408284184577</v>
      </c>
      <c r="F3802" s="8"/>
      <c r="G3802" s="14" t="s">
        <v>20154</v>
      </c>
      <c r="H3802" s="8"/>
      <c r="I3802" s="15">
        <v>0</v>
      </c>
      <c r="J3802" s="15">
        <v>1</v>
      </c>
      <c r="K3802" s="12" t="str">
        <f>HYPERLINK("http://twitter.com/download/iphone","Twitter for iPhone")</f>
        <v>Twitter for iPhone</v>
      </c>
      <c r="L3802" s="16">
        <v>950</v>
      </c>
      <c r="M3802" s="16">
        <v>803</v>
      </c>
      <c r="N3802" s="16">
        <v>2</v>
      </c>
      <c r="O3802" s="17"/>
      <c r="P3802" s="18">
        <v>42434.269293981481</v>
      </c>
      <c r="Q3802" s="7" t="s">
        <v>20155</v>
      </c>
      <c r="R3802" s="14" t="s">
        <v>20156</v>
      </c>
      <c r="S3802" s="14" t="s">
        <v>20157</v>
      </c>
      <c r="T3802" s="8"/>
      <c r="U3802" s="19" t="str">
        <f>HYPERLINK("https://pbs.twimg.com/profile_images/1090978693198041089/z7Gar6-u.jpg","View")</f>
        <v>View</v>
      </c>
      <c r="V3802" s="8"/>
      <c r="W3802" s="8"/>
      <c r="X3802" s="8"/>
      <c r="Y3802" s="8"/>
      <c r="Z3802" s="8"/>
    </row>
    <row r="3803" spans="1:26" ht="12.75">
      <c r="A3803" s="11">
        <v>43747.140104166669</v>
      </c>
      <c r="B3803" s="12" t="str">
        <f>HYPERLINK("https://twitter.com/AyvaogluErdem","@AyvaogluErdem")</f>
        <v>@AyvaogluErdem</v>
      </c>
      <c r="C3803" s="7" t="s">
        <v>20158</v>
      </c>
      <c r="D3803" s="7" t="s">
        <v>20159</v>
      </c>
      <c r="E3803" s="12" t="str">
        <f>HYPERLINK("https://twitter.com/AyvaogluErdem/status/1181877404010192896","1181877404010192896")</f>
        <v>1181877404010192896</v>
      </c>
      <c r="F3803" s="8"/>
      <c r="G3803" s="15"/>
      <c r="H3803" s="8"/>
      <c r="I3803" s="15">
        <v>0</v>
      </c>
      <c r="J3803" s="15">
        <v>0</v>
      </c>
      <c r="K3803" s="12" t="str">
        <f>HYPERLINK("http://twitter.com/download/iphone","Twitter for iPhone")</f>
        <v>Twitter for iPhone</v>
      </c>
      <c r="L3803" s="16">
        <v>149</v>
      </c>
      <c r="M3803" s="16">
        <v>262</v>
      </c>
      <c r="N3803" s="16">
        <v>0</v>
      </c>
      <c r="O3803" s="17"/>
      <c r="P3803" s="18">
        <v>43171.201527777783</v>
      </c>
      <c r="Q3803" s="7" t="s">
        <v>313</v>
      </c>
      <c r="R3803" s="7" t="s">
        <v>20160</v>
      </c>
      <c r="S3803" s="8"/>
      <c r="T3803" s="8"/>
      <c r="U3803" s="19" t="str">
        <f>HYPERLINK("https://pbs.twimg.com/profile_images/1070973585198596097/0UAWipb5.jpg","View")</f>
        <v>View</v>
      </c>
      <c r="V3803" s="8"/>
      <c r="W3803" s="8"/>
      <c r="X3803" s="8"/>
      <c r="Y3803" s="8"/>
      <c r="Z3803" s="8"/>
    </row>
    <row r="3804" spans="1:26" ht="12.75">
      <c r="A3804" s="11">
        <v>43747.140092592592</v>
      </c>
      <c r="B3804" s="12" t="str">
        <f>HYPERLINK("https://twitter.com/Jeansadam1","@Jeansadam1")</f>
        <v>@Jeansadam1</v>
      </c>
      <c r="C3804" s="7" t="s">
        <v>20161</v>
      </c>
      <c r="D3804" s="7" t="s">
        <v>20162</v>
      </c>
      <c r="E3804" s="12" t="str">
        <f>HYPERLINK("https://twitter.com/Jeansadam1/status/1181877399614623745","1181877399614623745")</f>
        <v>1181877399614623745</v>
      </c>
      <c r="F3804" s="8"/>
      <c r="G3804" s="14" t="s">
        <v>20163</v>
      </c>
      <c r="H3804" s="8"/>
      <c r="I3804" s="15">
        <v>0</v>
      </c>
      <c r="J3804" s="15">
        <v>1</v>
      </c>
      <c r="K3804" s="12" t="str">
        <f>HYPERLINK("http://twitter.com/download/iphone","Twitter for iPhone")</f>
        <v>Twitter for iPhone</v>
      </c>
      <c r="L3804" s="16">
        <v>215</v>
      </c>
      <c r="M3804" s="16">
        <v>226</v>
      </c>
      <c r="N3804" s="16">
        <v>0</v>
      </c>
      <c r="O3804" s="17"/>
      <c r="P3804" s="18">
        <v>43335.649085648147</v>
      </c>
      <c r="Q3804" s="7"/>
      <c r="R3804" s="7"/>
      <c r="S3804" s="8"/>
      <c r="T3804" s="8"/>
      <c r="U3804" s="19" t="str">
        <f>HYPERLINK("https://pbs.twimg.com/profile_images/1032759204145254400/cJzUimSZ.jpg","View")</f>
        <v>View</v>
      </c>
      <c r="V3804" s="8"/>
      <c r="W3804" s="8"/>
      <c r="X3804" s="8"/>
      <c r="Y3804" s="8"/>
      <c r="Z3804" s="8"/>
    </row>
    <row r="3805" spans="1:26" ht="12.75">
      <c r="A3805" s="11">
        <v>43747.140069444446</v>
      </c>
      <c r="B3805" s="12" t="str">
        <f>HYPERLINK("https://twitter.com/ER_K4N_07","@ER_K4N_07")</f>
        <v>@ER_K4N_07</v>
      </c>
      <c r="C3805" s="7" t="s">
        <v>20164</v>
      </c>
      <c r="D3805" s="7" t="s">
        <v>20165</v>
      </c>
      <c r="E3805" s="12" t="str">
        <f>HYPERLINK("https://twitter.com/ER_K4N_07/status/1181877388851986434","1181877388851986434")</f>
        <v>1181877388851986434</v>
      </c>
      <c r="F3805" s="8"/>
      <c r="G3805" s="7"/>
      <c r="H3805" s="8"/>
      <c r="I3805" s="15">
        <v>0</v>
      </c>
      <c r="J3805" s="15">
        <v>0</v>
      </c>
      <c r="K3805" s="12" t="str">
        <f>HYPERLINK("https://mobile.twitter.com","Twitter Web App")</f>
        <v>Twitter Web App</v>
      </c>
      <c r="L3805" s="16">
        <v>1716</v>
      </c>
      <c r="M3805" s="16">
        <v>1826</v>
      </c>
      <c r="N3805" s="16">
        <v>5</v>
      </c>
      <c r="O3805" s="17"/>
      <c r="P3805" s="18">
        <v>40732.359479166669</v>
      </c>
      <c r="Q3805" s="7"/>
      <c r="R3805" s="7" t="s">
        <v>20166</v>
      </c>
      <c r="S3805" s="8"/>
      <c r="T3805" s="8"/>
      <c r="U3805" s="19" t="str">
        <f>HYPERLINK("https://pbs.twimg.com/profile_images/378800000365306124/ba7dc6992fd30811e7fa7dfdd1334511.jpeg","View")</f>
        <v>View</v>
      </c>
      <c r="V3805" s="8"/>
      <c r="W3805" s="8"/>
      <c r="X3805" s="8"/>
      <c r="Y3805" s="8"/>
      <c r="Z3805" s="8"/>
    </row>
    <row r="3806" spans="1:26" ht="12.75">
      <c r="A3806" s="11">
        <v>43747.140034722222</v>
      </c>
      <c r="B3806" s="12" t="str">
        <f>HYPERLINK("https://twitter.com/mehmetulucan","@mehmetulucan")</f>
        <v>@mehmetulucan</v>
      </c>
      <c r="C3806" s="7" t="s">
        <v>20167</v>
      </c>
      <c r="D3806" s="7" t="s">
        <v>20168</v>
      </c>
      <c r="E3806" s="12" t="str">
        <f>HYPERLINK("https://twitter.com/mehmetulucan/status/1181877378764673024","1181877378764673024")</f>
        <v>1181877378764673024</v>
      </c>
      <c r="F3806" s="8"/>
      <c r="G3806" s="7"/>
      <c r="H3806" s="8"/>
      <c r="I3806" s="15">
        <v>0</v>
      </c>
      <c r="J3806" s="15">
        <v>0</v>
      </c>
      <c r="K3806" s="12" t="str">
        <f>HYPERLINK("https://mobile.twitter.com","Twitter Web App")</f>
        <v>Twitter Web App</v>
      </c>
      <c r="L3806" s="16">
        <v>22</v>
      </c>
      <c r="M3806" s="16">
        <v>113</v>
      </c>
      <c r="N3806" s="16">
        <v>0</v>
      </c>
      <c r="O3806" s="17"/>
      <c r="P3806" s="18">
        <v>40634.395902777775</v>
      </c>
      <c r="Q3806" s="7"/>
      <c r="R3806" s="7"/>
      <c r="S3806" s="8"/>
      <c r="T3806" s="8"/>
      <c r="U3806" s="20" t="s">
        <v>354</v>
      </c>
      <c r="V3806" s="8"/>
      <c r="W3806" s="8"/>
      <c r="X3806" s="8"/>
      <c r="Y3806" s="8"/>
      <c r="Z3806" s="8"/>
    </row>
    <row r="3807" spans="1:26" ht="12.75">
      <c r="A3807" s="11">
        <v>43747.139965277776</v>
      </c>
      <c r="B3807" s="12" t="str">
        <f>HYPERLINK("https://twitter.com/MerveSeptioglu","@MerveSeptioglu")</f>
        <v>@MerveSeptioglu</v>
      </c>
      <c r="C3807" s="7" t="s">
        <v>20169</v>
      </c>
      <c r="D3807" s="7" t="s">
        <v>20170</v>
      </c>
      <c r="E3807" s="12" t="str">
        <f>HYPERLINK("https://twitter.com/MerveSeptioglu/status/1181877352005013504","1181877352005013504")</f>
        <v>1181877352005013504</v>
      </c>
      <c r="F3807" s="15"/>
      <c r="G3807" s="14" t="s">
        <v>20171</v>
      </c>
      <c r="H3807" s="8"/>
      <c r="I3807" s="15">
        <v>0</v>
      </c>
      <c r="J3807" s="15">
        <v>1</v>
      </c>
      <c r="K3807" s="12" t="str">
        <f>HYPERLINK("http://twitter.com/download/iphone","Twitter for iPhone")</f>
        <v>Twitter for iPhone</v>
      </c>
      <c r="L3807" s="16">
        <v>566</v>
      </c>
      <c r="M3807" s="16">
        <v>321</v>
      </c>
      <c r="N3807" s="16">
        <v>6</v>
      </c>
      <c r="O3807" s="17"/>
      <c r="P3807" s="18">
        <v>41128.326909722222</v>
      </c>
      <c r="Q3807" s="7" t="s">
        <v>20172</v>
      </c>
      <c r="R3807" s="7" t="s">
        <v>20173</v>
      </c>
      <c r="S3807" s="14" t="s">
        <v>20174</v>
      </c>
      <c r="T3807" s="8"/>
      <c r="U3807" s="19" t="str">
        <f>HYPERLINK("https://pbs.twimg.com/profile_images/1169213956679970818/PHlWNP-1.jpg","View")</f>
        <v>View</v>
      </c>
      <c r="V3807" s="8"/>
      <c r="W3807" s="8"/>
      <c r="X3807" s="8"/>
      <c r="Y3807" s="8"/>
      <c r="Z3807" s="8"/>
    </row>
    <row r="3808" spans="1:26" ht="12.75">
      <c r="A3808" s="11">
        <v>43747.139918981484</v>
      </c>
      <c r="B3808" s="12" t="str">
        <f>HYPERLINK("https://twitter.com/kingmuckk","@kingmuckk")</f>
        <v>@kingmuckk</v>
      </c>
      <c r="C3808" s="13" t="s">
        <v>20175</v>
      </c>
      <c r="D3808" s="7" t="s">
        <v>20176</v>
      </c>
      <c r="E3808" s="12" t="str">
        <f>HYPERLINK("https://twitter.com/kingmuckk/status/1181877333319454720","1181877333319454720")</f>
        <v>1181877333319454720</v>
      </c>
      <c r="F3808" s="15"/>
      <c r="G3808" s="14" t="s">
        <v>20177</v>
      </c>
      <c r="H3808" s="8"/>
      <c r="I3808" s="15">
        <v>0</v>
      </c>
      <c r="J3808" s="15">
        <v>0</v>
      </c>
      <c r="K3808" s="12" t="str">
        <f>HYPERLINK("http://twitter.com/download/iphone","Twitter for iPhone")</f>
        <v>Twitter for iPhone</v>
      </c>
      <c r="L3808" s="16">
        <v>8</v>
      </c>
      <c r="M3808" s="16">
        <v>32</v>
      </c>
      <c r="N3808" s="16">
        <v>0</v>
      </c>
      <c r="O3808" s="17"/>
      <c r="P3808" s="18">
        <v>43636.321504629625</v>
      </c>
      <c r="Q3808" s="7"/>
      <c r="R3808" s="7"/>
      <c r="S3808" s="8"/>
      <c r="T3808" s="8"/>
      <c r="U3808" s="19" t="str">
        <f>HYPERLINK("https://pbs.twimg.com/profile_images/1181878409905000448/cQwxyXbx.jpg","View")</f>
        <v>View</v>
      </c>
      <c r="V3808" s="8"/>
      <c r="W3808" s="8"/>
      <c r="X3808" s="8"/>
      <c r="Y3808" s="8"/>
      <c r="Z3808" s="8"/>
    </row>
    <row r="3809" spans="1:26" ht="12.75">
      <c r="A3809" s="11">
        <v>43747.139884259261</v>
      </c>
      <c r="B3809" s="12" t="str">
        <f>HYPERLINK("https://twitter.com/SametKGFB","@SametKGFB")</f>
        <v>@SametKGFB</v>
      </c>
      <c r="C3809" s="7" t="s">
        <v>20178</v>
      </c>
      <c r="D3809" s="7" t="s">
        <v>20179</v>
      </c>
      <c r="E3809" s="12" t="str">
        <f>HYPERLINK("https://twitter.com/SametKGFB/status/1181877323928424448","1181877323928424448")</f>
        <v>1181877323928424448</v>
      </c>
      <c r="F3809" s="8"/>
      <c r="G3809" s="14" t="s">
        <v>20180</v>
      </c>
      <c r="H3809" s="8"/>
      <c r="I3809" s="15">
        <v>0</v>
      </c>
      <c r="J3809" s="15">
        <v>0</v>
      </c>
      <c r="K3809" s="12" t="str">
        <f>HYPERLINK("https://mobile.twitter.com","Twitter Web App")</f>
        <v>Twitter Web App</v>
      </c>
      <c r="L3809" s="16">
        <v>22</v>
      </c>
      <c r="M3809" s="16">
        <v>56</v>
      </c>
      <c r="N3809" s="16">
        <v>0</v>
      </c>
      <c r="O3809" s="17"/>
      <c r="P3809" s="18">
        <v>41181.164016203707</v>
      </c>
      <c r="Q3809" s="7"/>
      <c r="R3809" s="7" t="s">
        <v>20181</v>
      </c>
      <c r="S3809" s="8"/>
      <c r="T3809" s="8"/>
      <c r="U3809" s="19" t="str">
        <f>HYPERLINK("https://pbs.twimg.com/profile_images/1037090643435241472/wl0Fet4e.jpg","View")</f>
        <v>View</v>
      </c>
      <c r="V3809" s="8"/>
      <c r="W3809" s="8"/>
      <c r="X3809" s="8"/>
      <c r="Y3809" s="8"/>
      <c r="Z3809" s="8"/>
    </row>
    <row r="3810" spans="1:26" ht="12.75">
      <c r="A3810" s="11">
        <v>43747.139884259261</v>
      </c>
      <c r="B3810" s="12" t="str">
        <f>HYPERLINK("https://twitter.com/ozlembddl","@ozlembddl")</f>
        <v>@ozlembddl</v>
      </c>
      <c r="C3810" s="7" t="s">
        <v>20182</v>
      </c>
      <c r="D3810" s="7" t="s">
        <v>20183</v>
      </c>
      <c r="E3810" s="12" t="str">
        <f>HYPERLINK("https://twitter.com/ozlembddl/status/1181877321453723648","1181877321453723648")</f>
        <v>1181877321453723648</v>
      </c>
      <c r="F3810" s="14" t="s">
        <v>14429</v>
      </c>
      <c r="G3810" s="14" t="s">
        <v>14430</v>
      </c>
      <c r="H3810" s="8"/>
      <c r="I3810" s="15">
        <v>0</v>
      </c>
      <c r="J3810" s="15">
        <v>1</v>
      </c>
      <c r="K3810" s="12" t="str">
        <f>HYPERLINK("http://twitter.com/download/android","Twitter for Android")</f>
        <v>Twitter for Android</v>
      </c>
      <c r="L3810" s="16">
        <v>266</v>
      </c>
      <c r="M3810" s="16">
        <v>253</v>
      </c>
      <c r="N3810" s="16">
        <v>0</v>
      </c>
      <c r="O3810" s="17"/>
      <c r="P3810" s="18">
        <v>42192.039583333331</v>
      </c>
      <c r="Q3810" s="7" t="s">
        <v>15181</v>
      </c>
      <c r="R3810" s="7" t="s">
        <v>20184</v>
      </c>
      <c r="S3810" s="8"/>
      <c r="T3810" s="8"/>
      <c r="U3810" s="19" t="str">
        <f>HYPERLINK("https://pbs.twimg.com/profile_images/1158792166765973504/x-tYA7Sx.jpg","View")</f>
        <v>View</v>
      </c>
      <c r="V3810" s="8"/>
      <c r="W3810" s="8"/>
      <c r="X3810" s="8"/>
      <c r="Y3810" s="8"/>
      <c r="Z3810" s="8"/>
    </row>
    <row r="3811" spans="1:26" ht="12.75">
      <c r="A3811" s="11">
        <v>43747.139733796299</v>
      </c>
      <c r="B3811" s="12" t="str">
        <f>HYPERLINK("https://twitter.com/secilmis40","@secilmis40")</f>
        <v>@secilmis40</v>
      </c>
      <c r="C3811" s="7" t="s">
        <v>20185</v>
      </c>
      <c r="D3811" s="7" t="s">
        <v>20186</v>
      </c>
      <c r="E3811" s="12" t="str">
        <f>HYPERLINK("https://twitter.com/secilmis40/status/1181877268962037760","1181877268962037760")</f>
        <v>1181877268962037760</v>
      </c>
      <c r="F3811" s="8"/>
      <c r="G3811" s="14" t="s">
        <v>20187</v>
      </c>
      <c r="H3811" s="8"/>
      <c r="I3811" s="15">
        <v>0</v>
      </c>
      <c r="J3811" s="15">
        <v>0</v>
      </c>
      <c r="K3811" s="12" t="str">
        <f>HYPERLINK("https://mobile.twitter.com","Twitter Web App")</f>
        <v>Twitter Web App</v>
      </c>
      <c r="L3811" s="16">
        <v>129</v>
      </c>
      <c r="M3811" s="16">
        <v>313</v>
      </c>
      <c r="N3811" s="16">
        <v>0</v>
      </c>
      <c r="O3811" s="17"/>
      <c r="P3811" s="18">
        <v>40159.329571759255</v>
      </c>
      <c r="Q3811" s="7" t="s">
        <v>287</v>
      </c>
      <c r="R3811" s="7" t="s">
        <v>20188</v>
      </c>
      <c r="S3811" s="8"/>
      <c r="T3811" s="8"/>
      <c r="U3811" s="19" t="str">
        <f>HYPERLINK("https://pbs.twimg.com/profile_images/800787571970281473/6_han4yv.jpg","View")</f>
        <v>View</v>
      </c>
      <c r="V3811" s="8"/>
      <c r="W3811" s="8"/>
      <c r="X3811" s="8"/>
      <c r="Y3811" s="8"/>
      <c r="Z3811" s="8"/>
    </row>
    <row r="3812" spans="1:26" ht="12.75">
      <c r="A3812" s="11">
        <v>43747.139722222222</v>
      </c>
      <c r="B3812" s="12" t="str">
        <f>HYPERLINK("https://twitter.com/serdargezen1","@serdargezen1")</f>
        <v>@serdargezen1</v>
      </c>
      <c r="C3812" s="7" t="s">
        <v>20189</v>
      </c>
      <c r="D3812" s="7" t="s">
        <v>20190</v>
      </c>
      <c r="E3812" s="12" t="str">
        <f>HYPERLINK("https://twitter.com/serdargezen1/status/1181877264390250496","1181877264390250496")</f>
        <v>1181877264390250496</v>
      </c>
      <c r="F3812" s="8"/>
      <c r="G3812" s="15"/>
      <c r="H3812" s="8"/>
      <c r="I3812" s="15">
        <v>0</v>
      </c>
      <c r="J3812" s="15">
        <v>0</v>
      </c>
      <c r="K3812" s="12" t="str">
        <f>HYPERLINK("http://twitter.com/download/android","Twitter for Android")</f>
        <v>Twitter for Android</v>
      </c>
      <c r="L3812" s="16">
        <v>70</v>
      </c>
      <c r="M3812" s="16">
        <v>92</v>
      </c>
      <c r="N3812" s="16">
        <v>0</v>
      </c>
      <c r="O3812" s="17"/>
      <c r="P3812" s="18">
        <v>42510.287870370375</v>
      </c>
      <c r="Q3812" s="7"/>
      <c r="R3812" s="7"/>
      <c r="S3812" s="8"/>
      <c r="T3812" s="8"/>
      <c r="U3812" s="19" t="str">
        <f>HYPERLINK("https://pbs.twimg.com/profile_images/773154713340616704/gjFDpPPc.jpg","View")</f>
        <v>View</v>
      </c>
      <c r="V3812" s="8"/>
      <c r="W3812" s="8"/>
      <c r="X3812" s="8"/>
      <c r="Y3812" s="8"/>
      <c r="Z3812" s="8"/>
    </row>
    <row r="3813" spans="1:26" ht="12.75">
      <c r="A3813" s="11">
        <v>43747.139664351853</v>
      </c>
      <c r="B3813" s="12" t="str">
        <f>HYPERLINK("https://twitter.com/kursattdurgun","@kursattdurgun")</f>
        <v>@kursattdurgun</v>
      </c>
      <c r="C3813" s="7" t="s">
        <v>20191</v>
      </c>
      <c r="D3813" s="7" t="s">
        <v>8731</v>
      </c>
      <c r="E3813" s="12" t="str">
        <f>HYPERLINK("https://twitter.com/kursattdurgun/status/1181877243947212800","1181877243947212800")</f>
        <v>1181877243947212800</v>
      </c>
      <c r="F3813" s="8"/>
      <c r="G3813" s="14" t="s">
        <v>20192</v>
      </c>
      <c r="H3813" s="8"/>
      <c r="I3813" s="15">
        <v>0</v>
      </c>
      <c r="J3813" s="15">
        <v>1</v>
      </c>
      <c r="K3813" s="12" t="str">
        <f>HYPERLINK("http://twitter.com/download/iphone","Twitter for iPhone")</f>
        <v>Twitter for iPhone</v>
      </c>
      <c r="L3813" s="16">
        <v>260</v>
      </c>
      <c r="M3813" s="16">
        <v>441</v>
      </c>
      <c r="N3813" s="16">
        <v>0</v>
      </c>
      <c r="O3813" s="17"/>
      <c r="P3813" s="18">
        <v>41744.031458333331</v>
      </c>
      <c r="Q3813" s="7" t="s">
        <v>69</v>
      </c>
      <c r="R3813" s="7" t="s">
        <v>20193</v>
      </c>
      <c r="S3813" s="14" t="s">
        <v>20194</v>
      </c>
      <c r="T3813" s="8"/>
      <c r="U3813" s="19" t="str">
        <f>HYPERLINK("https://pbs.twimg.com/profile_images/1149084925796261889/K3LicwAw.jpg","View")</f>
        <v>View</v>
      </c>
      <c r="V3813" s="8"/>
      <c r="W3813" s="8"/>
      <c r="X3813" s="8"/>
      <c r="Y3813" s="8"/>
      <c r="Z3813" s="8"/>
    </row>
    <row r="3814" spans="1:26" ht="12.75">
      <c r="A3814" s="11">
        <v>43747.13961805556</v>
      </c>
      <c r="B3814" s="12" t="str">
        <f>HYPERLINK("https://twitter.com/MehmetErvahh","@MehmetErvahh")</f>
        <v>@MehmetErvahh</v>
      </c>
      <c r="C3814" s="7" t="s">
        <v>20195</v>
      </c>
      <c r="D3814" s="7" t="s">
        <v>9777</v>
      </c>
      <c r="E3814" s="12" t="str">
        <f>HYPERLINK("https://twitter.com/MehmetErvahh/status/1181877226108805120","1181877226108805120")</f>
        <v>1181877226108805120</v>
      </c>
      <c r="F3814" s="8"/>
      <c r="G3814" s="14" t="s">
        <v>20196</v>
      </c>
      <c r="H3814" s="8"/>
      <c r="I3814" s="15">
        <v>0</v>
      </c>
      <c r="J3814" s="15">
        <v>0</v>
      </c>
      <c r="K3814" s="12" t="str">
        <f>HYPERLINK("http://twitter.com/download/android","Twitter for Android")</f>
        <v>Twitter for Android</v>
      </c>
      <c r="L3814" s="16">
        <v>22</v>
      </c>
      <c r="M3814" s="16">
        <v>22</v>
      </c>
      <c r="N3814" s="16">
        <v>0</v>
      </c>
      <c r="O3814" s="17"/>
      <c r="P3814" s="18">
        <v>42282.484988425931</v>
      </c>
      <c r="Q3814" s="7"/>
      <c r="R3814" s="7"/>
      <c r="S3814" s="8"/>
      <c r="T3814" s="8"/>
      <c r="U3814" s="19" t="str">
        <f>HYPERLINK("https://pbs.twimg.com/profile_images/1152737319037915136/jRBabMSS.jpg","View")</f>
        <v>View</v>
      </c>
      <c r="V3814" s="8"/>
      <c r="W3814" s="8"/>
      <c r="X3814" s="8"/>
      <c r="Y3814" s="8"/>
      <c r="Z3814" s="8"/>
    </row>
    <row r="3815" spans="1:26" ht="12.75">
      <c r="A3815" s="11">
        <v>43747.13957175926</v>
      </c>
      <c r="B3815" s="12" t="str">
        <f>HYPERLINK("https://twitter.com/gokhan190706","@gokhan190706")</f>
        <v>@gokhan190706</v>
      </c>
      <c r="C3815" s="7" t="s">
        <v>20197</v>
      </c>
      <c r="D3815" s="7" t="s">
        <v>20198</v>
      </c>
      <c r="E3815" s="12" t="str">
        <f>HYPERLINK("https://twitter.com/gokhan190706/status/1181877208274624512","1181877208274624512")</f>
        <v>1181877208274624512</v>
      </c>
      <c r="F3815" s="8"/>
      <c r="G3815" s="15"/>
      <c r="H3815" s="8"/>
      <c r="I3815" s="15">
        <v>0</v>
      </c>
      <c r="J3815" s="15">
        <v>0</v>
      </c>
      <c r="K3815" s="12" t="str">
        <f>HYPERLINK("http://twitter.com/download/iphone","Twitter for iPhone")</f>
        <v>Twitter for iPhone</v>
      </c>
      <c r="L3815" s="16">
        <v>1368</v>
      </c>
      <c r="M3815" s="16">
        <v>1171</v>
      </c>
      <c r="N3815" s="16">
        <v>0</v>
      </c>
      <c r="O3815" s="17"/>
      <c r="P3815" s="18">
        <v>41278.367835648147</v>
      </c>
      <c r="Q3815" s="7" t="s">
        <v>287</v>
      </c>
      <c r="R3815" s="7" t="s">
        <v>20199</v>
      </c>
      <c r="S3815" s="8"/>
      <c r="T3815" s="8"/>
      <c r="U3815" s="19" t="str">
        <f>HYPERLINK("https://pbs.twimg.com/profile_images/991772621292425216/RDDMdDY5.jpg","View")</f>
        <v>View</v>
      </c>
      <c r="V3815" s="8"/>
      <c r="W3815" s="8"/>
      <c r="X3815" s="8"/>
      <c r="Y3815" s="8"/>
      <c r="Z3815" s="8"/>
    </row>
    <row r="3816" spans="1:26" ht="12.75">
      <c r="A3816" s="11">
        <v>43747.139548611114</v>
      </c>
      <c r="B3816" s="12" t="str">
        <f>HYPERLINK("https://twitter.com/ozgurtunceli","@ozgurtunceli")</f>
        <v>@ozgurtunceli</v>
      </c>
      <c r="C3816" s="7" t="s">
        <v>20200</v>
      </c>
      <c r="D3816" s="7" t="s">
        <v>160</v>
      </c>
      <c r="E3816" s="12" t="str">
        <f>HYPERLINK("https://twitter.com/ozgurtunceli/status/1181877202226417666","1181877202226417666")</f>
        <v>1181877202226417666</v>
      </c>
      <c r="F3816" s="8"/>
      <c r="G3816" s="14" t="s">
        <v>20201</v>
      </c>
      <c r="H3816" s="8"/>
      <c r="I3816" s="15">
        <v>0</v>
      </c>
      <c r="J3816" s="15">
        <v>0</v>
      </c>
      <c r="K3816" s="12" t="str">
        <f>HYPERLINK("https://mobile.twitter.com","Twitter Web App")</f>
        <v>Twitter Web App</v>
      </c>
      <c r="L3816" s="16">
        <v>1</v>
      </c>
      <c r="M3816" s="16">
        <v>314</v>
      </c>
      <c r="N3816" s="16">
        <v>0</v>
      </c>
      <c r="O3816" s="17"/>
      <c r="P3816" s="18">
        <v>40787.308483796296</v>
      </c>
      <c r="Q3816" s="7" t="s">
        <v>5418</v>
      </c>
      <c r="R3816" s="7" t="s">
        <v>20202</v>
      </c>
      <c r="S3816" s="8"/>
      <c r="T3816" s="8"/>
      <c r="U3816" s="19" t="str">
        <f>HYPERLINK("https://pbs.twimg.com/profile_images/890307661664854017/YhCj_E4l.jpg","View")</f>
        <v>View</v>
      </c>
      <c r="V3816" s="8"/>
      <c r="W3816" s="8"/>
      <c r="X3816" s="8"/>
      <c r="Y3816" s="8"/>
      <c r="Z3816" s="8"/>
    </row>
    <row r="3817" spans="1:26" ht="12.75">
      <c r="A3817" s="11">
        <v>43747.139537037037</v>
      </c>
      <c r="B3817" s="12" t="str">
        <f>HYPERLINK("https://twitter.com/atillagonullu","@atillagonullu")</f>
        <v>@atillagonullu</v>
      </c>
      <c r="C3817" s="7" t="s">
        <v>20203</v>
      </c>
      <c r="D3817" s="7" t="s">
        <v>20204</v>
      </c>
      <c r="E3817" s="12" t="str">
        <f>HYPERLINK("https://twitter.com/atillagonullu/status/1181877196769693696","1181877196769693696")</f>
        <v>1181877196769693696</v>
      </c>
      <c r="F3817" s="8"/>
      <c r="G3817" s="14" t="s">
        <v>18182</v>
      </c>
      <c r="H3817" s="8"/>
      <c r="I3817" s="15">
        <v>1</v>
      </c>
      <c r="J3817" s="15">
        <v>2</v>
      </c>
      <c r="K3817" s="12" t="str">
        <f>HYPERLINK("https://mobile.twitter.com","Twitter Web App")</f>
        <v>Twitter Web App</v>
      </c>
      <c r="L3817" s="16">
        <v>37170</v>
      </c>
      <c r="M3817" s="16">
        <v>28994</v>
      </c>
      <c r="N3817" s="16">
        <v>29</v>
      </c>
      <c r="O3817" s="17"/>
      <c r="P3817" s="18">
        <v>40806.117986111109</v>
      </c>
      <c r="Q3817" s="7" t="s">
        <v>200</v>
      </c>
      <c r="R3817" s="7" t="s">
        <v>20205</v>
      </c>
      <c r="S3817" s="15"/>
      <c r="T3817" s="8"/>
      <c r="U3817" s="19" t="str">
        <f>HYPERLINK("https://pbs.twimg.com/profile_images/1152519168836681728/3JLcC1Ai.png","View")</f>
        <v>View</v>
      </c>
      <c r="V3817" s="8"/>
      <c r="W3817" s="8"/>
      <c r="X3817" s="8"/>
      <c r="Y3817" s="8"/>
      <c r="Z3817" s="8"/>
    </row>
    <row r="3818" spans="1:26" ht="12.75">
      <c r="A3818" s="11">
        <v>43747.139456018514</v>
      </c>
      <c r="B3818" s="12" t="str">
        <f>HYPERLINK("https://twitter.com/Nurulla51708437","@Nurulla51708437")</f>
        <v>@Nurulla51708437</v>
      </c>
      <c r="C3818" s="7" t="s">
        <v>20206</v>
      </c>
      <c r="D3818" s="7" t="s">
        <v>20207</v>
      </c>
      <c r="E3818" s="12" t="str">
        <f>HYPERLINK("https://twitter.com/Nurulla51708437/status/1181877167715704832","1181877167715704832")</f>
        <v>1181877167715704832</v>
      </c>
      <c r="F3818" s="8"/>
      <c r="G3818" s="14" t="s">
        <v>20208</v>
      </c>
      <c r="H3818" s="8"/>
      <c r="I3818" s="15">
        <v>0</v>
      </c>
      <c r="J3818" s="15">
        <v>0</v>
      </c>
      <c r="K3818" s="12" t="str">
        <f>HYPERLINK("http://twitter.com/download/android","Twitter for Android")</f>
        <v>Twitter for Android</v>
      </c>
      <c r="L3818" s="16">
        <v>3</v>
      </c>
      <c r="M3818" s="16">
        <v>19</v>
      </c>
      <c r="N3818" s="16">
        <v>0</v>
      </c>
      <c r="O3818" s="17"/>
      <c r="P3818" s="18">
        <v>43483.432291666672</v>
      </c>
      <c r="Q3818" s="7" t="s">
        <v>10009</v>
      </c>
      <c r="R3818" s="7" t="s">
        <v>20209</v>
      </c>
      <c r="S3818" s="8"/>
      <c r="T3818" s="8"/>
      <c r="U3818" s="19" t="str">
        <f>HYPERLINK("https://pbs.twimg.com/profile_images/1144899361412931585/TaX93gzm.jpg","View")</f>
        <v>View</v>
      </c>
      <c r="V3818" s="8"/>
      <c r="W3818" s="8"/>
      <c r="X3818" s="8"/>
      <c r="Y3818" s="8"/>
      <c r="Z3818" s="8"/>
    </row>
    <row r="3819" spans="1:26" ht="12.75">
      <c r="A3819" s="11">
        <v>43747.139409722222</v>
      </c>
      <c r="B3819" s="12" t="str">
        <f>HYPERLINK("https://twitter.com/T013334","@T013334")</f>
        <v>@T013334</v>
      </c>
      <c r="C3819" s="7" t="s">
        <v>20210</v>
      </c>
      <c r="D3819" s="7" t="s">
        <v>20211</v>
      </c>
      <c r="E3819" s="12" t="str">
        <f>HYPERLINK("https://twitter.com/T013334/status/1181877149726322693","1181877149726322693")</f>
        <v>1181877149726322693</v>
      </c>
      <c r="F3819" s="8"/>
      <c r="G3819" s="7"/>
      <c r="H3819" s="8"/>
      <c r="I3819" s="15">
        <v>0</v>
      </c>
      <c r="J3819" s="15">
        <v>0</v>
      </c>
      <c r="K3819" s="12" t="str">
        <f>HYPERLINK("http://twitter.com/download/iphone","Twitter for iPhone")</f>
        <v>Twitter for iPhone</v>
      </c>
      <c r="L3819" s="16">
        <v>22</v>
      </c>
      <c r="M3819" s="16">
        <v>113</v>
      </c>
      <c r="N3819" s="16">
        <v>0</v>
      </c>
      <c r="O3819" s="17"/>
      <c r="P3819" s="18">
        <v>42096.077013888891</v>
      </c>
      <c r="Q3819" s="7"/>
      <c r="R3819" s="7"/>
      <c r="S3819" s="8"/>
      <c r="T3819" s="8"/>
      <c r="U3819" s="19" t="str">
        <f>HYPERLINK("https://pbs.twimg.com/profile_images/828406085119799297/CnYvmRSL.jpg","View")</f>
        <v>View</v>
      </c>
      <c r="V3819" s="8"/>
      <c r="W3819" s="8"/>
      <c r="X3819" s="8"/>
      <c r="Y3819" s="8"/>
      <c r="Z3819" s="8"/>
    </row>
    <row r="3820" spans="1:26" ht="12.75">
      <c r="A3820" s="11">
        <v>43747.139398148152</v>
      </c>
      <c r="B3820" s="12" t="str">
        <f>HYPERLINK("https://twitter.com/UmitByndr","@UmitByndr")</f>
        <v>@UmitByndr</v>
      </c>
      <c r="C3820" s="7" t="s">
        <v>20212</v>
      </c>
      <c r="D3820" s="7" t="s">
        <v>20213</v>
      </c>
      <c r="E3820" s="12" t="str">
        <f>HYPERLINK("https://twitter.com/UmitByndr/status/1181877144177262593","1181877144177262593")</f>
        <v>1181877144177262593</v>
      </c>
      <c r="F3820" s="8"/>
      <c r="G3820" s="7"/>
      <c r="H3820" s="8"/>
      <c r="I3820" s="15">
        <v>0</v>
      </c>
      <c r="J3820" s="15">
        <v>0</v>
      </c>
      <c r="K3820" s="12" t="str">
        <f>HYPERLINK("http://twitter.com/download/android","Twitter for Android")</f>
        <v>Twitter for Android</v>
      </c>
      <c r="L3820" s="16">
        <v>151</v>
      </c>
      <c r="M3820" s="16">
        <v>249</v>
      </c>
      <c r="N3820" s="16">
        <v>0</v>
      </c>
      <c r="O3820" s="17"/>
      <c r="P3820" s="18">
        <v>43628.368946759263</v>
      </c>
      <c r="Q3820" s="7"/>
      <c r="R3820" s="7" t="s">
        <v>12855</v>
      </c>
      <c r="S3820" s="8"/>
      <c r="T3820" s="8"/>
      <c r="U3820" s="19" t="str">
        <f>HYPERLINK("https://pbs.twimg.com/profile_images/1138836268677287936/Rem2Naki.jpg","View")</f>
        <v>View</v>
      </c>
      <c r="V3820" s="8"/>
      <c r="W3820" s="8"/>
      <c r="X3820" s="8"/>
      <c r="Y3820" s="8"/>
      <c r="Z3820" s="8"/>
    </row>
    <row r="3821" spans="1:26" ht="12.75">
      <c r="A3821" s="11">
        <v>43747.139363425929</v>
      </c>
      <c r="B3821" s="12" t="str">
        <f>HYPERLINK("https://twitter.com/enessunalll","@enessunalll")</f>
        <v>@enessunalll</v>
      </c>
      <c r="C3821" s="7" t="s">
        <v>20214</v>
      </c>
      <c r="D3821" s="7" t="s">
        <v>20215</v>
      </c>
      <c r="E3821" s="12" t="str">
        <f>HYPERLINK("https://twitter.com/enessunalll/status/1181877134593286145","1181877134593286145")</f>
        <v>1181877134593286145</v>
      </c>
      <c r="F3821" s="8"/>
      <c r="G3821" s="14" t="s">
        <v>20216</v>
      </c>
      <c r="H3821" s="8"/>
      <c r="I3821" s="15">
        <v>0</v>
      </c>
      <c r="J3821" s="15">
        <v>0</v>
      </c>
      <c r="K3821" s="12" t="str">
        <f>HYPERLINK("http://twitter.com/download/android","Twitter for Android")</f>
        <v>Twitter for Android</v>
      </c>
      <c r="L3821" s="16">
        <v>1</v>
      </c>
      <c r="M3821" s="16">
        <v>0</v>
      </c>
      <c r="N3821" s="16">
        <v>0</v>
      </c>
      <c r="O3821" s="17"/>
      <c r="P3821" s="18">
        <v>43743.565879629634</v>
      </c>
      <c r="Q3821" s="7"/>
      <c r="R3821" s="7"/>
      <c r="S3821" s="8"/>
      <c r="T3821" s="8"/>
      <c r="U3821" s="19" t="str">
        <f>HYPERLINK("https://pbs.twimg.com/profile_images/1181298568511938561/fiVgrTVO.jpg","View")</f>
        <v>View</v>
      </c>
      <c r="V3821" s="8"/>
      <c r="W3821" s="8"/>
      <c r="X3821" s="8"/>
      <c r="Y3821" s="8"/>
      <c r="Z3821" s="8"/>
    </row>
    <row r="3822" spans="1:26" ht="12.75">
      <c r="A3822" s="11">
        <v>43747.139317129629</v>
      </c>
      <c r="B3822" s="12" t="str">
        <f>HYPERLINK("https://twitter.com/BeydoganYusuf","@BeydoganYusuf")</f>
        <v>@BeydoganYusuf</v>
      </c>
      <c r="C3822" s="7" t="s">
        <v>20217</v>
      </c>
      <c r="D3822" s="7" t="s">
        <v>160</v>
      </c>
      <c r="E3822" s="12" t="str">
        <f>HYPERLINK("https://twitter.com/BeydoganYusuf/status/1181877118151602181","1181877118151602181")</f>
        <v>1181877118151602181</v>
      </c>
      <c r="F3822" s="8"/>
      <c r="G3822" s="7"/>
      <c r="H3822" s="8"/>
      <c r="I3822" s="15">
        <v>0</v>
      </c>
      <c r="J3822" s="15">
        <v>0</v>
      </c>
      <c r="K3822" s="12" t="str">
        <f>HYPERLINK("http://twitter.com/download/android","Twitter for Android")</f>
        <v>Twitter for Android</v>
      </c>
      <c r="L3822" s="16">
        <v>0</v>
      </c>
      <c r="M3822" s="16">
        <v>0</v>
      </c>
      <c r="N3822" s="16">
        <v>0</v>
      </c>
      <c r="O3822" s="17"/>
      <c r="P3822" s="18">
        <v>42193.638738425929</v>
      </c>
      <c r="Q3822" s="7"/>
      <c r="R3822" s="7"/>
      <c r="S3822" s="8"/>
      <c r="T3822" s="8"/>
      <c r="U3822" s="20" t="s">
        <v>354</v>
      </c>
      <c r="V3822" s="8"/>
      <c r="W3822" s="8"/>
      <c r="X3822" s="8"/>
      <c r="Y3822" s="8"/>
      <c r="Z3822" s="8"/>
    </row>
    <row r="3823" spans="1:26" ht="12.75">
      <c r="A3823" s="11">
        <v>43747.139305555553</v>
      </c>
      <c r="B3823" s="12" t="str">
        <f>HYPERLINK("https://twitter.com/Ozkanbuyrucu","@Ozkanbuyrucu")</f>
        <v>@Ozkanbuyrucu</v>
      </c>
      <c r="C3823" s="7" t="s">
        <v>20218</v>
      </c>
      <c r="D3823" s="7" t="s">
        <v>20219</v>
      </c>
      <c r="E3823" s="12" t="str">
        <f>HYPERLINK("https://twitter.com/Ozkanbuyrucu/status/1181877113760165888","1181877113760165888")</f>
        <v>1181877113760165888</v>
      </c>
      <c r="F3823" s="8"/>
      <c r="G3823" s="15"/>
      <c r="H3823" s="8"/>
      <c r="I3823" s="15">
        <v>0</v>
      </c>
      <c r="J3823" s="15">
        <v>0</v>
      </c>
      <c r="K3823" s="12" t="str">
        <f>HYPERLINK("http://twitter.com/download/iphone","Twitter for iPhone")</f>
        <v>Twitter for iPhone</v>
      </c>
      <c r="L3823" s="16">
        <v>205</v>
      </c>
      <c r="M3823" s="16">
        <v>751</v>
      </c>
      <c r="N3823" s="16">
        <v>0</v>
      </c>
      <c r="O3823" s="17"/>
      <c r="P3823" s="18">
        <v>40726.327037037037</v>
      </c>
      <c r="Q3823" s="7" t="s">
        <v>2592</v>
      </c>
      <c r="R3823" s="7"/>
      <c r="S3823" s="14" t="s">
        <v>8179</v>
      </c>
      <c r="T3823" s="8"/>
      <c r="U3823" s="19" t="str">
        <f>HYPERLINK("https://pbs.twimg.com/profile_images/1062822967602790400/V5Y0GF16.jpg","View")</f>
        <v>View</v>
      </c>
      <c r="V3823" s="8"/>
      <c r="W3823" s="8"/>
      <c r="X3823" s="8"/>
      <c r="Y3823" s="8"/>
      <c r="Z3823" s="8"/>
    </row>
    <row r="3824" spans="1:26" ht="12.75">
      <c r="A3824" s="11">
        <v>43747.139282407406</v>
      </c>
      <c r="B3824" s="12" t="str">
        <f>HYPERLINK("https://twitter.com/sentinel218","@sentinel218")</f>
        <v>@sentinel218</v>
      </c>
      <c r="C3824" s="7" t="s">
        <v>20220</v>
      </c>
      <c r="D3824" s="7" t="s">
        <v>20221</v>
      </c>
      <c r="E3824" s="12" t="str">
        <f>HYPERLINK("https://twitter.com/sentinel218/status/1181877105975541763","1181877105975541763")</f>
        <v>1181877105975541763</v>
      </c>
      <c r="F3824" s="8"/>
      <c r="G3824" s="7"/>
      <c r="H3824" s="8"/>
      <c r="I3824" s="15">
        <v>0</v>
      </c>
      <c r="J3824" s="15">
        <v>0</v>
      </c>
      <c r="K3824" s="12" t="str">
        <f>HYPERLINK("https://mobile.twitter.com","Twitter Web App")</f>
        <v>Twitter Web App</v>
      </c>
      <c r="L3824" s="16">
        <v>5</v>
      </c>
      <c r="M3824" s="16">
        <v>67</v>
      </c>
      <c r="N3824" s="16">
        <v>0</v>
      </c>
      <c r="O3824" s="17"/>
      <c r="P3824" s="18">
        <v>43741.97657407407</v>
      </c>
      <c r="Q3824" s="7"/>
      <c r="R3824" s="7" t="s">
        <v>20222</v>
      </c>
      <c r="S3824" s="8"/>
      <c r="T3824" s="8"/>
      <c r="U3824" s="19" t="str">
        <f>HYPERLINK("https://pbs.twimg.com/profile_images/1180020481002475520/z49-bnVj.jpg","View")</f>
        <v>View</v>
      </c>
      <c r="V3824" s="8"/>
      <c r="W3824" s="8"/>
      <c r="X3824" s="8"/>
      <c r="Y3824" s="8"/>
      <c r="Z3824" s="8"/>
    </row>
    <row r="3825" spans="1:26" ht="12.75">
      <c r="A3825" s="11">
        <v>43747.139247685191</v>
      </c>
      <c r="B3825" s="12" t="str">
        <f>HYPERLINK("https://twitter.com/AlicanKrt0","@AlicanKrt0")</f>
        <v>@AlicanKrt0</v>
      </c>
      <c r="C3825" s="7" t="s">
        <v>2327</v>
      </c>
      <c r="D3825" s="7" t="s">
        <v>20223</v>
      </c>
      <c r="E3825" s="12" t="str">
        <f>HYPERLINK("https://twitter.com/AlicanKrt0/status/1181877091933052928","1181877091933052928")</f>
        <v>1181877091933052928</v>
      </c>
      <c r="F3825" s="8"/>
      <c r="G3825" s="14" t="s">
        <v>20224</v>
      </c>
      <c r="H3825" s="8"/>
      <c r="I3825" s="15">
        <v>0</v>
      </c>
      <c r="J3825" s="15">
        <v>2</v>
      </c>
      <c r="K3825" s="12" t="str">
        <f>HYPERLINK("http://twitter.com/download/android","Twitter for Android")</f>
        <v>Twitter for Android</v>
      </c>
      <c r="L3825" s="16">
        <v>63</v>
      </c>
      <c r="M3825" s="16">
        <v>22</v>
      </c>
      <c r="N3825" s="16">
        <v>0</v>
      </c>
      <c r="O3825" s="17"/>
      <c r="P3825" s="18">
        <v>43746.96157407407</v>
      </c>
      <c r="Q3825" s="7"/>
      <c r="R3825" s="7" t="s">
        <v>20225</v>
      </c>
      <c r="S3825" s="8"/>
      <c r="T3825" s="8"/>
      <c r="U3825" s="19" t="str">
        <f>HYPERLINK("https://pbs.twimg.com/profile_images/1181877546750808066/F8K4yTLp.jpg","View")</f>
        <v>View</v>
      </c>
      <c r="V3825" s="8"/>
      <c r="W3825" s="8"/>
      <c r="X3825" s="8"/>
      <c r="Y3825" s="8"/>
      <c r="Z3825" s="8"/>
    </row>
    <row r="3826" spans="1:26" ht="12.75">
      <c r="A3826" s="11">
        <v>43747.139224537037</v>
      </c>
      <c r="B3826" s="12" t="str">
        <f>HYPERLINK("https://twitter.com/gencoglutv","@gencoglutv")</f>
        <v>@gencoglutv</v>
      </c>
      <c r="C3826" s="7" t="s">
        <v>20226</v>
      </c>
      <c r="D3826" s="7" t="s">
        <v>14293</v>
      </c>
      <c r="E3826" s="12" t="str">
        <f>HYPERLINK("https://twitter.com/gencoglutv/status/1181877084991492098","1181877084991492098")</f>
        <v>1181877084991492098</v>
      </c>
      <c r="F3826" s="8"/>
      <c r="G3826" s="14" t="s">
        <v>20227</v>
      </c>
      <c r="H3826" s="8"/>
      <c r="I3826" s="15">
        <v>1</v>
      </c>
      <c r="J3826" s="15">
        <v>23</v>
      </c>
      <c r="K3826" s="12" t="str">
        <f>HYPERLINK("http://twitter.com/download/iphone","Twitter for iPhone")</f>
        <v>Twitter for iPhone</v>
      </c>
      <c r="L3826" s="16">
        <v>44443</v>
      </c>
      <c r="M3826" s="16">
        <v>4457</v>
      </c>
      <c r="N3826" s="16">
        <v>28</v>
      </c>
      <c r="O3826" s="17"/>
      <c r="P3826" s="18">
        <v>42046.44295138889</v>
      </c>
      <c r="Q3826" s="7"/>
      <c r="R3826" s="7" t="s">
        <v>20228</v>
      </c>
      <c r="S3826" s="14" t="s">
        <v>20229</v>
      </c>
      <c r="T3826" s="8"/>
      <c r="U3826" s="19" t="str">
        <f>HYPERLINK("https://pbs.twimg.com/profile_images/1167199596965257218/sqqKL4Hb.jpg","View")</f>
        <v>View</v>
      </c>
      <c r="V3826" s="8"/>
      <c r="W3826" s="8"/>
      <c r="X3826" s="8"/>
      <c r="Y3826" s="8"/>
      <c r="Z3826" s="8"/>
    </row>
    <row r="3827" spans="1:26" ht="12.75">
      <c r="A3827" s="11">
        <v>43747.139201388884</v>
      </c>
      <c r="B3827" s="12" t="str">
        <f>HYPERLINK("https://twitter.com/adsiz_kul","@adsiz_kul")</f>
        <v>@adsiz_kul</v>
      </c>
      <c r="C3827" s="7" t="s">
        <v>20230</v>
      </c>
      <c r="D3827" s="7" t="s">
        <v>20231</v>
      </c>
      <c r="E3827" s="12" t="str">
        <f>HYPERLINK("https://twitter.com/adsiz_kul/status/1181877073746550784","1181877073746550784")</f>
        <v>1181877073746550784</v>
      </c>
      <c r="F3827" s="8"/>
      <c r="G3827" s="15"/>
      <c r="H3827" s="8"/>
      <c r="I3827" s="15">
        <v>0</v>
      </c>
      <c r="J3827" s="15">
        <v>0</v>
      </c>
      <c r="K3827" s="12" t="str">
        <f>HYPERLINK("http://twitter.com/download/iphone","Twitter for iPhone")</f>
        <v>Twitter for iPhone</v>
      </c>
      <c r="L3827" s="16">
        <v>2657</v>
      </c>
      <c r="M3827" s="16">
        <v>3920</v>
      </c>
      <c r="N3827" s="16">
        <v>9</v>
      </c>
      <c r="O3827" s="17"/>
      <c r="P3827" s="18">
        <v>42334.578657407408</v>
      </c>
      <c r="Q3827" s="7" t="s">
        <v>20232</v>
      </c>
      <c r="R3827" s="7" t="s">
        <v>20233</v>
      </c>
      <c r="S3827" s="8"/>
      <c r="T3827" s="8"/>
      <c r="U3827" s="19" t="str">
        <f>HYPERLINK("https://pbs.twimg.com/profile_images/1178074402203852800/y-HE2Vds.jpg","View")</f>
        <v>View</v>
      </c>
      <c r="V3827" s="8"/>
      <c r="W3827" s="8"/>
      <c r="X3827" s="8"/>
      <c r="Y3827" s="8"/>
      <c r="Z3827" s="8"/>
    </row>
    <row r="3828" spans="1:26" ht="12.75">
      <c r="A3828" s="11">
        <v>43747.139120370368</v>
      </c>
      <c r="B3828" s="12" t="str">
        <f>HYPERLINK("https://twitter.com/Acnovic","@Acnovic")</f>
        <v>@Acnovic</v>
      </c>
      <c r="C3828" s="7" t="s">
        <v>4769</v>
      </c>
      <c r="D3828" s="7" t="s">
        <v>10687</v>
      </c>
      <c r="E3828" s="12" t="str">
        <f>HYPERLINK("https://twitter.com/Acnovic/status/1181877043451039745","1181877043451039745")</f>
        <v>1181877043451039745</v>
      </c>
      <c r="F3828" s="8"/>
      <c r="G3828" s="7"/>
      <c r="H3828" s="8"/>
      <c r="I3828" s="15">
        <v>0</v>
      </c>
      <c r="J3828" s="15">
        <v>0</v>
      </c>
      <c r="K3828" s="12" t="str">
        <f>HYPERLINK("http://twitter.com/download/iphone","Twitter for iPhone")</f>
        <v>Twitter for iPhone</v>
      </c>
      <c r="L3828" s="16">
        <v>103</v>
      </c>
      <c r="M3828" s="16">
        <v>86</v>
      </c>
      <c r="N3828" s="16">
        <v>0</v>
      </c>
      <c r="O3828" s="17"/>
      <c r="P3828" s="18">
        <v>42875.095312500001</v>
      </c>
      <c r="Q3828" s="7"/>
      <c r="R3828" s="7" t="s">
        <v>20234</v>
      </c>
      <c r="S3828" s="8"/>
      <c r="T3828" s="8"/>
      <c r="U3828" s="19" t="str">
        <f>HYPERLINK("https://pbs.twimg.com/profile_images/1010798757317931009/2o8-Jwb6.jpg","View")</f>
        <v>View</v>
      </c>
      <c r="V3828" s="8"/>
      <c r="W3828" s="8"/>
      <c r="X3828" s="8"/>
      <c r="Y3828" s="8"/>
      <c r="Z3828" s="8"/>
    </row>
    <row r="3829" spans="1:26" ht="12.75">
      <c r="A3829" s="11">
        <v>43747.139097222222</v>
      </c>
      <c r="B3829" s="12" t="str">
        <f>HYPERLINK("https://twitter.com/EnginEryaman","@EnginEryaman")</f>
        <v>@EnginEryaman</v>
      </c>
      <c r="C3829" s="7" t="s">
        <v>20235</v>
      </c>
      <c r="D3829" s="7" t="s">
        <v>160</v>
      </c>
      <c r="E3829" s="12" t="str">
        <f>HYPERLINK("https://twitter.com/EnginEryaman/status/1181877035746123777","1181877035746123777")</f>
        <v>1181877035746123777</v>
      </c>
      <c r="F3829" s="8"/>
      <c r="G3829" s="14" t="s">
        <v>20236</v>
      </c>
      <c r="H3829" s="8"/>
      <c r="I3829" s="15">
        <v>0</v>
      </c>
      <c r="J3829" s="15">
        <v>0</v>
      </c>
      <c r="K3829" s="12" t="str">
        <f>HYPERLINK("https://mobile.twitter.com","Twitter Web App")</f>
        <v>Twitter Web App</v>
      </c>
      <c r="L3829" s="16">
        <v>3</v>
      </c>
      <c r="M3829" s="16">
        <v>1</v>
      </c>
      <c r="N3829" s="16">
        <v>0</v>
      </c>
      <c r="O3829" s="17"/>
      <c r="P3829" s="18">
        <v>43702.951203703706</v>
      </c>
      <c r="Q3829" s="7"/>
      <c r="R3829" s="7" t="s">
        <v>20237</v>
      </c>
      <c r="S3829" s="15"/>
      <c r="T3829" s="8"/>
      <c r="U3829" s="19" t="str">
        <f>HYPERLINK("https://pbs.twimg.com/profile_images/1178648331536478209/vvzuwNq5.jpg","View")</f>
        <v>View</v>
      </c>
      <c r="V3829" s="8"/>
      <c r="W3829" s="8"/>
      <c r="X3829" s="8"/>
      <c r="Y3829" s="8"/>
      <c r="Z3829" s="8"/>
    </row>
    <row r="3830" spans="1:26" ht="12.75">
      <c r="A3830" s="11">
        <v>43747.139074074075</v>
      </c>
      <c r="B3830" s="12" t="str">
        <f>HYPERLINK("https://twitter.com/ugurilhan2","@ugurilhan2")</f>
        <v>@ugurilhan2</v>
      </c>
      <c r="C3830" s="7" t="s">
        <v>20238</v>
      </c>
      <c r="D3830" s="7" t="s">
        <v>20239</v>
      </c>
      <c r="E3830" s="12" t="str">
        <f>HYPERLINK("https://twitter.com/ugurilhan2/status/1181877026636128256","1181877026636128256")</f>
        <v>1181877026636128256</v>
      </c>
      <c r="F3830" s="14" t="s">
        <v>20240</v>
      </c>
      <c r="G3830" s="14" t="s">
        <v>20241</v>
      </c>
      <c r="H3830" s="8"/>
      <c r="I3830" s="15">
        <v>0</v>
      </c>
      <c r="J3830" s="15">
        <v>0</v>
      </c>
      <c r="K3830" s="12" t="str">
        <f>HYPERLINK("http://twitter.com/download/iphone","Twitter for iPhone")</f>
        <v>Twitter for iPhone</v>
      </c>
      <c r="L3830" s="16">
        <v>140</v>
      </c>
      <c r="M3830" s="16">
        <v>224</v>
      </c>
      <c r="N3830" s="16">
        <v>0</v>
      </c>
      <c r="O3830" s="17"/>
      <c r="P3830" s="18">
        <v>43059.391828703709</v>
      </c>
      <c r="Q3830" s="7"/>
      <c r="R3830" s="7" t="s">
        <v>20242</v>
      </c>
      <c r="S3830" s="15"/>
      <c r="T3830" s="8"/>
      <c r="U3830" s="19" t="str">
        <f>HYPERLINK("https://pbs.twimg.com/profile_images/932662820335996930/YwDO_vVx.jpg","View")</f>
        <v>View</v>
      </c>
      <c r="V3830" s="8"/>
      <c r="W3830" s="8"/>
      <c r="X3830" s="8"/>
      <c r="Y3830" s="8"/>
      <c r="Z3830" s="8"/>
    </row>
    <row r="3831" spans="1:26" ht="12.75">
      <c r="A3831" s="11">
        <v>43747.139050925922</v>
      </c>
      <c r="B3831" s="12" t="str">
        <f>HYPERLINK("https://twitter.com/mywayTurkey","@mywayTurkey")</f>
        <v>@mywayTurkey</v>
      </c>
      <c r="C3831" s="7" t="s">
        <v>20243</v>
      </c>
      <c r="D3831" s="7" t="s">
        <v>20244</v>
      </c>
      <c r="E3831" s="12" t="str">
        <f>HYPERLINK("https://twitter.com/mywayTurkey/status/1181877018927026177","1181877018927026177")</f>
        <v>1181877018927026177</v>
      </c>
      <c r="F3831" s="8"/>
      <c r="G3831" s="14" t="s">
        <v>20245</v>
      </c>
      <c r="H3831" s="8"/>
      <c r="I3831" s="15">
        <v>3</v>
      </c>
      <c r="J3831" s="15">
        <v>3</v>
      </c>
      <c r="K3831" s="12" t="str">
        <f>HYPERLINK("https://mobile.twitter.com","Twitter Web App")</f>
        <v>Twitter Web App</v>
      </c>
      <c r="L3831" s="16">
        <v>8215</v>
      </c>
      <c r="M3831" s="16">
        <v>5028</v>
      </c>
      <c r="N3831" s="16">
        <v>15</v>
      </c>
      <c r="O3831" s="17"/>
      <c r="P3831" s="18">
        <v>42394.524062500001</v>
      </c>
      <c r="Q3831" s="7" t="s">
        <v>20246</v>
      </c>
      <c r="R3831" s="7" t="s">
        <v>20247</v>
      </c>
      <c r="S3831" s="15"/>
      <c r="T3831" s="8"/>
      <c r="U3831" s="19" t="str">
        <f>HYPERLINK("https://pbs.twimg.com/profile_images/1181673967389757442/Q0H2CTfM.jpg","View")</f>
        <v>View</v>
      </c>
      <c r="V3831" s="8"/>
      <c r="W3831" s="8"/>
      <c r="X3831" s="8"/>
      <c r="Y3831" s="8"/>
      <c r="Z3831" s="8"/>
    </row>
    <row r="3832" spans="1:26" ht="12.75">
      <c r="A3832" s="11">
        <v>43747.139016203699</v>
      </c>
      <c r="B3832" s="12" t="str">
        <f>HYPERLINK("https://twitter.com/ene_yobazing","@ene_yobazing")</f>
        <v>@ene_yobazing</v>
      </c>
      <c r="C3832" s="7" t="s">
        <v>20248</v>
      </c>
      <c r="D3832" s="7" t="s">
        <v>20249</v>
      </c>
      <c r="E3832" s="12" t="str">
        <f>HYPERLINK("https://twitter.com/ene_yobazing/status/1181877007711395840","1181877007711395840")</f>
        <v>1181877007711395840</v>
      </c>
      <c r="F3832" s="8"/>
      <c r="G3832" s="14" t="s">
        <v>20250</v>
      </c>
      <c r="H3832" s="8"/>
      <c r="I3832" s="15">
        <v>0</v>
      </c>
      <c r="J3832" s="15">
        <v>3</v>
      </c>
      <c r="K3832" s="12" t="str">
        <f>HYPERLINK("http://twitter.com/download/iphone","Twitter for iPhone")</f>
        <v>Twitter for iPhone</v>
      </c>
      <c r="L3832" s="16">
        <v>1668</v>
      </c>
      <c r="M3832" s="16">
        <v>483</v>
      </c>
      <c r="N3832" s="16">
        <v>4</v>
      </c>
      <c r="O3832" s="17"/>
      <c r="P3832" s="18">
        <v>41077.073749999996</v>
      </c>
      <c r="Q3832" s="7" t="s">
        <v>20251</v>
      </c>
      <c r="R3832" s="7" t="s">
        <v>20252</v>
      </c>
      <c r="S3832" s="8"/>
      <c r="T3832" s="8"/>
      <c r="U3832" s="19" t="str">
        <f>HYPERLINK("https://pbs.twimg.com/profile_images/1170797416565694470/tOxMunYX.jpg","View")</f>
        <v>View</v>
      </c>
      <c r="V3832" s="8"/>
      <c r="W3832" s="8"/>
      <c r="X3832" s="8"/>
      <c r="Y3832" s="8"/>
      <c r="Z3832" s="8"/>
    </row>
    <row r="3833" spans="1:26" ht="12.75">
      <c r="A3833" s="11">
        <v>43747.13899305556</v>
      </c>
      <c r="B3833" s="12" t="str">
        <f>HYPERLINK("https://twitter.com/rmeysab_","@rmeysab_")</f>
        <v>@rmeysab_</v>
      </c>
      <c r="C3833" s="7" t="s">
        <v>20253</v>
      </c>
      <c r="D3833" s="7" t="s">
        <v>20254</v>
      </c>
      <c r="E3833" s="12" t="str">
        <f>HYPERLINK("https://twitter.com/rmeysab_/status/1181877001373831168","1181877001373831168")</f>
        <v>1181877001373831168</v>
      </c>
      <c r="F3833" s="8"/>
      <c r="G3833" s="15"/>
      <c r="H3833" s="8"/>
      <c r="I3833" s="15">
        <v>0</v>
      </c>
      <c r="J3833" s="15">
        <v>0</v>
      </c>
      <c r="K3833" s="12" t="str">
        <f>HYPERLINK("http://twitter.com/download/android","Twitter for Android")</f>
        <v>Twitter for Android</v>
      </c>
      <c r="L3833" s="16">
        <v>153</v>
      </c>
      <c r="M3833" s="16">
        <v>152</v>
      </c>
      <c r="N3833" s="16">
        <v>0</v>
      </c>
      <c r="O3833" s="17"/>
      <c r="P3833" s="18">
        <v>43364.136099537034</v>
      </c>
      <c r="Q3833" s="7" t="s">
        <v>287</v>
      </c>
      <c r="R3833" s="7" t="s">
        <v>20255</v>
      </c>
      <c r="S3833" s="8"/>
      <c r="T3833" s="8"/>
      <c r="U3833" s="19" t="str">
        <f>HYPERLINK("https://pbs.twimg.com/profile_images/1080403283808800768/jR3s9CLY.jpg","View")</f>
        <v>View</v>
      </c>
      <c r="V3833" s="8"/>
      <c r="W3833" s="8"/>
      <c r="X3833" s="8"/>
      <c r="Y3833" s="8"/>
      <c r="Z3833" s="8"/>
    </row>
    <row r="3834" spans="1:26" ht="12.75">
      <c r="A3834" s="11">
        <v>43747.138981481483</v>
      </c>
      <c r="B3834" s="12" t="str">
        <f>HYPERLINK("https://twitter.com/islamboltr","@islamboltr")</f>
        <v>@islamboltr</v>
      </c>
      <c r="C3834" s="7" t="s">
        <v>20256</v>
      </c>
      <c r="D3834" s="7" t="s">
        <v>20257</v>
      </c>
      <c r="E3834" s="12" t="str">
        <f>HYPERLINK("https://twitter.com/islamboltr/status/1181876995975725056","1181876995975725056")</f>
        <v>1181876995975725056</v>
      </c>
      <c r="F3834" s="8"/>
      <c r="G3834" s="14" t="s">
        <v>20258</v>
      </c>
      <c r="H3834" s="8"/>
      <c r="I3834" s="15">
        <v>0</v>
      </c>
      <c r="J3834" s="15">
        <v>0</v>
      </c>
      <c r="K3834" s="12" t="str">
        <f>HYPERLINK("http://twitter.com/download/android","Twitter for Android")</f>
        <v>Twitter for Android</v>
      </c>
      <c r="L3834" s="16">
        <v>11</v>
      </c>
      <c r="M3834" s="16">
        <v>13</v>
      </c>
      <c r="N3834" s="16">
        <v>0</v>
      </c>
      <c r="O3834" s="17"/>
      <c r="P3834" s="18">
        <v>43698.547905092593</v>
      </c>
      <c r="Q3834" s="7"/>
      <c r="R3834" s="7"/>
      <c r="S3834" s="8"/>
      <c r="T3834" s="8"/>
      <c r="U3834" s="19" t="str">
        <f>HYPERLINK("https://pbs.twimg.com/profile_images/1164268842669019137/ZtXO5vJZ.jpg","View")</f>
        <v>View</v>
      </c>
      <c r="V3834" s="8"/>
      <c r="W3834" s="8"/>
      <c r="X3834" s="8"/>
      <c r="Y3834" s="8"/>
      <c r="Z3834" s="8"/>
    </row>
    <row r="3835" spans="1:26" ht="12.75">
      <c r="A3835" s="11">
        <v>43747.138935185183</v>
      </c>
      <c r="B3835" s="12" t="str">
        <f>HYPERLINK("https://twitter.com/FCCONLAYNN","@FCCONLAYNN")</f>
        <v>@FCCONLAYNN</v>
      </c>
      <c r="C3835" s="7" t="s">
        <v>20259</v>
      </c>
      <c r="D3835" s="7" t="s">
        <v>160</v>
      </c>
      <c r="E3835" s="12" t="str">
        <f>HYPERLINK("https://twitter.com/FCCONLAYNN/status/1181876979362127872","1181876979362127872")</f>
        <v>1181876979362127872</v>
      </c>
      <c r="F3835" s="8"/>
      <c r="G3835" s="14" t="s">
        <v>20260</v>
      </c>
      <c r="H3835" s="8"/>
      <c r="I3835" s="15">
        <v>0</v>
      </c>
      <c r="J3835" s="15">
        <v>0</v>
      </c>
      <c r="K3835" s="12" t="str">
        <f>HYPERLINK("http://twitter.com/download/android","Twitter for Android")</f>
        <v>Twitter for Android</v>
      </c>
      <c r="L3835" s="16">
        <v>35</v>
      </c>
      <c r="M3835" s="16">
        <v>123</v>
      </c>
      <c r="N3835" s="16">
        <v>0</v>
      </c>
      <c r="O3835" s="17"/>
      <c r="P3835" s="18">
        <v>42619.219976851848</v>
      </c>
      <c r="Q3835" s="7" t="s">
        <v>287</v>
      </c>
      <c r="R3835" s="7" t="s">
        <v>20261</v>
      </c>
      <c r="S3835" s="8"/>
      <c r="T3835" s="8"/>
      <c r="U3835" s="19" t="str">
        <f>HYPERLINK("https://pbs.twimg.com/profile_images/998316606731120640/X3lyUFdv.jpg","View")</f>
        <v>View</v>
      </c>
      <c r="V3835" s="8"/>
      <c r="W3835" s="8"/>
      <c r="X3835" s="8"/>
      <c r="Y3835" s="8"/>
      <c r="Z3835" s="8"/>
    </row>
    <row r="3836" spans="1:26" ht="12.75">
      <c r="A3836" s="11">
        <v>43747.138854166667</v>
      </c>
      <c r="B3836" s="12" t="str">
        <f>HYPERLINK("https://twitter.com/Muhammet_Sunar","@Muhammet_Sunar")</f>
        <v>@Muhammet_Sunar</v>
      </c>
      <c r="C3836" s="7" t="s">
        <v>20262</v>
      </c>
      <c r="D3836" s="7" t="s">
        <v>20263</v>
      </c>
      <c r="E3836" s="12" t="str">
        <f>HYPERLINK("https://twitter.com/Muhammet_Sunar/status/1181876947632185344","1181876947632185344")</f>
        <v>1181876947632185344</v>
      </c>
      <c r="F3836" s="8"/>
      <c r="G3836" s="14" t="s">
        <v>20264</v>
      </c>
      <c r="H3836" s="8"/>
      <c r="I3836" s="15">
        <v>0</v>
      </c>
      <c r="J3836" s="15">
        <v>0</v>
      </c>
      <c r="K3836" s="12" t="str">
        <f>HYPERLINK("http://twitter.com/download/iphone","Twitter for iPhone")</f>
        <v>Twitter for iPhone</v>
      </c>
      <c r="L3836" s="16">
        <v>146</v>
      </c>
      <c r="M3836" s="16">
        <v>115</v>
      </c>
      <c r="N3836" s="16">
        <v>0</v>
      </c>
      <c r="O3836" s="17"/>
      <c r="P3836" s="18">
        <v>41798.120682870373</v>
      </c>
      <c r="Q3836" s="7"/>
      <c r="R3836" s="7" t="s">
        <v>20265</v>
      </c>
      <c r="S3836" s="8"/>
      <c r="T3836" s="8"/>
      <c r="U3836" s="19" t="str">
        <f>HYPERLINK("https://pbs.twimg.com/profile_images/663257993732034560/cls7m2eq.jpg","View")</f>
        <v>View</v>
      </c>
      <c r="V3836" s="8"/>
      <c r="W3836" s="8"/>
      <c r="X3836" s="8"/>
      <c r="Y3836" s="8"/>
      <c r="Z3836" s="8"/>
    </row>
    <row r="3837" spans="1:26" ht="12.75">
      <c r="A3837" s="11">
        <v>43747.138796296298</v>
      </c>
      <c r="B3837" s="12" t="str">
        <f>HYPERLINK("https://twitter.com/TimucinUskup","@TimucinUskup")</f>
        <v>@TimucinUskup</v>
      </c>
      <c r="C3837" s="7" t="s">
        <v>20266</v>
      </c>
      <c r="D3837" s="7" t="s">
        <v>20267</v>
      </c>
      <c r="E3837" s="12" t="str">
        <f>HYPERLINK("https://twitter.com/TimucinUskup/status/1181876927205924874","1181876927205924874")</f>
        <v>1181876927205924874</v>
      </c>
      <c r="F3837" s="8"/>
      <c r="G3837" s="7"/>
      <c r="H3837" s="8"/>
      <c r="I3837" s="15">
        <v>0</v>
      </c>
      <c r="J3837" s="15">
        <v>0</v>
      </c>
      <c r="K3837" s="12" t="str">
        <f>HYPERLINK("http://twitter.com/download/android","Twitter for Android")</f>
        <v>Twitter for Android</v>
      </c>
      <c r="L3837" s="16">
        <v>1172</v>
      </c>
      <c r="M3837" s="16">
        <v>1085</v>
      </c>
      <c r="N3837" s="16">
        <v>3</v>
      </c>
      <c r="O3837" s="17"/>
      <c r="P3837" s="18">
        <v>43226.277106481481</v>
      </c>
      <c r="Q3837" s="7" t="s">
        <v>20268</v>
      </c>
      <c r="R3837" s="7" t="s">
        <v>20269</v>
      </c>
      <c r="S3837" s="8"/>
      <c r="T3837" s="8"/>
      <c r="U3837" s="19" t="str">
        <f>HYPERLINK("https://pbs.twimg.com/profile_images/1179873184667111424/6-LUSvhv.jpg","View")</f>
        <v>View</v>
      </c>
      <c r="V3837" s="8"/>
      <c r="W3837" s="8"/>
      <c r="X3837" s="8"/>
      <c r="Y3837" s="8"/>
      <c r="Z3837" s="8"/>
    </row>
    <row r="3838" spans="1:26" ht="12.75">
      <c r="A3838" s="11">
        <v>43747.138749999998</v>
      </c>
      <c r="B3838" s="12" t="str">
        <f>HYPERLINK("https://twitter.com/Tolgaha28436030","@Tolgaha28436030")</f>
        <v>@Tolgaha28436030</v>
      </c>
      <c r="C3838" s="7" t="s">
        <v>18956</v>
      </c>
      <c r="D3838" s="7" t="s">
        <v>9777</v>
      </c>
      <c r="E3838" s="12" t="str">
        <f>HYPERLINK("https://twitter.com/Tolgaha28436030/status/1181876909652742145","1181876909652742145")</f>
        <v>1181876909652742145</v>
      </c>
      <c r="F3838" s="8"/>
      <c r="G3838" s="14" t="s">
        <v>20270</v>
      </c>
      <c r="H3838" s="8"/>
      <c r="I3838" s="15">
        <v>0</v>
      </c>
      <c r="J3838" s="15">
        <v>0</v>
      </c>
      <c r="K3838" s="12" t="str">
        <f>HYPERLINK("http://twitter.com/download/android","Twitter for Android")</f>
        <v>Twitter for Android</v>
      </c>
      <c r="L3838" s="16">
        <v>0</v>
      </c>
      <c r="M3838" s="16">
        <v>6</v>
      </c>
      <c r="N3838" s="16">
        <v>0</v>
      </c>
      <c r="O3838" s="17"/>
      <c r="P3838" s="18">
        <v>43747.136689814812</v>
      </c>
      <c r="Q3838" s="7"/>
      <c r="R3838" s="7" t="s">
        <v>160</v>
      </c>
      <c r="S3838" s="8"/>
      <c r="T3838" s="8"/>
      <c r="U3838" s="19" t="str">
        <f>HYPERLINK("https://pbs.twimg.com/profile_images/1181876222470561792/PynX1jP0.jpg","View")</f>
        <v>View</v>
      </c>
      <c r="V3838" s="8"/>
      <c r="W3838" s="8"/>
      <c r="X3838" s="8"/>
      <c r="Y3838" s="8"/>
      <c r="Z3838" s="8"/>
    </row>
    <row r="3839" spans="1:26" ht="12.75">
      <c r="A3839" s="11">
        <v>43747.138738425929</v>
      </c>
      <c r="B3839" s="12" t="str">
        <f>HYPERLINK("https://twitter.com/bozkurt1326","@bozkurt1326")</f>
        <v>@bozkurt1326</v>
      </c>
      <c r="C3839" s="7" t="s">
        <v>20271</v>
      </c>
      <c r="D3839" s="7" t="s">
        <v>20272</v>
      </c>
      <c r="E3839" s="12" t="str">
        <f>HYPERLINK("https://twitter.com/bozkurt1326/status/1181876907677294593","1181876907677294593")</f>
        <v>1181876907677294593</v>
      </c>
      <c r="F3839" s="8"/>
      <c r="G3839" s="7"/>
      <c r="H3839" s="8"/>
      <c r="I3839" s="15">
        <v>0</v>
      </c>
      <c r="J3839" s="15">
        <v>0</v>
      </c>
      <c r="K3839" s="12" t="str">
        <f>HYPERLINK("http://twitter.com/download/android","Twitter for Android")</f>
        <v>Twitter for Android</v>
      </c>
      <c r="L3839" s="16">
        <v>589</v>
      </c>
      <c r="M3839" s="16">
        <v>410</v>
      </c>
      <c r="N3839" s="16">
        <v>1</v>
      </c>
      <c r="O3839" s="17"/>
      <c r="P3839" s="18">
        <v>41464.071469907409</v>
      </c>
      <c r="Q3839" s="7" t="s">
        <v>20273</v>
      </c>
      <c r="R3839" s="7" t="s">
        <v>20274</v>
      </c>
      <c r="S3839" s="8"/>
      <c r="T3839" s="8"/>
      <c r="U3839" s="19" t="str">
        <f>HYPERLINK("https://pbs.twimg.com/profile_images/1121116235255746560/vk-TpZP0.jpg","View")</f>
        <v>View</v>
      </c>
      <c r="V3839" s="8"/>
      <c r="W3839" s="8"/>
      <c r="X3839" s="8"/>
      <c r="Y3839" s="8"/>
      <c r="Z3839" s="8"/>
    </row>
    <row r="3840" spans="1:26" ht="12.75">
      <c r="A3840" s="11">
        <v>43747.138668981483</v>
      </c>
      <c r="B3840" s="12" t="str">
        <f>HYPERLINK("https://twitter.com/NEVKILICASLAN","@NEVKILICASLAN")</f>
        <v>@NEVKILICASLAN</v>
      </c>
      <c r="C3840" s="7" t="s">
        <v>20275</v>
      </c>
      <c r="D3840" s="7" t="s">
        <v>20276</v>
      </c>
      <c r="E3840" s="12" t="str">
        <f>HYPERLINK("https://twitter.com/NEVKILICASLAN/status/1181876881886453762","1181876881886453762")</f>
        <v>1181876881886453762</v>
      </c>
      <c r="F3840" s="8"/>
      <c r="G3840" s="15"/>
      <c r="H3840" s="8"/>
      <c r="I3840" s="15">
        <v>0</v>
      </c>
      <c r="J3840" s="15">
        <v>1</v>
      </c>
      <c r="K3840" s="12" t="str">
        <f>HYPERLINK("http://twitter.com/download/android","Twitter for Android")</f>
        <v>Twitter for Android</v>
      </c>
      <c r="L3840" s="16">
        <v>138</v>
      </c>
      <c r="M3840" s="16">
        <v>694</v>
      </c>
      <c r="N3840" s="16">
        <v>6</v>
      </c>
      <c r="O3840" s="17"/>
      <c r="P3840" s="18">
        <v>41712.547500000001</v>
      </c>
      <c r="Q3840" s="7"/>
      <c r="R3840" s="7" t="s">
        <v>20277</v>
      </c>
      <c r="S3840" s="15"/>
      <c r="T3840" s="8"/>
      <c r="U3840" s="19" t="str">
        <f>HYPERLINK("https://pbs.twimg.com/profile_images/966230850110095360/h6_CbSPO.jpg","View")</f>
        <v>View</v>
      </c>
      <c r="V3840" s="8"/>
      <c r="W3840" s="8"/>
      <c r="X3840" s="8"/>
      <c r="Y3840" s="8"/>
      <c r="Z3840" s="8"/>
    </row>
    <row r="3841" spans="1:26" ht="12.75">
      <c r="A3841" s="11">
        <v>43747.138645833329</v>
      </c>
      <c r="B3841" s="12" t="str">
        <f>HYPERLINK("https://twitter.com/M_ZahidBYKCM","@M_ZahidBYKCM")</f>
        <v>@M_ZahidBYKCM</v>
      </c>
      <c r="C3841" s="7" t="s">
        <v>20278</v>
      </c>
      <c r="D3841" s="7" t="s">
        <v>20279</v>
      </c>
      <c r="E3841" s="12" t="str">
        <f>HYPERLINK("https://twitter.com/M_ZahidBYKCM/status/1181876874311585793","1181876874311585793")</f>
        <v>1181876874311585793</v>
      </c>
      <c r="F3841" s="8"/>
      <c r="G3841" s="15"/>
      <c r="H3841" s="8"/>
      <c r="I3841" s="15">
        <v>0</v>
      </c>
      <c r="J3841" s="15">
        <v>0</v>
      </c>
      <c r="K3841" s="12" t="str">
        <f>HYPERLINK("http://twitter.com/download/iphone","Twitter for iPhone")</f>
        <v>Twitter for iPhone</v>
      </c>
      <c r="L3841" s="16">
        <v>1658</v>
      </c>
      <c r="M3841" s="16">
        <v>803</v>
      </c>
      <c r="N3841" s="16">
        <v>0</v>
      </c>
      <c r="O3841" s="17"/>
      <c r="P3841" s="18">
        <v>41450.227013888885</v>
      </c>
      <c r="Q3841" s="7" t="s">
        <v>20280</v>
      </c>
      <c r="R3841" s="7" t="s">
        <v>20281</v>
      </c>
      <c r="S3841" s="8"/>
      <c r="T3841" s="8"/>
      <c r="U3841" s="19" t="str">
        <f>HYPERLINK("https://pbs.twimg.com/profile_images/1148067653514342401/hgfeFm0k.jpg","View")</f>
        <v>View</v>
      </c>
      <c r="V3841" s="8"/>
      <c r="W3841" s="8"/>
      <c r="X3841" s="8"/>
      <c r="Y3841" s="8"/>
      <c r="Z3841" s="8"/>
    </row>
    <row r="3842" spans="1:26" ht="12.75">
      <c r="A3842" s="11">
        <v>43747.13862268519</v>
      </c>
      <c r="B3842" s="12" t="str">
        <f>HYPERLINK("https://twitter.com/murat_kiziltepe","@murat_kiziltepe")</f>
        <v>@murat_kiziltepe</v>
      </c>
      <c r="C3842" s="7" t="s">
        <v>20282</v>
      </c>
      <c r="D3842" s="7" t="s">
        <v>20283</v>
      </c>
      <c r="E3842" s="12" t="str">
        <f>HYPERLINK("https://twitter.com/murat_kiziltepe/status/1181876863246962688","1181876863246962688")</f>
        <v>1181876863246962688</v>
      </c>
      <c r="F3842" s="8"/>
      <c r="G3842" s="15"/>
      <c r="H3842" s="8"/>
      <c r="I3842" s="15">
        <v>0</v>
      </c>
      <c r="J3842" s="15">
        <v>0</v>
      </c>
      <c r="K3842" s="12" t="str">
        <f>HYPERLINK("http://twitter.com/download/android","Twitter for Android")</f>
        <v>Twitter for Android</v>
      </c>
      <c r="L3842" s="16">
        <v>289</v>
      </c>
      <c r="M3842" s="16">
        <v>398</v>
      </c>
      <c r="N3842" s="16">
        <v>0</v>
      </c>
      <c r="O3842" s="17"/>
      <c r="P3842" s="18">
        <v>41555.396874999999</v>
      </c>
      <c r="Q3842" s="13" t="s">
        <v>13727</v>
      </c>
      <c r="R3842" s="13" t="s">
        <v>20284</v>
      </c>
      <c r="S3842" s="8"/>
      <c r="T3842" s="8"/>
      <c r="U3842" s="19" t="str">
        <f>HYPERLINK("https://pbs.twimg.com/profile_images/1178934504276271104/zk_vUf2h.jpg","View")</f>
        <v>View</v>
      </c>
      <c r="V3842" s="8"/>
      <c r="W3842" s="8"/>
      <c r="X3842" s="8"/>
      <c r="Y3842" s="8"/>
      <c r="Z3842" s="8"/>
    </row>
    <row r="3843" spans="1:26" ht="12.75">
      <c r="A3843" s="11">
        <v>43747.138564814813</v>
      </c>
      <c r="B3843" s="12" t="str">
        <f>HYPERLINK("https://twitter.com/ataoll","@ataoll")</f>
        <v>@ataoll</v>
      </c>
      <c r="C3843" s="7" t="s">
        <v>20285</v>
      </c>
      <c r="D3843" s="7" t="s">
        <v>20286</v>
      </c>
      <c r="E3843" s="12" t="str">
        <f>HYPERLINK("https://twitter.com/ataoll/status/1181876845739950080","1181876845739950080")</f>
        <v>1181876845739950080</v>
      </c>
      <c r="F3843" s="8"/>
      <c r="G3843" s="7"/>
      <c r="H3843" s="8"/>
      <c r="I3843" s="15">
        <v>0</v>
      </c>
      <c r="J3843" s="15">
        <v>0</v>
      </c>
      <c r="K3843" s="12" t="str">
        <f>HYPERLINK("https://mobile.twitter.com","Twitter Web App")</f>
        <v>Twitter Web App</v>
      </c>
      <c r="L3843" s="16">
        <v>40</v>
      </c>
      <c r="M3843" s="16">
        <v>40</v>
      </c>
      <c r="N3843" s="16">
        <v>0</v>
      </c>
      <c r="O3843" s="17"/>
      <c r="P3843" s="18">
        <v>40175.569282407407</v>
      </c>
      <c r="Q3843" s="7"/>
      <c r="R3843" s="7"/>
      <c r="S3843" s="8"/>
      <c r="T3843" s="8"/>
      <c r="U3843" s="19" t="str">
        <f>HYPERLINK("https://pbs.twimg.com/profile_images/1134898421012291584/RirGOpZq.jpg","View")</f>
        <v>View</v>
      </c>
      <c r="V3843" s="8"/>
      <c r="W3843" s="8"/>
      <c r="X3843" s="8"/>
      <c r="Y3843" s="8"/>
      <c r="Z3843" s="8"/>
    </row>
    <row r="3844" spans="1:26" ht="12.75">
      <c r="A3844" s="11">
        <v>43747.138541666667</v>
      </c>
      <c r="B3844" s="12" t="str">
        <f>HYPERLINK("https://twitter.com/_busraclk","@_busraclk")</f>
        <v>@_busraclk</v>
      </c>
      <c r="C3844" s="7" t="s">
        <v>20287</v>
      </c>
      <c r="D3844" s="7" t="s">
        <v>20288</v>
      </c>
      <c r="E3844" s="12" t="str">
        <f>HYPERLINK("https://twitter.com/_busraclk/status/1181876836097253376","1181876836097253376")</f>
        <v>1181876836097253376</v>
      </c>
      <c r="F3844" s="8"/>
      <c r="G3844" s="14" t="s">
        <v>20289</v>
      </c>
      <c r="H3844" s="8"/>
      <c r="I3844" s="15">
        <v>0</v>
      </c>
      <c r="J3844" s="15">
        <v>0</v>
      </c>
      <c r="K3844" s="12" t="str">
        <f>HYPERLINK("http://twitter.com/download/iphone","Twitter for iPhone")</f>
        <v>Twitter for iPhone</v>
      </c>
      <c r="L3844" s="16">
        <v>847</v>
      </c>
      <c r="M3844" s="16">
        <v>180</v>
      </c>
      <c r="N3844" s="16">
        <v>0</v>
      </c>
      <c r="O3844" s="17"/>
      <c r="P3844" s="18">
        <v>41165.150046296294</v>
      </c>
      <c r="Q3844" s="7"/>
      <c r="R3844" s="7" t="s">
        <v>20290</v>
      </c>
      <c r="S3844" s="15"/>
      <c r="T3844" s="8"/>
      <c r="U3844" s="19" t="str">
        <f>HYPERLINK("https://pbs.twimg.com/profile_images/1099064962004254721/QBat1wth.jpg","View")</f>
        <v>View</v>
      </c>
      <c r="V3844" s="8"/>
      <c r="W3844" s="8"/>
      <c r="X3844" s="8"/>
      <c r="Y3844" s="8"/>
      <c r="Z3844" s="8"/>
    </row>
    <row r="3845" spans="1:26" ht="12.75">
      <c r="A3845" s="11">
        <v>43747.138541666667</v>
      </c>
      <c r="B3845" s="12" t="str">
        <f>HYPERLINK("https://twitter.com/Stk47338231","@Stk47338231")</f>
        <v>@Stk47338231</v>
      </c>
      <c r="C3845" s="7" t="s">
        <v>20291</v>
      </c>
      <c r="D3845" s="7" t="s">
        <v>20292</v>
      </c>
      <c r="E3845" s="12" t="str">
        <f>HYPERLINK("https://twitter.com/Stk47338231/status/1181876834243371009","1181876834243371009")</f>
        <v>1181876834243371009</v>
      </c>
      <c r="F3845" s="8"/>
      <c r="G3845" s="15"/>
      <c r="H3845" s="8"/>
      <c r="I3845" s="15">
        <v>0</v>
      </c>
      <c r="J3845" s="15">
        <v>1</v>
      </c>
      <c r="K3845" s="12" t="str">
        <f>HYPERLINK("http://twitter.com/download/android","Twitter for Android")</f>
        <v>Twitter for Android</v>
      </c>
      <c r="L3845" s="16">
        <v>5</v>
      </c>
      <c r="M3845" s="16">
        <v>69</v>
      </c>
      <c r="N3845" s="16">
        <v>0</v>
      </c>
      <c r="O3845" s="17"/>
      <c r="P3845" s="18">
        <v>43591.691701388889</v>
      </c>
      <c r="Q3845" s="7"/>
      <c r="R3845" s="7"/>
      <c r="S3845" s="8"/>
      <c r="T3845" s="8"/>
      <c r="U3845" s="20" t="s">
        <v>354</v>
      </c>
      <c r="V3845" s="8"/>
      <c r="W3845" s="8"/>
      <c r="X3845" s="8"/>
      <c r="Y3845" s="8"/>
      <c r="Z3845" s="8"/>
    </row>
    <row r="3846" spans="1:26" ht="12.75">
      <c r="A3846" s="11">
        <v>43747.138506944444</v>
      </c>
      <c r="B3846" s="12" t="str">
        <f>HYPERLINK("https://twitter.com/efe_torunu9","@efe_torunu9")</f>
        <v>@efe_torunu9</v>
      </c>
      <c r="C3846" s="7" t="s">
        <v>20293</v>
      </c>
      <c r="D3846" s="7" t="s">
        <v>20294</v>
      </c>
      <c r="E3846" s="12" t="str">
        <f>HYPERLINK("https://twitter.com/efe_torunu9/status/1181876824445521920","1181876824445521920")</f>
        <v>1181876824445521920</v>
      </c>
      <c r="F3846" s="8"/>
      <c r="G3846" s="14" t="s">
        <v>20295</v>
      </c>
      <c r="H3846" s="8"/>
      <c r="I3846" s="15">
        <v>0</v>
      </c>
      <c r="J3846" s="15">
        <v>0</v>
      </c>
      <c r="K3846" s="12" t="str">
        <f>HYPERLINK("http://twitter.com/download/iphone","Twitter for iPhone")</f>
        <v>Twitter for iPhone</v>
      </c>
      <c r="L3846" s="16">
        <v>2108</v>
      </c>
      <c r="M3846" s="16">
        <v>3652</v>
      </c>
      <c r="N3846" s="16">
        <v>0</v>
      </c>
      <c r="O3846" s="17"/>
      <c r="P3846" s="18">
        <v>43168.227418981478</v>
      </c>
      <c r="Q3846" s="7"/>
      <c r="R3846" s="7" t="s">
        <v>20296</v>
      </c>
      <c r="S3846" s="8"/>
      <c r="T3846" s="8"/>
      <c r="U3846" s="19" t="str">
        <f>HYPERLINK("https://pbs.twimg.com/profile_images/1145696452116717570/b4Q_2PY6.png","View")</f>
        <v>View</v>
      </c>
      <c r="V3846" s="8"/>
      <c r="W3846" s="8"/>
      <c r="X3846" s="8"/>
      <c r="Y3846" s="8"/>
      <c r="Z3846" s="8"/>
    </row>
    <row r="3847" spans="1:26" ht="12.75">
      <c r="A3847" s="11">
        <v>43747.138449074075</v>
      </c>
      <c r="B3847" s="12" t="str">
        <f>HYPERLINK("https://twitter.com/BulentHakbilen","@BulentHakbilen")</f>
        <v>@BulentHakbilen</v>
      </c>
      <c r="C3847" s="7" t="s">
        <v>20297</v>
      </c>
      <c r="D3847" s="7" t="s">
        <v>20298</v>
      </c>
      <c r="E3847" s="12" t="str">
        <f>HYPERLINK("https://twitter.com/BulentHakbilen/status/1181876801934639109","1181876801934639109")</f>
        <v>1181876801934639109</v>
      </c>
      <c r="F3847" s="8"/>
      <c r="G3847" s="7"/>
      <c r="H3847" s="8"/>
      <c r="I3847" s="15">
        <v>0</v>
      </c>
      <c r="J3847" s="15">
        <v>2</v>
      </c>
      <c r="K3847" s="12" t="str">
        <f>HYPERLINK("http://twitter.com/download/iphone","Twitter for iPhone")</f>
        <v>Twitter for iPhone</v>
      </c>
      <c r="L3847" s="16">
        <v>2495</v>
      </c>
      <c r="M3847" s="16">
        <v>2200</v>
      </c>
      <c r="N3847" s="16">
        <v>0</v>
      </c>
      <c r="O3847" s="17"/>
      <c r="P3847" s="18">
        <v>42365.627453703702</v>
      </c>
      <c r="Q3847" s="7" t="s">
        <v>287</v>
      </c>
      <c r="R3847" s="7" t="s">
        <v>20299</v>
      </c>
      <c r="S3847" s="8"/>
      <c r="T3847" s="8"/>
      <c r="U3847" s="19" t="str">
        <f>HYPERLINK("https://pbs.twimg.com/profile_images/910060483872460800/YBaAgMl2.jpg","View")</f>
        <v>View</v>
      </c>
      <c r="V3847" s="8"/>
      <c r="W3847" s="8"/>
      <c r="X3847" s="8"/>
      <c r="Y3847" s="8"/>
      <c r="Z3847" s="8"/>
    </row>
    <row r="3848" spans="1:26" ht="12.75">
      <c r="A3848" s="11">
        <v>43747.138425925921</v>
      </c>
      <c r="B3848" s="12" t="str">
        <f>HYPERLINK("https://twitter.com/mesuthakansalih","@mesuthakansalih")</f>
        <v>@mesuthakansalih</v>
      </c>
      <c r="C3848" s="7" t="s">
        <v>20300</v>
      </c>
      <c r="D3848" s="7" t="s">
        <v>20301</v>
      </c>
      <c r="E3848" s="12" t="str">
        <f>HYPERLINK("https://twitter.com/mesuthakansalih/status/1181876791885094912","1181876791885094912")</f>
        <v>1181876791885094912</v>
      </c>
      <c r="F3848" s="8"/>
      <c r="G3848" s="7"/>
      <c r="H3848" s="8"/>
      <c r="I3848" s="15">
        <v>0</v>
      </c>
      <c r="J3848" s="15">
        <v>0</v>
      </c>
      <c r="K3848" s="12" t="str">
        <f>HYPERLINK("http://twitter.com/download/android","Twitter for Android")</f>
        <v>Twitter for Android</v>
      </c>
      <c r="L3848" s="16">
        <v>136</v>
      </c>
      <c r="M3848" s="16">
        <v>90</v>
      </c>
      <c r="N3848" s="16">
        <v>0</v>
      </c>
      <c r="O3848" s="17"/>
      <c r="P3848" s="18">
        <v>42571.090312500004</v>
      </c>
      <c r="Q3848" s="7" t="s">
        <v>20302</v>
      </c>
      <c r="R3848" s="7" t="s">
        <v>20303</v>
      </c>
      <c r="S3848" s="8"/>
      <c r="T3848" s="8"/>
      <c r="U3848" s="19" t="str">
        <f>HYPERLINK("https://pbs.twimg.com/profile_images/1181875124561154048/1LEQTXTx.jpg","View")</f>
        <v>View</v>
      </c>
      <c r="V3848" s="8"/>
      <c r="W3848" s="8"/>
      <c r="X3848" s="8"/>
      <c r="Y3848" s="8"/>
      <c r="Z3848" s="8"/>
    </row>
    <row r="3849" spans="1:26" ht="12.75">
      <c r="A3849" s="11">
        <v>43747.138414351852</v>
      </c>
      <c r="B3849" s="12" t="str">
        <f>HYPERLINK("https://twitter.com/RizeJust","@RizeJust")</f>
        <v>@RizeJust</v>
      </c>
      <c r="C3849" s="7" t="s">
        <v>20304</v>
      </c>
      <c r="D3849" s="7" t="s">
        <v>20305</v>
      </c>
      <c r="E3849" s="12" t="str">
        <f>HYPERLINK("https://twitter.com/RizeJust/status/1181876791033700352","1181876791033700352")</f>
        <v>1181876791033700352</v>
      </c>
      <c r="F3849" s="8"/>
      <c r="G3849" s="7"/>
      <c r="H3849" s="8"/>
      <c r="I3849" s="15">
        <v>0</v>
      </c>
      <c r="J3849" s="15">
        <v>0</v>
      </c>
      <c r="K3849" s="12" t="str">
        <f>HYPERLINK("http://twitter.com/download/iphone","Twitter for iPhone")</f>
        <v>Twitter for iPhone</v>
      </c>
      <c r="L3849" s="16">
        <v>15</v>
      </c>
      <c r="M3849" s="16">
        <v>109</v>
      </c>
      <c r="N3849" s="16">
        <v>0</v>
      </c>
      <c r="O3849" s="17"/>
      <c r="P3849" s="18">
        <v>43602.132118055553</v>
      </c>
      <c r="Q3849" s="7"/>
      <c r="R3849" s="7" t="s">
        <v>20306</v>
      </c>
      <c r="S3849" s="15"/>
      <c r="T3849" s="8"/>
      <c r="U3849" s="19" t="str">
        <f>HYPERLINK("https://pbs.twimg.com/profile_images/1129328561855315969/0s9AxyM3.jpg","View")</f>
        <v>View</v>
      </c>
      <c r="V3849" s="8"/>
      <c r="W3849" s="8"/>
      <c r="X3849" s="8"/>
      <c r="Y3849" s="8"/>
      <c r="Z3849" s="8"/>
    </row>
    <row r="3850" spans="1:26" ht="12.75">
      <c r="A3850" s="11">
        <v>43747.138391203705</v>
      </c>
      <c r="B3850" s="12" t="str">
        <f>HYPERLINK("https://twitter.com/muratakmurad","@muratakmurad")</f>
        <v>@muratakmurad</v>
      </c>
      <c r="C3850" s="7" t="s">
        <v>10288</v>
      </c>
      <c r="D3850" s="7" t="s">
        <v>20307</v>
      </c>
      <c r="E3850" s="12" t="str">
        <f>HYPERLINK("https://twitter.com/muratakmurad/status/1181876780073996288","1181876780073996288")</f>
        <v>1181876780073996288</v>
      </c>
      <c r="F3850" s="8"/>
      <c r="G3850" s="7"/>
      <c r="H3850" s="8"/>
      <c r="I3850" s="15">
        <v>0</v>
      </c>
      <c r="J3850" s="15">
        <v>0</v>
      </c>
      <c r="K3850" s="12" t="str">
        <f>HYPERLINK("http://twitter.com/download/iphone","Twitter for iPhone")</f>
        <v>Twitter for iPhone</v>
      </c>
      <c r="L3850" s="16">
        <v>6</v>
      </c>
      <c r="M3850" s="16">
        <v>11</v>
      </c>
      <c r="N3850" s="16">
        <v>0</v>
      </c>
      <c r="O3850" s="17"/>
      <c r="P3850" s="18">
        <v>43739.066608796296</v>
      </c>
      <c r="Q3850" s="7" t="s">
        <v>313</v>
      </c>
      <c r="R3850" s="7" t="s">
        <v>20308</v>
      </c>
      <c r="S3850" s="8"/>
      <c r="T3850" s="8"/>
      <c r="U3850" s="19" t="str">
        <f>HYPERLINK("https://pbs.twimg.com/profile_images/1178953253050097665/MrXxwyJV.jpg","View")</f>
        <v>View</v>
      </c>
      <c r="V3850" s="8"/>
      <c r="W3850" s="8"/>
      <c r="X3850" s="8"/>
      <c r="Y3850" s="8"/>
      <c r="Z3850" s="8"/>
    </row>
    <row r="3851" spans="1:26" ht="12.75">
      <c r="A3851" s="11">
        <v>43747.138344907406</v>
      </c>
      <c r="B3851" s="12" t="str">
        <f>HYPERLINK("https://twitter.com/mfariskaya","@mfariskaya")</f>
        <v>@mfariskaya</v>
      </c>
      <c r="C3851" s="7" t="s">
        <v>20309</v>
      </c>
      <c r="D3851" s="7" t="s">
        <v>160</v>
      </c>
      <c r="E3851" s="12" t="str">
        <f>HYPERLINK("https://twitter.com/mfariskaya/status/1181876764139835392","1181876764139835392")</f>
        <v>1181876764139835392</v>
      </c>
      <c r="F3851" s="8"/>
      <c r="G3851" s="14" t="s">
        <v>20310</v>
      </c>
      <c r="H3851" s="8"/>
      <c r="I3851" s="15">
        <v>0</v>
      </c>
      <c r="J3851" s="15">
        <v>0</v>
      </c>
      <c r="K3851" s="12" t="str">
        <f>HYPERLINK("https://mobile.twitter.com","Twitter Web App")</f>
        <v>Twitter Web App</v>
      </c>
      <c r="L3851" s="16">
        <v>19</v>
      </c>
      <c r="M3851" s="16">
        <v>26</v>
      </c>
      <c r="N3851" s="16">
        <v>0</v>
      </c>
      <c r="O3851" s="17"/>
      <c r="P3851" s="18">
        <v>42347.572384259256</v>
      </c>
      <c r="Q3851" s="7"/>
      <c r="R3851" s="7"/>
      <c r="S3851" s="14" t="s">
        <v>20311</v>
      </c>
      <c r="T3851" s="8"/>
      <c r="U3851" s="19" t="str">
        <f>HYPERLINK("https://pbs.twimg.com/profile_images/1181490847612854274/PUfI6hZN.jpg","View")</f>
        <v>View</v>
      </c>
      <c r="V3851" s="8"/>
      <c r="W3851" s="8"/>
      <c r="X3851" s="8"/>
      <c r="Y3851" s="8"/>
      <c r="Z3851" s="8"/>
    </row>
    <row r="3852" spans="1:26" ht="12.75">
      <c r="A3852" s="11">
        <v>43747.138310185182</v>
      </c>
      <c r="B3852" s="12" t="str">
        <f>HYPERLINK("https://twitter.com/Charleskh111","@Charleskh111")</f>
        <v>@Charleskh111</v>
      </c>
      <c r="C3852" s="7" t="s">
        <v>20312</v>
      </c>
      <c r="D3852" s="7" t="s">
        <v>20313</v>
      </c>
      <c r="E3852" s="12" t="str">
        <f>HYPERLINK("https://twitter.com/Charleskh111/status/1181876750290210817","1181876750290210817")</f>
        <v>1181876750290210817</v>
      </c>
      <c r="F3852" s="14" t="s">
        <v>20314</v>
      </c>
      <c r="G3852" s="7"/>
      <c r="H3852" s="8"/>
      <c r="I3852" s="15">
        <v>0</v>
      </c>
      <c r="J3852" s="15">
        <v>0</v>
      </c>
      <c r="K3852" s="12" t="str">
        <f>HYPERLINK("https://mobile.twitter.com","Twitter Web App")</f>
        <v>Twitter Web App</v>
      </c>
      <c r="L3852" s="16">
        <v>35</v>
      </c>
      <c r="M3852" s="16">
        <v>25</v>
      </c>
      <c r="N3852" s="16">
        <v>0</v>
      </c>
      <c r="O3852" s="17"/>
      <c r="P3852" s="18">
        <v>41134.072835648149</v>
      </c>
      <c r="Q3852" s="7" t="s">
        <v>8569</v>
      </c>
      <c r="R3852" s="7" t="s">
        <v>20315</v>
      </c>
      <c r="S3852" s="8"/>
      <c r="T3852" s="8"/>
      <c r="U3852" s="19" t="str">
        <f>HYPERLINK("https://pbs.twimg.com/profile_images/798888132020236288/OE6sgpcy.jpg","View")</f>
        <v>View</v>
      </c>
      <c r="V3852" s="8"/>
      <c r="W3852" s="8"/>
      <c r="X3852" s="8"/>
      <c r="Y3852" s="8"/>
      <c r="Z3852" s="8"/>
    </row>
    <row r="3853" spans="1:26" ht="12.75">
      <c r="A3853" s="11">
        <v>43747.138298611113</v>
      </c>
      <c r="B3853" s="12" t="str">
        <f>HYPERLINK("https://twitter.com/adem2082","@adem2082")</f>
        <v>@adem2082</v>
      </c>
      <c r="C3853" s="7" t="s">
        <v>20316</v>
      </c>
      <c r="D3853" s="7" t="s">
        <v>20317</v>
      </c>
      <c r="E3853" s="12" t="str">
        <f>HYPERLINK("https://twitter.com/adem2082/status/1181876748033695749","1181876748033695749")</f>
        <v>1181876748033695749</v>
      </c>
      <c r="F3853" s="8"/>
      <c r="G3853" s="14" t="s">
        <v>20318</v>
      </c>
      <c r="H3853" s="8"/>
      <c r="I3853" s="15">
        <v>0</v>
      </c>
      <c r="J3853" s="15">
        <v>0</v>
      </c>
      <c r="K3853" s="12" t="str">
        <f>HYPERLINK("http://twitter.com/download/iphone","Twitter for iPhone")</f>
        <v>Twitter for iPhone</v>
      </c>
      <c r="L3853" s="16">
        <v>391</v>
      </c>
      <c r="M3853" s="16">
        <v>278</v>
      </c>
      <c r="N3853" s="16">
        <v>0</v>
      </c>
      <c r="O3853" s="17"/>
      <c r="P3853" s="18">
        <v>40582.537361111114</v>
      </c>
      <c r="Q3853" s="7" t="s">
        <v>20319</v>
      </c>
      <c r="R3853" s="7" t="s">
        <v>20320</v>
      </c>
      <c r="S3853" s="15"/>
      <c r="T3853" s="8"/>
      <c r="U3853" s="19" t="str">
        <f>HYPERLINK("https://pbs.twimg.com/profile_images/816584711069896704/8O9jFWkm.jpg","View")</f>
        <v>View</v>
      </c>
      <c r="V3853" s="8"/>
      <c r="W3853" s="8"/>
      <c r="X3853" s="8"/>
      <c r="Y3853" s="8"/>
      <c r="Z3853" s="8"/>
    </row>
    <row r="3854" spans="1:26" ht="12.75">
      <c r="A3854" s="11">
        <v>43747.138275462959</v>
      </c>
      <c r="B3854" s="12" t="str">
        <f>HYPERLINK("https://twitter.com/KadSebnem","@KadSebnem")</f>
        <v>@KadSebnem</v>
      </c>
      <c r="C3854" s="7" t="s">
        <v>20321</v>
      </c>
      <c r="D3854" s="7" t="s">
        <v>20322</v>
      </c>
      <c r="E3854" s="12" t="str">
        <f>HYPERLINK("https://twitter.com/KadSebnem/status/1181876740802695168","1181876740802695168")</f>
        <v>1181876740802695168</v>
      </c>
      <c r="F3854" s="8"/>
      <c r="G3854" s="15"/>
      <c r="H3854" s="8"/>
      <c r="I3854" s="15">
        <v>0</v>
      </c>
      <c r="J3854" s="15">
        <v>0</v>
      </c>
      <c r="K3854" s="12" t="str">
        <f>HYPERLINK("http://twitter.com/download/iphone","Twitter for iPhone")</f>
        <v>Twitter for iPhone</v>
      </c>
      <c r="L3854" s="16">
        <v>8</v>
      </c>
      <c r="M3854" s="16">
        <v>13</v>
      </c>
      <c r="N3854" s="16">
        <v>0</v>
      </c>
      <c r="O3854" s="17"/>
      <c r="P3854" s="18">
        <v>43534.449988425928</v>
      </c>
      <c r="Q3854" s="7"/>
      <c r="R3854" s="7"/>
      <c r="S3854" s="15"/>
      <c r="T3854" s="8"/>
      <c r="U3854" s="19" t="str">
        <f>HYPERLINK("https://pbs.twimg.com/profile_images/1104801398078754817/gSkRDAsd.jpg","View")</f>
        <v>View</v>
      </c>
      <c r="V3854" s="8"/>
      <c r="W3854" s="8"/>
      <c r="X3854" s="8"/>
      <c r="Y3854" s="8"/>
      <c r="Z3854" s="8"/>
    </row>
    <row r="3855" spans="1:26" ht="12.75">
      <c r="A3855" s="11">
        <v>43747.138240740736</v>
      </c>
      <c r="B3855" s="12" t="str">
        <f>HYPERLINK("https://twitter.com/40yigitturk","@40yigitturk")</f>
        <v>@40yigitturk</v>
      </c>
      <c r="C3855" s="7" t="s">
        <v>20323</v>
      </c>
      <c r="D3855" s="7" t="s">
        <v>160</v>
      </c>
      <c r="E3855" s="12" t="str">
        <f>HYPERLINK("https://twitter.com/40yigitturk/status/1181876728689504256","1181876728689504256")</f>
        <v>1181876728689504256</v>
      </c>
      <c r="F3855" s="8"/>
      <c r="G3855" s="14" t="s">
        <v>20324</v>
      </c>
      <c r="H3855" s="8"/>
      <c r="I3855" s="15">
        <v>0</v>
      </c>
      <c r="J3855" s="15">
        <v>0</v>
      </c>
      <c r="K3855" s="12" t="str">
        <f>HYPERLINK("https://mobile.twitter.com","Twitter Web App")</f>
        <v>Twitter Web App</v>
      </c>
      <c r="L3855" s="16">
        <v>124</v>
      </c>
      <c r="M3855" s="16">
        <v>4</v>
      </c>
      <c r="N3855" s="16">
        <v>0</v>
      </c>
      <c r="O3855" s="17"/>
      <c r="P3855" s="18">
        <v>43393.150393518517</v>
      </c>
      <c r="Q3855" s="7" t="s">
        <v>200</v>
      </c>
      <c r="R3855" s="7" t="s">
        <v>20325</v>
      </c>
      <c r="S3855" s="8"/>
      <c r="T3855" s="8"/>
      <c r="U3855" s="19" t="str">
        <f>HYPERLINK("https://pbs.twimg.com/profile_images/1053598290992943105/uI-xbbWN.jpg","View")</f>
        <v>View</v>
      </c>
      <c r="V3855" s="8"/>
      <c r="W3855" s="8"/>
      <c r="X3855" s="8"/>
      <c r="Y3855" s="8"/>
      <c r="Z3855" s="8"/>
    </row>
    <row r="3856" spans="1:26" ht="12.75">
      <c r="A3856" s="11">
        <v>43747.138182870374</v>
      </c>
      <c r="B3856" s="12" t="str">
        <f>HYPERLINK("https://twitter.com/CevikGultekin","@CevikGultekin")</f>
        <v>@CevikGultekin</v>
      </c>
      <c r="C3856" s="7" t="s">
        <v>20326</v>
      </c>
      <c r="D3856" s="7" t="s">
        <v>20327</v>
      </c>
      <c r="E3856" s="12" t="str">
        <f>HYPERLINK("https://twitter.com/CevikGultekin/status/1181876707294359553","1181876707294359553")</f>
        <v>1181876707294359553</v>
      </c>
      <c r="F3856" s="8"/>
      <c r="G3856" s="14" t="s">
        <v>20328</v>
      </c>
      <c r="H3856" s="8"/>
      <c r="I3856" s="15">
        <v>0</v>
      </c>
      <c r="J3856" s="15">
        <v>1</v>
      </c>
      <c r="K3856" s="12" t="str">
        <f>HYPERLINK("http://twitter.com/download/android","Twitter for Android")</f>
        <v>Twitter for Android</v>
      </c>
      <c r="L3856" s="16">
        <v>55</v>
      </c>
      <c r="M3856" s="16">
        <v>18</v>
      </c>
      <c r="N3856" s="16">
        <v>0</v>
      </c>
      <c r="O3856" s="17"/>
      <c r="P3856" s="18">
        <v>43124.50886574074</v>
      </c>
      <c r="Q3856" s="7"/>
      <c r="R3856" s="7"/>
      <c r="S3856" s="8"/>
      <c r="T3856" s="8"/>
      <c r="U3856" s="19" t="str">
        <f>HYPERLINK("https://pbs.twimg.com/profile_images/1073265607464902656/Y4GK2m_d.jpg","View")</f>
        <v>View</v>
      </c>
      <c r="V3856" s="8"/>
      <c r="W3856" s="8"/>
      <c r="X3856" s="8"/>
      <c r="Y3856" s="8"/>
      <c r="Z3856" s="8"/>
    </row>
    <row r="3857" spans="1:26" ht="12.75">
      <c r="A3857" s="11">
        <v>43747.138171296298</v>
      </c>
      <c r="B3857" s="12" t="str">
        <f>HYPERLINK("https://twitter.com/anilayhan35","@anilayhan35")</f>
        <v>@anilayhan35</v>
      </c>
      <c r="C3857" s="7" t="s">
        <v>20329</v>
      </c>
      <c r="D3857" s="7" t="s">
        <v>20330</v>
      </c>
      <c r="E3857" s="12" t="str">
        <f>HYPERLINK("https://twitter.com/anilayhan35/status/1181876701086846981","1181876701086846981")</f>
        <v>1181876701086846981</v>
      </c>
      <c r="F3857" s="14" t="s">
        <v>2631</v>
      </c>
      <c r="G3857" s="14" t="s">
        <v>2632</v>
      </c>
      <c r="H3857" s="8"/>
      <c r="I3857" s="15">
        <v>0</v>
      </c>
      <c r="J3857" s="15">
        <v>0</v>
      </c>
      <c r="K3857" s="12" t="str">
        <f>HYPERLINK("http://twitter.com/download/iphone","Twitter for iPhone")</f>
        <v>Twitter for iPhone</v>
      </c>
      <c r="L3857" s="16">
        <v>1259</v>
      </c>
      <c r="M3857" s="16">
        <v>238</v>
      </c>
      <c r="N3857" s="16">
        <v>3</v>
      </c>
      <c r="O3857" s="17"/>
      <c r="P3857" s="18">
        <v>40327.667939814812</v>
      </c>
      <c r="Q3857" s="7" t="s">
        <v>20331</v>
      </c>
      <c r="R3857" s="7" t="s">
        <v>20332</v>
      </c>
      <c r="S3857" s="14" t="s">
        <v>20333</v>
      </c>
      <c r="T3857" s="8"/>
      <c r="U3857" s="19" t="str">
        <f>HYPERLINK("https://pbs.twimg.com/profile_images/1139230142176354304/JlYURosr.jpg","View")</f>
        <v>View</v>
      </c>
      <c r="V3857" s="8"/>
      <c r="W3857" s="8"/>
      <c r="X3857" s="8"/>
      <c r="Y3857" s="8"/>
      <c r="Z3857" s="8"/>
    </row>
    <row r="3858" spans="1:26" ht="12.75">
      <c r="A3858" s="11">
        <v>43747.138113425928</v>
      </c>
      <c r="B3858" s="12" t="str">
        <f>HYPERLINK("https://twitter.com/WatchTheMandal1","@WatchTheMandal1")</f>
        <v>@WatchTheMandal1</v>
      </c>
      <c r="C3858" s="7" t="s">
        <v>20334</v>
      </c>
      <c r="D3858" s="7" t="s">
        <v>20335</v>
      </c>
      <c r="E3858" s="12" t="str">
        <f>HYPERLINK("https://twitter.com/WatchTheMandal1/status/1181876679636996098","1181876679636996098")</f>
        <v>1181876679636996098</v>
      </c>
      <c r="F3858" s="8"/>
      <c r="G3858" s="15"/>
      <c r="H3858" s="8"/>
      <c r="I3858" s="15">
        <v>0</v>
      </c>
      <c r="J3858" s="15">
        <v>0</v>
      </c>
      <c r="K3858" s="12" t="str">
        <f>HYPERLINK("https://mobile.twitter.com","Twitter Web App")</f>
        <v>Twitter Web App</v>
      </c>
      <c r="L3858" s="16">
        <v>0</v>
      </c>
      <c r="M3858" s="16">
        <v>8</v>
      </c>
      <c r="N3858" s="16">
        <v>0</v>
      </c>
      <c r="O3858" s="17"/>
      <c r="P3858" s="18">
        <v>43747.134988425925</v>
      </c>
      <c r="Q3858" s="7" t="s">
        <v>20336</v>
      </c>
      <c r="R3858" s="7" t="s">
        <v>20337</v>
      </c>
      <c r="S3858" s="14" t="s">
        <v>20338</v>
      </c>
      <c r="T3858" s="8"/>
      <c r="U3858" s="19" t="str">
        <f>HYPERLINK("https://pbs.twimg.com/profile_images/1181875793242120192/Zr0JJH55.jpg","View")</f>
        <v>View</v>
      </c>
      <c r="V3858" s="8"/>
      <c r="W3858" s="8"/>
      <c r="X3858" s="8"/>
      <c r="Y3858" s="8"/>
      <c r="Z3858" s="8"/>
    </row>
    <row r="3859" spans="1:26" ht="12.75">
      <c r="A3859" s="11">
        <v>43747.138101851851</v>
      </c>
      <c r="B3859" s="12" t="str">
        <f>HYPERLINK("https://twitter.com/SismanBar","@SismanBar")</f>
        <v>@SismanBar</v>
      </c>
      <c r="C3859" s="7" t="s">
        <v>20339</v>
      </c>
      <c r="D3859" s="7" t="s">
        <v>160</v>
      </c>
      <c r="E3859" s="12" t="str">
        <f>HYPERLINK("https://twitter.com/SismanBar/status/1181876675547713536","1181876675547713536")</f>
        <v>1181876675547713536</v>
      </c>
      <c r="F3859" s="8"/>
      <c r="G3859" s="14" t="s">
        <v>20340</v>
      </c>
      <c r="H3859" s="8"/>
      <c r="I3859" s="15">
        <v>0</v>
      </c>
      <c r="J3859" s="15">
        <v>0</v>
      </c>
      <c r="K3859" s="12" t="str">
        <f>HYPERLINK("http://twitter.com/download/android","Twitter for Android")</f>
        <v>Twitter for Android</v>
      </c>
      <c r="L3859" s="16">
        <v>0</v>
      </c>
      <c r="M3859" s="16">
        <v>31</v>
      </c>
      <c r="N3859" s="16">
        <v>0</v>
      </c>
      <c r="O3859" s="17"/>
      <c r="P3859" s="18">
        <v>42124.599027777775</v>
      </c>
      <c r="Q3859" s="7"/>
      <c r="R3859" s="7"/>
      <c r="S3859" s="8"/>
      <c r="T3859" s="8"/>
      <c r="U3859" s="20" t="s">
        <v>354</v>
      </c>
      <c r="V3859" s="8"/>
      <c r="W3859" s="8"/>
      <c r="X3859" s="8"/>
      <c r="Y3859" s="8"/>
      <c r="Z3859" s="8"/>
    </row>
    <row r="3860" spans="1:26" ht="12.75">
      <c r="A3860" s="11">
        <v>43747.138101851851</v>
      </c>
      <c r="B3860" s="12" t="str">
        <f>HYPERLINK("https://twitter.com/tahakkumsuz","@tahakkumsuz")</f>
        <v>@tahakkumsuz</v>
      </c>
      <c r="C3860" s="7" t="s">
        <v>20341</v>
      </c>
      <c r="D3860" s="7" t="s">
        <v>20342</v>
      </c>
      <c r="E3860" s="12" t="str">
        <f>HYPERLINK("https://twitter.com/tahakkumsuz/status/1181876674545278976","1181876674545278976")</f>
        <v>1181876674545278976</v>
      </c>
      <c r="F3860" s="7"/>
      <c r="G3860" s="15"/>
      <c r="H3860" s="8"/>
      <c r="I3860" s="15">
        <v>0</v>
      </c>
      <c r="J3860" s="15">
        <v>0</v>
      </c>
      <c r="K3860" s="12" t="str">
        <f>HYPERLINK("http://twitter.com/download/android","Twitter for Android")</f>
        <v>Twitter for Android</v>
      </c>
      <c r="L3860" s="16">
        <v>18</v>
      </c>
      <c r="M3860" s="16">
        <v>103</v>
      </c>
      <c r="N3860" s="16">
        <v>0</v>
      </c>
      <c r="O3860" s="17"/>
      <c r="P3860" s="18">
        <v>43743.589513888888</v>
      </c>
      <c r="Q3860" s="7"/>
      <c r="R3860" s="13" t="s">
        <v>20343</v>
      </c>
      <c r="S3860" s="8"/>
      <c r="T3860" s="8"/>
      <c r="U3860" s="19" t="str">
        <f>HYPERLINK("https://pbs.twimg.com/profile_images/1180590958590562308/HyG1kLjL.jpg","View")</f>
        <v>View</v>
      </c>
      <c r="V3860" s="8"/>
      <c r="W3860" s="8"/>
      <c r="X3860" s="8"/>
      <c r="Y3860" s="8"/>
      <c r="Z3860" s="8"/>
    </row>
    <row r="3861" spans="1:26" ht="12.75">
      <c r="A3861" s="11">
        <v>43747.138020833328</v>
      </c>
      <c r="B3861" s="12" t="str">
        <f>HYPERLINK("https://twitter.com/YolTV","@YolTV")</f>
        <v>@YolTV</v>
      </c>
      <c r="C3861" s="7" t="s">
        <v>20344</v>
      </c>
      <c r="D3861" s="7" t="s">
        <v>16879</v>
      </c>
      <c r="E3861" s="12" t="str">
        <f>HYPERLINK("https://twitter.com/YolTV/status/1181876646942576640","1181876646942576640")</f>
        <v>1181876646942576640</v>
      </c>
      <c r="F3861" s="14" t="s">
        <v>20345</v>
      </c>
      <c r="G3861" s="14" t="s">
        <v>20346</v>
      </c>
      <c r="H3861" s="8"/>
      <c r="I3861" s="15">
        <v>2</v>
      </c>
      <c r="J3861" s="15">
        <v>2</v>
      </c>
      <c r="K3861" s="12" t="str">
        <f>HYPERLINK("https://mobile.twitter.com","Twitter Web App")</f>
        <v>Twitter Web App</v>
      </c>
      <c r="L3861" s="16">
        <v>101388</v>
      </c>
      <c r="M3861" s="16">
        <v>2</v>
      </c>
      <c r="N3861" s="16">
        <v>196</v>
      </c>
      <c r="O3861" s="17"/>
      <c r="P3861" s="18">
        <v>42293.507789351846</v>
      </c>
      <c r="Q3861" s="7"/>
      <c r="R3861" s="7" t="s">
        <v>20347</v>
      </c>
      <c r="S3861" s="14" t="s">
        <v>20348</v>
      </c>
      <c r="T3861" s="8"/>
      <c r="U3861" s="19" t="str">
        <f>HYPERLINK("https://pbs.twimg.com/profile_images/1133105368635195393/dGYZIpT3.png","View")</f>
        <v>View</v>
      </c>
      <c r="V3861" s="8"/>
      <c r="W3861" s="8"/>
      <c r="X3861" s="8"/>
      <c r="Y3861" s="8"/>
      <c r="Z3861" s="8"/>
    </row>
    <row r="3862" spans="1:26" ht="12.75">
      <c r="A3862" s="11">
        <v>43747.137997685189</v>
      </c>
      <c r="B3862" s="12" t="str">
        <f>HYPERLINK("https://twitter.com/Bayrakci_","@Bayrakci_")</f>
        <v>@Bayrakci_</v>
      </c>
      <c r="C3862" s="7" t="s">
        <v>20349</v>
      </c>
      <c r="D3862" s="7" t="s">
        <v>20350</v>
      </c>
      <c r="E3862" s="12" t="str">
        <f>HYPERLINK("https://twitter.com/Bayrakci_/status/1181876637484408837","1181876637484408837")</f>
        <v>1181876637484408837</v>
      </c>
      <c r="F3862" s="8"/>
      <c r="G3862" s="7"/>
      <c r="H3862" s="8"/>
      <c r="I3862" s="15">
        <v>0</v>
      </c>
      <c r="J3862" s="15">
        <v>0</v>
      </c>
      <c r="K3862" s="12" t="str">
        <f>HYPERLINK("http://twitter.com/download/android","Twitter for Android")</f>
        <v>Twitter for Android</v>
      </c>
      <c r="L3862" s="16">
        <v>3299</v>
      </c>
      <c r="M3862" s="16">
        <v>4382</v>
      </c>
      <c r="N3862" s="16">
        <v>1</v>
      </c>
      <c r="O3862" s="17"/>
      <c r="P3862" s="18">
        <v>43209.46806712963</v>
      </c>
      <c r="Q3862" s="7" t="s">
        <v>200</v>
      </c>
      <c r="R3862" s="7"/>
      <c r="S3862" s="8"/>
      <c r="T3862" s="8"/>
      <c r="U3862" s="19" t="str">
        <f>HYPERLINK("https://pbs.twimg.com/profile_images/1173165445748285440/qUBsxAyK.jpg","View")</f>
        <v>View</v>
      </c>
      <c r="V3862" s="8"/>
      <c r="W3862" s="8"/>
      <c r="X3862" s="8"/>
      <c r="Y3862" s="8"/>
      <c r="Z3862" s="8"/>
    </row>
    <row r="3863" spans="1:26" ht="12.75">
      <c r="A3863" s="11">
        <v>43747.137916666667</v>
      </c>
      <c r="B3863" s="12" t="str">
        <f>HYPERLINK("https://twitter.com/bilgekagannnnn","@bilgekagannnnn")</f>
        <v>@bilgekagannnnn</v>
      </c>
      <c r="C3863" s="7" t="s">
        <v>20351</v>
      </c>
      <c r="D3863" s="7" t="s">
        <v>20352</v>
      </c>
      <c r="E3863" s="12" t="str">
        <f>HYPERLINK("https://twitter.com/bilgekagannnnn/status/1181876607893610498","1181876607893610498")</f>
        <v>1181876607893610498</v>
      </c>
      <c r="F3863" s="8"/>
      <c r="G3863" s="14" t="s">
        <v>20353</v>
      </c>
      <c r="H3863" s="8"/>
      <c r="I3863" s="15">
        <v>0</v>
      </c>
      <c r="J3863" s="15">
        <v>0</v>
      </c>
      <c r="K3863" s="12" t="str">
        <f>HYPERLINK("http://twitter.com/download/android","Twitter for Android")</f>
        <v>Twitter for Android</v>
      </c>
      <c r="L3863" s="16">
        <v>71</v>
      </c>
      <c r="M3863" s="16">
        <v>300</v>
      </c>
      <c r="N3863" s="16">
        <v>0</v>
      </c>
      <c r="O3863" s="17"/>
      <c r="P3863" s="18">
        <v>41400.574583333335</v>
      </c>
      <c r="Q3863" s="7"/>
      <c r="R3863" s="7"/>
      <c r="S3863" s="8"/>
      <c r="T3863" s="8"/>
      <c r="U3863" s="19" t="str">
        <f>HYPERLINK("https://pbs.twimg.com/profile_images/1075072198216429568/cu_zkZRX.jpg","View")</f>
        <v>View</v>
      </c>
      <c r="V3863" s="8"/>
      <c r="W3863" s="8"/>
      <c r="X3863" s="8"/>
      <c r="Y3863" s="8"/>
      <c r="Z3863" s="8"/>
    </row>
    <row r="3864" spans="1:26" ht="12.75">
      <c r="A3864" s="11">
        <v>43747.13789351852</v>
      </c>
      <c r="B3864" s="12" t="str">
        <f>HYPERLINK("https://twitter.com/alikeskin_tr","@alikeskin_tr")</f>
        <v>@alikeskin_tr</v>
      </c>
      <c r="C3864" s="7" t="s">
        <v>20354</v>
      </c>
      <c r="D3864" s="7" t="s">
        <v>19868</v>
      </c>
      <c r="E3864" s="12" t="str">
        <f>HYPERLINK("https://twitter.com/alikeskin_tr/status/1181876599542685697","1181876599542685697")</f>
        <v>1181876599542685697</v>
      </c>
      <c r="F3864" s="15"/>
      <c r="G3864" s="14" t="s">
        <v>13996</v>
      </c>
      <c r="H3864" s="8"/>
      <c r="I3864" s="15">
        <v>14</v>
      </c>
      <c r="J3864" s="15">
        <v>77</v>
      </c>
      <c r="K3864" s="12" t="str">
        <f>HYPERLINK("http://twitter.com/download/iphone","Twitter for iPhone")</f>
        <v>Twitter for iPhone</v>
      </c>
      <c r="L3864" s="16">
        <v>521327</v>
      </c>
      <c r="M3864" s="16">
        <v>446453</v>
      </c>
      <c r="N3864" s="16">
        <v>323</v>
      </c>
      <c r="O3864" s="17" t="s">
        <v>984</v>
      </c>
      <c r="P3864" s="18">
        <v>40899.930208333331</v>
      </c>
      <c r="Q3864" s="7" t="s">
        <v>200</v>
      </c>
      <c r="R3864" s="7" t="s">
        <v>20355</v>
      </c>
      <c r="S3864" s="14" t="s">
        <v>20356</v>
      </c>
      <c r="T3864" s="8"/>
      <c r="U3864" s="19" t="str">
        <f>HYPERLINK("https://pbs.twimg.com/profile_images/1181737870584946689/1mj24-hc.jpg","View")</f>
        <v>View</v>
      </c>
      <c r="V3864" s="8"/>
      <c r="W3864" s="8"/>
      <c r="X3864" s="8"/>
      <c r="Y3864" s="8"/>
      <c r="Z3864" s="8"/>
    </row>
    <row r="3865" spans="1:26" ht="12.75">
      <c r="A3865" s="11">
        <v>43747.137870370367</v>
      </c>
      <c r="B3865" s="12" t="str">
        <f>HYPERLINK("https://twitter.com/feministlerdenn","@feministlerdenn")</f>
        <v>@feministlerdenn</v>
      </c>
      <c r="C3865" s="7" t="s">
        <v>20357</v>
      </c>
      <c r="D3865" s="7" t="s">
        <v>20358</v>
      </c>
      <c r="E3865" s="12" t="str">
        <f>HYPERLINK("https://twitter.com/feministlerdenn/status/1181876592043347968","1181876592043347968")</f>
        <v>1181876592043347968</v>
      </c>
      <c r="F3865" s="8"/>
      <c r="G3865" s="15"/>
      <c r="H3865" s="8"/>
      <c r="I3865" s="15">
        <v>0</v>
      </c>
      <c r="J3865" s="15">
        <v>0</v>
      </c>
      <c r="K3865" s="12" t="str">
        <f>HYPERLINK("http://twitter.com/download/android","Twitter for Android")</f>
        <v>Twitter for Android</v>
      </c>
      <c r="L3865" s="16">
        <v>62</v>
      </c>
      <c r="M3865" s="16">
        <v>34</v>
      </c>
      <c r="N3865" s="16">
        <v>0</v>
      </c>
      <c r="O3865" s="17"/>
      <c r="P3865" s="18">
        <v>43588.635752314818</v>
      </c>
      <c r="Q3865" s="7" t="s">
        <v>313</v>
      </c>
      <c r="R3865" s="7" t="s">
        <v>20359</v>
      </c>
      <c r="S3865" s="14" t="s">
        <v>20360</v>
      </c>
      <c r="T3865" s="8"/>
      <c r="U3865" s="19" t="str">
        <f>HYPERLINK("https://pbs.twimg.com/profile_images/1124438475401572352/H1MeB9te.jpg","View")</f>
        <v>View</v>
      </c>
      <c r="V3865" s="8"/>
      <c r="W3865" s="8"/>
      <c r="X3865" s="8"/>
      <c r="Y3865" s="8"/>
      <c r="Z3865" s="8"/>
    </row>
    <row r="3866" spans="1:26" ht="12.75">
      <c r="A3866" s="11">
        <v>43747.137824074074</v>
      </c>
      <c r="B3866" s="12" t="str">
        <f>HYPERLINK("https://twitter.com/adnangunnar","@adnangunnar")</f>
        <v>@adnangunnar</v>
      </c>
      <c r="C3866" s="7" t="s">
        <v>20361</v>
      </c>
      <c r="D3866" s="7" t="s">
        <v>17494</v>
      </c>
      <c r="E3866" s="12" t="str">
        <f>HYPERLINK("https://twitter.com/adnangunnar/status/1181876576088145921","1181876576088145921")</f>
        <v>1181876576088145921</v>
      </c>
      <c r="F3866" s="8"/>
      <c r="G3866" s="14" t="s">
        <v>20362</v>
      </c>
      <c r="H3866" s="8"/>
      <c r="I3866" s="15">
        <v>2</v>
      </c>
      <c r="J3866" s="15">
        <v>3</v>
      </c>
      <c r="K3866" s="12" t="str">
        <f>HYPERLINK("http://twitter.com/download/iphone","Twitter for iPhone")</f>
        <v>Twitter for iPhone</v>
      </c>
      <c r="L3866" s="16">
        <v>26256</v>
      </c>
      <c r="M3866" s="16">
        <v>589</v>
      </c>
      <c r="N3866" s="16">
        <v>56</v>
      </c>
      <c r="O3866" s="17" t="s">
        <v>984</v>
      </c>
      <c r="P3866" s="18">
        <v>40161.542569444442</v>
      </c>
      <c r="Q3866" s="7" t="s">
        <v>7733</v>
      </c>
      <c r="R3866" s="7" t="s">
        <v>20363</v>
      </c>
      <c r="S3866" s="8"/>
      <c r="T3866" s="8"/>
      <c r="U3866" s="19" t="str">
        <f>HYPERLINK("https://pbs.twimg.com/profile_images/1151819838794416128/QSXNM3pF.jpg","View")</f>
        <v>View</v>
      </c>
      <c r="V3866" s="8"/>
      <c r="W3866" s="8"/>
      <c r="X3866" s="8"/>
      <c r="Y3866" s="8"/>
      <c r="Z3866" s="8"/>
    </row>
    <row r="3867" spans="1:26" ht="12.75">
      <c r="A3867" s="11">
        <v>43747.137777777782</v>
      </c>
      <c r="B3867" s="12" t="str">
        <f>HYPERLINK("https://twitter.com/ilyasGr13","@ilyasGr13")</f>
        <v>@ilyasGr13</v>
      </c>
      <c r="C3867" s="7" t="s">
        <v>20364</v>
      </c>
      <c r="D3867" s="7" t="s">
        <v>20365</v>
      </c>
      <c r="E3867" s="12" t="str">
        <f>HYPERLINK("https://twitter.com/ilyasGr13/status/1181876558518243329","1181876558518243329")</f>
        <v>1181876558518243329</v>
      </c>
      <c r="F3867" s="8"/>
      <c r="G3867" s="14" t="s">
        <v>20366</v>
      </c>
      <c r="H3867" s="8"/>
      <c r="I3867" s="15">
        <v>0</v>
      </c>
      <c r="J3867" s="15">
        <v>0</v>
      </c>
      <c r="K3867" s="12" t="str">
        <f>HYPERLINK("http://twitter.com/download/iphone","Twitter for iPhone")</f>
        <v>Twitter for iPhone</v>
      </c>
      <c r="L3867" s="16">
        <v>12</v>
      </c>
      <c r="M3867" s="16">
        <v>76</v>
      </c>
      <c r="N3867" s="16">
        <v>0</v>
      </c>
      <c r="O3867" s="17"/>
      <c r="P3867" s="18">
        <v>43714.604583333334</v>
      </c>
      <c r="Q3867" s="7"/>
      <c r="R3867" s="7"/>
      <c r="S3867" s="8"/>
      <c r="T3867" s="8"/>
      <c r="U3867" s="19" t="str">
        <f>HYPERLINK("https://pbs.twimg.com/profile_images/1170089527316275201/J25GY9w6.jpg","View")</f>
        <v>View</v>
      </c>
      <c r="V3867" s="8"/>
      <c r="W3867" s="8"/>
      <c r="X3867" s="8"/>
      <c r="Y3867" s="8"/>
      <c r="Z3867" s="8"/>
    </row>
    <row r="3868" spans="1:26" ht="12.75">
      <c r="A3868" s="11">
        <v>43747.137754629628</v>
      </c>
      <c r="B3868" s="12" t="str">
        <f>HYPERLINK("https://twitter.com/Musmutluysamhep","@Musmutluysamhep")</f>
        <v>@Musmutluysamhep</v>
      </c>
      <c r="C3868" s="7" t="s">
        <v>20367</v>
      </c>
      <c r="D3868" s="7" t="s">
        <v>20368</v>
      </c>
      <c r="E3868" s="12" t="str">
        <f>HYPERLINK("https://twitter.com/Musmutluysamhep/status/1181876552151244800","1181876552151244800")</f>
        <v>1181876552151244800</v>
      </c>
      <c r="F3868" s="14" t="s">
        <v>20369</v>
      </c>
      <c r="G3868" s="14" t="s">
        <v>20370</v>
      </c>
      <c r="H3868" s="8"/>
      <c r="I3868" s="15">
        <v>0</v>
      </c>
      <c r="J3868" s="15">
        <v>1</v>
      </c>
      <c r="K3868" s="12" t="str">
        <f>HYPERLINK("http://twitter.com/download/iphone","Twitter for iPhone")</f>
        <v>Twitter for iPhone</v>
      </c>
      <c r="L3868" s="16">
        <v>242</v>
      </c>
      <c r="M3868" s="16">
        <v>27</v>
      </c>
      <c r="N3868" s="16">
        <v>0</v>
      </c>
      <c r="O3868" s="17"/>
      <c r="P3868" s="18">
        <v>43460.016157407408</v>
      </c>
      <c r="Q3868" s="7"/>
      <c r="R3868" s="7" t="s">
        <v>20371</v>
      </c>
      <c r="S3868" s="14" t="s">
        <v>20372</v>
      </c>
      <c r="T3868" s="8"/>
      <c r="U3868" s="19" t="str">
        <f>HYPERLINK("https://pbs.twimg.com/profile_images/1158974831897010176/bTTzC78t.jpg","View")</f>
        <v>View</v>
      </c>
      <c r="V3868" s="8"/>
      <c r="W3868" s="8"/>
      <c r="X3868" s="8"/>
      <c r="Y3868" s="8"/>
      <c r="Z3868" s="8"/>
    </row>
    <row r="3869" spans="1:26" ht="12.75">
      <c r="A3869" s="11">
        <v>43747.137719907405</v>
      </c>
      <c r="B3869" s="12" t="str">
        <f>HYPERLINK("https://twitter.com/safaalisar2","@safaalisar2")</f>
        <v>@safaalisar2</v>
      </c>
      <c r="C3869" s="7" t="s">
        <v>20373</v>
      </c>
      <c r="D3869" s="7" t="s">
        <v>160</v>
      </c>
      <c r="E3869" s="12" t="str">
        <f>HYPERLINK("https://twitter.com/safaalisar2/status/1181876536829513729","1181876536829513729")</f>
        <v>1181876536829513729</v>
      </c>
      <c r="F3869" s="8"/>
      <c r="G3869" s="14" t="s">
        <v>20374</v>
      </c>
      <c r="H3869" s="8"/>
      <c r="I3869" s="15">
        <v>0</v>
      </c>
      <c r="J3869" s="15">
        <v>1</v>
      </c>
      <c r="K3869" s="12" t="str">
        <f>HYPERLINK("http://twitter.com/download/android","Twitter for Android")</f>
        <v>Twitter for Android</v>
      </c>
      <c r="L3869" s="16">
        <v>28</v>
      </c>
      <c r="M3869" s="16">
        <v>135</v>
      </c>
      <c r="N3869" s="16">
        <v>0</v>
      </c>
      <c r="O3869" s="17"/>
      <c r="P3869" s="18">
        <v>43251.222951388889</v>
      </c>
      <c r="Q3869" s="7" t="s">
        <v>20375</v>
      </c>
      <c r="R3869" s="7"/>
      <c r="S3869" s="8"/>
      <c r="T3869" s="8"/>
      <c r="U3869" s="19" t="str">
        <f>HYPERLINK("https://pbs.twimg.com/profile_images/1002183908488892416/MY-UXkAM.jpg","View")</f>
        <v>View</v>
      </c>
      <c r="V3869" s="8"/>
      <c r="W3869" s="8"/>
      <c r="X3869" s="8"/>
      <c r="Y3869" s="8"/>
      <c r="Z3869" s="8"/>
    </row>
    <row r="3870" spans="1:26" ht="12.75">
      <c r="A3870" s="11">
        <v>43747.137708333335</v>
      </c>
      <c r="B3870" s="12" t="str">
        <f>HYPERLINK("https://twitter.com/pikkalatte","@pikkalatte")</f>
        <v>@pikkalatte</v>
      </c>
      <c r="C3870" s="7" t="s">
        <v>20376</v>
      </c>
      <c r="D3870" s="7" t="s">
        <v>20377</v>
      </c>
      <c r="E3870" s="12" t="str">
        <f>HYPERLINK("https://twitter.com/pikkalatte/status/1181876532907794437","1181876532907794437")</f>
        <v>1181876532907794437</v>
      </c>
      <c r="F3870" s="8"/>
      <c r="G3870" s="7"/>
      <c r="H3870" s="8"/>
      <c r="I3870" s="15">
        <v>0</v>
      </c>
      <c r="J3870" s="15">
        <v>0</v>
      </c>
      <c r="K3870" s="12" t="str">
        <f>HYPERLINK("http://twitter.com/download/android","Twitter for Android")</f>
        <v>Twitter for Android</v>
      </c>
      <c r="L3870" s="16">
        <v>2965</v>
      </c>
      <c r="M3870" s="16">
        <v>69</v>
      </c>
      <c r="N3870" s="16">
        <v>5</v>
      </c>
      <c r="O3870" s="17"/>
      <c r="P3870" s="18">
        <v>42485.010150462964</v>
      </c>
      <c r="Q3870" s="7" t="s">
        <v>69</v>
      </c>
      <c r="R3870" s="7" t="s">
        <v>20378</v>
      </c>
      <c r="S3870" s="14" t="s">
        <v>20379</v>
      </c>
      <c r="T3870" s="8"/>
      <c r="U3870" s="19" t="str">
        <f>HYPERLINK("https://pbs.twimg.com/profile_images/1107008179118985216/exEuP9Oz.jpg","View")</f>
        <v>View</v>
      </c>
      <c r="V3870" s="8"/>
      <c r="W3870" s="8"/>
      <c r="X3870" s="8"/>
      <c r="Y3870" s="8"/>
      <c r="Z3870" s="8"/>
    </row>
    <row r="3871" spans="1:26" ht="12.75">
      <c r="A3871" s="11">
        <v>43747.137708333335</v>
      </c>
      <c r="B3871" s="12" t="str">
        <f>HYPERLINK("https://twitter.com/kardeleenkocak","@kardeleenkocak")</f>
        <v>@kardeleenkocak</v>
      </c>
      <c r="C3871" s="7" t="s">
        <v>20380</v>
      </c>
      <c r="D3871" s="7" t="s">
        <v>20381</v>
      </c>
      <c r="E3871" s="12" t="str">
        <f>HYPERLINK("https://twitter.com/kardeleenkocak/status/1181876532148658177","1181876532148658177")</f>
        <v>1181876532148658177</v>
      </c>
      <c r="F3871" s="8"/>
      <c r="G3871" s="15"/>
      <c r="H3871" s="8"/>
      <c r="I3871" s="15">
        <v>0</v>
      </c>
      <c r="J3871" s="15">
        <v>0</v>
      </c>
      <c r="K3871" s="12" t="str">
        <f>HYPERLINK("http://twitter.com/download/iphone","Twitter for iPhone")</f>
        <v>Twitter for iPhone</v>
      </c>
      <c r="L3871" s="16">
        <v>96</v>
      </c>
      <c r="M3871" s="16">
        <v>81</v>
      </c>
      <c r="N3871" s="16">
        <v>0</v>
      </c>
      <c r="O3871" s="17"/>
      <c r="P3871" s="18">
        <v>42826.32540509259</v>
      </c>
      <c r="Q3871" s="7" t="s">
        <v>287</v>
      </c>
      <c r="R3871" s="7" t="s">
        <v>20382</v>
      </c>
      <c r="S3871" s="8"/>
      <c r="T3871" s="8"/>
      <c r="U3871" s="19" t="str">
        <f>HYPERLINK("https://pbs.twimg.com/profile_images/1151454786748854272/V-CbI9IY.jpg","View")</f>
        <v>View</v>
      </c>
      <c r="V3871" s="8"/>
      <c r="W3871" s="8"/>
      <c r="X3871" s="8"/>
      <c r="Y3871" s="8"/>
      <c r="Z3871" s="8"/>
    </row>
    <row r="3872" spans="1:26" ht="12.75">
      <c r="A3872" s="11">
        <v>43747.137685185182</v>
      </c>
      <c r="B3872" s="12" t="str">
        <f>HYPERLINK("https://twitter.com/bkoksalh","@bkoksalh")</f>
        <v>@bkoksalh</v>
      </c>
      <c r="C3872" s="7" t="s">
        <v>20383</v>
      </c>
      <c r="D3872" s="7" t="s">
        <v>20384</v>
      </c>
      <c r="E3872" s="12" t="str">
        <f>HYPERLINK("https://twitter.com/bkoksalh/status/1181876524179509248","1181876524179509248")</f>
        <v>1181876524179509248</v>
      </c>
      <c r="F3872" s="8"/>
      <c r="G3872" s="14" t="s">
        <v>20385</v>
      </c>
      <c r="H3872" s="8"/>
      <c r="I3872" s="15">
        <v>0</v>
      </c>
      <c r="J3872" s="15">
        <v>1</v>
      </c>
      <c r="K3872" s="12" t="str">
        <f>HYPERLINK("http://twitter.com/download/android","Twitter for Android")</f>
        <v>Twitter for Android</v>
      </c>
      <c r="L3872" s="16">
        <v>338</v>
      </c>
      <c r="M3872" s="16">
        <v>90</v>
      </c>
      <c r="N3872" s="16">
        <v>0</v>
      </c>
      <c r="O3872" s="17"/>
      <c r="P3872" s="18">
        <v>40361.171331018515</v>
      </c>
      <c r="Q3872" s="7" t="s">
        <v>20386</v>
      </c>
      <c r="R3872" s="7" t="s">
        <v>20387</v>
      </c>
      <c r="S3872" s="8"/>
      <c r="T3872" s="8"/>
      <c r="U3872" s="19" t="str">
        <f>HYPERLINK("https://pbs.twimg.com/profile_images/965713481398915072/3y1btzES.jpg","View")</f>
        <v>View</v>
      </c>
      <c r="V3872" s="8"/>
      <c r="W3872" s="8"/>
      <c r="X3872" s="8"/>
      <c r="Y3872" s="8"/>
      <c r="Z3872" s="8"/>
    </row>
    <row r="3873" spans="1:26" ht="12.75">
      <c r="A3873" s="11">
        <v>43747.137662037036</v>
      </c>
      <c r="B3873" s="12" t="str">
        <f>HYPERLINK("https://twitter.com/Ogulcann1","@Ogulcann1")</f>
        <v>@Ogulcann1</v>
      </c>
      <c r="C3873" s="7" t="s">
        <v>20388</v>
      </c>
      <c r="D3873" s="7" t="s">
        <v>20389</v>
      </c>
      <c r="E3873" s="12" t="str">
        <f>HYPERLINK("https://twitter.com/Ogulcann1/status/1181876517502115840","1181876517502115840")</f>
        <v>1181876517502115840</v>
      </c>
      <c r="F3873" s="8"/>
      <c r="G3873" s="7"/>
      <c r="H3873" s="8"/>
      <c r="I3873" s="15">
        <v>0</v>
      </c>
      <c r="J3873" s="15">
        <v>0</v>
      </c>
      <c r="K3873" s="12" t="str">
        <f>HYPERLINK("http://twitter.com/download/iphone","Twitter for iPhone")</f>
        <v>Twitter for iPhone</v>
      </c>
      <c r="L3873" s="16">
        <v>1697</v>
      </c>
      <c r="M3873" s="16">
        <v>1866</v>
      </c>
      <c r="N3873" s="16">
        <v>4</v>
      </c>
      <c r="O3873" s="17"/>
      <c r="P3873" s="18">
        <v>41088.021701388891</v>
      </c>
      <c r="Q3873" s="7"/>
      <c r="R3873" s="7" t="s">
        <v>10467</v>
      </c>
      <c r="S3873" s="15"/>
      <c r="T3873" s="8"/>
      <c r="U3873" s="19" t="str">
        <f>HYPERLINK("https://pbs.twimg.com/profile_images/1179019495026954241/zMBrbvqG.jpg","View")</f>
        <v>View</v>
      </c>
      <c r="V3873" s="8"/>
      <c r="W3873" s="8"/>
      <c r="X3873" s="8"/>
      <c r="Y3873" s="8"/>
      <c r="Z3873" s="8"/>
    </row>
    <row r="3874" spans="1:26" ht="12.75">
      <c r="A3874" s="11">
        <v>43747.137650462959</v>
      </c>
      <c r="B3874" s="12" t="str">
        <f>HYPERLINK("https://twitter.com/cagri_m_han","@cagri_m_han")</f>
        <v>@cagri_m_han</v>
      </c>
      <c r="C3874" s="7" t="s">
        <v>20390</v>
      </c>
      <c r="D3874" s="7" t="s">
        <v>20391</v>
      </c>
      <c r="E3874" s="12" t="str">
        <f>HYPERLINK("https://twitter.com/cagri_m_han/status/1181876512510885888","1181876512510885888")</f>
        <v>1181876512510885888</v>
      </c>
      <c r="F3874" s="8"/>
      <c r="G3874" s="14" t="s">
        <v>20392</v>
      </c>
      <c r="H3874" s="8"/>
      <c r="I3874" s="15">
        <v>0</v>
      </c>
      <c r="J3874" s="15">
        <v>2</v>
      </c>
      <c r="K3874" s="12" t="str">
        <f>HYPERLINK("http://twitter.com/download/android","Twitter for Android")</f>
        <v>Twitter for Android</v>
      </c>
      <c r="L3874" s="16">
        <v>7938</v>
      </c>
      <c r="M3874" s="16">
        <v>7936</v>
      </c>
      <c r="N3874" s="16">
        <v>10</v>
      </c>
      <c r="O3874" s="17"/>
      <c r="P3874" s="18">
        <v>40610.320694444446</v>
      </c>
      <c r="Q3874" s="7" t="s">
        <v>10762</v>
      </c>
      <c r="R3874" s="7" t="s">
        <v>20393</v>
      </c>
      <c r="S3874" s="8"/>
      <c r="T3874" s="8"/>
      <c r="U3874" s="19" t="str">
        <f>HYPERLINK("https://pbs.twimg.com/profile_images/1099776963156283393/gh3X0FRq.jpg","View")</f>
        <v>View</v>
      </c>
      <c r="V3874" s="8"/>
      <c r="W3874" s="8"/>
      <c r="X3874" s="8"/>
      <c r="Y3874" s="8"/>
      <c r="Z3874" s="8"/>
    </row>
    <row r="3875" spans="1:26" ht="12.75">
      <c r="A3875" s="11">
        <v>43747.13762731482</v>
      </c>
      <c r="B3875" s="12" t="str">
        <f>HYPERLINK("https://twitter.com/iclal_m","@iclal_m")</f>
        <v>@iclal_m</v>
      </c>
      <c r="C3875" s="7" t="s">
        <v>20394</v>
      </c>
      <c r="D3875" s="7" t="s">
        <v>4284</v>
      </c>
      <c r="E3875" s="12" t="str">
        <f>HYPERLINK("https://twitter.com/iclal_m/status/1181876504659156992","1181876504659156992")</f>
        <v>1181876504659156992</v>
      </c>
      <c r="F3875" s="8"/>
      <c r="G3875" s="7"/>
      <c r="H3875" s="8"/>
      <c r="I3875" s="15">
        <v>0</v>
      </c>
      <c r="J3875" s="15">
        <v>0</v>
      </c>
      <c r="K3875" s="12" t="str">
        <f>HYPERLINK("http://twitter.com/download/android","Twitter for Android")</f>
        <v>Twitter for Android</v>
      </c>
      <c r="L3875" s="16">
        <v>89</v>
      </c>
      <c r="M3875" s="16">
        <v>158</v>
      </c>
      <c r="N3875" s="16">
        <v>0</v>
      </c>
      <c r="O3875" s="17"/>
      <c r="P3875" s="18">
        <v>40762.139016203706</v>
      </c>
      <c r="Q3875" s="7" t="s">
        <v>20395</v>
      </c>
      <c r="R3875" s="7" t="s">
        <v>20396</v>
      </c>
      <c r="S3875" s="15"/>
      <c r="T3875" s="8"/>
      <c r="U3875" s="19" t="str">
        <f>HYPERLINK("https://pbs.twimg.com/profile_images/1176482908653150208/dPHXEjTo.jpg","View")</f>
        <v>View</v>
      </c>
      <c r="V3875" s="8"/>
      <c r="W3875" s="8"/>
      <c r="X3875" s="8"/>
      <c r="Y3875" s="8"/>
      <c r="Z3875" s="8"/>
    </row>
    <row r="3876" spans="1:26" ht="12.75">
      <c r="A3876" s="11">
        <v>43747.137523148151</v>
      </c>
      <c r="B3876" s="12" t="str">
        <f>HYPERLINK("https://twitter.com/Mkbdyi1","@Mkbdyi1")</f>
        <v>@Mkbdyi1</v>
      </c>
      <c r="C3876" s="7" t="s">
        <v>20397</v>
      </c>
      <c r="D3876" s="7" t="s">
        <v>20398</v>
      </c>
      <c r="E3876" s="12" t="str">
        <f>HYPERLINK("https://twitter.com/Mkbdyi1/status/1181876464918159361","1181876464918159361")</f>
        <v>1181876464918159361</v>
      </c>
      <c r="F3876" s="8"/>
      <c r="G3876" s="14" t="s">
        <v>20399</v>
      </c>
      <c r="H3876" s="8"/>
      <c r="I3876" s="15">
        <v>0</v>
      </c>
      <c r="J3876" s="15">
        <v>1</v>
      </c>
      <c r="K3876" s="12" t="str">
        <f>HYPERLINK("http://twitter.com/download/android","Twitter for Android")</f>
        <v>Twitter for Android</v>
      </c>
      <c r="L3876" s="16">
        <v>18</v>
      </c>
      <c r="M3876" s="16">
        <v>42</v>
      </c>
      <c r="N3876" s="16">
        <v>0</v>
      </c>
      <c r="O3876" s="17"/>
      <c r="P3876" s="18">
        <v>42958.527824074074</v>
      </c>
      <c r="Q3876" s="7" t="s">
        <v>287</v>
      </c>
      <c r="R3876" s="7" t="s">
        <v>20400</v>
      </c>
      <c r="S3876" s="8"/>
      <c r="T3876" s="8"/>
      <c r="U3876" s="19" t="str">
        <f>HYPERLINK("https://pbs.twimg.com/profile_images/1148633770754551808/bQlbTbwk.jpg","View")</f>
        <v>View</v>
      </c>
      <c r="V3876" s="8"/>
      <c r="W3876" s="8"/>
      <c r="X3876" s="8"/>
      <c r="Y3876" s="8"/>
      <c r="Z3876" s="8"/>
    </row>
    <row r="3877" spans="1:26" ht="12.75">
      <c r="A3877" s="11">
        <v>43747.137418981481</v>
      </c>
      <c r="B3877" s="12" t="str">
        <f>HYPERLINK("https://twitter.com/smtl96","@smtl96")</f>
        <v>@smtl96</v>
      </c>
      <c r="C3877" s="7" t="s">
        <v>20401</v>
      </c>
      <c r="D3877" s="7" t="s">
        <v>160</v>
      </c>
      <c r="E3877" s="12" t="str">
        <f>HYPERLINK("https://twitter.com/smtl96/status/1181876426896748544","1181876426896748544")</f>
        <v>1181876426896748544</v>
      </c>
      <c r="F3877" s="8"/>
      <c r="G3877" s="14" t="s">
        <v>20402</v>
      </c>
      <c r="H3877" s="8"/>
      <c r="I3877" s="15">
        <v>0</v>
      </c>
      <c r="J3877" s="15">
        <v>0</v>
      </c>
      <c r="K3877" s="12" t="str">
        <f>HYPERLINK("http://twitter.com/download/android","Twitter for Android")</f>
        <v>Twitter for Android</v>
      </c>
      <c r="L3877" s="16">
        <v>638</v>
      </c>
      <c r="M3877" s="16">
        <v>1705</v>
      </c>
      <c r="N3877" s="16">
        <v>0</v>
      </c>
      <c r="O3877" s="17"/>
      <c r="P3877" s="18">
        <v>42288.025254629625</v>
      </c>
      <c r="Q3877" s="7"/>
      <c r="R3877" s="7" t="s">
        <v>20403</v>
      </c>
      <c r="S3877" s="8"/>
      <c r="T3877" s="8"/>
      <c r="U3877" s="19" t="str">
        <f>HYPERLINK("https://pbs.twimg.com/profile_images/1180527564550479872/zURGyrLb.jpg","View")</f>
        <v>View</v>
      </c>
      <c r="V3877" s="8"/>
      <c r="W3877" s="8"/>
      <c r="X3877" s="8"/>
      <c r="Y3877" s="8"/>
      <c r="Z3877" s="8"/>
    </row>
    <row r="3878" spans="1:26" ht="12.75">
      <c r="A3878" s="11">
        <v>43747.137337962966</v>
      </c>
      <c r="B3878" s="12" t="str">
        <f>HYPERLINK("https://twitter.com/kodadidabanca","@kodadidabanca")</f>
        <v>@kodadidabanca</v>
      </c>
      <c r="C3878" s="7" t="s">
        <v>20404</v>
      </c>
      <c r="D3878" s="7" t="s">
        <v>160</v>
      </c>
      <c r="E3878" s="12" t="str">
        <f>HYPERLINK("https://twitter.com/kodadidabanca/status/1181876401051488260","1181876401051488260")</f>
        <v>1181876401051488260</v>
      </c>
      <c r="F3878" s="8"/>
      <c r="G3878" s="14" t="s">
        <v>20405</v>
      </c>
      <c r="H3878" s="8"/>
      <c r="I3878" s="15">
        <v>0</v>
      </c>
      <c r="J3878" s="15">
        <v>0</v>
      </c>
      <c r="K3878" s="12" t="str">
        <f>HYPERLINK("http://twitter.com/download/android","Twitter for Android")</f>
        <v>Twitter for Android</v>
      </c>
      <c r="L3878" s="16">
        <v>5413</v>
      </c>
      <c r="M3878" s="16">
        <v>378</v>
      </c>
      <c r="N3878" s="16">
        <v>3</v>
      </c>
      <c r="O3878" s="17"/>
      <c r="P3878" s="18">
        <v>42164.485335648147</v>
      </c>
      <c r="Q3878" s="7" t="s">
        <v>20406</v>
      </c>
      <c r="R3878" s="7" t="s">
        <v>20407</v>
      </c>
      <c r="S3878" s="8"/>
      <c r="T3878" s="8"/>
      <c r="U3878" s="19" t="str">
        <f>HYPERLINK("https://pbs.twimg.com/profile_images/1160613606100279296/UotoLWXp.jpg","View")</f>
        <v>View</v>
      </c>
      <c r="V3878" s="8"/>
      <c r="W3878" s="8"/>
      <c r="X3878" s="8"/>
      <c r="Y3878" s="8"/>
      <c r="Z3878" s="8"/>
    </row>
    <row r="3879" spans="1:26" ht="12.75">
      <c r="A3879" s="11">
        <v>43747.137337962966</v>
      </c>
      <c r="B3879" s="12" t="str">
        <f>HYPERLINK("https://twitter.com/_Manas__","@_Manas__")</f>
        <v>@_Manas__</v>
      </c>
      <c r="C3879" s="7" t="s">
        <v>20408</v>
      </c>
      <c r="D3879" s="7" t="s">
        <v>20409</v>
      </c>
      <c r="E3879" s="12" t="str">
        <f>HYPERLINK("https://twitter.com/_Manas__/status/1181876398400692224","1181876398400692224")</f>
        <v>1181876398400692224</v>
      </c>
      <c r="F3879" s="8"/>
      <c r="G3879" s="7"/>
      <c r="H3879" s="8"/>
      <c r="I3879" s="15">
        <v>0</v>
      </c>
      <c r="J3879" s="15">
        <v>0</v>
      </c>
      <c r="K3879" s="12" t="str">
        <f>HYPERLINK("http://twitter.com/download/android","Twitter for Android")</f>
        <v>Twitter for Android</v>
      </c>
      <c r="L3879" s="16">
        <v>17</v>
      </c>
      <c r="M3879" s="16">
        <v>4</v>
      </c>
      <c r="N3879" s="16">
        <v>0</v>
      </c>
      <c r="O3879" s="17"/>
      <c r="P3879" s="18">
        <v>41493.671875</v>
      </c>
      <c r="Q3879" s="7"/>
      <c r="R3879" s="7"/>
      <c r="S3879" s="15"/>
      <c r="T3879" s="8"/>
      <c r="U3879" s="19" t="str">
        <f>HYPERLINK("https://pbs.twimg.com/profile_images/847730619513659392/EKexUpHs.jpg","View")</f>
        <v>View</v>
      </c>
      <c r="V3879" s="8"/>
      <c r="W3879" s="8"/>
      <c r="X3879" s="8"/>
      <c r="Y3879" s="8"/>
      <c r="Z3879" s="8"/>
    </row>
    <row r="3880" spans="1:26" ht="12.75">
      <c r="A3880" s="11">
        <v>43747.137326388889</v>
      </c>
      <c r="B3880" s="12" t="str">
        <f>HYPERLINK("https://twitter.com/hskybrk","@hskybrk")</f>
        <v>@hskybrk</v>
      </c>
      <c r="C3880" s="7" t="s">
        <v>11801</v>
      </c>
      <c r="D3880" s="7" t="s">
        <v>18031</v>
      </c>
      <c r="E3880" s="12" t="str">
        <f>HYPERLINK("https://twitter.com/hskybrk/status/1181876397272424448","1181876397272424448")</f>
        <v>1181876397272424448</v>
      </c>
      <c r="F3880" s="15"/>
      <c r="G3880" s="7"/>
      <c r="H3880" s="8"/>
      <c r="I3880" s="15">
        <v>0</v>
      </c>
      <c r="J3880" s="15">
        <v>0</v>
      </c>
      <c r="K3880" s="12" t="str">
        <f>HYPERLINK("http://twitter.com/download/android","Twitter for Android")</f>
        <v>Twitter for Android</v>
      </c>
      <c r="L3880" s="16">
        <v>7</v>
      </c>
      <c r="M3880" s="16">
        <v>18</v>
      </c>
      <c r="N3880" s="16">
        <v>0</v>
      </c>
      <c r="O3880" s="17"/>
      <c r="P3880" s="18">
        <v>43574.190787037034</v>
      </c>
      <c r="Q3880" s="7" t="s">
        <v>20410</v>
      </c>
      <c r="R3880" s="13"/>
      <c r="S3880" s="8"/>
      <c r="T3880" s="8"/>
      <c r="U3880" s="19" t="str">
        <f>HYPERLINK("https://pbs.twimg.com/profile_images/1169186067389603840/PLc-9fic.jpg","View")</f>
        <v>View</v>
      </c>
      <c r="V3880" s="8"/>
      <c r="W3880" s="8"/>
      <c r="X3880" s="8"/>
      <c r="Y3880" s="8"/>
      <c r="Z3880" s="8"/>
    </row>
    <row r="3881" spans="1:26" ht="12.75">
      <c r="A3881" s="11">
        <v>43747.137314814812</v>
      </c>
      <c r="B3881" s="12" t="str">
        <f>HYPERLINK("https://twitter.com/Tolgacino","@Tolgacino")</f>
        <v>@Tolgacino</v>
      </c>
      <c r="C3881" s="7" t="s">
        <v>20411</v>
      </c>
      <c r="D3881" s="7" t="s">
        <v>20412</v>
      </c>
      <c r="E3881" s="12" t="str">
        <f>HYPERLINK("https://twitter.com/Tolgacino/status/1181876393006813186","1181876393006813186")</f>
        <v>1181876393006813186</v>
      </c>
      <c r="F3881" s="8"/>
      <c r="G3881" s="15"/>
      <c r="H3881" s="8"/>
      <c r="I3881" s="15">
        <v>0</v>
      </c>
      <c r="J3881" s="15">
        <v>0</v>
      </c>
      <c r="K3881" s="12" t="str">
        <f>HYPERLINK("http://twitter.com/download/android","Twitter for Android")</f>
        <v>Twitter for Android</v>
      </c>
      <c r="L3881" s="16">
        <v>2101</v>
      </c>
      <c r="M3881" s="16">
        <v>619</v>
      </c>
      <c r="N3881" s="16">
        <v>8</v>
      </c>
      <c r="O3881" s="17"/>
      <c r="P3881" s="18">
        <v>40582.289236111115</v>
      </c>
      <c r="Q3881" s="7" t="s">
        <v>200</v>
      </c>
      <c r="R3881" s="7" t="s">
        <v>20413</v>
      </c>
      <c r="S3881" s="14" t="s">
        <v>20414</v>
      </c>
      <c r="T3881" s="8"/>
      <c r="U3881" s="19" t="str">
        <f>HYPERLINK("https://pbs.twimg.com/profile_images/1180195703068463104/vhBDNt83.jpg","View")</f>
        <v>View</v>
      </c>
      <c r="V3881" s="8"/>
      <c r="W3881" s="8"/>
      <c r="X3881" s="8"/>
      <c r="Y3881" s="8"/>
      <c r="Z3881" s="8"/>
    </row>
    <row r="3882" spans="1:26" ht="12.75">
      <c r="A3882" s="11">
        <v>43747.137303240743</v>
      </c>
      <c r="B3882" s="12" t="str">
        <f>HYPERLINK("https://twitter.com/Palermo5444","@Palermo5444")</f>
        <v>@Palermo5444</v>
      </c>
      <c r="C3882" s="7" t="s">
        <v>20415</v>
      </c>
      <c r="D3882" s="7" t="s">
        <v>20416</v>
      </c>
      <c r="E3882" s="12" t="str">
        <f>HYPERLINK("https://twitter.com/Palermo5444/status/1181876386522378240","1181876386522378240")</f>
        <v>1181876386522378240</v>
      </c>
      <c r="F3882" s="8"/>
      <c r="G3882" s="7"/>
      <c r="H3882" s="8"/>
      <c r="I3882" s="15">
        <v>1</v>
      </c>
      <c r="J3882" s="15">
        <v>1</v>
      </c>
      <c r="K3882" s="12" t="str">
        <f>HYPERLINK("http://twitter.com/download/android","Twitter for Android")</f>
        <v>Twitter for Android</v>
      </c>
      <c r="L3882" s="16">
        <v>24</v>
      </c>
      <c r="M3882" s="16">
        <v>38</v>
      </c>
      <c r="N3882" s="16">
        <v>0</v>
      </c>
      <c r="O3882" s="17"/>
      <c r="P3882" s="18">
        <v>43672.665208333332</v>
      </c>
      <c r="Q3882" s="7"/>
      <c r="R3882" s="7"/>
      <c r="S3882" s="8"/>
      <c r="T3882" s="8"/>
      <c r="U3882" s="19" t="str">
        <f>HYPERLINK("https://pbs.twimg.com/profile_images/1159265775074598913/9gZwP6vr.jpg","View")</f>
        <v>View</v>
      </c>
      <c r="V3882" s="8"/>
      <c r="W3882" s="8"/>
      <c r="X3882" s="8"/>
      <c r="Y3882" s="8"/>
      <c r="Z3882" s="8"/>
    </row>
    <row r="3883" spans="1:26" ht="12.75">
      <c r="A3883" s="11">
        <v>43747.13726851852</v>
      </c>
      <c r="B3883" s="12" t="str">
        <f>HYPERLINK("https://twitter.com/tekbas0246","@tekbas0246")</f>
        <v>@tekbas0246</v>
      </c>
      <c r="C3883" s="7" t="s">
        <v>20417</v>
      </c>
      <c r="D3883" s="7" t="s">
        <v>20418</v>
      </c>
      <c r="E3883" s="12" t="str">
        <f>HYPERLINK("https://twitter.com/tekbas0246/status/1181876373104857089","1181876373104857089")</f>
        <v>1181876373104857089</v>
      </c>
      <c r="F3883" s="14" t="s">
        <v>20419</v>
      </c>
      <c r="G3883" s="14" t="s">
        <v>20420</v>
      </c>
      <c r="H3883" s="8"/>
      <c r="I3883" s="15">
        <v>0</v>
      </c>
      <c r="J3883" s="15">
        <v>0</v>
      </c>
      <c r="K3883" s="12" t="str">
        <f>HYPERLINK("https://mobile.twitter.com","Twitter Web App")</f>
        <v>Twitter Web App</v>
      </c>
      <c r="L3883" s="16">
        <v>2810</v>
      </c>
      <c r="M3883" s="16">
        <v>3211</v>
      </c>
      <c r="N3883" s="16">
        <v>12</v>
      </c>
      <c r="O3883" s="17"/>
      <c r="P3883" s="18">
        <v>40225.517418981479</v>
      </c>
      <c r="Q3883" s="7"/>
      <c r="R3883" s="7" t="s">
        <v>20421</v>
      </c>
      <c r="S3883" s="8"/>
      <c r="T3883" s="8"/>
      <c r="U3883" s="19" t="str">
        <f>HYPERLINK("https://pbs.twimg.com/profile_images/640823783981477888/bzxnBYmL.png","View")</f>
        <v>View</v>
      </c>
      <c r="V3883" s="8"/>
      <c r="W3883" s="8"/>
      <c r="X3883" s="8"/>
      <c r="Y3883" s="8"/>
      <c r="Z3883" s="8"/>
    </row>
    <row r="3884" spans="1:26" ht="12.75">
      <c r="A3884" s="11">
        <v>43747.137222222227</v>
      </c>
      <c r="B3884" s="12" t="str">
        <f>HYPERLINK("https://twitter.com/devlet_kitler","@devlet_kitler")</f>
        <v>@devlet_kitler</v>
      </c>
      <c r="C3884" s="7" t="s">
        <v>20422</v>
      </c>
      <c r="D3884" s="7" t="s">
        <v>20423</v>
      </c>
      <c r="E3884" s="12" t="str">
        <f>HYPERLINK("https://twitter.com/devlet_kitler/status/1181876356940013568","1181876356940013568")</f>
        <v>1181876356940013568</v>
      </c>
      <c r="F3884" s="8"/>
      <c r="G3884" s="15"/>
      <c r="H3884" s="8"/>
      <c r="I3884" s="15">
        <v>0</v>
      </c>
      <c r="J3884" s="15">
        <v>0</v>
      </c>
      <c r="K3884" s="12" t="str">
        <f>HYPERLINK("http://twitter.com/download/android","Twitter for Android")</f>
        <v>Twitter for Android</v>
      </c>
      <c r="L3884" s="16">
        <v>420</v>
      </c>
      <c r="M3884" s="16">
        <v>122</v>
      </c>
      <c r="N3884" s="16">
        <v>0</v>
      </c>
      <c r="O3884" s="17"/>
      <c r="P3884" s="18">
        <v>40775.198125000003</v>
      </c>
      <c r="Q3884" s="7" t="s">
        <v>20424</v>
      </c>
      <c r="R3884" s="7" t="s">
        <v>20425</v>
      </c>
      <c r="S3884" s="14" t="s">
        <v>20426</v>
      </c>
      <c r="T3884" s="8"/>
      <c r="U3884" s="19" t="str">
        <f>HYPERLINK("https://pbs.twimg.com/profile_images/1125797008705576960/tuplXL9_.jpg","View")</f>
        <v>View</v>
      </c>
      <c r="V3884" s="8"/>
      <c r="W3884" s="8"/>
      <c r="X3884" s="8"/>
      <c r="Y3884" s="8"/>
      <c r="Z3884" s="8"/>
    </row>
    <row r="3885" spans="1:26" ht="12.75">
      <c r="A3885" s="11">
        <v>43747.137222222227</v>
      </c>
      <c r="B3885" s="12" t="str">
        <f>HYPERLINK("https://twitter.com/halilturkmenn_","@halilturkmenn_")</f>
        <v>@halilturkmenn_</v>
      </c>
      <c r="C3885" s="7" t="s">
        <v>2100</v>
      </c>
      <c r="D3885" s="7" t="s">
        <v>20427</v>
      </c>
      <c r="E3885" s="12" t="str">
        <f>HYPERLINK("https://twitter.com/halilturkmenn_/status/1181876355589382144","1181876355589382144")</f>
        <v>1181876355589382144</v>
      </c>
      <c r="F3885" s="8"/>
      <c r="G3885" s="7"/>
      <c r="H3885" s="8"/>
      <c r="I3885" s="15">
        <v>0</v>
      </c>
      <c r="J3885" s="15">
        <v>0</v>
      </c>
      <c r="K3885" s="12" t="str">
        <f>HYPERLINK("http://twitter.com/download/iphone","Twitter for iPhone")</f>
        <v>Twitter for iPhone</v>
      </c>
      <c r="L3885" s="16">
        <v>25</v>
      </c>
      <c r="M3885" s="16">
        <v>30</v>
      </c>
      <c r="N3885" s="16">
        <v>0</v>
      </c>
      <c r="O3885" s="17"/>
      <c r="P3885" s="18">
        <v>43149.960289351853</v>
      </c>
      <c r="Q3885" s="7" t="s">
        <v>313</v>
      </c>
      <c r="R3885" s="7" t="s">
        <v>20428</v>
      </c>
      <c r="S3885" s="8"/>
      <c r="T3885" s="8"/>
      <c r="U3885" s="19" t="str">
        <f>HYPERLINK("https://pbs.twimg.com/profile_images/1142983712814096384/jqbja1R7.jpg","View")</f>
        <v>View</v>
      </c>
      <c r="V3885" s="8"/>
      <c r="W3885" s="8"/>
      <c r="X3885" s="8"/>
      <c r="Y3885" s="8"/>
      <c r="Z3885" s="8"/>
    </row>
    <row r="3886" spans="1:26" ht="12.75">
      <c r="A3886" s="11">
        <v>43747.137210648143</v>
      </c>
      <c r="B3886" s="12" t="str">
        <f>HYPERLINK("https://twitter.com/Albay_Birol","@Albay_Birol")</f>
        <v>@Albay_Birol</v>
      </c>
      <c r="C3886" s="7" t="s">
        <v>20429</v>
      </c>
      <c r="D3886" s="7" t="s">
        <v>20430</v>
      </c>
      <c r="E3886" s="12" t="str">
        <f>HYPERLINK("https://twitter.com/Albay_Birol/status/1181876354687684610","1181876354687684610")</f>
        <v>1181876354687684610</v>
      </c>
      <c r="F3886" s="8"/>
      <c r="G3886" s="15"/>
      <c r="H3886" s="8"/>
      <c r="I3886" s="15">
        <v>0</v>
      </c>
      <c r="J3886" s="15">
        <v>1</v>
      </c>
      <c r="K3886" s="12" t="str">
        <f>HYPERLINK("http://twitter.com/download/android","Twitter for Android")</f>
        <v>Twitter for Android</v>
      </c>
      <c r="L3886" s="16">
        <v>2088</v>
      </c>
      <c r="M3886" s="16">
        <v>151</v>
      </c>
      <c r="N3886" s="16">
        <v>2</v>
      </c>
      <c r="O3886" s="17"/>
      <c r="P3886" s="18">
        <v>43321.475729166668</v>
      </c>
      <c r="Q3886" s="7" t="s">
        <v>8966</v>
      </c>
      <c r="R3886" s="7" t="s">
        <v>20431</v>
      </c>
      <c r="S3886" s="14" t="s">
        <v>20432</v>
      </c>
      <c r="T3886" s="8"/>
      <c r="U3886" s="19" t="str">
        <f>HYPERLINK("https://pbs.twimg.com/profile_images/1115650901300191233/Og1jar8w.jpg","View")</f>
        <v>View</v>
      </c>
      <c r="V3886" s="8"/>
      <c r="W3886" s="8"/>
      <c r="X3886" s="8"/>
      <c r="Y3886" s="8"/>
      <c r="Z3886" s="8"/>
    </row>
    <row r="3887" spans="1:26" ht="12.75">
      <c r="A3887" s="11">
        <v>43747.137187500004</v>
      </c>
      <c r="B3887" s="12" t="str">
        <f>HYPERLINK("https://twitter.com/yusufgibi2","@yusufgibi2")</f>
        <v>@yusufgibi2</v>
      </c>
      <c r="C3887" s="7" t="s">
        <v>20433</v>
      </c>
      <c r="D3887" s="7" t="s">
        <v>20434</v>
      </c>
      <c r="E3887" s="12" t="str">
        <f>HYPERLINK("https://twitter.com/yusufgibi2/status/1181876346970152960","1181876346970152960")</f>
        <v>1181876346970152960</v>
      </c>
      <c r="F3887" s="8"/>
      <c r="G3887" s="14" t="s">
        <v>20435</v>
      </c>
      <c r="H3887" s="8"/>
      <c r="I3887" s="15">
        <v>0</v>
      </c>
      <c r="J3887" s="15">
        <v>0</v>
      </c>
      <c r="K3887" s="12" t="str">
        <f>HYPERLINK("http://twitter.com/download/android","Twitter for Android")</f>
        <v>Twitter for Android</v>
      </c>
      <c r="L3887" s="16">
        <v>2446</v>
      </c>
      <c r="M3887" s="16">
        <v>2596</v>
      </c>
      <c r="N3887" s="16">
        <v>1</v>
      </c>
      <c r="O3887" s="17"/>
      <c r="P3887" s="18">
        <v>43635.435914351852</v>
      </c>
      <c r="Q3887" s="7"/>
      <c r="R3887" s="7" t="s">
        <v>20436</v>
      </c>
      <c r="S3887" s="8"/>
      <c r="T3887" s="8"/>
      <c r="U3887" s="19" t="str">
        <f>HYPERLINK("https://pbs.twimg.com/profile_images/1151488505287270400/O6Qwx5vr.jpg","View")</f>
        <v>View</v>
      </c>
      <c r="V3887" s="8"/>
      <c r="W3887" s="8"/>
      <c r="X3887" s="8"/>
      <c r="Y3887" s="8"/>
      <c r="Z3887" s="8"/>
    </row>
    <row r="3888" spans="1:26" ht="12.75">
      <c r="A3888" s="11">
        <v>43747.137141203704</v>
      </c>
      <c r="B3888" s="12" t="str">
        <f>HYPERLINK("https://twitter.com/Korkmazz23","@Korkmazz23")</f>
        <v>@Korkmazz23</v>
      </c>
      <c r="C3888" s="7" t="s">
        <v>20437</v>
      </c>
      <c r="D3888" s="7" t="s">
        <v>20438</v>
      </c>
      <c r="E3888" s="12" t="str">
        <f>HYPERLINK("https://twitter.com/Korkmazz23/status/1181876328888492032","1181876328888492032")</f>
        <v>1181876328888492032</v>
      </c>
      <c r="F3888" s="8"/>
      <c r="G3888" s="14" t="s">
        <v>20439</v>
      </c>
      <c r="H3888" s="8"/>
      <c r="I3888" s="15">
        <v>0</v>
      </c>
      <c r="J3888" s="15">
        <v>1</v>
      </c>
      <c r="K3888" s="12" t="str">
        <f>HYPERLINK("http://twitter.com/download/android","Twitter for Android")</f>
        <v>Twitter for Android</v>
      </c>
      <c r="L3888" s="16">
        <v>6</v>
      </c>
      <c r="M3888" s="16">
        <v>8</v>
      </c>
      <c r="N3888" s="16">
        <v>0</v>
      </c>
      <c r="O3888" s="17"/>
      <c r="P3888" s="18">
        <v>43662.532858796301</v>
      </c>
      <c r="Q3888" s="7"/>
      <c r="R3888" s="7" t="s">
        <v>20440</v>
      </c>
      <c r="S3888" s="8"/>
      <c r="T3888" s="8"/>
      <c r="U3888" s="19" t="str">
        <f>HYPERLINK("https://pbs.twimg.com/profile_images/1151425260564230144/RgnvbM-9.jpg","View")</f>
        <v>View</v>
      </c>
      <c r="V3888" s="8"/>
      <c r="W3888" s="8"/>
      <c r="X3888" s="8"/>
      <c r="Y3888" s="8"/>
      <c r="Z3888" s="8"/>
    </row>
    <row r="3889" spans="1:26" ht="12.75">
      <c r="A3889" s="11">
        <v>43747.137118055558</v>
      </c>
      <c r="B3889" s="12" t="str">
        <f>HYPERLINK("https://twitter.com/SezginTatli","@SezginTatli")</f>
        <v>@SezginTatli</v>
      </c>
      <c r="C3889" s="7" t="s">
        <v>20441</v>
      </c>
      <c r="D3889" s="7" t="s">
        <v>160</v>
      </c>
      <c r="E3889" s="12" t="str">
        <f>HYPERLINK("https://twitter.com/SezginTatli/status/1181876317853290497","1181876317853290497")</f>
        <v>1181876317853290497</v>
      </c>
      <c r="F3889" s="15"/>
      <c r="G3889" s="14" t="s">
        <v>20442</v>
      </c>
      <c r="H3889" s="8"/>
      <c r="I3889" s="15">
        <v>0</v>
      </c>
      <c r="J3889" s="15">
        <v>0</v>
      </c>
      <c r="K3889" s="12" t="str">
        <f>HYPERLINK("http://twitter.com/download/android","Twitter for Android")</f>
        <v>Twitter for Android</v>
      </c>
      <c r="L3889" s="16">
        <v>174</v>
      </c>
      <c r="M3889" s="16">
        <v>114</v>
      </c>
      <c r="N3889" s="16">
        <v>0</v>
      </c>
      <c r="O3889" s="17"/>
      <c r="P3889" s="18">
        <v>42513.076203703706</v>
      </c>
      <c r="Q3889" s="7"/>
      <c r="R3889" s="7" t="s">
        <v>20443</v>
      </c>
      <c r="S3889" s="8"/>
      <c r="T3889" s="8"/>
      <c r="U3889" s="19" t="str">
        <f>HYPERLINK("https://pbs.twimg.com/profile_images/1150883598863613958/D3XmIwwH.jpg","View")</f>
        <v>View</v>
      </c>
      <c r="V3889" s="8"/>
      <c r="W3889" s="8"/>
      <c r="X3889" s="8"/>
      <c r="Y3889" s="8"/>
      <c r="Z3889" s="8"/>
    </row>
    <row r="3890" spans="1:26" ht="12.75">
      <c r="A3890" s="11">
        <v>43747.137071759258</v>
      </c>
      <c r="B3890" s="12" t="str">
        <f>HYPERLINK("https://twitter.com/Alicandemrtas","@Alicandemrtas")</f>
        <v>@Alicandemrtas</v>
      </c>
      <c r="C3890" s="7" t="s">
        <v>20444</v>
      </c>
      <c r="D3890" s="7" t="s">
        <v>20445</v>
      </c>
      <c r="E3890" s="12" t="str">
        <f>HYPERLINK("https://twitter.com/Alicandemrtas/status/1181876301478662144","1181876301478662144")</f>
        <v>1181876301478662144</v>
      </c>
      <c r="F3890" s="8"/>
      <c r="G3890" s="14" t="s">
        <v>20446</v>
      </c>
      <c r="H3890" s="8"/>
      <c r="I3890" s="15">
        <v>0</v>
      </c>
      <c r="J3890" s="15">
        <v>1</v>
      </c>
      <c r="K3890" s="12" t="str">
        <f>HYPERLINK("http://twitter.com/download/android","Twitter for Android")</f>
        <v>Twitter for Android</v>
      </c>
      <c r="L3890" s="16">
        <v>96</v>
      </c>
      <c r="M3890" s="16">
        <v>177</v>
      </c>
      <c r="N3890" s="16">
        <v>0</v>
      </c>
      <c r="O3890" s="17"/>
      <c r="P3890" s="18">
        <v>43723.191006944442</v>
      </c>
      <c r="Q3890" s="7" t="s">
        <v>20447</v>
      </c>
      <c r="R3890" s="7" t="s">
        <v>20448</v>
      </c>
      <c r="S3890" s="8"/>
      <c r="T3890" s="8"/>
      <c r="U3890" s="19" t="str">
        <f>HYPERLINK("https://pbs.twimg.com/profile_images/1180439767789506560/QolkoUTa.jpg","View")</f>
        <v>View</v>
      </c>
      <c r="V3890" s="8"/>
      <c r="W3890" s="8"/>
      <c r="X3890" s="8"/>
      <c r="Y3890" s="8"/>
      <c r="Z3890" s="8"/>
    </row>
    <row r="3891" spans="1:26" ht="12.75">
      <c r="A3891" s="11">
        <v>43747.136967592596</v>
      </c>
      <c r="B3891" s="12" t="str">
        <f>HYPERLINK("https://twitter.com/kncsckn","@kncsckn")</f>
        <v>@kncsckn</v>
      </c>
      <c r="C3891" s="7" t="s">
        <v>20449</v>
      </c>
      <c r="D3891" s="7" t="s">
        <v>160</v>
      </c>
      <c r="E3891" s="12" t="str">
        <f>HYPERLINK("https://twitter.com/kncsckn/status/1181876263629266946","1181876263629266946")</f>
        <v>1181876263629266946</v>
      </c>
      <c r="F3891" s="8"/>
      <c r="G3891" s="7"/>
      <c r="H3891" s="8"/>
      <c r="I3891" s="15">
        <v>0</v>
      </c>
      <c r="J3891" s="15">
        <v>0</v>
      </c>
      <c r="K3891" s="12" t="str">
        <f>HYPERLINK("http://twitter.com/download/android","Twitter for Android")</f>
        <v>Twitter for Android</v>
      </c>
      <c r="L3891" s="16">
        <v>60</v>
      </c>
      <c r="M3891" s="16">
        <v>224</v>
      </c>
      <c r="N3891" s="16">
        <v>0</v>
      </c>
      <c r="O3891" s="17"/>
      <c r="P3891" s="18">
        <v>41842.351458333331</v>
      </c>
      <c r="Q3891" s="7"/>
      <c r="R3891" s="7"/>
      <c r="S3891" s="15"/>
      <c r="T3891" s="8"/>
      <c r="U3891" s="19" t="str">
        <f>HYPERLINK("https://pbs.twimg.com/profile_images/1120637260624478209/l5PqDEXA.jpg","View")</f>
        <v>View</v>
      </c>
      <c r="V3891" s="8"/>
      <c r="W3891" s="8"/>
      <c r="X3891" s="8"/>
      <c r="Y3891" s="8"/>
      <c r="Z3891" s="8"/>
    </row>
    <row r="3892" spans="1:26" ht="12.75">
      <c r="A3892" s="11">
        <v>43747.136956018519</v>
      </c>
      <c r="B3892" s="12" t="str">
        <f>HYPERLINK("https://twitter.com/edaoymenn","@edaoymenn")</f>
        <v>@edaoymenn</v>
      </c>
      <c r="C3892" s="7" t="s">
        <v>20450</v>
      </c>
      <c r="D3892" s="7" t="s">
        <v>8731</v>
      </c>
      <c r="E3892" s="12" t="str">
        <f>HYPERLINK("https://twitter.com/edaoymenn/status/1181876260881997824","1181876260881997824")</f>
        <v>1181876260881997824</v>
      </c>
      <c r="F3892" s="15"/>
      <c r="G3892" s="7"/>
      <c r="H3892" s="8"/>
      <c r="I3892" s="15">
        <v>0</v>
      </c>
      <c r="J3892" s="15">
        <v>0</v>
      </c>
      <c r="K3892" s="12" t="str">
        <f>HYPERLINK("http://twitter.com/download/iphone","Twitter for iPhone")</f>
        <v>Twitter for iPhone</v>
      </c>
      <c r="L3892" s="16">
        <v>64</v>
      </c>
      <c r="M3892" s="16">
        <v>83</v>
      </c>
      <c r="N3892" s="16">
        <v>0</v>
      </c>
      <c r="O3892" s="17"/>
      <c r="P3892" s="18">
        <v>43391.480902777781</v>
      </c>
      <c r="Q3892" s="7"/>
      <c r="R3892" s="7" t="s">
        <v>20451</v>
      </c>
      <c r="S3892" s="8"/>
      <c r="T3892" s="8"/>
      <c r="U3892" s="19" t="str">
        <f>HYPERLINK("https://pbs.twimg.com/profile_images/1181254851319255040/4RUTyBAa.jpg","View")</f>
        <v>View</v>
      </c>
      <c r="V3892" s="8"/>
      <c r="W3892" s="8"/>
      <c r="X3892" s="8"/>
      <c r="Y3892" s="8"/>
      <c r="Z3892" s="8"/>
    </row>
    <row r="3893" spans="1:26" ht="12.75">
      <c r="A3893" s="11">
        <v>43747.136944444443</v>
      </c>
      <c r="B3893" s="12" t="str">
        <f>HYPERLINK("https://twitter.com/AnkaSimurgh","@AnkaSimurgh")</f>
        <v>@AnkaSimurgh</v>
      </c>
      <c r="C3893" s="7" t="s">
        <v>20452</v>
      </c>
      <c r="D3893" s="7" t="s">
        <v>20453</v>
      </c>
      <c r="E3893" s="12" t="str">
        <f>HYPERLINK("https://twitter.com/AnkaSimurgh/status/1181876258399031296","1181876258399031296")</f>
        <v>1181876258399031296</v>
      </c>
      <c r="F3893" s="15"/>
      <c r="G3893" s="14" t="s">
        <v>20454</v>
      </c>
      <c r="H3893" s="8"/>
      <c r="I3893" s="15">
        <v>0</v>
      </c>
      <c r="J3893" s="15">
        <v>1</v>
      </c>
      <c r="K3893" s="12" t="str">
        <f>HYPERLINK("http://twitter.com/download/iphone","Twitter for iPhone")</f>
        <v>Twitter for iPhone</v>
      </c>
      <c r="L3893" s="16">
        <v>5602</v>
      </c>
      <c r="M3893" s="16">
        <v>5951</v>
      </c>
      <c r="N3893" s="16">
        <v>0</v>
      </c>
      <c r="O3893" s="17"/>
      <c r="P3893" s="18">
        <v>41462.986018518517</v>
      </c>
      <c r="Q3893" s="7" t="s">
        <v>860</v>
      </c>
      <c r="R3893" s="7" t="s">
        <v>20455</v>
      </c>
      <c r="S3893" s="15"/>
      <c r="T3893" s="8"/>
      <c r="U3893" s="19" t="str">
        <f>HYPERLINK("https://pbs.twimg.com/profile_images/887210449690914816/qKk1S_eB.jpg","View")</f>
        <v>View</v>
      </c>
      <c r="V3893" s="8"/>
      <c r="W3893" s="8"/>
      <c r="X3893" s="8"/>
      <c r="Y3893" s="8"/>
      <c r="Z3893" s="8"/>
    </row>
    <row r="3894" spans="1:26" ht="12.75">
      <c r="A3894" s="11">
        <v>43747.136921296296</v>
      </c>
      <c r="B3894" s="12" t="str">
        <f>HYPERLINK("https://twitter.com/O1insan1","@O1insan1")</f>
        <v>@O1insan1</v>
      </c>
      <c r="C3894" s="7" t="s">
        <v>20456</v>
      </c>
      <c r="D3894" s="7" t="s">
        <v>20457</v>
      </c>
      <c r="E3894" s="12" t="str">
        <f>HYPERLINK("https://twitter.com/O1insan1/status/1181876247535722497","1181876247535722497")</f>
        <v>1181876247535722497</v>
      </c>
      <c r="F3894" s="8"/>
      <c r="G3894" s="7"/>
      <c r="H3894" s="8"/>
      <c r="I3894" s="15">
        <v>0</v>
      </c>
      <c r="J3894" s="15">
        <v>0</v>
      </c>
      <c r="K3894" s="12" t="str">
        <f>HYPERLINK("http://twitter.com/download/android","Twitter for Android")</f>
        <v>Twitter for Android</v>
      </c>
      <c r="L3894" s="16">
        <v>2</v>
      </c>
      <c r="M3894" s="16">
        <v>36</v>
      </c>
      <c r="N3894" s="16">
        <v>0</v>
      </c>
      <c r="O3894" s="17"/>
      <c r="P3894" s="18">
        <v>43615.253923611112</v>
      </c>
      <c r="Q3894" s="7"/>
      <c r="R3894" s="7"/>
      <c r="S3894" s="8"/>
      <c r="T3894" s="8"/>
      <c r="U3894" s="19" t="str">
        <f>HYPERLINK("https://pbs.twimg.com/profile_images/1134085116509216769/UXROrRzr.jpg","View")</f>
        <v>View</v>
      </c>
      <c r="V3894" s="8"/>
      <c r="W3894" s="8"/>
      <c r="X3894" s="8"/>
      <c r="Y3894" s="8"/>
      <c r="Z3894" s="8"/>
    </row>
    <row r="3895" spans="1:26" ht="12.75">
      <c r="A3895" s="11">
        <v>43747.13689814815</v>
      </c>
      <c r="B3895" s="12" t="str">
        <f>HYPERLINK("https://twitter.com/BakkberyySerdar","@BakkberyySerdar")</f>
        <v>@BakkberyySerdar</v>
      </c>
      <c r="C3895" s="7" t="s">
        <v>20458</v>
      </c>
      <c r="D3895" s="7" t="s">
        <v>20459</v>
      </c>
      <c r="E3895" s="12" t="str">
        <f>HYPERLINK("https://twitter.com/BakkberyySerdar/status/1181876239453298688","1181876239453298688")</f>
        <v>1181876239453298688</v>
      </c>
      <c r="F3895" s="14" t="s">
        <v>20460</v>
      </c>
      <c r="G3895" s="14" t="s">
        <v>20461</v>
      </c>
      <c r="H3895" s="8"/>
      <c r="I3895" s="15">
        <v>0</v>
      </c>
      <c r="J3895" s="15">
        <v>0</v>
      </c>
      <c r="K3895" s="12" t="str">
        <f>HYPERLINK("http://twitter.com/download/iphone","Twitter for iPhone")</f>
        <v>Twitter for iPhone</v>
      </c>
      <c r="L3895" s="16">
        <v>129</v>
      </c>
      <c r="M3895" s="16">
        <v>351</v>
      </c>
      <c r="N3895" s="16">
        <v>0</v>
      </c>
      <c r="O3895" s="17"/>
      <c r="P3895" s="18">
        <v>42448.13354166667</v>
      </c>
      <c r="Q3895" s="7"/>
      <c r="R3895" s="7" t="s">
        <v>20462</v>
      </c>
      <c r="S3895" s="8"/>
      <c r="T3895" s="8"/>
      <c r="U3895" s="19" t="str">
        <f>HYPERLINK("https://pbs.twimg.com/profile_images/1159355586531725314/yxr-CbH9.jpg","View")</f>
        <v>View</v>
      </c>
      <c r="V3895" s="8"/>
      <c r="W3895" s="8"/>
      <c r="X3895" s="8"/>
      <c r="Y3895" s="8"/>
      <c r="Z3895" s="8"/>
    </row>
    <row r="3896" spans="1:26" ht="12.75">
      <c r="A3896" s="11">
        <v>43747.136863425927</v>
      </c>
      <c r="B3896" s="12" t="str">
        <f>HYPERLINK("https://twitter.com/DilmacArife","@DilmacArife")</f>
        <v>@DilmacArife</v>
      </c>
      <c r="C3896" s="7" t="s">
        <v>20463</v>
      </c>
      <c r="D3896" s="7" t="s">
        <v>20464</v>
      </c>
      <c r="E3896" s="12" t="str">
        <f>HYPERLINK("https://twitter.com/DilmacArife/status/1181876229122777088","1181876229122777088")</f>
        <v>1181876229122777088</v>
      </c>
      <c r="F3896" s="8"/>
      <c r="G3896" s="7"/>
      <c r="H3896" s="8"/>
      <c r="I3896" s="15">
        <v>0</v>
      </c>
      <c r="J3896" s="15">
        <v>1</v>
      </c>
      <c r="K3896" s="12" t="str">
        <f>HYPERLINK("http://twitter.com/download/iphone","Twitter for iPhone")</f>
        <v>Twitter for iPhone</v>
      </c>
      <c r="L3896" s="16">
        <v>7</v>
      </c>
      <c r="M3896" s="16">
        <v>35</v>
      </c>
      <c r="N3896" s="16">
        <v>0</v>
      </c>
      <c r="O3896" s="17"/>
      <c r="P3896" s="18">
        <v>42982.380335648151</v>
      </c>
      <c r="Q3896" s="7"/>
      <c r="R3896" s="7"/>
      <c r="S3896" s="8"/>
      <c r="T3896" s="8"/>
      <c r="U3896" s="20" t="s">
        <v>354</v>
      </c>
      <c r="V3896" s="8"/>
      <c r="W3896" s="8"/>
      <c r="X3896" s="8"/>
      <c r="Y3896" s="8"/>
      <c r="Z3896" s="8"/>
    </row>
    <row r="3897" spans="1:26" ht="12.75">
      <c r="A3897" s="11">
        <v>43747.13685185185</v>
      </c>
      <c r="B3897" s="12" t="str">
        <f>HYPERLINK("https://twitter.com/VampirellaO","@VampirellaO")</f>
        <v>@VampirellaO</v>
      </c>
      <c r="C3897" s="7" t="s">
        <v>20465</v>
      </c>
      <c r="D3897" s="7" t="s">
        <v>151</v>
      </c>
      <c r="E3897" s="12" t="str">
        <f>HYPERLINK("https://twitter.com/VampirellaO/status/1181876224202825729","1181876224202825729")</f>
        <v>1181876224202825729</v>
      </c>
      <c r="F3897" s="8"/>
      <c r="G3897" s="14" t="s">
        <v>20466</v>
      </c>
      <c r="H3897" s="8"/>
      <c r="I3897" s="15">
        <v>0</v>
      </c>
      <c r="J3897" s="15">
        <v>0</v>
      </c>
      <c r="K3897" s="12" t="str">
        <f>HYPERLINK("http://twitter.com/download/iphone","Twitter for iPhone")</f>
        <v>Twitter for iPhone</v>
      </c>
      <c r="L3897" s="16">
        <v>1094</v>
      </c>
      <c r="M3897" s="16">
        <v>675</v>
      </c>
      <c r="N3897" s="16">
        <v>3</v>
      </c>
      <c r="O3897" s="17"/>
      <c r="P3897" s="18">
        <v>42645.475300925929</v>
      </c>
      <c r="Q3897" s="7"/>
      <c r="R3897" s="7" t="s">
        <v>20467</v>
      </c>
      <c r="S3897" s="8"/>
      <c r="T3897" s="8"/>
      <c r="U3897" s="19" t="str">
        <f>HYPERLINK("https://pbs.twimg.com/profile_images/1145263056118853632/hjD6FNY3.jpg","View")</f>
        <v>View</v>
      </c>
      <c r="V3897" s="8"/>
      <c r="W3897" s="8"/>
      <c r="X3897" s="8"/>
      <c r="Y3897" s="8"/>
      <c r="Z3897" s="8"/>
    </row>
    <row r="3898" spans="1:26" ht="12.75">
      <c r="A3898" s="11">
        <v>43747.136759259258</v>
      </c>
      <c r="B3898" s="12" t="str">
        <f>HYPERLINK("https://twitter.com/07Onurrcetinn","@07Onurrcetinn")</f>
        <v>@07Onurrcetinn</v>
      </c>
      <c r="C3898" s="7" t="s">
        <v>20468</v>
      </c>
      <c r="D3898" s="7" t="s">
        <v>20469</v>
      </c>
      <c r="E3898" s="12" t="str">
        <f>HYPERLINK("https://twitter.com/07Onurrcetinn/status/1181876189654376449","1181876189654376449")</f>
        <v>1181876189654376449</v>
      </c>
      <c r="F3898" s="8"/>
      <c r="G3898" s="14" t="s">
        <v>20470</v>
      </c>
      <c r="H3898" s="8"/>
      <c r="I3898" s="15">
        <v>0</v>
      </c>
      <c r="J3898" s="15">
        <v>0</v>
      </c>
      <c r="K3898" s="12" t="str">
        <f>HYPERLINK("http://twitter.com/download/android","Twitter for Android")</f>
        <v>Twitter for Android</v>
      </c>
      <c r="L3898" s="16">
        <v>69</v>
      </c>
      <c r="M3898" s="16">
        <v>21</v>
      </c>
      <c r="N3898" s="16">
        <v>0</v>
      </c>
      <c r="O3898" s="17"/>
      <c r="P3898" s="18">
        <v>42159.999872685185</v>
      </c>
      <c r="Q3898" s="7" t="s">
        <v>252</v>
      </c>
      <c r="R3898" s="7" t="s">
        <v>20471</v>
      </c>
      <c r="S3898" s="14" t="s">
        <v>20472</v>
      </c>
      <c r="T3898" s="8"/>
      <c r="U3898" s="19" t="str">
        <f>HYPERLINK("https://pbs.twimg.com/profile_images/1174755817012289536/yBjfPu9_.jpg","View")</f>
        <v>View</v>
      </c>
      <c r="V3898" s="8"/>
      <c r="W3898" s="8"/>
      <c r="X3898" s="8"/>
      <c r="Y3898" s="8"/>
      <c r="Z3898" s="8"/>
    </row>
    <row r="3899" spans="1:26" ht="12.75">
      <c r="A3899" s="11">
        <v>43747.136747685188</v>
      </c>
      <c r="B3899" s="12" t="str">
        <f>HYPERLINK("https://twitter.com/aktaSamet","@aktaSamet")</f>
        <v>@aktaSamet</v>
      </c>
      <c r="C3899" s="7" t="s">
        <v>20473</v>
      </c>
      <c r="D3899" s="7" t="s">
        <v>20474</v>
      </c>
      <c r="E3899" s="12" t="str">
        <f>HYPERLINK("https://twitter.com/aktaSamet/status/1181876186382786560","1181876186382786560")</f>
        <v>1181876186382786560</v>
      </c>
      <c r="F3899" s="8"/>
      <c r="G3899" s="14" t="s">
        <v>20475</v>
      </c>
      <c r="H3899" s="8"/>
      <c r="I3899" s="15">
        <v>0</v>
      </c>
      <c r="J3899" s="15">
        <v>1</v>
      </c>
      <c r="K3899" s="12" t="str">
        <f>HYPERLINK("http://twitter.com/download/android","Twitter for Android")</f>
        <v>Twitter for Android</v>
      </c>
      <c r="L3899" s="16">
        <v>330</v>
      </c>
      <c r="M3899" s="16">
        <v>176</v>
      </c>
      <c r="N3899" s="16">
        <v>0</v>
      </c>
      <c r="O3899" s="17"/>
      <c r="P3899" s="18">
        <v>40812.103067129632</v>
      </c>
      <c r="Q3899" s="7" t="s">
        <v>20476</v>
      </c>
      <c r="R3899" s="7" t="s">
        <v>20477</v>
      </c>
      <c r="S3899" s="14" t="s">
        <v>20478</v>
      </c>
      <c r="T3899" s="8"/>
      <c r="U3899" s="19" t="str">
        <f>HYPERLINK("https://pbs.twimg.com/profile_images/1177864510679523328/jZ8ORaLn.jpg","View")</f>
        <v>View</v>
      </c>
      <c r="V3899" s="8"/>
      <c r="W3899" s="8"/>
      <c r="X3899" s="8"/>
      <c r="Y3899" s="8"/>
      <c r="Z3899" s="8"/>
    </row>
    <row r="3900" spans="1:26" ht="12.75">
      <c r="A3900" s="11">
        <v>43747.136747685188</v>
      </c>
      <c r="B3900" s="12" t="str">
        <f>HYPERLINK("https://twitter.com/vaktimuhabbet","@vaktimuhabbet")</f>
        <v>@vaktimuhabbet</v>
      </c>
      <c r="C3900" s="7" t="s">
        <v>20479</v>
      </c>
      <c r="D3900" s="7" t="s">
        <v>20480</v>
      </c>
      <c r="E3900" s="12" t="str">
        <f>HYPERLINK("https://twitter.com/vaktimuhabbet/status/1181876186324115456","1181876186324115456")</f>
        <v>1181876186324115456</v>
      </c>
      <c r="F3900" s="8"/>
      <c r="G3900" s="14" t="s">
        <v>20481</v>
      </c>
      <c r="H3900" s="8"/>
      <c r="I3900" s="15">
        <v>0</v>
      </c>
      <c r="J3900" s="15">
        <v>1</v>
      </c>
      <c r="K3900" s="12" t="str">
        <f>HYPERLINK("https://mobile.twitter.com","Twitter Web App")</f>
        <v>Twitter Web App</v>
      </c>
      <c r="L3900" s="16">
        <v>512</v>
      </c>
      <c r="M3900" s="16">
        <v>139</v>
      </c>
      <c r="N3900" s="16">
        <v>4</v>
      </c>
      <c r="O3900" s="17"/>
      <c r="P3900" s="18">
        <v>41260.251261574071</v>
      </c>
      <c r="Q3900" s="7" t="s">
        <v>918</v>
      </c>
      <c r="R3900" s="15" t="s">
        <v>20482</v>
      </c>
      <c r="S3900" s="14" t="s">
        <v>20483</v>
      </c>
      <c r="T3900" s="8"/>
      <c r="U3900" s="19" t="str">
        <f>HYPERLINK("https://pbs.twimg.com/profile_images/1148145551701139456/CyOS5fWC.png","View")</f>
        <v>View</v>
      </c>
      <c r="V3900" s="8"/>
      <c r="W3900" s="8"/>
      <c r="X3900" s="8"/>
      <c r="Y3900" s="8"/>
      <c r="Z3900" s="8"/>
    </row>
    <row r="3901" spans="1:26" ht="12.75">
      <c r="A3901" s="11">
        <v>43747.136736111112</v>
      </c>
      <c r="B3901" s="12" t="str">
        <f>HYPERLINK("https://twitter.com/sadecechill","@sadecechill")</f>
        <v>@sadecechill</v>
      </c>
      <c r="C3901" s="7" t="s">
        <v>20484</v>
      </c>
      <c r="D3901" s="7" t="s">
        <v>20485</v>
      </c>
      <c r="E3901" s="12" t="str">
        <f>HYPERLINK("https://twitter.com/sadecechill/status/1181876181706121216","1181876181706121216")</f>
        <v>1181876181706121216</v>
      </c>
      <c r="F3901" s="8"/>
      <c r="G3901" s="15"/>
      <c r="H3901" s="8"/>
      <c r="I3901" s="15">
        <v>0</v>
      </c>
      <c r="J3901" s="15">
        <v>0</v>
      </c>
      <c r="K3901" s="12" t="str">
        <f>HYPERLINK("https://mobile.twitter.com","Twitter Web App")</f>
        <v>Twitter Web App</v>
      </c>
      <c r="L3901" s="16">
        <v>33</v>
      </c>
      <c r="M3901" s="16">
        <v>56</v>
      </c>
      <c r="N3901" s="16">
        <v>0</v>
      </c>
      <c r="O3901" s="17"/>
      <c r="P3901" s="18">
        <v>43677.262187500004</v>
      </c>
      <c r="Q3901" s="7"/>
      <c r="R3901" s="7" t="s">
        <v>20486</v>
      </c>
      <c r="S3901" s="15"/>
      <c r="T3901" s="8"/>
      <c r="U3901" s="19" t="str">
        <f>HYPERLINK("https://pbs.twimg.com/profile_images/1156554589170294786/FgJHsqpQ.jpg","View")</f>
        <v>View</v>
      </c>
      <c r="V3901" s="8"/>
      <c r="W3901" s="8"/>
      <c r="X3901" s="8"/>
      <c r="Y3901" s="8"/>
      <c r="Z3901" s="8"/>
    </row>
    <row r="3902" spans="1:26" ht="12.75">
      <c r="A3902" s="11">
        <v>43747.136724537035</v>
      </c>
      <c r="B3902" s="12" t="str">
        <f>HYPERLINK("https://twitter.com/antiteror9","@antiteror9")</f>
        <v>@antiteror9</v>
      </c>
      <c r="C3902" s="7" t="s">
        <v>20487</v>
      </c>
      <c r="D3902" s="7" t="s">
        <v>20488</v>
      </c>
      <c r="E3902" s="12" t="str">
        <f>HYPERLINK("https://twitter.com/antiteror9/status/1181876179046977537","1181876179046977537")</f>
        <v>1181876179046977537</v>
      </c>
      <c r="F3902" s="8"/>
      <c r="G3902" s="7"/>
      <c r="H3902" s="8"/>
      <c r="I3902" s="15">
        <v>0</v>
      </c>
      <c r="J3902" s="15">
        <v>1</v>
      </c>
      <c r="K3902" s="12" t="str">
        <f>HYPERLINK("http://twitter.com/download/iphone","Twitter for iPhone")</f>
        <v>Twitter for iPhone</v>
      </c>
      <c r="L3902" s="16">
        <v>3065</v>
      </c>
      <c r="M3902" s="16">
        <v>2361</v>
      </c>
      <c r="N3902" s="16">
        <v>14</v>
      </c>
      <c r="O3902" s="17"/>
      <c r="P3902" s="18">
        <v>41019.283333333333</v>
      </c>
      <c r="Q3902" s="7" t="s">
        <v>20489</v>
      </c>
      <c r="R3902" s="7" t="s">
        <v>20490</v>
      </c>
      <c r="S3902" s="8"/>
      <c r="T3902" s="8"/>
      <c r="U3902" s="19" t="str">
        <f>HYPERLINK("https://pbs.twimg.com/profile_images/1087830796629692416/ZWQejK5K.jpg","View")</f>
        <v>View</v>
      </c>
      <c r="V3902" s="8"/>
      <c r="W3902" s="8"/>
      <c r="X3902" s="8"/>
      <c r="Y3902" s="8"/>
      <c r="Z3902" s="8"/>
    </row>
    <row r="3903" spans="1:26" ht="12.75">
      <c r="A3903" s="11">
        <v>43747.136655092589</v>
      </c>
      <c r="B3903" s="12" t="str">
        <f>HYPERLINK("https://twitter.com/haw_looo","@haw_looo")</f>
        <v>@haw_looo</v>
      </c>
      <c r="C3903" s="7" t="s">
        <v>20491</v>
      </c>
      <c r="D3903" s="7" t="s">
        <v>20492</v>
      </c>
      <c r="E3903" s="12" t="str">
        <f>HYPERLINK("https://twitter.com/haw_looo/status/1181876151658131456","1181876151658131456")</f>
        <v>1181876151658131456</v>
      </c>
      <c r="F3903" s="8"/>
      <c r="G3903" s="14" t="s">
        <v>20493</v>
      </c>
      <c r="H3903" s="8"/>
      <c r="I3903" s="15">
        <v>0</v>
      </c>
      <c r="J3903" s="15">
        <v>0</v>
      </c>
      <c r="K3903" s="12" t="str">
        <f>HYPERLINK("http://twitter.com/download/android","Twitter for Android")</f>
        <v>Twitter for Android</v>
      </c>
      <c r="L3903" s="16">
        <v>455</v>
      </c>
      <c r="M3903" s="16">
        <v>161</v>
      </c>
      <c r="N3903" s="16">
        <v>1</v>
      </c>
      <c r="O3903" s="17"/>
      <c r="P3903" s="18">
        <v>43585.637523148151</v>
      </c>
      <c r="Q3903" s="7" t="s">
        <v>20494</v>
      </c>
      <c r="R3903" s="7" t="s">
        <v>20495</v>
      </c>
      <c r="S3903" s="8"/>
      <c r="T3903" s="8"/>
      <c r="U3903" s="19" t="str">
        <f>HYPERLINK("https://pbs.twimg.com/profile_images/1179803473916956672/89hM9kwr.jpg","View")</f>
        <v>View</v>
      </c>
      <c r="V3903" s="8"/>
      <c r="W3903" s="8"/>
      <c r="X3903" s="8"/>
      <c r="Y3903" s="8"/>
      <c r="Z3903" s="8"/>
    </row>
    <row r="3904" spans="1:26" ht="12.75">
      <c r="A3904" s="11">
        <v>43747.136643518519</v>
      </c>
      <c r="B3904" s="12" t="str">
        <f>HYPERLINK("https://twitter.com/Habib98893436","@Habib98893436")</f>
        <v>@Habib98893436</v>
      </c>
      <c r="C3904" s="7" t="s">
        <v>20496</v>
      </c>
      <c r="D3904" s="7" t="s">
        <v>20497</v>
      </c>
      <c r="E3904" s="12" t="str">
        <f>HYPERLINK("https://twitter.com/Habib98893436/status/1181876149661655040","1181876149661655040")</f>
        <v>1181876149661655040</v>
      </c>
      <c r="F3904" s="8"/>
      <c r="G3904" s="14" t="s">
        <v>20498</v>
      </c>
      <c r="H3904" s="8"/>
      <c r="I3904" s="15">
        <v>0</v>
      </c>
      <c r="J3904" s="15">
        <v>3</v>
      </c>
      <c r="K3904" s="12" t="str">
        <f>HYPERLINK("http://twitter.com/download/android","Twitter for Android")</f>
        <v>Twitter for Android</v>
      </c>
      <c r="L3904" s="16">
        <v>77</v>
      </c>
      <c r="M3904" s="16">
        <v>281</v>
      </c>
      <c r="N3904" s="16">
        <v>0</v>
      </c>
      <c r="O3904" s="17"/>
      <c r="P3904" s="18">
        <v>41508.162881944445</v>
      </c>
      <c r="Q3904" s="7"/>
      <c r="R3904" s="7"/>
      <c r="S3904" s="8"/>
      <c r="T3904" s="8"/>
      <c r="U3904" s="19" t="str">
        <f>HYPERLINK("https://pbs.twimg.com/profile_images/649708568191569920/R8Ornowp.jpg","View")</f>
        <v>View</v>
      </c>
      <c r="V3904" s="8"/>
      <c r="W3904" s="8"/>
      <c r="X3904" s="8"/>
      <c r="Y3904" s="8"/>
      <c r="Z3904" s="8"/>
    </row>
    <row r="3905" spans="1:26" ht="12.75">
      <c r="A3905" s="11">
        <v>43747.136597222227</v>
      </c>
      <c r="B3905" s="12" t="str">
        <f>HYPERLINK("https://twitter.com/mls346","@mls346")</f>
        <v>@mls346</v>
      </c>
      <c r="C3905" s="7" t="s">
        <v>20499</v>
      </c>
      <c r="D3905" s="7" t="s">
        <v>20500</v>
      </c>
      <c r="E3905" s="12" t="str">
        <f>HYPERLINK("https://twitter.com/mls346/status/1181876129810001920","1181876129810001920")</f>
        <v>1181876129810001920</v>
      </c>
      <c r="F3905" s="8"/>
      <c r="G3905" s="15"/>
      <c r="H3905" s="8"/>
      <c r="I3905" s="15">
        <v>1</v>
      </c>
      <c r="J3905" s="15">
        <v>1</v>
      </c>
      <c r="K3905" s="12" t="str">
        <f>HYPERLINK("https://mobile.twitter.com","Twitter Web App")</f>
        <v>Twitter Web App</v>
      </c>
      <c r="L3905" s="16">
        <v>996</v>
      </c>
      <c r="M3905" s="16">
        <v>951</v>
      </c>
      <c r="N3905" s="16">
        <v>0</v>
      </c>
      <c r="O3905" s="17"/>
      <c r="P3905" s="18">
        <v>43358.338194444441</v>
      </c>
      <c r="Q3905" s="7"/>
      <c r="R3905" s="7" t="s">
        <v>20501</v>
      </c>
      <c r="S3905" s="8"/>
      <c r="T3905" s="8"/>
      <c r="U3905" s="19" t="str">
        <f>HYPERLINK("https://pbs.twimg.com/profile_images/1168978844881248256/6dar-kxI.jpg","View")</f>
        <v>View</v>
      </c>
      <c r="V3905" s="8"/>
      <c r="W3905" s="8"/>
      <c r="X3905" s="8"/>
      <c r="Y3905" s="8"/>
      <c r="Z3905" s="8"/>
    </row>
    <row r="3906" spans="1:26" ht="12.75">
      <c r="A3906" s="11">
        <v>43747.13653935185</v>
      </c>
      <c r="B3906" s="12" t="str">
        <f>HYPERLINK("https://twitter.com/cengizarman83","@cengizarman83")</f>
        <v>@cengizarman83</v>
      </c>
      <c r="C3906" s="7" t="s">
        <v>20502</v>
      </c>
      <c r="D3906" s="7" t="s">
        <v>20503</v>
      </c>
      <c r="E3906" s="12" t="str">
        <f>HYPERLINK("https://twitter.com/cengizarman83/status/1181876110759477249","1181876110759477249")</f>
        <v>1181876110759477249</v>
      </c>
      <c r="F3906" s="8"/>
      <c r="G3906" s="15"/>
      <c r="H3906" s="8"/>
      <c r="I3906" s="15">
        <v>0</v>
      </c>
      <c r="J3906" s="15">
        <v>0</v>
      </c>
      <c r="K3906" s="12" t="str">
        <f>HYPERLINK("http://twitter.com/download/android","Twitter for Android")</f>
        <v>Twitter for Android</v>
      </c>
      <c r="L3906" s="16">
        <v>983</v>
      </c>
      <c r="M3906" s="16">
        <v>700</v>
      </c>
      <c r="N3906" s="16">
        <v>4</v>
      </c>
      <c r="O3906" s="17"/>
      <c r="P3906" s="18">
        <v>41288.531967592593</v>
      </c>
      <c r="Q3906" s="7" t="s">
        <v>20504</v>
      </c>
      <c r="R3906" s="7" t="s">
        <v>20505</v>
      </c>
      <c r="S3906" s="14" t="s">
        <v>20506</v>
      </c>
      <c r="T3906" s="8"/>
      <c r="U3906" s="19" t="str">
        <f>HYPERLINK("https://pbs.twimg.com/profile_images/1177342623624962050/pQVnlkfv.jpg","View")</f>
        <v>View</v>
      </c>
      <c r="V3906" s="8"/>
      <c r="W3906" s="8"/>
      <c r="X3906" s="8"/>
      <c r="Y3906" s="8"/>
      <c r="Z3906" s="8"/>
    </row>
    <row r="3907" spans="1:26" ht="12.75">
      <c r="A3907" s="11">
        <v>43747.13652777778</v>
      </c>
      <c r="B3907" s="12" t="str">
        <f>HYPERLINK("https://twitter.com/Nathinean_","@Nathinean_")</f>
        <v>@Nathinean_</v>
      </c>
      <c r="C3907" s="7" t="s">
        <v>20507</v>
      </c>
      <c r="D3907" s="7" t="s">
        <v>20508</v>
      </c>
      <c r="E3907" s="12" t="str">
        <f>HYPERLINK("https://twitter.com/Nathinean_/status/1181876104153444352","1181876104153444352")</f>
        <v>1181876104153444352</v>
      </c>
      <c r="F3907" s="8"/>
      <c r="G3907" s="7"/>
      <c r="H3907" s="8"/>
      <c r="I3907" s="15">
        <v>1</v>
      </c>
      <c r="J3907" s="15">
        <v>1</v>
      </c>
      <c r="K3907" s="12" t="str">
        <f>HYPERLINK("http://twitter.com/download/android","Twitter for Android")</f>
        <v>Twitter for Android</v>
      </c>
      <c r="L3907" s="16">
        <v>5</v>
      </c>
      <c r="M3907" s="16">
        <v>42</v>
      </c>
      <c r="N3907" s="16">
        <v>0</v>
      </c>
      <c r="O3907" s="17"/>
      <c r="P3907" s="18">
        <v>43667.585520833338</v>
      </c>
      <c r="Q3907" s="7" t="s">
        <v>20509</v>
      </c>
      <c r="R3907" s="7"/>
      <c r="S3907" s="8"/>
      <c r="T3907" s="8"/>
      <c r="U3907" s="19" t="str">
        <f>HYPERLINK("https://pbs.twimg.com/profile_images/1178543439144771586/nwhRAzv0.jpg","View")</f>
        <v>View</v>
      </c>
      <c r="V3907" s="8"/>
      <c r="W3907" s="8"/>
      <c r="X3907" s="8"/>
      <c r="Y3907" s="8"/>
      <c r="Z3907" s="8"/>
    </row>
    <row r="3908" spans="1:26" ht="12.75">
      <c r="A3908" s="11">
        <v>43747.136469907404</v>
      </c>
      <c r="B3908" s="12" t="str">
        <f>HYPERLINK("https://twitter.com/SametAladagli","@SametAladagli")</f>
        <v>@SametAladagli</v>
      </c>
      <c r="C3908" s="7" t="s">
        <v>20230</v>
      </c>
      <c r="D3908" s="7" t="s">
        <v>20510</v>
      </c>
      <c r="E3908" s="12" t="str">
        <f>HYPERLINK("https://twitter.com/SametAladagli/status/1181876084612173825","1181876084612173825")</f>
        <v>1181876084612173825</v>
      </c>
      <c r="F3908" s="8"/>
      <c r="G3908" s="15"/>
      <c r="H3908" s="8"/>
      <c r="I3908" s="15">
        <v>0</v>
      </c>
      <c r="J3908" s="15">
        <v>1</v>
      </c>
      <c r="K3908" s="12" t="str">
        <f>HYPERLINK("http://twitter.com/download/iphone","Twitter for iPhone")</f>
        <v>Twitter for iPhone</v>
      </c>
      <c r="L3908" s="16">
        <v>270</v>
      </c>
      <c r="M3908" s="16">
        <v>241</v>
      </c>
      <c r="N3908" s="16">
        <v>1</v>
      </c>
      <c r="O3908" s="17"/>
      <c r="P3908" s="18">
        <v>40864.680879629632</v>
      </c>
      <c r="Q3908" s="7" t="s">
        <v>20511</v>
      </c>
      <c r="R3908" s="7" t="s">
        <v>20512</v>
      </c>
      <c r="S3908" s="8"/>
      <c r="T3908" s="8"/>
      <c r="U3908" s="19" t="str">
        <f>HYPERLINK("https://pbs.twimg.com/profile_images/1177362168829939712/9Lz5xZxa.jpg","View")</f>
        <v>View</v>
      </c>
      <c r="V3908" s="8"/>
      <c r="W3908" s="8"/>
      <c r="X3908" s="8"/>
      <c r="Y3908" s="8"/>
      <c r="Z3908" s="8"/>
    </row>
    <row r="3909" spans="1:26" ht="12.75">
      <c r="A3909" s="11">
        <v>43747.136446759258</v>
      </c>
      <c r="B3909" s="12" t="str">
        <f>HYPERLINK("https://twitter.com/senol77bjk","@senol77bjk")</f>
        <v>@senol77bjk</v>
      </c>
      <c r="C3909" s="7" t="s">
        <v>20513</v>
      </c>
      <c r="D3909" s="7" t="s">
        <v>20514</v>
      </c>
      <c r="E3909" s="12" t="str">
        <f>HYPERLINK("https://twitter.com/senol77bjk/status/1181876075640606725","1181876075640606725")</f>
        <v>1181876075640606725</v>
      </c>
      <c r="F3909" s="8"/>
      <c r="G3909" s="14" t="s">
        <v>20515</v>
      </c>
      <c r="H3909" s="8"/>
      <c r="I3909" s="15">
        <v>0</v>
      </c>
      <c r="J3909" s="15">
        <v>1</v>
      </c>
      <c r="K3909" s="12" t="str">
        <f>HYPERLINK("http://twitter.com/download/android","Twitter for Android")</f>
        <v>Twitter for Android</v>
      </c>
      <c r="L3909" s="16">
        <v>1153</v>
      </c>
      <c r="M3909" s="16">
        <v>1170</v>
      </c>
      <c r="N3909" s="16">
        <v>0</v>
      </c>
      <c r="O3909" s="17"/>
      <c r="P3909" s="18">
        <v>41981.630486111113</v>
      </c>
      <c r="Q3909" s="7" t="s">
        <v>69</v>
      </c>
      <c r="R3909" s="7" t="s">
        <v>20516</v>
      </c>
      <c r="S3909" s="14" t="s">
        <v>8179</v>
      </c>
      <c r="T3909" s="8"/>
      <c r="U3909" s="19" t="str">
        <f>HYPERLINK("https://pbs.twimg.com/profile_images/960751606819115008/dP9P14Bg.jpg","View")</f>
        <v>View</v>
      </c>
      <c r="V3909" s="8"/>
      <c r="W3909" s="8"/>
      <c r="X3909" s="8"/>
      <c r="Y3909" s="8"/>
      <c r="Z3909" s="8"/>
    </row>
    <row r="3910" spans="1:26" ht="12.75">
      <c r="A3910" s="11">
        <v>43747.136377314819</v>
      </c>
      <c r="B3910" s="12" t="str">
        <f>HYPERLINK("https://twitter.com/Buraksr23","@Buraksr23")</f>
        <v>@Buraksr23</v>
      </c>
      <c r="C3910" s="7" t="s">
        <v>20517</v>
      </c>
      <c r="D3910" s="7" t="s">
        <v>19043</v>
      </c>
      <c r="E3910" s="12" t="str">
        <f>HYPERLINK("https://twitter.com/Buraksr23/status/1181876050814476288","1181876050814476288")</f>
        <v>1181876050814476288</v>
      </c>
      <c r="F3910" s="15"/>
      <c r="G3910" s="7"/>
      <c r="H3910" s="8"/>
      <c r="I3910" s="15">
        <v>0</v>
      </c>
      <c r="J3910" s="15">
        <v>0</v>
      </c>
      <c r="K3910" s="12" t="str">
        <f>HYPERLINK("https://mobile.twitter.com","Twitter Web App")</f>
        <v>Twitter Web App</v>
      </c>
      <c r="L3910" s="16">
        <v>2</v>
      </c>
      <c r="M3910" s="16">
        <v>1</v>
      </c>
      <c r="N3910" s="16">
        <v>0</v>
      </c>
      <c r="O3910" s="17"/>
      <c r="P3910" s="18">
        <v>42624.592083333337</v>
      </c>
      <c r="Q3910" s="7"/>
      <c r="R3910" s="7"/>
      <c r="S3910" s="8"/>
      <c r="T3910" s="8"/>
      <c r="U3910" s="20" t="s">
        <v>354</v>
      </c>
      <c r="V3910" s="8"/>
      <c r="W3910" s="8"/>
      <c r="X3910" s="8"/>
      <c r="Y3910" s="8"/>
      <c r="Z3910" s="8"/>
    </row>
    <row r="3911" spans="1:26" ht="12.75">
      <c r="A3911" s="11">
        <v>43747.136365740742</v>
      </c>
      <c r="B3911" s="12" t="str">
        <f>HYPERLINK("https://twitter.com/Li_yuan_yabgu","@Li_yuan_yabgu")</f>
        <v>@Li_yuan_yabgu</v>
      </c>
      <c r="C3911" s="7" t="s">
        <v>20518</v>
      </c>
      <c r="D3911" s="7" t="s">
        <v>20519</v>
      </c>
      <c r="E3911" s="12" t="str">
        <f>HYPERLINK("https://twitter.com/Li_yuan_yabgu/status/1181876047807164416","1181876047807164416")</f>
        <v>1181876047807164416</v>
      </c>
      <c r="F3911" s="8"/>
      <c r="G3911" s="15"/>
      <c r="H3911" s="8"/>
      <c r="I3911" s="15">
        <v>0</v>
      </c>
      <c r="J3911" s="15">
        <v>1</v>
      </c>
      <c r="K3911" s="12" t="str">
        <f>HYPERLINK("http://twitter.com/download/android","Twitter for Android")</f>
        <v>Twitter for Android</v>
      </c>
      <c r="L3911" s="16">
        <v>4232</v>
      </c>
      <c r="M3911" s="16">
        <v>3927</v>
      </c>
      <c r="N3911" s="16">
        <v>6</v>
      </c>
      <c r="O3911" s="17"/>
      <c r="P3911" s="18">
        <v>40729.301250000004</v>
      </c>
      <c r="Q3911" s="7"/>
      <c r="R3911" s="7"/>
      <c r="S3911" s="8"/>
      <c r="T3911" s="8"/>
      <c r="U3911" s="19" t="str">
        <f>HYPERLINK("https://pbs.twimg.com/profile_images/1131681649236819968/pVIcAJRk.png","View")</f>
        <v>View</v>
      </c>
      <c r="V3911" s="8"/>
      <c r="W3911" s="8"/>
      <c r="X3911" s="8"/>
      <c r="Y3911" s="8"/>
      <c r="Z3911" s="8"/>
    </row>
    <row r="3912" spans="1:26" ht="12.75">
      <c r="A3912" s="11">
        <v>43747.136273148149</v>
      </c>
      <c r="B3912" s="12" t="str">
        <f>HYPERLINK("https://twitter.com/sherifali33","@sherifali33")</f>
        <v>@sherifali33</v>
      </c>
      <c r="C3912" s="7" t="s">
        <v>20520</v>
      </c>
      <c r="D3912" s="7" t="s">
        <v>20521</v>
      </c>
      <c r="E3912" s="12" t="str">
        <f>HYPERLINK("https://twitter.com/sherifali33/status/1181876013506146304","1181876013506146304")</f>
        <v>1181876013506146304</v>
      </c>
      <c r="F3912" s="8"/>
      <c r="G3912" s="15"/>
      <c r="H3912" s="8"/>
      <c r="I3912" s="15">
        <v>0</v>
      </c>
      <c r="J3912" s="15">
        <v>0</v>
      </c>
      <c r="K3912" s="12" t="str">
        <f>HYPERLINK("http://twitter.com/download/android","Twitter for Android")</f>
        <v>Twitter for Android</v>
      </c>
      <c r="L3912" s="16">
        <v>1206</v>
      </c>
      <c r="M3912" s="16">
        <v>2831</v>
      </c>
      <c r="N3912" s="16">
        <v>0</v>
      </c>
      <c r="O3912" s="17"/>
      <c r="P3912" s="18">
        <v>41638.982928240745</v>
      </c>
      <c r="Q3912" s="7"/>
      <c r="R3912" s="7"/>
      <c r="S3912" s="8"/>
      <c r="T3912" s="8"/>
      <c r="U3912" s="19" t="str">
        <f>HYPERLINK("https://pbs.twimg.com/profile_images/417946289251176448/9gzF1eR-.jpeg","View")</f>
        <v>View</v>
      </c>
      <c r="V3912" s="8"/>
      <c r="W3912" s="8"/>
      <c r="X3912" s="8"/>
      <c r="Y3912" s="8"/>
      <c r="Z3912" s="8"/>
    </row>
    <row r="3913" spans="1:26" ht="12.75">
      <c r="A3913" s="11">
        <v>43747.136249999996</v>
      </c>
      <c r="B3913" s="12" t="str">
        <f>HYPERLINK("https://twitter.com/zypkcmn","@zypkcmn")</f>
        <v>@zypkcmn</v>
      </c>
      <c r="C3913" s="7" t="s">
        <v>20522</v>
      </c>
      <c r="D3913" s="7" t="s">
        <v>15830</v>
      </c>
      <c r="E3913" s="12" t="str">
        <f>HYPERLINK("https://twitter.com/zypkcmn/status/1181876006904356864","1181876006904356864")</f>
        <v>1181876006904356864</v>
      </c>
      <c r="F3913" s="8"/>
      <c r="G3913" s="14" t="s">
        <v>20523</v>
      </c>
      <c r="H3913" s="8"/>
      <c r="I3913" s="15">
        <v>0</v>
      </c>
      <c r="J3913" s="15">
        <v>2</v>
      </c>
      <c r="K3913" s="12" t="str">
        <f>HYPERLINK("http://twitter.com/download/iphone","Twitter for iPhone")</f>
        <v>Twitter for iPhone</v>
      </c>
      <c r="L3913" s="16">
        <v>271</v>
      </c>
      <c r="M3913" s="16">
        <v>167</v>
      </c>
      <c r="N3913" s="16">
        <v>0</v>
      </c>
      <c r="O3913" s="17"/>
      <c r="P3913" s="18">
        <v>41564.323379629626</v>
      </c>
      <c r="Q3913" s="7" t="s">
        <v>20524</v>
      </c>
      <c r="R3913" s="7" t="s">
        <v>20525</v>
      </c>
      <c r="S3913" s="14" t="s">
        <v>20526</v>
      </c>
      <c r="T3913" s="8"/>
      <c r="U3913" s="19" t="str">
        <f>HYPERLINK("https://pbs.twimg.com/profile_images/1181301542059565056/fbxEvj8M.jpg","View")</f>
        <v>View</v>
      </c>
      <c r="V3913" s="8"/>
      <c r="W3913" s="8"/>
      <c r="X3913" s="8"/>
      <c r="Y3913" s="8"/>
      <c r="Z3913" s="8"/>
    </row>
    <row r="3914" spans="1:26" ht="12.75">
      <c r="A3914" s="11">
        <v>43747.136238425926</v>
      </c>
      <c r="B3914" s="12" t="str">
        <f>HYPERLINK("https://twitter.com/KansuEken","@KansuEken")</f>
        <v>@KansuEken</v>
      </c>
      <c r="C3914" s="7" t="s">
        <v>20527</v>
      </c>
      <c r="D3914" s="7" t="s">
        <v>20528</v>
      </c>
      <c r="E3914" s="12" t="str">
        <f>HYPERLINK("https://twitter.com/KansuEken/status/1181876002206683136","1181876002206683136")</f>
        <v>1181876002206683136</v>
      </c>
      <c r="F3914" s="8"/>
      <c r="G3914" s="15"/>
      <c r="H3914" s="8"/>
      <c r="I3914" s="15">
        <v>0</v>
      </c>
      <c r="J3914" s="15">
        <v>0</v>
      </c>
      <c r="K3914" s="12" t="str">
        <f>HYPERLINK("http://twitter.com/download/android","Twitter for Android")</f>
        <v>Twitter for Android</v>
      </c>
      <c r="L3914" s="16">
        <v>268</v>
      </c>
      <c r="M3914" s="16">
        <v>144</v>
      </c>
      <c r="N3914" s="16">
        <v>2</v>
      </c>
      <c r="O3914" s="17"/>
      <c r="P3914" s="18">
        <v>42161.541527777779</v>
      </c>
      <c r="Q3914" s="7" t="s">
        <v>14024</v>
      </c>
      <c r="R3914" s="7" t="s">
        <v>20529</v>
      </c>
      <c r="S3914" s="8"/>
      <c r="T3914" s="8"/>
      <c r="U3914" s="19" t="str">
        <f>HYPERLINK("https://pbs.twimg.com/profile_images/1032059011548504064/Y2FgqOLp.jpg","View")</f>
        <v>View</v>
      </c>
      <c r="V3914" s="8"/>
      <c r="W3914" s="8"/>
      <c r="X3914" s="8"/>
      <c r="Y3914" s="8"/>
      <c r="Z3914" s="8"/>
    </row>
    <row r="3915" spans="1:26" ht="12.75">
      <c r="A3915" s="11">
        <v>43747.136226851857</v>
      </c>
      <c r="B3915" s="12" t="str">
        <f>HYPERLINK("https://twitter.com/BRK_izMir35_","@BRK_izMir35_")</f>
        <v>@BRK_izMir35_</v>
      </c>
      <c r="C3915" s="13" t="s">
        <v>20530</v>
      </c>
      <c r="D3915" s="7" t="s">
        <v>20531</v>
      </c>
      <c r="E3915" s="12" t="str">
        <f>HYPERLINK("https://twitter.com/BRK_izMir35_/status/1181875998402498561","1181875998402498561")</f>
        <v>1181875998402498561</v>
      </c>
      <c r="F3915" s="8"/>
      <c r="G3915" s="14" t="s">
        <v>20532</v>
      </c>
      <c r="H3915" s="8"/>
      <c r="I3915" s="15">
        <v>0</v>
      </c>
      <c r="J3915" s="15">
        <v>1</v>
      </c>
      <c r="K3915" s="12" t="str">
        <f>HYPERLINK("http://twitter.com/download/iphone","Twitter for iPhone")</f>
        <v>Twitter for iPhone</v>
      </c>
      <c r="L3915" s="16">
        <v>0</v>
      </c>
      <c r="M3915" s="16">
        <v>54</v>
      </c>
      <c r="N3915" s="16">
        <v>0</v>
      </c>
      <c r="O3915" s="17"/>
      <c r="P3915" s="18">
        <v>43720.662314814814</v>
      </c>
      <c r="Q3915" s="7"/>
      <c r="R3915" s="7"/>
      <c r="S3915" s="8"/>
      <c r="T3915" s="8"/>
      <c r="U3915" s="19" t="str">
        <f>HYPERLINK("https://pbs.twimg.com/profile_images/1172284130379345920/8WSJdnBq.jpg","View")</f>
        <v>View</v>
      </c>
      <c r="V3915" s="8"/>
      <c r="W3915" s="8"/>
      <c r="X3915" s="8"/>
      <c r="Y3915" s="8"/>
      <c r="Z3915" s="8"/>
    </row>
    <row r="3916" spans="1:26" ht="12.75">
      <c r="A3916" s="11">
        <v>43747.136215277773</v>
      </c>
      <c r="B3916" s="12" t="str">
        <f>HYPERLINK("https://twitter.com/OooBeko1903","@OooBeko1903")</f>
        <v>@OooBeko1903</v>
      </c>
      <c r="C3916" s="7" t="s">
        <v>20533</v>
      </c>
      <c r="D3916" s="7" t="s">
        <v>3540</v>
      </c>
      <c r="E3916" s="12" t="str">
        <f>HYPERLINK("https://twitter.com/OooBeko1903/status/1181875994149474304","1181875994149474304")</f>
        <v>1181875994149474304</v>
      </c>
      <c r="F3916" s="8"/>
      <c r="G3916" s="14" t="s">
        <v>20534</v>
      </c>
      <c r="H3916" s="8"/>
      <c r="I3916" s="15">
        <v>0</v>
      </c>
      <c r="J3916" s="15">
        <v>1</v>
      </c>
      <c r="K3916" s="12" t="str">
        <f>HYPERLINK("http://twitter.com/download/android","Twitter for Android")</f>
        <v>Twitter for Android</v>
      </c>
      <c r="L3916" s="16">
        <v>53</v>
      </c>
      <c r="M3916" s="16">
        <v>47</v>
      </c>
      <c r="N3916" s="16">
        <v>0</v>
      </c>
      <c r="O3916" s="17"/>
      <c r="P3916" s="18">
        <v>42334.235046296293</v>
      </c>
      <c r="Q3916" s="7"/>
      <c r="R3916" s="7" t="s">
        <v>20535</v>
      </c>
      <c r="S3916" s="8"/>
      <c r="T3916" s="8"/>
      <c r="U3916" s="19" t="str">
        <f>HYPERLINK("https://pbs.twimg.com/profile_images/1023591649107161088/TTLOkJ8R.jpg","View")</f>
        <v>View</v>
      </c>
      <c r="V3916" s="8"/>
      <c r="W3916" s="8"/>
      <c r="X3916" s="8"/>
      <c r="Y3916" s="8"/>
      <c r="Z3916" s="8"/>
    </row>
    <row r="3917" spans="1:26" ht="12.75">
      <c r="A3917" s="11">
        <v>43747.136122685188</v>
      </c>
      <c r="B3917" s="12" t="str">
        <f>HYPERLINK("https://twitter.com/prm_omar","@prm_omar")</f>
        <v>@prm_omar</v>
      </c>
      <c r="C3917" s="7" t="s">
        <v>20536</v>
      </c>
      <c r="D3917" s="7" t="s">
        <v>20537</v>
      </c>
      <c r="E3917" s="12" t="str">
        <f>HYPERLINK("https://twitter.com/prm_omar/status/1181875959131230208","1181875959131230208")</f>
        <v>1181875959131230208</v>
      </c>
      <c r="F3917" s="8"/>
      <c r="G3917" s="15"/>
      <c r="H3917" s="8"/>
      <c r="I3917" s="15">
        <v>0</v>
      </c>
      <c r="J3917" s="15">
        <v>2</v>
      </c>
      <c r="K3917" s="12" t="str">
        <f>HYPERLINK("http://twitter.com/download/iphone","Twitter for iPhone")</f>
        <v>Twitter for iPhone</v>
      </c>
      <c r="L3917" s="16">
        <v>26</v>
      </c>
      <c r="M3917" s="16">
        <v>75</v>
      </c>
      <c r="N3917" s="16">
        <v>0</v>
      </c>
      <c r="O3917" s="17"/>
      <c r="P3917" s="18">
        <v>42853.431122685186</v>
      </c>
      <c r="Q3917" s="7" t="s">
        <v>2050</v>
      </c>
      <c r="R3917" s="7" t="s">
        <v>20538</v>
      </c>
      <c r="S3917" s="8"/>
      <c r="T3917" s="8"/>
      <c r="U3917" s="19" t="str">
        <f>HYPERLINK("https://pbs.twimg.com/profile_images/858009645939662848/rnyIapPk.jpg","View")</f>
        <v>View</v>
      </c>
      <c r="V3917" s="8"/>
      <c r="W3917" s="8"/>
      <c r="X3917" s="8"/>
      <c r="Y3917" s="8"/>
      <c r="Z3917" s="8"/>
    </row>
    <row r="3918" spans="1:26" ht="12.75">
      <c r="A3918" s="11">
        <v>43747.136099537034</v>
      </c>
      <c r="B3918" s="12" t="str">
        <f>HYPERLINK("https://twitter.com/UcanTug","@UcanTug")</f>
        <v>@UcanTug</v>
      </c>
      <c r="C3918" s="7" t="s">
        <v>20539</v>
      </c>
      <c r="D3918" s="7" t="s">
        <v>17502</v>
      </c>
      <c r="E3918" s="12" t="str">
        <f>HYPERLINK("https://twitter.com/UcanTug/status/1181875949828263942","1181875949828263942")</f>
        <v>1181875949828263942</v>
      </c>
      <c r="F3918" s="8"/>
      <c r="G3918" s="15"/>
      <c r="H3918" s="8"/>
      <c r="I3918" s="15">
        <v>0</v>
      </c>
      <c r="J3918" s="15">
        <v>0</v>
      </c>
      <c r="K3918" s="12" t="str">
        <f>HYPERLINK("http://twitter.com/download/iphone","Twitter for iPhone")</f>
        <v>Twitter for iPhone</v>
      </c>
      <c r="L3918" s="16">
        <v>0</v>
      </c>
      <c r="M3918" s="16">
        <v>0</v>
      </c>
      <c r="N3918" s="16">
        <v>0</v>
      </c>
      <c r="O3918" s="17"/>
      <c r="P3918" s="18">
        <v>43746.017812499995</v>
      </c>
      <c r="Q3918" s="7"/>
      <c r="R3918" s="7" t="s">
        <v>20540</v>
      </c>
      <c r="S3918" s="15"/>
      <c r="T3918" s="8"/>
      <c r="U3918" s="19" t="str">
        <f>HYPERLINK("https://pbs.twimg.com/profile_images/1181470799414382593/OCP2ITwv.jpg","View")</f>
        <v>View</v>
      </c>
      <c r="V3918" s="8"/>
      <c r="W3918" s="8"/>
      <c r="X3918" s="8"/>
      <c r="Y3918" s="8"/>
      <c r="Z3918" s="8"/>
    </row>
    <row r="3919" spans="1:26" ht="12.75">
      <c r="A3919" s="11">
        <v>43747.135983796295</v>
      </c>
      <c r="B3919" s="12" t="str">
        <f>HYPERLINK("https://twitter.com/Recep67ASLAN","@Recep67ASLAN")</f>
        <v>@Recep67ASLAN</v>
      </c>
      <c r="C3919" s="7" t="s">
        <v>20541</v>
      </c>
      <c r="D3919" s="7" t="s">
        <v>20542</v>
      </c>
      <c r="E3919" s="12" t="str">
        <f>HYPERLINK("https://twitter.com/Recep67ASLAN/status/1181875908480831488","1181875908480831488")</f>
        <v>1181875908480831488</v>
      </c>
      <c r="F3919" s="8"/>
      <c r="G3919" s="7"/>
      <c r="H3919" s="8"/>
      <c r="I3919" s="15">
        <v>0</v>
      </c>
      <c r="J3919" s="15">
        <v>0</v>
      </c>
      <c r="K3919" s="12" t="str">
        <f>HYPERLINK("https://mobile.twitter.com","Twitter Web App")</f>
        <v>Twitter Web App</v>
      </c>
      <c r="L3919" s="16">
        <v>9</v>
      </c>
      <c r="M3919" s="16">
        <v>41</v>
      </c>
      <c r="N3919" s="16">
        <v>0</v>
      </c>
      <c r="O3919" s="17"/>
      <c r="P3919" s="18">
        <v>41172.428749999999</v>
      </c>
      <c r="Q3919" s="7"/>
      <c r="R3919" s="7"/>
      <c r="S3919" s="15"/>
      <c r="T3919" s="8"/>
      <c r="U3919" s="20" t="s">
        <v>354</v>
      </c>
      <c r="V3919" s="8"/>
      <c r="W3919" s="8"/>
      <c r="X3919" s="8"/>
      <c r="Y3919" s="8"/>
      <c r="Z3919" s="8"/>
    </row>
    <row r="3920" spans="1:26" ht="12.75">
      <c r="A3920" s="11">
        <v>43747.135914351849</v>
      </c>
      <c r="B3920" s="12" t="str">
        <f>HYPERLINK("https://twitter.com/srdrgkhn32","@srdrgkhn32")</f>
        <v>@srdrgkhn32</v>
      </c>
      <c r="C3920" s="7" t="s">
        <v>20543</v>
      </c>
      <c r="D3920" s="7" t="s">
        <v>160</v>
      </c>
      <c r="E3920" s="12" t="str">
        <f>HYPERLINK("https://twitter.com/srdrgkhn32/status/1181875884594225152","1181875884594225152")</f>
        <v>1181875884594225152</v>
      </c>
      <c r="F3920" s="8"/>
      <c r="G3920" s="14" t="s">
        <v>20544</v>
      </c>
      <c r="H3920" s="8"/>
      <c r="I3920" s="15">
        <v>0</v>
      </c>
      <c r="J3920" s="15">
        <v>1</v>
      </c>
      <c r="K3920" s="12" t="str">
        <f>HYPERLINK("http://twitter.com/download/android","Twitter for Android")</f>
        <v>Twitter for Android</v>
      </c>
      <c r="L3920" s="16">
        <v>23</v>
      </c>
      <c r="M3920" s="16">
        <v>90</v>
      </c>
      <c r="N3920" s="16">
        <v>0</v>
      </c>
      <c r="O3920" s="17"/>
      <c r="P3920" s="18">
        <v>42938.613009259258</v>
      </c>
      <c r="Q3920" s="7"/>
      <c r="R3920" s="7" t="s">
        <v>20545</v>
      </c>
      <c r="S3920" s="15"/>
      <c r="T3920" s="8"/>
      <c r="U3920" s="19" t="str">
        <f>HYPERLINK("https://pbs.twimg.com/profile_images/1169656769779556354/SLdeY9u1.jpg","View")</f>
        <v>View</v>
      </c>
      <c r="V3920" s="8"/>
      <c r="W3920" s="8"/>
      <c r="X3920" s="8"/>
      <c r="Y3920" s="8"/>
      <c r="Z3920" s="8"/>
    </row>
    <row r="3921" spans="1:26" ht="12.75">
      <c r="A3921" s="11">
        <v>43747.135891203703</v>
      </c>
      <c r="B3921" s="12" t="str">
        <f>HYPERLINK("https://twitter.com/ateistmaymun_","@ateistmaymun_")</f>
        <v>@ateistmaymun_</v>
      </c>
      <c r="C3921" s="7" t="s">
        <v>20546</v>
      </c>
      <c r="D3921" s="7" t="s">
        <v>20547</v>
      </c>
      <c r="E3921" s="12" t="str">
        <f>HYPERLINK("https://twitter.com/ateistmaymun_/status/1181875875404505090","1181875875404505090")</f>
        <v>1181875875404505090</v>
      </c>
      <c r="F3921" s="8"/>
      <c r="G3921" s="15"/>
      <c r="H3921" s="8"/>
      <c r="I3921" s="15">
        <v>0</v>
      </c>
      <c r="J3921" s="15">
        <v>0</v>
      </c>
      <c r="K3921" s="12" t="str">
        <f>HYPERLINK("http://twitter.com/download/iphone","Twitter for iPhone")</f>
        <v>Twitter for iPhone</v>
      </c>
      <c r="L3921" s="16">
        <v>794</v>
      </c>
      <c r="M3921" s="16">
        <v>342</v>
      </c>
      <c r="N3921" s="16">
        <v>0</v>
      </c>
      <c r="O3921" s="17"/>
      <c r="P3921" s="18">
        <v>40019.078530092593</v>
      </c>
      <c r="Q3921" s="7" t="s">
        <v>15606</v>
      </c>
      <c r="R3921" s="7" t="s">
        <v>20548</v>
      </c>
      <c r="S3921" s="8"/>
      <c r="T3921" s="8"/>
      <c r="U3921" s="19" t="str">
        <f>HYPERLINK("https://pbs.twimg.com/profile_images/1057301173508759552/kni_vi4B.jpg","View")</f>
        <v>View</v>
      </c>
      <c r="V3921" s="8"/>
      <c r="W3921" s="8"/>
      <c r="X3921" s="8"/>
      <c r="Y3921" s="8"/>
      <c r="Z3921" s="8"/>
    </row>
    <row r="3922" spans="1:26" ht="12.75">
      <c r="A3922" s="11">
        <v>43747.135879629626</v>
      </c>
      <c r="B3922" s="12" t="str">
        <f>HYPERLINK("https://twitter.com/LtfiAydemir1","@LtfiAydemir1")</f>
        <v>@LtfiAydemir1</v>
      </c>
      <c r="C3922" s="7" t="s">
        <v>20549</v>
      </c>
      <c r="D3922" s="7" t="s">
        <v>20550</v>
      </c>
      <c r="E3922" s="12" t="str">
        <f>HYPERLINK("https://twitter.com/LtfiAydemir1/status/1181875869750566913","1181875869750566913")</f>
        <v>1181875869750566913</v>
      </c>
      <c r="F3922" s="8"/>
      <c r="G3922" s="15"/>
      <c r="H3922" s="8"/>
      <c r="I3922" s="15">
        <v>0</v>
      </c>
      <c r="J3922" s="15">
        <v>0</v>
      </c>
      <c r="K3922" s="12" t="str">
        <f>HYPERLINK("http://twitter.com/download/android","Twitter for Android")</f>
        <v>Twitter for Android</v>
      </c>
      <c r="L3922" s="16">
        <v>294</v>
      </c>
      <c r="M3922" s="16">
        <v>41</v>
      </c>
      <c r="N3922" s="16">
        <v>0</v>
      </c>
      <c r="O3922" s="17"/>
      <c r="P3922" s="18">
        <v>42855.086539351847</v>
      </c>
      <c r="Q3922" s="7" t="s">
        <v>19845</v>
      </c>
      <c r="R3922" s="7" t="s">
        <v>20551</v>
      </c>
      <c r="S3922" s="8"/>
      <c r="T3922" s="8"/>
      <c r="U3922" s="19" t="str">
        <f>HYPERLINK("https://pbs.twimg.com/profile_images/880339762204348416/vcTM9ewA.jpg","View")</f>
        <v>View</v>
      </c>
      <c r="V3922" s="8"/>
      <c r="W3922" s="8"/>
      <c r="X3922" s="8"/>
      <c r="Y3922" s="8"/>
      <c r="Z3922" s="8"/>
    </row>
    <row r="3923" spans="1:26" ht="12.75">
      <c r="A3923" s="11">
        <v>43747.13585648148</v>
      </c>
      <c r="B3923" s="12" t="str">
        <f>HYPERLINK("https://twitter.com/sleyman17965289","@sleyman17965289")</f>
        <v>@sleyman17965289</v>
      </c>
      <c r="C3923" s="7" t="s">
        <v>20552</v>
      </c>
      <c r="D3923" s="7" t="s">
        <v>16316</v>
      </c>
      <c r="E3923" s="12" t="str">
        <f>HYPERLINK("https://twitter.com/sleyman17965289/status/1181875861538127872","1181875861538127872")</f>
        <v>1181875861538127872</v>
      </c>
      <c r="F3923" s="8"/>
      <c r="G3923" s="15"/>
      <c r="H3923" s="8"/>
      <c r="I3923" s="15">
        <v>0</v>
      </c>
      <c r="J3923" s="15">
        <v>0</v>
      </c>
      <c r="K3923" s="12" t="str">
        <f>HYPERLINK("http://twitter.com/download/iphone","Twitter for iPhone")</f>
        <v>Twitter for iPhone</v>
      </c>
      <c r="L3923" s="16">
        <v>1</v>
      </c>
      <c r="M3923" s="16">
        <v>24</v>
      </c>
      <c r="N3923" s="16">
        <v>0</v>
      </c>
      <c r="O3923" s="17"/>
      <c r="P3923" s="18">
        <v>43706.162210648152</v>
      </c>
      <c r="Q3923" s="7"/>
      <c r="R3923" s="7"/>
      <c r="S3923" s="15"/>
      <c r="T3923" s="8"/>
      <c r="U3923" s="19" t="str">
        <f>HYPERLINK("https://pbs.twimg.com/profile_images/1167028391167569920/cuWRilxQ.jpg","View")</f>
        <v>View</v>
      </c>
      <c r="V3923" s="8"/>
      <c r="W3923" s="8"/>
      <c r="X3923" s="8"/>
      <c r="Y3923" s="8"/>
      <c r="Z3923" s="8"/>
    </row>
    <row r="3924" spans="1:26" ht="12.75">
      <c r="A3924" s="11">
        <v>43747.135775462964</v>
      </c>
      <c r="B3924" s="12" t="str">
        <f>HYPERLINK("https://twitter.com/Haremyn1","@Haremyn1")</f>
        <v>@Haremyn1</v>
      </c>
      <c r="C3924" s="7" t="s">
        <v>12882</v>
      </c>
      <c r="D3924" s="7" t="s">
        <v>160</v>
      </c>
      <c r="E3924" s="12" t="str">
        <f>HYPERLINK("https://twitter.com/Haremyn1/status/1181875834782650368","1181875834782650368")</f>
        <v>1181875834782650368</v>
      </c>
      <c r="F3924" s="8"/>
      <c r="G3924" s="7"/>
      <c r="H3924" s="8"/>
      <c r="I3924" s="15">
        <v>0</v>
      </c>
      <c r="J3924" s="15">
        <v>0</v>
      </c>
      <c r="K3924" s="12" t="str">
        <f>HYPERLINK("http://twitter.com/download/iphone","Twitter for iPhone")</f>
        <v>Twitter for iPhone</v>
      </c>
      <c r="L3924" s="16">
        <v>4</v>
      </c>
      <c r="M3924" s="16">
        <v>76</v>
      </c>
      <c r="N3924" s="16">
        <v>0</v>
      </c>
      <c r="O3924" s="17"/>
      <c r="P3924" s="18">
        <v>43700.007291666669</v>
      </c>
      <c r="Q3924" s="7" t="s">
        <v>20553</v>
      </c>
      <c r="R3924" s="7"/>
      <c r="S3924" s="8"/>
      <c r="T3924" s="8"/>
      <c r="U3924" s="19" t="str">
        <f>HYPERLINK("https://pbs.twimg.com/profile_images/1168221128264945665/5-OmUmZA.jpg","View")</f>
        <v>View</v>
      </c>
      <c r="V3924" s="8"/>
      <c r="W3924" s="8"/>
      <c r="X3924" s="8"/>
      <c r="Y3924" s="8"/>
      <c r="Z3924" s="8"/>
    </row>
    <row r="3925" spans="1:26" ht="12.75">
      <c r="A3925" s="11">
        <v>43747.135775462964</v>
      </c>
      <c r="B3925" s="12" t="str">
        <f>HYPERLINK("https://twitter.com/MSKaya_","@MSKaya_")</f>
        <v>@MSKaya_</v>
      </c>
      <c r="C3925" s="7" t="s">
        <v>20554</v>
      </c>
      <c r="D3925" s="7" t="s">
        <v>20555</v>
      </c>
      <c r="E3925" s="12" t="str">
        <f>HYPERLINK("https://twitter.com/MSKaya_/status/1181875832198967297","1181875832198967297")</f>
        <v>1181875832198967297</v>
      </c>
      <c r="F3925" s="8"/>
      <c r="G3925" s="15"/>
      <c r="H3925" s="8"/>
      <c r="I3925" s="15">
        <v>0</v>
      </c>
      <c r="J3925" s="15">
        <v>0</v>
      </c>
      <c r="K3925" s="12" t="str">
        <f>HYPERLINK("https://mobile.twitter.com","Twitter Web App")</f>
        <v>Twitter Web App</v>
      </c>
      <c r="L3925" s="16">
        <v>496</v>
      </c>
      <c r="M3925" s="16">
        <v>598</v>
      </c>
      <c r="N3925" s="16">
        <v>0</v>
      </c>
      <c r="O3925" s="17"/>
      <c r="P3925" s="18">
        <v>42970.199988425928</v>
      </c>
      <c r="Q3925" s="7" t="s">
        <v>313</v>
      </c>
      <c r="R3925" s="7" t="s">
        <v>20556</v>
      </c>
      <c r="S3925" s="15"/>
      <c r="T3925" s="8"/>
      <c r="U3925" s="19" t="str">
        <f>HYPERLINK("https://pbs.twimg.com/profile_images/1107547254141915136/kRPnOTtL.jpg","View")</f>
        <v>View</v>
      </c>
      <c r="V3925" s="8"/>
      <c r="W3925" s="8"/>
      <c r="X3925" s="8"/>
      <c r="Y3925" s="8"/>
      <c r="Z3925" s="8"/>
    </row>
    <row r="3926" spans="1:26" ht="12.75">
      <c r="A3926" s="11">
        <v>43747.135763888888</v>
      </c>
      <c r="B3926" s="12" t="str">
        <f>HYPERLINK("https://twitter.com/HaticeKubra_T","@HaticeKubra_T")</f>
        <v>@HaticeKubra_T</v>
      </c>
      <c r="C3926" s="7" t="s">
        <v>20557</v>
      </c>
      <c r="D3926" s="7" t="s">
        <v>20558</v>
      </c>
      <c r="E3926" s="12" t="str">
        <f>HYPERLINK("https://twitter.com/HaticeKubra_T/status/1181875831070691334","1181875831070691334")</f>
        <v>1181875831070691334</v>
      </c>
      <c r="F3926" s="8" t="s">
        <v>20559</v>
      </c>
      <c r="G3926" s="15"/>
      <c r="H3926" s="8"/>
      <c r="I3926" s="15">
        <v>0</v>
      </c>
      <c r="J3926" s="15">
        <v>1</v>
      </c>
      <c r="K3926" s="12" t="str">
        <f>HYPERLINK("http://twitter.com/download/android","Twitter for Android")</f>
        <v>Twitter for Android</v>
      </c>
      <c r="L3926" s="16">
        <v>172</v>
      </c>
      <c r="M3926" s="16">
        <v>1077</v>
      </c>
      <c r="N3926" s="16">
        <v>1</v>
      </c>
      <c r="O3926" s="17"/>
      <c r="P3926" s="18">
        <v>43705.174722222218</v>
      </c>
      <c r="Q3926" s="7" t="s">
        <v>20560</v>
      </c>
      <c r="R3926" s="7" t="s">
        <v>20561</v>
      </c>
      <c r="S3926" s="8"/>
      <c r="T3926" s="8"/>
      <c r="U3926" s="19" t="str">
        <f>HYPERLINK("https://pbs.twimg.com/profile_images/1175877532597415937/wY2lu4_B.jpg","View")</f>
        <v>View</v>
      </c>
      <c r="V3926" s="8"/>
      <c r="W3926" s="8"/>
      <c r="X3926" s="8"/>
      <c r="Y3926" s="8"/>
      <c r="Z3926" s="8"/>
    </row>
    <row r="3927" spans="1:26" ht="12.75">
      <c r="A3927" s="11">
        <v>43747.135752314818</v>
      </c>
      <c r="B3927" s="12" t="str">
        <f>HYPERLINK("https://twitter.com/BeratDuran40","@BeratDuran40")</f>
        <v>@BeratDuran40</v>
      </c>
      <c r="C3927" s="7" t="s">
        <v>20562</v>
      </c>
      <c r="D3927" s="7" t="s">
        <v>20563</v>
      </c>
      <c r="E3927" s="12" t="str">
        <f>HYPERLINK("https://twitter.com/BeratDuran40/status/1181875825349681152","1181875825349681152")</f>
        <v>1181875825349681152</v>
      </c>
      <c r="F3927" s="8"/>
      <c r="G3927" s="15"/>
      <c r="H3927" s="8"/>
      <c r="I3927" s="15">
        <v>0</v>
      </c>
      <c r="J3927" s="15">
        <v>0</v>
      </c>
      <c r="K3927" s="12" t="str">
        <f>HYPERLINK("http://twitter.com/download/iphone","Twitter for iPhone")</f>
        <v>Twitter for iPhone</v>
      </c>
      <c r="L3927" s="16">
        <v>171</v>
      </c>
      <c r="M3927" s="16">
        <v>331</v>
      </c>
      <c r="N3927" s="16">
        <v>0</v>
      </c>
      <c r="O3927" s="17"/>
      <c r="P3927" s="18">
        <v>40676.084143518521</v>
      </c>
      <c r="Q3927" s="7"/>
      <c r="R3927" s="7" t="s">
        <v>20564</v>
      </c>
      <c r="S3927" s="14" t="s">
        <v>20565</v>
      </c>
      <c r="T3927" s="8"/>
      <c r="U3927" s="19" t="str">
        <f>HYPERLINK("https://pbs.twimg.com/profile_images/1147575181327720448/EZUSS4RJ.jpg","View")</f>
        <v>View</v>
      </c>
      <c r="V3927" s="8"/>
      <c r="W3927" s="8"/>
      <c r="X3927" s="8"/>
      <c r="Y3927" s="8"/>
      <c r="Z3927" s="8"/>
    </row>
    <row r="3928" spans="1:26" ht="12.75">
      <c r="A3928" s="11">
        <v>43747.135717592595</v>
      </c>
      <c r="B3928" s="12" t="str">
        <f>HYPERLINK("https://twitter.com/kadirkoseoglu06","@kadirkoseoglu06")</f>
        <v>@kadirkoseoglu06</v>
      </c>
      <c r="C3928" s="7" t="s">
        <v>20566</v>
      </c>
      <c r="D3928" s="7" t="s">
        <v>20567</v>
      </c>
      <c r="E3928" s="12" t="str">
        <f>HYPERLINK("https://twitter.com/kadirkoseoglu06/status/1181875811399487489","1181875811399487489")</f>
        <v>1181875811399487489</v>
      </c>
      <c r="F3928" s="8"/>
      <c r="G3928" s="7"/>
      <c r="H3928" s="8"/>
      <c r="I3928" s="15">
        <v>0</v>
      </c>
      <c r="J3928" s="15">
        <v>0</v>
      </c>
      <c r="K3928" s="12" t="str">
        <f>HYPERLINK("http://twitter.com/download/android","Twitter for Android")</f>
        <v>Twitter for Android</v>
      </c>
      <c r="L3928" s="16">
        <v>121</v>
      </c>
      <c r="M3928" s="16">
        <v>328</v>
      </c>
      <c r="N3928" s="16">
        <v>0</v>
      </c>
      <c r="O3928" s="17"/>
      <c r="P3928" s="18">
        <v>42090.269583333335</v>
      </c>
      <c r="Q3928" s="7" t="s">
        <v>313</v>
      </c>
      <c r="R3928" s="7"/>
      <c r="S3928" s="8"/>
      <c r="T3928" s="8"/>
      <c r="U3928" s="19" t="str">
        <f>HYPERLINK("https://pbs.twimg.com/profile_images/1150759649513283584/PJVf2Piz.jpg","View")</f>
        <v>View</v>
      </c>
      <c r="V3928" s="8"/>
      <c r="W3928" s="8"/>
      <c r="X3928" s="8"/>
      <c r="Y3928" s="8"/>
      <c r="Z3928" s="8"/>
    </row>
    <row r="3929" spans="1:26" ht="12.75">
      <c r="A3929" s="11">
        <v>43747.135682870372</v>
      </c>
      <c r="B3929" s="12" t="str">
        <f>HYPERLINK("https://twitter.com/ertan080808","@ertan080808")</f>
        <v>@ertan080808</v>
      </c>
      <c r="C3929" s="7" t="s">
        <v>20568</v>
      </c>
      <c r="D3929" s="7" t="s">
        <v>20569</v>
      </c>
      <c r="E3929" s="12" t="str">
        <f>HYPERLINK("https://twitter.com/ertan080808/status/1181875799441494016","1181875799441494016")</f>
        <v>1181875799441494016</v>
      </c>
      <c r="F3929" s="8"/>
      <c r="G3929" s="14" t="s">
        <v>20570</v>
      </c>
      <c r="H3929" s="8"/>
      <c r="I3929" s="15">
        <v>0</v>
      </c>
      <c r="J3929" s="15">
        <v>5</v>
      </c>
      <c r="K3929" s="12" t="str">
        <f>HYPERLINK("http://twitter.com/download/iphone","Twitter for iPhone")</f>
        <v>Twitter for iPhone</v>
      </c>
      <c r="L3929" s="16">
        <v>3290</v>
      </c>
      <c r="M3929" s="16">
        <v>3569</v>
      </c>
      <c r="N3929" s="16">
        <v>2</v>
      </c>
      <c r="O3929" s="17"/>
      <c r="P3929" s="18">
        <v>43600.192789351851</v>
      </c>
      <c r="Q3929" s="7" t="s">
        <v>8299</v>
      </c>
      <c r="R3929" s="7" t="s">
        <v>20571</v>
      </c>
      <c r="S3929" s="8"/>
      <c r="T3929" s="8"/>
      <c r="U3929" s="19" t="str">
        <f>HYPERLINK("https://pbs.twimg.com/profile_images/1157298410631946241/tsNMHTz5.jpg","View")</f>
        <v>View</v>
      </c>
      <c r="V3929" s="8"/>
      <c r="W3929" s="8"/>
      <c r="X3929" s="8"/>
      <c r="Y3929" s="8"/>
      <c r="Z3929" s="8"/>
    </row>
    <row r="3930" spans="1:26" ht="12.75">
      <c r="A3930" s="11">
        <v>43747.135601851856</v>
      </c>
      <c r="B3930" s="12" t="str">
        <f>HYPERLINK("https://twitter.com/MEHMETCIBLAK2","@MEHMETCIBLAK2")</f>
        <v>@MEHMETCIBLAK2</v>
      </c>
      <c r="C3930" s="7" t="s">
        <v>20572</v>
      </c>
      <c r="D3930" s="7" t="s">
        <v>20573</v>
      </c>
      <c r="E3930" s="12" t="str">
        <f>HYPERLINK("https://twitter.com/MEHMETCIBLAK2/status/1181875772434391042","1181875772434391042")</f>
        <v>1181875772434391042</v>
      </c>
      <c r="F3930" s="8"/>
      <c r="G3930" s="7"/>
      <c r="H3930" s="8"/>
      <c r="I3930" s="15">
        <v>0</v>
      </c>
      <c r="J3930" s="15">
        <v>3</v>
      </c>
      <c r="K3930" s="12" t="str">
        <f>HYPERLINK("https://mobile.twitter.com","Twitter Web App")</f>
        <v>Twitter Web App</v>
      </c>
      <c r="L3930" s="16">
        <v>5091</v>
      </c>
      <c r="M3930" s="16">
        <v>4906</v>
      </c>
      <c r="N3930" s="16">
        <v>6</v>
      </c>
      <c r="O3930" s="17"/>
      <c r="P3930" s="18">
        <v>43034.073553240742</v>
      </c>
      <c r="Q3930" s="7"/>
      <c r="R3930" s="7" t="s">
        <v>20574</v>
      </c>
      <c r="S3930" s="8"/>
      <c r="T3930" s="8"/>
      <c r="U3930" s="19" t="str">
        <f>HYPERLINK("https://pbs.twimg.com/profile_images/1026514810865942528/dOZkxaiX.jpg","View")</f>
        <v>View</v>
      </c>
      <c r="V3930" s="8"/>
      <c r="W3930" s="8"/>
      <c r="X3930" s="8"/>
      <c r="Y3930" s="8"/>
      <c r="Z3930" s="8"/>
    </row>
    <row r="3931" spans="1:26" ht="12.75">
      <c r="A3931" s="11">
        <v>43747.135439814811</v>
      </c>
      <c r="B3931" s="12" t="str">
        <f>HYPERLINK("https://twitter.com/Tevhidmuhendis_","@Tevhidmuhendis_")</f>
        <v>@Tevhidmuhendis_</v>
      </c>
      <c r="C3931" s="7" t="s">
        <v>20576</v>
      </c>
      <c r="D3931" s="7" t="s">
        <v>20577</v>
      </c>
      <c r="E3931" s="12" t="str">
        <f>HYPERLINK("https://twitter.com/Tevhidmuhendis_/status/1181875713508556800","1181875713508556800")</f>
        <v>1181875713508556800</v>
      </c>
      <c r="F3931" s="8"/>
      <c r="G3931" s="7"/>
      <c r="H3931" s="8"/>
      <c r="I3931" s="15">
        <v>0</v>
      </c>
      <c r="J3931" s="15">
        <v>2</v>
      </c>
      <c r="K3931" s="12" t="str">
        <f>HYPERLINK("http://twitter.com/download/android","Twitter for Android")</f>
        <v>Twitter for Android</v>
      </c>
      <c r="L3931" s="16">
        <v>2183</v>
      </c>
      <c r="M3931" s="16">
        <v>28</v>
      </c>
      <c r="N3931" s="16">
        <v>4</v>
      </c>
      <c r="O3931" s="17"/>
      <c r="P3931" s="18">
        <v>43315.22625</v>
      </c>
      <c r="Q3931" s="7" t="s">
        <v>668</v>
      </c>
      <c r="R3931" s="7" t="s">
        <v>20578</v>
      </c>
      <c r="S3931" s="14" t="s">
        <v>20579</v>
      </c>
      <c r="T3931" s="8"/>
      <c r="U3931" s="19" t="str">
        <f>HYPERLINK("https://pbs.twimg.com/profile_images/1104612928320360448/EK-y0u2h.jpg","View")</f>
        <v>View</v>
      </c>
      <c r="V3931" s="8"/>
      <c r="W3931" s="8"/>
      <c r="X3931" s="8"/>
      <c r="Y3931" s="8"/>
      <c r="Z3931" s="8"/>
    </row>
    <row r="3932" spans="1:26" ht="12.75">
      <c r="A3932" s="11">
        <v>43747.135428240741</v>
      </c>
      <c r="B3932" s="12" t="str">
        <f>HYPERLINK("https://twitter.com/edanuratiss","@edanuratiss")</f>
        <v>@edanuratiss</v>
      </c>
      <c r="C3932" s="7" t="s">
        <v>20580</v>
      </c>
      <c r="D3932" s="7" t="s">
        <v>20581</v>
      </c>
      <c r="E3932" s="12" t="str">
        <f>HYPERLINK("https://twitter.com/edanuratiss/status/1181875706416029696","1181875706416029696")</f>
        <v>1181875706416029696</v>
      </c>
      <c r="F3932" s="8"/>
      <c r="G3932" s="14" t="s">
        <v>20582</v>
      </c>
      <c r="H3932" s="8"/>
      <c r="I3932" s="15">
        <v>0</v>
      </c>
      <c r="J3932" s="15">
        <v>4</v>
      </c>
      <c r="K3932" s="12" t="str">
        <f>HYPERLINK("http://twitter.com/download/android","Twitter for Android")</f>
        <v>Twitter for Android</v>
      </c>
      <c r="L3932" s="16">
        <v>176</v>
      </c>
      <c r="M3932" s="16">
        <v>229</v>
      </c>
      <c r="N3932" s="16">
        <v>0</v>
      </c>
      <c r="O3932" s="17"/>
      <c r="P3932" s="18">
        <v>42722.421689814815</v>
      </c>
      <c r="Q3932" s="7" t="s">
        <v>1567</v>
      </c>
      <c r="R3932" s="7" t="s">
        <v>20583</v>
      </c>
      <c r="S3932" s="8"/>
      <c r="T3932" s="8"/>
      <c r="U3932" s="19" t="str">
        <f>HYPERLINK("https://pbs.twimg.com/profile_images/1179017002956013576/tnS_Owt8.jpg","View")</f>
        <v>View</v>
      </c>
      <c r="V3932" s="8"/>
      <c r="W3932" s="8"/>
      <c r="X3932" s="8"/>
      <c r="Y3932" s="8"/>
      <c r="Z3932" s="8"/>
    </row>
    <row r="3933" spans="1:26" ht="12.75">
      <c r="A3933" s="11">
        <v>43747.135428240741</v>
      </c>
      <c r="B3933" s="12" t="str">
        <f>HYPERLINK("https://twitter.com/Bangtan_SS501","@Bangtan_SS501")</f>
        <v>@Bangtan_SS501</v>
      </c>
      <c r="C3933" s="7" t="s">
        <v>20584</v>
      </c>
      <c r="D3933" s="7" t="s">
        <v>20585</v>
      </c>
      <c r="E3933" s="12" t="str">
        <f>HYPERLINK("https://twitter.com/Bangtan_SS501/status/1181875706160136194","1181875706160136194")</f>
        <v>1181875706160136194</v>
      </c>
      <c r="F3933" s="8"/>
      <c r="G3933" s="7"/>
      <c r="H3933" s="8"/>
      <c r="I3933" s="15">
        <v>0</v>
      </c>
      <c r="J3933" s="15">
        <v>0</v>
      </c>
      <c r="K3933" s="12" t="str">
        <f>HYPERLINK("http://twitter.com/download/android","Twitter for Android")</f>
        <v>Twitter for Android</v>
      </c>
      <c r="L3933" s="16">
        <v>189</v>
      </c>
      <c r="M3933" s="16">
        <v>169</v>
      </c>
      <c r="N3933" s="16">
        <v>0</v>
      </c>
      <c r="O3933" s="17"/>
      <c r="P3933" s="18">
        <v>43109.391863425924</v>
      </c>
      <c r="Q3933" s="7" t="s">
        <v>13368</v>
      </c>
      <c r="R3933" s="7" t="s">
        <v>20586</v>
      </c>
      <c r="S3933" s="8"/>
      <c r="T3933" s="8"/>
      <c r="U3933" s="19" t="str">
        <f>HYPERLINK("https://pbs.twimg.com/profile_images/1180783685748084736/1swP_-uL.jpg","View")</f>
        <v>View</v>
      </c>
      <c r="V3933" s="8"/>
      <c r="W3933" s="8"/>
      <c r="X3933" s="8"/>
      <c r="Y3933" s="8"/>
      <c r="Z3933" s="8"/>
    </row>
    <row r="3934" spans="1:26" ht="12.75">
      <c r="A3934" s="11">
        <v>43747.135416666672</v>
      </c>
      <c r="B3934" s="12" t="str">
        <f>HYPERLINK("https://twitter.com/yakari50128265","@yakari50128265")</f>
        <v>@yakari50128265</v>
      </c>
      <c r="C3934" s="7" t="s">
        <v>20587</v>
      </c>
      <c r="D3934" s="7" t="s">
        <v>20588</v>
      </c>
      <c r="E3934" s="12" t="str">
        <f>HYPERLINK("https://twitter.com/yakari50128265/status/1181875704717348864","1181875704717348864")</f>
        <v>1181875704717348864</v>
      </c>
      <c r="F3934" s="14" t="s">
        <v>1239</v>
      </c>
      <c r="G3934" s="14" t="s">
        <v>20589</v>
      </c>
      <c r="H3934" s="8"/>
      <c r="I3934" s="15">
        <v>0</v>
      </c>
      <c r="J3934" s="15">
        <v>1</v>
      </c>
      <c r="K3934" s="12" t="str">
        <f>HYPERLINK("http://twitter.com/download/android","Twitter for Android")</f>
        <v>Twitter for Android</v>
      </c>
      <c r="L3934" s="16">
        <v>186</v>
      </c>
      <c r="M3934" s="16">
        <v>363</v>
      </c>
      <c r="N3934" s="16">
        <v>2</v>
      </c>
      <c r="O3934" s="17"/>
      <c r="P3934" s="18">
        <v>41661.181076388893</v>
      </c>
      <c r="Q3934" s="7"/>
      <c r="R3934" s="7"/>
      <c r="S3934" s="8"/>
      <c r="T3934" s="8"/>
      <c r="U3934" s="20" t="s">
        <v>354</v>
      </c>
      <c r="V3934" s="8"/>
      <c r="W3934" s="8"/>
      <c r="X3934" s="8"/>
      <c r="Y3934" s="8"/>
      <c r="Z3934" s="8"/>
    </row>
    <row r="3935" spans="1:26" ht="12.75">
      <c r="A3935" s="11">
        <v>43747.135370370372</v>
      </c>
      <c r="B3935" s="12" t="str">
        <f>HYPERLINK("https://twitter.com/Melus8484","@Melus8484")</f>
        <v>@Melus8484</v>
      </c>
      <c r="C3935" s="7" t="s">
        <v>20590</v>
      </c>
      <c r="D3935" s="7" t="s">
        <v>20591</v>
      </c>
      <c r="E3935" s="12" t="str">
        <f>HYPERLINK("https://twitter.com/Melus8484/status/1181875687524900864","1181875687524900864")</f>
        <v>1181875687524900864</v>
      </c>
      <c r="F3935" s="8"/>
      <c r="G3935" s="14" t="s">
        <v>20592</v>
      </c>
      <c r="H3935" s="8"/>
      <c r="I3935" s="15">
        <v>0</v>
      </c>
      <c r="J3935" s="15">
        <v>1</v>
      </c>
      <c r="K3935" s="12" t="str">
        <f>HYPERLINK("http://twitter.com/download/android","Twitter for Android")</f>
        <v>Twitter for Android</v>
      </c>
      <c r="L3935" s="16">
        <v>785</v>
      </c>
      <c r="M3935" s="16">
        <v>1397</v>
      </c>
      <c r="N3935" s="16">
        <v>0</v>
      </c>
      <c r="O3935" s="17"/>
      <c r="P3935" s="18">
        <v>43067.09097222222</v>
      </c>
      <c r="Q3935" s="7"/>
      <c r="R3935" s="7"/>
      <c r="S3935" s="15"/>
      <c r="T3935" s="8"/>
      <c r="U3935" s="19" t="str">
        <f>HYPERLINK("https://pbs.twimg.com/profile_images/956369986787913728/lSvsXyMS.jpg","View")</f>
        <v>View</v>
      </c>
      <c r="V3935" s="8"/>
      <c r="W3935" s="8"/>
      <c r="X3935" s="8"/>
      <c r="Y3935" s="8"/>
      <c r="Z3935" s="8"/>
    </row>
    <row r="3936" spans="1:26" ht="12.75">
      <c r="A3936" s="11">
        <v>43747.135162037041</v>
      </c>
      <c r="B3936" s="12" t="str">
        <f>HYPERLINK("https://twitter.com/nilgunkarakulak","@nilgunkarakulak")</f>
        <v>@nilgunkarakulak</v>
      </c>
      <c r="C3936" s="7" t="s">
        <v>20593</v>
      </c>
      <c r="D3936" s="7" t="s">
        <v>20594</v>
      </c>
      <c r="E3936" s="12" t="str">
        <f>HYPERLINK("https://twitter.com/nilgunkarakulak/status/1181875609607294976","1181875609607294976")</f>
        <v>1181875609607294976</v>
      </c>
      <c r="F3936" s="8"/>
      <c r="G3936" s="14" t="s">
        <v>20595</v>
      </c>
      <c r="H3936" s="8"/>
      <c r="I3936" s="15">
        <v>0</v>
      </c>
      <c r="J3936" s="15">
        <v>1</v>
      </c>
      <c r="K3936" s="12" t="str">
        <f>HYPERLINK("http://twitter.com/download/android","Twitter for Android")</f>
        <v>Twitter for Android</v>
      </c>
      <c r="L3936" s="16">
        <v>318</v>
      </c>
      <c r="M3936" s="16">
        <v>1076</v>
      </c>
      <c r="N3936" s="16">
        <v>5</v>
      </c>
      <c r="O3936" s="17"/>
      <c r="P3936" s="18">
        <v>40201.178831018522</v>
      </c>
      <c r="Q3936" s="7" t="s">
        <v>1827</v>
      </c>
      <c r="R3936" s="7"/>
      <c r="S3936" s="14" t="s">
        <v>20596</v>
      </c>
      <c r="T3936" s="8"/>
      <c r="U3936" s="19" t="str">
        <f>HYPERLINK("https://pbs.twimg.com/profile_images/651359778862592000/pStH3k9A.jpg","View")</f>
        <v>View</v>
      </c>
      <c r="V3936" s="8"/>
      <c r="W3936" s="8"/>
      <c r="X3936" s="8"/>
      <c r="Y3936" s="8"/>
      <c r="Z3936" s="8"/>
    </row>
    <row r="3937" spans="1:26" ht="12.75">
      <c r="A3937" s="11">
        <v>43747.135138888887</v>
      </c>
      <c r="B3937" s="12" t="str">
        <f>HYPERLINK("https://twitter.com/AYEGLTA12","@AYEGLTA12")</f>
        <v>@AYEGLTA12</v>
      </c>
      <c r="C3937" s="7" t="s">
        <v>20597</v>
      </c>
      <c r="D3937" s="7" t="s">
        <v>15689</v>
      </c>
      <c r="E3937" s="12" t="str">
        <f>HYPERLINK("https://twitter.com/AYEGLTA12/status/1181875602606956545","1181875602606956545")</f>
        <v>1181875602606956545</v>
      </c>
      <c r="F3937" s="8"/>
      <c r="G3937" s="14" t="s">
        <v>20598</v>
      </c>
      <c r="H3937" s="8"/>
      <c r="I3937" s="15">
        <v>1</v>
      </c>
      <c r="J3937" s="15">
        <v>1</v>
      </c>
      <c r="K3937" s="12" t="str">
        <f>HYPERLINK("https://mobile.twitter.com","Twitter Web App")</f>
        <v>Twitter Web App</v>
      </c>
      <c r="L3937" s="16">
        <v>147</v>
      </c>
      <c r="M3937" s="16">
        <v>244</v>
      </c>
      <c r="N3937" s="16">
        <v>0</v>
      </c>
      <c r="O3937" s="17"/>
      <c r="P3937" s="18">
        <v>41393.207905092597</v>
      </c>
      <c r="Q3937" s="7" t="s">
        <v>313</v>
      </c>
      <c r="R3937" s="7" t="s">
        <v>20599</v>
      </c>
      <c r="S3937" s="8"/>
      <c r="T3937" s="8"/>
      <c r="U3937" s="19" t="str">
        <f>HYPERLINK("https://pbs.twimg.com/profile_images/1022103056643772421/KLC0mrpP.jpg","View")</f>
        <v>View</v>
      </c>
      <c r="V3937" s="8"/>
      <c r="W3937" s="8"/>
      <c r="X3937" s="8"/>
      <c r="Y3937" s="8"/>
      <c r="Z3937" s="8"/>
    </row>
    <row r="3938" spans="1:26" ht="12.75">
      <c r="A3938" s="11">
        <v>43747.135115740741</v>
      </c>
      <c r="B3938" s="12" t="str">
        <f>HYPERLINK("https://twitter.com/_musasaka","@_musasaka")</f>
        <v>@_musasaka</v>
      </c>
      <c r="C3938" s="7" t="s">
        <v>20600</v>
      </c>
      <c r="D3938" s="7" t="s">
        <v>20601</v>
      </c>
      <c r="E3938" s="12" t="str">
        <f>HYPERLINK("https://twitter.com/_musasaka/status/1181875593182355458","1181875593182355458")</f>
        <v>1181875593182355458</v>
      </c>
      <c r="F3938" s="14" t="s">
        <v>2719</v>
      </c>
      <c r="G3938" s="14" t="s">
        <v>2720</v>
      </c>
      <c r="H3938" s="8"/>
      <c r="I3938" s="15">
        <v>1</v>
      </c>
      <c r="J3938" s="15">
        <v>1</v>
      </c>
      <c r="K3938" s="12" t="str">
        <f>HYPERLINK("http://twitter.com/download/iphone","Twitter for iPhone")</f>
        <v>Twitter for iPhone</v>
      </c>
      <c r="L3938" s="16">
        <v>227</v>
      </c>
      <c r="M3938" s="16">
        <v>400</v>
      </c>
      <c r="N3938" s="16">
        <v>0</v>
      </c>
      <c r="O3938" s="17"/>
      <c r="P3938" s="18">
        <v>40373.349328703705</v>
      </c>
      <c r="Q3938" s="7" t="s">
        <v>19906</v>
      </c>
      <c r="R3938" s="7" t="s">
        <v>20602</v>
      </c>
      <c r="S3938" s="14" t="s">
        <v>20603</v>
      </c>
      <c r="T3938" s="8"/>
      <c r="U3938" s="19" t="str">
        <f>HYPERLINK("https://pbs.twimg.com/profile_images/1121813685461237761/EdgfWPsN.jpg","View")</f>
        <v>View</v>
      </c>
      <c r="V3938" s="8"/>
      <c r="W3938" s="8"/>
      <c r="X3938" s="8"/>
      <c r="Y3938" s="8"/>
      <c r="Z3938" s="8"/>
    </row>
    <row r="3939" spans="1:26" ht="12.75">
      <c r="A3939" s="11">
        <v>43747.135011574079</v>
      </c>
      <c r="B3939" s="12" t="str">
        <f>HYPERLINK("https://twitter.com/yshem7","@yshem7")</f>
        <v>@yshem7</v>
      </c>
      <c r="C3939" s="7" t="s">
        <v>20604</v>
      </c>
      <c r="D3939" s="7" t="s">
        <v>20605</v>
      </c>
      <c r="E3939" s="12" t="str">
        <f>HYPERLINK("https://twitter.com/yshem7/status/1181875556352233473","1181875556352233473")</f>
        <v>1181875556352233473</v>
      </c>
      <c r="F3939" s="8"/>
      <c r="G3939" s="7"/>
      <c r="H3939" s="8"/>
      <c r="I3939" s="15">
        <v>0</v>
      </c>
      <c r="J3939" s="15">
        <v>0</v>
      </c>
      <c r="K3939" s="12" t="str">
        <f>HYPERLINK("http://twitter.com/#!/download/ipad","Twitter for iPad")</f>
        <v>Twitter for iPad</v>
      </c>
      <c r="L3939" s="16">
        <v>1446</v>
      </c>
      <c r="M3939" s="16">
        <v>70</v>
      </c>
      <c r="N3939" s="16">
        <v>8</v>
      </c>
      <c r="O3939" s="17"/>
      <c r="P3939" s="18">
        <v>40734.110416666663</v>
      </c>
      <c r="Q3939" s="7" t="s">
        <v>20606</v>
      </c>
      <c r="R3939" s="7" t="s">
        <v>20607</v>
      </c>
      <c r="S3939" s="8"/>
      <c r="T3939" s="8"/>
      <c r="U3939" s="19" t="str">
        <f>HYPERLINK("https://pbs.twimg.com/profile_images/1137419707341053952/ANosQNlO.jpg","View")</f>
        <v>View</v>
      </c>
      <c r="V3939" s="8"/>
      <c r="W3939" s="8"/>
      <c r="X3939" s="8"/>
      <c r="Y3939" s="8"/>
      <c r="Z3939" s="8"/>
    </row>
    <row r="3940" spans="1:26" ht="12.75">
      <c r="A3940" s="11">
        <v>43747.134965277779</v>
      </c>
      <c r="B3940" s="12" t="str">
        <f>HYPERLINK("https://twitter.com/volkan_gurel","@volkan_gurel")</f>
        <v>@volkan_gurel</v>
      </c>
      <c r="C3940" s="7" t="s">
        <v>20608</v>
      </c>
      <c r="D3940" s="7" t="s">
        <v>20609</v>
      </c>
      <c r="E3940" s="12" t="str">
        <f>HYPERLINK("https://twitter.com/volkan_gurel/status/1181875540116017153","1181875540116017153")</f>
        <v>1181875540116017153</v>
      </c>
      <c r="F3940" s="8"/>
      <c r="G3940" s="14" t="s">
        <v>20610</v>
      </c>
      <c r="H3940" s="8"/>
      <c r="I3940" s="15">
        <v>0</v>
      </c>
      <c r="J3940" s="15">
        <v>0</v>
      </c>
      <c r="K3940" s="12" t="str">
        <f>HYPERLINK("http://twitter.com/download/android","Twitter for Android")</f>
        <v>Twitter for Android</v>
      </c>
      <c r="L3940" s="16">
        <v>4291</v>
      </c>
      <c r="M3940" s="16">
        <v>4497</v>
      </c>
      <c r="N3940" s="16">
        <v>7</v>
      </c>
      <c r="O3940" s="17"/>
      <c r="P3940" s="18">
        <v>40585.10533564815</v>
      </c>
      <c r="Q3940" s="7" t="s">
        <v>287</v>
      </c>
      <c r="R3940" s="7" t="s">
        <v>20611</v>
      </c>
      <c r="S3940" s="8"/>
      <c r="T3940" s="8"/>
      <c r="U3940" s="19" t="str">
        <f>HYPERLINK("https://pbs.twimg.com/profile_images/1151557728386650113/Szrs1e0r.jpg","View")</f>
        <v>View</v>
      </c>
      <c r="V3940" s="8"/>
      <c r="W3940" s="8"/>
      <c r="X3940" s="8"/>
      <c r="Y3940" s="8"/>
      <c r="Z3940" s="8"/>
    </row>
    <row r="3941" spans="1:26" ht="12.75">
      <c r="A3941" s="11">
        <v>43747.134965277779</v>
      </c>
      <c r="B3941" s="12" t="str">
        <f>HYPERLINK("https://twitter.com/caglay4n","@caglay4n")</f>
        <v>@caglay4n</v>
      </c>
      <c r="C3941" s="7" t="s">
        <v>20612</v>
      </c>
      <c r="D3941" s="7" t="s">
        <v>20613</v>
      </c>
      <c r="E3941" s="12" t="str">
        <f>HYPERLINK("https://twitter.com/caglay4n/status/1181875537654013953","1181875537654013953")</f>
        <v>1181875537654013953</v>
      </c>
      <c r="F3941" s="14" t="s">
        <v>20614</v>
      </c>
      <c r="G3941" s="7"/>
      <c r="H3941" s="8"/>
      <c r="I3941" s="15">
        <v>0</v>
      </c>
      <c r="J3941" s="15">
        <v>0</v>
      </c>
      <c r="K3941" s="12" t="str">
        <f>HYPERLINK("http://twitter.com/download/iphone","Twitter for iPhone")</f>
        <v>Twitter for iPhone</v>
      </c>
      <c r="L3941" s="16">
        <v>635</v>
      </c>
      <c r="M3941" s="16">
        <v>159</v>
      </c>
      <c r="N3941" s="16">
        <v>2</v>
      </c>
      <c r="O3941" s="17"/>
      <c r="P3941" s="18">
        <v>40926.710532407407</v>
      </c>
      <c r="Q3941" s="7" t="s">
        <v>313</v>
      </c>
      <c r="R3941" s="7" t="s">
        <v>20615</v>
      </c>
      <c r="S3941" s="8"/>
      <c r="T3941" s="8"/>
      <c r="U3941" s="19" t="str">
        <f>HYPERLINK("https://pbs.twimg.com/profile_images/1167008986673176582/HZ9xO_Qy.jpg","View")</f>
        <v>View</v>
      </c>
      <c r="V3941" s="8"/>
      <c r="W3941" s="8"/>
      <c r="X3941" s="8"/>
      <c r="Y3941" s="8"/>
      <c r="Z3941" s="8"/>
    </row>
    <row r="3942" spans="1:26" ht="12.75">
      <c r="A3942" s="11">
        <v>43747.134953703702</v>
      </c>
      <c r="B3942" s="12" t="str">
        <f>HYPERLINK("https://twitter.com/idris_aksakal","@idris_aksakal")</f>
        <v>@idris_aksakal</v>
      </c>
      <c r="C3942" s="7" t="s">
        <v>20616</v>
      </c>
      <c r="D3942" s="7" t="s">
        <v>20617</v>
      </c>
      <c r="E3942" s="12" t="str">
        <f>HYPERLINK("https://twitter.com/idris_aksakal/status/1181875534638256133","1181875534638256133")</f>
        <v>1181875534638256133</v>
      </c>
      <c r="F3942" s="8"/>
      <c r="G3942" s="14" t="s">
        <v>20618</v>
      </c>
      <c r="H3942" s="8"/>
      <c r="I3942" s="15">
        <v>1</v>
      </c>
      <c r="J3942" s="15">
        <v>6</v>
      </c>
      <c r="K3942" s="12" t="str">
        <f>HYPERLINK("http://twitter.com/download/iphone","Twitter for iPhone")</f>
        <v>Twitter for iPhone</v>
      </c>
      <c r="L3942" s="16">
        <v>3891</v>
      </c>
      <c r="M3942" s="16">
        <v>3664</v>
      </c>
      <c r="N3942" s="16">
        <v>0</v>
      </c>
      <c r="O3942" s="17"/>
      <c r="P3942" s="18">
        <v>41561.282685185186</v>
      </c>
      <c r="Q3942" s="7" t="s">
        <v>20619</v>
      </c>
      <c r="R3942" s="7" t="s">
        <v>20620</v>
      </c>
      <c r="S3942" s="14" t="s">
        <v>20621</v>
      </c>
      <c r="T3942" s="8"/>
      <c r="U3942" s="19" t="str">
        <f>HYPERLINK("https://pbs.twimg.com/profile_images/1181719286810853377/cVYOV2fT.jpg","View")</f>
        <v>View</v>
      </c>
      <c r="V3942" s="8"/>
      <c r="W3942" s="8"/>
      <c r="X3942" s="8"/>
      <c r="Y3942" s="8"/>
      <c r="Z3942" s="8"/>
    </row>
    <row r="3943" spans="1:26" ht="12.75">
      <c r="A3943" s="11">
        <v>43747.13490740741</v>
      </c>
      <c r="B3943" s="12" t="str">
        <f>HYPERLINK("https://twitter.com/krkmzzy","@krkmzzy")</f>
        <v>@krkmzzy</v>
      </c>
      <c r="C3943" s="7" t="s">
        <v>20622</v>
      </c>
      <c r="D3943" s="7" t="s">
        <v>20623</v>
      </c>
      <c r="E3943" s="12" t="str">
        <f>HYPERLINK("https://twitter.com/krkmzzy/status/1181875516615340032","1181875516615340032")</f>
        <v>1181875516615340032</v>
      </c>
      <c r="F3943" s="8"/>
      <c r="G3943" s="7"/>
      <c r="H3943" s="8"/>
      <c r="I3943" s="15">
        <v>1</v>
      </c>
      <c r="J3943" s="15">
        <v>3</v>
      </c>
      <c r="K3943" s="12" t="str">
        <f>HYPERLINK("http://twitter.com/download/android","Twitter for Android")</f>
        <v>Twitter for Android</v>
      </c>
      <c r="L3943" s="16">
        <v>300</v>
      </c>
      <c r="M3943" s="16">
        <v>1775</v>
      </c>
      <c r="N3943" s="16">
        <v>0</v>
      </c>
      <c r="O3943" s="17"/>
      <c r="P3943" s="18">
        <v>40946.279502314814</v>
      </c>
      <c r="Q3943" s="7" t="s">
        <v>860</v>
      </c>
      <c r="R3943" s="7"/>
      <c r="S3943" s="8"/>
      <c r="T3943" s="8"/>
      <c r="U3943" s="19" t="str">
        <f>HYPERLINK("https://pbs.twimg.com/profile_images/1155940117455998983/Vdpd84Wf.jpg","View")</f>
        <v>View</v>
      </c>
      <c r="V3943" s="8"/>
      <c r="W3943" s="8"/>
      <c r="X3943" s="8"/>
      <c r="Y3943" s="8"/>
      <c r="Z3943" s="8"/>
    </row>
    <row r="3944" spans="1:26" ht="12.75">
      <c r="A3944" s="11">
        <v>43747.134837962964</v>
      </c>
      <c r="B3944" s="12" t="str">
        <f>HYPERLINK("https://twitter.com/covannidoss","@covannidoss")</f>
        <v>@covannidoss</v>
      </c>
      <c r="C3944" s="7" t="s">
        <v>20624</v>
      </c>
      <c r="D3944" s="7" t="s">
        <v>20625</v>
      </c>
      <c r="E3944" s="12" t="str">
        <f>HYPERLINK("https://twitter.com/covannidoss/status/1181875494351978498","1181875494351978498")</f>
        <v>1181875494351978498</v>
      </c>
      <c r="F3944" s="8"/>
      <c r="G3944" s="14" t="s">
        <v>20626</v>
      </c>
      <c r="H3944" s="8"/>
      <c r="I3944" s="15">
        <v>0</v>
      </c>
      <c r="J3944" s="15">
        <v>0</v>
      </c>
      <c r="K3944" s="12" t="str">
        <f>HYPERLINK("http://twitter.com/download/android","Twitter for Android")</f>
        <v>Twitter for Android</v>
      </c>
      <c r="L3944" s="16">
        <v>1530</v>
      </c>
      <c r="M3944" s="16">
        <v>2362</v>
      </c>
      <c r="N3944" s="16">
        <v>0</v>
      </c>
      <c r="O3944" s="17"/>
      <c r="P3944" s="18">
        <v>42805.727430555555</v>
      </c>
      <c r="Q3944" s="7" t="s">
        <v>3485</v>
      </c>
      <c r="R3944" s="7" t="s">
        <v>20627</v>
      </c>
      <c r="S3944" s="8"/>
      <c r="T3944" s="8"/>
      <c r="U3944" s="19" t="str">
        <f>HYPERLINK("https://pbs.twimg.com/profile_images/840738357227446272/HwEldNWg.jpg","View")</f>
        <v>View</v>
      </c>
      <c r="V3944" s="8"/>
      <c r="W3944" s="8"/>
      <c r="X3944" s="8"/>
      <c r="Y3944" s="8"/>
      <c r="Z3944" s="8"/>
    </row>
    <row r="3945" spans="1:26" ht="12.75">
      <c r="A3945" s="11">
        <v>43747.13481481481</v>
      </c>
      <c r="B3945" s="12" t="str">
        <f>HYPERLINK("https://twitter.com/ATVDirilisOsman","@ATVDirilisOsman")</f>
        <v>@ATVDirilisOsman</v>
      </c>
      <c r="C3945" s="7" t="s">
        <v>20628</v>
      </c>
      <c r="D3945" s="7" t="s">
        <v>20629</v>
      </c>
      <c r="E3945" s="12" t="str">
        <f>HYPERLINK("https://twitter.com/ATVDirilisOsman/status/1181875484466012161","1181875484466012161")</f>
        <v>1181875484466012161</v>
      </c>
      <c r="F3945" s="8" t="s">
        <v>20630</v>
      </c>
      <c r="G3945" s="15"/>
      <c r="H3945" s="8"/>
      <c r="I3945" s="15">
        <v>0</v>
      </c>
      <c r="J3945" s="15">
        <v>1</v>
      </c>
      <c r="K3945" s="12" t="str">
        <f>HYPERLINK("https://mobile.twitter.com","Twitter Web App")</f>
        <v>Twitter Web App</v>
      </c>
      <c r="L3945" s="16">
        <v>12</v>
      </c>
      <c r="M3945" s="16">
        <v>123</v>
      </c>
      <c r="N3945" s="16">
        <v>0</v>
      </c>
      <c r="O3945" s="17"/>
      <c r="P3945" s="18">
        <v>43067.60732638889</v>
      </c>
      <c r="Q3945" s="7"/>
      <c r="R3945" s="7"/>
      <c r="S3945" s="8"/>
      <c r="T3945" s="8"/>
      <c r="U3945" s="19" t="str">
        <f>HYPERLINK("https://pbs.twimg.com/profile_images/1177253726542802945/UNu3ooeP.jpg","View")</f>
        <v>View</v>
      </c>
      <c r="V3945" s="8"/>
      <c r="W3945" s="8"/>
      <c r="X3945" s="8"/>
      <c r="Y3945" s="8"/>
      <c r="Z3945" s="8"/>
    </row>
    <row r="3946" spans="1:26" ht="12.75">
      <c r="A3946" s="11">
        <v>43747.134768518517</v>
      </c>
      <c r="B3946" s="12" t="str">
        <f>HYPERLINK("https://twitter.com/kurtulusssssss","@kurtulusssssss")</f>
        <v>@kurtulusssssss</v>
      </c>
      <c r="C3946" s="7" t="s">
        <v>20631</v>
      </c>
      <c r="D3946" s="7" t="s">
        <v>20632</v>
      </c>
      <c r="E3946" s="12" t="str">
        <f>HYPERLINK("https://twitter.com/kurtulusssssss/status/1181875467747508224","1181875467747508224")</f>
        <v>1181875467747508224</v>
      </c>
      <c r="F3946" s="8"/>
      <c r="G3946" s="14" t="s">
        <v>20633</v>
      </c>
      <c r="H3946" s="8"/>
      <c r="I3946" s="15">
        <v>0</v>
      </c>
      <c r="J3946" s="15">
        <v>0</v>
      </c>
      <c r="K3946" s="12" t="str">
        <f>HYPERLINK("http://twitter.com/download/android","Twitter for Android")</f>
        <v>Twitter for Android</v>
      </c>
      <c r="L3946" s="16">
        <v>181</v>
      </c>
      <c r="M3946" s="16">
        <v>188</v>
      </c>
      <c r="N3946" s="16">
        <v>0</v>
      </c>
      <c r="O3946" s="17"/>
      <c r="P3946" s="18">
        <v>42595.404490740737</v>
      </c>
      <c r="Q3946" s="7" t="s">
        <v>313</v>
      </c>
      <c r="R3946" s="7" t="s">
        <v>20634</v>
      </c>
      <c r="S3946" s="8"/>
      <c r="T3946" s="8"/>
      <c r="U3946" s="19" t="str">
        <f>HYPERLINK("https://pbs.twimg.com/profile_images/1172089930371207168/RN4c9FAJ.jpg","View")</f>
        <v>View</v>
      </c>
      <c r="V3946" s="8"/>
      <c r="W3946" s="8"/>
      <c r="X3946" s="8"/>
      <c r="Y3946" s="8"/>
      <c r="Z3946" s="8"/>
    </row>
    <row r="3947" spans="1:26" ht="12.75">
      <c r="A3947" s="11">
        <v>43747.134733796294</v>
      </c>
      <c r="B3947" s="12" t="str">
        <f>HYPERLINK("https://twitter.com/kayameftun","@kayameftun")</f>
        <v>@kayameftun</v>
      </c>
      <c r="C3947" s="7" t="s">
        <v>20635</v>
      </c>
      <c r="D3947" s="7" t="s">
        <v>20636</v>
      </c>
      <c r="E3947" s="12" t="str">
        <f>HYPERLINK("https://twitter.com/kayameftun/status/1181875454145437697","1181875454145437697")</f>
        <v>1181875454145437697</v>
      </c>
      <c r="F3947" s="8"/>
      <c r="G3947" s="14" t="s">
        <v>20637</v>
      </c>
      <c r="H3947" s="8"/>
      <c r="I3947" s="15">
        <v>0</v>
      </c>
      <c r="J3947" s="15">
        <v>0</v>
      </c>
      <c r="K3947" s="12" t="str">
        <f>HYPERLINK("http://twitter.com/download/iphone","Twitter for iPhone")</f>
        <v>Twitter for iPhone</v>
      </c>
      <c r="L3947" s="16">
        <v>84</v>
      </c>
      <c r="M3947" s="16">
        <v>67</v>
      </c>
      <c r="N3947" s="16">
        <v>0</v>
      </c>
      <c r="O3947" s="17"/>
      <c r="P3947" s="18">
        <v>41230.37232638889</v>
      </c>
      <c r="Q3947" s="7" t="s">
        <v>313</v>
      </c>
      <c r="R3947" s="7" t="s">
        <v>20638</v>
      </c>
      <c r="S3947" s="8"/>
      <c r="T3947" s="8"/>
      <c r="U3947" s="19" t="str">
        <f>HYPERLINK("https://pbs.twimg.com/profile_images/1144032292194738176/OOTLYEld.jpg","View")</f>
        <v>View</v>
      </c>
      <c r="V3947" s="8"/>
      <c r="W3947" s="8"/>
      <c r="X3947" s="8"/>
      <c r="Y3947" s="8"/>
      <c r="Z3947" s="8"/>
    </row>
    <row r="3948" spans="1:26" ht="12.75">
      <c r="A3948" s="11">
        <v>43747.134710648148</v>
      </c>
      <c r="B3948" s="12" t="str">
        <f>HYPERLINK("https://twitter.com/GanaAkra","@GanaAkra")</f>
        <v>@GanaAkra</v>
      </c>
      <c r="C3948" s="7" t="s">
        <v>20639</v>
      </c>
      <c r="D3948" s="7" t="s">
        <v>20640</v>
      </c>
      <c r="E3948" s="12" t="str">
        <f>HYPERLINK("https://twitter.com/GanaAkra/status/1181875448655028224","1181875448655028224")</f>
        <v>1181875448655028224</v>
      </c>
      <c r="F3948" s="8"/>
      <c r="G3948" s="14" t="s">
        <v>20641</v>
      </c>
      <c r="H3948" s="8"/>
      <c r="I3948" s="15">
        <v>1</v>
      </c>
      <c r="J3948" s="15">
        <v>3</v>
      </c>
      <c r="K3948" s="12" t="str">
        <f>HYPERLINK("http://twitter.com/download/android","Twitter for Android")</f>
        <v>Twitter for Android</v>
      </c>
      <c r="L3948" s="16">
        <v>22</v>
      </c>
      <c r="M3948" s="16">
        <v>8</v>
      </c>
      <c r="N3948" s="16">
        <v>0</v>
      </c>
      <c r="O3948" s="17"/>
      <c r="P3948" s="18">
        <v>43154.722303240742</v>
      </c>
      <c r="Q3948" s="7"/>
      <c r="R3948" s="7"/>
      <c r="S3948" s="8"/>
      <c r="T3948" s="8"/>
      <c r="U3948" s="19" t="str">
        <f>HYPERLINK("https://pbs.twimg.com/profile_images/1151487442169540608/RZ8xJEkq.jpg","View")</f>
        <v>View</v>
      </c>
      <c r="V3948" s="8"/>
      <c r="W3948" s="8"/>
      <c r="X3948" s="8"/>
      <c r="Y3948" s="8"/>
      <c r="Z3948" s="8"/>
    </row>
    <row r="3949" spans="1:26" ht="12.75">
      <c r="A3949" s="11">
        <v>43747.134675925925</v>
      </c>
      <c r="B3949" s="12" t="str">
        <f>HYPERLINK("https://twitter.com/mag74150178","@mag74150178")</f>
        <v>@mag74150178</v>
      </c>
      <c r="C3949" s="7" t="s">
        <v>20642</v>
      </c>
      <c r="D3949" s="7" t="s">
        <v>20643</v>
      </c>
      <c r="E3949" s="12" t="str">
        <f>HYPERLINK("https://twitter.com/mag74150178/status/1181875435417808896","1181875435417808896")</f>
        <v>1181875435417808896</v>
      </c>
      <c r="F3949" s="8"/>
      <c r="G3949" s="15"/>
      <c r="H3949" s="8"/>
      <c r="I3949" s="15">
        <v>0</v>
      </c>
      <c r="J3949" s="15">
        <v>0</v>
      </c>
      <c r="K3949" s="12" t="str">
        <f>HYPERLINK("http://twitter.com/download/iphone","Twitter for iPhone")</f>
        <v>Twitter for iPhone</v>
      </c>
      <c r="L3949" s="16">
        <v>1</v>
      </c>
      <c r="M3949" s="16">
        <v>24</v>
      </c>
      <c r="N3949" s="16">
        <v>0</v>
      </c>
      <c r="O3949" s="17"/>
      <c r="P3949" s="18">
        <v>43290.471006944441</v>
      </c>
      <c r="Q3949" s="7"/>
      <c r="R3949" s="7"/>
      <c r="S3949" s="8"/>
      <c r="T3949" s="8"/>
      <c r="U3949" s="20" t="s">
        <v>354</v>
      </c>
      <c r="V3949" s="8"/>
      <c r="W3949" s="8"/>
      <c r="X3949" s="8"/>
      <c r="Y3949" s="8"/>
      <c r="Z3949" s="8"/>
    </row>
    <row r="3950" spans="1:26" ht="12.75">
      <c r="A3950" s="11">
        <v>43747.134583333333</v>
      </c>
      <c r="B3950" s="12" t="str">
        <f>HYPERLINK("https://twitter.com/umitatik","@umitatik")</f>
        <v>@umitatik</v>
      </c>
      <c r="C3950" s="7" t="s">
        <v>20644</v>
      </c>
      <c r="D3950" s="7" t="s">
        <v>20645</v>
      </c>
      <c r="E3950" s="12" t="str">
        <f>HYPERLINK("https://twitter.com/umitatik/status/1181875401993404418","1181875401993404418")</f>
        <v>1181875401993404418</v>
      </c>
      <c r="F3950" s="15"/>
      <c r="G3950" s="15"/>
      <c r="H3950" s="8"/>
      <c r="I3950" s="15">
        <v>0</v>
      </c>
      <c r="J3950" s="15">
        <v>0</v>
      </c>
      <c r="K3950" s="12" t="str">
        <f>HYPERLINK("http://twitter.com/download/android","Twitter for Android")</f>
        <v>Twitter for Android</v>
      </c>
      <c r="L3950" s="16">
        <v>40</v>
      </c>
      <c r="M3950" s="16">
        <v>284</v>
      </c>
      <c r="N3950" s="16">
        <v>0</v>
      </c>
      <c r="O3950" s="17"/>
      <c r="P3950" s="18">
        <v>40398.592476851853</v>
      </c>
      <c r="Q3950" s="7"/>
      <c r="R3950" s="7"/>
      <c r="S3950" s="8"/>
      <c r="T3950" s="8"/>
      <c r="U3950" s="19" t="str">
        <f>HYPERLINK("https://pbs.twimg.com/profile_images/1115179980793761793/Ox2sUqLL.jpg","View")</f>
        <v>View</v>
      </c>
      <c r="V3950" s="8"/>
      <c r="W3950" s="8"/>
      <c r="X3950" s="8"/>
      <c r="Y3950" s="8"/>
      <c r="Z3950" s="8"/>
    </row>
    <row r="3951" spans="1:26" ht="12.75">
      <c r="A3951" s="11">
        <v>43747.134548611109</v>
      </c>
      <c r="B3951" s="12" t="str">
        <f>HYPERLINK("https://twitter.com/ilhancck","@ilhancck")</f>
        <v>@ilhancck</v>
      </c>
      <c r="C3951" s="7" t="s">
        <v>20646</v>
      </c>
      <c r="D3951" s="7" t="s">
        <v>160</v>
      </c>
      <c r="E3951" s="12" t="str">
        <f>HYPERLINK("https://twitter.com/ilhancck/status/1181875389783777280","1181875389783777280")</f>
        <v>1181875389783777280</v>
      </c>
      <c r="F3951" s="15"/>
      <c r="G3951" s="14" t="s">
        <v>20647</v>
      </c>
      <c r="H3951" s="8"/>
      <c r="I3951" s="15">
        <v>0</v>
      </c>
      <c r="J3951" s="15">
        <v>1</v>
      </c>
      <c r="K3951" s="12" t="str">
        <f>HYPERLINK("http://twitter.com/download/android","Twitter for Android")</f>
        <v>Twitter for Android</v>
      </c>
      <c r="L3951" s="16">
        <v>881</v>
      </c>
      <c r="M3951" s="16">
        <v>315</v>
      </c>
      <c r="N3951" s="16">
        <v>0</v>
      </c>
      <c r="O3951" s="17"/>
      <c r="P3951" s="18">
        <v>42621.335648148146</v>
      </c>
      <c r="Q3951" s="7" t="s">
        <v>20648</v>
      </c>
      <c r="R3951" s="7" t="s">
        <v>20649</v>
      </c>
      <c r="S3951" s="15"/>
      <c r="T3951" s="8"/>
      <c r="U3951" s="19" t="str">
        <f>HYPERLINK("https://pbs.twimg.com/profile_images/1174005150278705152/my0pj6hT.jpg","View")</f>
        <v>View</v>
      </c>
      <c r="V3951" s="8"/>
      <c r="W3951" s="8"/>
      <c r="X3951" s="8"/>
      <c r="Y3951" s="8"/>
      <c r="Z3951" s="8"/>
    </row>
    <row r="3952" spans="1:26" ht="12.75">
      <c r="A3952" s="11">
        <v>43747.134513888886</v>
      </c>
      <c r="B3952" s="12" t="str">
        <f>HYPERLINK("https://twitter.com/mtopal97","@mtopal97")</f>
        <v>@mtopal97</v>
      </c>
      <c r="C3952" s="7" t="s">
        <v>20650</v>
      </c>
      <c r="D3952" s="7" t="s">
        <v>20651</v>
      </c>
      <c r="E3952" s="12" t="str">
        <f>HYPERLINK("https://twitter.com/mtopal97/status/1181875375619616770","1181875375619616770")</f>
        <v>1181875375619616770</v>
      </c>
      <c r="F3952" s="14" t="s">
        <v>20652</v>
      </c>
      <c r="G3952" s="14" t="s">
        <v>20653</v>
      </c>
      <c r="H3952" s="8"/>
      <c r="I3952" s="15">
        <v>0</v>
      </c>
      <c r="J3952" s="15">
        <v>1</v>
      </c>
      <c r="K3952" s="12" t="str">
        <f>HYPERLINK("http://twitter.com/download/android","Twitter for Android")</f>
        <v>Twitter for Android</v>
      </c>
      <c r="L3952" s="16">
        <v>133</v>
      </c>
      <c r="M3952" s="16">
        <v>145</v>
      </c>
      <c r="N3952" s="16">
        <v>0</v>
      </c>
      <c r="O3952" s="17"/>
      <c r="P3952" s="18">
        <v>42229.366597222222</v>
      </c>
      <c r="Q3952" s="7" t="s">
        <v>313</v>
      </c>
      <c r="R3952" s="7" t="s">
        <v>20654</v>
      </c>
      <c r="S3952" s="8"/>
      <c r="T3952" s="8"/>
      <c r="U3952" s="19" t="str">
        <f>HYPERLINK("https://pbs.twimg.com/profile_images/1000439511590096897/VdqoqatN.jpg","View")</f>
        <v>View</v>
      </c>
      <c r="V3952" s="8"/>
      <c r="W3952" s="8"/>
      <c r="X3952" s="8"/>
      <c r="Y3952" s="8"/>
      <c r="Z3952" s="8"/>
    </row>
    <row r="3953" spans="1:26" ht="12.75">
      <c r="A3953" s="11">
        <v>43747.13449074074</v>
      </c>
      <c r="B3953" s="12" t="str">
        <f>HYPERLINK("https://twitter.com/mucar017","@mucar017")</f>
        <v>@mucar017</v>
      </c>
      <c r="C3953" s="7" t="s">
        <v>20655</v>
      </c>
      <c r="D3953" s="7" t="s">
        <v>20656</v>
      </c>
      <c r="E3953" s="12" t="str">
        <f>HYPERLINK("https://twitter.com/mucar017/status/1181875369168781312","1181875369168781312")</f>
        <v>1181875369168781312</v>
      </c>
      <c r="F3953" s="14" t="s">
        <v>20657</v>
      </c>
      <c r="G3953" s="7"/>
      <c r="H3953" s="8"/>
      <c r="I3953" s="15">
        <v>0</v>
      </c>
      <c r="J3953" s="15">
        <v>1</v>
      </c>
      <c r="K3953" s="12" t="str">
        <f>HYPERLINK("http://twitter.com","Twitter Web Client")</f>
        <v>Twitter Web Client</v>
      </c>
      <c r="L3953" s="16">
        <v>1230</v>
      </c>
      <c r="M3953" s="16">
        <v>1511</v>
      </c>
      <c r="N3953" s="16">
        <v>1</v>
      </c>
      <c r="O3953" s="17"/>
      <c r="P3953" s="18">
        <v>41225.127581018518</v>
      </c>
      <c r="Q3953" s="7" t="s">
        <v>200</v>
      </c>
      <c r="R3953" s="7" t="s">
        <v>20658</v>
      </c>
      <c r="S3953" s="8"/>
      <c r="T3953" s="8"/>
      <c r="U3953" s="19" t="str">
        <f>HYPERLINK("https://pbs.twimg.com/profile_images/1024925644206075905/X4icopH-.jpg","View")</f>
        <v>View</v>
      </c>
      <c r="V3953" s="8"/>
      <c r="W3953" s="8"/>
      <c r="X3953" s="8"/>
      <c r="Y3953" s="8"/>
      <c r="Z3953" s="8"/>
    </row>
    <row r="3954" spans="1:26" ht="12.75">
      <c r="A3954" s="11">
        <v>43747.134386574078</v>
      </c>
      <c r="B3954" s="12" t="str">
        <f>HYPERLINK("https://twitter.com/ugurlu_tahsin","@ugurlu_tahsin")</f>
        <v>@ugurlu_tahsin</v>
      </c>
      <c r="C3954" s="7" t="s">
        <v>20659</v>
      </c>
      <c r="D3954" s="7" t="s">
        <v>160</v>
      </c>
      <c r="E3954" s="12" t="str">
        <f>HYPERLINK("https://twitter.com/ugurlu_tahsin/status/1181875329129963521","1181875329129963521")</f>
        <v>1181875329129963521</v>
      </c>
      <c r="F3954" s="8"/>
      <c r="G3954" s="7"/>
      <c r="H3954" s="8"/>
      <c r="I3954" s="15">
        <v>0</v>
      </c>
      <c r="J3954" s="15">
        <v>0</v>
      </c>
      <c r="K3954" s="12" t="str">
        <f>HYPERLINK("http://twitter.com/download/iphone","Twitter for iPhone")</f>
        <v>Twitter for iPhone</v>
      </c>
      <c r="L3954" s="16">
        <v>765</v>
      </c>
      <c r="M3954" s="16">
        <v>527</v>
      </c>
      <c r="N3954" s="16">
        <v>0</v>
      </c>
      <c r="O3954" s="17"/>
      <c r="P3954" s="18">
        <v>42095.40525462963</v>
      </c>
      <c r="Q3954" s="7" t="s">
        <v>15141</v>
      </c>
      <c r="R3954" s="7" t="s">
        <v>8412</v>
      </c>
      <c r="S3954" s="8"/>
      <c r="T3954" s="8"/>
      <c r="U3954" s="19" t="str">
        <f>HYPERLINK("https://pbs.twimg.com/profile_images/1181643400375869442/UlFclGvB.jpg","View")</f>
        <v>View</v>
      </c>
      <c r="V3954" s="8"/>
      <c r="W3954" s="8"/>
      <c r="X3954" s="8"/>
      <c r="Y3954" s="8"/>
      <c r="Z3954" s="8"/>
    </row>
    <row r="3955" spans="1:26" ht="12.75">
      <c r="A3955" s="11">
        <v>43747.134375000001</v>
      </c>
      <c r="B3955" s="12" t="str">
        <f>HYPERLINK("https://twitter.com/frlnfurkan","@frlnfurkan")</f>
        <v>@frlnfurkan</v>
      </c>
      <c r="C3955" s="7" t="s">
        <v>20660</v>
      </c>
      <c r="D3955" s="7" t="s">
        <v>20661</v>
      </c>
      <c r="E3955" s="12" t="str">
        <f>HYPERLINK("https://twitter.com/frlnfurkan/status/1181875325560655873","1181875325560655873")</f>
        <v>1181875325560655873</v>
      </c>
      <c r="F3955" s="8"/>
      <c r="G3955" s="14" t="s">
        <v>20662</v>
      </c>
      <c r="H3955" s="8"/>
      <c r="I3955" s="15">
        <v>0</v>
      </c>
      <c r="J3955" s="15">
        <v>0</v>
      </c>
      <c r="K3955" s="12" t="str">
        <f>HYPERLINK("http://twitter.com/download/iphone","Twitter for iPhone")</f>
        <v>Twitter for iPhone</v>
      </c>
      <c r="L3955" s="16">
        <v>230</v>
      </c>
      <c r="M3955" s="16">
        <v>320</v>
      </c>
      <c r="N3955" s="16">
        <v>0</v>
      </c>
      <c r="O3955" s="17"/>
      <c r="P3955" s="18">
        <v>43329.688703703709</v>
      </c>
      <c r="Q3955" s="7" t="s">
        <v>20663</v>
      </c>
      <c r="R3955" s="7" t="s">
        <v>20664</v>
      </c>
      <c r="S3955" s="8"/>
      <c r="T3955" s="8"/>
      <c r="U3955" s="19" t="str">
        <f>HYPERLINK("https://pbs.twimg.com/profile_images/1030599048724729856/z_dZHB6F.jpg","View")</f>
        <v>View</v>
      </c>
      <c r="V3955" s="8"/>
      <c r="W3955" s="8"/>
      <c r="X3955" s="8"/>
      <c r="Y3955" s="8"/>
      <c r="Z3955" s="8"/>
    </row>
    <row r="3956" spans="1:26" ht="12.75">
      <c r="A3956" s="11">
        <v>43747.134317129632</v>
      </c>
      <c r="B3956" s="12" t="str">
        <f>HYPERLINK("https://twitter.com/adsadsads00","@adsadsads00")</f>
        <v>@adsadsads00</v>
      </c>
      <c r="C3956" s="7" t="s">
        <v>20665</v>
      </c>
      <c r="D3956" s="7" t="s">
        <v>20666</v>
      </c>
      <c r="E3956" s="12" t="str">
        <f>HYPERLINK("https://twitter.com/adsadsads00/status/1181875303213387776","1181875303213387776")</f>
        <v>1181875303213387776</v>
      </c>
      <c r="F3956" s="8"/>
      <c r="G3956" s="14" t="s">
        <v>20667</v>
      </c>
      <c r="H3956" s="8"/>
      <c r="I3956" s="15">
        <v>0</v>
      </c>
      <c r="J3956" s="15">
        <v>0</v>
      </c>
      <c r="K3956" s="12" t="str">
        <f>HYPERLINK("http://twitter.com/download/iphone","Twitter for iPhone")</f>
        <v>Twitter for iPhone</v>
      </c>
      <c r="L3956" s="16">
        <v>2</v>
      </c>
      <c r="M3956" s="16">
        <v>39</v>
      </c>
      <c r="N3956" s="16">
        <v>0</v>
      </c>
      <c r="O3956" s="17"/>
      <c r="P3956" s="18">
        <v>42127.612500000003</v>
      </c>
      <c r="Q3956" s="7" t="s">
        <v>2201</v>
      </c>
      <c r="R3956" s="7"/>
      <c r="S3956" s="8"/>
      <c r="T3956" s="8"/>
      <c r="U3956" s="19" t="str">
        <f>HYPERLINK("https://pbs.twimg.com/profile_images/619542407911243776/23E2qX0r.jpg","View")</f>
        <v>View</v>
      </c>
      <c r="V3956" s="8"/>
      <c r="W3956" s="8"/>
      <c r="X3956" s="8"/>
      <c r="Y3956" s="8"/>
      <c r="Z3956" s="8"/>
    </row>
    <row r="3957" spans="1:26" ht="12.75">
      <c r="A3957" s="11">
        <v>43747.134224537032</v>
      </c>
      <c r="B3957" s="12" t="str">
        <f>HYPERLINK("https://twitter.com/mustafoztp","@mustafoztp")</f>
        <v>@mustafoztp</v>
      </c>
      <c r="C3957" s="7" t="s">
        <v>20668</v>
      </c>
      <c r="D3957" s="7" t="s">
        <v>20669</v>
      </c>
      <c r="E3957" s="12" t="str">
        <f>HYPERLINK("https://twitter.com/mustafoztp/status/1181875269579264000","1181875269579264000")</f>
        <v>1181875269579264000</v>
      </c>
      <c r="F3957" s="8"/>
      <c r="G3957" s="14" t="s">
        <v>20670</v>
      </c>
      <c r="H3957" s="8"/>
      <c r="I3957" s="15">
        <v>0</v>
      </c>
      <c r="J3957" s="15">
        <v>0</v>
      </c>
      <c r="K3957" s="12" t="str">
        <f>HYPERLINK("http://twitter.com/download/iphone","Twitter for iPhone")</f>
        <v>Twitter for iPhone</v>
      </c>
      <c r="L3957" s="16">
        <v>940</v>
      </c>
      <c r="M3957" s="16">
        <v>578</v>
      </c>
      <c r="N3957" s="16">
        <v>5</v>
      </c>
      <c r="O3957" s="17"/>
      <c r="P3957" s="18">
        <v>40611.531909722224</v>
      </c>
      <c r="Q3957" s="7"/>
      <c r="R3957" s="7" t="s">
        <v>20671</v>
      </c>
      <c r="S3957" s="8"/>
      <c r="T3957" s="8"/>
      <c r="U3957" s="19" t="str">
        <f>HYPERLINK("https://pbs.twimg.com/profile_images/981185156974284808/JFxDeNGk.jpg","View")</f>
        <v>View</v>
      </c>
      <c r="V3957" s="8"/>
      <c r="W3957" s="8"/>
      <c r="X3957" s="8"/>
      <c r="Y3957" s="8"/>
      <c r="Z3957" s="8"/>
    </row>
    <row r="3958" spans="1:26" ht="12.75">
      <c r="A3958" s="11">
        <v>43747.13417824074</v>
      </c>
      <c r="B3958" s="12" t="str">
        <f>HYPERLINK("https://twitter.com/rivrivci1ogrtmn","@rivrivci1ogrtmn")</f>
        <v>@rivrivci1ogrtmn</v>
      </c>
      <c r="C3958" s="7" t="s">
        <v>20672</v>
      </c>
      <c r="D3958" s="7" t="s">
        <v>20673</v>
      </c>
      <c r="E3958" s="12" t="str">
        <f>HYPERLINK("https://twitter.com/rivrivci1ogrtmn/status/1181875253296996353","1181875253296996353")</f>
        <v>1181875253296996353</v>
      </c>
      <c r="F3958" s="8"/>
      <c r="G3958" s="14" t="s">
        <v>20674</v>
      </c>
      <c r="H3958" s="8"/>
      <c r="I3958" s="15">
        <v>2</v>
      </c>
      <c r="J3958" s="15">
        <v>8</v>
      </c>
      <c r="K3958" s="12" t="str">
        <f>HYPERLINK("http://twitter.com/download/android","Twitter for Android")</f>
        <v>Twitter for Android</v>
      </c>
      <c r="L3958" s="16">
        <v>2116</v>
      </c>
      <c r="M3958" s="16">
        <v>400</v>
      </c>
      <c r="N3958" s="16">
        <v>0</v>
      </c>
      <c r="O3958" s="17"/>
      <c r="P3958" s="18">
        <v>43169.539618055554</v>
      </c>
      <c r="Q3958" s="7"/>
      <c r="R3958" s="7" t="s">
        <v>20675</v>
      </c>
      <c r="S3958" s="8"/>
      <c r="T3958" s="8"/>
      <c r="U3958" s="19" t="str">
        <f>HYPERLINK("https://pbs.twimg.com/profile_images/1177525009989931009/3xrxinvi.jpg","View")</f>
        <v>View</v>
      </c>
      <c r="V3958" s="8"/>
      <c r="W3958" s="8"/>
      <c r="X3958" s="8"/>
      <c r="Y3958" s="8"/>
      <c r="Z3958" s="8"/>
    </row>
    <row r="3959" spans="1:26" ht="12.75">
      <c r="A3959" s="11">
        <v>43747.134074074071</v>
      </c>
      <c r="B3959" s="12" t="str">
        <f>HYPERLINK("https://twitter.com/sadeceyasin_","@sadeceyasin_")</f>
        <v>@sadeceyasin_</v>
      </c>
      <c r="C3959" s="7" t="s">
        <v>8611</v>
      </c>
      <c r="D3959" s="7" t="s">
        <v>20676</v>
      </c>
      <c r="E3959" s="12" t="str">
        <f>HYPERLINK("https://twitter.com/sadeceyasin_/status/1181875218752659456","1181875218752659456")</f>
        <v>1181875218752659456</v>
      </c>
      <c r="F3959" s="8"/>
      <c r="G3959" s="7"/>
      <c r="H3959" s="8"/>
      <c r="I3959" s="15">
        <v>0</v>
      </c>
      <c r="J3959" s="15">
        <v>0</v>
      </c>
      <c r="K3959" s="12" t="str">
        <f>HYPERLINK("http://twitter.com/download/android","Twitter for Android")</f>
        <v>Twitter for Android</v>
      </c>
      <c r="L3959" s="16">
        <v>56</v>
      </c>
      <c r="M3959" s="16">
        <v>85</v>
      </c>
      <c r="N3959" s="16">
        <v>0</v>
      </c>
      <c r="O3959" s="17"/>
      <c r="P3959" s="18">
        <v>42575.464351851857</v>
      </c>
      <c r="Q3959" s="7"/>
      <c r="R3959" s="7"/>
      <c r="S3959" s="8"/>
      <c r="T3959" s="8"/>
      <c r="U3959" s="19" t="str">
        <f>HYPERLINK("https://pbs.twimg.com/profile_images/1131712139406848001/8GJgbPa1.jpg","View")</f>
        <v>View</v>
      </c>
      <c r="V3959" s="8"/>
      <c r="W3959" s="8"/>
      <c r="X3959" s="8"/>
      <c r="Y3959" s="8"/>
      <c r="Z3959" s="8"/>
    </row>
    <row r="3960" spans="1:26" ht="12.75">
      <c r="A3960" s="11">
        <v>43747.134050925924</v>
      </c>
      <c r="B3960" s="12" t="str">
        <f>HYPERLINK("https://twitter.com/totalTURK","@totalTURK")</f>
        <v>@totalTURK</v>
      </c>
      <c r="C3960" s="7" t="s">
        <v>20677</v>
      </c>
      <c r="D3960" s="7" t="s">
        <v>20678</v>
      </c>
      <c r="E3960" s="12" t="str">
        <f>HYPERLINK("https://twitter.com/totalTURK/status/1181875208753430528","1181875208753430528")</f>
        <v>1181875208753430528</v>
      </c>
      <c r="F3960" s="8"/>
      <c r="G3960" s="15"/>
      <c r="H3960" s="8"/>
      <c r="I3960" s="15">
        <v>1</v>
      </c>
      <c r="J3960" s="15">
        <v>3</v>
      </c>
      <c r="K3960" s="12" t="str">
        <f>HYPERLINK("http://twitter.com/download/iphone","Twitter for iPhone")</f>
        <v>Twitter for iPhone</v>
      </c>
      <c r="L3960" s="16">
        <v>1162</v>
      </c>
      <c r="M3960" s="16">
        <v>410</v>
      </c>
      <c r="N3960" s="16">
        <v>6</v>
      </c>
      <c r="O3960" s="17"/>
      <c r="P3960" s="18">
        <v>40363.457662037035</v>
      </c>
      <c r="Q3960" s="7"/>
      <c r="R3960" s="7" t="s">
        <v>20679</v>
      </c>
      <c r="S3960" s="15"/>
      <c r="T3960" s="8"/>
      <c r="U3960" s="19" t="str">
        <f>HYPERLINK("https://pbs.twimg.com/profile_images/1090159095041138689/kcjc2jYr.jpg","View")</f>
        <v>View</v>
      </c>
      <c r="V3960" s="8"/>
      <c r="W3960" s="8"/>
      <c r="X3960" s="8"/>
      <c r="Y3960" s="8"/>
      <c r="Z3960" s="8"/>
    </row>
    <row r="3961" spans="1:26" ht="12.75">
      <c r="A3961" s="11">
        <v>43747.133993055555</v>
      </c>
      <c r="B3961" s="12" t="str">
        <f>HYPERLINK("https://twitter.com/uykuluhanim","@uykuluhanim")</f>
        <v>@uykuluhanim</v>
      </c>
      <c r="C3961" s="7" t="s">
        <v>20680</v>
      </c>
      <c r="D3961" s="7" t="s">
        <v>20681</v>
      </c>
      <c r="E3961" s="12" t="str">
        <f>HYPERLINK("https://twitter.com/uykuluhanim/status/1181875187362471936","1181875187362471936")</f>
        <v>1181875187362471936</v>
      </c>
      <c r="F3961" s="8"/>
      <c r="G3961" s="7"/>
      <c r="H3961" s="8"/>
      <c r="I3961" s="15">
        <v>0</v>
      </c>
      <c r="J3961" s="15">
        <v>0</v>
      </c>
      <c r="K3961" s="12" t="str">
        <f>HYPERLINK("http://twitter.com/download/android","Twitter for Android")</f>
        <v>Twitter for Android</v>
      </c>
      <c r="L3961" s="16">
        <v>96</v>
      </c>
      <c r="M3961" s="16">
        <v>93</v>
      </c>
      <c r="N3961" s="16">
        <v>0</v>
      </c>
      <c r="O3961" s="17"/>
      <c r="P3961" s="18">
        <v>43709.698692129634</v>
      </c>
      <c r="Q3961" s="7"/>
      <c r="R3961" s="7">
        <v>2312</v>
      </c>
      <c r="S3961" s="8"/>
      <c r="T3961" s="8"/>
      <c r="U3961" s="19" t="str">
        <f>HYPERLINK("https://pbs.twimg.com/profile_images/1168309975472594944/hES_uv61.jpg","View")</f>
        <v>View</v>
      </c>
      <c r="V3961" s="8"/>
      <c r="W3961" s="8"/>
      <c r="X3961" s="8"/>
      <c r="Y3961" s="8"/>
      <c r="Z3961" s="8"/>
    </row>
    <row r="3962" spans="1:26" ht="12.75">
      <c r="A3962" s="11">
        <v>43747.133969907409</v>
      </c>
      <c r="B3962" s="12" t="str">
        <f>HYPERLINK("https://twitter.com/adnaneraslan66","@adnaneraslan66")</f>
        <v>@adnaneraslan66</v>
      </c>
      <c r="C3962" s="7" t="s">
        <v>20682</v>
      </c>
      <c r="D3962" s="7" t="s">
        <v>20683</v>
      </c>
      <c r="E3962" s="12" t="str">
        <f>HYPERLINK("https://twitter.com/adnaneraslan66/status/1181875179280052224","1181875179280052224")</f>
        <v>1181875179280052224</v>
      </c>
      <c r="F3962" s="8"/>
      <c r="G3962" s="14" t="s">
        <v>20684</v>
      </c>
      <c r="H3962" s="8"/>
      <c r="I3962" s="15">
        <v>0</v>
      </c>
      <c r="J3962" s="15">
        <v>2</v>
      </c>
      <c r="K3962" s="12" t="str">
        <f>HYPERLINK("http://twitter.com/download/iphone","Twitter for iPhone")</f>
        <v>Twitter for iPhone</v>
      </c>
      <c r="L3962" s="16">
        <v>261</v>
      </c>
      <c r="M3962" s="16">
        <v>281</v>
      </c>
      <c r="N3962" s="16">
        <v>0</v>
      </c>
      <c r="O3962" s="17"/>
      <c r="P3962" s="18">
        <v>43469.203657407408</v>
      </c>
      <c r="Q3962" s="7"/>
      <c r="R3962" s="7" t="s">
        <v>20685</v>
      </c>
      <c r="S3962" s="8"/>
      <c r="T3962" s="8"/>
      <c r="U3962" s="19" t="str">
        <f>HYPERLINK("https://pbs.twimg.com/profile_images/1165141396065570816/GnTDmNZq.jpg","View")</f>
        <v>View</v>
      </c>
      <c r="V3962" s="8"/>
      <c r="W3962" s="8"/>
      <c r="X3962" s="8"/>
      <c r="Y3962" s="8"/>
      <c r="Z3962" s="8"/>
    </row>
    <row r="3963" spans="1:26" ht="12.75">
      <c r="A3963" s="11">
        <v>43747.133969907409</v>
      </c>
      <c r="B3963" s="12" t="str">
        <f>HYPERLINK("https://twitter.com/Abdulselam1","@Abdulselam1")</f>
        <v>@Abdulselam1</v>
      </c>
      <c r="C3963" s="7" t="s">
        <v>20686</v>
      </c>
      <c r="D3963" s="7" t="s">
        <v>20687</v>
      </c>
      <c r="E3963" s="12" t="str">
        <f>HYPERLINK("https://twitter.com/Abdulselam1/status/1181875178835513344","1181875178835513344")</f>
        <v>1181875178835513344</v>
      </c>
      <c r="F3963" s="14" t="s">
        <v>20688</v>
      </c>
      <c r="G3963" s="15"/>
      <c r="H3963" s="8"/>
      <c r="I3963" s="15">
        <v>1</v>
      </c>
      <c r="J3963" s="15">
        <v>2</v>
      </c>
      <c r="K3963" s="12" t="str">
        <f>HYPERLINK("http://twitter.com/download/iphone","Twitter for iPhone")</f>
        <v>Twitter for iPhone</v>
      </c>
      <c r="L3963" s="16">
        <v>2162</v>
      </c>
      <c r="M3963" s="16">
        <v>627</v>
      </c>
      <c r="N3963" s="16">
        <v>10</v>
      </c>
      <c r="O3963" s="17"/>
      <c r="P3963" s="18">
        <v>40310.628310185188</v>
      </c>
      <c r="Q3963" s="7" t="s">
        <v>20689</v>
      </c>
      <c r="R3963" s="7" t="s">
        <v>20690</v>
      </c>
      <c r="S3963" s="14" t="s">
        <v>20691</v>
      </c>
      <c r="T3963" s="8"/>
      <c r="U3963" s="19" t="str">
        <f>HYPERLINK("https://pbs.twimg.com/profile_images/1075758603351539712/xmDKG0Tm.jpg","View")</f>
        <v>View</v>
      </c>
      <c r="V3963" s="8"/>
      <c r="W3963" s="8"/>
      <c r="X3963" s="8"/>
      <c r="Y3963" s="8"/>
      <c r="Z3963" s="8"/>
    </row>
    <row r="3964" spans="1:26" ht="12.75">
      <c r="A3964" s="11">
        <v>43747.133900462963</v>
      </c>
      <c r="B3964" s="12" t="str">
        <f>HYPERLINK("https://twitter.com/mustafaturkmenn","@mustafaturkmenn")</f>
        <v>@mustafaturkmenn</v>
      </c>
      <c r="C3964" s="7" t="s">
        <v>20692</v>
      </c>
      <c r="D3964" s="7" t="s">
        <v>20693</v>
      </c>
      <c r="E3964" s="12" t="str">
        <f>HYPERLINK("https://twitter.com/mustafaturkmenn/status/1181875154013569025","1181875154013569025")</f>
        <v>1181875154013569025</v>
      </c>
      <c r="F3964" s="8"/>
      <c r="G3964" s="14" t="s">
        <v>20694</v>
      </c>
      <c r="H3964" s="8"/>
      <c r="I3964" s="15">
        <v>0</v>
      </c>
      <c r="J3964" s="15">
        <v>2</v>
      </c>
      <c r="K3964" s="12" t="str">
        <f>HYPERLINK("http://twitter.com/download/android","Twitter for Android")</f>
        <v>Twitter for Android</v>
      </c>
      <c r="L3964" s="16">
        <v>50</v>
      </c>
      <c r="M3964" s="16">
        <v>30</v>
      </c>
      <c r="N3964" s="16">
        <v>0</v>
      </c>
      <c r="O3964" s="17"/>
      <c r="P3964" s="18">
        <v>41763.402824074074</v>
      </c>
      <c r="Q3964" s="7" t="s">
        <v>313</v>
      </c>
      <c r="R3964" s="7" t="s">
        <v>16791</v>
      </c>
      <c r="S3964" s="14" t="s">
        <v>20695</v>
      </c>
      <c r="T3964" s="8"/>
      <c r="U3964" s="19" t="str">
        <f>HYPERLINK("https://pbs.twimg.com/profile_images/1177735068648902656/ICV3Yu9P.jpg","View")</f>
        <v>View</v>
      </c>
      <c r="V3964" s="8"/>
      <c r="W3964" s="8"/>
      <c r="X3964" s="8"/>
      <c r="Y3964" s="8"/>
      <c r="Z3964" s="8"/>
    </row>
    <row r="3965" spans="1:26" ht="12.75">
      <c r="A3965" s="11">
        <v>43747.133900462963</v>
      </c>
      <c r="B3965" s="12" t="str">
        <f>HYPERLINK("https://twitter.com/ayalp_murat","@ayalp_murat")</f>
        <v>@ayalp_murat</v>
      </c>
      <c r="C3965" s="7" t="s">
        <v>20696</v>
      </c>
      <c r="D3965" s="7" t="s">
        <v>20697</v>
      </c>
      <c r="E3965" s="12" t="str">
        <f>HYPERLINK("https://twitter.com/ayalp_murat/status/1181875152772042753","1181875152772042753")</f>
        <v>1181875152772042753</v>
      </c>
      <c r="F3965" s="8"/>
      <c r="G3965" s="15"/>
      <c r="H3965" s="8"/>
      <c r="I3965" s="15">
        <v>0</v>
      </c>
      <c r="J3965" s="15">
        <v>0</v>
      </c>
      <c r="K3965" s="12" t="str">
        <f>HYPERLINK("http://twitter.com/download/android","Twitter for Android")</f>
        <v>Twitter for Android</v>
      </c>
      <c r="L3965" s="16">
        <v>1103</v>
      </c>
      <c r="M3965" s="16">
        <v>1371</v>
      </c>
      <c r="N3965" s="16">
        <v>0</v>
      </c>
      <c r="O3965" s="17"/>
      <c r="P3965" s="18">
        <v>41443.076990740738</v>
      </c>
      <c r="Q3965" s="7" t="s">
        <v>313</v>
      </c>
      <c r="R3965" s="7" t="s">
        <v>20698</v>
      </c>
      <c r="S3965" s="8"/>
      <c r="T3965" s="8"/>
      <c r="U3965" s="19" t="str">
        <f>HYPERLINK("https://pbs.twimg.com/profile_images/1069110071685193730/h0xkdSsg.jpg","View")</f>
        <v>View</v>
      </c>
      <c r="V3965" s="8"/>
      <c r="W3965" s="8"/>
      <c r="X3965" s="8"/>
      <c r="Y3965" s="8"/>
      <c r="Z3965" s="8"/>
    </row>
    <row r="3966" spans="1:26" ht="12.75">
      <c r="A3966" s="11">
        <v>43747.133854166663</v>
      </c>
      <c r="B3966" s="12" t="str">
        <f>HYPERLINK("https://twitter.com/gokanaydnn","@gokanaydnn")</f>
        <v>@gokanaydnn</v>
      </c>
      <c r="C3966" s="7" t="s">
        <v>20699</v>
      </c>
      <c r="D3966" s="7" t="s">
        <v>20700</v>
      </c>
      <c r="E3966" s="12" t="str">
        <f>HYPERLINK("https://twitter.com/gokanaydnn/status/1181875136896667648","1181875136896667648")</f>
        <v>1181875136896667648</v>
      </c>
      <c r="F3966" s="14" t="s">
        <v>2631</v>
      </c>
      <c r="G3966" s="14" t="s">
        <v>2632</v>
      </c>
      <c r="H3966" s="8"/>
      <c r="I3966" s="15">
        <v>0</v>
      </c>
      <c r="J3966" s="15">
        <v>1</v>
      </c>
      <c r="K3966" s="12" t="str">
        <f>HYPERLINK("http://twitter.com/download/iphone","Twitter for iPhone")</f>
        <v>Twitter for iPhone</v>
      </c>
      <c r="L3966" s="16">
        <v>176</v>
      </c>
      <c r="M3966" s="16">
        <v>82</v>
      </c>
      <c r="N3966" s="16">
        <v>0</v>
      </c>
      <c r="O3966" s="17"/>
      <c r="P3966" s="18">
        <v>42790.537268518514</v>
      </c>
      <c r="Q3966" s="7" t="s">
        <v>576</v>
      </c>
      <c r="R3966" s="7" t="s">
        <v>20701</v>
      </c>
      <c r="S3966" s="14" t="s">
        <v>20702</v>
      </c>
      <c r="T3966" s="8"/>
      <c r="U3966" s="19" t="str">
        <f>HYPERLINK("https://pbs.twimg.com/profile_images/1181682931389140993/LHV2zs-u.jpg","View")</f>
        <v>View</v>
      </c>
      <c r="V3966" s="8"/>
      <c r="W3966" s="8"/>
      <c r="X3966" s="8"/>
      <c r="Y3966" s="8"/>
      <c r="Z3966" s="8"/>
    </row>
    <row r="3967" spans="1:26" ht="12.75">
      <c r="A3967" s="11">
        <v>43747.133854166663</v>
      </c>
      <c r="B3967" s="12" t="str">
        <f>HYPERLINK("https://twitter.com/yunus32011071","@yunus32011071")</f>
        <v>@yunus32011071</v>
      </c>
      <c r="C3967" s="7" t="s">
        <v>20703</v>
      </c>
      <c r="D3967" s="7" t="s">
        <v>20704</v>
      </c>
      <c r="E3967" s="12" t="str">
        <f>HYPERLINK("https://twitter.com/yunus32011071/status/1181875135147630593","1181875135147630593")</f>
        <v>1181875135147630593</v>
      </c>
      <c r="F3967" s="8"/>
      <c r="G3967" s="14" t="s">
        <v>20705</v>
      </c>
      <c r="H3967" s="8"/>
      <c r="I3967" s="15">
        <v>0</v>
      </c>
      <c r="J3967" s="15">
        <v>0</v>
      </c>
      <c r="K3967" s="12" t="str">
        <f>HYPERLINK("http://twitter.com/download/iphone","Twitter for iPhone")</f>
        <v>Twitter for iPhone</v>
      </c>
      <c r="L3967" s="16">
        <v>12</v>
      </c>
      <c r="M3967" s="16">
        <v>88</v>
      </c>
      <c r="N3967" s="16">
        <v>0</v>
      </c>
      <c r="O3967" s="17"/>
      <c r="P3967" s="18">
        <v>43388.476168981477</v>
      </c>
      <c r="Q3967" s="7" t="s">
        <v>20706</v>
      </c>
      <c r="R3967" s="7" t="s">
        <v>20707</v>
      </c>
      <c r="S3967" s="15"/>
      <c r="T3967" s="8"/>
      <c r="U3967" s="19" t="str">
        <f>HYPERLINK("https://pbs.twimg.com/profile_images/1167180401468747776/5jOFh7aL.jpg","View")</f>
        <v>View</v>
      </c>
      <c r="V3967" s="8"/>
      <c r="W3967" s="8"/>
      <c r="X3967" s="8"/>
      <c r="Y3967" s="8"/>
      <c r="Z3967" s="8"/>
    </row>
    <row r="3968" spans="1:26" ht="12.75">
      <c r="A3968" s="11">
        <v>43747.13381944444</v>
      </c>
      <c r="B3968" s="12" t="str">
        <f>HYPERLINK("https://twitter.com/hakanbayburt","@hakanbayburt")</f>
        <v>@hakanbayburt</v>
      </c>
      <c r="C3968" s="7" t="s">
        <v>20708</v>
      </c>
      <c r="D3968" s="7" t="s">
        <v>20709</v>
      </c>
      <c r="E3968" s="12" t="str">
        <f>HYPERLINK("https://twitter.com/hakanbayburt/status/1181875122384375811","1181875122384375811")</f>
        <v>1181875122384375811</v>
      </c>
      <c r="F3968" s="15"/>
      <c r="G3968" s="14" t="s">
        <v>20710</v>
      </c>
      <c r="H3968" s="8"/>
      <c r="I3968" s="15">
        <v>0</v>
      </c>
      <c r="J3968" s="15">
        <v>1</v>
      </c>
      <c r="K3968" s="12" t="str">
        <f>HYPERLINK("http://twitter.com","Twitter Web Client")</f>
        <v>Twitter Web Client</v>
      </c>
      <c r="L3968" s="16">
        <v>1022</v>
      </c>
      <c r="M3968" s="16">
        <v>1932</v>
      </c>
      <c r="N3968" s="16">
        <v>4</v>
      </c>
      <c r="O3968" s="17"/>
      <c r="P3968" s="18">
        <v>40653.307337962964</v>
      </c>
      <c r="Q3968" s="7" t="s">
        <v>20711</v>
      </c>
      <c r="R3968" s="7"/>
      <c r="S3968" s="8"/>
      <c r="T3968" s="8"/>
      <c r="U3968" s="19" t="str">
        <f>HYPERLINK("https://pbs.twimg.com/profile_images/1172991197809446912/X5tE0ePZ.png","View")</f>
        <v>View</v>
      </c>
      <c r="V3968" s="8"/>
      <c r="W3968" s="8"/>
      <c r="X3968" s="8"/>
      <c r="Y3968" s="8"/>
      <c r="Z3968" s="8"/>
    </row>
    <row r="3969" spans="1:26" ht="12.75">
      <c r="A3969" s="11">
        <v>43747.13380787037</v>
      </c>
      <c r="B3969" s="12" t="str">
        <f>HYPERLINK("https://twitter.com/1BOZOK_KARTALI","@1BOZOK_KARTALI")</f>
        <v>@1BOZOK_KARTALI</v>
      </c>
      <c r="C3969" s="7" t="s">
        <v>20712</v>
      </c>
      <c r="D3969" s="7" t="s">
        <v>20713</v>
      </c>
      <c r="E3969" s="12" t="str">
        <f>HYPERLINK("https://twitter.com/1BOZOK_KARTALI/status/1181875118353596416","1181875118353596416")</f>
        <v>1181875118353596416</v>
      </c>
      <c r="F3969" s="8"/>
      <c r="G3969" s="14" t="s">
        <v>20714</v>
      </c>
      <c r="H3969" s="8"/>
      <c r="I3969" s="15">
        <v>2</v>
      </c>
      <c r="J3969" s="15">
        <v>3</v>
      </c>
      <c r="K3969" s="12" t="str">
        <f>HYPERLINK("http://twitter.com/download/android","Twitter for Android")</f>
        <v>Twitter for Android</v>
      </c>
      <c r="L3969" s="16">
        <v>316</v>
      </c>
      <c r="M3969" s="16">
        <v>340</v>
      </c>
      <c r="N3969" s="16">
        <v>1</v>
      </c>
      <c r="O3969" s="17"/>
      <c r="P3969" s="18">
        <v>43098.045046296298</v>
      </c>
      <c r="Q3969" s="7" t="s">
        <v>20715</v>
      </c>
      <c r="R3969" s="13" t="s">
        <v>20716</v>
      </c>
      <c r="S3969" s="8"/>
      <c r="T3969" s="8"/>
      <c r="U3969" s="19" t="str">
        <f>HYPERLINK("https://pbs.twimg.com/profile_images/1111139460006195200/JQ1wDF1b.jpg","View")</f>
        <v>View</v>
      </c>
      <c r="V3969" s="8"/>
      <c r="W3969" s="8"/>
      <c r="X3969" s="8"/>
      <c r="Y3969" s="8"/>
      <c r="Z3969" s="8"/>
    </row>
    <row r="3970" spans="1:26" ht="12.75">
      <c r="A3970" s="11">
        <v>43747.133761574078</v>
      </c>
      <c r="B3970" s="12" t="str">
        <f>HYPERLINK("https://twitter.com/soullesss2","@soullesss2")</f>
        <v>@soullesss2</v>
      </c>
      <c r="C3970" s="7" t="s">
        <v>20717</v>
      </c>
      <c r="D3970" s="7" t="s">
        <v>20718</v>
      </c>
      <c r="E3970" s="12" t="str">
        <f>HYPERLINK("https://twitter.com/soullesss2/status/1181875103329652737","1181875103329652737")</f>
        <v>1181875103329652737</v>
      </c>
      <c r="F3970" s="8"/>
      <c r="G3970" s="15"/>
      <c r="H3970" s="8"/>
      <c r="I3970" s="15">
        <v>0</v>
      </c>
      <c r="J3970" s="15">
        <v>0</v>
      </c>
      <c r="K3970" s="12" t="str">
        <f>HYPERLINK("http://twitter.com/download/iphone","Twitter for iPhone")</f>
        <v>Twitter for iPhone</v>
      </c>
      <c r="L3970" s="16">
        <v>287</v>
      </c>
      <c r="M3970" s="16">
        <v>243</v>
      </c>
      <c r="N3970" s="16">
        <v>0</v>
      </c>
      <c r="O3970" s="17"/>
      <c r="P3970" s="18">
        <v>40526.486273148148</v>
      </c>
      <c r="Q3970" s="7" t="s">
        <v>14024</v>
      </c>
      <c r="R3970" s="7" t="s">
        <v>20719</v>
      </c>
      <c r="S3970" s="15"/>
      <c r="T3970" s="8"/>
      <c r="U3970" s="19" t="str">
        <f>HYPERLINK("https://pbs.twimg.com/profile_images/991761875305197568/ZRj0LC-h.jpg","View")</f>
        <v>View</v>
      </c>
      <c r="V3970" s="8"/>
      <c r="W3970" s="8"/>
      <c r="X3970" s="8"/>
      <c r="Y3970" s="8"/>
      <c r="Z3970" s="8"/>
    </row>
    <row r="3971" spans="1:26" ht="12.75">
      <c r="A3971" s="11">
        <v>43747.133692129632</v>
      </c>
      <c r="B3971" s="12" t="str">
        <f>HYPERLINK("https://twitter.com/msemihsisman","@msemihsisman")</f>
        <v>@msemihsisman</v>
      </c>
      <c r="C3971" s="7" t="s">
        <v>20720</v>
      </c>
      <c r="D3971" s="7" t="s">
        <v>20721</v>
      </c>
      <c r="E3971" s="12" t="str">
        <f>HYPERLINK("https://twitter.com/msemihsisman/status/1181875078386126848","1181875078386126848")</f>
        <v>1181875078386126848</v>
      </c>
      <c r="F3971" s="14" t="s">
        <v>20722</v>
      </c>
      <c r="G3971" s="14" t="s">
        <v>20723</v>
      </c>
      <c r="H3971" s="8"/>
      <c r="I3971" s="15">
        <v>1</v>
      </c>
      <c r="J3971" s="15">
        <v>2</v>
      </c>
      <c r="K3971" s="12" t="str">
        <f>HYPERLINK("http://twitter.com/download/android","Twitter for Android")</f>
        <v>Twitter for Android</v>
      </c>
      <c r="L3971" s="16">
        <v>527</v>
      </c>
      <c r="M3971" s="16">
        <v>2176</v>
      </c>
      <c r="N3971" s="16">
        <v>5</v>
      </c>
      <c r="O3971" s="17"/>
      <c r="P3971" s="18">
        <v>40494.894097222219</v>
      </c>
      <c r="Q3971" s="7" t="s">
        <v>20724</v>
      </c>
      <c r="R3971" s="7" t="s">
        <v>20725</v>
      </c>
      <c r="S3971" s="8"/>
      <c r="T3971" s="8"/>
      <c r="U3971" s="19" t="str">
        <f>HYPERLINK("https://pbs.twimg.com/profile_images/1149641285596147714/tZTTPKRb.jpg","View")</f>
        <v>View</v>
      </c>
      <c r="V3971" s="8"/>
      <c r="W3971" s="8"/>
      <c r="X3971" s="8"/>
      <c r="Y3971" s="8"/>
      <c r="Z3971" s="8"/>
    </row>
    <row r="3972" spans="1:26" ht="12.75">
      <c r="A3972" s="11">
        <v>43747.133599537032</v>
      </c>
      <c r="B3972" s="12" t="str">
        <f>HYPERLINK("https://twitter.com/Ayseguldeveli","@Ayseguldeveli")</f>
        <v>@Ayseguldeveli</v>
      </c>
      <c r="C3972" s="7" t="s">
        <v>20726</v>
      </c>
      <c r="D3972" s="21" t="s">
        <v>20727</v>
      </c>
      <c r="E3972" s="12" t="str">
        <f>HYPERLINK("https://twitter.com/Ayseguldeveli/status/1181875045095882753","1181875045095882753")</f>
        <v>1181875045095882753</v>
      </c>
      <c r="F3972" s="8"/>
      <c r="G3972" s="14" t="s">
        <v>20728</v>
      </c>
      <c r="H3972" s="8"/>
      <c r="I3972" s="15">
        <v>0</v>
      </c>
      <c r="J3972" s="15">
        <v>2</v>
      </c>
      <c r="K3972" s="12" t="str">
        <f>HYPERLINK("http://twitter.com/download/android","Twitter for Android")</f>
        <v>Twitter for Android</v>
      </c>
      <c r="L3972" s="16">
        <v>2152</v>
      </c>
      <c r="M3972" s="16">
        <v>303</v>
      </c>
      <c r="N3972" s="16">
        <v>2</v>
      </c>
      <c r="O3972" s="17"/>
      <c r="P3972" s="18">
        <v>41331.327291666668</v>
      </c>
      <c r="Q3972" s="7"/>
      <c r="R3972" s="7" t="s">
        <v>20729</v>
      </c>
      <c r="S3972" s="14" t="s">
        <v>20730</v>
      </c>
      <c r="T3972" s="8"/>
      <c r="U3972" s="19" t="str">
        <f>HYPERLINK("https://pbs.twimg.com/profile_images/1165426837268418563/jn1-mBWK.jpg","View")</f>
        <v>View</v>
      </c>
      <c r="V3972" s="8"/>
      <c r="W3972" s="8"/>
      <c r="X3972" s="8"/>
      <c r="Y3972" s="8"/>
      <c r="Z3972" s="8"/>
    </row>
    <row r="3973" spans="1:26" ht="12.75">
      <c r="A3973" s="11">
        <v>43747.133530092593</v>
      </c>
      <c r="B3973" s="12" t="str">
        <f>HYPERLINK("https://twitter.com/atesercu","@atesercu")</f>
        <v>@atesercu</v>
      </c>
      <c r="C3973" s="7" t="s">
        <v>20731</v>
      </c>
      <c r="D3973" s="7" t="s">
        <v>20732</v>
      </c>
      <c r="E3973" s="12" t="str">
        <f>HYPERLINK("https://twitter.com/atesercu/status/1181875021020585985","1181875021020585985")</f>
        <v>1181875021020585985</v>
      </c>
      <c r="F3973" s="8"/>
      <c r="G3973" s="14" t="s">
        <v>20733</v>
      </c>
      <c r="H3973" s="8"/>
      <c r="I3973" s="15">
        <v>0</v>
      </c>
      <c r="J3973" s="15">
        <v>2</v>
      </c>
      <c r="K3973" s="12" t="str">
        <f>HYPERLINK("http://twitter.com/download/iphone","Twitter for iPhone")</f>
        <v>Twitter for iPhone</v>
      </c>
      <c r="L3973" s="16">
        <v>1730</v>
      </c>
      <c r="M3973" s="16">
        <v>1883</v>
      </c>
      <c r="N3973" s="16">
        <v>0</v>
      </c>
      <c r="O3973" s="17"/>
      <c r="P3973" s="18">
        <v>40852.438576388886</v>
      </c>
      <c r="Q3973" s="7"/>
      <c r="R3973" s="7" t="s">
        <v>20734</v>
      </c>
      <c r="S3973" s="8"/>
      <c r="T3973" s="8"/>
      <c r="U3973" s="19" t="str">
        <f>HYPERLINK("https://pbs.twimg.com/profile_images/1150479235460608001/XI9efomA.jpg","View")</f>
        <v>View</v>
      </c>
      <c r="V3973" s="8"/>
      <c r="W3973" s="8"/>
      <c r="X3973" s="8"/>
      <c r="Y3973" s="8"/>
      <c r="Z3973" s="8"/>
    </row>
    <row r="3974" spans="1:26" ht="12.75">
      <c r="A3974" s="11">
        <v>43747.133530092593</v>
      </c>
      <c r="B3974" s="12" t="str">
        <f>HYPERLINK("https://twitter.com/sedasgkpnr","@sedasgkpnr")</f>
        <v>@sedasgkpnr</v>
      </c>
      <c r="C3974" s="7" t="s">
        <v>20735</v>
      </c>
      <c r="D3974" s="7" t="s">
        <v>20736</v>
      </c>
      <c r="E3974" s="12" t="str">
        <f>HYPERLINK("https://twitter.com/sedasgkpnr/status/1181875019548446720","1181875019548446720")</f>
        <v>1181875019548446720</v>
      </c>
      <c r="F3974" s="8"/>
      <c r="G3974" s="7"/>
      <c r="H3974" s="8"/>
      <c r="I3974" s="15">
        <v>0</v>
      </c>
      <c r="J3974" s="15">
        <v>3</v>
      </c>
      <c r="K3974" s="12" t="str">
        <f>HYPERLINK("http://twitter.com/download/android","Twitter for Android")</f>
        <v>Twitter for Android</v>
      </c>
      <c r="L3974" s="16">
        <v>204</v>
      </c>
      <c r="M3974" s="16">
        <v>119</v>
      </c>
      <c r="N3974" s="16">
        <v>1</v>
      </c>
      <c r="O3974" s="17"/>
      <c r="P3974" s="18">
        <v>42574.570428240739</v>
      </c>
      <c r="Q3974" s="7" t="s">
        <v>287</v>
      </c>
      <c r="R3974" s="7" t="s">
        <v>20737</v>
      </c>
      <c r="S3974" s="14" t="s">
        <v>20738</v>
      </c>
      <c r="T3974" s="8"/>
      <c r="U3974" s="19" t="str">
        <f>HYPERLINK("https://pbs.twimg.com/profile_images/1179464343517315074/ijRh1zpm.jpg","View")</f>
        <v>View</v>
      </c>
      <c r="V3974" s="8"/>
      <c r="W3974" s="8"/>
      <c r="X3974" s="8"/>
      <c r="Y3974" s="8"/>
      <c r="Z3974" s="8"/>
    </row>
    <row r="3975" spans="1:26" ht="12.75">
      <c r="A3975" s="11">
        <v>43747.13344907407</v>
      </c>
      <c r="B3975" s="12" t="str">
        <f>HYPERLINK("https://twitter.com/Ay_yldzm1453","@Ay_yldzm1453")</f>
        <v>@Ay_yldzm1453</v>
      </c>
      <c r="C3975" s="7" t="s">
        <v>20739</v>
      </c>
      <c r="D3975" s="7" t="s">
        <v>160</v>
      </c>
      <c r="E3975" s="12" t="str">
        <f>HYPERLINK("https://twitter.com/Ay_yldzm1453/status/1181874991182340096","1181874991182340096")</f>
        <v>1181874991182340096</v>
      </c>
      <c r="F3975" s="8"/>
      <c r="G3975" s="14" t="s">
        <v>20740</v>
      </c>
      <c r="H3975" s="8"/>
      <c r="I3975" s="15">
        <v>2</v>
      </c>
      <c r="J3975" s="15">
        <v>10</v>
      </c>
      <c r="K3975" s="12" t="str">
        <f>HYPERLINK("http://twitter.com/download/android","Twitter for Android")</f>
        <v>Twitter for Android</v>
      </c>
      <c r="L3975" s="16">
        <v>7964</v>
      </c>
      <c r="M3975" s="16">
        <v>7660</v>
      </c>
      <c r="N3975" s="16">
        <v>1</v>
      </c>
      <c r="O3975" s="17"/>
      <c r="P3975" s="18">
        <v>43524.170787037037</v>
      </c>
      <c r="Q3975" s="7"/>
      <c r="R3975" s="7" t="s">
        <v>20741</v>
      </c>
      <c r="S3975" s="8"/>
      <c r="T3975" s="8"/>
      <c r="U3975" s="19" t="str">
        <f>HYPERLINK("https://pbs.twimg.com/profile_images/1152365489999548417/_IjcRc-C.jpg","View")</f>
        <v>View</v>
      </c>
      <c r="V3975" s="8"/>
      <c r="W3975" s="8"/>
      <c r="X3975" s="8"/>
      <c r="Y3975" s="8"/>
      <c r="Z3975" s="8"/>
    </row>
    <row r="3976" spans="1:26" ht="12.75">
      <c r="A3976" s="11">
        <v>43747.13344907407</v>
      </c>
      <c r="B3976" s="12" t="str">
        <f>HYPERLINK("https://twitter.com/motivasyonikizl","@motivasyonikizl")</f>
        <v>@motivasyonikizl</v>
      </c>
      <c r="C3976" s="7" t="s">
        <v>20742</v>
      </c>
      <c r="D3976" s="7" t="s">
        <v>20743</v>
      </c>
      <c r="E3976" s="12" t="str">
        <f>HYPERLINK("https://twitter.com/motivasyonikizl/status/1181874990179901441","1181874990179901441")</f>
        <v>1181874990179901441</v>
      </c>
      <c r="F3976" s="8"/>
      <c r="G3976" s="14" t="s">
        <v>20744</v>
      </c>
      <c r="H3976" s="8"/>
      <c r="I3976" s="15">
        <v>2</v>
      </c>
      <c r="J3976" s="15">
        <v>3</v>
      </c>
      <c r="K3976" s="12" t="str">
        <f>HYPERLINK("http://twitter.com/download/android","Twitter for Android")</f>
        <v>Twitter for Android</v>
      </c>
      <c r="L3976" s="16">
        <v>4310</v>
      </c>
      <c r="M3976" s="16">
        <v>89</v>
      </c>
      <c r="N3976" s="16">
        <v>8</v>
      </c>
      <c r="O3976" s="17"/>
      <c r="P3976" s="18">
        <v>42401.974548611106</v>
      </c>
      <c r="Q3976" s="7" t="s">
        <v>287</v>
      </c>
      <c r="R3976" s="7" t="s">
        <v>20745</v>
      </c>
      <c r="S3976" s="14" t="s">
        <v>20746</v>
      </c>
      <c r="T3976" s="8"/>
      <c r="U3976" s="19" t="str">
        <f>HYPERLINK("https://pbs.twimg.com/profile_images/1178198213272244224/WstxRulu.jpg","View")</f>
        <v>View</v>
      </c>
      <c r="V3976" s="8"/>
      <c r="W3976" s="8"/>
      <c r="X3976" s="8"/>
      <c r="Y3976" s="8"/>
      <c r="Z3976" s="8"/>
    </row>
    <row r="3977" spans="1:26" ht="12.75">
      <c r="A3977" s="11">
        <v>43747.133437500001</v>
      </c>
      <c r="B3977" s="12" t="str">
        <f>HYPERLINK("https://twitter.com/yasinvtnsvr1963","@yasinvtnsvr1963")</f>
        <v>@yasinvtnsvr1963</v>
      </c>
      <c r="C3977" s="7" t="s">
        <v>20747</v>
      </c>
      <c r="D3977" s="7" t="s">
        <v>20748</v>
      </c>
      <c r="E3977" s="12" t="str">
        <f>HYPERLINK("https://twitter.com/yasinvtnsvr1963/status/1181874984685318144","1181874984685318144")</f>
        <v>1181874984685318144</v>
      </c>
      <c r="F3977" s="8"/>
      <c r="G3977" s="14" t="s">
        <v>20749</v>
      </c>
      <c r="H3977" s="8"/>
      <c r="I3977" s="15">
        <v>0</v>
      </c>
      <c r="J3977" s="15">
        <v>1</v>
      </c>
      <c r="K3977" s="12" t="str">
        <f>HYPERLINK("http://twitter.com/download/android","Twitter for Android")</f>
        <v>Twitter for Android</v>
      </c>
      <c r="L3977" s="16">
        <v>652</v>
      </c>
      <c r="M3977" s="16">
        <v>354</v>
      </c>
      <c r="N3977" s="16">
        <v>3</v>
      </c>
      <c r="O3977" s="17"/>
      <c r="P3977" s="18">
        <v>42294.399259259255</v>
      </c>
      <c r="Q3977" s="7" t="s">
        <v>200</v>
      </c>
      <c r="R3977" s="7" t="s">
        <v>20750</v>
      </c>
      <c r="S3977" s="8"/>
      <c r="T3977" s="8"/>
      <c r="U3977" s="19" t="str">
        <f>HYPERLINK("https://pbs.twimg.com/profile_images/1175157060708765699/IH-NV75x.jpg","View")</f>
        <v>View</v>
      </c>
      <c r="V3977" s="8"/>
      <c r="W3977" s="8"/>
      <c r="X3977" s="8"/>
      <c r="Y3977" s="8"/>
      <c r="Z3977" s="8"/>
    </row>
    <row r="3978" spans="1:26" ht="12.75">
      <c r="A3978" s="11">
        <v>43747.133368055554</v>
      </c>
      <c r="B3978" s="12" t="str">
        <f>HYPERLINK("https://twitter.com/aknc12671208","@aknc12671208")</f>
        <v>@aknc12671208</v>
      </c>
      <c r="C3978" s="7" t="s">
        <v>20751</v>
      </c>
      <c r="D3978" s="7" t="s">
        <v>160</v>
      </c>
      <c r="E3978" s="12" t="str">
        <f>HYPERLINK("https://twitter.com/aknc12671208/status/1181874960094105600","1181874960094105600")</f>
        <v>1181874960094105600</v>
      </c>
      <c r="F3978" s="15"/>
      <c r="G3978" s="14" t="s">
        <v>20752</v>
      </c>
      <c r="H3978" s="8"/>
      <c r="I3978" s="15">
        <v>0</v>
      </c>
      <c r="J3978" s="15">
        <v>2</v>
      </c>
      <c r="K3978" s="12" t="str">
        <f>HYPERLINK("http://twitter.com/download/android","Twitter for Android")</f>
        <v>Twitter for Android</v>
      </c>
      <c r="L3978" s="16">
        <v>10</v>
      </c>
      <c r="M3978" s="16">
        <v>118</v>
      </c>
      <c r="N3978" s="16">
        <v>0</v>
      </c>
      <c r="O3978" s="20"/>
      <c r="P3978" s="18">
        <v>43700.294016203705</v>
      </c>
      <c r="Q3978" s="7" t="s">
        <v>200</v>
      </c>
      <c r="R3978" s="7" t="s">
        <v>20753</v>
      </c>
      <c r="S3978" s="15"/>
      <c r="T3978" s="8"/>
      <c r="U3978" s="19" t="str">
        <f>HYPERLINK("https://pbs.twimg.com/profile_images/1164902560265854977/0cvaPuCN.jpg","View")</f>
        <v>View</v>
      </c>
      <c r="V3978" s="8"/>
      <c r="W3978" s="8"/>
      <c r="X3978" s="8"/>
      <c r="Y3978" s="8"/>
      <c r="Z3978" s="8"/>
    </row>
    <row r="3979" spans="1:26" ht="12.75">
      <c r="A3979" s="11">
        <v>43747.133229166662</v>
      </c>
      <c r="B3979" s="12" t="str">
        <f>HYPERLINK("https://twitter.com/nurseenylmz","@nurseenylmz")</f>
        <v>@nurseenylmz</v>
      </c>
      <c r="C3979" s="7" t="s">
        <v>20754</v>
      </c>
      <c r="D3979" s="7" t="s">
        <v>20755</v>
      </c>
      <c r="E3979" s="12" t="str">
        <f>HYPERLINK("https://twitter.com/nurseenylmz/status/1181874909083029509","1181874909083029509")</f>
        <v>1181874909083029509</v>
      </c>
      <c r="F3979" s="8"/>
      <c r="G3979" s="14" t="s">
        <v>20756</v>
      </c>
      <c r="H3979" s="8"/>
      <c r="I3979" s="15">
        <v>0</v>
      </c>
      <c r="J3979" s="15">
        <v>2</v>
      </c>
      <c r="K3979" s="12" t="str">
        <f>HYPERLINK("http://twitter.com/download/android","Twitter for Android")</f>
        <v>Twitter for Android</v>
      </c>
      <c r="L3979" s="16">
        <v>145</v>
      </c>
      <c r="M3979" s="16">
        <v>146</v>
      </c>
      <c r="N3979" s="16">
        <v>0</v>
      </c>
      <c r="O3979" s="17"/>
      <c r="P3979" s="18">
        <v>42791.125486111108</v>
      </c>
      <c r="Q3979" s="7" t="s">
        <v>17527</v>
      </c>
      <c r="R3979" s="7" t="s">
        <v>20757</v>
      </c>
      <c r="S3979" s="8"/>
      <c r="T3979" s="8"/>
      <c r="U3979" s="19" t="str">
        <f>HYPERLINK("https://pbs.twimg.com/profile_images/1173336635284557824/L0A5OVcC.jpg","View")</f>
        <v>View</v>
      </c>
      <c r="V3979" s="8"/>
      <c r="W3979" s="8"/>
      <c r="X3979" s="8"/>
      <c r="Y3979" s="8"/>
      <c r="Z3979" s="8"/>
    </row>
    <row r="3980" spans="1:26" ht="12.75">
      <c r="A3980" s="11">
        <v>43747.133009259254</v>
      </c>
      <c r="B3980" s="12" t="str">
        <f>HYPERLINK("https://twitter.com/sevgibedelistr","@sevgibedelistr")</f>
        <v>@sevgibedelistr</v>
      </c>
      <c r="C3980" s="7" t="s">
        <v>20758</v>
      </c>
      <c r="D3980" s="7" t="s">
        <v>20759</v>
      </c>
      <c r="E3980" s="12" t="str">
        <f>HYPERLINK("https://twitter.com/sevgibedelistr/status/1181874831828144128","1181874831828144128")</f>
        <v>1181874831828144128</v>
      </c>
      <c r="F3980" s="8"/>
      <c r="G3980" s="15"/>
      <c r="H3980" s="8"/>
      <c r="I3980" s="15">
        <v>0</v>
      </c>
      <c r="J3980" s="15">
        <v>0</v>
      </c>
      <c r="K3980" s="12" t="str">
        <f>HYPERLINK("http://twitter.com/download/android","Twitter for Android")</f>
        <v>Twitter for Android</v>
      </c>
      <c r="L3980" s="16">
        <v>2325</v>
      </c>
      <c r="M3980" s="16">
        <v>3746</v>
      </c>
      <c r="N3980" s="16">
        <v>1</v>
      </c>
      <c r="O3980" s="17"/>
      <c r="P3980" s="18">
        <v>42935.480706018519</v>
      </c>
      <c r="Q3980" s="7" t="s">
        <v>313</v>
      </c>
      <c r="R3980" s="7" t="s">
        <v>20760</v>
      </c>
      <c r="S3980" s="15"/>
      <c r="T3980" s="8"/>
      <c r="U3980" s="19" t="str">
        <f>HYPERLINK("https://pbs.twimg.com/profile_images/1173153975648096256/XVsiFnj3.jpg","View")</f>
        <v>View</v>
      </c>
      <c r="V3980" s="8"/>
      <c r="W3980" s="8"/>
      <c r="X3980" s="8"/>
      <c r="Y3980" s="8"/>
      <c r="Z3980" s="8"/>
    </row>
    <row r="3981" spans="1:26" ht="12.75">
      <c r="A3981" s="11">
        <v>43747.132939814815</v>
      </c>
      <c r="B3981" s="12" t="str">
        <f>HYPERLINK("https://twitter.com/oztekinberat","@oztekinberat")</f>
        <v>@oztekinberat</v>
      </c>
      <c r="C3981" s="7" t="s">
        <v>20761</v>
      </c>
      <c r="D3981" s="7" t="s">
        <v>20762</v>
      </c>
      <c r="E3981" s="12" t="str">
        <f>HYPERLINK("https://twitter.com/oztekinberat/status/1181874806905561088","1181874806905561088")</f>
        <v>1181874806905561088</v>
      </c>
      <c r="F3981" s="15"/>
      <c r="G3981" s="7"/>
      <c r="H3981" s="8"/>
      <c r="I3981" s="15">
        <v>0</v>
      </c>
      <c r="J3981" s="15">
        <v>1</v>
      </c>
      <c r="K3981" s="12" t="str">
        <f>HYPERLINK("http://twitter.com/download/android","Twitter for Android")</f>
        <v>Twitter for Android</v>
      </c>
      <c r="L3981" s="16">
        <v>142</v>
      </c>
      <c r="M3981" s="16">
        <v>513</v>
      </c>
      <c r="N3981" s="16">
        <v>0</v>
      </c>
      <c r="O3981" s="17"/>
      <c r="P3981" s="18">
        <v>41371.656631944446</v>
      </c>
      <c r="Q3981" s="7"/>
      <c r="R3981" s="7" t="s">
        <v>20763</v>
      </c>
      <c r="S3981" s="15"/>
      <c r="T3981" s="8"/>
      <c r="U3981" s="19" t="str">
        <f>HYPERLINK("https://pbs.twimg.com/profile_images/1126427788783824898/aXnRSeVC.jpg","View")</f>
        <v>View</v>
      </c>
      <c r="V3981" s="8"/>
      <c r="W3981" s="8"/>
      <c r="X3981" s="8"/>
      <c r="Y3981" s="8"/>
      <c r="Z3981" s="8"/>
    </row>
    <row r="3982" spans="1:26" ht="12.75">
      <c r="A3982" s="11">
        <v>43747.132905092592</v>
      </c>
      <c r="B3982" s="12" t="str">
        <f>HYPERLINK("https://twitter.com/jayyjoyy","@jayyjoyy")</f>
        <v>@jayyjoyy</v>
      </c>
      <c r="C3982" s="7" t="s">
        <v>20764</v>
      </c>
      <c r="D3982" s="7" t="s">
        <v>20765</v>
      </c>
      <c r="E3982" s="12" t="str">
        <f>HYPERLINK("https://twitter.com/jayyjoyy/status/1181874795077668864","1181874795077668864")</f>
        <v>1181874795077668864</v>
      </c>
      <c r="F3982" s="8"/>
      <c r="G3982" s="15"/>
      <c r="H3982" s="8"/>
      <c r="I3982" s="15">
        <v>0</v>
      </c>
      <c r="J3982" s="15">
        <v>0</v>
      </c>
      <c r="K3982" s="12" t="str">
        <f>HYPERLINK("http://twitter.com/download/iphone","Twitter for iPhone")</f>
        <v>Twitter for iPhone</v>
      </c>
      <c r="L3982" s="16">
        <v>293</v>
      </c>
      <c r="M3982" s="16">
        <v>116</v>
      </c>
      <c r="N3982" s="16">
        <v>0</v>
      </c>
      <c r="O3982" s="17"/>
      <c r="P3982" s="18">
        <v>43062.33520833333</v>
      </c>
      <c r="Q3982" s="7" t="s">
        <v>200</v>
      </c>
      <c r="R3982" s="7" t="s">
        <v>20766</v>
      </c>
      <c r="S3982" s="8"/>
      <c r="T3982" s="8"/>
      <c r="U3982" s="19" t="str">
        <f>HYPERLINK("https://pbs.twimg.com/profile_images/1181469062234279936/6-NBSwHw.jpg","View")</f>
        <v>View</v>
      </c>
      <c r="V3982" s="8"/>
      <c r="W3982" s="8"/>
      <c r="X3982" s="8"/>
      <c r="Y3982" s="8"/>
      <c r="Z3982" s="8"/>
    </row>
    <row r="3983" spans="1:26" ht="12.75">
      <c r="A3983" s="11">
        <v>43747.132777777777</v>
      </c>
      <c r="B3983" s="12" t="str">
        <f>HYPERLINK("https://twitter.com/FetullahAydin","@FetullahAydin")</f>
        <v>@FetullahAydin</v>
      </c>
      <c r="C3983" s="7" t="s">
        <v>20767</v>
      </c>
      <c r="D3983" s="7" t="s">
        <v>20768</v>
      </c>
      <c r="E3983" s="12" t="str">
        <f>HYPERLINK("https://twitter.com/FetullahAydin/status/1181874746671222784","1181874746671222784")</f>
        <v>1181874746671222784</v>
      </c>
      <c r="F3983" s="8"/>
      <c r="G3983" s="14" t="s">
        <v>20769</v>
      </c>
      <c r="H3983" s="8"/>
      <c r="I3983" s="15">
        <v>0</v>
      </c>
      <c r="J3983" s="15">
        <v>1</v>
      </c>
      <c r="K3983" s="12" t="str">
        <f>HYPERLINK("http://twitter.com/download/android","Twitter for Android")</f>
        <v>Twitter for Android</v>
      </c>
      <c r="L3983" s="16">
        <v>421</v>
      </c>
      <c r="M3983" s="16">
        <v>204</v>
      </c>
      <c r="N3983" s="16">
        <v>0</v>
      </c>
      <c r="O3983" s="17"/>
      <c r="P3983" s="18">
        <v>41739.383553240739</v>
      </c>
      <c r="Q3983" s="7" t="s">
        <v>20770</v>
      </c>
      <c r="R3983" s="7" t="s">
        <v>20771</v>
      </c>
      <c r="S3983" s="14" t="s">
        <v>20772</v>
      </c>
      <c r="T3983" s="8"/>
      <c r="U3983" s="19" t="str">
        <f>HYPERLINK("https://pbs.twimg.com/profile_images/1177895849180958720/yMbBEKfi.jpg","View")</f>
        <v>View</v>
      </c>
      <c r="V3983" s="8"/>
      <c r="W3983" s="8"/>
      <c r="X3983" s="8"/>
      <c r="Y3983" s="8"/>
      <c r="Z3983" s="8"/>
    </row>
    <row r="3984" spans="1:26" ht="12.75">
      <c r="A3984" s="11">
        <v>43747.132731481484</v>
      </c>
      <c r="B3984" s="12" t="str">
        <f>HYPERLINK("https://twitter.com/Bura78550582","@Bura78550582")</f>
        <v>@Bura78550582</v>
      </c>
      <c r="C3984" s="7" t="s">
        <v>20773</v>
      </c>
      <c r="D3984" s="7" t="s">
        <v>20774</v>
      </c>
      <c r="E3984" s="12" t="str">
        <f>HYPERLINK("https://twitter.com/Bura78550582/status/1181874729046687744","1181874729046687744")</f>
        <v>1181874729046687744</v>
      </c>
      <c r="F3984" s="8"/>
      <c r="G3984" s="15"/>
      <c r="H3984" s="8"/>
      <c r="I3984" s="15">
        <v>0</v>
      </c>
      <c r="J3984" s="15">
        <v>0</v>
      </c>
      <c r="K3984" s="12" t="str">
        <f>HYPERLINK("http://twitter.com/download/android","Twitter for Android")</f>
        <v>Twitter for Android</v>
      </c>
      <c r="L3984" s="16">
        <v>7</v>
      </c>
      <c r="M3984" s="16">
        <v>142</v>
      </c>
      <c r="N3984" s="16">
        <v>0</v>
      </c>
      <c r="O3984" s="17"/>
      <c r="P3984" s="18">
        <v>43684.576932870375</v>
      </c>
      <c r="Q3984" s="7"/>
      <c r="R3984" s="7"/>
      <c r="S3984" s="8"/>
      <c r="T3984" s="8"/>
      <c r="U3984" s="20" t="s">
        <v>354</v>
      </c>
      <c r="V3984" s="8"/>
      <c r="W3984" s="8"/>
      <c r="X3984" s="8"/>
      <c r="Y3984" s="8"/>
      <c r="Z3984" s="8"/>
    </row>
    <row r="3985" spans="1:26" ht="12.75">
      <c r="A3985" s="11">
        <v>43747.132731481484</v>
      </c>
      <c r="B3985" s="12" t="str">
        <f>HYPERLINK("https://twitter.com/Servetk11517037","@Servetk11517037")</f>
        <v>@Servetk11517037</v>
      </c>
      <c r="C3985" s="7" t="s">
        <v>20775</v>
      </c>
      <c r="D3985" s="7" t="s">
        <v>20776</v>
      </c>
      <c r="E3985" s="12" t="str">
        <f>HYPERLINK("https://twitter.com/Servetk11517037/status/1181874728669270018","1181874728669270018")</f>
        <v>1181874728669270018</v>
      </c>
      <c r="F3985" s="8"/>
      <c r="G3985" s="14" t="s">
        <v>20777</v>
      </c>
      <c r="H3985" s="8"/>
      <c r="I3985" s="15">
        <v>0</v>
      </c>
      <c r="J3985" s="15">
        <v>1</v>
      </c>
      <c r="K3985" s="12" t="str">
        <f>HYPERLINK("http://twitter.com/download/android","Twitter for Android")</f>
        <v>Twitter for Android</v>
      </c>
      <c r="L3985" s="16">
        <v>1</v>
      </c>
      <c r="M3985" s="16">
        <v>21</v>
      </c>
      <c r="N3985" s="16">
        <v>0</v>
      </c>
      <c r="O3985" s="17"/>
      <c r="P3985" s="18">
        <v>43141.142083333332</v>
      </c>
      <c r="Q3985" s="7"/>
      <c r="R3985" s="7"/>
      <c r="S3985" s="15"/>
      <c r="T3985" s="8"/>
      <c r="U3985" s="20" t="s">
        <v>354</v>
      </c>
      <c r="V3985" s="8"/>
      <c r="W3985" s="8"/>
      <c r="X3985" s="8"/>
      <c r="Y3985" s="8"/>
      <c r="Z3985" s="8"/>
    </row>
    <row r="3986" spans="1:26" ht="12.75">
      <c r="A3986" s="11">
        <v>43747.132731481484</v>
      </c>
      <c r="B3986" s="12" t="str">
        <f>HYPERLINK("https://twitter.com/sahindinc1453","@sahindinc1453")</f>
        <v>@sahindinc1453</v>
      </c>
      <c r="C3986" s="7" t="s">
        <v>20778</v>
      </c>
      <c r="D3986" s="7" t="s">
        <v>20779</v>
      </c>
      <c r="E3986" s="12" t="str">
        <f>HYPERLINK("https://twitter.com/sahindinc1453/status/1181874728350486528","1181874728350486528")</f>
        <v>1181874728350486528</v>
      </c>
      <c r="F3986" s="8"/>
      <c r="G3986" s="7"/>
      <c r="H3986" s="8"/>
      <c r="I3986" s="15">
        <v>0</v>
      </c>
      <c r="J3986" s="15">
        <v>0</v>
      </c>
      <c r="K3986" s="12" t="str">
        <f>HYPERLINK("http://twitter.com/download/android","Twitter for Android")</f>
        <v>Twitter for Android</v>
      </c>
      <c r="L3986" s="16">
        <v>85</v>
      </c>
      <c r="M3986" s="16">
        <v>161</v>
      </c>
      <c r="N3986" s="16">
        <v>0</v>
      </c>
      <c r="O3986" s="17"/>
      <c r="P3986" s="18">
        <v>41770.114733796298</v>
      </c>
      <c r="Q3986" s="7" t="s">
        <v>313</v>
      </c>
      <c r="R3986" s="7" t="s">
        <v>20780</v>
      </c>
      <c r="S3986" s="8"/>
      <c r="T3986" s="8"/>
      <c r="U3986" s="19" t="str">
        <f>HYPERLINK("https://pbs.twimg.com/profile_images/848627257723715585/oBQZzMzD.jpg","View")</f>
        <v>View</v>
      </c>
      <c r="V3986" s="8"/>
      <c r="W3986" s="8"/>
      <c r="X3986" s="8"/>
      <c r="Y3986" s="8"/>
      <c r="Z3986" s="8"/>
    </row>
    <row r="3987" spans="1:26" ht="12.75">
      <c r="A3987" s="11">
        <v>43747.132696759261</v>
      </c>
      <c r="B3987" s="12" t="str">
        <f>HYPERLINK("https://twitter.com/Ata13775559","@Ata13775559")</f>
        <v>@Ata13775559</v>
      </c>
      <c r="C3987" s="7" t="s">
        <v>20781</v>
      </c>
      <c r="D3987" s="7" t="s">
        <v>20782</v>
      </c>
      <c r="E3987" s="12" t="str">
        <f>HYPERLINK("https://twitter.com/Ata13775559/status/1181874719051657216","1181874719051657216")</f>
        <v>1181874719051657216</v>
      </c>
      <c r="F3987" s="8"/>
      <c r="G3987" s="14" t="s">
        <v>20783</v>
      </c>
      <c r="H3987" s="8"/>
      <c r="I3987" s="15">
        <v>0</v>
      </c>
      <c r="J3987" s="15">
        <v>3</v>
      </c>
      <c r="K3987" s="12" t="str">
        <f>HYPERLINK("http://twitter.com/download/android","Twitter for Android")</f>
        <v>Twitter for Android</v>
      </c>
      <c r="L3987" s="16">
        <v>33</v>
      </c>
      <c r="M3987" s="16">
        <v>30</v>
      </c>
      <c r="N3987" s="16">
        <v>0</v>
      </c>
      <c r="O3987" s="17"/>
      <c r="P3987" s="18">
        <v>43275.241562499999</v>
      </c>
      <c r="Q3987" s="7"/>
      <c r="R3987" s="7" t="s">
        <v>20784</v>
      </c>
      <c r="S3987" s="8"/>
      <c r="T3987" s="8"/>
      <c r="U3987" s="19" t="str">
        <f>HYPERLINK("https://pbs.twimg.com/profile_images/1031794255432441856/U-iucd3o.jpg","View")</f>
        <v>View</v>
      </c>
      <c r="V3987" s="8"/>
      <c r="W3987" s="8"/>
      <c r="X3987" s="8"/>
      <c r="Y3987" s="8"/>
      <c r="Z3987" s="8"/>
    </row>
    <row r="3988" spans="1:26" ht="12.75">
      <c r="A3988" s="11">
        <v>43747.132662037038</v>
      </c>
      <c r="B3988" s="12" t="str">
        <f>HYPERLINK("https://twitter.com/emreusta1905","@emreusta1905")</f>
        <v>@emreusta1905</v>
      </c>
      <c r="C3988" s="7" t="s">
        <v>20785</v>
      </c>
      <c r="D3988" s="7" t="s">
        <v>20786</v>
      </c>
      <c r="E3988" s="12" t="str">
        <f>HYPERLINK("https://twitter.com/emreusta1905/status/1181874704946216961","1181874704946216961")</f>
        <v>1181874704946216961</v>
      </c>
      <c r="F3988" s="8"/>
      <c r="G3988" s="14" t="s">
        <v>20787</v>
      </c>
      <c r="H3988" s="8"/>
      <c r="I3988" s="15">
        <v>2</v>
      </c>
      <c r="J3988" s="15">
        <v>5</v>
      </c>
      <c r="K3988" s="12" t="str">
        <f>HYPERLINK("https://mobile.twitter.com","Twitter Web App")</f>
        <v>Twitter Web App</v>
      </c>
      <c r="L3988" s="16">
        <v>131</v>
      </c>
      <c r="M3988" s="16">
        <v>95</v>
      </c>
      <c r="N3988" s="16">
        <v>0</v>
      </c>
      <c r="O3988" s="17"/>
      <c r="P3988" s="18">
        <v>42352.596516203703</v>
      </c>
      <c r="Q3988" s="7" t="s">
        <v>2350</v>
      </c>
      <c r="R3988" s="7" t="s">
        <v>20788</v>
      </c>
      <c r="S3988" s="8"/>
      <c r="T3988" s="8"/>
      <c r="U3988" s="19" t="str">
        <f>HYPERLINK("https://pbs.twimg.com/profile_images/900478561827647488/pmHvFo_z.jpg","View")</f>
        <v>View</v>
      </c>
      <c r="V3988" s="8"/>
      <c r="W3988" s="8"/>
      <c r="X3988" s="8"/>
      <c r="Y3988" s="8"/>
      <c r="Z3988" s="8"/>
    </row>
    <row r="3989" spans="1:26" ht="12.75">
      <c r="A3989" s="11">
        <v>43747.132638888885</v>
      </c>
      <c r="B3989" s="12" t="str">
        <f>HYPERLINK("https://twitter.com/bilgeaktas","@bilgeaktas")</f>
        <v>@bilgeaktas</v>
      </c>
      <c r="C3989" s="7" t="s">
        <v>20789</v>
      </c>
      <c r="D3989" s="7" t="s">
        <v>20790</v>
      </c>
      <c r="E3989" s="12" t="str">
        <f>HYPERLINK("https://twitter.com/bilgeaktas/status/1181874695760687104","1181874695760687104")</f>
        <v>1181874695760687104</v>
      </c>
      <c r="F3989" s="8" t="s">
        <v>20791</v>
      </c>
      <c r="G3989" s="14" t="s">
        <v>20792</v>
      </c>
      <c r="H3989" s="8"/>
      <c r="I3989" s="15">
        <v>1</v>
      </c>
      <c r="J3989" s="15">
        <v>1</v>
      </c>
      <c r="K3989" s="12" t="str">
        <f>HYPERLINK("http://twitter.com/download/iphone","Twitter for iPhone")</f>
        <v>Twitter for iPhone</v>
      </c>
      <c r="L3989" s="16">
        <v>526</v>
      </c>
      <c r="M3989" s="16">
        <v>580</v>
      </c>
      <c r="N3989" s="16">
        <v>7</v>
      </c>
      <c r="O3989" s="17"/>
      <c r="P3989" s="18">
        <v>40005.107557870375</v>
      </c>
      <c r="Q3989" s="7"/>
      <c r="R3989" s="7" t="s">
        <v>20793</v>
      </c>
      <c r="S3989" s="14" t="s">
        <v>20794</v>
      </c>
      <c r="T3989" s="8"/>
      <c r="U3989" s="19" t="str">
        <f>HYPERLINK("https://pbs.twimg.com/profile_images/1075258725055848453/9v5lnvu9.jpg","View")</f>
        <v>View</v>
      </c>
      <c r="V3989" s="8"/>
      <c r="W3989" s="8"/>
      <c r="X3989" s="8"/>
      <c r="Y3989" s="8"/>
      <c r="Z3989" s="8"/>
    </row>
    <row r="3990" spans="1:26" ht="12.75">
      <c r="A3990" s="11">
        <v>43747.132627314815</v>
      </c>
      <c r="B3990" s="12" t="str">
        <f>HYPERLINK("https://twitter.com/turan1071_1453","@turan1071_1453")</f>
        <v>@turan1071_1453</v>
      </c>
      <c r="C3990" s="7" t="s">
        <v>20795</v>
      </c>
      <c r="D3990" s="7" t="s">
        <v>20796</v>
      </c>
      <c r="E3990" s="12" t="str">
        <f>HYPERLINK("https://twitter.com/turan1071_1453/status/1181874691373441024","1181874691373441024")</f>
        <v>1181874691373441024</v>
      </c>
      <c r="F3990" s="8"/>
      <c r="G3990" s="14" t="s">
        <v>20797</v>
      </c>
      <c r="H3990" s="8"/>
      <c r="I3990" s="15">
        <v>0</v>
      </c>
      <c r="J3990" s="15">
        <v>1</v>
      </c>
      <c r="K3990" s="12" t="str">
        <f>HYPERLINK("http://twitter.com/download/iphone","Twitter for iPhone")</f>
        <v>Twitter for iPhone</v>
      </c>
      <c r="L3990" s="16">
        <v>63</v>
      </c>
      <c r="M3990" s="16">
        <v>98</v>
      </c>
      <c r="N3990" s="16">
        <v>0</v>
      </c>
      <c r="O3990" s="17"/>
      <c r="P3990" s="18">
        <v>43642.020208333328</v>
      </c>
      <c r="Q3990" s="7"/>
      <c r="R3990" s="7"/>
      <c r="S3990" s="15"/>
      <c r="T3990" s="8"/>
      <c r="U3990" s="20" t="s">
        <v>354</v>
      </c>
      <c r="V3990" s="8"/>
      <c r="W3990" s="8"/>
      <c r="X3990" s="8"/>
      <c r="Y3990" s="8"/>
      <c r="Z3990" s="8"/>
    </row>
    <row r="3991" spans="1:26" ht="12.75">
      <c r="A3991" s="11">
        <v>43747.132592592592</v>
      </c>
      <c r="B3991" s="12" t="str">
        <f>HYPERLINK("https://twitter.com/krhanyldz","@krhanyldz")</f>
        <v>@krhanyldz</v>
      </c>
      <c r="C3991" s="7" t="s">
        <v>20798</v>
      </c>
      <c r="D3991" s="7" t="s">
        <v>20799</v>
      </c>
      <c r="E3991" s="12" t="str">
        <f>HYPERLINK("https://twitter.com/krhanyldz/status/1181874679423868929","1181874679423868929")</f>
        <v>1181874679423868929</v>
      </c>
      <c r="F3991" s="8"/>
      <c r="G3991" s="7"/>
      <c r="H3991" s="8"/>
      <c r="I3991" s="15">
        <v>0</v>
      </c>
      <c r="J3991" s="15">
        <v>0</v>
      </c>
      <c r="K3991" s="12" t="str">
        <f>HYPERLINK("https://mobile.twitter.com","Twitter Web App")</f>
        <v>Twitter Web App</v>
      </c>
      <c r="L3991" s="16">
        <v>83</v>
      </c>
      <c r="M3991" s="16">
        <v>168</v>
      </c>
      <c r="N3991" s="16">
        <v>0</v>
      </c>
      <c r="O3991" s="17"/>
      <c r="P3991" s="18">
        <v>42187.012766203705</v>
      </c>
      <c r="Q3991" s="7" t="s">
        <v>1461</v>
      </c>
      <c r="R3991" s="7"/>
      <c r="S3991" s="8"/>
      <c r="T3991" s="8"/>
      <c r="U3991" s="19" t="str">
        <f>HYPERLINK("https://pbs.twimg.com/profile_images/938185439927853056/CumdYSZd.jpg","View")</f>
        <v>View</v>
      </c>
      <c r="V3991" s="8"/>
      <c r="W3991" s="8"/>
      <c r="X3991" s="8"/>
      <c r="Y3991" s="8"/>
      <c r="Z3991" s="8"/>
    </row>
    <row r="3992" spans="1:26" ht="12.75">
      <c r="A3992" s="11">
        <v>43747.132465277777</v>
      </c>
      <c r="B3992" s="12" t="str">
        <f>HYPERLINK("https://twitter.com/ceddi_kahraman","@ceddi_kahraman")</f>
        <v>@ceddi_kahraman</v>
      </c>
      <c r="C3992" s="7" t="s">
        <v>20800</v>
      </c>
      <c r="D3992" s="7" t="s">
        <v>20666</v>
      </c>
      <c r="E3992" s="12" t="str">
        <f>HYPERLINK("https://twitter.com/ceddi_kahraman/status/1181874634305818624","1181874634305818624")</f>
        <v>1181874634305818624</v>
      </c>
      <c r="F3992" s="8"/>
      <c r="G3992" s="14" t="s">
        <v>20801</v>
      </c>
      <c r="H3992" s="8"/>
      <c r="I3992" s="15">
        <v>2</v>
      </c>
      <c r="J3992" s="15">
        <v>4</v>
      </c>
      <c r="K3992" s="12" t="str">
        <f>HYPERLINK("http://twitter.com/download/android","Twitter for Android")</f>
        <v>Twitter for Android</v>
      </c>
      <c r="L3992" s="16">
        <v>928</v>
      </c>
      <c r="M3992" s="16">
        <v>710</v>
      </c>
      <c r="N3992" s="16">
        <v>2</v>
      </c>
      <c r="O3992" s="17"/>
      <c r="P3992" s="18">
        <v>42590.274097222224</v>
      </c>
      <c r="Q3992" s="7"/>
      <c r="R3992" s="7" t="s">
        <v>20802</v>
      </c>
      <c r="S3992" s="8"/>
      <c r="T3992" s="8"/>
      <c r="U3992" s="19" t="str">
        <f>HYPERLINK("https://pbs.twimg.com/profile_images/902860452622766081/A6QkUkSG.jpg","View")</f>
        <v>View</v>
      </c>
      <c r="V3992" s="8"/>
      <c r="W3992" s="8"/>
      <c r="X3992" s="8"/>
      <c r="Y3992" s="8"/>
      <c r="Z3992" s="8"/>
    </row>
    <row r="3993" spans="1:26" ht="12.75">
      <c r="A3993" s="11">
        <v>43747.132349537038</v>
      </c>
      <c r="B3993" s="12" t="str">
        <f>HYPERLINK("https://twitter.com/htce_kbra_","@htce_kbra_")</f>
        <v>@htce_kbra_</v>
      </c>
      <c r="C3993" s="7" t="s">
        <v>20803</v>
      </c>
      <c r="D3993" s="7" t="s">
        <v>160</v>
      </c>
      <c r="E3993" s="12" t="str">
        <f>HYPERLINK("https://twitter.com/htce_kbra_/status/1181874592085880833","1181874592085880833")</f>
        <v>1181874592085880833</v>
      </c>
      <c r="F3993" s="8"/>
      <c r="G3993" s="14" t="s">
        <v>20804</v>
      </c>
      <c r="H3993" s="8"/>
      <c r="I3993" s="15">
        <v>0</v>
      </c>
      <c r="J3993" s="15">
        <v>1</v>
      </c>
      <c r="K3993" s="12" t="str">
        <f>HYPERLINK("http://twitter.com/download/iphone","Twitter for iPhone")</f>
        <v>Twitter for iPhone</v>
      </c>
      <c r="L3993" s="16">
        <v>28</v>
      </c>
      <c r="M3993" s="16">
        <v>33</v>
      </c>
      <c r="N3993" s="16">
        <v>0</v>
      </c>
      <c r="O3993" s="17"/>
      <c r="P3993" s="18">
        <v>43641.24628472222</v>
      </c>
      <c r="Q3993" s="7" t="s">
        <v>313</v>
      </c>
      <c r="R3993" s="7" t="s">
        <v>10467</v>
      </c>
      <c r="S3993" s="8"/>
      <c r="T3993" s="8"/>
      <c r="U3993" s="19" t="str">
        <f>HYPERLINK("https://pbs.twimg.com/profile_images/1177357744267046912/oqa-b8vy.jpg","View")</f>
        <v>View</v>
      </c>
      <c r="V3993" s="8"/>
      <c r="W3993" s="8"/>
      <c r="X3993" s="8"/>
      <c r="Y3993" s="8"/>
      <c r="Z3993" s="8"/>
    </row>
    <row r="3994" spans="1:26" ht="12.75">
      <c r="A3994" s="11">
        <v>43747.132314814815</v>
      </c>
      <c r="B3994" s="12" t="str">
        <f>HYPERLINK("https://twitter.com/ilikan42","@ilikan42")</f>
        <v>@ilikan42</v>
      </c>
      <c r="C3994" s="7" t="s">
        <v>20805</v>
      </c>
      <c r="D3994" s="7" t="s">
        <v>20806</v>
      </c>
      <c r="E3994" s="12" t="str">
        <f>HYPERLINK("https://twitter.com/ilikan42/status/1181874577208729600","1181874577208729600")</f>
        <v>1181874577208729600</v>
      </c>
      <c r="F3994" s="8"/>
      <c r="G3994" s="15"/>
      <c r="H3994" s="8"/>
      <c r="I3994" s="15">
        <v>0</v>
      </c>
      <c r="J3994" s="15">
        <v>3</v>
      </c>
      <c r="K3994" s="12" t="str">
        <f>HYPERLINK("http://twitter.com/download/android","Twitter for Android")</f>
        <v>Twitter for Android</v>
      </c>
      <c r="L3994" s="16">
        <v>5058</v>
      </c>
      <c r="M3994" s="16">
        <v>5385</v>
      </c>
      <c r="N3994" s="16">
        <v>0</v>
      </c>
      <c r="O3994" s="17"/>
      <c r="P3994" s="18">
        <v>40368.484780092593</v>
      </c>
      <c r="Q3994" s="7" t="s">
        <v>5541</v>
      </c>
      <c r="R3994" s="7" t="s">
        <v>20807</v>
      </c>
      <c r="S3994" s="8"/>
      <c r="T3994" s="8"/>
      <c r="U3994" s="19" t="str">
        <f>HYPERLINK("https://pbs.twimg.com/profile_images/1124932588760633347/Cxmj1YUV.jpg","View")</f>
        <v>View</v>
      </c>
      <c r="V3994" s="8"/>
      <c r="W3994" s="8"/>
      <c r="X3994" s="8"/>
      <c r="Y3994" s="8"/>
      <c r="Z3994" s="8"/>
    </row>
    <row r="3995" spans="1:26" ht="12.75">
      <c r="A3995" s="11">
        <v>43747.132187499999</v>
      </c>
      <c r="B3995" s="12" t="str">
        <f>HYPERLINK("https://twitter.com/YAKUP51385226","@YAKUP51385226")</f>
        <v>@YAKUP51385226</v>
      </c>
      <c r="C3995" s="7" t="s">
        <v>20808</v>
      </c>
      <c r="D3995" s="7" t="s">
        <v>20809</v>
      </c>
      <c r="E3995" s="12" t="str">
        <f>HYPERLINK("https://twitter.com/YAKUP51385226/status/1181874533504094209","1181874533504094209")</f>
        <v>1181874533504094209</v>
      </c>
      <c r="F3995" s="8"/>
      <c r="G3995" s="14" t="s">
        <v>20810</v>
      </c>
      <c r="H3995" s="8"/>
      <c r="I3995" s="15">
        <v>1</v>
      </c>
      <c r="J3995" s="15">
        <v>7</v>
      </c>
      <c r="K3995" s="12" t="str">
        <f>HYPERLINK("http://twitter.com/download/android","Twitter for Android")</f>
        <v>Twitter for Android</v>
      </c>
      <c r="L3995" s="16">
        <v>862</v>
      </c>
      <c r="M3995" s="16">
        <v>1282</v>
      </c>
      <c r="N3995" s="16">
        <v>0</v>
      </c>
      <c r="O3995" s="17"/>
      <c r="P3995" s="18">
        <v>43732.101423611108</v>
      </c>
      <c r="Q3995" s="7"/>
      <c r="R3995" s="7" t="s">
        <v>20811</v>
      </c>
      <c r="S3995" s="8"/>
      <c r="T3995" s="8"/>
      <c r="U3995" s="19" t="str">
        <f>HYPERLINK("https://pbs.twimg.com/profile_images/1178899650499289089/SsJJh0M2.jpg","View")</f>
        <v>View</v>
      </c>
      <c r="V3995" s="8"/>
      <c r="W3995" s="8"/>
      <c r="X3995" s="8"/>
      <c r="Y3995" s="8"/>
      <c r="Z3995" s="8"/>
    </row>
    <row r="3996" spans="1:26" ht="12.75">
      <c r="A3996" s="11">
        <v>43747.132164351853</v>
      </c>
      <c r="B3996" s="12" t="str">
        <f>HYPERLINK("https://twitter.com/oruccoskuner","@oruccoskuner")</f>
        <v>@oruccoskuner</v>
      </c>
      <c r="C3996" s="7" t="s">
        <v>20812</v>
      </c>
      <c r="D3996" s="7" t="s">
        <v>20813</v>
      </c>
      <c r="E3996" s="12" t="str">
        <f>HYPERLINK("https://twitter.com/oruccoskuner/status/1181874522707955713","1181874522707955713")</f>
        <v>1181874522707955713</v>
      </c>
      <c r="F3996" s="14" t="s">
        <v>19993</v>
      </c>
      <c r="G3996" s="14" t="s">
        <v>20814</v>
      </c>
      <c r="H3996" s="8"/>
      <c r="I3996" s="15">
        <v>0</v>
      </c>
      <c r="J3996" s="15">
        <v>3</v>
      </c>
      <c r="K3996" s="12" t="str">
        <f>HYPERLINK("http://twitter.com/download/android","Twitter for Android")</f>
        <v>Twitter for Android</v>
      </c>
      <c r="L3996" s="16">
        <v>93</v>
      </c>
      <c r="M3996" s="16">
        <v>81</v>
      </c>
      <c r="N3996" s="16">
        <v>0</v>
      </c>
      <c r="O3996" s="17"/>
      <c r="P3996" s="18">
        <v>41570.262071759258</v>
      </c>
      <c r="Q3996" s="7" t="s">
        <v>20815</v>
      </c>
      <c r="R3996" s="7" t="s">
        <v>20816</v>
      </c>
      <c r="S3996" s="14" t="s">
        <v>20817</v>
      </c>
      <c r="T3996" s="8"/>
      <c r="U3996" s="19" t="str">
        <f>HYPERLINK("https://pbs.twimg.com/profile_images/1181875063596945408/EZwIm5Hz.jpg","View")</f>
        <v>View</v>
      </c>
      <c r="V3996" s="8"/>
      <c r="W3996" s="8"/>
      <c r="X3996" s="8"/>
      <c r="Y3996" s="8"/>
      <c r="Z3996" s="8"/>
    </row>
    <row r="3997" spans="1:26" ht="12.75">
      <c r="A3997" s="11">
        <v>43747.131990740745</v>
      </c>
      <c r="B3997" s="12" t="str">
        <f>HYPERLINK("https://twitter.com/KURT52991746","@KURT52991746")</f>
        <v>@KURT52991746</v>
      </c>
      <c r="C3997" s="7" t="s">
        <v>20818</v>
      </c>
      <c r="D3997" s="7" t="s">
        <v>20819</v>
      </c>
      <c r="E3997" s="12" t="str">
        <f>HYPERLINK("https://twitter.com/KURT52991746/status/1181874462012116993","1181874462012116993")</f>
        <v>1181874462012116993</v>
      </c>
      <c r="F3997" s="15"/>
      <c r="G3997" s="7"/>
      <c r="H3997" s="8"/>
      <c r="I3997" s="15">
        <v>0</v>
      </c>
      <c r="J3997" s="15">
        <v>1</v>
      </c>
      <c r="K3997" s="12" t="str">
        <f>HYPERLINK("http://twitter.com/download/android","Twitter for Android")</f>
        <v>Twitter for Android</v>
      </c>
      <c r="L3997" s="16">
        <v>0</v>
      </c>
      <c r="M3997" s="16">
        <v>0</v>
      </c>
      <c r="N3997" s="16">
        <v>0</v>
      </c>
      <c r="O3997" s="17"/>
      <c r="P3997" s="18">
        <v>43747.107708333337</v>
      </c>
      <c r="Q3997" s="7"/>
      <c r="R3997" s="7" t="s">
        <v>20820</v>
      </c>
      <c r="S3997" s="15"/>
      <c r="T3997" s="8"/>
      <c r="U3997" s="19" t="str">
        <f>HYPERLINK("https://pbs.twimg.com/profile_images/1181870163047669760/N_Pzd6Rv.jpg","View")</f>
        <v>View</v>
      </c>
      <c r="V3997" s="8"/>
      <c r="W3997" s="8"/>
      <c r="X3997" s="8"/>
      <c r="Y3997" s="8"/>
      <c r="Z3997" s="8"/>
    </row>
    <row r="3998" spans="1:26" ht="12.75">
      <c r="A3998" s="11">
        <v>43747.131956018522</v>
      </c>
      <c r="B3998" s="12" t="str">
        <f>HYPERLINK("https://twitter.com/ozkurt_ferhat","@ozkurt_ferhat")</f>
        <v>@ozkurt_ferhat</v>
      </c>
      <c r="C3998" s="7" t="s">
        <v>20821</v>
      </c>
      <c r="D3998" s="7" t="s">
        <v>20822</v>
      </c>
      <c r="E3998" s="12" t="str">
        <f>HYPERLINK("https://twitter.com/ozkurt_ferhat/status/1181874447755730944","1181874447755730944")</f>
        <v>1181874447755730944</v>
      </c>
      <c r="F3998" s="8"/>
      <c r="G3998" s="7"/>
      <c r="H3998" s="8"/>
      <c r="I3998" s="15">
        <v>0</v>
      </c>
      <c r="J3998" s="15">
        <v>0</v>
      </c>
      <c r="K3998" s="12" t="str">
        <f>HYPERLINK("http://twitter.com/download/android","Twitter for Android")</f>
        <v>Twitter for Android</v>
      </c>
      <c r="L3998" s="16">
        <v>10</v>
      </c>
      <c r="M3998" s="16">
        <v>24</v>
      </c>
      <c r="N3998" s="16">
        <v>0</v>
      </c>
      <c r="O3998" s="17"/>
      <c r="P3998" s="18">
        <v>42301.585543981477</v>
      </c>
      <c r="Q3998" s="7"/>
      <c r="R3998" s="7"/>
      <c r="S3998" s="15"/>
      <c r="T3998" s="8"/>
      <c r="U3998" s="20" t="s">
        <v>354</v>
      </c>
      <c r="V3998" s="8"/>
      <c r="W3998" s="8"/>
      <c r="X3998" s="8"/>
      <c r="Y3998" s="8"/>
      <c r="Z3998" s="8"/>
    </row>
    <row r="3999" spans="1:26" ht="12.75">
      <c r="A3999" s="11">
        <v>43747.131956018522</v>
      </c>
      <c r="B3999" s="12" t="str">
        <f>HYPERLINK("https://twitter.com/Halil571","@Halil571")</f>
        <v>@Halil571</v>
      </c>
      <c r="C3999" s="7" t="s">
        <v>20823</v>
      </c>
      <c r="D3999" s="7" t="s">
        <v>160</v>
      </c>
      <c r="E3999" s="12" t="str">
        <f>HYPERLINK("https://twitter.com/Halil571/status/1181874447659220992","1181874447659220992")</f>
        <v>1181874447659220992</v>
      </c>
      <c r="F3999" s="8"/>
      <c r="G3999" s="14" t="s">
        <v>20824</v>
      </c>
      <c r="H3999" s="8"/>
      <c r="I3999" s="15">
        <v>0</v>
      </c>
      <c r="J3999" s="15">
        <v>2</v>
      </c>
      <c r="K3999" s="12" t="str">
        <f>HYPERLINK("http://twitter.com/download/android","Twitter for Android")</f>
        <v>Twitter for Android</v>
      </c>
      <c r="L3999" s="16">
        <v>917</v>
      </c>
      <c r="M3999" s="16">
        <v>790</v>
      </c>
      <c r="N3999" s="16">
        <v>2</v>
      </c>
      <c r="O3999" s="17"/>
      <c r="P3999" s="18">
        <v>41008.375347222223</v>
      </c>
      <c r="Q3999" s="7"/>
      <c r="R3999" s="7" t="s">
        <v>20825</v>
      </c>
      <c r="S3999" s="8"/>
      <c r="T3999" s="8"/>
      <c r="U3999" s="19" t="str">
        <f>HYPERLINK("https://pbs.twimg.com/profile_images/1141575629021822976/J86ZWnxY.png","View")</f>
        <v>View</v>
      </c>
      <c r="V3999" s="8"/>
      <c r="W3999" s="8"/>
      <c r="X3999" s="8"/>
      <c r="Y3999" s="8"/>
      <c r="Z3999" s="8"/>
    </row>
    <row r="4000" spans="1:26" ht="12.75">
      <c r="A4000" s="11">
        <v>43747.131932870368</v>
      </c>
      <c r="B4000" s="12" t="str">
        <f>HYPERLINK("https://twitter.com/serhattakmakl1","@serhattakmakl1")</f>
        <v>@serhattakmakl1</v>
      </c>
      <c r="C4000" s="7" t="s">
        <v>20826</v>
      </c>
      <c r="D4000" s="7" t="s">
        <v>151</v>
      </c>
      <c r="E4000" s="12" t="str">
        <f>HYPERLINK("https://twitter.com/serhattakmakl1/status/1181874442332454912","1181874442332454912")</f>
        <v>1181874442332454912</v>
      </c>
      <c r="F4000" s="8"/>
      <c r="G4000" s="14" t="s">
        <v>20827</v>
      </c>
      <c r="H4000" s="8"/>
      <c r="I4000" s="15">
        <v>0</v>
      </c>
      <c r="J4000" s="15">
        <v>0</v>
      </c>
      <c r="K4000" s="12" t="str">
        <f>HYPERLINK("http://twitter.com/download/iphone","Twitter for iPhone")</f>
        <v>Twitter for iPhone</v>
      </c>
      <c r="L4000" s="16">
        <v>177</v>
      </c>
      <c r="M4000" s="16">
        <v>519</v>
      </c>
      <c r="N4000" s="16">
        <v>0</v>
      </c>
      <c r="O4000" s="17"/>
      <c r="P4000" s="18">
        <v>43406.289722222224</v>
      </c>
      <c r="Q4000" s="7" t="s">
        <v>20828</v>
      </c>
      <c r="R4000" s="7" t="s">
        <v>20829</v>
      </c>
      <c r="S4000" s="8"/>
      <c r="T4000" s="8"/>
      <c r="U4000" s="19" t="str">
        <f>HYPERLINK("https://pbs.twimg.com/profile_images/1174240091251924993/CIYQ7REY.jpg","View")</f>
        <v>View</v>
      </c>
      <c r="V4000" s="8"/>
      <c r="W4000" s="8"/>
      <c r="X4000" s="8"/>
      <c r="Y4000" s="8"/>
      <c r="Z4000" s="8"/>
    </row>
    <row r="4001" spans="1:26" ht="12.75">
      <c r="A4001" s="11">
        <v>43747.131932870368</v>
      </c>
      <c r="B4001" s="12" t="str">
        <f>HYPERLINK("https://twitter.com/akbilge1071","@akbilge1071")</f>
        <v>@akbilge1071</v>
      </c>
      <c r="C4001" s="7" t="s">
        <v>18788</v>
      </c>
      <c r="D4001" s="7" t="s">
        <v>20830</v>
      </c>
      <c r="E4001" s="12" t="str">
        <f>HYPERLINK("https://twitter.com/akbilge1071/status/1181874440352784384","1181874440352784384")</f>
        <v>1181874440352784384</v>
      </c>
      <c r="F4001" s="8"/>
      <c r="G4001" s="14" t="s">
        <v>20831</v>
      </c>
      <c r="H4001" s="8"/>
      <c r="I4001" s="15">
        <v>3</v>
      </c>
      <c r="J4001" s="15">
        <v>11</v>
      </c>
      <c r="K4001" s="12" t="str">
        <f>HYPERLINK("https://mobile.twitter.com","Twitter Web App")</f>
        <v>Twitter Web App</v>
      </c>
      <c r="L4001" s="16">
        <v>16510</v>
      </c>
      <c r="M4001" s="16">
        <v>16547</v>
      </c>
      <c r="N4001" s="16">
        <v>19</v>
      </c>
      <c r="O4001" s="17"/>
      <c r="P4001" s="18">
        <v>42582.435590277775</v>
      </c>
      <c r="Q4001" s="7" t="s">
        <v>20832</v>
      </c>
      <c r="R4001" s="7" t="s">
        <v>20833</v>
      </c>
      <c r="S4001" s="14" t="s">
        <v>20834</v>
      </c>
      <c r="T4001" s="8"/>
      <c r="U4001" s="19" t="str">
        <f>HYPERLINK("https://pbs.twimg.com/profile_images/1154731794626961412/a6_jmLAv.jpg","View")</f>
        <v>View</v>
      </c>
      <c r="V4001" s="8"/>
      <c r="W4001" s="8"/>
      <c r="X4001" s="8"/>
      <c r="Y4001" s="8"/>
      <c r="Z4001" s="8"/>
    </row>
    <row r="4002" spans="1:26" ht="12.75">
      <c r="A4002" s="11">
        <v>43747.131898148145</v>
      </c>
      <c r="B4002" s="12" t="str">
        <f>HYPERLINK("https://twitter.com/serkanfatihay1","@serkanfatihay1")</f>
        <v>@serkanfatihay1</v>
      </c>
      <c r="C4002" s="7" t="s">
        <v>20835</v>
      </c>
      <c r="D4002" s="7" t="s">
        <v>20836</v>
      </c>
      <c r="E4002" s="12" t="str">
        <f>HYPERLINK("https://twitter.com/serkanfatihay1/status/1181874429917351936","1181874429917351936")</f>
        <v>1181874429917351936</v>
      </c>
      <c r="F4002" s="8"/>
      <c r="G4002" s="14" t="s">
        <v>20837</v>
      </c>
      <c r="H4002" s="8"/>
      <c r="I4002" s="15">
        <v>0</v>
      </c>
      <c r="J4002" s="15">
        <v>0</v>
      </c>
      <c r="K4002" s="12" t="str">
        <f>HYPERLINK("http://twitter.com/download/android","Twitter for Android")</f>
        <v>Twitter for Android</v>
      </c>
      <c r="L4002" s="16">
        <v>22</v>
      </c>
      <c r="M4002" s="16">
        <v>211</v>
      </c>
      <c r="N4002" s="16">
        <v>0</v>
      </c>
      <c r="O4002" s="17"/>
      <c r="P4002" s="18">
        <v>43738.529513888891</v>
      </c>
      <c r="Q4002" s="7" t="s">
        <v>313</v>
      </c>
      <c r="R4002" s="7" t="s">
        <v>20838</v>
      </c>
      <c r="S4002" s="8"/>
      <c r="T4002" s="8"/>
      <c r="U4002" s="19" t="str">
        <f>HYPERLINK("https://pbs.twimg.com/profile_images/1178874832957644800/IJQ4rn7Y.jpg","View")</f>
        <v>View</v>
      </c>
      <c r="V4002" s="8"/>
      <c r="W4002" s="8"/>
      <c r="X4002" s="8"/>
      <c r="Y4002" s="8"/>
      <c r="Z4002" s="8"/>
    </row>
    <row r="4003" spans="1:26" ht="12.75">
      <c r="A4003" s="11">
        <v>43747.131898148145</v>
      </c>
      <c r="B4003" s="12" t="str">
        <f>HYPERLINK("https://twitter.com/zepisu","@zepisu")</f>
        <v>@zepisu</v>
      </c>
      <c r="C4003" s="7" t="s">
        <v>20839</v>
      </c>
      <c r="D4003" s="7" t="s">
        <v>20840</v>
      </c>
      <c r="E4003" s="12" t="str">
        <f>HYPERLINK("https://twitter.com/zepisu/status/1181874428860358656","1181874428860358656")</f>
        <v>1181874428860358656</v>
      </c>
      <c r="F4003" s="8"/>
      <c r="G4003" s="15"/>
      <c r="H4003" s="8"/>
      <c r="I4003" s="15">
        <v>0</v>
      </c>
      <c r="J4003" s="15">
        <v>1</v>
      </c>
      <c r="K4003" s="12" t="str">
        <f>HYPERLINK("https://mobile.twitter.com","Twitter Web App")</f>
        <v>Twitter Web App</v>
      </c>
      <c r="L4003" s="16">
        <v>3058</v>
      </c>
      <c r="M4003" s="16">
        <v>90</v>
      </c>
      <c r="N4003" s="16">
        <v>6</v>
      </c>
      <c r="O4003" s="17"/>
      <c r="P4003" s="18">
        <v>41016.403622685189</v>
      </c>
      <c r="Q4003" s="7" t="s">
        <v>20841</v>
      </c>
      <c r="R4003" s="7" t="s">
        <v>20842</v>
      </c>
      <c r="S4003" s="14" t="s">
        <v>20843</v>
      </c>
      <c r="T4003" s="8"/>
      <c r="U4003" s="19" t="str">
        <f>HYPERLINK("https://pbs.twimg.com/profile_images/1162829184298889216/UzYeKhtu.jpg","View")</f>
        <v>View</v>
      </c>
      <c r="V4003" s="8"/>
      <c r="W4003" s="8"/>
      <c r="X4003" s="8"/>
      <c r="Y4003" s="8"/>
      <c r="Z4003" s="8"/>
    </row>
    <row r="4004" spans="1:26" ht="12.75">
      <c r="A4004" s="11">
        <v>43747.131863425922</v>
      </c>
      <c r="B4004" s="12" t="str">
        <f>HYPERLINK("https://twitter.com/BahadrOzgul","@BahadrOzgul")</f>
        <v>@BahadrOzgul</v>
      </c>
      <c r="C4004" s="7" t="s">
        <v>20844</v>
      </c>
      <c r="D4004" s="7" t="s">
        <v>20845</v>
      </c>
      <c r="E4004" s="12" t="str">
        <f>HYPERLINK("https://twitter.com/BahadrOzgul/status/1181874415212154880","1181874415212154880")</f>
        <v>1181874415212154880</v>
      </c>
      <c r="F4004" s="8"/>
      <c r="G4004" s="14" t="s">
        <v>20846</v>
      </c>
      <c r="H4004" s="8"/>
      <c r="I4004" s="15">
        <v>0</v>
      </c>
      <c r="J4004" s="15">
        <v>1</v>
      </c>
      <c r="K4004" s="12" t="str">
        <f>HYPERLINK("http://twitter.com/download/iphone","Twitter for iPhone")</f>
        <v>Twitter for iPhone</v>
      </c>
      <c r="L4004" s="16">
        <v>244</v>
      </c>
      <c r="M4004" s="16">
        <v>501</v>
      </c>
      <c r="N4004" s="16">
        <v>0</v>
      </c>
      <c r="O4004" s="17"/>
      <c r="P4004" s="18">
        <v>41167.516435185185</v>
      </c>
      <c r="Q4004" s="7"/>
      <c r="R4004" s="7" t="s">
        <v>20847</v>
      </c>
      <c r="S4004" s="8"/>
      <c r="T4004" s="8"/>
      <c r="U4004" s="19" t="str">
        <f>HYPERLINK("https://pbs.twimg.com/profile_images/1181874813322833920/9uxWoTvu.jpg","View")</f>
        <v>View</v>
      </c>
      <c r="V4004" s="8"/>
      <c r="W4004" s="8"/>
      <c r="X4004" s="8"/>
      <c r="Y4004" s="8"/>
      <c r="Z4004" s="8"/>
    </row>
    <row r="4005" spans="1:26" ht="12.75">
      <c r="A4005" s="11">
        <v>43747.131770833337</v>
      </c>
      <c r="B4005" s="12" t="str">
        <f>HYPERLINK("https://twitter.com/05531809473s","@05531809473s")</f>
        <v>@05531809473s</v>
      </c>
      <c r="C4005" s="7" t="s">
        <v>20848</v>
      </c>
      <c r="D4005" s="7" t="s">
        <v>20849</v>
      </c>
      <c r="E4005" s="12" t="str">
        <f>HYPERLINK("https://twitter.com/05531809473s/status/1181874380311339008","1181874380311339008")</f>
        <v>1181874380311339008</v>
      </c>
      <c r="F4005" s="8"/>
      <c r="G4005" s="7"/>
      <c r="H4005" s="8"/>
      <c r="I4005" s="15">
        <v>0</v>
      </c>
      <c r="J4005" s="15">
        <v>0</v>
      </c>
      <c r="K4005" s="12" t="str">
        <f>HYPERLINK("https://mobile.twitter.com","Twitter Web App")</f>
        <v>Twitter Web App</v>
      </c>
      <c r="L4005" s="16">
        <v>22</v>
      </c>
      <c r="M4005" s="16">
        <v>83</v>
      </c>
      <c r="N4005" s="16">
        <v>0</v>
      </c>
      <c r="O4005" s="17"/>
      <c r="P4005" s="18">
        <v>42079.518969907411</v>
      </c>
      <c r="Q4005" s="7"/>
      <c r="R4005" s="7" t="s">
        <v>20850</v>
      </c>
      <c r="S4005" s="15"/>
      <c r="T4005" s="8"/>
      <c r="U4005" s="19" t="str">
        <f>HYPERLINK("https://pbs.twimg.com/profile_images/690599753999085568/HVDOwOj4.jpg","View")</f>
        <v>View</v>
      </c>
      <c r="V4005" s="8"/>
      <c r="W4005" s="8"/>
      <c r="X4005" s="8"/>
      <c r="Y4005" s="8"/>
      <c r="Z4005" s="8"/>
    </row>
    <row r="4006" spans="1:26" ht="12.75">
      <c r="A4006" s="11">
        <v>43747.131747685184</v>
      </c>
      <c r="B4006" s="12" t="str">
        <f>HYPERLINK("https://twitter.com/BurakKo19930288","@BurakKo19930288")</f>
        <v>@BurakKo19930288</v>
      </c>
      <c r="C4006" s="7" t="s">
        <v>20851</v>
      </c>
      <c r="D4006" s="7" t="s">
        <v>160</v>
      </c>
      <c r="E4006" s="12" t="str">
        <f>HYPERLINK("https://twitter.com/BurakKo19930288/status/1181874373478760449","1181874373478760449")</f>
        <v>1181874373478760449</v>
      </c>
      <c r="F4006" s="8"/>
      <c r="G4006" s="14" t="s">
        <v>20852</v>
      </c>
      <c r="H4006" s="8"/>
      <c r="I4006" s="15">
        <v>0</v>
      </c>
      <c r="J4006" s="15">
        <v>0</v>
      </c>
      <c r="K4006" s="12" t="str">
        <f>HYPERLINK("http://twitter.com/download/iphone","Twitter for iPhone")</f>
        <v>Twitter for iPhone</v>
      </c>
      <c r="L4006" s="16">
        <v>8</v>
      </c>
      <c r="M4006" s="16">
        <v>109</v>
      </c>
      <c r="N4006" s="16">
        <v>0</v>
      </c>
      <c r="O4006" s="17"/>
      <c r="P4006" s="18">
        <v>43576.371655092589</v>
      </c>
      <c r="Q4006" s="7"/>
      <c r="R4006" s="7" t="s">
        <v>20853</v>
      </c>
      <c r="S4006" s="15"/>
      <c r="T4006" s="8"/>
      <c r="U4006" s="19" t="str">
        <f>HYPERLINK("https://pbs.twimg.com/profile_images/1139566356477763585/cEqt7g7c.jpg","View")</f>
        <v>View</v>
      </c>
      <c r="V4006" s="8"/>
      <c r="W4006" s="8"/>
      <c r="X4006" s="8"/>
      <c r="Y4006" s="8"/>
      <c r="Z4006" s="8"/>
    </row>
    <row r="4007" spans="1:26" ht="12.75">
      <c r="A4007" s="11">
        <v>43747.131724537037</v>
      </c>
      <c r="B4007" s="12" t="str">
        <f>HYPERLINK("https://twitter.com/fatihlidya","@fatihlidya")</f>
        <v>@fatihlidya</v>
      </c>
      <c r="C4007" s="7" t="s">
        <v>20854</v>
      </c>
      <c r="D4007" s="7" t="s">
        <v>160</v>
      </c>
      <c r="E4007" s="12" t="str">
        <f>HYPERLINK("https://twitter.com/fatihlidya/status/1181874366189101056","1181874366189101056")</f>
        <v>1181874366189101056</v>
      </c>
      <c r="F4007" s="8"/>
      <c r="G4007" s="14" t="s">
        <v>20855</v>
      </c>
      <c r="H4007" s="8"/>
      <c r="I4007" s="15">
        <v>0</v>
      </c>
      <c r="J4007" s="15">
        <v>0</v>
      </c>
      <c r="K4007" s="12" t="str">
        <f>HYPERLINK("http://twitter.com/download/iphone","Twitter for iPhone")</f>
        <v>Twitter for iPhone</v>
      </c>
      <c r="L4007" s="16">
        <v>167</v>
      </c>
      <c r="M4007" s="16">
        <v>581</v>
      </c>
      <c r="N4007" s="16">
        <v>0</v>
      </c>
      <c r="O4007" s="17"/>
      <c r="P4007" s="18">
        <v>41231.271354166667</v>
      </c>
      <c r="Q4007" s="7"/>
      <c r="R4007" s="7"/>
      <c r="S4007" s="8"/>
      <c r="T4007" s="8"/>
      <c r="U4007" s="19" t="str">
        <f>HYPERLINK("https://pbs.twimg.com/profile_images/1028767384713261056/6JkWCfKj.jpg","View")</f>
        <v>View</v>
      </c>
      <c r="V4007" s="8"/>
      <c r="W4007" s="8"/>
      <c r="X4007" s="8"/>
      <c r="Y4007" s="8"/>
      <c r="Z4007" s="8"/>
    </row>
    <row r="4008" spans="1:26" ht="12.75">
      <c r="A4008" s="11">
        <v>43747.131724537037</v>
      </c>
      <c r="B4008" s="12" t="str">
        <f>HYPERLINK("https://twitter.com/2YLW9D5","@2YLW9D5")</f>
        <v>@2YLW9D5</v>
      </c>
      <c r="C4008" s="7" t="s">
        <v>20856</v>
      </c>
      <c r="D4008" s="7" t="s">
        <v>20857</v>
      </c>
      <c r="E4008" s="12" t="str">
        <f>HYPERLINK("https://twitter.com/2YLW9D5/status/1181874364591030272","1181874364591030272")</f>
        <v>1181874364591030272</v>
      </c>
      <c r="F4008" s="14" t="s">
        <v>20858</v>
      </c>
      <c r="G4008" s="15"/>
      <c r="H4008" s="8"/>
      <c r="I4008" s="15">
        <v>0</v>
      </c>
      <c r="J4008" s="15">
        <v>0</v>
      </c>
      <c r="K4008" s="12" t="str">
        <f>HYPERLINK("https://ifttt.com","IFTTT")</f>
        <v>IFTTT</v>
      </c>
      <c r="L4008" s="16">
        <v>17</v>
      </c>
      <c r="M4008" s="16">
        <v>62</v>
      </c>
      <c r="N4008" s="16">
        <v>0</v>
      </c>
      <c r="O4008" s="17"/>
      <c r="P4008" s="18">
        <v>41253.232939814814</v>
      </c>
      <c r="Q4008" s="7"/>
      <c r="R4008" s="7"/>
      <c r="S4008" s="8"/>
      <c r="T4008" s="8"/>
      <c r="U4008" s="19" t="str">
        <f>HYPERLINK("https://pbs.twimg.com/profile_images/3550935631/8add950d147c8be8862b906820377d16.jpeg","View")</f>
        <v>View</v>
      </c>
      <c r="V4008" s="8"/>
      <c r="W4008" s="8"/>
      <c r="X4008" s="8"/>
      <c r="Y4008" s="8"/>
      <c r="Z4008" s="8"/>
    </row>
    <row r="4009" spans="1:26" ht="12.75">
      <c r="A4009" s="11">
        <v>43747.131620370375</v>
      </c>
      <c r="B4009" s="12" t="str">
        <f>HYPERLINK("https://twitter.com/orhan25420231","@orhan25420231")</f>
        <v>@orhan25420231</v>
      </c>
      <c r="C4009" s="7" t="s">
        <v>20859</v>
      </c>
      <c r="D4009" s="7" t="s">
        <v>20860</v>
      </c>
      <c r="E4009" s="12" t="str">
        <f>HYPERLINK("https://twitter.com/orhan25420231/status/1181874329123991552","1181874329123991552")</f>
        <v>1181874329123991552</v>
      </c>
      <c r="F4009" s="8"/>
      <c r="G4009" s="14" t="s">
        <v>20861</v>
      </c>
      <c r="H4009" s="8"/>
      <c r="I4009" s="15">
        <v>0</v>
      </c>
      <c r="J4009" s="15">
        <v>1</v>
      </c>
      <c r="K4009" s="12" t="str">
        <f>HYPERLINK("http://twitter.com/download/iphone","Twitter for iPhone")</f>
        <v>Twitter for iPhone</v>
      </c>
      <c r="L4009" s="16">
        <v>44</v>
      </c>
      <c r="M4009" s="16">
        <v>210</v>
      </c>
      <c r="N4009" s="16">
        <v>0</v>
      </c>
      <c r="O4009" s="17"/>
      <c r="P4009" s="18">
        <v>43095.360763888893</v>
      </c>
      <c r="Q4009" s="7" t="s">
        <v>20862</v>
      </c>
      <c r="R4009" s="7" t="s">
        <v>20863</v>
      </c>
      <c r="S4009" s="14" t="s">
        <v>20864</v>
      </c>
      <c r="T4009" s="8"/>
      <c r="U4009" s="19" t="str">
        <f>HYPERLINK("https://pbs.twimg.com/profile_images/1177327499803529226/tbFYopiq.jpg","View")</f>
        <v>View</v>
      </c>
      <c r="V4009" s="8"/>
      <c r="W4009" s="8"/>
      <c r="X4009" s="8"/>
      <c r="Y4009" s="8"/>
      <c r="Z4009" s="8"/>
    </row>
    <row r="4010" spans="1:26" ht="12.75">
      <c r="A4010" s="11">
        <v>43747.131585648152</v>
      </c>
      <c r="B4010" s="12" t="str">
        <f>HYPERLINK("https://twitter.com/ersoykupuc__10","@ersoykupuc__10")</f>
        <v>@ersoykupuc__10</v>
      </c>
      <c r="C4010" s="7" t="s">
        <v>20865</v>
      </c>
      <c r="D4010" s="7" t="s">
        <v>20866</v>
      </c>
      <c r="E4010" s="12" t="str">
        <f>HYPERLINK("https://twitter.com/ersoykupuc__10/status/1181874316633350149","1181874316633350149")</f>
        <v>1181874316633350149</v>
      </c>
      <c r="F4010" s="8"/>
      <c r="G4010" s="7"/>
      <c r="H4010" s="8"/>
      <c r="I4010" s="15">
        <v>0</v>
      </c>
      <c r="J4010" s="15">
        <v>0</v>
      </c>
      <c r="K4010" s="12" t="str">
        <f>HYPERLINK("http://twitter.com/download/android","Twitter for Android")</f>
        <v>Twitter for Android</v>
      </c>
      <c r="L4010" s="16">
        <v>862</v>
      </c>
      <c r="M4010" s="16">
        <v>1765</v>
      </c>
      <c r="N4010" s="16">
        <v>0</v>
      </c>
      <c r="O4010" s="17"/>
      <c r="P4010" s="18">
        <v>40490.2105787037</v>
      </c>
      <c r="Q4010" s="7" t="s">
        <v>69</v>
      </c>
      <c r="R4010" s="7" t="s">
        <v>20867</v>
      </c>
      <c r="S4010" s="8"/>
      <c r="T4010" s="8"/>
      <c r="U4010" s="19" t="str">
        <f>HYPERLINK("https://pbs.twimg.com/profile_images/1061945049712336896/ETypdBRO.jpg","View")</f>
        <v>View</v>
      </c>
      <c r="V4010" s="8"/>
      <c r="W4010" s="8"/>
      <c r="X4010" s="8"/>
      <c r="Y4010" s="8"/>
      <c r="Z4010" s="8"/>
    </row>
    <row r="4011" spans="1:26" ht="12.75">
      <c r="A4011" s="11">
        <v>43747.131516203706</v>
      </c>
      <c r="B4011" s="12" t="str">
        <f>HYPERLINK("https://twitter.com/ozelkuvvetlerig","@ozelkuvvetlerig")</f>
        <v>@ozelkuvvetlerig</v>
      </c>
      <c r="C4011" s="7" t="s">
        <v>20868</v>
      </c>
      <c r="D4011" s="7" t="s">
        <v>20869</v>
      </c>
      <c r="E4011" s="12" t="str">
        <f>HYPERLINK("https://twitter.com/ozelkuvvetlerig/status/1181874290117025793","1181874290117025793")</f>
        <v>1181874290117025793</v>
      </c>
      <c r="F4011" s="8"/>
      <c r="G4011" s="14" t="s">
        <v>20870</v>
      </c>
      <c r="H4011" s="8"/>
      <c r="I4011" s="15">
        <v>2</v>
      </c>
      <c r="J4011" s="15">
        <v>9</v>
      </c>
      <c r="K4011" s="12" t="str">
        <f>HYPERLINK("http://twitter.com/download/android","Twitter for Android")</f>
        <v>Twitter for Android</v>
      </c>
      <c r="L4011" s="16">
        <v>2122</v>
      </c>
      <c r="M4011" s="16">
        <v>2</v>
      </c>
      <c r="N4011" s="16">
        <v>1</v>
      </c>
      <c r="O4011" s="17"/>
      <c r="P4011" s="18">
        <v>42811.545300925922</v>
      </c>
      <c r="Q4011" s="7" t="s">
        <v>287</v>
      </c>
      <c r="R4011" s="7" t="s">
        <v>20871</v>
      </c>
      <c r="S4011" s="14" t="s">
        <v>20872</v>
      </c>
      <c r="T4011" s="8"/>
      <c r="U4011" s="19" t="str">
        <f>HYPERLINK("https://pbs.twimg.com/profile_images/881869220010741760/5Al7jNsl.jpg","View")</f>
        <v>View</v>
      </c>
      <c r="V4011" s="8"/>
      <c r="W4011" s="8"/>
      <c r="X4011" s="8"/>
      <c r="Y4011" s="8"/>
      <c r="Z4011" s="8"/>
    </row>
    <row r="4012" spans="1:26" ht="12.75">
      <c r="A4012" s="11">
        <v>43747.131481481483</v>
      </c>
      <c r="B4012" s="12" t="str">
        <f>HYPERLINK("https://twitter.com/BizAnadoluyuz1","@BizAnadoluyuz1")</f>
        <v>@BizAnadoluyuz1</v>
      </c>
      <c r="C4012" s="7" t="s">
        <v>20873</v>
      </c>
      <c r="D4012" s="7" t="s">
        <v>20874</v>
      </c>
      <c r="E4012" s="12" t="str">
        <f>HYPERLINK("https://twitter.com/BizAnadoluyuz1/status/1181874275604668416","1181874275604668416")</f>
        <v>1181874275604668416</v>
      </c>
      <c r="F4012" s="8"/>
      <c r="G4012" s="15"/>
      <c r="H4012" s="8"/>
      <c r="I4012" s="15">
        <v>1</v>
      </c>
      <c r="J4012" s="15">
        <v>3</v>
      </c>
      <c r="K4012" s="12" t="str">
        <f>HYPERLINK("http://twitter.com/download/android","Twitter for Android")</f>
        <v>Twitter for Android</v>
      </c>
      <c r="L4012" s="16">
        <v>2470</v>
      </c>
      <c r="M4012" s="16">
        <v>2576</v>
      </c>
      <c r="N4012" s="16">
        <v>0</v>
      </c>
      <c r="O4012" s="17"/>
      <c r="P4012" s="18">
        <v>42189.622673611113</v>
      </c>
      <c r="Q4012" s="7"/>
      <c r="R4012" s="7" t="s">
        <v>20875</v>
      </c>
      <c r="S4012" s="8"/>
      <c r="T4012" s="8"/>
      <c r="U4012" s="19" t="str">
        <f>HYPERLINK("https://pbs.twimg.com/profile_images/1153270706295230464/tjt-B-x6.jpg","View")</f>
        <v>View</v>
      </c>
      <c r="V4012" s="8"/>
      <c r="W4012" s="8"/>
      <c r="X4012" s="8"/>
      <c r="Y4012" s="8"/>
      <c r="Z4012" s="8"/>
    </row>
    <row r="4013" spans="1:26" ht="12.75">
      <c r="A4013" s="11">
        <v>43747.13144675926</v>
      </c>
      <c r="B4013" s="12" t="str">
        <f>HYPERLINK("https://twitter.com/AkkayaTr","@AkkayaTr")</f>
        <v>@AkkayaTr</v>
      </c>
      <c r="C4013" s="7" t="s">
        <v>20876</v>
      </c>
      <c r="D4013" s="7" t="s">
        <v>20877</v>
      </c>
      <c r="E4013" s="12" t="str">
        <f>HYPERLINK("https://twitter.com/AkkayaTr/status/1181874263340589057","1181874263340589057")</f>
        <v>1181874263340589057</v>
      </c>
      <c r="F4013" s="8"/>
      <c r="G4013" s="15"/>
      <c r="H4013" s="8"/>
      <c r="I4013" s="15">
        <v>0</v>
      </c>
      <c r="J4013" s="15">
        <v>0</v>
      </c>
      <c r="K4013" s="12" t="str">
        <f>HYPERLINK("http://twitter.com/download/iphone","Twitter for iPhone")</f>
        <v>Twitter for iPhone</v>
      </c>
      <c r="L4013" s="16">
        <v>118</v>
      </c>
      <c r="M4013" s="16">
        <v>1592</v>
      </c>
      <c r="N4013" s="16">
        <v>3</v>
      </c>
      <c r="O4013" s="17"/>
      <c r="P4013" s="18">
        <v>40054.447581018518</v>
      </c>
      <c r="Q4013" s="7" t="s">
        <v>576</v>
      </c>
      <c r="R4013" s="7" t="s">
        <v>20878</v>
      </c>
      <c r="S4013" s="14" t="s">
        <v>20879</v>
      </c>
      <c r="T4013" s="8"/>
      <c r="U4013" s="19" t="str">
        <f>HYPERLINK("https://pbs.twimg.com/profile_images/1078010356772028418/ZcNABzX4.jpg","View")</f>
        <v>View</v>
      </c>
      <c r="V4013" s="8"/>
      <c r="W4013" s="8"/>
      <c r="X4013" s="8"/>
      <c r="Y4013" s="8"/>
      <c r="Z4013" s="8"/>
    </row>
    <row r="4014" spans="1:26" ht="12.75">
      <c r="A4014" s="11">
        <v>43747.131435185191</v>
      </c>
      <c r="B4014" s="12" t="str">
        <f>HYPERLINK("https://twitter.com/MtnKaya57","@MtnKaya57")</f>
        <v>@MtnKaya57</v>
      </c>
      <c r="C4014" s="7" t="s">
        <v>20880</v>
      </c>
      <c r="D4014" s="7" t="s">
        <v>20881</v>
      </c>
      <c r="E4014" s="12" t="str">
        <f>HYPERLINK("https://twitter.com/MtnKaya57/status/1181874259209179137","1181874259209179137")</f>
        <v>1181874259209179137</v>
      </c>
      <c r="F4014" s="14" t="s">
        <v>20882</v>
      </c>
      <c r="G4014" s="14" t="s">
        <v>20883</v>
      </c>
      <c r="H4014" s="8"/>
      <c r="I4014" s="15">
        <v>0</v>
      </c>
      <c r="J4014" s="15">
        <v>0</v>
      </c>
      <c r="K4014" s="12" t="str">
        <f>HYPERLINK("http://twitter.com/download/iphone","Twitter for iPhone")</f>
        <v>Twitter for iPhone</v>
      </c>
      <c r="L4014" s="16">
        <v>177</v>
      </c>
      <c r="M4014" s="16">
        <v>848</v>
      </c>
      <c r="N4014" s="16">
        <v>0</v>
      </c>
      <c r="O4014" s="17"/>
      <c r="P4014" s="18">
        <v>41929.5940625</v>
      </c>
      <c r="Q4014" s="7"/>
      <c r="R4014" s="7" t="s">
        <v>20884</v>
      </c>
      <c r="S4014" s="15"/>
      <c r="T4014" s="8"/>
      <c r="U4014" s="19" t="str">
        <f>HYPERLINK("https://pbs.twimg.com/profile_images/1043424004630044672/u3JwmTvS.jpg","View")</f>
        <v>View</v>
      </c>
      <c r="V4014" s="8"/>
      <c r="W4014" s="8"/>
      <c r="X4014" s="8"/>
      <c r="Y4014" s="8"/>
      <c r="Z4014" s="8"/>
    </row>
    <row r="4015" spans="1:26" ht="12.75">
      <c r="A4015" s="11">
        <v>43747.131423611107</v>
      </c>
      <c r="B4015" s="12" t="str">
        <f>HYPERLINK("https://twitter.com/SametBendez","@SametBendez")</f>
        <v>@SametBendez</v>
      </c>
      <c r="C4015" s="7" t="s">
        <v>20885</v>
      </c>
      <c r="D4015" s="7" t="s">
        <v>20886</v>
      </c>
      <c r="E4015" s="12" t="str">
        <f>HYPERLINK("https://twitter.com/SametBendez/status/1181874255258116096","1181874255258116096")</f>
        <v>1181874255258116096</v>
      </c>
      <c r="F4015" s="8"/>
      <c r="G4015" s="7"/>
      <c r="H4015" s="8"/>
      <c r="I4015" s="15">
        <v>0</v>
      </c>
      <c r="J4015" s="15">
        <v>0</v>
      </c>
      <c r="K4015" s="12" t="str">
        <f>HYPERLINK("http://twitter.com/download/android","Twitter for Android")</f>
        <v>Twitter for Android</v>
      </c>
      <c r="L4015" s="16">
        <v>84</v>
      </c>
      <c r="M4015" s="16">
        <v>287</v>
      </c>
      <c r="N4015" s="16">
        <v>0</v>
      </c>
      <c r="O4015" s="17"/>
      <c r="P4015" s="18">
        <v>40925.520532407405</v>
      </c>
      <c r="Q4015" s="7" t="s">
        <v>313</v>
      </c>
      <c r="R4015" s="7" t="s">
        <v>20887</v>
      </c>
      <c r="S4015" s="8"/>
      <c r="T4015" s="8"/>
      <c r="U4015" s="19" t="str">
        <f>HYPERLINK("https://pbs.twimg.com/profile_images/1002494910132613120/pCQbxzNZ.jpg","View")</f>
        <v>View</v>
      </c>
      <c r="V4015" s="8"/>
      <c r="W4015" s="8"/>
      <c r="X4015" s="8"/>
      <c r="Y4015" s="8"/>
      <c r="Z4015" s="8"/>
    </row>
    <row r="4016" spans="1:26" ht="12.75">
      <c r="A4016" s="11">
        <v>43747.131400462968</v>
      </c>
      <c r="B4016" s="12" t="str">
        <f>HYPERLINK("https://twitter.com/AdnanKeskin1923","@AdnanKeskin1923")</f>
        <v>@AdnanKeskin1923</v>
      </c>
      <c r="C4016" s="7" t="s">
        <v>20888</v>
      </c>
      <c r="D4016" s="7" t="s">
        <v>20889</v>
      </c>
      <c r="E4016" s="12" t="str">
        <f>HYPERLINK("https://twitter.com/AdnanKeskin1923/status/1181874246567546881","1181874246567546881")</f>
        <v>1181874246567546881</v>
      </c>
      <c r="F4016" s="15"/>
      <c r="G4016" s="14" t="s">
        <v>20890</v>
      </c>
      <c r="H4016" s="8"/>
      <c r="I4016" s="15">
        <v>0</v>
      </c>
      <c r="J4016" s="15">
        <v>0</v>
      </c>
      <c r="K4016" s="12" t="str">
        <f>HYPERLINK("http://twitter.com/download/android","Twitter for Android")</f>
        <v>Twitter for Android</v>
      </c>
      <c r="L4016" s="16">
        <v>72</v>
      </c>
      <c r="M4016" s="16">
        <v>270</v>
      </c>
      <c r="N4016" s="16">
        <v>0</v>
      </c>
      <c r="O4016" s="17"/>
      <c r="P4016" s="18">
        <v>43737.507210648153</v>
      </c>
      <c r="Q4016" s="7"/>
      <c r="R4016" s="7" t="s">
        <v>20891</v>
      </c>
      <c r="S4016" s="8"/>
      <c r="T4016" s="8"/>
      <c r="U4016" s="19" t="str">
        <f>HYPERLINK("https://pbs.twimg.com/profile_images/1180192118431797248/Gj1oDKMJ.jpg","View")</f>
        <v>View</v>
      </c>
      <c r="V4016" s="8"/>
      <c r="W4016" s="8"/>
      <c r="X4016" s="8"/>
      <c r="Y4016" s="8"/>
      <c r="Z4016" s="8"/>
    </row>
    <row r="4017" spans="1:26" ht="12.75">
      <c r="A4017" s="11">
        <v>43747.131377314814</v>
      </c>
      <c r="B4017" s="12" t="str">
        <f>HYPERLINK("https://twitter.com/xkoordinasyon","@xkoordinasyon")</f>
        <v>@xkoordinasyon</v>
      </c>
      <c r="C4017" s="7" t="s">
        <v>20892</v>
      </c>
      <c r="D4017" s="7" t="s">
        <v>9777</v>
      </c>
      <c r="E4017" s="12" t="str">
        <f>HYPERLINK("https://twitter.com/xkoordinasyon/status/1181874240053747712","1181874240053747712")</f>
        <v>1181874240053747712</v>
      </c>
      <c r="F4017" s="15"/>
      <c r="G4017" s="15"/>
      <c r="H4017" s="8"/>
      <c r="I4017" s="15">
        <v>0</v>
      </c>
      <c r="J4017" s="15">
        <v>0</v>
      </c>
      <c r="K4017" s="12" t="str">
        <f>HYPERLINK("http://twitter.com/download/iphone","Twitter for iPhone")</f>
        <v>Twitter for iPhone</v>
      </c>
      <c r="L4017" s="16">
        <v>4508</v>
      </c>
      <c r="M4017" s="16">
        <v>4519</v>
      </c>
      <c r="N4017" s="16">
        <v>6</v>
      </c>
      <c r="O4017" s="17"/>
      <c r="P4017" s="18">
        <v>41616.275763888887</v>
      </c>
      <c r="Q4017" s="7" t="s">
        <v>20893</v>
      </c>
      <c r="R4017" s="7" t="s">
        <v>20894</v>
      </c>
      <c r="S4017" s="8"/>
      <c r="T4017" s="8"/>
      <c r="U4017" s="19" t="str">
        <f>HYPERLINK("https://pbs.twimg.com/profile_images/1148616561021919232/mjrs7dw2.jpg","View")</f>
        <v>View</v>
      </c>
      <c r="V4017" s="8"/>
      <c r="W4017" s="8"/>
      <c r="X4017" s="8"/>
      <c r="Y4017" s="8"/>
      <c r="Z4017" s="8"/>
    </row>
    <row r="4018" spans="1:26" ht="12.75">
      <c r="A4018" s="11">
        <v>43747.131342592591</v>
      </c>
      <c r="B4018" s="12" t="str">
        <f>HYPERLINK("https://twitter.com/hasan53686981","@hasan53686981")</f>
        <v>@hasan53686981</v>
      </c>
      <c r="C4018" s="7" t="s">
        <v>20895</v>
      </c>
      <c r="D4018" s="7" t="s">
        <v>20896</v>
      </c>
      <c r="E4018" s="12" t="str">
        <f>HYPERLINK("https://twitter.com/hasan53686981/status/1181874228922130433","1181874228922130433")</f>
        <v>1181874228922130433</v>
      </c>
      <c r="F4018" s="8"/>
      <c r="G4018" s="14" t="s">
        <v>20897</v>
      </c>
      <c r="H4018" s="8"/>
      <c r="I4018" s="15">
        <v>1</v>
      </c>
      <c r="J4018" s="15">
        <v>5</v>
      </c>
      <c r="K4018" s="12" t="str">
        <f>HYPERLINK("https://mobile.twitter.com","Twitter Web App")</f>
        <v>Twitter Web App</v>
      </c>
      <c r="L4018" s="16">
        <v>0</v>
      </c>
      <c r="M4018" s="16">
        <v>7</v>
      </c>
      <c r="N4018" s="16">
        <v>0</v>
      </c>
      <c r="O4018" s="17"/>
      <c r="P4018" s="18">
        <v>43503.415879629625</v>
      </c>
      <c r="Q4018" s="7"/>
      <c r="R4018" s="7"/>
      <c r="S4018" s="8"/>
      <c r="T4018" s="8"/>
      <c r="U4018" s="19" t="str">
        <f>HYPERLINK("https://pbs.twimg.com/profile_images/1177845449060999173/YfWtEEsT.jpg","View")</f>
        <v>View</v>
      </c>
      <c r="V4018" s="8"/>
      <c r="W4018" s="8"/>
      <c r="X4018" s="8"/>
      <c r="Y4018" s="8"/>
      <c r="Z4018" s="8"/>
    </row>
    <row r="4019" spans="1:26" ht="12.75">
      <c r="A4019" s="11">
        <v>43747.131342592591</v>
      </c>
      <c r="B4019" s="12" t="str">
        <f>HYPERLINK("https://twitter.com/burakbas41","@burakbas41")</f>
        <v>@burakbas41</v>
      </c>
      <c r="C4019" s="7" t="s">
        <v>20898</v>
      </c>
      <c r="D4019" s="7" t="s">
        <v>20899</v>
      </c>
      <c r="E4019" s="12" t="str">
        <f>HYPERLINK("https://twitter.com/burakbas41/status/1181874228066488322","1181874228066488322")</f>
        <v>1181874228066488322</v>
      </c>
      <c r="F4019" s="8"/>
      <c r="G4019" s="14" t="s">
        <v>20900</v>
      </c>
      <c r="H4019" s="8"/>
      <c r="I4019" s="15">
        <v>0</v>
      </c>
      <c r="J4019" s="15">
        <v>1</v>
      </c>
      <c r="K4019" s="12" t="str">
        <f>HYPERLINK("http://twitter.com/download/iphone","Twitter for iPhone")</f>
        <v>Twitter for iPhone</v>
      </c>
      <c r="L4019" s="16">
        <v>104</v>
      </c>
      <c r="M4019" s="16">
        <v>190</v>
      </c>
      <c r="N4019" s="16">
        <v>1</v>
      </c>
      <c r="O4019" s="17"/>
      <c r="P4019" s="18">
        <v>41344.673715277779</v>
      </c>
      <c r="Q4019" s="7"/>
      <c r="R4019" s="7" t="s">
        <v>20901</v>
      </c>
      <c r="S4019" s="8"/>
      <c r="T4019" s="8"/>
      <c r="U4019" s="19" t="str">
        <f>HYPERLINK("https://pbs.twimg.com/profile_images/1076996338523561985/OxKtgJHy.jpg","View")</f>
        <v>View</v>
      </c>
      <c r="V4019" s="8"/>
      <c r="W4019" s="8"/>
      <c r="X4019" s="8"/>
      <c r="Y4019" s="8"/>
      <c r="Z4019" s="8"/>
    </row>
    <row r="4020" spans="1:26" ht="12.75">
      <c r="A4020" s="11">
        <v>43747.131296296298</v>
      </c>
      <c r="B4020" s="12" t="str">
        <f>HYPERLINK("https://twitter.com/kaptanofarena","@kaptanofarena")</f>
        <v>@kaptanofarena</v>
      </c>
      <c r="C4020" s="7" t="s">
        <v>20902</v>
      </c>
      <c r="D4020" s="7" t="s">
        <v>20903</v>
      </c>
      <c r="E4020" s="12" t="str">
        <f>HYPERLINK("https://twitter.com/kaptanofarena/status/1181874208625844224","1181874208625844224")</f>
        <v>1181874208625844224</v>
      </c>
      <c r="F4020" s="8"/>
      <c r="G4020" s="7"/>
      <c r="H4020" s="8"/>
      <c r="I4020" s="15">
        <v>0</v>
      </c>
      <c r="J4020" s="15">
        <v>0</v>
      </c>
      <c r="K4020" s="12" t="str">
        <f>HYPERLINK("http://twitter.com/download/android","Twitter for Android")</f>
        <v>Twitter for Android</v>
      </c>
      <c r="L4020" s="16">
        <v>17</v>
      </c>
      <c r="M4020" s="16">
        <v>41</v>
      </c>
      <c r="N4020" s="16">
        <v>0</v>
      </c>
      <c r="O4020" s="17"/>
      <c r="P4020" s="18">
        <v>43693.483078703706</v>
      </c>
      <c r="Q4020" s="7" t="s">
        <v>313</v>
      </c>
      <c r="R4020" s="7" t="s">
        <v>20904</v>
      </c>
      <c r="S4020" s="8"/>
      <c r="T4020" s="8"/>
      <c r="U4020" s="19" t="str">
        <f>HYPERLINK("https://pbs.twimg.com/profile_images/1176998859303768064/3Ry47EIM.jpg","View")</f>
        <v>View</v>
      </c>
      <c r="V4020" s="8"/>
      <c r="W4020" s="8"/>
      <c r="X4020" s="8"/>
      <c r="Y4020" s="8"/>
      <c r="Z4020" s="8"/>
    </row>
    <row r="4021" spans="1:26" ht="12.75">
      <c r="A4021" s="11">
        <v>43747.131296296298</v>
      </c>
      <c r="B4021" s="12" t="str">
        <f>HYPERLINK("https://twitter.com/Yasin_Yilmaazz","@Yasin_Yilmaazz")</f>
        <v>@Yasin_Yilmaazz</v>
      </c>
      <c r="C4021" s="7" t="s">
        <v>20905</v>
      </c>
      <c r="D4021" s="7" t="s">
        <v>20906</v>
      </c>
      <c r="E4021" s="12" t="str">
        <f>HYPERLINK("https://twitter.com/Yasin_Yilmaazz/status/1181874208340680704","1181874208340680704")</f>
        <v>1181874208340680704</v>
      </c>
      <c r="F4021" s="8"/>
      <c r="G4021" s="14" t="s">
        <v>20907</v>
      </c>
      <c r="H4021" s="8"/>
      <c r="I4021" s="15">
        <v>0</v>
      </c>
      <c r="J4021" s="15">
        <v>1</v>
      </c>
      <c r="K4021" s="12" t="str">
        <f>HYPERLINK("http://twitter.com/download/android","Twitter for Android")</f>
        <v>Twitter for Android</v>
      </c>
      <c r="L4021" s="16">
        <v>4</v>
      </c>
      <c r="M4021" s="16">
        <v>9</v>
      </c>
      <c r="N4021" s="16">
        <v>0</v>
      </c>
      <c r="O4021" s="17"/>
      <c r="P4021" s="18">
        <v>43293.077083333337</v>
      </c>
      <c r="Q4021" s="7"/>
      <c r="R4021" s="7"/>
      <c r="S4021" s="8"/>
      <c r="T4021" s="8"/>
      <c r="U4021" s="19" t="str">
        <f>HYPERLINK("https://pbs.twimg.com/profile_images/1141309372066357248/TH3JRcTp.jpg","View")</f>
        <v>View</v>
      </c>
      <c r="V4021" s="8"/>
      <c r="W4021" s="8"/>
      <c r="X4021" s="8"/>
      <c r="Y4021" s="8"/>
      <c r="Z4021" s="8"/>
    </row>
    <row r="4022" spans="1:26" ht="12.75">
      <c r="A4022" s="11">
        <v>43747.131238425922</v>
      </c>
      <c r="B4022" s="12" t="str">
        <f>HYPERLINK("https://twitter.com/yusufisl","@yusufisl")</f>
        <v>@yusufisl</v>
      </c>
      <c r="C4022" s="7" t="s">
        <v>20908</v>
      </c>
      <c r="D4022" s="7" t="s">
        <v>20909</v>
      </c>
      <c r="E4022" s="12" t="str">
        <f>HYPERLINK("https://twitter.com/yusufisl/status/1181874190401626112","1181874190401626112")</f>
        <v>1181874190401626112</v>
      </c>
      <c r="F4022" s="8"/>
      <c r="G4022" s="7"/>
      <c r="H4022" s="8"/>
      <c r="I4022" s="15">
        <v>0</v>
      </c>
      <c r="J4022" s="15">
        <v>0</v>
      </c>
      <c r="K4022" s="12" t="str">
        <f>HYPERLINK("https://mobile.twitter.com","Twitter Web App")</f>
        <v>Twitter Web App</v>
      </c>
      <c r="L4022" s="16">
        <v>829</v>
      </c>
      <c r="M4022" s="16">
        <v>1049</v>
      </c>
      <c r="N4022" s="16">
        <v>1</v>
      </c>
      <c r="O4022" s="17"/>
      <c r="P4022" s="18">
        <v>41053.142361111109</v>
      </c>
      <c r="Q4022" s="7" t="s">
        <v>10826</v>
      </c>
      <c r="R4022" s="7" t="s">
        <v>20910</v>
      </c>
      <c r="S4022" s="8"/>
      <c r="T4022" s="8"/>
      <c r="U4022" s="19" t="str">
        <f>HYPERLINK("https://pbs.twimg.com/profile_images/1148237416869826561/5KtABSmY.jpg","View")</f>
        <v>View</v>
      </c>
      <c r="V4022" s="8"/>
      <c r="W4022" s="8"/>
      <c r="X4022" s="8"/>
      <c r="Y4022" s="8"/>
      <c r="Z4022" s="8"/>
    </row>
    <row r="4023" spans="1:26" ht="12.75">
      <c r="A4023" s="11">
        <v>43747.131168981483</v>
      </c>
      <c r="B4023" s="12" t="str">
        <f>HYPERLINK("https://twitter.com/Murat77450638","@Murat77450638")</f>
        <v>@Murat77450638</v>
      </c>
      <c r="C4023" s="7" t="s">
        <v>20911</v>
      </c>
      <c r="D4023" s="7" t="s">
        <v>20912</v>
      </c>
      <c r="E4023" s="12" t="str">
        <f>HYPERLINK("https://twitter.com/Murat77450638/status/1181874161901277189","1181874161901277189")</f>
        <v>1181874161901277189</v>
      </c>
      <c r="F4023" s="8"/>
      <c r="G4023" s="14" t="s">
        <v>20913</v>
      </c>
      <c r="H4023" s="8"/>
      <c r="I4023" s="15">
        <v>0</v>
      </c>
      <c r="J4023" s="15">
        <v>1</v>
      </c>
      <c r="K4023" s="12" t="str">
        <f>HYPERLINK("https://mobile.twitter.com","Twitter Web App")</f>
        <v>Twitter Web App</v>
      </c>
      <c r="L4023" s="16">
        <v>14</v>
      </c>
      <c r="M4023" s="16">
        <v>3</v>
      </c>
      <c r="N4023" s="16">
        <v>0</v>
      </c>
      <c r="O4023" s="17"/>
      <c r="P4023" s="18">
        <v>43298.621747685189</v>
      </c>
      <c r="Q4023" s="7"/>
      <c r="R4023" s="7"/>
      <c r="S4023" s="8"/>
      <c r="T4023" s="8"/>
      <c r="U4023" s="19" t="str">
        <f>HYPERLINK("https://pbs.twimg.com/profile_images/1020434521353801733/Q92QiEEy.jpg","View")</f>
        <v>View</v>
      </c>
      <c r="V4023" s="8"/>
      <c r="W4023" s="8"/>
      <c r="X4023" s="8"/>
      <c r="Y4023" s="8"/>
      <c r="Z4023" s="8"/>
    </row>
    <row r="4024" spans="1:26" ht="12.75">
      <c r="A4024" s="11">
        <v>43747.131157407406</v>
      </c>
      <c r="B4024" s="12" t="str">
        <f>HYPERLINK("https://twitter.com/CaelumProtector","@CaelumProtector")</f>
        <v>@CaelumProtector</v>
      </c>
      <c r="C4024" s="7" t="s">
        <v>20914</v>
      </c>
      <c r="D4024" s="7" t="s">
        <v>160</v>
      </c>
      <c r="E4024" s="12" t="str">
        <f>HYPERLINK("https://twitter.com/CaelumProtector/status/1181874157799329794","1181874157799329794")</f>
        <v>1181874157799329794</v>
      </c>
      <c r="F4024" s="8"/>
      <c r="G4024" s="14" t="s">
        <v>20915</v>
      </c>
      <c r="H4024" s="8"/>
      <c r="I4024" s="15">
        <v>0</v>
      </c>
      <c r="J4024" s="15">
        <v>1</v>
      </c>
      <c r="K4024" s="12" t="str">
        <f>HYPERLINK("https://mobile.twitter.com","Twitter Web App")</f>
        <v>Twitter Web App</v>
      </c>
      <c r="L4024" s="16">
        <v>261</v>
      </c>
      <c r="M4024" s="16">
        <v>453</v>
      </c>
      <c r="N4024" s="16">
        <v>0</v>
      </c>
      <c r="O4024" s="17"/>
      <c r="P4024" s="18">
        <v>43423.027071759258</v>
      </c>
      <c r="Q4024" s="7" t="s">
        <v>2851</v>
      </c>
      <c r="R4024" s="7" t="s">
        <v>20916</v>
      </c>
      <c r="S4024" s="14" t="s">
        <v>20917</v>
      </c>
      <c r="T4024" s="8"/>
      <c r="U4024" s="19" t="str">
        <f>HYPERLINK("https://pbs.twimg.com/profile_images/1162456751222022144/Rd5UOesT.jpg","View")</f>
        <v>View</v>
      </c>
      <c r="V4024" s="8"/>
      <c r="W4024" s="8"/>
      <c r="X4024" s="8"/>
      <c r="Y4024" s="8"/>
      <c r="Z4024" s="8"/>
    </row>
    <row r="4025" spans="1:26" ht="12.75">
      <c r="A4025" s="11">
        <v>43747.131111111114</v>
      </c>
      <c r="B4025" s="12" t="str">
        <f>HYPERLINK("https://twitter.com/insifani611","@insifani611")</f>
        <v>@insifani611</v>
      </c>
      <c r="C4025" s="7" t="s">
        <v>20918</v>
      </c>
      <c r="D4025" s="7" t="s">
        <v>20919</v>
      </c>
      <c r="E4025" s="12" t="str">
        <f>HYPERLINK("https://twitter.com/insifani611/status/1181874143605735424","1181874143605735424")</f>
        <v>1181874143605735424</v>
      </c>
      <c r="F4025" s="8"/>
      <c r="G4025" s="7"/>
      <c r="H4025" s="8"/>
      <c r="I4025" s="15">
        <v>0</v>
      </c>
      <c r="J4025" s="15">
        <v>1</v>
      </c>
      <c r="K4025" s="12" t="str">
        <f>HYPERLINK("http://twitter.com/download/android","Twitter for Android")</f>
        <v>Twitter for Android</v>
      </c>
      <c r="L4025" s="16">
        <v>221</v>
      </c>
      <c r="M4025" s="16">
        <v>206</v>
      </c>
      <c r="N4025" s="16">
        <v>0</v>
      </c>
      <c r="O4025" s="17"/>
      <c r="P4025" s="18">
        <v>41845.151342592595</v>
      </c>
      <c r="Q4025" s="7"/>
      <c r="R4025" s="7" t="s">
        <v>20920</v>
      </c>
      <c r="S4025" s="15"/>
      <c r="T4025" s="8"/>
      <c r="U4025" s="19" t="str">
        <f>HYPERLINK("https://pbs.twimg.com/profile_images/1150317654458208256/2UZZkcwJ.jpg","View")</f>
        <v>View</v>
      </c>
      <c r="V4025" s="8"/>
      <c r="W4025" s="8"/>
      <c r="X4025" s="8"/>
      <c r="Y4025" s="8"/>
      <c r="Z4025" s="8"/>
    </row>
    <row r="4026" spans="1:26" ht="12.75">
      <c r="A4026" s="11">
        <v>43747.131064814814</v>
      </c>
      <c r="B4026" s="12" t="str">
        <f>HYPERLINK("https://twitter.com/OmerGrell","@OmerGrell")</f>
        <v>@OmerGrell</v>
      </c>
      <c r="C4026" s="7" t="s">
        <v>20921</v>
      </c>
      <c r="D4026" s="7" t="s">
        <v>20922</v>
      </c>
      <c r="E4026" s="12" t="str">
        <f>HYPERLINK("https://twitter.com/OmerGrell/status/1181874127533199361","1181874127533199361")</f>
        <v>1181874127533199361</v>
      </c>
      <c r="F4026" s="8"/>
      <c r="G4026" s="14" t="s">
        <v>20923</v>
      </c>
      <c r="H4026" s="8"/>
      <c r="I4026" s="15">
        <v>0</v>
      </c>
      <c r="J4026" s="15">
        <v>1</v>
      </c>
      <c r="K4026" s="12" t="str">
        <f>HYPERLINK("http://twitter.com/download/iphone","Twitter for iPhone")</f>
        <v>Twitter for iPhone</v>
      </c>
      <c r="L4026" s="16">
        <v>20</v>
      </c>
      <c r="M4026" s="16">
        <v>40</v>
      </c>
      <c r="N4026" s="16">
        <v>0</v>
      </c>
      <c r="O4026" s="17"/>
      <c r="P4026" s="18">
        <v>42566.26966435185</v>
      </c>
      <c r="Q4026" s="7"/>
      <c r="R4026" s="7" t="s">
        <v>20924</v>
      </c>
      <c r="S4026" s="8"/>
      <c r="T4026" s="8"/>
      <c r="U4026" s="19" t="str">
        <f>HYPERLINK("https://pbs.twimg.com/profile_images/1160542939732467713/5n-bu5Nu.jpg","View")</f>
        <v>View</v>
      </c>
      <c r="V4026" s="8"/>
      <c r="W4026" s="8"/>
      <c r="X4026" s="8"/>
      <c r="Y4026" s="8"/>
      <c r="Z4026" s="8"/>
    </row>
    <row r="4027" spans="1:26" ht="12.75">
      <c r="A4027" s="11">
        <v>43747.131041666667</v>
      </c>
      <c r="B4027" s="12" t="str">
        <f>HYPERLINK("https://twitter.com/dumanamat","@dumanamat")</f>
        <v>@dumanamat</v>
      </c>
      <c r="C4027" s="7" t="s">
        <v>20925</v>
      </c>
      <c r="D4027" s="7" t="s">
        <v>20153</v>
      </c>
      <c r="E4027" s="12" t="str">
        <f>HYPERLINK("https://twitter.com/dumanamat/status/1181874117689126914","1181874117689126914")</f>
        <v>1181874117689126914</v>
      </c>
      <c r="F4027" s="8"/>
      <c r="G4027" s="14" t="s">
        <v>20926</v>
      </c>
      <c r="H4027" s="8"/>
      <c r="I4027" s="15">
        <v>1</v>
      </c>
      <c r="J4027" s="15">
        <v>1</v>
      </c>
      <c r="K4027" s="12" t="str">
        <f>HYPERLINK("https://mobile.twitter.com","Twitter Web App")</f>
        <v>Twitter Web App</v>
      </c>
      <c r="L4027" s="16">
        <v>71</v>
      </c>
      <c r="M4027" s="16">
        <v>89</v>
      </c>
      <c r="N4027" s="16">
        <v>0</v>
      </c>
      <c r="O4027" s="17"/>
      <c r="P4027" s="18">
        <v>42016.312094907407</v>
      </c>
      <c r="Q4027" s="7"/>
      <c r="R4027" s="7" t="s">
        <v>20927</v>
      </c>
      <c r="S4027" s="8"/>
      <c r="T4027" s="8"/>
      <c r="U4027" s="19" t="str">
        <f>HYPERLINK("https://pbs.twimg.com/profile_images/976557122610782208/eEW71-8W.jpg","View")</f>
        <v>View</v>
      </c>
      <c r="V4027" s="8"/>
      <c r="W4027" s="8"/>
      <c r="X4027" s="8"/>
      <c r="Y4027" s="8"/>
      <c r="Z4027" s="8"/>
    </row>
    <row r="4028" spans="1:26" ht="12.75">
      <c r="A4028" s="11">
        <v>43747.131018518514</v>
      </c>
      <c r="B4028" s="12" t="str">
        <f>HYPERLINK("https://twitter.com/nur_i_ziya","@nur_i_ziya")</f>
        <v>@nur_i_ziya</v>
      </c>
      <c r="C4028" s="7" t="s">
        <v>20928</v>
      </c>
      <c r="D4028" s="7" t="s">
        <v>20929</v>
      </c>
      <c r="E4028" s="12" t="str">
        <f>HYPERLINK("https://twitter.com/nur_i_ziya/status/1181874108809826304","1181874108809826304")</f>
        <v>1181874108809826304</v>
      </c>
      <c r="F4028" s="8"/>
      <c r="G4028" s="14" t="s">
        <v>20930</v>
      </c>
      <c r="H4028" s="8"/>
      <c r="I4028" s="15">
        <v>0</v>
      </c>
      <c r="J4028" s="15">
        <v>0</v>
      </c>
      <c r="K4028" s="12" t="str">
        <f>HYPERLINK("https://mobile.twitter.com","Twitter Web App")</f>
        <v>Twitter Web App</v>
      </c>
      <c r="L4028" s="16">
        <v>198</v>
      </c>
      <c r="M4028" s="16">
        <v>337</v>
      </c>
      <c r="N4028" s="16">
        <v>1</v>
      </c>
      <c r="O4028" s="17"/>
      <c r="P4028" s="18">
        <v>42495.132199074069</v>
      </c>
      <c r="Q4028" s="7"/>
      <c r="R4028" s="7"/>
      <c r="S4028" s="8"/>
      <c r="T4028" s="8"/>
      <c r="U4028" s="19" t="str">
        <f>HYPERLINK("https://pbs.twimg.com/profile_images/1074599107292028928/P_F3EttH.jpg","View")</f>
        <v>View</v>
      </c>
      <c r="V4028" s="8"/>
      <c r="W4028" s="8"/>
      <c r="X4028" s="8"/>
      <c r="Y4028" s="8"/>
      <c r="Z4028" s="8"/>
    </row>
    <row r="4029" spans="1:26" ht="12.75">
      <c r="A4029" s="11">
        <v>43747.131006944444</v>
      </c>
      <c r="B4029" s="12" t="str">
        <f>HYPERLINK("https://twitter.com/mikailgunduz13","@mikailgunduz13")</f>
        <v>@mikailgunduz13</v>
      </c>
      <c r="C4029" s="7" t="s">
        <v>20931</v>
      </c>
      <c r="D4029" s="7" t="s">
        <v>20932</v>
      </c>
      <c r="E4029" s="12" t="str">
        <f>HYPERLINK("https://twitter.com/mikailgunduz13/status/1181874104745549824","1181874104745549824")</f>
        <v>1181874104745549824</v>
      </c>
      <c r="F4029" s="8"/>
      <c r="G4029" s="15"/>
      <c r="H4029" s="8"/>
      <c r="I4029" s="15">
        <v>0</v>
      </c>
      <c r="J4029" s="15">
        <v>1</v>
      </c>
      <c r="K4029" s="12" t="str">
        <f>HYPERLINK("http://twitter.com/download/android","Twitter for Android")</f>
        <v>Twitter for Android</v>
      </c>
      <c r="L4029" s="16">
        <v>162</v>
      </c>
      <c r="M4029" s="16">
        <v>69</v>
      </c>
      <c r="N4029" s="16">
        <v>0</v>
      </c>
      <c r="O4029" s="17"/>
      <c r="P4029" s="18">
        <v>41450.956782407404</v>
      </c>
      <c r="Q4029" s="7"/>
      <c r="R4029" s="7"/>
      <c r="S4029" s="8"/>
      <c r="T4029" s="8"/>
      <c r="U4029" s="19" t="str">
        <f>HYPERLINK("https://pbs.twimg.com/profile_images/1177201937483276294/FUTgRjkA.jpg","View")</f>
        <v>View</v>
      </c>
      <c r="V4029" s="8"/>
      <c r="W4029" s="8"/>
      <c r="X4029" s="8"/>
      <c r="Y4029" s="8"/>
      <c r="Z4029" s="8"/>
    </row>
    <row r="4030" spans="1:26" ht="12.75">
      <c r="A4030" s="11">
        <v>43747.131006944444</v>
      </c>
      <c r="B4030" s="12" t="str">
        <f>HYPERLINK("https://twitter.com/KazananlarKulb6","@KazananlarKulb6")</f>
        <v>@KazananlarKulb6</v>
      </c>
      <c r="C4030" s="7" t="s">
        <v>20933</v>
      </c>
      <c r="D4030" s="7" t="s">
        <v>20934</v>
      </c>
      <c r="E4030" s="12" t="str">
        <f>HYPERLINK("https://twitter.com/KazananlarKulb6/status/1181874103218851841","1181874103218851841")</f>
        <v>1181874103218851841</v>
      </c>
      <c r="F4030" s="8"/>
      <c r="G4030" s="15"/>
      <c r="H4030" s="8"/>
      <c r="I4030" s="15">
        <v>0</v>
      </c>
      <c r="J4030" s="15">
        <v>0</v>
      </c>
      <c r="K4030" s="12" t="str">
        <f>HYPERLINK("http://twitter.com/download/android","Twitter for Android")</f>
        <v>Twitter for Android</v>
      </c>
      <c r="L4030" s="16">
        <v>25</v>
      </c>
      <c r="M4030" s="16">
        <v>112</v>
      </c>
      <c r="N4030" s="16">
        <v>0</v>
      </c>
      <c r="O4030" s="17"/>
      <c r="P4030" s="18">
        <v>43624.347141203703</v>
      </c>
      <c r="Q4030" s="7"/>
      <c r="R4030" s="7" t="s">
        <v>20935</v>
      </c>
      <c r="S4030" s="8"/>
      <c r="T4030" s="8"/>
      <c r="U4030" s="19" t="str">
        <f>HYPERLINK("https://pbs.twimg.com/profile_images/1137378833454260225/VBbLBqSO.jpg","View")</f>
        <v>View</v>
      </c>
      <c r="V4030" s="8"/>
      <c r="W4030" s="8"/>
      <c r="X4030" s="8"/>
      <c r="Y4030" s="8"/>
      <c r="Z4030" s="8"/>
    </row>
    <row r="4031" spans="1:26" ht="12.75">
      <c r="A4031" s="11">
        <v>43747.130844907406</v>
      </c>
      <c r="B4031" s="12" t="str">
        <f>HYPERLINK("https://twitter.com/DagErdal","@DagErdal")</f>
        <v>@DagErdal</v>
      </c>
      <c r="C4031" s="7" t="s">
        <v>20936</v>
      </c>
      <c r="D4031" s="7" t="s">
        <v>20937</v>
      </c>
      <c r="E4031" s="12" t="str">
        <f>HYPERLINK("https://twitter.com/DagErdal/status/1181874046927085568","1181874046927085568")</f>
        <v>1181874046927085568</v>
      </c>
      <c r="F4031" s="15"/>
      <c r="G4031" s="14" t="s">
        <v>20938</v>
      </c>
      <c r="H4031" s="8"/>
      <c r="I4031" s="15">
        <v>0</v>
      </c>
      <c r="J4031" s="15">
        <v>2</v>
      </c>
      <c r="K4031" s="12" t="str">
        <f>HYPERLINK("http://twitter.com/download/android","Twitter for Android")</f>
        <v>Twitter for Android</v>
      </c>
      <c r="L4031" s="16">
        <v>553</v>
      </c>
      <c r="M4031" s="16">
        <v>575</v>
      </c>
      <c r="N4031" s="16">
        <v>2</v>
      </c>
      <c r="O4031" s="17"/>
      <c r="P4031" s="18">
        <v>43136.137280092589</v>
      </c>
      <c r="Q4031" s="7" t="s">
        <v>1639</v>
      </c>
      <c r="R4031" s="7" t="s">
        <v>20939</v>
      </c>
      <c r="S4031" s="8"/>
      <c r="T4031" s="8"/>
      <c r="U4031" s="19" t="str">
        <f>HYPERLINK("https://pbs.twimg.com/profile_images/1045547257842536449/i7uJMmOj.jpg","View")</f>
        <v>View</v>
      </c>
      <c r="V4031" s="8"/>
      <c r="W4031" s="8"/>
      <c r="X4031" s="8"/>
      <c r="Y4031" s="8"/>
      <c r="Z4031" s="8"/>
    </row>
    <row r="4032" spans="1:26" ht="12.75">
      <c r="A4032" s="11">
        <v>43747.130833333329</v>
      </c>
      <c r="B4032" s="12" t="str">
        <f>HYPERLINK("https://twitter.com/AttilaAtaturkTC","@AttilaAtaturkTC")</f>
        <v>@AttilaAtaturkTC</v>
      </c>
      <c r="C4032" s="7" t="s">
        <v>20940</v>
      </c>
      <c r="D4032" s="7" t="s">
        <v>20941</v>
      </c>
      <c r="E4032" s="12" t="str">
        <f>HYPERLINK("https://twitter.com/AttilaAtaturkTC/status/1181874042904678401","1181874042904678401")</f>
        <v>1181874042904678401</v>
      </c>
      <c r="F4032" s="8"/>
      <c r="G4032" s="15"/>
      <c r="H4032" s="8"/>
      <c r="I4032" s="15">
        <v>0</v>
      </c>
      <c r="J4032" s="15">
        <v>0</v>
      </c>
      <c r="K4032" s="12" t="str">
        <f>HYPERLINK("https://mobile.twitter.com","Twitter Web App")</f>
        <v>Twitter Web App</v>
      </c>
      <c r="L4032" s="16">
        <v>1033</v>
      </c>
      <c r="M4032" s="16">
        <v>448</v>
      </c>
      <c r="N4032" s="16">
        <v>4</v>
      </c>
      <c r="O4032" s="17"/>
      <c r="P4032" s="18">
        <v>41170.67905092593</v>
      </c>
      <c r="Q4032" s="7" t="s">
        <v>10674</v>
      </c>
      <c r="R4032" s="7" t="s">
        <v>20942</v>
      </c>
      <c r="S4032" s="8"/>
      <c r="T4032" s="8"/>
      <c r="U4032" s="19" t="str">
        <f>HYPERLINK("https://pbs.twimg.com/profile_images/1179069342144778241/WiqUA3kR.jpg","View")</f>
        <v>View</v>
      </c>
      <c r="V4032" s="8"/>
      <c r="W4032" s="8"/>
      <c r="X4032" s="8"/>
      <c r="Y4032" s="8"/>
      <c r="Z4032" s="8"/>
    </row>
    <row r="4033" spans="1:26" ht="12.75">
      <c r="A4033" s="11">
        <v>43747.130787037036</v>
      </c>
      <c r="B4033" s="12" t="str">
        <f>HYPERLINK("https://twitter.com/drgulperi","@drgulperi")</f>
        <v>@drgulperi</v>
      </c>
      <c r="C4033" s="7" t="s">
        <v>20943</v>
      </c>
      <c r="D4033" s="7" t="s">
        <v>160</v>
      </c>
      <c r="E4033" s="12" t="str">
        <f>HYPERLINK("https://twitter.com/drgulperi/status/1181874025976385536","1181874025976385536")</f>
        <v>1181874025976385536</v>
      </c>
      <c r="F4033" s="8"/>
      <c r="G4033" s="14" t="s">
        <v>20944</v>
      </c>
      <c r="H4033" s="8"/>
      <c r="I4033" s="15">
        <v>0</v>
      </c>
      <c r="J4033" s="15">
        <v>1</v>
      </c>
      <c r="K4033" s="12" t="str">
        <f>HYPERLINK("http://twitter.com/download/android","Twitter for Android")</f>
        <v>Twitter for Android</v>
      </c>
      <c r="L4033" s="16">
        <v>327</v>
      </c>
      <c r="M4033" s="16">
        <v>561</v>
      </c>
      <c r="N4033" s="16">
        <v>1</v>
      </c>
      <c r="O4033" s="17"/>
      <c r="P4033" s="18">
        <v>41451.520069444443</v>
      </c>
      <c r="Q4033" s="7" t="s">
        <v>860</v>
      </c>
      <c r="R4033" s="7" t="s">
        <v>20945</v>
      </c>
      <c r="S4033" s="8"/>
      <c r="T4033" s="8"/>
      <c r="U4033" s="19" t="str">
        <f>HYPERLINK("https://pbs.twimg.com/profile_images/1151838842854490117/XQjzDSsT.jpg","View")</f>
        <v>View</v>
      </c>
      <c r="V4033" s="8"/>
      <c r="W4033" s="8"/>
      <c r="X4033" s="8"/>
      <c r="Y4033" s="8"/>
      <c r="Z4033" s="8"/>
    </row>
    <row r="4034" spans="1:26" ht="12.75">
      <c r="A4034" s="11">
        <v>43747.13076388889</v>
      </c>
      <c r="B4034" s="12" t="str">
        <f>HYPERLINK("https://twitter.com/Axuxile","@Axuxile")</f>
        <v>@Axuxile</v>
      </c>
      <c r="C4034" s="7" t="s">
        <v>20946</v>
      </c>
      <c r="D4034" s="7" t="s">
        <v>20947</v>
      </c>
      <c r="E4034" s="12" t="str">
        <f>HYPERLINK("https://twitter.com/Axuxile/status/1181874018309345281","1181874018309345281")</f>
        <v>1181874018309345281</v>
      </c>
      <c r="F4034" s="15"/>
      <c r="G4034" s="14" t="s">
        <v>20948</v>
      </c>
      <c r="H4034" s="8"/>
      <c r="I4034" s="15">
        <v>0</v>
      </c>
      <c r="J4034" s="15">
        <v>2</v>
      </c>
      <c r="K4034" s="12" t="str">
        <f>HYPERLINK("https://mobile.twitter.com","Twitter Web App")</f>
        <v>Twitter Web App</v>
      </c>
      <c r="L4034" s="16">
        <v>73</v>
      </c>
      <c r="M4034" s="16">
        <v>74</v>
      </c>
      <c r="N4034" s="16">
        <v>0</v>
      </c>
      <c r="O4034" s="17"/>
      <c r="P4034" s="18">
        <v>43039.729675925926</v>
      </c>
      <c r="Q4034" s="7" t="s">
        <v>1408</v>
      </c>
      <c r="R4034" s="7" t="s">
        <v>20949</v>
      </c>
      <c r="S4034" s="15"/>
      <c r="T4034" s="8"/>
      <c r="U4034" s="19" t="str">
        <f>HYPERLINK("https://pbs.twimg.com/profile_images/1141672199830552578/Nn93CQdL.jpg","View")</f>
        <v>View</v>
      </c>
      <c r="V4034" s="8"/>
      <c r="W4034" s="8"/>
      <c r="X4034" s="8"/>
      <c r="Y4034" s="8"/>
      <c r="Z4034" s="8"/>
    </row>
    <row r="4035" spans="1:26" ht="12.75">
      <c r="A4035" s="11">
        <v>43747.130694444444</v>
      </c>
      <c r="B4035" s="12" t="str">
        <f>HYPERLINK("https://twitter.com/ergul_abidin","@ergul_abidin")</f>
        <v>@ergul_abidin</v>
      </c>
      <c r="C4035" s="7" t="s">
        <v>20950</v>
      </c>
      <c r="D4035" s="7" t="s">
        <v>20951</v>
      </c>
      <c r="E4035" s="12" t="str">
        <f>HYPERLINK("https://twitter.com/ergul_abidin/status/1181873992724074496","1181873992724074496")</f>
        <v>1181873992724074496</v>
      </c>
      <c r="F4035" s="15"/>
      <c r="G4035" s="7"/>
      <c r="H4035" s="8"/>
      <c r="I4035" s="15">
        <v>0</v>
      </c>
      <c r="J4035" s="15">
        <v>0</v>
      </c>
      <c r="K4035" s="12" t="str">
        <f>HYPERLINK("http://twitter.com/download/android","Twitter for Android")</f>
        <v>Twitter for Android</v>
      </c>
      <c r="L4035" s="16">
        <v>23</v>
      </c>
      <c r="M4035" s="16">
        <v>182</v>
      </c>
      <c r="N4035" s="16">
        <v>0</v>
      </c>
      <c r="O4035" s="17"/>
      <c r="P4035" s="18">
        <v>43648.381307870368</v>
      </c>
      <c r="Q4035" s="7"/>
      <c r="R4035" s="7" t="s">
        <v>20952</v>
      </c>
      <c r="S4035" s="8"/>
      <c r="T4035" s="8"/>
      <c r="U4035" s="19" t="str">
        <f>HYPERLINK("https://pbs.twimg.com/profile_images/1146090487268478977/MXvNhl5F.jpg","View")</f>
        <v>View</v>
      </c>
      <c r="V4035" s="8"/>
      <c r="W4035" s="8"/>
      <c r="X4035" s="8"/>
      <c r="Y4035" s="8"/>
      <c r="Z4035" s="8"/>
    </row>
    <row r="4036" spans="1:26" ht="12.75">
      <c r="A4036" s="11">
        <v>43747.130648148144</v>
      </c>
      <c r="B4036" s="12" t="str">
        <f>HYPERLINK("https://twitter.com/Pomakbeyiniz","@Pomakbeyiniz")</f>
        <v>@Pomakbeyiniz</v>
      </c>
      <c r="C4036" s="7" t="s">
        <v>20953</v>
      </c>
      <c r="D4036" s="7" t="s">
        <v>20954</v>
      </c>
      <c r="E4036" s="12" t="str">
        <f>HYPERLINK("https://twitter.com/Pomakbeyiniz/status/1181873975372271616","1181873975372271616")</f>
        <v>1181873975372271616</v>
      </c>
      <c r="F4036" s="8"/>
      <c r="G4036" s="14" t="s">
        <v>20955</v>
      </c>
      <c r="H4036" s="8"/>
      <c r="I4036" s="15">
        <v>0</v>
      </c>
      <c r="J4036" s="15">
        <v>2</v>
      </c>
      <c r="K4036" s="12" t="str">
        <f>HYPERLINK("http://twitter.com/download/android","Twitter for Android")</f>
        <v>Twitter for Android</v>
      </c>
      <c r="L4036" s="16">
        <v>6</v>
      </c>
      <c r="M4036" s="16">
        <v>96</v>
      </c>
      <c r="N4036" s="16">
        <v>0</v>
      </c>
      <c r="O4036" s="17"/>
      <c r="P4036" s="18">
        <v>43565.553900462968</v>
      </c>
      <c r="Q4036" s="7" t="s">
        <v>20956</v>
      </c>
      <c r="R4036" s="7" t="s">
        <v>20957</v>
      </c>
      <c r="S4036" s="8"/>
      <c r="T4036" s="8"/>
      <c r="U4036" s="19" t="str">
        <f>HYPERLINK("https://pbs.twimg.com/profile_images/1116077229044379649/MY2PQJZ4.jpg","View")</f>
        <v>View</v>
      </c>
      <c r="V4036" s="8"/>
      <c r="W4036" s="8"/>
      <c r="X4036" s="8"/>
      <c r="Y4036" s="8"/>
      <c r="Z4036" s="8"/>
    </row>
    <row r="4037" spans="1:26" ht="12.75">
      <c r="A4037" s="11">
        <v>43747.130613425921</v>
      </c>
      <c r="B4037" s="12" t="str">
        <f>HYPERLINK("https://twitter.com/Miko07016273","@Miko07016273")</f>
        <v>@Miko07016273</v>
      </c>
      <c r="C4037" s="7" t="s">
        <v>20958</v>
      </c>
      <c r="D4037" s="7" t="s">
        <v>160</v>
      </c>
      <c r="E4037" s="12" t="str">
        <f>HYPERLINK("https://twitter.com/Miko07016273/status/1181873963275816966","1181873963275816966")</f>
        <v>1181873963275816966</v>
      </c>
      <c r="F4037" s="8"/>
      <c r="G4037" s="15"/>
      <c r="H4037" s="8"/>
      <c r="I4037" s="15">
        <v>0</v>
      </c>
      <c r="J4037" s="15">
        <v>0</v>
      </c>
      <c r="K4037" s="12" t="str">
        <f>HYPERLINK("http://twitter.com/download/iphone","Twitter for iPhone")</f>
        <v>Twitter for iPhone</v>
      </c>
      <c r="L4037" s="16">
        <v>318</v>
      </c>
      <c r="M4037" s="16">
        <v>489</v>
      </c>
      <c r="N4037" s="16">
        <v>0</v>
      </c>
      <c r="O4037" s="17"/>
      <c r="P4037" s="18">
        <v>42840.335462962961</v>
      </c>
      <c r="Q4037" s="7" t="s">
        <v>200</v>
      </c>
      <c r="R4037" s="7" t="s">
        <v>20959</v>
      </c>
      <c r="S4037" s="8"/>
      <c r="T4037" s="8"/>
      <c r="U4037" s="19" t="str">
        <f>HYPERLINK("https://pbs.twimg.com/profile_images/853273723423641602/hwrL0rt7.jpg","View")</f>
        <v>View</v>
      </c>
      <c r="V4037" s="8"/>
      <c r="W4037" s="8"/>
      <c r="X4037" s="8"/>
      <c r="Y4037" s="8"/>
      <c r="Z4037" s="8"/>
    </row>
    <row r="4038" spans="1:26" ht="12.75">
      <c r="A4038" s="11">
        <v>43747.130613425921</v>
      </c>
      <c r="B4038" s="12" t="str">
        <f>HYPERLINK("https://twitter.com/kuyucak_burak","@kuyucak_burak")</f>
        <v>@kuyucak_burak</v>
      </c>
      <c r="C4038" s="7" t="s">
        <v>20960</v>
      </c>
      <c r="D4038" s="7" t="s">
        <v>20961</v>
      </c>
      <c r="E4038" s="12" t="str">
        <f>HYPERLINK("https://twitter.com/kuyucak_burak/status/1181873962122403840","1181873962122403840")</f>
        <v>1181873962122403840</v>
      </c>
      <c r="F4038" s="8"/>
      <c r="G4038" s="7"/>
      <c r="H4038" s="8"/>
      <c r="I4038" s="15">
        <v>0</v>
      </c>
      <c r="J4038" s="15">
        <v>0</v>
      </c>
      <c r="K4038" s="12" t="str">
        <f>HYPERLINK("http://twitter.com/download/iphone","Twitter for iPhone")</f>
        <v>Twitter for iPhone</v>
      </c>
      <c r="L4038" s="16">
        <v>27</v>
      </c>
      <c r="M4038" s="16">
        <v>98</v>
      </c>
      <c r="N4038" s="16">
        <v>0</v>
      </c>
      <c r="O4038" s="17"/>
      <c r="P4038" s="18">
        <v>43746.11001157407</v>
      </c>
      <c r="Q4038" s="7" t="s">
        <v>313</v>
      </c>
      <c r="R4038" s="7" t="s">
        <v>20962</v>
      </c>
      <c r="S4038" s="15"/>
      <c r="T4038" s="8"/>
      <c r="U4038" s="19" t="str">
        <f>HYPERLINK("https://pbs.twimg.com/profile_images/1181874562574770176/yXMW-NJd.jpg","View")</f>
        <v>View</v>
      </c>
      <c r="V4038" s="8"/>
      <c r="W4038" s="8"/>
      <c r="X4038" s="8"/>
      <c r="Y4038" s="8"/>
      <c r="Z4038" s="8"/>
    </row>
    <row r="4039" spans="1:26" ht="12.75">
      <c r="A4039" s="11">
        <v>43747.130509259259</v>
      </c>
      <c r="B4039" s="12" t="str">
        <f>HYPERLINK("https://twitter.com/zennocumm","@zennocumm")</f>
        <v>@zennocumm</v>
      </c>
      <c r="C4039" s="7" t="s">
        <v>20963</v>
      </c>
      <c r="D4039" s="7" t="s">
        <v>20964</v>
      </c>
      <c r="E4039" s="12" t="str">
        <f>HYPERLINK("https://twitter.com/zennocumm/status/1181873923039928320","1181873923039928320")</f>
        <v>1181873923039928320</v>
      </c>
      <c r="F4039" s="8"/>
      <c r="G4039" s="14" t="s">
        <v>20965</v>
      </c>
      <c r="H4039" s="8"/>
      <c r="I4039" s="15">
        <v>0</v>
      </c>
      <c r="J4039" s="15">
        <v>1</v>
      </c>
      <c r="K4039" s="12" t="str">
        <f>HYPERLINK("http://twitter.com/download/iphone","Twitter for iPhone")</f>
        <v>Twitter for iPhone</v>
      </c>
      <c r="L4039" s="16">
        <v>874</v>
      </c>
      <c r="M4039" s="16">
        <v>695</v>
      </c>
      <c r="N4039" s="16">
        <v>0</v>
      </c>
      <c r="O4039" s="17"/>
      <c r="P4039" s="18">
        <v>42746.618923611109</v>
      </c>
      <c r="Q4039" s="7"/>
      <c r="R4039" s="7"/>
      <c r="S4039" s="14" t="s">
        <v>20966</v>
      </c>
      <c r="T4039" s="8"/>
      <c r="U4039" s="19" t="str">
        <f>HYPERLINK("https://pbs.twimg.com/profile_images/1115698910402686977/fJmH9xW_.jpg","View")</f>
        <v>View</v>
      </c>
      <c r="V4039" s="8"/>
      <c r="W4039" s="8"/>
      <c r="X4039" s="8"/>
      <c r="Y4039" s="8"/>
      <c r="Z4039" s="8"/>
    </row>
    <row r="4040" spans="1:26" ht="12.75">
      <c r="A4040" s="11">
        <v>43747.130428240736</v>
      </c>
      <c r="B4040" s="12" t="str">
        <f>HYPERLINK("https://twitter.com/reisnediyor","@reisnediyor")</f>
        <v>@reisnediyor</v>
      </c>
      <c r="C4040" s="7" t="s">
        <v>20967</v>
      </c>
      <c r="D4040" s="7" t="s">
        <v>20968</v>
      </c>
      <c r="E4040" s="12" t="str">
        <f>HYPERLINK("https://twitter.com/reisnediyor/status/1181873893918806016","1181873893918806016")</f>
        <v>1181873893918806016</v>
      </c>
      <c r="F4040" s="8"/>
      <c r="G4040" s="14" t="s">
        <v>20969</v>
      </c>
      <c r="H4040" s="8"/>
      <c r="I4040" s="15">
        <v>0</v>
      </c>
      <c r="J4040" s="15">
        <v>1</v>
      </c>
      <c r="K4040" s="12" t="str">
        <f>HYPERLINK("https://mobile.twitter.com","Twitter Web App")</f>
        <v>Twitter Web App</v>
      </c>
      <c r="L4040" s="16">
        <v>3008</v>
      </c>
      <c r="M4040" s="16">
        <v>2965</v>
      </c>
      <c r="N4040" s="16">
        <v>3</v>
      </c>
      <c r="O4040" s="17"/>
      <c r="P4040" s="18">
        <v>41465.460925925923</v>
      </c>
      <c r="Q4040" s="7" t="s">
        <v>20970</v>
      </c>
      <c r="R4040" s="7" t="s">
        <v>20971</v>
      </c>
      <c r="S4040" s="8"/>
      <c r="T4040" s="8"/>
      <c r="U4040" s="19" t="str">
        <f>HYPERLINK("https://pbs.twimg.com/profile_images/943611124305424384/-6xHadKK.jpg","View")</f>
        <v>View</v>
      </c>
      <c r="V4040" s="8"/>
      <c r="W4040" s="8"/>
      <c r="X4040" s="8"/>
      <c r="Y4040" s="8"/>
      <c r="Z4040" s="8"/>
    </row>
    <row r="4041" spans="1:26" ht="12.75">
      <c r="A4041" s="11">
        <v>43747.130277777775</v>
      </c>
      <c r="B4041" s="12" t="str">
        <f>HYPERLINK("https://twitter.com/0158Otuken","@0158Otuken")</f>
        <v>@0158Otuken</v>
      </c>
      <c r="C4041" s="7" t="s">
        <v>20972</v>
      </c>
      <c r="D4041" s="7" t="s">
        <v>9019</v>
      </c>
      <c r="E4041" s="12" t="str">
        <f>HYPERLINK("https://twitter.com/0158Otuken/status/1181873840319795200","1181873840319795200")</f>
        <v>1181873840319795200</v>
      </c>
      <c r="F4041" s="8"/>
      <c r="G4041" s="15"/>
      <c r="H4041" s="8"/>
      <c r="I4041" s="15">
        <v>1</v>
      </c>
      <c r="J4041" s="15">
        <v>4</v>
      </c>
      <c r="K4041" s="12" t="str">
        <f>HYPERLINK("http://twitter.com/download/android","Twitter for Android")</f>
        <v>Twitter for Android</v>
      </c>
      <c r="L4041" s="16">
        <v>21433</v>
      </c>
      <c r="M4041" s="16">
        <v>15832</v>
      </c>
      <c r="N4041" s="16">
        <v>7</v>
      </c>
      <c r="O4041" s="17"/>
      <c r="P4041" s="18">
        <v>41511.064618055556</v>
      </c>
      <c r="Q4041" s="7" t="s">
        <v>6441</v>
      </c>
      <c r="R4041" s="7" t="s">
        <v>20973</v>
      </c>
      <c r="S4041" s="8"/>
      <c r="T4041" s="8"/>
      <c r="U4041" s="19" t="str">
        <f>HYPERLINK("https://pbs.twimg.com/profile_images/1181857567917654017/PHmZU_Wz.jpg","View")</f>
        <v>View</v>
      </c>
      <c r="V4041" s="8"/>
      <c r="W4041" s="8"/>
      <c r="X4041" s="8"/>
      <c r="Y4041" s="8"/>
      <c r="Z4041" s="8"/>
    </row>
    <row r="4042" spans="1:26" ht="12.75">
      <c r="A4042" s="11">
        <v>43747.130277777775</v>
      </c>
      <c r="B4042" s="12" t="str">
        <f>HYPERLINK("https://twitter.com/aliakysn61","@aliakysn61")</f>
        <v>@aliakysn61</v>
      </c>
      <c r="C4042" s="7" t="s">
        <v>20974</v>
      </c>
      <c r="D4042" s="7" t="s">
        <v>20975</v>
      </c>
      <c r="E4042" s="12" t="str">
        <f>HYPERLINK("https://twitter.com/aliakysn61/status/1181873840298893313","1181873840298893313")</f>
        <v>1181873840298893313</v>
      </c>
      <c r="F4042" s="8"/>
      <c r="G4042" s="14" t="s">
        <v>20976</v>
      </c>
      <c r="H4042" s="8"/>
      <c r="I4042" s="15">
        <v>0</v>
      </c>
      <c r="J4042" s="15">
        <v>3</v>
      </c>
      <c r="K4042" s="12" t="str">
        <f>HYPERLINK("http://twitter.com/download/android","Twitter for Android")</f>
        <v>Twitter for Android</v>
      </c>
      <c r="L4042" s="16">
        <v>355</v>
      </c>
      <c r="M4042" s="16">
        <v>354</v>
      </c>
      <c r="N4042" s="16">
        <v>0</v>
      </c>
      <c r="O4042" s="17"/>
      <c r="P4042" s="18">
        <v>43407.187476851846</v>
      </c>
      <c r="Q4042" s="7" t="s">
        <v>313</v>
      </c>
      <c r="R4042" s="7" t="s">
        <v>20977</v>
      </c>
      <c r="S4042" s="8"/>
      <c r="T4042" s="8"/>
      <c r="U4042" s="19" t="str">
        <f>HYPERLINK("https://pbs.twimg.com/profile_images/1163112262451847170/RrJRNvrM.jpg","View")</f>
        <v>View</v>
      </c>
      <c r="V4042" s="8"/>
      <c r="W4042" s="8"/>
      <c r="X4042" s="8"/>
      <c r="Y4042" s="8"/>
      <c r="Z4042" s="8"/>
    </row>
    <row r="4043" spans="1:26" ht="12.75">
      <c r="A4043" s="11">
        <v>43747.130243055552</v>
      </c>
      <c r="B4043" s="12" t="str">
        <f>HYPERLINK("https://twitter.com/Bluesays07","@Bluesays07")</f>
        <v>@Bluesays07</v>
      </c>
      <c r="C4043" s="7" t="s">
        <v>20978</v>
      </c>
      <c r="D4043" s="7" t="s">
        <v>20979</v>
      </c>
      <c r="E4043" s="12" t="str">
        <f>HYPERLINK("https://twitter.com/Bluesays07/status/1181873828315762688","1181873828315762688")</f>
        <v>1181873828315762688</v>
      </c>
      <c r="F4043" s="8"/>
      <c r="G4043" s="15"/>
      <c r="H4043" s="8"/>
      <c r="I4043" s="15">
        <v>0</v>
      </c>
      <c r="J4043" s="15">
        <v>1</v>
      </c>
      <c r="K4043" s="12" t="str">
        <f>HYPERLINK("http://twitter.com/download/android","Twitter for Android")</f>
        <v>Twitter for Android</v>
      </c>
      <c r="L4043" s="16">
        <v>503</v>
      </c>
      <c r="M4043" s="16">
        <v>159</v>
      </c>
      <c r="N4043" s="16">
        <v>1</v>
      </c>
      <c r="O4043" s="17"/>
      <c r="P4043" s="18">
        <v>40966.361041666663</v>
      </c>
      <c r="Q4043" s="7" t="s">
        <v>20980</v>
      </c>
      <c r="R4043" s="7" t="s">
        <v>20981</v>
      </c>
      <c r="S4043" s="8"/>
      <c r="T4043" s="8"/>
      <c r="U4043" s="19" t="str">
        <f>HYPERLINK("https://pbs.twimg.com/profile_images/1163791947317829632/Z5wVOqBS.jpg","View")</f>
        <v>View</v>
      </c>
      <c r="V4043" s="8"/>
      <c r="W4043" s="8"/>
      <c r="X4043" s="8"/>
      <c r="Y4043" s="8"/>
      <c r="Z4043" s="8"/>
    </row>
    <row r="4044" spans="1:26" ht="12.75">
      <c r="A4044" s="11">
        <v>43747.130208333328</v>
      </c>
      <c r="B4044" s="12" t="str">
        <f>HYPERLINK("https://twitter.com/calik_pinar","@calik_pinar")</f>
        <v>@calik_pinar</v>
      </c>
      <c r="C4044" s="7" t="s">
        <v>20982</v>
      </c>
      <c r="D4044" s="7" t="s">
        <v>20983</v>
      </c>
      <c r="E4044" s="12" t="str">
        <f>HYPERLINK("https://twitter.com/calik_pinar/status/1181873814021562368","1181873814021562368")</f>
        <v>1181873814021562368</v>
      </c>
      <c r="F4044" s="8"/>
      <c r="G4044" s="7"/>
      <c r="H4044" s="8"/>
      <c r="I4044" s="15">
        <v>0</v>
      </c>
      <c r="J4044" s="15">
        <v>0</v>
      </c>
      <c r="K4044" s="12" t="str">
        <f>HYPERLINK("http://twitter.com/download/iphone","Twitter for iPhone")</f>
        <v>Twitter for iPhone</v>
      </c>
      <c r="L4044" s="16">
        <v>48</v>
      </c>
      <c r="M4044" s="16">
        <v>105</v>
      </c>
      <c r="N4044" s="16">
        <v>0</v>
      </c>
      <c r="O4044" s="17"/>
      <c r="P4044" s="18">
        <v>41843.370439814811</v>
      </c>
      <c r="Q4044" s="7"/>
      <c r="R4044" s="7"/>
      <c r="S4044" s="8"/>
      <c r="T4044" s="8"/>
      <c r="U4044" s="19" t="str">
        <f>HYPERLINK("https://pbs.twimg.com/profile_images/901525636048670720/3oIx_DqA.jpg","View")</f>
        <v>View</v>
      </c>
      <c r="V4044" s="8"/>
      <c r="W4044" s="8"/>
      <c r="X4044" s="8"/>
      <c r="Y4044" s="8"/>
      <c r="Z4044" s="8"/>
    </row>
    <row r="4045" spans="1:26" ht="12.75">
      <c r="A4045" s="11">
        <v>43747.130196759259</v>
      </c>
      <c r="B4045" s="12" t="str">
        <f>HYPERLINK("https://twitter.com/duzdunya34","@duzdunya34")</f>
        <v>@duzdunya34</v>
      </c>
      <c r="C4045" s="7" t="s">
        <v>20984</v>
      </c>
      <c r="D4045" s="7" t="s">
        <v>20985</v>
      </c>
      <c r="E4045" s="12" t="str">
        <f>HYPERLINK("https://twitter.com/duzdunya34/status/1181873812498980864","1181873812498980864")</f>
        <v>1181873812498980864</v>
      </c>
      <c r="F4045" s="8"/>
      <c r="G4045" s="15"/>
      <c r="H4045" s="8"/>
      <c r="I4045" s="15">
        <v>0</v>
      </c>
      <c r="J4045" s="15">
        <v>0</v>
      </c>
      <c r="K4045" s="12" t="str">
        <f>HYPERLINK("http://twitter.com/download/android","Twitter for Android")</f>
        <v>Twitter for Android</v>
      </c>
      <c r="L4045" s="16">
        <v>1049</v>
      </c>
      <c r="M4045" s="16">
        <v>1425</v>
      </c>
      <c r="N4045" s="16">
        <v>4</v>
      </c>
      <c r="O4045" s="17"/>
      <c r="P4045" s="18">
        <v>40932.534108796295</v>
      </c>
      <c r="Q4045" s="7" t="s">
        <v>200</v>
      </c>
      <c r="R4045" s="7" t="s">
        <v>20986</v>
      </c>
      <c r="S4045" s="8"/>
      <c r="T4045" s="8"/>
      <c r="U4045" s="19" t="str">
        <f>HYPERLINK("https://pbs.twimg.com/profile_images/1128369980918177792/BqMuegqw.jpg","View")</f>
        <v>View</v>
      </c>
      <c r="V4045" s="8"/>
      <c r="W4045" s="8"/>
      <c r="X4045" s="8"/>
      <c r="Y4045" s="8"/>
      <c r="Z4045" s="8"/>
    </row>
    <row r="4046" spans="1:26" ht="12.75">
      <c r="A4046" s="11">
        <v>43747.130162037036</v>
      </c>
      <c r="B4046" s="12" t="str">
        <f>HYPERLINK("https://twitter.com/ahmetkaragulle0","@ahmetkaragulle0")</f>
        <v>@ahmetkaragulle0</v>
      </c>
      <c r="C4046" s="13" t="s">
        <v>20987</v>
      </c>
      <c r="D4046" s="7" t="s">
        <v>20988</v>
      </c>
      <c r="E4046" s="12" t="str">
        <f>HYPERLINK("https://twitter.com/ahmetkaragulle0/status/1181873800704659456","1181873800704659456")</f>
        <v>1181873800704659456</v>
      </c>
      <c r="F4046" s="14" t="s">
        <v>9592</v>
      </c>
      <c r="G4046" s="14" t="s">
        <v>2116</v>
      </c>
      <c r="H4046" s="8"/>
      <c r="I4046" s="15">
        <v>1</v>
      </c>
      <c r="J4046" s="15">
        <v>1</v>
      </c>
      <c r="K4046" s="12" t="str">
        <f>HYPERLINK("https://mobile.twitter.com","Twitter Web App")</f>
        <v>Twitter Web App</v>
      </c>
      <c r="L4046" s="16">
        <v>136</v>
      </c>
      <c r="M4046" s="16">
        <v>168</v>
      </c>
      <c r="N4046" s="16">
        <v>0</v>
      </c>
      <c r="O4046" s="17"/>
      <c r="P4046" s="18">
        <v>40435.582002314812</v>
      </c>
      <c r="Q4046" s="7" t="s">
        <v>287</v>
      </c>
      <c r="R4046" s="7" t="s">
        <v>20989</v>
      </c>
      <c r="S4046" s="8"/>
      <c r="T4046" s="8"/>
      <c r="U4046" s="19" t="str">
        <f>HYPERLINK("https://pbs.twimg.com/profile_images/470631138407747584/VgyNAESU.jpeg","View")</f>
        <v>View</v>
      </c>
      <c r="V4046" s="8"/>
      <c r="W4046" s="8"/>
      <c r="X4046" s="8"/>
      <c r="Y4046" s="8"/>
      <c r="Z4046" s="8"/>
    </row>
    <row r="4047" spans="1:26" ht="12.75">
      <c r="A4047" s="11">
        <v>43747.13009259259</v>
      </c>
      <c r="B4047" s="12" t="str">
        <f>HYPERLINK("https://twitter.com/lovemazee00","@lovemazee00")</f>
        <v>@lovemazee00</v>
      </c>
      <c r="C4047" s="7" t="s">
        <v>20990</v>
      </c>
      <c r="D4047" s="7" t="s">
        <v>20991</v>
      </c>
      <c r="E4047" s="12" t="str">
        <f>HYPERLINK("https://twitter.com/lovemazee00/status/1181873772363685889","1181873772363685889")</f>
        <v>1181873772363685889</v>
      </c>
      <c r="F4047" s="8"/>
      <c r="G4047" s="14" t="s">
        <v>20992</v>
      </c>
      <c r="H4047" s="8"/>
      <c r="I4047" s="15">
        <v>0</v>
      </c>
      <c r="J4047" s="15">
        <v>5</v>
      </c>
      <c r="K4047" s="12" t="str">
        <f>HYPERLINK("http://twitter.com/download/android","Twitter for Android")</f>
        <v>Twitter for Android</v>
      </c>
      <c r="L4047" s="16">
        <v>774</v>
      </c>
      <c r="M4047" s="16">
        <v>851</v>
      </c>
      <c r="N4047" s="16">
        <v>2</v>
      </c>
      <c r="O4047" s="17"/>
      <c r="P4047" s="18">
        <v>42529.980173611111</v>
      </c>
      <c r="Q4047" s="7" t="s">
        <v>13157</v>
      </c>
      <c r="R4047" s="7" t="s">
        <v>20993</v>
      </c>
      <c r="S4047" s="15"/>
      <c r="T4047" s="8"/>
      <c r="U4047" s="19" t="str">
        <f>HYPERLINK("https://pbs.twimg.com/profile_images/1051048930132324352/1o5_Oz3R.jpg","View")</f>
        <v>View</v>
      </c>
      <c r="V4047" s="8"/>
      <c r="W4047" s="8"/>
      <c r="X4047" s="8"/>
      <c r="Y4047" s="8"/>
      <c r="Z4047" s="8"/>
    </row>
    <row r="4048" spans="1:26" ht="12.75">
      <c r="A4048" s="11">
        <v>43747.13008101852</v>
      </c>
      <c r="B4048" s="12" t="str">
        <f>HYPERLINK("https://twitter.com/dalgakran2","@dalgakran2")</f>
        <v>@dalgakran2</v>
      </c>
      <c r="C4048" s="7" t="s">
        <v>20994</v>
      </c>
      <c r="D4048" s="7" t="s">
        <v>20995</v>
      </c>
      <c r="E4048" s="12" t="str">
        <f>HYPERLINK("https://twitter.com/dalgakran2/status/1181873769809432576","1181873769809432576")</f>
        <v>1181873769809432576</v>
      </c>
      <c r="F4048" s="8"/>
      <c r="G4048" s="14" t="s">
        <v>20996</v>
      </c>
      <c r="H4048" s="8"/>
      <c r="I4048" s="15">
        <v>0</v>
      </c>
      <c r="J4048" s="15">
        <v>2</v>
      </c>
      <c r="K4048" s="12" t="str">
        <f>HYPERLINK("http://twitter.com/download/android","Twitter for Android")</f>
        <v>Twitter for Android</v>
      </c>
      <c r="L4048" s="16">
        <v>903</v>
      </c>
      <c r="M4048" s="16">
        <v>1140</v>
      </c>
      <c r="N4048" s="16">
        <v>0</v>
      </c>
      <c r="O4048" s="17"/>
      <c r="P4048" s="18">
        <v>40810.304444444446</v>
      </c>
      <c r="Q4048" s="7"/>
      <c r="R4048" s="7" t="s">
        <v>20997</v>
      </c>
      <c r="S4048" s="8"/>
      <c r="T4048" s="8"/>
      <c r="U4048" s="19" t="str">
        <f>HYPERLINK("https://pbs.twimg.com/profile_images/1054686496748421124/GEEimOy_.jpg","View")</f>
        <v>View</v>
      </c>
      <c r="V4048" s="8"/>
      <c r="W4048" s="8"/>
      <c r="X4048" s="8"/>
      <c r="Y4048" s="8"/>
      <c r="Z4048" s="8"/>
    </row>
    <row r="4049" spans="1:26" ht="12.75">
      <c r="A4049" s="11">
        <v>43747.130069444444</v>
      </c>
      <c r="B4049" s="12" t="str">
        <f>HYPERLINK("https://twitter.com/kiinGoDisco","@kiinGoDisco")</f>
        <v>@kiinGoDisco</v>
      </c>
      <c r="C4049" s="13" t="s">
        <v>20998</v>
      </c>
      <c r="D4049" s="7" t="s">
        <v>20999</v>
      </c>
      <c r="E4049" s="12" t="str">
        <f>HYPERLINK("https://twitter.com/kiinGoDisco/status/1181873766625939456","1181873766625939456")</f>
        <v>1181873766625939456</v>
      </c>
      <c r="F4049" s="8"/>
      <c r="G4049" s="15"/>
      <c r="H4049" s="8"/>
      <c r="I4049" s="15">
        <v>0</v>
      </c>
      <c r="J4049" s="15">
        <v>0</v>
      </c>
      <c r="K4049" s="12" t="str">
        <f>HYPERLINK("https://mobile.twitter.com","Twitter Web App")</f>
        <v>Twitter Web App</v>
      </c>
      <c r="L4049" s="16">
        <v>129</v>
      </c>
      <c r="M4049" s="16">
        <v>133</v>
      </c>
      <c r="N4049" s="16">
        <v>2</v>
      </c>
      <c r="O4049" s="17"/>
      <c r="P4049" s="18">
        <v>40798.200104166666</v>
      </c>
      <c r="Q4049" s="7" t="s">
        <v>21000</v>
      </c>
      <c r="R4049" s="7" t="s">
        <v>21001</v>
      </c>
      <c r="S4049" s="8"/>
      <c r="T4049" s="8"/>
      <c r="U4049" s="19" t="str">
        <f>HYPERLINK("https://pbs.twimg.com/profile_images/1114457547837145088/2LmB9Ne4.jpg","View")</f>
        <v>View</v>
      </c>
      <c r="V4049" s="8"/>
      <c r="W4049" s="8"/>
      <c r="X4049" s="8"/>
      <c r="Y4049" s="8"/>
      <c r="Z4049" s="8"/>
    </row>
    <row r="4050" spans="1:26" ht="12.75">
      <c r="A4050" s="11">
        <v>43747.13003472222</v>
      </c>
      <c r="B4050" s="12" t="str">
        <f>HYPERLINK("https://twitter.com/OkanPol058","@OkanPol058")</f>
        <v>@OkanPol058</v>
      </c>
      <c r="C4050" s="7" t="s">
        <v>21002</v>
      </c>
      <c r="D4050" s="7" t="s">
        <v>21003</v>
      </c>
      <c r="E4050" s="12" t="str">
        <f>HYPERLINK("https://twitter.com/OkanPol058/status/1181873753707470848","1181873753707470848")</f>
        <v>1181873753707470848</v>
      </c>
      <c r="F4050" s="8"/>
      <c r="G4050" s="14" t="s">
        <v>21004</v>
      </c>
      <c r="H4050" s="8"/>
      <c r="I4050" s="15">
        <v>0</v>
      </c>
      <c r="J4050" s="15">
        <v>3</v>
      </c>
      <c r="K4050" s="12" t="str">
        <f>HYPERLINK("http://twitter.com/download/android","Twitter for Android")</f>
        <v>Twitter for Android</v>
      </c>
      <c r="L4050" s="16">
        <v>20</v>
      </c>
      <c r="M4050" s="16">
        <v>42</v>
      </c>
      <c r="N4050" s="16">
        <v>0</v>
      </c>
      <c r="O4050" s="17"/>
      <c r="P4050" s="18">
        <v>43183.97047453704</v>
      </c>
      <c r="Q4050" s="7"/>
      <c r="R4050" s="7"/>
      <c r="S4050" s="8"/>
      <c r="T4050" s="8"/>
      <c r="U4050" s="19" t="str">
        <f>HYPERLINK("https://pbs.twimg.com/profile_images/977792340319522816/up6iz080.jpg","View")</f>
        <v>View</v>
      </c>
      <c r="V4050" s="8"/>
      <c r="W4050" s="8"/>
      <c r="X4050" s="8"/>
      <c r="Y4050" s="8"/>
      <c r="Z4050" s="8"/>
    </row>
    <row r="4051" spans="1:26" ht="12.75">
      <c r="A4051" s="11">
        <v>43747.129976851851</v>
      </c>
      <c r="B4051" s="12" t="str">
        <f>HYPERLINK("https://twitter.com/tugcegiray","@tugcegiray")</f>
        <v>@tugcegiray</v>
      </c>
      <c r="C4051" s="7" t="s">
        <v>21005</v>
      </c>
      <c r="D4051" s="7" t="s">
        <v>21006</v>
      </c>
      <c r="E4051" s="12" t="str">
        <f>HYPERLINK("https://twitter.com/tugcegiray/status/1181873734010986496","1181873734010986496")</f>
        <v>1181873734010986496</v>
      </c>
      <c r="F4051" s="8"/>
      <c r="G4051" s="7"/>
      <c r="H4051" s="8"/>
      <c r="I4051" s="15">
        <v>0</v>
      </c>
      <c r="J4051" s="15">
        <v>0</v>
      </c>
      <c r="K4051" s="12" t="str">
        <f>HYPERLINK("http://twitter.com/download/android","Twitter for Android")</f>
        <v>Twitter for Android</v>
      </c>
      <c r="L4051" s="16">
        <v>2471</v>
      </c>
      <c r="M4051" s="16">
        <v>1247</v>
      </c>
      <c r="N4051" s="16">
        <v>27</v>
      </c>
      <c r="O4051" s="17"/>
      <c r="P4051" s="18">
        <v>39995.254675925928</v>
      </c>
      <c r="Q4051" s="7" t="s">
        <v>21007</v>
      </c>
      <c r="R4051" s="7"/>
      <c r="S4051" s="8"/>
      <c r="T4051" s="8"/>
      <c r="U4051" s="19" t="str">
        <f>HYPERLINK("https://pbs.twimg.com/profile_images/1176620484802351104/ZxuFpcxe.jpg","View")</f>
        <v>View</v>
      </c>
      <c r="V4051" s="8"/>
      <c r="W4051" s="8"/>
      <c r="X4051" s="8"/>
      <c r="Y4051" s="8"/>
      <c r="Z4051" s="8"/>
    </row>
    <row r="4052" spans="1:26" ht="12.75">
      <c r="A4052" s="11">
        <v>43747.129976851851</v>
      </c>
      <c r="B4052" s="12" t="str">
        <f>HYPERLINK("https://twitter.com/RTEakYUNUS","@RTEakYUNUS")</f>
        <v>@RTEakYUNUS</v>
      </c>
      <c r="C4052" s="7" t="s">
        <v>21008</v>
      </c>
      <c r="D4052" s="7" t="s">
        <v>21009</v>
      </c>
      <c r="E4052" s="12" t="str">
        <f>HYPERLINK("https://twitter.com/RTEakYUNUS/status/1181873733226631168","1181873733226631168")</f>
        <v>1181873733226631168</v>
      </c>
      <c r="F4052" s="15"/>
      <c r="G4052" s="7"/>
      <c r="H4052" s="8"/>
      <c r="I4052" s="15">
        <v>0</v>
      </c>
      <c r="J4052" s="15">
        <v>1</v>
      </c>
      <c r="K4052" s="12" t="str">
        <f>HYPERLINK("http://twitter.com/download/android","Twitter for Android")</f>
        <v>Twitter for Android</v>
      </c>
      <c r="L4052" s="16">
        <v>2313</v>
      </c>
      <c r="M4052" s="16">
        <v>4423</v>
      </c>
      <c r="N4052" s="16">
        <v>6</v>
      </c>
      <c r="O4052" s="17"/>
      <c r="P4052" s="18">
        <v>42041.513043981482</v>
      </c>
      <c r="Q4052" s="7"/>
      <c r="R4052" s="7" t="s">
        <v>21010</v>
      </c>
      <c r="S4052" s="8"/>
      <c r="T4052" s="8"/>
      <c r="U4052" s="19" t="str">
        <f>HYPERLINK("https://pbs.twimg.com/profile_images/1168259783184519169/RBhgnkFQ.jpg","View")</f>
        <v>View</v>
      </c>
      <c r="V4052" s="8"/>
      <c r="W4052" s="8"/>
      <c r="X4052" s="8"/>
      <c r="Y4052" s="8"/>
      <c r="Z4052" s="8"/>
    </row>
    <row r="4053" spans="1:26" ht="12.75">
      <c r="A4053" s="11">
        <v>43747.129918981482</v>
      </c>
      <c r="B4053" s="12" t="str">
        <f>HYPERLINK("https://twitter.com/aydinlikmemes","@aydinlikmemes")</f>
        <v>@aydinlikmemes</v>
      </c>
      <c r="C4053" s="7" t="s">
        <v>21011</v>
      </c>
      <c r="D4053" s="7" t="s">
        <v>21012</v>
      </c>
      <c r="E4053" s="12" t="str">
        <f>HYPERLINK("https://twitter.com/aydinlikmemes/status/1181873712297062401","1181873712297062401")</f>
        <v>1181873712297062401</v>
      </c>
      <c r="F4053" s="8"/>
      <c r="G4053" s="14" t="s">
        <v>21013</v>
      </c>
      <c r="H4053" s="8"/>
      <c r="I4053" s="15">
        <v>1</v>
      </c>
      <c r="J4053" s="15">
        <v>2</v>
      </c>
      <c r="K4053" s="12" t="str">
        <f>HYPERLINK("https://mobile.twitter.com","Twitter Web App")</f>
        <v>Twitter Web App</v>
      </c>
      <c r="L4053" s="16">
        <v>22</v>
      </c>
      <c r="M4053" s="16">
        <v>17</v>
      </c>
      <c r="N4053" s="16">
        <v>0</v>
      </c>
      <c r="O4053" s="17"/>
      <c r="P4053" s="18">
        <v>43487.601655092592</v>
      </c>
      <c r="Q4053" s="7" t="s">
        <v>21014</v>
      </c>
      <c r="R4053" s="7" t="s">
        <v>21015</v>
      </c>
      <c r="S4053" s="8"/>
      <c r="T4053" s="8"/>
      <c r="U4053" s="19" t="str">
        <f>HYPERLINK("https://pbs.twimg.com/profile_images/1181870325417553923/-Pp1sHgc.jpg","View")</f>
        <v>View</v>
      </c>
      <c r="V4053" s="8"/>
      <c r="W4053" s="8"/>
      <c r="X4053" s="8"/>
      <c r="Y4053" s="8"/>
      <c r="Z4053" s="8"/>
    </row>
    <row r="4054" spans="1:26" ht="12.75">
      <c r="A4054" s="11">
        <v>43747.129918981482</v>
      </c>
      <c r="B4054" s="12" t="str">
        <f>HYPERLINK("https://twitter.com/fahrettinecik","@fahrettinecik")</f>
        <v>@fahrettinecik</v>
      </c>
      <c r="C4054" s="7" t="s">
        <v>21016</v>
      </c>
      <c r="D4054" s="7" t="s">
        <v>21017</v>
      </c>
      <c r="E4054" s="12" t="str">
        <f>HYPERLINK("https://twitter.com/fahrettinecik/status/1181873710384455680","1181873710384455680")</f>
        <v>1181873710384455680</v>
      </c>
      <c r="F4054" s="8"/>
      <c r="G4054" s="15"/>
      <c r="H4054" s="8"/>
      <c r="I4054" s="15">
        <v>0</v>
      </c>
      <c r="J4054" s="15">
        <v>0</v>
      </c>
      <c r="K4054" s="12" t="str">
        <f>HYPERLINK("https://mobile.twitter.com","Twitter Web App")</f>
        <v>Twitter Web App</v>
      </c>
      <c r="L4054" s="16">
        <v>70</v>
      </c>
      <c r="M4054" s="16">
        <v>197</v>
      </c>
      <c r="N4054" s="16">
        <v>0</v>
      </c>
      <c r="O4054" s="17"/>
      <c r="P4054" s="18">
        <v>42974.119768518518</v>
      </c>
      <c r="Q4054" s="7" t="s">
        <v>21018</v>
      </c>
      <c r="R4054" s="7" t="s">
        <v>21019</v>
      </c>
      <c r="S4054" s="8"/>
      <c r="T4054" s="8"/>
      <c r="U4054" s="19" t="str">
        <f>HYPERLINK("https://pbs.twimg.com/profile_images/1181871195911790592/5yjPjusv.jpg","View")</f>
        <v>View</v>
      </c>
      <c r="V4054" s="8"/>
      <c r="W4054" s="8"/>
      <c r="X4054" s="8"/>
      <c r="Y4054" s="8"/>
      <c r="Z4054" s="8"/>
    </row>
    <row r="4055" spans="1:26" ht="12.75">
      <c r="A4055" s="11">
        <v>43747.129837962959</v>
      </c>
      <c r="B4055" s="12" t="str">
        <f>HYPERLINK("https://twitter.com/KuteymirVeysel","@KuteymirVeysel")</f>
        <v>@KuteymirVeysel</v>
      </c>
      <c r="C4055" s="7" t="s">
        <v>21020</v>
      </c>
      <c r="D4055" s="7" t="s">
        <v>21021</v>
      </c>
      <c r="E4055" s="12" t="str">
        <f>HYPERLINK("https://twitter.com/KuteymirVeysel/status/1181873682769219585","1181873682769219585")</f>
        <v>1181873682769219585</v>
      </c>
      <c r="F4055" s="8"/>
      <c r="G4055" s="15"/>
      <c r="H4055" s="8"/>
      <c r="I4055" s="15">
        <v>1</v>
      </c>
      <c r="J4055" s="15">
        <v>0</v>
      </c>
      <c r="K4055" s="12" t="str">
        <f>HYPERLINK("http://twitter.com/download/android","Twitter for Android")</f>
        <v>Twitter for Android</v>
      </c>
      <c r="L4055" s="16">
        <v>1519</v>
      </c>
      <c r="M4055" s="16">
        <v>109</v>
      </c>
      <c r="N4055" s="16">
        <v>8</v>
      </c>
      <c r="O4055" s="17"/>
      <c r="P4055" s="18">
        <v>41603.16815972222</v>
      </c>
      <c r="Q4055" s="7"/>
      <c r="R4055" s="7" t="s">
        <v>21022</v>
      </c>
      <c r="S4055" s="8"/>
      <c r="T4055" s="8"/>
      <c r="U4055" s="19" t="str">
        <f>HYPERLINK("https://pbs.twimg.com/profile_images/986955966070624257/D4TjC1qJ.jpg","View")</f>
        <v>View</v>
      </c>
      <c r="V4055" s="8"/>
      <c r="W4055" s="8"/>
      <c r="X4055" s="8"/>
      <c r="Y4055" s="8"/>
      <c r="Z4055" s="8"/>
    </row>
    <row r="4056" spans="1:26" ht="12.75">
      <c r="A4056" s="11">
        <v>43747.129837962959</v>
      </c>
      <c r="B4056" s="12" t="str">
        <f>HYPERLINK("https://twitter.com/_mellone_","@_mellone_")</f>
        <v>@_mellone_</v>
      </c>
      <c r="C4056" s="7" t="s">
        <v>21023</v>
      </c>
      <c r="D4056" s="7" t="s">
        <v>160</v>
      </c>
      <c r="E4056" s="12" t="str">
        <f>HYPERLINK("https://twitter.com/_mellone_/status/1181873681330507776","1181873681330507776")</f>
        <v>1181873681330507776</v>
      </c>
      <c r="F4056" s="15"/>
      <c r="G4056" s="14" t="s">
        <v>21024</v>
      </c>
      <c r="H4056" s="8"/>
      <c r="I4056" s="15">
        <v>0</v>
      </c>
      <c r="J4056" s="15">
        <v>0</v>
      </c>
      <c r="K4056" s="12" t="str">
        <f>HYPERLINK("http://twitter.com/download/android","Twitter for Android")</f>
        <v>Twitter for Android</v>
      </c>
      <c r="L4056" s="16">
        <v>300</v>
      </c>
      <c r="M4056" s="16">
        <v>263</v>
      </c>
      <c r="N4056" s="16">
        <v>0</v>
      </c>
      <c r="O4056" s="17"/>
      <c r="P4056" s="18">
        <v>42193.127430555556</v>
      </c>
      <c r="Q4056" s="7" t="s">
        <v>21025</v>
      </c>
      <c r="R4056" s="7" t="s">
        <v>21026</v>
      </c>
      <c r="S4056" s="14" t="s">
        <v>21027</v>
      </c>
      <c r="T4056" s="8"/>
      <c r="U4056" s="19" t="str">
        <f>HYPERLINK("https://pbs.twimg.com/profile_images/1170022023940182016/DmQiswb3.jpg","View")</f>
        <v>View</v>
      </c>
      <c r="V4056" s="8"/>
      <c r="W4056" s="8"/>
      <c r="X4056" s="8"/>
      <c r="Y4056" s="8"/>
      <c r="Z4056" s="8"/>
    </row>
    <row r="4057" spans="1:26" ht="12.75">
      <c r="A4057" s="11">
        <v>43747.129791666666</v>
      </c>
      <c r="B4057" s="12" t="str">
        <f>HYPERLINK("https://twitter.com/Rojbin0nder","@Rojbin0nder")</f>
        <v>@Rojbin0nder</v>
      </c>
      <c r="C4057" s="7" t="s">
        <v>21028</v>
      </c>
      <c r="D4057" s="7" t="s">
        <v>21029</v>
      </c>
      <c r="E4057" s="12" t="str">
        <f>HYPERLINK("https://twitter.com/Rojbin0nder/status/1181873666692468736","1181873666692468736")</f>
        <v>1181873666692468736</v>
      </c>
      <c r="F4057" s="14" t="s">
        <v>21030</v>
      </c>
      <c r="G4057" s="14" t="s">
        <v>21031</v>
      </c>
      <c r="H4057" s="8"/>
      <c r="I4057" s="15">
        <v>1</v>
      </c>
      <c r="J4057" s="15">
        <v>1</v>
      </c>
      <c r="K4057" s="12" t="str">
        <f>HYPERLINK("http://twitter.com/download/android","Twitter for Android")</f>
        <v>Twitter for Android</v>
      </c>
      <c r="L4057" s="16">
        <v>84</v>
      </c>
      <c r="M4057" s="16">
        <v>97</v>
      </c>
      <c r="N4057" s="16">
        <v>0</v>
      </c>
      <c r="O4057" s="17"/>
      <c r="P4057" s="18">
        <v>43468.490428240737</v>
      </c>
      <c r="Q4057" s="7"/>
      <c r="R4057" s="7"/>
      <c r="S4057" s="8"/>
      <c r="T4057" s="8"/>
      <c r="U4057" s="19" t="str">
        <f>HYPERLINK("https://pbs.twimg.com/profile_images/1158477817354629121/7HxYa0nY.jpg","View")</f>
        <v>View</v>
      </c>
      <c r="V4057" s="8"/>
      <c r="W4057" s="8"/>
      <c r="X4057" s="8"/>
      <c r="Y4057" s="8"/>
      <c r="Z4057" s="8"/>
    </row>
    <row r="4058" spans="1:26" ht="12.75">
      <c r="A4058" s="11">
        <v>43747.129791666666</v>
      </c>
      <c r="B4058" s="12" t="str">
        <f>HYPERLINK("https://twitter.com/GkberkKaya7","@GkberkKaya7")</f>
        <v>@GkberkKaya7</v>
      </c>
      <c r="C4058" s="7" t="s">
        <v>21032</v>
      </c>
      <c r="D4058" s="7" t="s">
        <v>21033</v>
      </c>
      <c r="E4058" s="12" t="str">
        <f>HYPERLINK("https://twitter.com/GkberkKaya7/status/1181873664133865472","1181873664133865472")</f>
        <v>1181873664133865472</v>
      </c>
      <c r="F4058" s="8"/>
      <c r="G4058" s="15"/>
      <c r="H4058" s="8"/>
      <c r="I4058" s="15">
        <v>0</v>
      </c>
      <c r="J4058" s="15">
        <v>0</v>
      </c>
      <c r="K4058" s="12" t="str">
        <f>HYPERLINK("http://twitter.com/download/iphone","Twitter for iPhone")</f>
        <v>Twitter for iPhone</v>
      </c>
      <c r="L4058" s="16">
        <v>314</v>
      </c>
      <c r="M4058" s="16">
        <v>415</v>
      </c>
      <c r="N4058" s="16">
        <v>0</v>
      </c>
      <c r="O4058" s="17"/>
      <c r="P4058" s="18">
        <v>43246.776817129634</v>
      </c>
      <c r="Q4058" s="7" t="s">
        <v>313</v>
      </c>
      <c r="R4058" s="7"/>
      <c r="S4058" s="14" t="s">
        <v>21034</v>
      </c>
      <c r="T4058" s="8"/>
      <c r="U4058" s="19" t="str">
        <f>HYPERLINK("https://pbs.twimg.com/profile_images/1000554785093967873/cTfy9g-h.jpg","View")</f>
        <v>View</v>
      </c>
      <c r="V4058" s="8"/>
      <c r="W4058" s="8"/>
      <c r="X4058" s="8"/>
      <c r="Y4058" s="8"/>
      <c r="Z4058" s="8"/>
    </row>
    <row r="4059" spans="1:26" ht="12.75">
      <c r="A4059" s="11">
        <v>43747.129780092597</v>
      </c>
      <c r="B4059" s="12" t="str">
        <f>HYPERLINK("https://twitter.com/rel68366395","@rel68366395")</f>
        <v>@rel68366395</v>
      </c>
      <c r="C4059" s="7" t="s">
        <v>21035</v>
      </c>
      <c r="D4059" s="7" t="s">
        <v>21036</v>
      </c>
      <c r="E4059" s="12" t="str">
        <f>HYPERLINK("https://twitter.com/rel68366395/status/1181873661894172672","1181873661894172672")</f>
        <v>1181873661894172672</v>
      </c>
      <c r="F4059" s="8"/>
      <c r="G4059" s="15"/>
      <c r="H4059" s="8"/>
      <c r="I4059" s="15">
        <v>0</v>
      </c>
      <c r="J4059" s="15">
        <v>0</v>
      </c>
      <c r="K4059" s="12" t="str">
        <f>HYPERLINK("https://mobile.twitter.com","Twitter Web App")</f>
        <v>Twitter Web App</v>
      </c>
      <c r="L4059" s="16">
        <v>0</v>
      </c>
      <c r="M4059" s="16">
        <v>0</v>
      </c>
      <c r="N4059" s="16">
        <v>0</v>
      </c>
      <c r="O4059" s="17"/>
      <c r="P4059" s="18">
        <v>43746.406076388885</v>
      </c>
      <c r="Q4059" s="7"/>
      <c r="R4059" s="7"/>
      <c r="S4059" s="8"/>
      <c r="T4059" s="8"/>
      <c r="U4059" s="20" t="s">
        <v>354</v>
      </c>
      <c r="V4059" s="8"/>
      <c r="W4059" s="8"/>
      <c r="X4059" s="8"/>
      <c r="Y4059" s="8"/>
      <c r="Z4059" s="8"/>
    </row>
    <row r="4060" spans="1:26" ht="12.75">
      <c r="A4060" s="11">
        <v>43747.12976851852</v>
      </c>
      <c r="B4060" s="12" t="str">
        <f>HYPERLINK("https://twitter.com/Hakan43268940","@Hakan43268940")</f>
        <v>@Hakan43268940</v>
      </c>
      <c r="C4060" s="7" t="s">
        <v>14880</v>
      </c>
      <c r="D4060" s="7" t="s">
        <v>19914</v>
      </c>
      <c r="E4060" s="12" t="str">
        <f>HYPERLINK("https://twitter.com/Hakan43268940/status/1181873658148638723","1181873658148638723")</f>
        <v>1181873658148638723</v>
      </c>
      <c r="F4060" s="8"/>
      <c r="G4060" s="15"/>
      <c r="H4060" s="8"/>
      <c r="I4060" s="15">
        <v>0</v>
      </c>
      <c r="J4060" s="15">
        <v>0</v>
      </c>
      <c r="K4060" s="12" t="str">
        <f>HYPERLINK("http://twitter.com/download/android","Twitter for Android")</f>
        <v>Twitter for Android</v>
      </c>
      <c r="L4060" s="16">
        <v>6</v>
      </c>
      <c r="M4060" s="16">
        <v>43</v>
      </c>
      <c r="N4060" s="16">
        <v>0</v>
      </c>
      <c r="O4060" s="17"/>
      <c r="P4060" s="18">
        <v>43499.166562500002</v>
      </c>
      <c r="Q4060" s="7"/>
      <c r="R4060" s="7"/>
      <c r="S4060" s="8"/>
      <c r="T4060" s="8"/>
      <c r="U4060" s="19" t="str">
        <f>HYPERLINK("https://pbs.twimg.com/profile_images/1092030075120308226/uowIBrlf.jpg","View")</f>
        <v>View</v>
      </c>
      <c r="V4060" s="8"/>
      <c r="W4060" s="8"/>
      <c r="X4060" s="8"/>
      <c r="Y4060" s="8"/>
      <c r="Z4060" s="8"/>
    </row>
    <row r="4061" spans="1:26" ht="12.75">
      <c r="A4061" s="11">
        <v>43747.12972222222</v>
      </c>
      <c r="B4061" s="12" t="str">
        <f>HYPERLINK("https://twitter.com/emreaks85923509","@emreaks85923509")</f>
        <v>@emreaks85923509</v>
      </c>
      <c r="C4061" s="7" t="s">
        <v>21037</v>
      </c>
      <c r="D4061" s="7" t="s">
        <v>21038</v>
      </c>
      <c r="E4061" s="12" t="str">
        <f>HYPERLINK("https://twitter.com/emreaks85923509/status/1181873639005851648","1181873639005851648")</f>
        <v>1181873639005851648</v>
      </c>
      <c r="F4061" s="8"/>
      <c r="G4061" s="7"/>
      <c r="H4061" s="8"/>
      <c r="I4061" s="15">
        <v>0</v>
      </c>
      <c r="J4061" s="15">
        <v>0</v>
      </c>
      <c r="K4061" s="12" t="str">
        <f>HYPERLINK("https://mobile.twitter.com","Twitter Web App")</f>
        <v>Twitter Web App</v>
      </c>
      <c r="L4061" s="16">
        <v>28</v>
      </c>
      <c r="M4061" s="16">
        <v>47</v>
      </c>
      <c r="N4061" s="16">
        <v>0</v>
      </c>
      <c r="O4061" s="17"/>
      <c r="P4061" s="18">
        <v>43655.011296296296</v>
      </c>
      <c r="Q4061" s="7"/>
      <c r="R4061" s="7" t="s">
        <v>21039</v>
      </c>
      <c r="S4061" s="8"/>
      <c r="T4061" s="8"/>
      <c r="U4061" s="19" t="str">
        <f>HYPERLINK("https://pbs.twimg.com/profile_images/1166340963146653696/yOEM4bft.jpg","View")</f>
        <v>View</v>
      </c>
      <c r="V4061" s="8"/>
      <c r="W4061" s="8"/>
      <c r="X4061" s="8"/>
      <c r="Y4061" s="8"/>
      <c r="Z4061" s="8"/>
    </row>
    <row r="4062" spans="1:26" ht="12.75">
      <c r="A4062" s="11">
        <v>43747.129675925928</v>
      </c>
      <c r="B4062" s="12" t="str">
        <f>HYPERLINK("https://twitter.com/ereniskender7","@ereniskender7")</f>
        <v>@ereniskender7</v>
      </c>
      <c r="C4062" s="7" t="s">
        <v>21040</v>
      </c>
      <c r="D4062" s="7" t="s">
        <v>21041</v>
      </c>
      <c r="E4062" s="12" t="str">
        <f>HYPERLINK("https://twitter.com/ereniskender7/status/1181873623671463936","1181873623671463936")</f>
        <v>1181873623671463936</v>
      </c>
      <c r="F4062" s="8"/>
      <c r="G4062" s="15"/>
      <c r="H4062" s="8"/>
      <c r="I4062" s="15">
        <v>0</v>
      </c>
      <c r="J4062" s="15">
        <v>1</v>
      </c>
      <c r="K4062" s="12" t="str">
        <f>HYPERLINK("http://twitter.com/download/android","Twitter for Android")</f>
        <v>Twitter for Android</v>
      </c>
      <c r="L4062" s="16">
        <v>129</v>
      </c>
      <c r="M4062" s="16">
        <v>98</v>
      </c>
      <c r="N4062" s="16">
        <v>0</v>
      </c>
      <c r="O4062" s="17"/>
      <c r="P4062" s="18">
        <v>42933.567199074074</v>
      </c>
      <c r="Q4062" s="7" t="s">
        <v>21042</v>
      </c>
      <c r="R4062" s="7" t="s">
        <v>21043</v>
      </c>
      <c r="S4062" s="8"/>
      <c r="T4062" s="8"/>
      <c r="U4062" s="19" t="str">
        <f>HYPERLINK("https://pbs.twimg.com/profile_images/1154669820585095168/bxH0jPnL.jpg","View")</f>
        <v>View</v>
      </c>
      <c r="V4062" s="8"/>
      <c r="W4062" s="8"/>
      <c r="X4062" s="8"/>
      <c r="Y4062" s="8"/>
      <c r="Z4062" s="8"/>
    </row>
    <row r="4063" spans="1:26" ht="12.75">
      <c r="A4063" s="11">
        <v>43747.129606481481</v>
      </c>
      <c r="B4063" s="12" t="str">
        <f>HYPERLINK("https://twitter.com/mimzeke","@mimzeke")</f>
        <v>@mimzeke</v>
      </c>
      <c r="C4063" s="7" t="s">
        <v>21044</v>
      </c>
      <c r="D4063" s="7" t="s">
        <v>21045</v>
      </c>
      <c r="E4063" s="12" t="str">
        <f>HYPERLINK("https://twitter.com/mimzeke/status/1181873598975361024","1181873598975361024")</f>
        <v>1181873598975361024</v>
      </c>
      <c r="F4063" s="8"/>
      <c r="G4063" s="15"/>
      <c r="H4063" s="8"/>
      <c r="I4063" s="15">
        <v>1</v>
      </c>
      <c r="J4063" s="15">
        <v>3</v>
      </c>
      <c r="K4063" s="12" t="str">
        <f>HYPERLINK("http://twitter.com/download/android","Twitter for Android")</f>
        <v>Twitter for Android</v>
      </c>
      <c r="L4063" s="16">
        <v>8212</v>
      </c>
      <c r="M4063" s="16">
        <v>7834</v>
      </c>
      <c r="N4063" s="16">
        <v>4</v>
      </c>
      <c r="O4063" s="17"/>
      <c r="P4063" s="18">
        <v>40718.589479166665</v>
      </c>
      <c r="Q4063" s="7" t="s">
        <v>918</v>
      </c>
      <c r="R4063" s="7" t="s">
        <v>21046</v>
      </c>
      <c r="S4063" s="8"/>
      <c r="T4063" s="8"/>
      <c r="U4063" s="19" t="str">
        <f>HYPERLINK("https://pbs.twimg.com/profile_images/1089288452854738944/yEFE_FLV.jpg","View")</f>
        <v>View</v>
      </c>
      <c r="V4063" s="8"/>
      <c r="W4063" s="8"/>
      <c r="X4063" s="8"/>
      <c r="Y4063" s="8"/>
      <c r="Z4063" s="8"/>
    </row>
    <row r="4064" spans="1:26" ht="12.75">
      <c r="A4064" s="11">
        <v>43747.129502314812</v>
      </c>
      <c r="B4064" s="12" t="str">
        <f>HYPERLINK("https://twitter.com/Sadece_Renkler","@Sadece_Renkler")</f>
        <v>@Sadece_Renkler</v>
      </c>
      <c r="C4064" s="7" t="s">
        <v>21047</v>
      </c>
      <c r="D4064" s="7" t="s">
        <v>21048</v>
      </c>
      <c r="E4064" s="12" t="str">
        <f>HYPERLINK("https://twitter.com/Sadece_Renkler/status/1181873559595036673","1181873559595036673")</f>
        <v>1181873559595036673</v>
      </c>
      <c r="F4064" s="8"/>
      <c r="G4064" s="15"/>
      <c r="H4064" s="8"/>
      <c r="I4064" s="15">
        <v>0</v>
      </c>
      <c r="J4064" s="15">
        <v>0</v>
      </c>
      <c r="K4064" s="12" t="str">
        <f>HYPERLINK("http://twitter.com/download/iphone","Twitter for iPhone")</f>
        <v>Twitter for iPhone</v>
      </c>
      <c r="L4064" s="16">
        <v>85</v>
      </c>
      <c r="M4064" s="16">
        <v>533</v>
      </c>
      <c r="N4064" s="16">
        <v>0</v>
      </c>
      <c r="O4064" s="17"/>
      <c r="P4064" s="18">
        <v>41712.041261574072</v>
      </c>
      <c r="Q4064" s="7"/>
      <c r="R4064" s="7" t="s">
        <v>21049</v>
      </c>
      <c r="S4064" s="15"/>
      <c r="T4064" s="8"/>
      <c r="U4064" s="19" t="str">
        <f>HYPERLINK("https://pbs.twimg.com/profile_images/489393457543135232/RasTYFGk.jpeg","View")</f>
        <v>View</v>
      </c>
      <c r="V4064" s="8"/>
      <c r="W4064" s="8"/>
      <c r="X4064" s="8"/>
      <c r="Y4064" s="8"/>
      <c r="Z4064" s="8"/>
    </row>
    <row r="4065" spans="1:26" ht="12.75">
      <c r="A4065" s="11">
        <v>43747.129421296297</v>
      </c>
      <c r="B4065" s="12" t="str">
        <f>HYPERLINK("https://twitter.com/ynmm53","@ynmm53")</f>
        <v>@ynmm53</v>
      </c>
      <c r="C4065" s="7" t="s">
        <v>21050</v>
      </c>
      <c r="D4065" s="7" t="s">
        <v>21051</v>
      </c>
      <c r="E4065" s="12" t="str">
        <f>HYPERLINK("https://twitter.com/ynmm53/status/1181873531191214081","1181873531191214081")</f>
        <v>1181873531191214081</v>
      </c>
      <c r="F4065" s="15"/>
      <c r="G4065" s="14" t="s">
        <v>21052</v>
      </c>
      <c r="H4065" s="8"/>
      <c r="I4065" s="15">
        <v>0</v>
      </c>
      <c r="J4065" s="15">
        <v>2</v>
      </c>
      <c r="K4065" s="12" t="str">
        <f>HYPERLINK("http://twitter.com/download/android","Twitter for Android")</f>
        <v>Twitter for Android</v>
      </c>
      <c r="L4065" s="16">
        <v>1915</v>
      </c>
      <c r="M4065" s="16">
        <v>1626</v>
      </c>
      <c r="N4065" s="16">
        <v>4</v>
      </c>
      <c r="O4065" s="17"/>
      <c r="P4065" s="18">
        <v>41411.087071759262</v>
      </c>
      <c r="Q4065" s="7" t="s">
        <v>21053</v>
      </c>
      <c r="R4065" s="7" t="s">
        <v>21054</v>
      </c>
      <c r="S4065" s="8"/>
      <c r="T4065" s="8"/>
      <c r="U4065" s="19" t="str">
        <f>HYPERLINK("https://pbs.twimg.com/profile_images/1173511332462768128/4mtbgn4-.jpg","View")</f>
        <v>View</v>
      </c>
      <c r="V4065" s="8"/>
      <c r="W4065" s="8"/>
      <c r="X4065" s="8"/>
      <c r="Y4065" s="8"/>
      <c r="Z4065" s="8"/>
    </row>
    <row r="4066" spans="1:26" ht="12.75">
      <c r="A4066" s="11">
        <v>43747.129409722227</v>
      </c>
      <c r="B4066" s="12" t="str">
        <f>HYPERLINK("https://twitter.com/myemre_","@myemre_")</f>
        <v>@myemre_</v>
      </c>
      <c r="C4066" s="7" t="s">
        <v>21055</v>
      </c>
      <c r="D4066" s="7" t="s">
        <v>21056</v>
      </c>
      <c r="E4066" s="12" t="str">
        <f>HYPERLINK("https://twitter.com/myemre_/status/1181873526686568449","1181873526686568449")</f>
        <v>1181873526686568449</v>
      </c>
      <c r="F4066" s="14" t="s">
        <v>21057</v>
      </c>
      <c r="G4066" s="14" t="s">
        <v>21058</v>
      </c>
      <c r="H4066" s="8"/>
      <c r="I4066" s="15">
        <v>0</v>
      </c>
      <c r="J4066" s="15">
        <v>1</v>
      </c>
      <c r="K4066" s="12" t="str">
        <f>HYPERLINK("http://twitter.com/download/android","Twitter for Android")</f>
        <v>Twitter for Android</v>
      </c>
      <c r="L4066" s="16">
        <v>478</v>
      </c>
      <c r="M4066" s="16">
        <v>869</v>
      </c>
      <c r="N4066" s="16">
        <v>0</v>
      </c>
      <c r="O4066" s="17"/>
      <c r="P4066" s="18">
        <v>41484.890868055554</v>
      </c>
      <c r="Q4066" s="7"/>
      <c r="R4066" s="7" t="s">
        <v>21059</v>
      </c>
      <c r="S4066" s="8"/>
      <c r="T4066" s="8"/>
      <c r="U4066" s="19" t="str">
        <f>HYPERLINK("https://pbs.twimg.com/profile_images/1152906988097085440/6acSidbq.jpg","View")</f>
        <v>View</v>
      </c>
      <c r="V4066" s="8"/>
      <c r="W4066" s="8"/>
      <c r="X4066" s="8"/>
      <c r="Y4066" s="8"/>
      <c r="Z4066" s="8"/>
    </row>
    <row r="4067" spans="1:26" ht="12.75">
      <c r="A4067" s="11">
        <v>43747.129386574074</v>
      </c>
      <c r="B4067" s="12" t="str">
        <f>HYPERLINK("https://twitter.com/AkinnZeyrek","@AkinnZeyrek")</f>
        <v>@AkinnZeyrek</v>
      </c>
      <c r="C4067" s="7" t="s">
        <v>21060</v>
      </c>
      <c r="D4067" s="7" t="s">
        <v>21061</v>
      </c>
      <c r="E4067" s="12" t="str">
        <f>HYPERLINK("https://twitter.com/AkinnZeyrek/status/1181873516897021954","1181873516897021954")</f>
        <v>1181873516897021954</v>
      </c>
      <c r="F4067" s="8"/>
      <c r="G4067" s="14" t="s">
        <v>21062</v>
      </c>
      <c r="H4067" s="8"/>
      <c r="I4067" s="15">
        <v>0</v>
      </c>
      <c r="J4067" s="15">
        <v>5</v>
      </c>
      <c r="K4067" s="12" t="str">
        <f>HYPERLINK("http://twitter.com/download/iphone","Twitter for iPhone")</f>
        <v>Twitter for iPhone</v>
      </c>
      <c r="L4067" s="16">
        <v>479</v>
      </c>
      <c r="M4067" s="16">
        <v>86</v>
      </c>
      <c r="N4067" s="16">
        <v>2</v>
      </c>
      <c r="O4067" s="17"/>
      <c r="P4067" s="18">
        <v>40769.294837962967</v>
      </c>
      <c r="Q4067" s="7" t="s">
        <v>576</v>
      </c>
      <c r="R4067" s="7" t="s">
        <v>21063</v>
      </c>
      <c r="S4067" s="8"/>
      <c r="T4067" s="8"/>
      <c r="U4067" s="19" t="str">
        <f>HYPERLINK("https://pbs.twimg.com/profile_images/1177198273045630977/N0gKzrGx.jpg","View")</f>
        <v>View</v>
      </c>
      <c r="V4067" s="8"/>
      <c r="W4067" s="8"/>
      <c r="X4067" s="8"/>
      <c r="Y4067" s="8"/>
      <c r="Z4067" s="8"/>
    </row>
    <row r="4068" spans="1:26" ht="12.75">
      <c r="A4068" s="11">
        <v>43747.129305555558</v>
      </c>
      <c r="B4068" s="12" t="str">
        <f>HYPERLINK("https://twitter.com/AyseCevizci2","@AyseCevizci2")</f>
        <v>@AyseCevizci2</v>
      </c>
      <c r="C4068" s="7" t="s">
        <v>21064</v>
      </c>
      <c r="D4068" s="7" t="s">
        <v>21065</v>
      </c>
      <c r="E4068" s="12" t="str">
        <f>HYPERLINK("https://twitter.com/AyseCevizci2/status/1181873489759936513","1181873489759936513")</f>
        <v>1181873489759936513</v>
      </c>
      <c r="F4068" s="8"/>
      <c r="G4068" s="7"/>
      <c r="H4068" s="8"/>
      <c r="I4068" s="15">
        <v>0</v>
      </c>
      <c r="J4068" s="15">
        <v>0</v>
      </c>
      <c r="K4068" s="12" t="str">
        <f>HYPERLINK("http://twitter.com/download/android","Twitter for Android")</f>
        <v>Twitter for Android</v>
      </c>
      <c r="L4068" s="16">
        <v>0</v>
      </c>
      <c r="M4068" s="16">
        <v>18</v>
      </c>
      <c r="N4068" s="16">
        <v>0</v>
      </c>
      <c r="O4068" s="17"/>
      <c r="P4068" s="18">
        <v>43730.051030092596</v>
      </c>
      <c r="Q4068" s="7"/>
      <c r="R4068" s="7"/>
      <c r="S4068" s="8"/>
      <c r="T4068" s="8"/>
      <c r="U4068" s="19" t="str">
        <f>HYPERLINK("https://pbs.twimg.com/profile_images/1175684706718900226/dMOcPpWR.jpg","View")</f>
        <v>View</v>
      </c>
      <c r="V4068" s="8"/>
      <c r="W4068" s="8"/>
      <c r="X4068" s="8"/>
      <c r="Y4068" s="8"/>
      <c r="Z4068" s="8"/>
    </row>
    <row r="4069" spans="1:26" ht="12.75">
      <c r="A4069" s="11">
        <v>43747.129282407404</v>
      </c>
      <c r="B4069" s="12" t="str">
        <f>HYPERLINK("https://twitter.com/mutocakmak","@mutocakmak")</f>
        <v>@mutocakmak</v>
      </c>
      <c r="C4069" s="7" t="s">
        <v>21066</v>
      </c>
      <c r="D4069" s="7" t="s">
        <v>160</v>
      </c>
      <c r="E4069" s="12" t="str">
        <f>HYPERLINK("https://twitter.com/mutocakmak/status/1181873480997978112","1181873480997978112")</f>
        <v>1181873480997978112</v>
      </c>
      <c r="F4069" s="8"/>
      <c r="G4069" s="14" t="s">
        <v>21067</v>
      </c>
      <c r="H4069" s="8"/>
      <c r="I4069" s="15">
        <v>0</v>
      </c>
      <c r="J4069" s="15">
        <v>0</v>
      </c>
      <c r="K4069" s="12" t="str">
        <f>HYPERLINK("http://twitter.com/download/android","Twitter for Android")</f>
        <v>Twitter for Android</v>
      </c>
      <c r="L4069" s="16">
        <v>1019</v>
      </c>
      <c r="M4069" s="16">
        <v>1012</v>
      </c>
      <c r="N4069" s="16">
        <v>0</v>
      </c>
      <c r="O4069" s="17"/>
      <c r="P4069" s="18">
        <v>41787.515104166669</v>
      </c>
      <c r="Q4069" s="7" t="s">
        <v>8378</v>
      </c>
      <c r="R4069" s="7" t="s">
        <v>21068</v>
      </c>
      <c r="S4069" s="8"/>
      <c r="T4069" s="8"/>
      <c r="U4069" s="19" t="str">
        <f>HYPERLINK("https://pbs.twimg.com/profile_images/1175828383223156736/t3GYgTIT.jpg","View")</f>
        <v>View</v>
      </c>
      <c r="V4069" s="8"/>
      <c r="W4069" s="8"/>
      <c r="X4069" s="8"/>
      <c r="Y4069" s="8"/>
      <c r="Z4069" s="8"/>
    </row>
    <row r="4070" spans="1:26" ht="12.75">
      <c r="A4070" s="11">
        <v>43747.129282407404</v>
      </c>
      <c r="B4070" s="12" t="str">
        <f>HYPERLINK("https://twitter.com/Ay_Yildiz_15","@Ay_Yildiz_15")</f>
        <v>@Ay_Yildiz_15</v>
      </c>
      <c r="C4070" s="7" t="s">
        <v>21069</v>
      </c>
      <c r="D4070" s="7" t="s">
        <v>21070</v>
      </c>
      <c r="E4070" s="12" t="str">
        <f>HYPERLINK("https://twitter.com/Ay_Yildiz_15/status/1181873479001542656","1181873479001542656")</f>
        <v>1181873479001542656</v>
      </c>
      <c r="F4070" s="14" t="s">
        <v>21071</v>
      </c>
      <c r="G4070" s="14" t="s">
        <v>21072</v>
      </c>
      <c r="H4070" s="8"/>
      <c r="I4070" s="15">
        <v>1</v>
      </c>
      <c r="J4070" s="15">
        <v>2</v>
      </c>
      <c r="K4070" s="12" t="str">
        <f>HYPERLINK("http://twitter.com/download/android","Twitter for Android")</f>
        <v>Twitter for Android</v>
      </c>
      <c r="L4070" s="16">
        <v>1773</v>
      </c>
      <c r="M4070" s="16">
        <v>2285</v>
      </c>
      <c r="N4070" s="16">
        <v>2</v>
      </c>
      <c r="O4070" s="17"/>
      <c r="P4070" s="18">
        <v>42842.598912037036</v>
      </c>
      <c r="Q4070" s="7"/>
      <c r="R4070" s="7"/>
      <c r="S4070" s="8"/>
      <c r="T4070" s="8"/>
      <c r="U4070" s="19" t="str">
        <f>HYPERLINK("https://pbs.twimg.com/profile_images/1041600146348429312/V2F3V0Yv.jpg","View")</f>
        <v>View</v>
      </c>
      <c r="V4070" s="8"/>
      <c r="W4070" s="8"/>
      <c r="X4070" s="8"/>
      <c r="Y4070" s="8"/>
      <c r="Z4070" s="8"/>
    </row>
    <row r="4071" spans="1:26" ht="12.75">
      <c r="A4071" s="11">
        <v>43747.129259259258</v>
      </c>
      <c r="B4071" s="12" t="str">
        <f>HYPERLINK("https://twitter.com/akbasmarkt","@akbasmarkt")</f>
        <v>@akbasmarkt</v>
      </c>
      <c r="C4071" s="7" t="s">
        <v>21073</v>
      </c>
      <c r="D4071" s="7" t="s">
        <v>21074</v>
      </c>
      <c r="E4071" s="12" t="str">
        <f>HYPERLINK("https://twitter.com/akbasmarkt/status/1181873473867714560","1181873473867714560")</f>
        <v>1181873473867714560</v>
      </c>
      <c r="F4071" s="8"/>
      <c r="G4071" s="14" t="s">
        <v>21075</v>
      </c>
      <c r="H4071" s="8"/>
      <c r="I4071" s="15">
        <v>5</v>
      </c>
      <c r="J4071" s="15">
        <v>13</v>
      </c>
      <c r="K4071" s="12" t="str">
        <f>HYPERLINK("http://twitter.com/download/iphone","Twitter for iPhone")</f>
        <v>Twitter for iPhone</v>
      </c>
      <c r="L4071" s="16">
        <v>64505</v>
      </c>
      <c r="M4071" s="16">
        <v>37334</v>
      </c>
      <c r="N4071" s="16">
        <v>82</v>
      </c>
      <c r="O4071" s="17"/>
      <c r="P4071" s="18">
        <v>41009.470543981479</v>
      </c>
      <c r="Q4071" s="7"/>
      <c r="R4071" s="7" t="s">
        <v>21076</v>
      </c>
      <c r="S4071" s="8"/>
      <c r="T4071" s="8"/>
      <c r="U4071" s="19" t="str">
        <f>HYPERLINK("https://pbs.twimg.com/profile_images/989602018049380356/k9J1BqiW.jpg","View")</f>
        <v>View</v>
      </c>
      <c r="V4071" s="8"/>
      <c r="W4071" s="8"/>
      <c r="X4071" s="8"/>
      <c r="Y4071" s="8"/>
      <c r="Z4071" s="8"/>
    </row>
    <row r="4072" spans="1:26" ht="12.75">
      <c r="A4072" s="11">
        <v>43747.129212962958</v>
      </c>
      <c r="B4072" s="12" t="str">
        <f>HYPERLINK("https://twitter.com/furkangim","@furkangim")</f>
        <v>@furkangim</v>
      </c>
      <c r="C4072" s="7" t="s">
        <v>21077</v>
      </c>
      <c r="D4072" s="7" t="s">
        <v>13751</v>
      </c>
      <c r="E4072" s="12" t="str">
        <f>HYPERLINK("https://twitter.com/furkangim/status/1181873453550493697","1181873453550493697")</f>
        <v>1181873453550493697</v>
      </c>
      <c r="F4072" s="8"/>
      <c r="G4072" s="14" t="s">
        <v>21078</v>
      </c>
      <c r="H4072" s="8"/>
      <c r="I4072" s="15">
        <v>0</v>
      </c>
      <c r="J4072" s="15">
        <v>2</v>
      </c>
      <c r="K4072" s="12" t="str">
        <f>HYPERLINK("http://twitter.com/download/iphone","Twitter for iPhone")</f>
        <v>Twitter for iPhone</v>
      </c>
      <c r="L4072" s="16">
        <v>331</v>
      </c>
      <c r="M4072" s="16">
        <v>438</v>
      </c>
      <c r="N4072" s="16">
        <v>0</v>
      </c>
      <c r="O4072" s="17"/>
      <c r="P4072" s="18">
        <v>42737.606527777782</v>
      </c>
      <c r="Q4072" s="7"/>
      <c r="R4072" s="7" t="s">
        <v>21079</v>
      </c>
      <c r="S4072" s="15"/>
      <c r="T4072" s="8"/>
      <c r="U4072" s="19" t="str">
        <f>HYPERLINK("https://pbs.twimg.com/profile_images/1180461373551198209/IcfW-y1F.jpg","View")</f>
        <v>View</v>
      </c>
      <c r="V4072" s="8"/>
      <c r="W4072" s="8"/>
      <c r="X4072" s="8"/>
      <c r="Y4072" s="8"/>
      <c r="Z4072" s="8"/>
    </row>
    <row r="4073" spans="1:26" ht="12.75">
      <c r="A4073" s="11">
        <v>43747.129166666666</v>
      </c>
      <c r="B4073" s="12" t="str">
        <f>HYPERLINK("https://twitter.com/hkaZZ","@hkaZZ")</f>
        <v>@hkaZZ</v>
      </c>
      <c r="C4073" s="7" t="s">
        <v>19220</v>
      </c>
      <c r="D4073" s="7" t="s">
        <v>21080</v>
      </c>
      <c r="E4073" s="12" t="str">
        <f>HYPERLINK("https://twitter.com/hkaZZ/status/1181873438329360385","1181873438329360385")</f>
        <v>1181873438329360385</v>
      </c>
      <c r="F4073" s="14" t="s">
        <v>21081</v>
      </c>
      <c r="G4073" s="14" t="s">
        <v>20787</v>
      </c>
      <c r="H4073" s="8"/>
      <c r="I4073" s="15">
        <v>0</v>
      </c>
      <c r="J4073" s="15">
        <v>2</v>
      </c>
      <c r="K4073" s="12" t="str">
        <f>HYPERLINK("http://twitter.com/download/iphone","Twitter for iPhone")</f>
        <v>Twitter for iPhone</v>
      </c>
      <c r="L4073" s="16">
        <v>70</v>
      </c>
      <c r="M4073" s="16">
        <v>118</v>
      </c>
      <c r="N4073" s="16">
        <v>0</v>
      </c>
      <c r="O4073" s="17"/>
      <c r="P4073" s="18">
        <v>42785.586423611108</v>
      </c>
      <c r="Q4073" s="7" t="s">
        <v>252</v>
      </c>
      <c r="R4073" s="7" t="s">
        <v>21082</v>
      </c>
      <c r="S4073" s="14" t="s">
        <v>21083</v>
      </c>
      <c r="T4073" s="8"/>
      <c r="U4073" s="19" t="str">
        <f>HYPERLINK("https://pbs.twimg.com/profile_images/1180620843291951107/S67mJrGe.jpg","View")</f>
        <v>View</v>
      </c>
      <c r="V4073" s="8"/>
      <c r="W4073" s="8"/>
      <c r="X4073" s="8"/>
      <c r="Y4073" s="8"/>
      <c r="Z4073" s="8"/>
    </row>
    <row r="4074" spans="1:26" ht="12.75">
      <c r="A4074" s="11">
        <v>43747.12909722222</v>
      </c>
      <c r="B4074" s="12" t="str">
        <f>HYPERLINK("https://twitter.com/by1453Rhtsz","@by1453Rhtsz")</f>
        <v>@by1453Rhtsz</v>
      </c>
      <c r="C4074" s="7" t="s">
        <v>21084</v>
      </c>
      <c r="D4074" s="7" t="s">
        <v>21085</v>
      </c>
      <c r="E4074" s="12" t="str">
        <f>HYPERLINK("https://twitter.com/by1453Rhtsz/status/1181873412786081796","1181873412786081796")</f>
        <v>1181873412786081796</v>
      </c>
      <c r="F4074" s="8"/>
      <c r="G4074" s="14" t="s">
        <v>21086</v>
      </c>
      <c r="H4074" s="8"/>
      <c r="I4074" s="15">
        <v>6</v>
      </c>
      <c r="J4074" s="15">
        <v>7</v>
      </c>
      <c r="K4074" s="12" t="str">
        <f>HYPERLINK("http://twitter.com/download/android","Twitter for Android")</f>
        <v>Twitter for Android</v>
      </c>
      <c r="L4074" s="16">
        <v>0</v>
      </c>
      <c r="M4074" s="16">
        <v>16</v>
      </c>
      <c r="N4074" s="16">
        <v>0</v>
      </c>
      <c r="O4074" s="17"/>
      <c r="P4074" s="18">
        <v>43514.252060185187</v>
      </c>
      <c r="Q4074" s="7"/>
      <c r="R4074" s="7"/>
      <c r="S4074" s="8"/>
      <c r="T4074" s="8"/>
      <c r="U4074" s="20" t="s">
        <v>354</v>
      </c>
      <c r="V4074" s="8"/>
      <c r="W4074" s="8"/>
      <c r="X4074" s="8"/>
      <c r="Y4074" s="8"/>
      <c r="Z4074" s="8"/>
    </row>
    <row r="4075" spans="1:26" ht="12.75">
      <c r="A4075" s="11">
        <v>43747.12908564815</v>
      </c>
      <c r="B4075" s="12" t="str">
        <f>HYPERLINK("https://twitter.com/as1antas","@as1antas")</f>
        <v>@as1antas</v>
      </c>
      <c r="C4075" s="7" t="s">
        <v>21087</v>
      </c>
      <c r="D4075" s="7" t="s">
        <v>21088</v>
      </c>
      <c r="E4075" s="12" t="str">
        <f>HYPERLINK("https://twitter.com/as1antas/status/1181873410240106497","1181873410240106497")</f>
        <v>1181873410240106497</v>
      </c>
      <c r="F4075" s="8"/>
      <c r="G4075" s="14" t="s">
        <v>21089</v>
      </c>
      <c r="H4075" s="8"/>
      <c r="I4075" s="15">
        <v>0</v>
      </c>
      <c r="J4075" s="15">
        <v>3</v>
      </c>
      <c r="K4075" s="12" t="str">
        <f>HYPERLINK("http://twitter.com/download/android","Twitter for Android")</f>
        <v>Twitter for Android</v>
      </c>
      <c r="L4075" s="16">
        <v>407</v>
      </c>
      <c r="M4075" s="16">
        <v>375</v>
      </c>
      <c r="N4075" s="16">
        <v>0</v>
      </c>
      <c r="O4075" s="17"/>
      <c r="P4075" s="18">
        <v>43454.830150462964</v>
      </c>
      <c r="Q4075" s="7" t="s">
        <v>1639</v>
      </c>
      <c r="R4075" s="7" t="s">
        <v>21090</v>
      </c>
      <c r="S4075" s="15"/>
      <c r="T4075" s="8"/>
      <c r="U4075" s="19" t="str">
        <f>HYPERLINK("https://pbs.twimg.com/profile_images/1175085631283896320/0ZV7yN92.jpg","View")</f>
        <v>View</v>
      </c>
      <c r="V4075" s="8"/>
      <c r="W4075" s="8"/>
      <c r="X4075" s="8"/>
      <c r="Y4075" s="8"/>
      <c r="Z4075" s="8"/>
    </row>
    <row r="4076" spans="1:26" ht="12.75">
      <c r="A4076" s="11">
        <v>43747.129027777773</v>
      </c>
      <c r="B4076" s="12" t="str">
        <f>HYPERLINK("https://twitter.com/mssaritunc","@mssaritunc")</f>
        <v>@mssaritunc</v>
      </c>
      <c r="C4076" s="7" t="s">
        <v>21091</v>
      </c>
      <c r="D4076" s="7" t="s">
        <v>21092</v>
      </c>
      <c r="E4076" s="12" t="str">
        <f>HYPERLINK("https://twitter.com/mssaritunc/status/1181873387326582785","1181873387326582785")</f>
        <v>1181873387326582785</v>
      </c>
      <c r="F4076" s="8"/>
      <c r="G4076" s="7"/>
      <c r="H4076" s="8"/>
      <c r="I4076" s="15">
        <v>0</v>
      </c>
      <c r="J4076" s="15">
        <v>1</v>
      </c>
      <c r="K4076" s="12" t="str">
        <f>HYPERLINK("http://twitter.com/download/android","Twitter for Android")</f>
        <v>Twitter for Android</v>
      </c>
      <c r="L4076" s="16">
        <v>110</v>
      </c>
      <c r="M4076" s="16">
        <v>45</v>
      </c>
      <c r="N4076" s="16">
        <v>0</v>
      </c>
      <c r="O4076" s="17"/>
      <c r="P4076" s="18">
        <v>41708.380208333336</v>
      </c>
      <c r="Q4076" s="7" t="s">
        <v>685</v>
      </c>
      <c r="R4076" s="7" t="s">
        <v>21093</v>
      </c>
      <c r="S4076" s="8"/>
      <c r="T4076" s="8"/>
      <c r="U4076" s="19" t="str">
        <f>HYPERLINK("https://pbs.twimg.com/profile_images/1180551650492256257/HNO3UhmJ.jpg","View")</f>
        <v>View</v>
      </c>
      <c r="V4076" s="8"/>
      <c r="W4076" s="8"/>
      <c r="X4076" s="8"/>
      <c r="Y4076" s="8"/>
      <c r="Z4076" s="8"/>
    </row>
    <row r="4077" spans="1:26" ht="12.75">
      <c r="A4077" s="11">
        <v>43747.129004629634</v>
      </c>
      <c r="B4077" s="12" t="str">
        <f>HYPERLINK("https://twitter.com/Emirdagistan","@Emirdagistan")</f>
        <v>@Emirdagistan</v>
      </c>
      <c r="C4077" s="7" t="s">
        <v>21094</v>
      </c>
      <c r="D4077" s="7" t="s">
        <v>21095</v>
      </c>
      <c r="E4077" s="12" t="str">
        <f>HYPERLINK("https://twitter.com/Emirdagistan/status/1181873381672652801","1181873381672652801")</f>
        <v>1181873381672652801</v>
      </c>
      <c r="F4077" s="8"/>
      <c r="G4077" s="15"/>
      <c r="H4077" s="8"/>
      <c r="I4077" s="15">
        <v>0</v>
      </c>
      <c r="J4077" s="15">
        <v>0</v>
      </c>
      <c r="K4077" s="12" t="str">
        <f>HYPERLINK("http://twitter.com/download/android","Twitter for Android")</f>
        <v>Twitter for Android</v>
      </c>
      <c r="L4077" s="16">
        <v>1495</v>
      </c>
      <c r="M4077" s="16">
        <v>1651</v>
      </c>
      <c r="N4077" s="16">
        <v>1</v>
      </c>
      <c r="O4077" s="17"/>
      <c r="P4077" s="18">
        <v>41625.616678240738</v>
      </c>
      <c r="Q4077" s="7" t="s">
        <v>21096</v>
      </c>
      <c r="R4077" s="7" t="s">
        <v>21097</v>
      </c>
      <c r="S4077" s="15"/>
      <c r="T4077" s="8"/>
      <c r="U4077" s="19" t="str">
        <f>HYPERLINK("https://pbs.twimg.com/profile_images/1180790588762968065/qDnpuNVa.jpg","View")</f>
        <v>View</v>
      </c>
      <c r="V4077" s="8"/>
      <c r="W4077" s="8"/>
      <c r="X4077" s="8"/>
      <c r="Y4077" s="8"/>
      <c r="Z4077" s="8"/>
    </row>
    <row r="4078" spans="1:26" ht="12.75">
      <c r="A4078" s="11">
        <v>43747.12899305555</v>
      </c>
      <c r="B4078" s="12" t="str">
        <f>HYPERLINK("https://twitter.com/elifkislakci","@elifkislakci")</f>
        <v>@elifkislakci</v>
      </c>
      <c r="C4078" s="7" t="s">
        <v>21098</v>
      </c>
      <c r="D4078" s="7" t="s">
        <v>21099</v>
      </c>
      <c r="E4078" s="12" t="str">
        <f>HYPERLINK("https://twitter.com/elifkislakci/status/1181873376719179776","1181873376719179776")</f>
        <v>1181873376719179776</v>
      </c>
      <c r="F4078" s="8"/>
      <c r="G4078" s="14" t="s">
        <v>20883</v>
      </c>
      <c r="H4078" s="8"/>
      <c r="I4078" s="15">
        <v>0</v>
      </c>
      <c r="J4078" s="15">
        <v>6</v>
      </c>
      <c r="K4078" s="12" t="str">
        <f>HYPERLINK("http://twitter.com/download/android","Twitter for Android")</f>
        <v>Twitter for Android</v>
      </c>
      <c r="L4078" s="16">
        <v>284</v>
      </c>
      <c r="M4078" s="16">
        <v>135</v>
      </c>
      <c r="N4078" s="16">
        <v>1</v>
      </c>
      <c r="O4078" s="17"/>
      <c r="P4078" s="18">
        <v>40896.282395833332</v>
      </c>
      <c r="Q4078" s="7"/>
      <c r="R4078" s="7" t="s">
        <v>21100</v>
      </c>
      <c r="S4078" s="14" t="s">
        <v>21101</v>
      </c>
      <c r="T4078" s="8"/>
      <c r="U4078" s="19" t="str">
        <f>HYPERLINK("https://pbs.twimg.com/profile_images/1123659798652780546/RbGZPrsR.jpg","View")</f>
        <v>View</v>
      </c>
      <c r="V4078" s="8"/>
      <c r="W4078" s="8"/>
      <c r="X4078" s="8"/>
      <c r="Y4078" s="8"/>
      <c r="Z4078" s="8"/>
    </row>
    <row r="4079" spans="1:26" ht="12.75">
      <c r="A4079" s="11">
        <v>43747.128877314812</v>
      </c>
      <c r="B4079" s="12" t="str">
        <f>HYPERLINK("https://twitter.com/tarimnazmi","@tarimnazmi")</f>
        <v>@tarimnazmi</v>
      </c>
      <c r="C4079" s="7" t="s">
        <v>21102</v>
      </c>
      <c r="D4079" s="7" t="s">
        <v>21103</v>
      </c>
      <c r="E4079" s="12" t="str">
        <f>HYPERLINK("https://twitter.com/tarimnazmi/status/1181873333530513408","1181873333530513408")</f>
        <v>1181873333530513408</v>
      </c>
      <c r="F4079" s="8"/>
      <c r="G4079" s="14" t="s">
        <v>21104</v>
      </c>
      <c r="H4079" s="8"/>
      <c r="I4079" s="15">
        <v>5</v>
      </c>
      <c r="J4079" s="15">
        <v>25</v>
      </c>
      <c r="K4079" s="12" t="str">
        <f>HYPERLINK("http://twitter.com/download/android","Twitter for Android")</f>
        <v>Twitter for Android</v>
      </c>
      <c r="L4079" s="16">
        <v>318</v>
      </c>
      <c r="M4079" s="16">
        <v>91</v>
      </c>
      <c r="N4079" s="16">
        <v>2</v>
      </c>
      <c r="O4079" s="17"/>
      <c r="P4079" s="18">
        <v>43316.142766203702</v>
      </c>
      <c r="Q4079" s="7" t="s">
        <v>21105</v>
      </c>
      <c r="R4079" s="7" t="s">
        <v>21106</v>
      </c>
      <c r="S4079" s="14" t="s">
        <v>21107</v>
      </c>
      <c r="T4079" s="8"/>
      <c r="U4079" s="19" t="str">
        <f>HYPERLINK("https://pbs.twimg.com/profile_images/1169951065711792128/7xu1NJ2z.jpg","View")</f>
        <v>View</v>
      </c>
      <c r="V4079" s="8"/>
      <c r="W4079" s="8"/>
      <c r="X4079" s="8"/>
      <c r="Y4079" s="8"/>
      <c r="Z4079" s="8"/>
    </row>
    <row r="4080" spans="1:26" ht="12.75">
      <c r="A4080" s="11">
        <v>43747.128842592589</v>
      </c>
      <c r="B4080" s="12" t="str">
        <f>HYPERLINK("https://twitter.com/agustlord","@agustlord")</f>
        <v>@agustlord</v>
      </c>
      <c r="C4080" s="7" t="s">
        <v>21108</v>
      </c>
      <c r="D4080" s="7" t="s">
        <v>21109</v>
      </c>
      <c r="E4080" s="12" t="str">
        <f>HYPERLINK("https://twitter.com/agustlord/status/1181873321631272963","1181873321631272963")</f>
        <v>1181873321631272963</v>
      </c>
      <c r="F4080" s="8"/>
      <c r="G4080" s="15"/>
      <c r="H4080" s="8"/>
      <c r="I4080" s="15">
        <v>0</v>
      </c>
      <c r="J4080" s="15">
        <v>0</v>
      </c>
      <c r="K4080" s="12" t="str">
        <f>HYPERLINK("http://twitter.com/download/iphone","Twitter for iPhone")</f>
        <v>Twitter for iPhone</v>
      </c>
      <c r="L4080" s="16">
        <v>532</v>
      </c>
      <c r="M4080" s="16">
        <v>291</v>
      </c>
      <c r="N4080" s="16">
        <v>4</v>
      </c>
      <c r="O4080" s="17"/>
      <c r="P4080" s="18">
        <v>42993.269976851851</v>
      </c>
      <c r="Q4080" s="7" t="s">
        <v>21110</v>
      </c>
      <c r="R4080" s="7" t="s">
        <v>21111</v>
      </c>
      <c r="S4080" s="8"/>
      <c r="T4080" s="8"/>
      <c r="U4080" s="19" t="str">
        <f>HYPERLINK("https://pbs.twimg.com/profile_images/1172861752108867586/9TZWzMYv.jpg","View")</f>
        <v>View</v>
      </c>
      <c r="V4080" s="8"/>
      <c r="W4080" s="8"/>
      <c r="X4080" s="8"/>
      <c r="Y4080" s="8"/>
      <c r="Z4080" s="8"/>
    </row>
    <row r="4081" spans="1:26" ht="12.75">
      <c r="A4081" s="11">
        <v>43747.128807870366</v>
      </c>
      <c r="B4081" s="12" t="str">
        <f>HYPERLINK("https://twitter.com/FDilaveroglu61","@FDilaveroglu61")</f>
        <v>@FDilaveroglu61</v>
      </c>
      <c r="C4081" s="7" t="s">
        <v>21112</v>
      </c>
      <c r="D4081" s="7" t="s">
        <v>21113</v>
      </c>
      <c r="E4081" s="12" t="str">
        <f>HYPERLINK("https://twitter.com/FDilaveroglu61/status/1181873308435976192","1181873308435976192")</f>
        <v>1181873308435976192</v>
      </c>
      <c r="F4081" s="8"/>
      <c r="G4081" s="14" t="s">
        <v>21114</v>
      </c>
      <c r="H4081" s="8"/>
      <c r="I4081" s="15">
        <v>2</v>
      </c>
      <c r="J4081" s="15">
        <v>8</v>
      </c>
      <c r="K4081" s="12" t="str">
        <f>HYPERLINK("http://twitter.com/download/android","Twitter for Android")</f>
        <v>Twitter for Android</v>
      </c>
      <c r="L4081" s="16">
        <v>542</v>
      </c>
      <c r="M4081" s="16">
        <v>214</v>
      </c>
      <c r="N4081" s="16">
        <v>1</v>
      </c>
      <c r="O4081" s="17"/>
      <c r="P4081" s="18">
        <v>42006.381932870368</v>
      </c>
      <c r="Q4081" s="7"/>
      <c r="R4081" s="7" t="s">
        <v>21115</v>
      </c>
      <c r="S4081" s="8"/>
      <c r="T4081" s="8"/>
      <c r="U4081" s="19" t="str">
        <f>HYPERLINK("https://pbs.twimg.com/profile_images/1178242260049235969/oKP8kwn0.jpg","View")</f>
        <v>View</v>
      </c>
      <c r="V4081" s="8"/>
      <c r="W4081" s="8"/>
      <c r="X4081" s="8"/>
      <c r="Y4081" s="8"/>
      <c r="Z4081" s="8"/>
    </row>
    <row r="4082" spans="1:26" ht="12.75">
      <c r="A4082" s="11">
        <v>43747.128761574073</v>
      </c>
      <c r="B4082" s="12" t="str">
        <f>HYPERLINK("https://twitter.com/1incimehmet","@1incimehmet")</f>
        <v>@1incimehmet</v>
      </c>
      <c r="C4082" s="7" t="s">
        <v>21116</v>
      </c>
      <c r="D4082" s="7" t="s">
        <v>21117</v>
      </c>
      <c r="E4082" s="12" t="str">
        <f>HYPERLINK("https://twitter.com/1incimehmet/status/1181873292065562624","1181873292065562624")</f>
        <v>1181873292065562624</v>
      </c>
      <c r="F4082" s="8"/>
      <c r="G4082" s="7"/>
      <c r="H4082" s="8"/>
      <c r="I4082" s="15">
        <v>0</v>
      </c>
      <c r="J4082" s="15">
        <v>1</v>
      </c>
      <c r="K4082" s="12" t="str">
        <f>HYPERLINK("http://twitter.com/download/android","Twitter for Android")</f>
        <v>Twitter for Android</v>
      </c>
      <c r="L4082" s="16">
        <v>40</v>
      </c>
      <c r="M4082" s="16">
        <v>38</v>
      </c>
      <c r="N4082" s="16">
        <v>0</v>
      </c>
      <c r="O4082" s="17"/>
      <c r="P4082" s="18">
        <v>42233.248414351852</v>
      </c>
      <c r="Q4082" s="7" t="s">
        <v>445</v>
      </c>
      <c r="R4082" s="7" t="s">
        <v>21118</v>
      </c>
      <c r="S4082" s="14" t="s">
        <v>21119</v>
      </c>
      <c r="T4082" s="8"/>
      <c r="U4082" s="19" t="str">
        <f>HYPERLINK("https://pbs.twimg.com/profile_images/1172632616358600705/aqBrzbBz.jpg","View")</f>
        <v>View</v>
      </c>
      <c r="V4082" s="8"/>
      <c r="W4082" s="8"/>
      <c r="X4082" s="8"/>
      <c r="Y4082" s="8"/>
      <c r="Z4082" s="8"/>
    </row>
    <row r="4083" spans="1:26" ht="12.75">
      <c r="A4083" s="11">
        <v>43747.12871527778</v>
      </c>
      <c r="B4083" s="12" t="str">
        <f>HYPERLINK("https://twitter.com/dtsblmt","@dtsblmt")</f>
        <v>@dtsblmt</v>
      </c>
      <c r="C4083" s="7" t="s">
        <v>21120</v>
      </c>
      <c r="D4083" s="7" t="s">
        <v>21121</v>
      </c>
      <c r="E4083" s="12" t="str">
        <f>HYPERLINK("https://twitter.com/dtsblmt/status/1181873275732934657","1181873275732934657")</f>
        <v>1181873275732934657</v>
      </c>
      <c r="F4083" s="8"/>
      <c r="G4083" s="15"/>
      <c r="H4083" s="8"/>
      <c r="I4083" s="15">
        <v>0</v>
      </c>
      <c r="J4083" s="15">
        <v>0</v>
      </c>
      <c r="K4083" s="12" t="str">
        <f>HYPERLINK("http://twitter.com/download/iphone","Twitter for iPhone")</f>
        <v>Twitter for iPhone</v>
      </c>
      <c r="L4083" s="16">
        <v>77</v>
      </c>
      <c r="M4083" s="16">
        <v>180</v>
      </c>
      <c r="N4083" s="16">
        <v>0</v>
      </c>
      <c r="O4083" s="17"/>
      <c r="P4083" s="18">
        <v>41103.026423611111</v>
      </c>
      <c r="Q4083" s="7"/>
      <c r="R4083" s="7" t="s">
        <v>21122</v>
      </c>
      <c r="S4083" s="8"/>
      <c r="T4083" s="8"/>
      <c r="U4083" s="19" t="str">
        <f>HYPERLINK("https://pbs.twimg.com/profile_images/700085061849374721/rYbTpHtc.jpg","View")</f>
        <v>View</v>
      </c>
      <c r="V4083" s="8"/>
      <c r="W4083" s="8"/>
      <c r="X4083" s="8"/>
      <c r="Y4083" s="8"/>
      <c r="Z4083" s="8"/>
    </row>
    <row r="4084" spans="1:26" ht="12.75">
      <c r="A4084" s="11">
        <v>43747.12871527778</v>
      </c>
      <c r="B4084" s="12" t="str">
        <f>HYPERLINK("https://twitter.com/TurkPolisiTC","@TurkPolisiTC")</f>
        <v>@TurkPolisiTC</v>
      </c>
      <c r="C4084" s="7" t="s">
        <v>21123</v>
      </c>
      <c r="D4084" s="7" t="s">
        <v>21124</v>
      </c>
      <c r="E4084" s="12" t="str">
        <f>HYPERLINK("https://twitter.com/TurkPolisiTC/status/1181873274290089984","1181873274290089984")</f>
        <v>1181873274290089984</v>
      </c>
      <c r="F4084" s="8"/>
      <c r="G4084" s="15"/>
      <c r="H4084" s="8"/>
      <c r="I4084" s="15">
        <v>16</v>
      </c>
      <c r="J4084" s="15">
        <v>126</v>
      </c>
      <c r="K4084" s="12" t="str">
        <f>HYPERLINK("http://twitter.com/download/android","Twitter for Android")</f>
        <v>Twitter for Android</v>
      </c>
      <c r="L4084" s="16">
        <v>43893</v>
      </c>
      <c r="M4084" s="16">
        <v>162</v>
      </c>
      <c r="N4084" s="16">
        <v>55</v>
      </c>
      <c r="O4084" s="17"/>
      <c r="P4084" s="18">
        <v>42105.482175925921</v>
      </c>
      <c r="Q4084" s="7"/>
      <c r="R4084" s="7" t="s">
        <v>21125</v>
      </c>
      <c r="S4084" s="14" t="s">
        <v>21126</v>
      </c>
      <c r="T4084" s="8"/>
      <c r="U4084" s="19" t="str">
        <f>HYPERLINK("https://pbs.twimg.com/profile_images/878848639363407872/ARosE4k6.jpg","View")</f>
        <v>View</v>
      </c>
      <c r="V4084" s="8"/>
      <c r="W4084" s="8"/>
      <c r="X4084" s="8"/>
      <c r="Y4084" s="8"/>
      <c r="Z4084" s="8"/>
    </row>
    <row r="4085" spans="1:26" ht="12.75">
      <c r="A4085" s="11">
        <v>43747.128692129627</v>
      </c>
      <c r="B4085" s="12" t="str">
        <f>HYPERLINK("https://twitter.com/odabas_mustafaa","@odabas_mustafaa")</f>
        <v>@odabas_mustafaa</v>
      </c>
      <c r="C4085" s="7" t="s">
        <v>21127</v>
      </c>
      <c r="D4085" s="7" t="s">
        <v>21128</v>
      </c>
      <c r="E4085" s="12" t="str">
        <f>HYPERLINK("https://twitter.com/odabas_mustafaa/status/1181873264978726914","1181873264978726914")</f>
        <v>1181873264978726914</v>
      </c>
      <c r="F4085" s="8"/>
      <c r="G4085" s="14" t="s">
        <v>21129</v>
      </c>
      <c r="H4085" s="8"/>
      <c r="I4085" s="15">
        <v>0</v>
      </c>
      <c r="J4085" s="15">
        <v>4</v>
      </c>
      <c r="K4085" s="12" t="str">
        <f>HYPERLINK("http://twitter.com/download/android","Twitter for Android")</f>
        <v>Twitter for Android</v>
      </c>
      <c r="L4085" s="16">
        <v>91</v>
      </c>
      <c r="M4085" s="16">
        <v>112</v>
      </c>
      <c r="N4085" s="16">
        <v>0</v>
      </c>
      <c r="O4085" s="17"/>
      <c r="P4085" s="18">
        <v>43061.308368055557</v>
      </c>
      <c r="Q4085" s="7" t="s">
        <v>21130</v>
      </c>
      <c r="R4085" s="7" t="s">
        <v>21131</v>
      </c>
      <c r="S4085" s="14" t="s">
        <v>21132</v>
      </c>
      <c r="T4085" s="8"/>
      <c r="U4085" s="19" t="str">
        <f>HYPERLINK("https://pbs.twimg.com/profile_images/1165289172086722561/pr6tEazM.jpg","View")</f>
        <v>View</v>
      </c>
      <c r="V4085" s="8"/>
      <c r="W4085" s="8"/>
      <c r="X4085" s="8"/>
      <c r="Y4085" s="8"/>
      <c r="Z4085" s="8"/>
    </row>
    <row r="4086" spans="1:26" ht="12.75">
      <c r="A4086" s="11">
        <v>43747.128634259258</v>
      </c>
      <c r="B4086" s="12" t="str">
        <f>HYPERLINK("https://twitter.com/kycngz","@kycngz")</f>
        <v>@kycngz</v>
      </c>
      <c r="C4086" s="7" t="s">
        <v>4643</v>
      </c>
      <c r="D4086" s="7" t="s">
        <v>160</v>
      </c>
      <c r="E4086" s="12" t="str">
        <f>HYPERLINK("https://twitter.com/kycngz/status/1181873246649622528","1181873246649622528")</f>
        <v>1181873246649622528</v>
      </c>
      <c r="F4086" s="8"/>
      <c r="G4086" s="14" t="s">
        <v>21133</v>
      </c>
      <c r="H4086" s="8"/>
      <c r="I4086" s="15">
        <v>0</v>
      </c>
      <c r="J4086" s="15">
        <v>3</v>
      </c>
      <c r="K4086" s="12" t="str">
        <f>HYPERLINK("http://twitter.com/download/iphone","Twitter for iPhone")</f>
        <v>Twitter for iPhone</v>
      </c>
      <c r="L4086" s="16">
        <v>197</v>
      </c>
      <c r="M4086" s="16">
        <v>55</v>
      </c>
      <c r="N4086" s="16">
        <v>0</v>
      </c>
      <c r="O4086" s="17"/>
      <c r="P4086" s="18">
        <v>40917.307152777779</v>
      </c>
      <c r="Q4086" s="7"/>
      <c r="R4086" s="7" t="s">
        <v>21134</v>
      </c>
      <c r="S4086" s="8"/>
      <c r="T4086" s="8"/>
      <c r="U4086" s="19" t="str">
        <f>HYPERLINK("https://pbs.twimg.com/profile_images/1163772737531387904/d0ylGx9Q.jpg","View")</f>
        <v>View</v>
      </c>
      <c r="V4086" s="8"/>
      <c r="W4086" s="8"/>
      <c r="X4086" s="8"/>
      <c r="Y4086" s="8"/>
      <c r="Z4086" s="8"/>
    </row>
    <row r="4087" spans="1:26" ht="12.75">
      <c r="A4087" s="11">
        <v>43747.128587962958</v>
      </c>
      <c r="B4087" s="12" t="str">
        <f>HYPERLINK("https://twitter.com/alirza99","@alirza99")</f>
        <v>@alirza99</v>
      </c>
      <c r="C4087" s="7" t="s">
        <v>21135</v>
      </c>
      <c r="D4087" s="7" t="s">
        <v>21136</v>
      </c>
      <c r="E4087" s="12" t="str">
        <f>HYPERLINK("https://twitter.com/alirza99/status/1181873227460759554","1181873227460759554")</f>
        <v>1181873227460759554</v>
      </c>
      <c r="F4087" s="8"/>
      <c r="G4087" s="14" t="s">
        <v>21137</v>
      </c>
      <c r="H4087" s="8"/>
      <c r="I4087" s="15">
        <v>0</v>
      </c>
      <c r="J4087" s="15">
        <v>1</v>
      </c>
      <c r="K4087" s="12" t="str">
        <f>HYPERLINK("http://twitter.com/download/android","Twitter for Android")</f>
        <v>Twitter for Android</v>
      </c>
      <c r="L4087" s="16">
        <v>199</v>
      </c>
      <c r="M4087" s="16">
        <v>269</v>
      </c>
      <c r="N4087" s="16">
        <v>0</v>
      </c>
      <c r="O4087" s="17"/>
      <c r="P4087" s="18">
        <v>40190.489247685182</v>
      </c>
      <c r="Q4087" s="7" t="s">
        <v>21138</v>
      </c>
      <c r="R4087" s="7" t="s">
        <v>21139</v>
      </c>
      <c r="S4087" s="14" t="s">
        <v>21140</v>
      </c>
      <c r="T4087" s="8"/>
      <c r="U4087" s="19" t="str">
        <f>HYPERLINK("https://pbs.twimg.com/profile_images/1178024790164156416/XytWBdaA.jpg","View")</f>
        <v>View</v>
      </c>
      <c r="V4087" s="8"/>
      <c r="W4087" s="8"/>
      <c r="X4087" s="8"/>
      <c r="Y4087" s="8"/>
      <c r="Z4087" s="8"/>
    </row>
    <row r="4088" spans="1:26" ht="12.75">
      <c r="A4088" s="11">
        <v>43747.128576388888</v>
      </c>
      <c r="B4088" s="12" t="str">
        <f>HYPERLINK("https://twitter.com/yerlistifler","@yerlistifler")</f>
        <v>@yerlistifler</v>
      </c>
      <c r="C4088" s="7" t="s">
        <v>21141</v>
      </c>
      <c r="D4088" s="7" t="s">
        <v>21142</v>
      </c>
      <c r="E4088" s="12" t="str">
        <f>HYPERLINK("https://twitter.com/yerlistifler/status/1181873226315702273","1181873226315702273")</f>
        <v>1181873226315702273</v>
      </c>
      <c r="F4088" s="8"/>
      <c r="G4088" s="14" t="s">
        <v>21143</v>
      </c>
      <c r="H4088" s="8"/>
      <c r="I4088" s="15">
        <v>0</v>
      </c>
      <c r="J4088" s="15">
        <v>2</v>
      </c>
      <c r="K4088" s="12" t="str">
        <f>HYPERLINK("http://twitter.com/download/iphone","Twitter for iPhone")</f>
        <v>Twitter for iPhone</v>
      </c>
      <c r="L4088" s="16">
        <v>742</v>
      </c>
      <c r="M4088" s="16">
        <v>578</v>
      </c>
      <c r="N4088" s="16">
        <v>2</v>
      </c>
      <c r="O4088" s="17"/>
      <c r="P4088" s="18">
        <v>41151.663032407407</v>
      </c>
      <c r="Q4088" s="7" t="s">
        <v>498</v>
      </c>
      <c r="R4088" s="7" t="s">
        <v>21144</v>
      </c>
      <c r="S4088" s="14" t="s">
        <v>21145</v>
      </c>
      <c r="T4088" s="8"/>
      <c r="U4088" s="19" t="str">
        <f>HYPERLINK("https://pbs.twimg.com/profile_images/1174452404185640962/JT-im7Rq.jpg","View")</f>
        <v>View</v>
      </c>
      <c r="V4088" s="8"/>
      <c r="W4088" s="8"/>
      <c r="X4088" s="8"/>
      <c r="Y4088" s="8"/>
      <c r="Z4088" s="8"/>
    </row>
    <row r="4089" spans="1:26" ht="12.75">
      <c r="A4089" s="11">
        <v>43747.128460648149</v>
      </c>
      <c r="B4089" s="12" t="str">
        <f>HYPERLINK("https://twitter.com/atakanaydin1907","@atakanaydin1907")</f>
        <v>@atakanaydin1907</v>
      </c>
      <c r="C4089" s="7" t="s">
        <v>21146</v>
      </c>
      <c r="D4089" s="7" t="s">
        <v>21147</v>
      </c>
      <c r="E4089" s="12" t="str">
        <f>HYPERLINK("https://twitter.com/atakanaydin1907/status/1181873180522229760","1181873180522229760")</f>
        <v>1181873180522229760</v>
      </c>
      <c r="F4089" s="8"/>
      <c r="G4089" s="7"/>
      <c r="H4089" s="8"/>
      <c r="I4089" s="15">
        <v>0</v>
      </c>
      <c r="J4089" s="15">
        <v>2</v>
      </c>
      <c r="K4089" s="12" t="str">
        <f>HYPERLINK("http://twitter.com/download/android","Twitter for Android")</f>
        <v>Twitter for Android</v>
      </c>
      <c r="L4089" s="16">
        <v>77</v>
      </c>
      <c r="M4089" s="16">
        <v>105</v>
      </c>
      <c r="N4089" s="16">
        <v>0</v>
      </c>
      <c r="O4089" s="17"/>
      <c r="P4089" s="18">
        <v>41952.868009259255</v>
      </c>
      <c r="Q4089" s="7" t="s">
        <v>5678</v>
      </c>
      <c r="R4089" s="7"/>
      <c r="S4089" s="15"/>
      <c r="T4089" s="8"/>
      <c r="U4089" s="19" t="str">
        <f>HYPERLINK("https://pbs.twimg.com/profile_images/904985281434144768/zNCE3KfL.jpg","View")</f>
        <v>View</v>
      </c>
      <c r="V4089" s="8"/>
      <c r="W4089" s="8"/>
      <c r="X4089" s="8"/>
      <c r="Y4089" s="8"/>
      <c r="Z4089" s="8"/>
    </row>
    <row r="4090" spans="1:26" ht="12.75">
      <c r="A4090" s="11">
        <v>43747.128449074073</v>
      </c>
      <c r="B4090" s="12" t="str">
        <f>HYPERLINK("https://twitter.com/metyye","@metyye")</f>
        <v>@metyye</v>
      </c>
      <c r="C4090" s="7" t="s">
        <v>21148</v>
      </c>
      <c r="D4090" s="7" t="s">
        <v>21149</v>
      </c>
      <c r="E4090" s="12" t="str">
        <f>HYPERLINK("https://twitter.com/metyye/status/1181873180325142529","1181873180325142529")</f>
        <v>1181873180325142529</v>
      </c>
      <c r="F4090" s="7"/>
      <c r="G4090" s="7"/>
      <c r="H4090" s="8"/>
      <c r="I4090" s="15">
        <v>0</v>
      </c>
      <c r="J4090" s="15">
        <v>7</v>
      </c>
      <c r="K4090" s="12" t="str">
        <f>HYPERLINK("http://twitter.com/download/iphone","Twitter for iPhone")</f>
        <v>Twitter for iPhone</v>
      </c>
      <c r="L4090" s="16">
        <v>961</v>
      </c>
      <c r="M4090" s="16">
        <v>1618</v>
      </c>
      <c r="N4090" s="16">
        <v>0</v>
      </c>
      <c r="O4090" s="17"/>
      <c r="P4090" s="18">
        <v>40270.439085648148</v>
      </c>
      <c r="Q4090" s="7" t="s">
        <v>860</v>
      </c>
      <c r="R4090" s="7"/>
      <c r="S4090" s="8"/>
      <c r="T4090" s="8"/>
      <c r="U4090" s="19" t="str">
        <f>HYPERLINK("https://pbs.twimg.com/profile_images/1146444712276123648/Qh_rOw-z.jpg","View")</f>
        <v>View</v>
      </c>
      <c r="V4090" s="8"/>
      <c r="W4090" s="8"/>
      <c r="X4090" s="8"/>
      <c r="Y4090" s="8"/>
      <c r="Z4090" s="8"/>
    </row>
    <row r="4091" spans="1:26" ht="12.75">
      <c r="A4091" s="11">
        <v>43747.128402777773</v>
      </c>
      <c r="B4091" s="12" t="str">
        <f>HYPERLINK("https://twitter.com/drdane79564463","@drdane79564463")</f>
        <v>@drdane79564463</v>
      </c>
      <c r="C4091" s="7" t="s">
        <v>21150</v>
      </c>
      <c r="D4091" s="7" t="s">
        <v>21151</v>
      </c>
      <c r="E4091" s="12" t="str">
        <f>HYPERLINK("https://twitter.com/drdane79564463/status/1181873159714283526","1181873159714283526")</f>
        <v>1181873159714283526</v>
      </c>
      <c r="F4091" s="8"/>
      <c r="G4091" s="7"/>
      <c r="H4091" s="8"/>
      <c r="I4091" s="15">
        <v>0</v>
      </c>
      <c r="J4091" s="15">
        <v>0</v>
      </c>
      <c r="K4091" s="12" t="str">
        <f>HYPERLINK("http://twitter.com/download/android","Twitter for Android")</f>
        <v>Twitter for Android</v>
      </c>
      <c r="L4091" s="16">
        <v>171</v>
      </c>
      <c r="M4091" s="16">
        <v>207</v>
      </c>
      <c r="N4091" s="16">
        <v>0</v>
      </c>
      <c r="O4091" s="17"/>
      <c r="P4091" s="18">
        <v>43681.354907407411</v>
      </c>
      <c r="Q4091" s="7"/>
      <c r="R4091" s="7"/>
      <c r="S4091" s="8"/>
      <c r="T4091" s="8"/>
      <c r="U4091" s="19" t="str">
        <f>HYPERLINK("https://pbs.twimg.com/profile_images/1160244769211199488/TXgQWDH-.jpg","View")</f>
        <v>View</v>
      </c>
      <c r="V4091" s="8"/>
      <c r="W4091" s="8"/>
      <c r="X4091" s="8"/>
      <c r="Y4091" s="8"/>
      <c r="Z4091" s="8"/>
    </row>
    <row r="4092" spans="1:26" ht="12.75">
      <c r="A4092" s="11">
        <v>43747.128379629634</v>
      </c>
      <c r="B4092" s="12" t="str">
        <f>HYPERLINK("https://twitter.com/nruveyda_","@nruveyda_")</f>
        <v>@nruveyda_</v>
      </c>
      <c r="C4092" s="7" t="s">
        <v>21152</v>
      </c>
      <c r="D4092" s="7" t="s">
        <v>21153</v>
      </c>
      <c r="E4092" s="12" t="str">
        <f>HYPERLINK("https://twitter.com/nruveyda_/status/1181873154328797184","1181873154328797184")</f>
        <v>1181873154328797184</v>
      </c>
      <c r="F4092" s="8"/>
      <c r="G4092" s="14" t="s">
        <v>21154</v>
      </c>
      <c r="H4092" s="8"/>
      <c r="I4092" s="15">
        <v>0</v>
      </c>
      <c r="J4092" s="15">
        <v>15</v>
      </c>
      <c r="K4092" s="12" t="str">
        <f>HYPERLINK("http://twitter.com/download/android","Twitter for Android")</f>
        <v>Twitter for Android</v>
      </c>
      <c r="L4092" s="16">
        <v>10298</v>
      </c>
      <c r="M4092" s="16">
        <v>6801</v>
      </c>
      <c r="N4092" s="16">
        <v>3</v>
      </c>
      <c r="O4092" s="17"/>
      <c r="P4092" s="18">
        <v>43440.462511574078</v>
      </c>
      <c r="Q4092" s="7" t="s">
        <v>21155</v>
      </c>
      <c r="R4092" s="7" t="s">
        <v>21156</v>
      </c>
      <c r="S4092" s="8"/>
      <c r="T4092" s="8"/>
      <c r="U4092" s="19" t="str">
        <f>HYPERLINK("https://pbs.twimg.com/profile_images/1179100337514405888/XqsiTard.jpg","View")</f>
        <v>View</v>
      </c>
      <c r="V4092" s="8"/>
      <c r="W4092" s="8"/>
      <c r="X4092" s="8"/>
      <c r="Y4092" s="8"/>
      <c r="Z4092" s="8"/>
    </row>
    <row r="4093" spans="1:26" ht="12.75">
      <c r="A4093" s="11">
        <v>43747.128194444449</v>
      </c>
      <c r="B4093" s="12" t="str">
        <f>HYPERLINK("https://twitter.com/Abdullahser5","@Abdullahser5")</f>
        <v>@Abdullahser5</v>
      </c>
      <c r="C4093" s="7" t="s">
        <v>21157</v>
      </c>
      <c r="D4093" s="7" t="s">
        <v>13923</v>
      </c>
      <c r="E4093" s="12" t="str">
        <f>HYPERLINK("https://twitter.com/Abdullahser5/status/1181873085961650177","1181873085961650177")</f>
        <v>1181873085961650177</v>
      </c>
      <c r="F4093" s="8"/>
      <c r="G4093" s="14" t="s">
        <v>21158</v>
      </c>
      <c r="H4093" s="8"/>
      <c r="I4093" s="15">
        <v>1</v>
      </c>
      <c r="J4093" s="15">
        <v>3</v>
      </c>
      <c r="K4093" s="12" t="str">
        <f>HYPERLINK("http://twitter.com/download/iphone","Twitter for iPhone")</f>
        <v>Twitter for iPhone</v>
      </c>
      <c r="L4093" s="16">
        <v>37</v>
      </c>
      <c r="M4093" s="16">
        <v>37</v>
      </c>
      <c r="N4093" s="16">
        <v>0</v>
      </c>
      <c r="O4093" s="17"/>
      <c r="P4093" s="18">
        <v>42371.130925925929</v>
      </c>
      <c r="Q4093" s="7"/>
      <c r="R4093" s="7" t="s">
        <v>21159</v>
      </c>
      <c r="S4093" s="8"/>
      <c r="T4093" s="8"/>
      <c r="U4093" s="19" t="str">
        <f>HYPERLINK("https://pbs.twimg.com/profile_images/1105058514685304832/joLWbcZN.jpg","View")</f>
        <v>View</v>
      </c>
      <c r="V4093" s="8"/>
      <c r="W4093" s="8"/>
      <c r="X4093" s="8"/>
      <c r="Y4093" s="8"/>
      <c r="Z4093" s="8"/>
    </row>
    <row r="4094" spans="1:26" ht="12.75">
      <c r="A4094" s="11">
        <v>43747.128194444449</v>
      </c>
      <c r="B4094" s="12" t="str">
        <f>HYPERLINK("https://twitter.com/serhatdiego","@serhatdiego")</f>
        <v>@serhatdiego</v>
      </c>
      <c r="C4094" s="13" t="s">
        <v>18244</v>
      </c>
      <c r="D4094" s="7" t="s">
        <v>21160</v>
      </c>
      <c r="E4094" s="12" t="str">
        <f>HYPERLINK("https://twitter.com/serhatdiego/status/1181873084514615296","1181873084514615296")</f>
        <v>1181873084514615296</v>
      </c>
      <c r="F4094" s="15"/>
      <c r="G4094" s="14" t="s">
        <v>21161</v>
      </c>
      <c r="H4094" s="8"/>
      <c r="I4094" s="15">
        <v>1</v>
      </c>
      <c r="J4094" s="15">
        <v>5</v>
      </c>
      <c r="K4094" s="12" t="str">
        <f>HYPERLINK("http://twitter.com/download/iphone","Twitter for iPhone")</f>
        <v>Twitter for iPhone</v>
      </c>
      <c r="L4094" s="16">
        <v>352</v>
      </c>
      <c r="M4094" s="16">
        <v>580</v>
      </c>
      <c r="N4094" s="16">
        <v>1</v>
      </c>
      <c r="O4094" s="17"/>
      <c r="P4094" s="18">
        <v>40902.456435185188</v>
      </c>
      <c r="Q4094" s="7"/>
      <c r="R4094" s="13" t="s">
        <v>21162</v>
      </c>
      <c r="S4094" s="8"/>
      <c r="T4094" s="8"/>
      <c r="U4094" s="19" t="str">
        <f>HYPERLINK("https://pbs.twimg.com/profile_images/1151060517731143680/-_vU3oGj.jpg","View")</f>
        <v>View</v>
      </c>
      <c r="V4094" s="8"/>
      <c r="W4094" s="8"/>
      <c r="X4094" s="8"/>
      <c r="Y4094" s="8"/>
      <c r="Z4094" s="8"/>
    </row>
    <row r="4095" spans="1:26" ht="12.75">
      <c r="A4095" s="11">
        <v>43747.128182870365</v>
      </c>
      <c r="B4095" s="12" t="str">
        <f>HYPERLINK("https://twitter.com/acarhuseyin06","@acarhuseyin06")</f>
        <v>@acarhuseyin06</v>
      </c>
      <c r="C4095" s="7" t="s">
        <v>21163</v>
      </c>
      <c r="D4095" s="7" t="s">
        <v>21164</v>
      </c>
      <c r="E4095" s="12" t="str">
        <f>HYPERLINK("https://twitter.com/acarhuseyin06/status/1181873082149015552","1181873082149015552")</f>
        <v>1181873082149015552</v>
      </c>
      <c r="F4095" s="8"/>
      <c r="G4095" s="14" t="s">
        <v>21165</v>
      </c>
      <c r="H4095" s="8"/>
      <c r="I4095" s="15">
        <v>0</v>
      </c>
      <c r="J4095" s="15">
        <v>3</v>
      </c>
      <c r="K4095" s="12" t="str">
        <f>HYPERLINK("http://twitter.com/download/android","Twitter for Android")</f>
        <v>Twitter for Android</v>
      </c>
      <c r="L4095" s="16">
        <v>212</v>
      </c>
      <c r="M4095" s="16">
        <v>632</v>
      </c>
      <c r="N4095" s="16">
        <v>0</v>
      </c>
      <c r="O4095" s="17"/>
      <c r="P4095" s="18">
        <v>42924.603344907402</v>
      </c>
      <c r="Q4095" s="7" t="s">
        <v>1392</v>
      </c>
      <c r="R4095" s="7" t="s">
        <v>21166</v>
      </c>
      <c r="S4095" s="8"/>
      <c r="T4095" s="8"/>
      <c r="U4095" s="19" t="str">
        <f>HYPERLINK("https://pbs.twimg.com/profile_images/957679993974329346/K5y0G07-.jpg","View")</f>
        <v>View</v>
      </c>
      <c r="V4095" s="8"/>
      <c r="W4095" s="8"/>
      <c r="X4095" s="8"/>
      <c r="Y4095" s="8"/>
      <c r="Z4095" s="8"/>
    </row>
    <row r="4096" spans="1:26" ht="12.75">
      <c r="A4096" s="11">
        <v>43747.128148148149</v>
      </c>
      <c r="B4096" s="12" t="str">
        <f>HYPERLINK("https://twitter.com/Hunnlarr","@Hunnlarr")</f>
        <v>@Hunnlarr</v>
      </c>
      <c r="C4096" s="7" t="s">
        <v>21167</v>
      </c>
      <c r="D4096" s="7" t="s">
        <v>21168</v>
      </c>
      <c r="E4096" s="12" t="str">
        <f>HYPERLINK("https://twitter.com/Hunnlarr/status/1181873070333730817","1181873070333730817")</f>
        <v>1181873070333730817</v>
      </c>
      <c r="F4096" s="8"/>
      <c r="G4096" s="14" t="s">
        <v>21169</v>
      </c>
      <c r="H4096" s="8"/>
      <c r="I4096" s="15">
        <v>6</v>
      </c>
      <c r="J4096" s="15">
        <v>59</v>
      </c>
      <c r="K4096" s="12" t="str">
        <f>HYPERLINK("http://twitter.com/download/android","Twitter for Android")</f>
        <v>Twitter for Android</v>
      </c>
      <c r="L4096" s="16">
        <v>10465</v>
      </c>
      <c r="M4096" s="16">
        <v>5</v>
      </c>
      <c r="N4096" s="16">
        <v>8</v>
      </c>
      <c r="O4096" s="17"/>
      <c r="P4096" s="18">
        <v>42457.592465277776</v>
      </c>
      <c r="Q4096" s="7" t="s">
        <v>1639</v>
      </c>
      <c r="R4096" s="7" t="s">
        <v>21170</v>
      </c>
      <c r="S4096" s="14" t="s">
        <v>21171</v>
      </c>
      <c r="T4096" s="8"/>
      <c r="U4096" s="19" t="str">
        <f>HYPERLINK("https://pbs.twimg.com/profile_images/956875426944749569/qEj6ta5H.jpg","View")</f>
        <v>View</v>
      </c>
      <c r="V4096" s="8"/>
      <c r="W4096" s="8"/>
      <c r="X4096" s="8"/>
      <c r="Y4096" s="8"/>
      <c r="Z4096" s="8"/>
    </row>
    <row r="4097" spans="1:26" ht="12.75">
      <c r="A4097" s="11">
        <v>43747.128113425926</v>
      </c>
      <c r="B4097" s="12" t="str">
        <f>HYPERLINK("https://twitter.com/BalkanTurku1","@BalkanTurku1")</f>
        <v>@BalkanTurku1</v>
      </c>
      <c r="C4097" s="7" t="s">
        <v>21172</v>
      </c>
      <c r="D4097" s="7" t="s">
        <v>21173</v>
      </c>
      <c r="E4097" s="12" t="str">
        <f>HYPERLINK("https://twitter.com/BalkanTurku1/status/1181873057926979585","1181873057926979585")</f>
        <v>1181873057926979585</v>
      </c>
      <c r="F4097" s="8"/>
      <c r="G4097" s="14" t="s">
        <v>21174</v>
      </c>
      <c r="H4097" s="8"/>
      <c r="I4097" s="15">
        <v>0</v>
      </c>
      <c r="J4097" s="15">
        <v>4</v>
      </c>
      <c r="K4097" s="12" t="str">
        <f>HYPERLINK("https://mobile.twitter.com","Twitter Web App")</f>
        <v>Twitter Web App</v>
      </c>
      <c r="L4097" s="16">
        <v>492</v>
      </c>
      <c r="M4097" s="16">
        <v>481</v>
      </c>
      <c r="N4097" s="16">
        <v>0</v>
      </c>
      <c r="O4097" s="17"/>
      <c r="P4097" s="18">
        <v>41282.074895833335</v>
      </c>
      <c r="Q4097" s="7"/>
      <c r="R4097" s="7" t="s">
        <v>21175</v>
      </c>
      <c r="S4097" s="15"/>
      <c r="T4097" s="8"/>
      <c r="U4097" s="19" t="str">
        <f>HYPERLINK("https://pbs.twimg.com/profile_images/1164184598575755264/mipfsPrz.jpg","View")</f>
        <v>View</v>
      </c>
      <c r="V4097" s="8"/>
      <c r="W4097" s="8"/>
      <c r="X4097" s="8"/>
      <c r="Y4097" s="8"/>
      <c r="Z4097" s="8"/>
    </row>
    <row r="4098" spans="1:26" ht="12.75">
      <c r="A4098" s="11">
        <v>43747.12804398148</v>
      </c>
      <c r="B4098" s="12" t="str">
        <f>HYPERLINK("https://twitter.com/brkni","@brkni")</f>
        <v>@brkni</v>
      </c>
      <c r="C4098" s="7" t="s">
        <v>21176</v>
      </c>
      <c r="D4098" s="7" t="s">
        <v>21177</v>
      </c>
      <c r="E4098" s="12" t="str">
        <f>HYPERLINK("https://twitter.com/brkni/status/1181873033247625216","1181873033247625216")</f>
        <v>1181873033247625216</v>
      </c>
      <c r="F4098" s="8"/>
      <c r="G4098" s="14" t="s">
        <v>21178</v>
      </c>
      <c r="H4098" s="8"/>
      <c r="I4098" s="15">
        <v>0</v>
      </c>
      <c r="J4098" s="15">
        <v>3</v>
      </c>
      <c r="K4098" s="12" t="str">
        <f>HYPERLINK("https://mobile.twitter.com","Twitter Web App")</f>
        <v>Twitter Web App</v>
      </c>
      <c r="L4098" s="16">
        <v>2876</v>
      </c>
      <c r="M4098" s="16">
        <v>311</v>
      </c>
      <c r="N4098" s="16">
        <v>3</v>
      </c>
      <c r="O4098" s="17"/>
      <c r="P4098" s="18">
        <v>40843.621550925927</v>
      </c>
      <c r="Q4098" s="7"/>
      <c r="R4098" s="7" t="s">
        <v>21179</v>
      </c>
      <c r="S4098" s="8"/>
      <c r="T4098" s="8"/>
      <c r="U4098" s="19" t="str">
        <f>HYPERLINK("https://pbs.twimg.com/profile_images/1170824141198548993/qT6OO1Ph.jpg","View")</f>
        <v>View</v>
      </c>
      <c r="V4098" s="8"/>
      <c r="W4098" s="8"/>
      <c r="X4098" s="8"/>
      <c r="Y4098" s="8"/>
      <c r="Z4098" s="8"/>
    </row>
    <row r="4099" spans="1:26" ht="12.75">
      <c r="A4099" s="11">
        <v>43747.128032407403</v>
      </c>
      <c r="B4099" s="12" t="str">
        <f>HYPERLINK("https://twitter.com/nekaguzell","@nekaguzell")</f>
        <v>@nekaguzell</v>
      </c>
      <c r="C4099" s="7" t="s">
        <v>21180</v>
      </c>
      <c r="D4099" s="7" t="s">
        <v>160</v>
      </c>
      <c r="E4099" s="12" t="str">
        <f>HYPERLINK("https://twitter.com/nekaguzell/status/1181873026712907776","1181873026712907776")</f>
        <v>1181873026712907776</v>
      </c>
      <c r="F4099" s="8"/>
      <c r="G4099" s="15"/>
      <c r="H4099" s="8"/>
      <c r="I4099" s="15">
        <v>0</v>
      </c>
      <c r="J4099" s="15">
        <v>0</v>
      </c>
      <c r="K4099" s="12" t="str">
        <f>HYPERLINK("http://twitter.com/download/android","Twitter for Android")</f>
        <v>Twitter for Android</v>
      </c>
      <c r="L4099" s="16">
        <v>5</v>
      </c>
      <c r="M4099" s="16">
        <v>294</v>
      </c>
      <c r="N4099" s="16">
        <v>0</v>
      </c>
      <c r="O4099" s="17"/>
      <c r="P4099" s="18">
        <v>43715.709166666667</v>
      </c>
      <c r="Q4099" s="7"/>
      <c r="R4099" s="7"/>
      <c r="S4099" s="8"/>
      <c r="T4099" s="8"/>
      <c r="U4099" s="19" t="str">
        <f>HYPERLINK("https://pbs.twimg.com/profile_images/1171057469994520576/NyymJCkd.jpg","View")</f>
        <v>View</v>
      </c>
      <c r="V4099" s="8"/>
      <c r="W4099" s="8"/>
      <c r="X4099" s="8"/>
      <c r="Y4099" s="8"/>
      <c r="Z4099" s="8"/>
    </row>
    <row r="4100" spans="1:26" ht="12.75">
      <c r="A4100" s="11">
        <v>43747.127974537041</v>
      </c>
      <c r="B4100" s="12" t="str">
        <f>HYPERLINK("https://twitter.com/Sima_Kegeci","@Sima_Kegeci")</f>
        <v>@Sima_Kegeci</v>
      </c>
      <c r="C4100" s="7" t="s">
        <v>21181</v>
      </c>
      <c r="D4100" s="7" t="s">
        <v>21182</v>
      </c>
      <c r="E4100" s="12" t="str">
        <f>HYPERLINK("https://twitter.com/Sima_Kegeci/status/1181873004386623488","1181873004386623488")</f>
        <v>1181873004386623488</v>
      </c>
      <c r="F4100" s="14" t="s">
        <v>21183</v>
      </c>
      <c r="G4100" s="7"/>
      <c r="H4100" s="8"/>
      <c r="I4100" s="15">
        <v>0</v>
      </c>
      <c r="J4100" s="15">
        <v>1</v>
      </c>
      <c r="K4100" s="12" t="str">
        <f>HYPERLINK("http://twitter.com/download/iphone","Twitter for iPhone")</f>
        <v>Twitter for iPhone</v>
      </c>
      <c r="L4100" s="16">
        <v>991</v>
      </c>
      <c r="M4100" s="16">
        <v>1383</v>
      </c>
      <c r="N4100" s="16">
        <v>1</v>
      </c>
      <c r="O4100" s="17"/>
      <c r="P4100" s="18">
        <v>42285.232592592598</v>
      </c>
      <c r="Q4100" s="7" t="s">
        <v>21184</v>
      </c>
      <c r="R4100" s="7" t="s">
        <v>21185</v>
      </c>
      <c r="S4100" s="8"/>
      <c r="T4100" s="8"/>
      <c r="U4100" s="19" t="str">
        <f>HYPERLINK("https://pbs.twimg.com/profile_images/1107759317556621313/r3tca8AC.jpg","View")</f>
        <v>View</v>
      </c>
      <c r="V4100" s="8"/>
      <c r="W4100" s="8"/>
      <c r="X4100" s="8"/>
      <c r="Y4100" s="8"/>
      <c r="Z4100" s="8"/>
    </row>
    <row r="4101" spans="1:26" ht="12.75">
      <c r="A4101" s="11">
        <v>43747.127951388888</v>
      </c>
      <c r="B4101" s="12" t="str">
        <f>HYPERLINK("https://twitter.com/AhmettAvciii","@AhmettAvciii")</f>
        <v>@AhmettAvciii</v>
      </c>
      <c r="C4101" s="7" t="s">
        <v>21186</v>
      </c>
      <c r="D4101" s="7" t="s">
        <v>21187</v>
      </c>
      <c r="E4101" s="12" t="str">
        <f>HYPERLINK("https://twitter.com/AhmettAvciii/status/1181872996014800899","1181872996014800899")</f>
        <v>1181872996014800899</v>
      </c>
      <c r="F4101" s="15"/>
      <c r="G4101" s="14" t="s">
        <v>21188</v>
      </c>
      <c r="H4101" s="8"/>
      <c r="I4101" s="15">
        <v>0</v>
      </c>
      <c r="J4101" s="15">
        <v>5</v>
      </c>
      <c r="K4101" s="12" t="str">
        <f>HYPERLINK("http://twitter.com/download/android","Twitter for Android")</f>
        <v>Twitter for Android</v>
      </c>
      <c r="L4101" s="16">
        <v>2</v>
      </c>
      <c r="M4101" s="16">
        <v>19</v>
      </c>
      <c r="N4101" s="16">
        <v>0</v>
      </c>
      <c r="O4101" s="17"/>
      <c r="P4101" s="18">
        <v>43735.078472222223</v>
      </c>
      <c r="Q4101" s="7"/>
      <c r="R4101" s="7" t="s">
        <v>21189</v>
      </c>
      <c r="S4101" s="8"/>
      <c r="T4101" s="8"/>
      <c r="U4101" s="19" t="str">
        <f>HYPERLINK("https://pbs.twimg.com/profile_images/1177506611222368260/NZ8QGyNj.jpg","View")</f>
        <v>View</v>
      </c>
      <c r="V4101" s="8"/>
      <c r="W4101" s="8"/>
      <c r="X4101" s="8"/>
      <c r="Y4101" s="8"/>
      <c r="Z4101" s="8"/>
    </row>
    <row r="4102" spans="1:26" ht="12.75">
      <c r="A4102" s="11">
        <v>43747.127939814818</v>
      </c>
      <c r="B4102" s="12" t="str">
        <f>HYPERLINK("https://twitter.com/CildemIrmak","@CildemIrmak")</f>
        <v>@CildemIrmak</v>
      </c>
      <c r="C4102" s="7" t="s">
        <v>21190</v>
      </c>
      <c r="D4102" s="7" t="s">
        <v>21191</v>
      </c>
      <c r="E4102" s="12" t="str">
        <f>HYPERLINK("https://twitter.com/CildemIrmak/status/1181872995352109057","1181872995352109057")</f>
        <v>1181872995352109057</v>
      </c>
      <c r="F4102" s="8"/>
      <c r="G4102" s="7"/>
      <c r="H4102" s="8"/>
      <c r="I4102" s="15">
        <v>0</v>
      </c>
      <c r="J4102" s="15">
        <v>1</v>
      </c>
      <c r="K4102" s="12" t="str">
        <f>HYPERLINK("http://twitter.com","Twitter Web Client")</f>
        <v>Twitter Web Client</v>
      </c>
      <c r="L4102" s="16">
        <v>18</v>
      </c>
      <c r="M4102" s="16">
        <v>0</v>
      </c>
      <c r="N4102" s="16">
        <v>0</v>
      </c>
      <c r="O4102" s="17"/>
      <c r="P4102" s="18">
        <v>43683.851770833338</v>
      </c>
      <c r="Q4102" s="7" t="s">
        <v>21192</v>
      </c>
      <c r="R4102" s="7" t="s">
        <v>21193</v>
      </c>
      <c r="S4102" s="8"/>
      <c r="T4102" s="8"/>
      <c r="U4102" s="19" t="str">
        <f>HYPERLINK("https://pbs.twimg.com/profile_images/1167220671379890176/TfMWyQRe.jpg","View")</f>
        <v>View</v>
      </c>
      <c r="V4102" s="8"/>
      <c r="W4102" s="8"/>
      <c r="X4102" s="8"/>
      <c r="Y4102" s="8"/>
      <c r="Z4102" s="8"/>
    </row>
    <row r="4103" spans="1:26" ht="12.75">
      <c r="A4103" s="11">
        <v>43747.127893518518</v>
      </c>
      <c r="B4103" s="12" t="str">
        <f>HYPERLINK("https://twitter.com/Ceykarakoc","@Ceykarakoc")</f>
        <v>@Ceykarakoc</v>
      </c>
      <c r="C4103" s="13" t="s">
        <v>21194</v>
      </c>
      <c r="D4103" s="7" t="s">
        <v>21195</v>
      </c>
      <c r="E4103" s="12" t="str">
        <f>HYPERLINK("https://twitter.com/Ceykarakoc/status/1181872978797219840","1181872978797219840")</f>
        <v>1181872978797219840</v>
      </c>
      <c r="F4103" s="8"/>
      <c r="G4103" s="15"/>
      <c r="H4103" s="8"/>
      <c r="I4103" s="15">
        <v>0</v>
      </c>
      <c r="J4103" s="15">
        <v>1</v>
      </c>
      <c r="K4103" s="12" t="str">
        <f>HYPERLINK("http://twitter.com/download/android","Twitter for Android")</f>
        <v>Twitter for Android</v>
      </c>
      <c r="L4103" s="16">
        <v>616</v>
      </c>
      <c r="M4103" s="16">
        <v>69</v>
      </c>
      <c r="N4103" s="16">
        <v>3</v>
      </c>
      <c r="O4103" s="17"/>
      <c r="P4103" s="18">
        <v>41858.629143518519</v>
      </c>
      <c r="Q4103" s="7" t="s">
        <v>21196</v>
      </c>
      <c r="R4103" s="7" t="s">
        <v>21197</v>
      </c>
      <c r="S4103" s="14" t="s">
        <v>21198</v>
      </c>
      <c r="T4103" s="8"/>
      <c r="U4103" s="19" t="str">
        <f>HYPERLINK("https://pbs.twimg.com/profile_images/1025887427649593345/rmyw715B.jpg","View")</f>
        <v>View</v>
      </c>
      <c r="V4103" s="8"/>
      <c r="W4103" s="8"/>
      <c r="X4103" s="8"/>
      <c r="Y4103" s="8"/>
      <c r="Z4103" s="8"/>
    </row>
    <row r="4104" spans="1:26" ht="12.75">
      <c r="A4104" s="11">
        <v>43747.127893518518</v>
      </c>
      <c r="B4104" s="12" t="str">
        <f>HYPERLINK("https://twitter.com/orucfarukomer","@orucfarukomer")</f>
        <v>@orucfarukomer</v>
      </c>
      <c r="C4104" s="7" t="s">
        <v>21199</v>
      </c>
      <c r="D4104" s="7" t="s">
        <v>21200</v>
      </c>
      <c r="E4104" s="12" t="str">
        <f>HYPERLINK("https://twitter.com/orucfarukomer/status/1181872978398711813","1181872978398711813")</f>
        <v>1181872978398711813</v>
      </c>
      <c r="F4104" s="8"/>
      <c r="G4104" s="14" t="s">
        <v>21201</v>
      </c>
      <c r="H4104" s="8"/>
      <c r="I4104" s="15">
        <v>0</v>
      </c>
      <c r="J4104" s="15">
        <v>0</v>
      </c>
      <c r="K4104" s="12" t="str">
        <f>HYPERLINK("http://twitter.com/download/iphone","Twitter for iPhone")</f>
        <v>Twitter for iPhone</v>
      </c>
      <c r="L4104" s="16">
        <v>181</v>
      </c>
      <c r="M4104" s="16">
        <v>140</v>
      </c>
      <c r="N4104" s="16">
        <v>1</v>
      </c>
      <c r="O4104" s="17"/>
      <c r="P4104" s="18">
        <v>40798.485219907408</v>
      </c>
      <c r="Q4104" s="7" t="s">
        <v>21202</v>
      </c>
      <c r="R4104" s="7" t="s">
        <v>21203</v>
      </c>
      <c r="S4104" s="8"/>
      <c r="T4104" s="8"/>
      <c r="U4104" s="19" t="str">
        <f>HYPERLINK("https://pbs.twimg.com/profile_images/1113423516752281602/SCDS_7vh.jpg","View")</f>
        <v>View</v>
      </c>
      <c r="V4104" s="8"/>
      <c r="W4104" s="8"/>
      <c r="X4104" s="8"/>
      <c r="Y4104" s="8"/>
      <c r="Z4104" s="8"/>
    </row>
    <row r="4105" spans="1:26" ht="12.75">
      <c r="A4105" s="11">
        <v>43747.127858796295</v>
      </c>
      <c r="B4105" s="12" t="str">
        <f>HYPERLINK("https://twitter.com/Bingilzcciderki","@Bingilzcciderki")</f>
        <v>@Bingilzcciderki</v>
      </c>
      <c r="C4105" s="7" t="s">
        <v>21204</v>
      </c>
      <c r="D4105" s="7" t="s">
        <v>21205</v>
      </c>
      <c r="E4105" s="12" t="str">
        <f>HYPERLINK("https://twitter.com/Bingilzcciderki/status/1181872963093745664","1181872963093745664")</f>
        <v>1181872963093745664</v>
      </c>
      <c r="F4105" s="15"/>
      <c r="G4105" s="7"/>
      <c r="H4105" s="8"/>
      <c r="I4105" s="15">
        <v>0</v>
      </c>
      <c r="J4105" s="15">
        <v>2</v>
      </c>
      <c r="K4105" s="12" t="str">
        <f>HYPERLINK("https://mobile.twitter.com","Twitter Web App")</f>
        <v>Twitter Web App</v>
      </c>
      <c r="L4105" s="16">
        <v>429</v>
      </c>
      <c r="M4105" s="16">
        <v>358</v>
      </c>
      <c r="N4105" s="16">
        <v>0</v>
      </c>
      <c r="O4105" s="17"/>
      <c r="P4105" s="18">
        <v>42445.149826388893</v>
      </c>
      <c r="Q4105" s="7"/>
      <c r="R4105" s="7"/>
      <c r="S4105" s="8"/>
      <c r="T4105" s="8"/>
      <c r="U4105" s="19" t="str">
        <f>HYPERLINK("https://pbs.twimg.com/profile_images/1181873961149308928/m6y5aqZI.jpg","View")</f>
        <v>View</v>
      </c>
      <c r="V4105" s="8"/>
      <c r="W4105" s="8"/>
      <c r="X4105" s="8"/>
      <c r="Y4105" s="8"/>
      <c r="Z4105" s="8"/>
    </row>
    <row r="4106" spans="1:26" ht="12.75">
      <c r="A4106" s="11">
        <v>43747.127847222218</v>
      </c>
      <c r="B4106" s="12" t="str">
        <f>HYPERLINK("https://twitter.com/34jade34","@34jade34")</f>
        <v>@34jade34</v>
      </c>
      <c r="C4106" s="7" t="s">
        <v>21206</v>
      </c>
      <c r="D4106" s="7" t="s">
        <v>21207</v>
      </c>
      <c r="E4106" s="12" t="str">
        <f>HYPERLINK("https://twitter.com/34jade34/status/1181872960132517888","1181872960132517888")</f>
        <v>1181872960132517888</v>
      </c>
      <c r="F4106" s="8"/>
      <c r="G4106" s="7"/>
      <c r="H4106" s="8"/>
      <c r="I4106" s="15">
        <v>0</v>
      </c>
      <c r="J4106" s="15">
        <v>2</v>
      </c>
      <c r="K4106" s="12" t="str">
        <f>HYPERLINK("http://twitter.com/download/android","Twitter for Android")</f>
        <v>Twitter for Android</v>
      </c>
      <c r="L4106" s="16">
        <v>191</v>
      </c>
      <c r="M4106" s="16">
        <v>542</v>
      </c>
      <c r="N4106" s="16">
        <v>0</v>
      </c>
      <c r="O4106" s="17"/>
      <c r="P4106" s="18">
        <v>42692.302881944444</v>
      </c>
      <c r="Q4106" s="7"/>
      <c r="R4106" s="7"/>
      <c r="S4106" s="8"/>
      <c r="T4106" s="8"/>
      <c r="U4106" s="19" t="str">
        <f>HYPERLINK("https://pbs.twimg.com/profile_images/1181540790989918209/3AkEh7oL.jpg","View")</f>
        <v>View</v>
      </c>
      <c r="V4106" s="8"/>
      <c r="W4106" s="8"/>
      <c r="X4106" s="8"/>
      <c r="Y4106" s="8"/>
      <c r="Z4106" s="8"/>
    </row>
    <row r="4107" spans="1:26" ht="12.75">
      <c r="A4107" s="11">
        <v>43747.127754629633</v>
      </c>
      <c r="B4107" s="12" t="str">
        <f>HYPERLINK("https://twitter.com/zubcak","@zubcak")</f>
        <v>@zubcak</v>
      </c>
      <c r="C4107" s="7" t="s">
        <v>21208</v>
      </c>
      <c r="D4107" s="7" t="s">
        <v>21209</v>
      </c>
      <c r="E4107" s="12" t="str">
        <f>HYPERLINK("https://twitter.com/zubcak/status/1181872927840583680","1181872927840583680")</f>
        <v>1181872927840583680</v>
      </c>
      <c r="F4107" s="8"/>
      <c r="G4107" s="14" t="s">
        <v>21210</v>
      </c>
      <c r="H4107" s="8"/>
      <c r="I4107" s="15">
        <v>0</v>
      </c>
      <c r="J4107" s="15">
        <v>2</v>
      </c>
      <c r="K4107" s="12" t="str">
        <f>HYPERLINK("http://twitter.com/download/iphone","Twitter for iPhone")</f>
        <v>Twitter for iPhone</v>
      </c>
      <c r="L4107" s="16">
        <v>23</v>
      </c>
      <c r="M4107" s="16">
        <v>15</v>
      </c>
      <c r="N4107" s="16">
        <v>0</v>
      </c>
      <c r="O4107" s="17"/>
      <c r="P4107" s="18">
        <v>41205.723043981481</v>
      </c>
      <c r="Q4107" s="7"/>
      <c r="R4107" s="7" t="s">
        <v>21211</v>
      </c>
      <c r="S4107" s="8"/>
      <c r="T4107" s="8"/>
      <c r="U4107" s="19" t="str">
        <f>HYPERLINK("https://pbs.twimg.com/profile_images/1144066900361732098/1BdA7Ioa.jpg","View")</f>
        <v>View</v>
      </c>
      <c r="V4107" s="8"/>
      <c r="W4107" s="8"/>
      <c r="X4107" s="8"/>
      <c r="Y4107" s="8"/>
      <c r="Z4107" s="8"/>
    </row>
    <row r="4108" spans="1:26" ht="12.75">
      <c r="A4108" s="11">
        <v>43747.127696759257</v>
      </c>
      <c r="B4108" s="12" t="str">
        <f>HYPERLINK("https://twitter.com/setehazretleri","@setehazretleri")</f>
        <v>@setehazretleri</v>
      </c>
      <c r="C4108" s="7" t="s">
        <v>21212</v>
      </c>
      <c r="D4108" s="7" t="s">
        <v>160</v>
      </c>
      <c r="E4108" s="12" t="str">
        <f>HYPERLINK("https://twitter.com/setehazretleri/status/1181872904994209793","1181872904994209793")</f>
        <v>1181872904994209793</v>
      </c>
      <c r="F4108" s="8"/>
      <c r="G4108" s="14" t="s">
        <v>21213</v>
      </c>
      <c r="H4108" s="8"/>
      <c r="I4108" s="15">
        <v>1</v>
      </c>
      <c r="J4108" s="15">
        <v>1</v>
      </c>
      <c r="K4108" s="12" t="str">
        <f>HYPERLINK("http://twitter.com/download/iphone","Twitter for iPhone")</f>
        <v>Twitter for iPhone</v>
      </c>
      <c r="L4108" s="16">
        <v>184</v>
      </c>
      <c r="M4108" s="16">
        <v>101</v>
      </c>
      <c r="N4108" s="16">
        <v>0</v>
      </c>
      <c r="O4108" s="17"/>
      <c r="P4108" s="18">
        <v>43105.582696759258</v>
      </c>
      <c r="Q4108" s="7" t="s">
        <v>12952</v>
      </c>
      <c r="R4108" s="7" t="s">
        <v>21214</v>
      </c>
      <c r="S4108" s="8"/>
      <c r="T4108" s="8"/>
      <c r="U4108" s="19" t="str">
        <f>HYPERLINK("https://pbs.twimg.com/profile_images/1174045594593181696/z1pTm1iH.jpg","View")</f>
        <v>View</v>
      </c>
      <c r="V4108" s="8"/>
      <c r="W4108" s="8"/>
      <c r="X4108" s="8"/>
      <c r="Y4108" s="8"/>
      <c r="Z4108" s="8"/>
    </row>
    <row r="4109" spans="1:26" ht="12.75">
      <c r="A4109" s="11">
        <v>43747.127696759257</v>
      </c>
      <c r="B4109" s="12" t="str">
        <f>HYPERLINK("https://twitter.com/seyfettinbicak","@seyfettinbicak")</f>
        <v>@seyfettinbicak</v>
      </c>
      <c r="C4109" s="7" t="s">
        <v>21215</v>
      </c>
      <c r="D4109" s="7" t="s">
        <v>21216</v>
      </c>
      <c r="E4109" s="12" t="str">
        <f>HYPERLINK("https://twitter.com/seyfettinbicak/status/1181872904725815297","1181872904725815297")</f>
        <v>1181872904725815297</v>
      </c>
      <c r="F4109" s="8"/>
      <c r="G4109" s="15"/>
      <c r="H4109" s="8"/>
      <c r="I4109" s="15">
        <v>0</v>
      </c>
      <c r="J4109" s="15">
        <v>1</v>
      </c>
      <c r="K4109" s="12" t="str">
        <f>HYPERLINK("http://twitter.com/download/android","Twitter for Android")</f>
        <v>Twitter for Android</v>
      </c>
      <c r="L4109" s="16">
        <v>51</v>
      </c>
      <c r="M4109" s="16">
        <v>24</v>
      </c>
      <c r="N4109" s="16">
        <v>0</v>
      </c>
      <c r="O4109" s="17"/>
      <c r="P4109" s="18">
        <v>42522.598009259258</v>
      </c>
      <c r="Q4109" s="7"/>
      <c r="R4109" s="7" t="s">
        <v>21217</v>
      </c>
      <c r="S4109" s="8"/>
      <c r="T4109" s="8"/>
      <c r="U4109" s="19" t="str">
        <f>HYPERLINK("https://pbs.twimg.com/profile_images/1167082903085469696/H9M9FRDe.jpg","View")</f>
        <v>View</v>
      </c>
      <c r="V4109" s="8"/>
      <c r="W4109" s="8"/>
      <c r="X4109" s="8"/>
      <c r="Y4109" s="8"/>
      <c r="Z4109" s="8"/>
    </row>
    <row r="4110" spans="1:26" ht="12.75">
      <c r="A4110" s="11">
        <v>43747.127685185187</v>
      </c>
      <c r="B4110" s="12" t="str">
        <f>HYPERLINK("https://twitter.com/em19on","@em19on")</f>
        <v>@em19on</v>
      </c>
      <c r="C4110" s="7" t="s">
        <v>21218</v>
      </c>
      <c r="D4110" s="7" t="s">
        <v>21219</v>
      </c>
      <c r="E4110" s="12" t="str">
        <f>HYPERLINK("https://twitter.com/em19on/status/1181872900913160193","1181872900913160193")</f>
        <v>1181872900913160193</v>
      </c>
      <c r="F4110" s="8"/>
      <c r="G4110" s="7"/>
      <c r="H4110" s="8"/>
      <c r="I4110" s="15">
        <v>0</v>
      </c>
      <c r="J4110" s="15">
        <v>1</v>
      </c>
      <c r="K4110" s="12" t="str">
        <f>HYPERLINK("http://twitter.com/download/android","Twitter for Android")</f>
        <v>Twitter for Android</v>
      </c>
      <c r="L4110" s="16">
        <v>376</v>
      </c>
      <c r="M4110" s="16">
        <v>533</v>
      </c>
      <c r="N4110" s="16">
        <v>0</v>
      </c>
      <c r="O4110" s="17"/>
      <c r="P4110" s="18">
        <v>40736.56349537037</v>
      </c>
      <c r="Q4110" s="7" t="s">
        <v>4422</v>
      </c>
      <c r="R4110" s="7" t="s">
        <v>21220</v>
      </c>
      <c r="S4110" s="8"/>
      <c r="T4110" s="8"/>
      <c r="U4110" s="19" t="str">
        <f>HYPERLINK("https://pbs.twimg.com/profile_images/1180032507846303744/uqTXNVhV.jpg","View")</f>
        <v>View</v>
      </c>
      <c r="V4110" s="8"/>
      <c r="W4110" s="8"/>
      <c r="X4110" s="8"/>
      <c r="Y4110" s="8"/>
      <c r="Z4110" s="8"/>
    </row>
    <row r="4111" spans="1:26" ht="12.75">
      <c r="A4111" s="11">
        <v>43747.127546296295</v>
      </c>
      <c r="B4111" s="12" t="str">
        <f>HYPERLINK("https://twitter.com/Haciabi3891","@Haciabi3891")</f>
        <v>@Haciabi3891</v>
      </c>
      <c r="C4111" s="7" t="s">
        <v>21221</v>
      </c>
      <c r="D4111" s="7" t="s">
        <v>21222</v>
      </c>
      <c r="E4111" s="12" t="str">
        <f>HYPERLINK("https://twitter.com/Haciabi3891/status/1181872852032786434","1181872852032786434")</f>
        <v>1181872852032786434</v>
      </c>
      <c r="F4111" s="15"/>
      <c r="G4111" s="15"/>
      <c r="H4111" s="8"/>
      <c r="I4111" s="15">
        <v>0</v>
      </c>
      <c r="J4111" s="15">
        <v>2</v>
      </c>
      <c r="K4111" s="12" t="str">
        <f>HYPERLINK("http://twitter.com/download/android","Twitter for Android")</f>
        <v>Twitter for Android</v>
      </c>
      <c r="L4111" s="16">
        <v>184</v>
      </c>
      <c r="M4111" s="16">
        <v>370</v>
      </c>
      <c r="N4111" s="16">
        <v>0</v>
      </c>
      <c r="O4111" s="20"/>
      <c r="P4111" s="18">
        <v>43742.280578703707</v>
      </c>
      <c r="Q4111" s="7" t="s">
        <v>3754</v>
      </c>
      <c r="R4111" s="7" t="s">
        <v>21223</v>
      </c>
      <c r="S4111" s="15"/>
      <c r="T4111" s="8"/>
      <c r="U4111" s="19" t="str">
        <f>HYPERLINK("https://pbs.twimg.com/profile_images/1180117065497284609/q6GGjs-6.jpg","View")</f>
        <v>View</v>
      </c>
      <c r="V4111" s="8"/>
      <c r="W4111" s="8"/>
      <c r="X4111" s="8"/>
      <c r="Y4111" s="8"/>
      <c r="Z4111" s="8"/>
    </row>
    <row r="4112" spans="1:26" ht="12.75">
      <c r="A4112" s="11">
        <v>43747.127511574072</v>
      </c>
      <c r="B4112" s="12" t="str">
        <f>HYPERLINK("https://twitter.com/Cakiromer58","@Cakiromer58")</f>
        <v>@Cakiromer58</v>
      </c>
      <c r="C4112" s="7" t="s">
        <v>21224</v>
      </c>
      <c r="D4112" s="7" t="s">
        <v>21225</v>
      </c>
      <c r="E4112" s="12" t="str">
        <f>HYPERLINK("https://twitter.com/Cakiromer58/status/1181872837625286656","1181872837625286656")</f>
        <v>1181872837625286656</v>
      </c>
      <c r="F4112" s="8"/>
      <c r="G4112" s="14" t="s">
        <v>21226</v>
      </c>
      <c r="H4112" s="8"/>
      <c r="I4112" s="15">
        <v>0</v>
      </c>
      <c r="J4112" s="15">
        <v>5</v>
      </c>
      <c r="K4112" s="12" t="str">
        <f>HYPERLINK("https://mobile.twitter.com","Twitter Web App")</f>
        <v>Twitter Web App</v>
      </c>
      <c r="L4112" s="16">
        <v>68</v>
      </c>
      <c r="M4112" s="16">
        <v>122</v>
      </c>
      <c r="N4112" s="16">
        <v>0</v>
      </c>
      <c r="O4112" s="17"/>
      <c r="P4112" s="18">
        <v>43712.546122685184</v>
      </c>
      <c r="Q4112" s="7" t="s">
        <v>21227</v>
      </c>
      <c r="R4112" s="7" t="s">
        <v>21228</v>
      </c>
      <c r="S4112" s="8"/>
      <c r="T4112" s="8"/>
      <c r="U4112" s="19" t="str">
        <f>HYPERLINK("https://pbs.twimg.com/profile_images/1180811289226027008/-ksBQjCz.jpg","View")</f>
        <v>View</v>
      </c>
      <c r="V4112" s="8"/>
      <c r="W4112" s="8"/>
      <c r="X4112" s="8"/>
      <c r="Y4112" s="8"/>
      <c r="Z4112" s="8"/>
    </row>
    <row r="4113" spans="1:26" ht="12.75">
      <c r="A4113" s="11">
        <v>43747.127500000002</v>
      </c>
      <c r="B4113" s="12" t="str">
        <f>HYPERLINK("https://twitter.com/smh_mvs","@smh_mvs")</f>
        <v>@smh_mvs</v>
      </c>
      <c r="C4113" s="7" t="s">
        <v>21229</v>
      </c>
      <c r="D4113" s="7" t="s">
        <v>21230</v>
      </c>
      <c r="E4113" s="12" t="str">
        <f>HYPERLINK("https://twitter.com/smh_mvs/status/1181872834555060225","1181872834555060225")</f>
        <v>1181872834555060225</v>
      </c>
      <c r="F4113" s="8"/>
      <c r="G4113" s="14" t="s">
        <v>21231</v>
      </c>
      <c r="H4113" s="8"/>
      <c r="I4113" s="15">
        <v>0</v>
      </c>
      <c r="J4113" s="15">
        <v>7</v>
      </c>
      <c r="K4113" s="12" t="str">
        <f>HYPERLINK("https://mobile.twitter.com","Twitter Web App")</f>
        <v>Twitter Web App</v>
      </c>
      <c r="L4113" s="16">
        <v>709</v>
      </c>
      <c r="M4113" s="16">
        <v>663</v>
      </c>
      <c r="N4113" s="16">
        <v>1</v>
      </c>
      <c r="O4113" s="17"/>
      <c r="P4113" s="18">
        <v>43709.155092592591</v>
      </c>
      <c r="Q4113" s="7" t="s">
        <v>6867</v>
      </c>
      <c r="R4113" s="7" t="s">
        <v>21232</v>
      </c>
      <c r="S4113" s="8"/>
      <c r="T4113" s="8"/>
      <c r="U4113" s="19" t="str">
        <f>HYPERLINK("https://pbs.twimg.com/profile_images/1181704329583120386/zgcvL3Oe.jpg","View")</f>
        <v>View</v>
      </c>
      <c r="V4113" s="8"/>
      <c r="W4113" s="8"/>
      <c r="X4113" s="8"/>
      <c r="Y4113" s="8"/>
      <c r="Z4113" s="8"/>
    </row>
    <row r="4114" spans="1:26" ht="12.75">
      <c r="A4114" s="11">
        <v>43747.127476851849</v>
      </c>
      <c r="B4114" s="12" t="str">
        <f>HYPERLINK("https://twitter.com/SpeedyFare","@SpeedyFare")</f>
        <v>@SpeedyFare</v>
      </c>
      <c r="C4114" s="7" t="s">
        <v>21233</v>
      </c>
      <c r="D4114" s="7" t="s">
        <v>21234</v>
      </c>
      <c r="E4114" s="12" t="str">
        <f>HYPERLINK("https://twitter.com/SpeedyFare/status/1181872827814821888","1181872827814821888")</f>
        <v>1181872827814821888</v>
      </c>
      <c r="F4114" s="8"/>
      <c r="G4114" s="14" t="s">
        <v>21235</v>
      </c>
      <c r="H4114" s="8"/>
      <c r="I4114" s="15">
        <v>0</v>
      </c>
      <c r="J4114" s="15">
        <v>3</v>
      </c>
      <c r="K4114" s="12" t="str">
        <f>HYPERLINK("http://twitter.com/download/android","Twitter for Android")</f>
        <v>Twitter for Android</v>
      </c>
      <c r="L4114" s="16">
        <v>389</v>
      </c>
      <c r="M4114" s="16">
        <v>396</v>
      </c>
      <c r="N4114" s="16">
        <v>0</v>
      </c>
      <c r="O4114" s="17"/>
      <c r="P4114" s="18">
        <v>42767.606863425928</v>
      </c>
      <c r="Q4114" s="7" t="s">
        <v>21236</v>
      </c>
      <c r="R4114" s="7" t="s">
        <v>21237</v>
      </c>
      <c r="S4114" s="14" t="s">
        <v>21238</v>
      </c>
      <c r="T4114" s="8"/>
      <c r="U4114" s="19" t="str">
        <f>HYPERLINK("https://pbs.twimg.com/profile_images/1180154024412274693/QN06T1Rt.jpg","View")</f>
        <v>View</v>
      </c>
      <c r="V4114" s="8"/>
      <c r="W4114" s="8"/>
      <c r="X4114" s="8"/>
      <c r="Y4114" s="8"/>
      <c r="Z4114" s="8"/>
    </row>
    <row r="4115" spans="1:26" ht="12.75">
      <c r="A4115" s="11">
        <v>43747.127476851849</v>
      </c>
      <c r="B4115" s="12" t="str">
        <f>HYPERLINK("https://twitter.com/CepikHilmi","@CepikHilmi")</f>
        <v>@CepikHilmi</v>
      </c>
      <c r="C4115" s="7" t="s">
        <v>21239</v>
      </c>
      <c r="D4115" s="7" t="s">
        <v>21240</v>
      </c>
      <c r="E4115" s="12" t="str">
        <f>HYPERLINK("https://twitter.com/CepikHilmi/status/1181872823935160320","1181872823935160320")</f>
        <v>1181872823935160320</v>
      </c>
      <c r="F4115" s="8"/>
      <c r="G4115" s="14" t="s">
        <v>21241</v>
      </c>
      <c r="H4115" s="8"/>
      <c r="I4115" s="15">
        <v>0</v>
      </c>
      <c r="J4115" s="15">
        <v>4</v>
      </c>
      <c r="K4115" s="12" t="str">
        <f>HYPERLINK("http://twitter.com","Twitter Web Client")</f>
        <v>Twitter Web Client</v>
      </c>
      <c r="L4115" s="16">
        <v>7</v>
      </c>
      <c r="M4115" s="16">
        <v>0</v>
      </c>
      <c r="N4115" s="16">
        <v>0</v>
      </c>
      <c r="O4115" s="17"/>
      <c r="P4115" s="18">
        <v>43669.871319444443</v>
      </c>
      <c r="Q4115" s="7" t="s">
        <v>21242</v>
      </c>
      <c r="R4115" s="7" t="s">
        <v>21243</v>
      </c>
      <c r="S4115" s="8"/>
      <c r="T4115" s="8"/>
      <c r="U4115" s="19" t="str">
        <f>HYPERLINK("https://pbs.twimg.com/profile_images/1154295904121315329/ScxNUXJ5.jpg","View")</f>
        <v>View</v>
      </c>
      <c r="V4115" s="8"/>
      <c r="W4115" s="8"/>
      <c r="X4115" s="8"/>
      <c r="Y4115" s="8"/>
      <c r="Z4115" s="8"/>
    </row>
    <row r="4116" spans="1:26" ht="12.75">
      <c r="A4116" s="11">
        <v>43747.127407407403</v>
      </c>
      <c r="B4116" s="12" t="str">
        <f>HYPERLINK("https://twitter.com/umitsaglamm","@umitsaglamm")</f>
        <v>@umitsaglamm</v>
      </c>
      <c r="C4116" s="7" t="s">
        <v>21244</v>
      </c>
      <c r="D4116" s="7" t="s">
        <v>21245</v>
      </c>
      <c r="E4116" s="12" t="str">
        <f>HYPERLINK("https://twitter.com/umitsaglamm/status/1181872802770673664","1181872802770673664")</f>
        <v>1181872802770673664</v>
      </c>
      <c r="F4116" s="8"/>
      <c r="G4116" s="15"/>
      <c r="H4116" s="8"/>
      <c r="I4116" s="15">
        <v>0</v>
      </c>
      <c r="J4116" s="15">
        <v>0</v>
      </c>
      <c r="K4116" s="12" t="str">
        <f>HYPERLINK("http://twitter.com/download/iphone","Twitter for iPhone")</f>
        <v>Twitter for iPhone</v>
      </c>
      <c r="L4116" s="16">
        <v>396</v>
      </c>
      <c r="M4116" s="16">
        <v>444</v>
      </c>
      <c r="N4116" s="16">
        <v>0</v>
      </c>
      <c r="O4116" s="17"/>
      <c r="P4116" s="18">
        <v>41610.184340277774</v>
      </c>
      <c r="Q4116" s="7" t="s">
        <v>21246</v>
      </c>
      <c r="R4116" s="7" t="s">
        <v>21247</v>
      </c>
      <c r="S4116" s="8"/>
      <c r="T4116" s="8"/>
      <c r="U4116" s="19" t="str">
        <f>HYPERLINK("https://pbs.twimg.com/profile_images/1050003482680418304/xGyZTz7I.jpg","View")</f>
        <v>View</v>
      </c>
      <c r="V4116" s="8"/>
      <c r="W4116" s="8"/>
      <c r="X4116" s="8"/>
      <c r="Y4116" s="8"/>
      <c r="Z4116" s="8"/>
    </row>
    <row r="4117" spans="1:26" ht="12.75">
      <c r="A4117" s="11">
        <v>43747.127407407403</v>
      </c>
      <c r="B4117" s="12" t="str">
        <f>HYPERLINK("https://twitter.com/rojamariposaa","@rojamariposaa")</f>
        <v>@rojamariposaa</v>
      </c>
      <c r="C4117" s="7" t="s">
        <v>21248</v>
      </c>
      <c r="D4117" s="7" t="s">
        <v>21249</v>
      </c>
      <c r="E4117" s="12" t="str">
        <f>HYPERLINK("https://twitter.com/rojamariposaa/status/1181872800610619393","1181872800610619393")</f>
        <v>1181872800610619393</v>
      </c>
      <c r="F4117" s="8"/>
      <c r="G4117" s="14" t="s">
        <v>21250</v>
      </c>
      <c r="H4117" s="8"/>
      <c r="I4117" s="15">
        <v>0</v>
      </c>
      <c r="J4117" s="15">
        <v>5</v>
      </c>
      <c r="K4117" s="12" t="str">
        <f>HYPERLINK("http://twitter.com/download/android","Twitter for Android")</f>
        <v>Twitter for Android</v>
      </c>
      <c r="L4117" s="16">
        <v>2103</v>
      </c>
      <c r="M4117" s="16">
        <v>2531</v>
      </c>
      <c r="N4117" s="16">
        <v>1</v>
      </c>
      <c r="O4117" s="17"/>
      <c r="P4117" s="18">
        <v>42620.077650462961</v>
      </c>
      <c r="Q4117" s="7"/>
      <c r="R4117" s="7" t="s">
        <v>21251</v>
      </c>
      <c r="S4117" s="8"/>
      <c r="T4117" s="8"/>
      <c r="U4117" s="19" t="str">
        <f>HYPERLINK("https://pbs.twimg.com/profile_images/1175850753220464640/9UcvSwUm.jpg","View")</f>
        <v>View</v>
      </c>
      <c r="V4117" s="8"/>
      <c r="W4117" s="8"/>
      <c r="X4117" s="8"/>
      <c r="Y4117" s="8"/>
      <c r="Z4117" s="8"/>
    </row>
    <row r="4118" spans="1:26" ht="12.75">
      <c r="A4118" s="11">
        <v>43747.127326388887</v>
      </c>
      <c r="B4118" s="12" t="str">
        <f>HYPERLINK("https://twitter.com/turan_cephesi","@turan_cephesi")</f>
        <v>@turan_cephesi</v>
      </c>
      <c r="C4118" s="7" t="s">
        <v>21252</v>
      </c>
      <c r="D4118" s="7" t="s">
        <v>21253</v>
      </c>
      <c r="E4118" s="12" t="str">
        <f>HYPERLINK("https://twitter.com/turan_cephesi/status/1181872771606953984","1181872771606953984")</f>
        <v>1181872771606953984</v>
      </c>
      <c r="F4118" s="14" t="s">
        <v>21254</v>
      </c>
      <c r="G4118" s="14" t="s">
        <v>21255</v>
      </c>
      <c r="H4118" s="8"/>
      <c r="I4118" s="15">
        <v>0</v>
      </c>
      <c r="J4118" s="15">
        <v>2</v>
      </c>
      <c r="K4118" s="12" t="str">
        <f>HYPERLINK("http://twitter.com/download/iphone","Twitter for iPhone")</f>
        <v>Twitter for iPhone</v>
      </c>
      <c r="L4118" s="16">
        <v>374</v>
      </c>
      <c r="M4118" s="16">
        <v>0</v>
      </c>
      <c r="N4118" s="16">
        <v>0</v>
      </c>
      <c r="O4118" s="17"/>
      <c r="P4118" s="18">
        <v>42499.550810185188</v>
      </c>
      <c r="Q4118" s="7" t="s">
        <v>200</v>
      </c>
      <c r="R4118" s="7" t="s">
        <v>21256</v>
      </c>
      <c r="S4118" s="14" t="s">
        <v>21257</v>
      </c>
      <c r="T4118" s="8"/>
      <c r="U4118" s="19" t="str">
        <f>HYPERLINK("https://pbs.twimg.com/profile_images/1045190451941322752/_07QR2U8.jpg","View")</f>
        <v>View</v>
      </c>
      <c r="V4118" s="8"/>
      <c r="W4118" s="8"/>
      <c r="X4118" s="8"/>
      <c r="Y4118" s="8"/>
      <c r="Z4118" s="8"/>
    </row>
    <row r="4119" spans="1:26" ht="12.75">
      <c r="A4119" s="11">
        <v>43747.127268518518</v>
      </c>
      <c r="B4119" s="12" t="str">
        <f>HYPERLINK("https://twitter.com/eneskrboga7","@eneskrboga7")</f>
        <v>@eneskrboga7</v>
      </c>
      <c r="C4119" s="7" t="s">
        <v>21258</v>
      </c>
      <c r="D4119" s="7" t="s">
        <v>15497</v>
      </c>
      <c r="E4119" s="12" t="str">
        <f>HYPERLINK("https://twitter.com/eneskrboga7/status/1181872752007024640","1181872752007024640")</f>
        <v>1181872752007024640</v>
      </c>
      <c r="F4119" s="8"/>
      <c r="G4119" s="14" t="s">
        <v>21259</v>
      </c>
      <c r="H4119" s="8"/>
      <c r="I4119" s="15">
        <v>0</v>
      </c>
      <c r="J4119" s="15">
        <v>3</v>
      </c>
      <c r="K4119" s="12" t="str">
        <f>HYPERLINK("http://twitter.com/download/android","Twitter for Android")</f>
        <v>Twitter for Android</v>
      </c>
      <c r="L4119" s="16">
        <v>13</v>
      </c>
      <c r="M4119" s="16">
        <v>43</v>
      </c>
      <c r="N4119" s="16">
        <v>0</v>
      </c>
      <c r="O4119" s="17"/>
      <c r="P4119" s="18">
        <v>43371.981388888889</v>
      </c>
      <c r="Q4119" s="7"/>
      <c r="R4119" s="7"/>
      <c r="S4119" s="8"/>
      <c r="T4119" s="8"/>
      <c r="U4119" s="19" t="str">
        <f>HYPERLINK("https://pbs.twimg.com/profile_images/1147616940883611648/nOklvQD5.jpg","View")</f>
        <v>View</v>
      </c>
      <c r="V4119" s="8"/>
      <c r="W4119" s="8"/>
      <c r="X4119" s="8"/>
      <c r="Y4119" s="8"/>
      <c r="Z4119" s="8"/>
    </row>
    <row r="4120" spans="1:26" ht="12.75">
      <c r="A4120" s="11">
        <v>43747.127233796295</v>
      </c>
      <c r="B4120" s="12" t="str">
        <f>HYPERLINK("https://twitter.com/muhammetgirgin8","@muhammetgirgin8")</f>
        <v>@muhammetgirgin8</v>
      </c>
      <c r="C4120" s="7" t="s">
        <v>21260</v>
      </c>
      <c r="D4120" s="7" t="s">
        <v>21261</v>
      </c>
      <c r="E4120" s="12" t="str">
        <f>HYPERLINK("https://twitter.com/muhammetgirgin8/status/1181872736102240257","1181872736102240257")</f>
        <v>1181872736102240257</v>
      </c>
      <c r="F4120" s="8"/>
      <c r="G4120" s="15"/>
      <c r="H4120" s="8"/>
      <c r="I4120" s="15">
        <v>0</v>
      </c>
      <c r="J4120" s="15">
        <v>1</v>
      </c>
      <c r="K4120" s="12" t="str">
        <f>HYPERLINK("http://twitter.com/download/android","Twitter for Android")</f>
        <v>Twitter for Android</v>
      </c>
      <c r="L4120" s="16">
        <v>33</v>
      </c>
      <c r="M4120" s="16">
        <v>207</v>
      </c>
      <c r="N4120" s="16">
        <v>1</v>
      </c>
      <c r="O4120" s="17"/>
      <c r="P4120" s="18">
        <v>42308.620474537034</v>
      </c>
      <c r="Q4120" s="7"/>
      <c r="R4120" s="7"/>
      <c r="S4120" s="8"/>
      <c r="T4120" s="8"/>
      <c r="U4120" s="19" t="str">
        <f>HYPERLINK("https://pbs.twimg.com/profile_images/1113365678751395841/TXRR8KTF.jpg","View")</f>
        <v>View</v>
      </c>
      <c r="V4120" s="8"/>
      <c r="W4120" s="8"/>
      <c r="X4120" s="8"/>
      <c r="Y4120" s="8"/>
      <c r="Z4120" s="8"/>
    </row>
    <row r="4121" spans="1:26" ht="12.75">
      <c r="A4121" s="11">
        <v>43747.127210648148</v>
      </c>
      <c r="B4121" s="12" t="str">
        <f>HYPERLINK("https://twitter.com/cemmusmul61","@cemmusmul61")</f>
        <v>@cemmusmul61</v>
      </c>
      <c r="C4121" s="7" t="s">
        <v>21262</v>
      </c>
      <c r="D4121" s="7" t="s">
        <v>21263</v>
      </c>
      <c r="E4121" s="12" t="str">
        <f>HYPERLINK("https://twitter.com/cemmusmul61/status/1181872729668149248","1181872729668149248")</f>
        <v>1181872729668149248</v>
      </c>
      <c r="F4121" s="8"/>
      <c r="G4121" s="7"/>
      <c r="H4121" s="8"/>
      <c r="I4121" s="15">
        <v>0</v>
      </c>
      <c r="J4121" s="15">
        <v>0</v>
      </c>
      <c r="K4121" s="12" t="str">
        <f>HYPERLINK("http://twitter.com/download/android","Twitter for Android")</f>
        <v>Twitter for Android</v>
      </c>
      <c r="L4121" s="16">
        <v>578</v>
      </c>
      <c r="M4121" s="16">
        <v>381</v>
      </c>
      <c r="N4121" s="16">
        <v>0</v>
      </c>
      <c r="O4121" s="17"/>
      <c r="P4121" s="18">
        <v>41307.300335648149</v>
      </c>
      <c r="Q4121" s="7" t="s">
        <v>21264</v>
      </c>
      <c r="R4121" s="7" t="s">
        <v>21265</v>
      </c>
      <c r="S4121" s="8"/>
      <c r="T4121" s="8"/>
      <c r="U4121" s="19" t="str">
        <f>HYPERLINK("https://pbs.twimg.com/profile_images/1151521019544444929/z3evXgoH.jpg","View")</f>
        <v>View</v>
      </c>
      <c r="V4121" s="8"/>
      <c r="W4121" s="8"/>
      <c r="X4121" s="8"/>
      <c r="Y4121" s="8"/>
      <c r="Z4121" s="8"/>
    </row>
    <row r="4122" spans="1:26" ht="12.75">
      <c r="A4122" s="11">
        <v>43747.127210648148</v>
      </c>
      <c r="B4122" s="12" t="str">
        <f>HYPERLINK("https://twitter.com/mustafa1080","@mustafa1080")</f>
        <v>@mustafa1080</v>
      </c>
      <c r="C4122" s="7" t="s">
        <v>21266</v>
      </c>
      <c r="D4122" s="7" t="s">
        <v>21267</v>
      </c>
      <c r="E4122" s="12" t="str">
        <f>HYPERLINK("https://twitter.com/mustafa1080/status/1181872728082649090","1181872728082649090")</f>
        <v>1181872728082649090</v>
      </c>
      <c r="F4122" s="8"/>
      <c r="G4122" s="14" t="s">
        <v>21268</v>
      </c>
      <c r="H4122" s="8"/>
      <c r="I4122" s="15">
        <v>0</v>
      </c>
      <c r="J4122" s="15">
        <v>3</v>
      </c>
      <c r="K4122" s="12" t="str">
        <f>HYPERLINK("http://twitter.com/download/android","Twitter for Android")</f>
        <v>Twitter for Android</v>
      </c>
      <c r="L4122" s="16">
        <v>13</v>
      </c>
      <c r="M4122" s="16">
        <v>32</v>
      </c>
      <c r="N4122" s="16">
        <v>0</v>
      </c>
      <c r="O4122" s="17"/>
      <c r="P4122" s="18">
        <v>40692.566574074073</v>
      </c>
      <c r="Q4122" s="7" t="s">
        <v>21269</v>
      </c>
      <c r="R4122" s="7"/>
      <c r="S4122" s="8"/>
      <c r="T4122" s="8"/>
      <c r="U4122" s="19" t="str">
        <f>HYPERLINK("https://pbs.twimg.com/profile_images/1033088906168872960/uBIsWDCe.jpg","View")</f>
        <v>View</v>
      </c>
      <c r="V4122" s="8"/>
      <c r="W4122" s="8"/>
      <c r="X4122" s="8"/>
      <c r="Y4122" s="8"/>
      <c r="Z4122" s="8"/>
    </row>
    <row r="4123" spans="1:26" ht="12.75">
      <c r="A4123" s="11">
        <v>43747.127199074079</v>
      </c>
      <c r="B4123" s="12" t="str">
        <f>HYPERLINK("https://twitter.com/NaylonBrondo","@NaylonBrondo")</f>
        <v>@NaylonBrondo</v>
      </c>
      <c r="C4123" s="7" t="s">
        <v>21270</v>
      </c>
      <c r="D4123" s="7" t="s">
        <v>21271</v>
      </c>
      <c r="E4123" s="12" t="str">
        <f>HYPERLINK("https://twitter.com/NaylonBrondo/status/1181872727289978881","1181872727289978881")</f>
        <v>1181872727289978881</v>
      </c>
      <c r="F4123" s="8"/>
      <c r="G4123" s="14" t="s">
        <v>21272</v>
      </c>
      <c r="H4123" s="8"/>
      <c r="I4123" s="15">
        <v>13</v>
      </c>
      <c r="J4123" s="15">
        <v>24</v>
      </c>
      <c r="K4123" s="12" t="str">
        <f>HYPERLINK("https://mobile.twitter.com","Twitter Web App")</f>
        <v>Twitter Web App</v>
      </c>
      <c r="L4123" s="16">
        <v>606</v>
      </c>
      <c r="M4123" s="16">
        <v>760</v>
      </c>
      <c r="N4123" s="16">
        <v>1</v>
      </c>
      <c r="O4123" s="17"/>
      <c r="P4123" s="18">
        <v>43169.112280092595</v>
      </c>
      <c r="Q4123" s="7"/>
      <c r="R4123" s="7" t="s">
        <v>21273</v>
      </c>
      <c r="S4123" s="8"/>
      <c r="T4123" s="8"/>
      <c r="U4123" s="19" t="str">
        <f>HYPERLINK("https://pbs.twimg.com/profile_images/1155966090083569665/1_UI4KyB.jpg","View")</f>
        <v>View</v>
      </c>
      <c r="V4123" s="8"/>
      <c r="W4123" s="8"/>
      <c r="X4123" s="8"/>
      <c r="Y4123" s="8"/>
      <c r="Z4123" s="8"/>
    </row>
    <row r="4124" spans="1:26" ht="12.75">
      <c r="A4124" s="11">
        <v>43747.127118055556</v>
      </c>
      <c r="B4124" s="12" t="str">
        <f>HYPERLINK("https://twitter.com/emrtpcuu","@emrtpcuu")</f>
        <v>@emrtpcuu</v>
      </c>
      <c r="C4124" s="7" t="s">
        <v>21274</v>
      </c>
      <c r="D4124" s="7" t="s">
        <v>160</v>
      </c>
      <c r="E4124" s="12" t="str">
        <f>HYPERLINK("https://twitter.com/emrtpcuu/status/1181872697552392193","1181872697552392193")</f>
        <v>1181872697552392193</v>
      </c>
      <c r="F4124" s="8"/>
      <c r="G4124" s="7"/>
      <c r="H4124" s="8"/>
      <c r="I4124" s="15">
        <v>0</v>
      </c>
      <c r="J4124" s="15">
        <v>1</v>
      </c>
      <c r="K4124" s="12" t="str">
        <f>HYPERLINK("https://mobile.twitter.com","Twitter Web App")</f>
        <v>Twitter Web App</v>
      </c>
      <c r="L4124" s="16">
        <v>2795</v>
      </c>
      <c r="M4124" s="16">
        <v>4117</v>
      </c>
      <c r="N4124" s="16">
        <v>0</v>
      </c>
      <c r="O4124" s="17"/>
      <c r="P4124" s="18">
        <v>41505.29415509259</v>
      </c>
      <c r="Q4124" s="7" t="s">
        <v>6808</v>
      </c>
      <c r="R4124" s="7" t="s">
        <v>21275</v>
      </c>
      <c r="S4124" s="8"/>
      <c r="T4124" s="8"/>
      <c r="U4124" s="19" t="str">
        <f>HYPERLINK("https://pbs.twimg.com/profile_images/1145699977580220418/qzi7swTZ.jpg","View")</f>
        <v>View</v>
      </c>
      <c r="V4124" s="8"/>
      <c r="W4124" s="8"/>
      <c r="X4124" s="8"/>
      <c r="Y4124" s="8"/>
      <c r="Z4124" s="8"/>
    </row>
    <row r="4125" spans="1:26" ht="12.75">
      <c r="A4125" s="11">
        <v>43747.127083333333</v>
      </c>
      <c r="B4125" s="12" t="str">
        <f>HYPERLINK("https://twitter.com/SivasKutsal","@SivasKutsal")</f>
        <v>@SivasKutsal</v>
      </c>
      <c r="C4125" s="7" t="s">
        <v>21276</v>
      </c>
      <c r="D4125" s="7" t="s">
        <v>21277</v>
      </c>
      <c r="E4125" s="12" t="str">
        <f>HYPERLINK("https://twitter.com/SivasKutsal/status/1181872684474540032","1181872684474540032")</f>
        <v>1181872684474540032</v>
      </c>
      <c r="F4125" s="8"/>
      <c r="G4125" s="14" t="s">
        <v>21278</v>
      </c>
      <c r="H4125" s="8"/>
      <c r="I4125" s="15">
        <v>0</v>
      </c>
      <c r="J4125" s="15">
        <v>2</v>
      </c>
      <c r="K4125" s="12" t="str">
        <f>HYPERLINK("http://twitter.com/download/iphone","Twitter for iPhone")</f>
        <v>Twitter for iPhone</v>
      </c>
      <c r="L4125" s="16">
        <v>0</v>
      </c>
      <c r="M4125" s="16">
        <v>0</v>
      </c>
      <c r="N4125" s="16">
        <v>0</v>
      </c>
      <c r="O4125" s="17"/>
      <c r="P4125" s="18">
        <v>43651.332997685182</v>
      </c>
      <c r="Q4125" s="7" t="s">
        <v>17527</v>
      </c>
      <c r="R4125" s="7" t="s">
        <v>21279</v>
      </c>
      <c r="S4125" s="8"/>
      <c r="T4125" s="8"/>
      <c r="U4125" s="19" t="str">
        <f>HYPERLINK("https://pbs.twimg.com/profile_images/1147211988159946754/FneIZIMK.jpg","View")</f>
        <v>View</v>
      </c>
      <c r="V4125" s="8"/>
      <c r="W4125" s="8"/>
      <c r="X4125" s="8"/>
      <c r="Y4125" s="8"/>
      <c r="Z4125" s="8"/>
    </row>
    <row r="4126" spans="1:26" ht="12.75">
      <c r="A4126" s="11">
        <v>43747.12704861111</v>
      </c>
      <c r="B4126" s="12" t="str">
        <f>HYPERLINK("https://twitter.com/izzetCOKUN","@izzetCOKUN")</f>
        <v>@izzetCOKUN</v>
      </c>
      <c r="C4126" s="7" t="s">
        <v>21280</v>
      </c>
      <c r="D4126" s="7" t="s">
        <v>21281</v>
      </c>
      <c r="E4126" s="12" t="str">
        <f>HYPERLINK("https://twitter.com/izzetCOKUN/status/1181872671006572544","1181872671006572544")</f>
        <v>1181872671006572544</v>
      </c>
      <c r="F4126" s="8"/>
      <c r="G4126" s="15"/>
      <c r="H4126" s="8"/>
      <c r="I4126" s="15">
        <v>0</v>
      </c>
      <c r="J4126" s="15">
        <v>1</v>
      </c>
      <c r="K4126" s="12" t="str">
        <f>HYPERLINK("http://twitter.com/download/iphone","Twitter for iPhone")</f>
        <v>Twitter for iPhone</v>
      </c>
      <c r="L4126" s="16">
        <v>110</v>
      </c>
      <c r="M4126" s="16">
        <v>508</v>
      </c>
      <c r="N4126" s="16">
        <v>0</v>
      </c>
      <c r="O4126" s="17"/>
      <c r="P4126" s="18">
        <v>41128.153194444443</v>
      </c>
      <c r="Q4126" s="7"/>
      <c r="R4126" s="7"/>
      <c r="S4126" s="8"/>
      <c r="T4126" s="8"/>
      <c r="U4126" s="19" t="str">
        <f>HYPERLINK("https://pbs.twimg.com/profile_images/1181301924269740032/Odep8ZbZ.jpg","View")</f>
        <v>View</v>
      </c>
      <c r="V4126" s="8"/>
      <c r="W4126" s="8"/>
      <c r="X4126" s="8"/>
      <c r="Y4126" s="8"/>
      <c r="Z4126" s="8"/>
    </row>
    <row r="4127" spans="1:26" ht="12.75">
      <c r="A4127" s="11">
        <v>43747.127025462964</v>
      </c>
      <c r="B4127" s="12" t="str">
        <f>HYPERLINK("https://twitter.com/OrgutZehranaz","@OrgutZehranaz")</f>
        <v>@OrgutZehranaz</v>
      </c>
      <c r="C4127" s="7" t="s">
        <v>21282</v>
      </c>
      <c r="D4127" s="7" t="s">
        <v>21283</v>
      </c>
      <c r="E4127" s="12" t="str">
        <f>HYPERLINK("https://twitter.com/OrgutZehranaz/status/1181872664127909889","1181872664127909889")</f>
        <v>1181872664127909889</v>
      </c>
      <c r="F4127" s="14" t="s">
        <v>21284</v>
      </c>
      <c r="G4127" s="14" t="s">
        <v>21285</v>
      </c>
      <c r="H4127" s="8"/>
      <c r="I4127" s="15">
        <v>0</v>
      </c>
      <c r="J4127" s="15">
        <v>1</v>
      </c>
      <c r="K4127" s="12" t="str">
        <f>HYPERLINK("http://twitter.com","Twitter Web Client")</f>
        <v>Twitter Web Client</v>
      </c>
      <c r="L4127" s="16">
        <v>5</v>
      </c>
      <c r="M4127" s="16">
        <v>0</v>
      </c>
      <c r="N4127" s="16">
        <v>0</v>
      </c>
      <c r="O4127" s="17"/>
      <c r="P4127" s="18">
        <v>43668.996678240743</v>
      </c>
      <c r="Q4127" s="7" t="s">
        <v>6929</v>
      </c>
      <c r="R4127" s="7" t="s">
        <v>21286</v>
      </c>
      <c r="S4127" s="15"/>
      <c r="T4127" s="8"/>
      <c r="U4127" s="19" t="str">
        <f>HYPERLINK("https://pbs.twimg.com/profile_images/1154291616825450497/muRF46V9.jpg","View")</f>
        <v>View</v>
      </c>
      <c r="V4127" s="8"/>
      <c r="W4127" s="8"/>
      <c r="X4127" s="8"/>
      <c r="Y4127" s="8"/>
      <c r="Z4127" s="8"/>
    </row>
    <row r="4128" spans="1:26" ht="12.75">
      <c r="A4128" s="11">
        <v>43747.126967592594</v>
      </c>
      <c r="B4128" s="12" t="str">
        <f>HYPERLINK("https://twitter.com/hazargillerden","@hazargillerden")</f>
        <v>@hazargillerden</v>
      </c>
      <c r="C4128" s="7" t="s">
        <v>21287</v>
      </c>
      <c r="D4128" s="7" t="s">
        <v>21288</v>
      </c>
      <c r="E4128" s="12" t="str">
        <f>HYPERLINK("https://twitter.com/hazargillerden/status/1181872643064160256","1181872643064160256")</f>
        <v>1181872643064160256</v>
      </c>
      <c r="F4128" s="8"/>
      <c r="G4128" s="14" t="s">
        <v>21289</v>
      </c>
      <c r="H4128" s="8"/>
      <c r="I4128" s="15">
        <v>0</v>
      </c>
      <c r="J4128" s="15">
        <v>1</v>
      </c>
      <c r="K4128" s="12" t="str">
        <f>HYPERLINK("http://twitter.com/download/android","Twitter for Android")</f>
        <v>Twitter for Android</v>
      </c>
      <c r="L4128" s="16">
        <v>141</v>
      </c>
      <c r="M4128" s="16">
        <v>150</v>
      </c>
      <c r="N4128" s="16">
        <v>0</v>
      </c>
      <c r="O4128" s="17"/>
      <c r="P4128" s="18">
        <v>43274.37228009259</v>
      </c>
      <c r="Q4128" s="7"/>
      <c r="R4128" s="7"/>
      <c r="S4128" s="8"/>
      <c r="T4128" s="8"/>
      <c r="U4128" s="19" t="str">
        <f>HYPERLINK("https://pbs.twimg.com/profile_images/1170067935345467392/dRXIWhCZ.jpg","View")</f>
        <v>View</v>
      </c>
      <c r="V4128" s="8"/>
      <c r="W4128" s="8"/>
      <c r="X4128" s="8"/>
      <c r="Y4128" s="8"/>
      <c r="Z4128" s="8"/>
    </row>
    <row r="4129" spans="1:26" ht="12.75">
      <c r="A4129" s="11">
        <v>43747.126967592594</v>
      </c>
      <c r="B4129" s="12" t="str">
        <f>HYPERLINK("https://twitter.com/HetmanOmeri","@HetmanOmeri")</f>
        <v>@HetmanOmeri</v>
      </c>
      <c r="C4129" s="7" t="s">
        <v>21290</v>
      </c>
      <c r="D4129" s="7" t="s">
        <v>21291</v>
      </c>
      <c r="E4129" s="12" t="str">
        <f>HYPERLINK("https://twitter.com/HetmanOmeri/status/1181872641801641989","1181872641801641989")</f>
        <v>1181872641801641989</v>
      </c>
      <c r="F4129" s="8"/>
      <c r="G4129" s="7"/>
      <c r="H4129" s="8"/>
      <c r="I4129" s="15">
        <v>2</v>
      </c>
      <c r="J4129" s="15">
        <v>15</v>
      </c>
      <c r="K4129" s="12" t="str">
        <f>HYPERLINK("http://twitter.com/download/iphone","Twitter for iPhone")</f>
        <v>Twitter for iPhone</v>
      </c>
      <c r="L4129" s="16">
        <v>58636</v>
      </c>
      <c r="M4129" s="16">
        <v>28807</v>
      </c>
      <c r="N4129" s="16">
        <v>27</v>
      </c>
      <c r="O4129" s="17"/>
      <c r="P4129" s="18">
        <v>40530.085914351854</v>
      </c>
      <c r="Q4129" s="7" t="s">
        <v>21292</v>
      </c>
      <c r="R4129" s="7" t="s">
        <v>21293</v>
      </c>
      <c r="S4129" s="8"/>
      <c r="T4129" s="8"/>
      <c r="U4129" s="19" t="str">
        <f>HYPERLINK("https://pbs.twimg.com/profile_images/1177214799194853376/EKF5BGiG.jpg","View")</f>
        <v>View</v>
      </c>
      <c r="V4129" s="8"/>
      <c r="W4129" s="8"/>
      <c r="X4129" s="8"/>
      <c r="Y4129" s="8"/>
      <c r="Z4129" s="8"/>
    </row>
    <row r="4130" spans="1:26" ht="12.75">
      <c r="A4130" s="11">
        <v>43747.126956018517</v>
      </c>
      <c r="B4130" s="12" t="str">
        <f>HYPERLINK("https://twitter.com/brkkaratekin55","@brkkaratekin55")</f>
        <v>@brkkaratekin55</v>
      </c>
      <c r="C4130" s="7" t="s">
        <v>21294</v>
      </c>
      <c r="D4130" s="7" t="s">
        <v>21295</v>
      </c>
      <c r="E4130" s="12" t="str">
        <f>HYPERLINK("https://twitter.com/brkkaratekin55/status/1181872636302888961","1181872636302888961")</f>
        <v>1181872636302888961</v>
      </c>
      <c r="F4130" s="8"/>
      <c r="G4130" s="15"/>
      <c r="H4130" s="8"/>
      <c r="I4130" s="15">
        <v>0</v>
      </c>
      <c r="J4130" s="15">
        <v>1</v>
      </c>
      <c r="K4130" s="12" t="str">
        <f>HYPERLINK("https://mobile.twitter.com","Twitter Web App")</f>
        <v>Twitter Web App</v>
      </c>
      <c r="L4130" s="16">
        <v>81</v>
      </c>
      <c r="M4130" s="16">
        <v>21</v>
      </c>
      <c r="N4130" s="16">
        <v>0</v>
      </c>
      <c r="O4130" s="17"/>
      <c r="P4130" s="18">
        <v>40936.020104166666</v>
      </c>
      <c r="Q4130" s="7" t="s">
        <v>2013</v>
      </c>
      <c r="R4130" s="7"/>
      <c r="S4130" s="8"/>
      <c r="T4130" s="8"/>
      <c r="U4130" s="19" t="str">
        <f>HYPERLINK("https://pbs.twimg.com/profile_images/568422650779688960/c2rJ8DM4.jpeg","View")</f>
        <v>View</v>
      </c>
      <c r="V4130" s="8"/>
      <c r="W4130" s="8"/>
      <c r="X4130" s="8"/>
      <c r="Y4130" s="8"/>
      <c r="Z4130" s="8"/>
    </row>
    <row r="4131" spans="1:26" ht="12.75">
      <c r="A4131" s="11">
        <v>43747.126932870371</v>
      </c>
      <c r="B4131" s="12" t="str">
        <f>HYPERLINK("https://twitter.com/YBerktug","@YBerktug")</f>
        <v>@YBerktug</v>
      </c>
      <c r="C4131" s="7" t="s">
        <v>21296</v>
      </c>
      <c r="D4131" s="7" t="s">
        <v>21297</v>
      </c>
      <c r="E4131" s="12" t="str">
        <f>HYPERLINK("https://twitter.com/YBerktug/status/1181872629512364032","1181872629512364032")</f>
        <v>1181872629512364032</v>
      </c>
      <c r="F4131" s="14" t="s">
        <v>5845</v>
      </c>
      <c r="G4131" s="14" t="s">
        <v>5847</v>
      </c>
      <c r="H4131" s="8"/>
      <c r="I4131" s="15">
        <v>0</v>
      </c>
      <c r="J4131" s="15">
        <v>1</v>
      </c>
      <c r="K4131" s="12" t="str">
        <f>HYPERLINK("http://twitter.com/download/iphone","Twitter for iPhone")</f>
        <v>Twitter for iPhone</v>
      </c>
      <c r="L4131" s="16">
        <v>41</v>
      </c>
      <c r="M4131" s="16">
        <v>42</v>
      </c>
      <c r="N4131" s="16">
        <v>0</v>
      </c>
      <c r="O4131" s="17"/>
      <c r="P4131" s="18">
        <v>43525.49800925926</v>
      </c>
      <c r="Q4131" s="7" t="s">
        <v>2277</v>
      </c>
      <c r="R4131" s="7"/>
      <c r="S4131" s="8"/>
      <c r="T4131" s="8"/>
      <c r="U4131" s="19" t="str">
        <f>HYPERLINK("https://pbs.twimg.com/profile_images/1179861418084110338/mmMkeGml.jpg","View")</f>
        <v>View</v>
      </c>
      <c r="V4131" s="8"/>
      <c r="W4131" s="8"/>
      <c r="X4131" s="8"/>
      <c r="Y4131" s="8"/>
      <c r="Z4131" s="8"/>
    </row>
    <row r="4132" spans="1:26" ht="12.75">
      <c r="A4132" s="11">
        <v>43747.126921296294</v>
      </c>
      <c r="B4132" s="12" t="str">
        <f>HYPERLINK("https://twitter.com/4ys3ll_","@4ys3ll_")</f>
        <v>@4ys3ll_</v>
      </c>
      <c r="C4132" s="7" t="s">
        <v>21298</v>
      </c>
      <c r="D4132" s="7" t="s">
        <v>21299</v>
      </c>
      <c r="E4132" s="12" t="str">
        <f>HYPERLINK("https://twitter.com/4ys3ll_/status/1181872625481588736","1181872625481588736")</f>
        <v>1181872625481588736</v>
      </c>
      <c r="F4132" s="8"/>
      <c r="G4132" s="7"/>
      <c r="H4132" s="8"/>
      <c r="I4132" s="15">
        <v>0</v>
      </c>
      <c r="J4132" s="15">
        <v>2</v>
      </c>
      <c r="K4132" s="12" t="str">
        <f>HYPERLINK("http://twitter.com/download/iphone","Twitter for iPhone")</f>
        <v>Twitter for iPhone</v>
      </c>
      <c r="L4132" s="16">
        <v>129</v>
      </c>
      <c r="M4132" s="16">
        <v>463</v>
      </c>
      <c r="N4132" s="16">
        <v>0</v>
      </c>
      <c r="O4132" s="17"/>
      <c r="P4132" s="18">
        <v>42661.512430555551</v>
      </c>
      <c r="Q4132" s="7" t="s">
        <v>2858</v>
      </c>
      <c r="R4132" s="7" t="s">
        <v>21300</v>
      </c>
      <c r="S4132" s="8"/>
      <c r="T4132" s="8"/>
      <c r="U4132" s="19" t="str">
        <f>HYPERLINK("https://pbs.twimg.com/profile_images/1181542141870460929/A2lxnTjF.jpg","View")</f>
        <v>View</v>
      </c>
      <c r="V4132" s="8"/>
      <c r="W4132" s="8"/>
      <c r="X4132" s="8"/>
      <c r="Y4132" s="8"/>
      <c r="Z4132" s="8"/>
    </row>
    <row r="4133" spans="1:26" ht="12.75">
      <c r="A4133" s="11">
        <v>43747.126898148148</v>
      </c>
      <c r="B4133" s="12" t="str">
        <f>HYPERLINK("https://twitter.com/AgraNaif","@AgraNaif")</f>
        <v>@AgraNaif</v>
      </c>
      <c r="C4133" s="7" t="s">
        <v>21301</v>
      </c>
      <c r="D4133" s="7" t="s">
        <v>21302</v>
      </c>
      <c r="E4133" s="12" t="str">
        <f>HYPERLINK("https://twitter.com/AgraNaif/status/1181872615490805761","1181872615490805761")</f>
        <v>1181872615490805761</v>
      </c>
      <c r="F4133" s="8"/>
      <c r="G4133" s="15"/>
      <c r="H4133" s="8"/>
      <c r="I4133" s="15">
        <v>0</v>
      </c>
      <c r="J4133" s="15">
        <v>2</v>
      </c>
      <c r="K4133" s="12" t="str">
        <f>HYPERLINK("http://twitter.com/download/iphone","Twitter for iPhone")</f>
        <v>Twitter for iPhone</v>
      </c>
      <c r="L4133" s="16">
        <v>1</v>
      </c>
      <c r="M4133" s="16">
        <v>16</v>
      </c>
      <c r="N4133" s="16">
        <v>0</v>
      </c>
      <c r="O4133" s="17"/>
      <c r="P4133" s="18">
        <v>43666.037615740745</v>
      </c>
      <c r="Q4133" s="7"/>
      <c r="R4133" s="7" t="s">
        <v>21303</v>
      </c>
      <c r="S4133" s="8"/>
      <c r="T4133" s="8"/>
      <c r="U4133" s="19" t="str">
        <f>HYPERLINK("https://pbs.twimg.com/profile_images/1152487601447886850/2gHjjP7l.jpg","View")</f>
        <v>View</v>
      </c>
      <c r="V4133" s="8"/>
      <c r="W4133" s="8"/>
      <c r="X4133" s="8"/>
      <c r="Y4133" s="8"/>
      <c r="Z4133" s="8"/>
    </row>
    <row r="4134" spans="1:26" ht="12.75">
      <c r="A4134" s="11">
        <v>43747.126886574071</v>
      </c>
      <c r="B4134" s="12" t="str">
        <f>HYPERLINK("https://twitter.com/KaymakamAkkaya","@KaymakamAkkaya")</f>
        <v>@KaymakamAkkaya</v>
      </c>
      <c r="C4134" s="7" t="s">
        <v>21304</v>
      </c>
      <c r="D4134" s="7" t="s">
        <v>21305</v>
      </c>
      <c r="E4134" s="12" t="str">
        <f>HYPERLINK("https://twitter.com/KaymakamAkkaya/status/1181872612730904581","1181872612730904581")</f>
        <v>1181872612730904581</v>
      </c>
      <c r="F4134" s="15"/>
      <c r="G4134" s="14" t="s">
        <v>21306</v>
      </c>
      <c r="H4134" s="8"/>
      <c r="I4134" s="15">
        <v>0</v>
      </c>
      <c r="J4134" s="15">
        <v>5</v>
      </c>
      <c r="K4134" s="12" t="str">
        <f>HYPERLINK("http://twitter.com/download/iphone","Twitter for iPhone")</f>
        <v>Twitter for iPhone</v>
      </c>
      <c r="L4134" s="16">
        <v>257</v>
      </c>
      <c r="M4134" s="16">
        <v>194</v>
      </c>
      <c r="N4134" s="16">
        <v>0</v>
      </c>
      <c r="O4134" s="17"/>
      <c r="P4134" s="18">
        <v>40935.533819444448</v>
      </c>
      <c r="Q4134" s="7" t="s">
        <v>21307</v>
      </c>
      <c r="R4134" s="7" t="s">
        <v>21308</v>
      </c>
      <c r="S4134" s="14" t="s">
        <v>21309</v>
      </c>
      <c r="T4134" s="8"/>
      <c r="U4134" s="19" t="str">
        <f>HYPERLINK("https://pbs.twimg.com/profile_images/814232697472249860/AWBztit0.jpg","View")</f>
        <v>View</v>
      </c>
      <c r="V4134" s="8"/>
      <c r="W4134" s="8"/>
      <c r="X4134" s="8"/>
      <c r="Y4134" s="8"/>
      <c r="Z4134" s="8"/>
    </row>
    <row r="4135" spans="1:26" ht="12.75">
      <c r="A4135" s="11">
        <v>43747.126851851848</v>
      </c>
      <c r="B4135" s="12" t="str">
        <f>HYPERLINK("https://twitter.com/sillatekin","@sillatekin")</f>
        <v>@sillatekin</v>
      </c>
      <c r="C4135" s="7" t="s">
        <v>21310</v>
      </c>
      <c r="D4135" s="7" t="s">
        <v>20239</v>
      </c>
      <c r="E4135" s="12" t="str">
        <f>HYPERLINK("https://twitter.com/sillatekin/status/1181872598650691584","1181872598650691584")</f>
        <v>1181872598650691584</v>
      </c>
      <c r="F4135" s="14" t="s">
        <v>20240</v>
      </c>
      <c r="G4135" s="14" t="s">
        <v>20241</v>
      </c>
      <c r="H4135" s="8"/>
      <c r="I4135" s="15">
        <v>0</v>
      </c>
      <c r="J4135" s="15">
        <v>0</v>
      </c>
      <c r="K4135" s="12" t="str">
        <f>HYPERLINK("http://twitter.com/download/iphone","Twitter for iPhone")</f>
        <v>Twitter for iPhone</v>
      </c>
      <c r="L4135" s="16">
        <v>78</v>
      </c>
      <c r="M4135" s="16">
        <v>113</v>
      </c>
      <c r="N4135" s="16">
        <v>0</v>
      </c>
      <c r="O4135" s="17"/>
      <c r="P4135" s="18">
        <v>43520.304571759261</v>
      </c>
      <c r="Q4135" s="7"/>
      <c r="R4135" s="7"/>
      <c r="S4135" s="8"/>
      <c r="T4135" s="8"/>
      <c r="U4135" s="19" t="str">
        <f>HYPERLINK("https://pbs.twimg.com/profile_images/1121839376407855109/EzockJpc.jpg","View")</f>
        <v>View</v>
      </c>
      <c r="V4135" s="8"/>
      <c r="W4135" s="8"/>
      <c r="X4135" s="8"/>
      <c r="Y4135" s="8"/>
      <c r="Z4135" s="8"/>
    </row>
    <row r="4136" spans="1:26" ht="12.75">
      <c r="A4136" s="11">
        <v>43747.126747685186</v>
      </c>
      <c r="B4136" s="12" t="str">
        <f>HYPERLINK("https://twitter.com/EslemnurDedegil","@EslemnurDedegil")</f>
        <v>@EslemnurDedegil</v>
      </c>
      <c r="C4136" s="7" t="s">
        <v>21311</v>
      </c>
      <c r="D4136" s="7" t="s">
        <v>21312</v>
      </c>
      <c r="E4136" s="12" t="str">
        <f>HYPERLINK("https://twitter.com/EslemnurDedegil/status/1181872562667700224","1181872562667700224")</f>
        <v>1181872562667700224</v>
      </c>
      <c r="F4136" s="8"/>
      <c r="G4136" s="15"/>
      <c r="H4136" s="8"/>
      <c r="I4136" s="15">
        <v>0</v>
      </c>
      <c r="J4136" s="15">
        <v>1</v>
      </c>
      <c r="K4136" s="12" t="str">
        <f>HYPERLINK("http://twitter.com","Twitter Web Client")</f>
        <v>Twitter Web Client</v>
      </c>
      <c r="L4136" s="16">
        <v>3</v>
      </c>
      <c r="M4136" s="16">
        <v>0</v>
      </c>
      <c r="N4136" s="16">
        <v>0</v>
      </c>
      <c r="O4136" s="17"/>
      <c r="P4136" s="18">
        <v>43703.323425925926</v>
      </c>
      <c r="Q4136" s="7" t="s">
        <v>4807</v>
      </c>
      <c r="R4136" s="7" t="s">
        <v>21313</v>
      </c>
      <c r="S4136" s="15"/>
      <c r="T4136" s="8"/>
      <c r="U4136" s="19" t="str">
        <f>HYPERLINK("https://pbs.twimg.com/profile_images/1166787925490769923/69f1fsb5.jpg","View")</f>
        <v>View</v>
      </c>
      <c r="V4136" s="8"/>
      <c r="W4136" s="8"/>
      <c r="X4136" s="8"/>
      <c r="Y4136" s="8"/>
      <c r="Z4136" s="8"/>
    </row>
    <row r="4137" spans="1:26" ht="12.75">
      <c r="A4137" s="11">
        <v>43747.126712962963</v>
      </c>
      <c r="B4137" s="12" t="str">
        <f>HYPERLINK("https://twitter.com/mhmt_inc","@mhmt_inc")</f>
        <v>@mhmt_inc</v>
      </c>
      <c r="C4137" s="7" t="s">
        <v>4984</v>
      </c>
      <c r="D4137" s="7" t="s">
        <v>21314</v>
      </c>
      <c r="E4137" s="12" t="str">
        <f>HYPERLINK("https://twitter.com/mhmt_inc/status/1181872549241733120","1181872549241733120")</f>
        <v>1181872549241733120</v>
      </c>
      <c r="F4137" s="8"/>
      <c r="G4137" s="7"/>
      <c r="H4137" s="8"/>
      <c r="I4137" s="15">
        <v>0</v>
      </c>
      <c r="J4137" s="15">
        <v>1</v>
      </c>
      <c r="K4137" s="12" t="str">
        <f>HYPERLINK("http://twitter.com/download/iphone","Twitter for iPhone")</f>
        <v>Twitter for iPhone</v>
      </c>
      <c r="L4137" s="16">
        <v>74</v>
      </c>
      <c r="M4137" s="16">
        <v>253</v>
      </c>
      <c r="N4137" s="16">
        <v>0</v>
      </c>
      <c r="O4137" s="17"/>
      <c r="P4137" s="18">
        <v>42630.622083333335</v>
      </c>
      <c r="Q4137" s="7"/>
      <c r="R4137" s="7" t="s">
        <v>21315</v>
      </c>
      <c r="S4137" s="8"/>
      <c r="T4137" s="8"/>
      <c r="U4137" s="19" t="str">
        <f>HYPERLINK("https://pbs.twimg.com/profile_images/865308832813240320/ZjlnqZfG.jpg","View")</f>
        <v>View</v>
      </c>
      <c r="V4137" s="8"/>
      <c r="W4137" s="8"/>
      <c r="X4137" s="8"/>
      <c r="Y4137" s="8"/>
      <c r="Z4137" s="8"/>
    </row>
    <row r="4138" spans="1:26" ht="12.75">
      <c r="A4138" s="11">
        <v>43747.126689814817</v>
      </c>
      <c r="B4138" s="12" t="str">
        <f>HYPERLINK("https://twitter.com/Ridvan47570142","@Ridvan47570142")</f>
        <v>@Ridvan47570142</v>
      </c>
      <c r="C4138" s="7" t="s">
        <v>21316</v>
      </c>
      <c r="D4138" s="7" t="s">
        <v>21317</v>
      </c>
      <c r="E4138" s="12" t="str">
        <f>HYPERLINK("https://twitter.com/Ridvan47570142/status/1181872541750747137","1181872541750747137")</f>
        <v>1181872541750747137</v>
      </c>
      <c r="F4138" s="8"/>
      <c r="G4138" s="14" t="s">
        <v>21318</v>
      </c>
      <c r="H4138" s="8"/>
      <c r="I4138" s="15">
        <v>0</v>
      </c>
      <c r="J4138" s="15">
        <v>1</v>
      </c>
      <c r="K4138" s="12" t="str">
        <f>HYPERLINK("http://twitter.com/download/android","Twitter for Android")</f>
        <v>Twitter for Android</v>
      </c>
      <c r="L4138" s="16">
        <v>79</v>
      </c>
      <c r="M4138" s="16">
        <v>106</v>
      </c>
      <c r="N4138" s="16">
        <v>0</v>
      </c>
      <c r="O4138" s="17"/>
      <c r="P4138" s="18">
        <v>43476.443333333329</v>
      </c>
      <c r="Q4138" s="7" t="s">
        <v>287</v>
      </c>
      <c r="R4138" s="7" t="s">
        <v>21319</v>
      </c>
      <c r="S4138" s="15"/>
      <c r="T4138" s="8"/>
      <c r="U4138" s="19" t="str">
        <f>HYPERLINK("https://pbs.twimg.com/profile_images/1181220086021083136/8_Pbmviq.jpg","View")</f>
        <v>View</v>
      </c>
      <c r="V4138" s="8"/>
      <c r="W4138" s="8"/>
      <c r="X4138" s="8"/>
      <c r="Y4138" s="8"/>
      <c r="Z4138" s="8"/>
    </row>
    <row r="4139" spans="1:26" ht="12.75">
      <c r="A4139" s="11">
        <v>43747.126655092594</v>
      </c>
      <c r="B4139" s="12" t="str">
        <f>HYPERLINK("https://twitter.com/cebiyakupcan","@cebiyakupcan")</f>
        <v>@cebiyakupcan</v>
      </c>
      <c r="C4139" s="7" t="s">
        <v>21320</v>
      </c>
      <c r="D4139" s="7" t="s">
        <v>21321</v>
      </c>
      <c r="E4139" s="12" t="str">
        <f>HYPERLINK("https://twitter.com/cebiyakupcan/status/1181872529104887809","1181872529104887809")</f>
        <v>1181872529104887809</v>
      </c>
      <c r="F4139" s="8"/>
      <c r="G4139" s="14" t="s">
        <v>21322</v>
      </c>
      <c r="H4139" s="8"/>
      <c r="I4139" s="15">
        <v>0</v>
      </c>
      <c r="J4139" s="15">
        <v>2</v>
      </c>
      <c r="K4139" s="12" t="str">
        <f>HYPERLINK("http://twitter.com/download/iphone","Twitter for iPhone")</f>
        <v>Twitter for iPhone</v>
      </c>
      <c r="L4139" s="16">
        <v>9163</v>
      </c>
      <c r="M4139" s="16">
        <v>621</v>
      </c>
      <c r="N4139" s="16">
        <v>1</v>
      </c>
      <c r="O4139" s="17"/>
      <c r="P4139" s="18">
        <v>41992.249351851853</v>
      </c>
      <c r="Q4139" s="7" t="s">
        <v>1748</v>
      </c>
      <c r="R4139" s="7" t="s">
        <v>21323</v>
      </c>
      <c r="S4139" s="8"/>
      <c r="T4139" s="8"/>
      <c r="U4139" s="19" t="str">
        <f>HYPERLINK("https://pbs.twimg.com/profile_images/1169295192320598016/9V6fwqdV.jpg","View")</f>
        <v>View</v>
      </c>
      <c r="V4139" s="8"/>
      <c r="W4139" s="8"/>
      <c r="X4139" s="8"/>
      <c r="Y4139" s="8"/>
      <c r="Z4139" s="8"/>
    </row>
    <row r="4140" spans="1:26" ht="12.75">
      <c r="A4140" s="11">
        <v>43747.126608796301</v>
      </c>
      <c r="B4140" s="12" t="str">
        <f>HYPERLINK("https://twitter.com/ihsan_acar","@ihsan_acar")</f>
        <v>@ihsan_acar</v>
      </c>
      <c r="C4140" s="7" t="s">
        <v>21324</v>
      </c>
      <c r="D4140" s="7" t="s">
        <v>17595</v>
      </c>
      <c r="E4140" s="12" t="str">
        <f>HYPERLINK("https://twitter.com/ihsan_acar/status/1181872509920186370","1181872509920186370")</f>
        <v>1181872509920186370</v>
      </c>
      <c r="F4140" s="8"/>
      <c r="G4140" s="15"/>
      <c r="H4140" s="8"/>
      <c r="I4140" s="15">
        <v>0</v>
      </c>
      <c r="J4140" s="15">
        <v>0</v>
      </c>
      <c r="K4140" s="12" t="str">
        <f>HYPERLINK("http://twitter.com/download/android","Twitter for Android")</f>
        <v>Twitter for Android</v>
      </c>
      <c r="L4140" s="16">
        <v>1434</v>
      </c>
      <c r="M4140" s="16">
        <v>2403</v>
      </c>
      <c r="N4140" s="16">
        <v>6</v>
      </c>
      <c r="O4140" s="17"/>
      <c r="P4140" s="18">
        <v>40726.568530092591</v>
      </c>
      <c r="Q4140" s="7" t="s">
        <v>706</v>
      </c>
      <c r="R4140" s="7" t="s">
        <v>21325</v>
      </c>
      <c r="S4140" s="8"/>
      <c r="T4140" s="8"/>
      <c r="U4140" s="19" t="str">
        <f>HYPERLINK("https://pbs.twimg.com/profile_images/626296135020335104/LqNbjeuT.jpg","View")</f>
        <v>View</v>
      </c>
      <c r="V4140" s="8"/>
      <c r="W4140" s="8"/>
      <c r="X4140" s="8"/>
      <c r="Y4140" s="8"/>
      <c r="Z4140" s="8"/>
    </row>
    <row r="4141" spans="1:26" ht="12.75">
      <c r="A4141" s="11">
        <v>43747.126562500001</v>
      </c>
      <c r="B4141" s="12" t="str">
        <f>HYPERLINK("https://twitter.com/uckahmet","@uckahmet")</f>
        <v>@uckahmet</v>
      </c>
      <c r="C4141" s="7" t="s">
        <v>21326</v>
      </c>
      <c r="D4141" s="7" t="s">
        <v>160</v>
      </c>
      <c r="E4141" s="12" t="str">
        <f>HYPERLINK("https://twitter.com/uckahmet/status/1181872494573232128","1181872494573232128")</f>
        <v>1181872494573232128</v>
      </c>
      <c r="F4141" s="8"/>
      <c r="G4141" s="14" t="s">
        <v>21327</v>
      </c>
      <c r="H4141" s="8"/>
      <c r="I4141" s="15">
        <v>1</v>
      </c>
      <c r="J4141" s="15">
        <v>2</v>
      </c>
      <c r="K4141" s="12" t="str">
        <f>HYPERLINK("http://twitter.com/download/iphone","Twitter for iPhone")</f>
        <v>Twitter for iPhone</v>
      </c>
      <c r="L4141" s="16">
        <v>134</v>
      </c>
      <c r="M4141" s="16">
        <v>114</v>
      </c>
      <c r="N4141" s="16">
        <v>0</v>
      </c>
      <c r="O4141" s="17"/>
      <c r="P4141" s="18">
        <v>43419.98274305556</v>
      </c>
      <c r="Q4141" s="7" t="s">
        <v>685</v>
      </c>
      <c r="R4141" s="7" t="s">
        <v>21328</v>
      </c>
      <c r="S4141" s="14" t="s">
        <v>21329</v>
      </c>
      <c r="T4141" s="8"/>
      <c r="U4141" s="19" t="str">
        <f>HYPERLINK("https://pbs.twimg.com/profile_images/1164811270387724288/ixv5Eeww.jpg","View")</f>
        <v>View</v>
      </c>
      <c r="V4141" s="8"/>
      <c r="W4141" s="8"/>
      <c r="X4141" s="8"/>
      <c r="Y4141" s="8"/>
      <c r="Z4141" s="8"/>
    </row>
    <row r="4142" spans="1:26" ht="12.75">
      <c r="A4142" s="11">
        <v>43747.126550925925</v>
      </c>
      <c r="B4142" s="12" t="str">
        <f>HYPERLINK("https://twitter.com/ayik_erdal","@ayik_erdal")</f>
        <v>@ayik_erdal</v>
      </c>
      <c r="C4142" s="7" t="s">
        <v>21330</v>
      </c>
      <c r="D4142" s="7" t="s">
        <v>21331</v>
      </c>
      <c r="E4142" s="12" t="str">
        <f>HYPERLINK("https://twitter.com/ayik_erdal/status/1181872490869641217","1181872490869641217")</f>
        <v>1181872490869641217</v>
      </c>
      <c r="F4142" s="8"/>
      <c r="G4142" s="14" t="s">
        <v>21332</v>
      </c>
      <c r="H4142" s="8"/>
      <c r="I4142" s="15">
        <v>0</v>
      </c>
      <c r="J4142" s="15">
        <v>1</v>
      </c>
      <c r="K4142" s="12" t="str">
        <f>HYPERLINK("http://twitter.com/download/android","Twitter for Android")</f>
        <v>Twitter for Android</v>
      </c>
      <c r="L4142" s="16">
        <v>27</v>
      </c>
      <c r="M4142" s="16">
        <v>309</v>
      </c>
      <c r="N4142" s="16">
        <v>0</v>
      </c>
      <c r="O4142" s="17"/>
      <c r="P4142" s="18">
        <v>42923.218217592592</v>
      </c>
      <c r="Q4142" s="7"/>
      <c r="R4142" s="7" t="s">
        <v>21333</v>
      </c>
      <c r="S4142" s="8"/>
      <c r="T4142" s="8"/>
      <c r="U4142" s="19" t="str">
        <f>HYPERLINK("https://pbs.twimg.com/profile_images/1181324229469323264/8WA_esAp.jpg","View")</f>
        <v>View</v>
      </c>
      <c r="V4142" s="8"/>
      <c r="W4142" s="8"/>
      <c r="X4142" s="8"/>
      <c r="Y4142" s="8"/>
      <c r="Z4142" s="8"/>
    </row>
    <row r="4143" spans="1:26" ht="12.75">
      <c r="A4143" s="11">
        <v>43747.126377314809</v>
      </c>
      <c r="B4143" s="12" t="str">
        <f>HYPERLINK("https://twitter.com/OzcanBASDAG2","@OzcanBASDAG2")</f>
        <v>@OzcanBASDAG2</v>
      </c>
      <c r="C4143" s="7" t="s">
        <v>21334</v>
      </c>
      <c r="D4143" s="7" t="s">
        <v>21335</v>
      </c>
      <c r="E4143" s="12" t="str">
        <f>HYPERLINK("https://twitter.com/OzcanBASDAG2/status/1181872426638069760","1181872426638069760")</f>
        <v>1181872426638069760</v>
      </c>
      <c r="F4143" s="8"/>
      <c r="G4143" s="14" t="s">
        <v>21336</v>
      </c>
      <c r="H4143" s="8"/>
      <c r="I4143" s="15">
        <v>0</v>
      </c>
      <c r="J4143" s="15">
        <v>4</v>
      </c>
      <c r="K4143" s="12" t="str">
        <f>HYPERLINK("http://twitter.com/download/iphone","Twitter for iPhone")</f>
        <v>Twitter for iPhone</v>
      </c>
      <c r="L4143" s="16">
        <v>521</v>
      </c>
      <c r="M4143" s="16">
        <v>6</v>
      </c>
      <c r="N4143" s="16">
        <v>0</v>
      </c>
      <c r="O4143" s="17"/>
      <c r="P4143" s="18">
        <v>43501.498796296291</v>
      </c>
      <c r="Q4143" s="7" t="s">
        <v>21337</v>
      </c>
      <c r="R4143" s="7"/>
      <c r="S4143" s="8"/>
      <c r="T4143" s="8"/>
      <c r="U4143" s="19" t="str">
        <f>HYPERLINK("https://pbs.twimg.com/profile_images/1150921764203048960/_TLnlAFh.jpg","View")</f>
        <v>View</v>
      </c>
      <c r="V4143" s="8"/>
      <c r="W4143" s="8"/>
      <c r="X4143" s="8"/>
      <c r="Y4143" s="8"/>
      <c r="Z4143" s="8"/>
    </row>
    <row r="4144" spans="1:26" ht="12.75">
      <c r="A4144" s="11">
        <v>43747.126307870371</v>
      </c>
      <c r="B4144" s="12" t="str">
        <f>HYPERLINK("https://twitter.com/adem31679011","@adem31679011")</f>
        <v>@adem31679011</v>
      </c>
      <c r="C4144" s="7" t="s">
        <v>15852</v>
      </c>
      <c r="D4144" s="7" t="s">
        <v>21338</v>
      </c>
      <c r="E4144" s="12" t="str">
        <f>HYPERLINK("https://twitter.com/adem31679011/status/1181872400306249728","1181872400306249728")</f>
        <v>1181872400306249728</v>
      </c>
      <c r="F4144" s="8"/>
      <c r="G4144" s="15"/>
      <c r="H4144" s="8"/>
      <c r="I4144" s="15">
        <v>0</v>
      </c>
      <c r="J4144" s="15">
        <v>1</v>
      </c>
      <c r="K4144" s="12" t="str">
        <f>HYPERLINK("http://twitter.com/download/android","Twitter for Android")</f>
        <v>Twitter for Android</v>
      </c>
      <c r="L4144" s="16">
        <v>25</v>
      </c>
      <c r="M4144" s="16">
        <v>66</v>
      </c>
      <c r="N4144" s="16">
        <v>0</v>
      </c>
      <c r="O4144" s="17"/>
      <c r="P4144" s="18">
        <v>43734.978761574079</v>
      </c>
      <c r="Q4144" s="7"/>
      <c r="R4144" s="7"/>
      <c r="S4144" s="8"/>
      <c r="T4144" s="8"/>
      <c r="U4144" s="19" t="str">
        <f>HYPERLINK("https://pbs.twimg.com/profile_images/1181255543882702848/7FT-d_7q.jpg","View")</f>
        <v>View</v>
      </c>
      <c r="V4144" s="8"/>
      <c r="W4144" s="8"/>
      <c r="X4144" s="8"/>
      <c r="Y4144" s="8"/>
      <c r="Z4144" s="8"/>
    </row>
    <row r="4145" spans="1:26" ht="12.75">
      <c r="A4145" s="11">
        <v>43747.126168981486</v>
      </c>
      <c r="B4145" s="12" t="str">
        <f>HYPERLINK("https://twitter.com/muratkfy3458","@muratkfy3458")</f>
        <v>@muratkfy3458</v>
      </c>
      <c r="C4145" s="7" t="s">
        <v>21339</v>
      </c>
      <c r="D4145" s="7" t="s">
        <v>21340</v>
      </c>
      <c r="E4145" s="12" t="str">
        <f>HYPERLINK("https://twitter.com/muratkfy3458/status/1181872352637964288","1181872352637964288")</f>
        <v>1181872352637964288</v>
      </c>
      <c r="F4145" s="8"/>
      <c r="G4145" s="15"/>
      <c r="H4145" s="8"/>
      <c r="I4145" s="15">
        <v>0</v>
      </c>
      <c r="J4145" s="15">
        <v>3</v>
      </c>
      <c r="K4145" s="12" t="str">
        <f>HYPERLINK("http://twitter.com/download/iphone","Twitter for iPhone")</f>
        <v>Twitter for iPhone</v>
      </c>
      <c r="L4145" s="16">
        <v>298</v>
      </c>
      <c r="M4145" s="16">
        <v>615</v>
      </c>
      <c r="N4145" s="16">
        <v>0</v>
      </c>
      <c r="O4145" s="17"/>
      <c r="P4145" s="18">
        <v>42419.602905092594</v>
      </c>
      <c r="Q4145" s="7"/>
      <c r="R4145" s="7" t="s">
        <v>21341</v>
      </c>
      <c r="S4145" s="8"/>
      <c r="T4145" s="8"/>
      <c r="U4145" s="19" t="str">
        <f>HYPERLINK("https://pbs.twimg.com/profile_images/1031652784662355968/MGuB2ujY.jpg","View")</f>
        <v>View</v>
      </c>
      <c r="V4145" s="8"/>
      <c r="W4145" s="8"/>
      <c r="X4145" s="8"/>
      <c r="Y4145" s="8"/>
      <c r="Z4145" s="8"/>
    </row>
    <row r="4146" spans="1:26" ht="12.75">
      <c r="A4146" s="11">
        <v>43747.126122685186</v>
      </c>
      <c r="B4146" s="12" t="str">
        <f>HYPERLINK("https://twitter.com/OzbekFurkan","@OzbekFurkan")</f>
        <v>@OzbekFurkan</v>
      </c>
      <c r="C4146" s="7" t="s">
        <v>21342</v>
      </c>
      <c r="D4146" s="7" t="s">
        <v>21343</v>
      </c>
      <c r="E4146" s="12" t="str">
        <f>HYPERLINK("https://twitter.com/OzbekFurkan/status/1181872337173536769","1181872337173536769")</f>
        <v>1181872337173536769</v>
      </c>
      <c r="F4146" s="8"/>
      <c r="G4146" s="14" t="s">
        <v>21344</v>
      </c>
      <c r="H4146" s="8"/>
      <c r="I4146" s="15">
        <v>0</v>
      </c>
      <c r="J4146" s="15">
        <v>4</v>
      </c>
      <c r="K4146" s="12" t="str">
        <f>HYPERLINK("http://twitter.com/download/iphone","Twitter for iPhone")</f>
        <v>Twitter for iPhone</v>
      </c>
      <c r="L4146" s="16">
        <v>78</v>
      </c>
      <c r="M4146" s="16">
        <v>162</v>
      </c>
      <c r="N4146" s="16">
        <v>0</v>
      </c>
      <c r="O4146" s="17"/>
      <c r="P4146" s="18">
        <v>42093.348287037035</v>
      </c>
      <c r="Q4146" s="7" t="s">
        <v>576</v>
      </c>
      <c r="R4146" s="7" t="s">
        <v>21345</v>
      </c>
      <c r="S4146" s="8"/>
      <c r="T4146" s="8"/>
      <c r="U4146" s="19" t="str">
        <f>HYPERLINK("https://pbs.twimg.com/profile_images/974899958863355904/1hqFLFDQ.jpg","View")</f>
        <v>View</v>
      </c>
      <c r="V4146" s="8"/>
      <c r="W4146" s="8"/>
      <c r="X4146" s="8"/>
      <c r="Y4146" s="8"/>
      <c r="Z4146" s="8"/>
    </row>
    <row r="4147" spans="1:26" ht="12.75">
      <c r="A4147" s="11">
        <v>43747.12605324074</v>
      </c>
      <c r="B4147" s="12" t="str">
        <f>HYPERLINK("https://twitter.com/Ay_sima06beyza","@Ay_sima06beyza")</f>
        <v>@Ay_sima06beyza</v>
      </c>
      <c r="C4147" s="7" t="s">
        <v>21346</v>
      </c>
      <c r="D4147" s="7" t="s">
        <v>21347</v>
      </c>
      <c r="E4147" s="12" t="str">
        <f>HYPERLINK("https://twitter.com/Ay_sima06beyza/status/1181872308954251264","1181872308954251264")</f>
        <v>1181872308954251264</v>
      </c>
      <c r="F4147" s="15"/>
      <c r="G4147" s="7"/>
      <c r="H4147" s="8"/>
      <c r="I4147" s="15">
        <v>0</v>
      </c>
      <c r="J4147" s="15">
        <v>1</v>
      </c>
      <c r="K4147" s="12" t="str">
        <f>HYPERLINK("http://twitter.com/download/android","Twitter for Android")</f>
        <v>Twitter for Android</v>
      </c>
      <c r="L4147" s="16">
        <v>978</v>
      </c>
      <c r="M4147" s="16">
        <v>1091</v>
      </c>
      <c r="N4147" s="16">
        <v>0</v>
      </c>
      <c r="O4147" s="17"/>
      <c r="P4147" s="18">
        <v>43554.674375000002</v>
      </c>
      <c r="Q4147" s="7" t="s">
        <v>287</v>
      </c>
      <c r="R4147" s="7" t="s">
        <v>21348</v>
      </c>
      <c r="S4147" s="8"/>
      <c r="T4147" s="8"/>
      <c r="U4147" s="19" t="str">
        <f>HYPERLINK("https://pbs.twimg.com/profile_images/1157226738046373889/FyPfmxef.jpg","View")</f>
        <v>View</v>
      </c>
      <c r="V4147" s="8"/>
      <c r="W4147" s="8"/>
      <c r="X4147" s="8"/>
      <c r="Y4147" s="8"/>
      <c r="Z4147" s="8"/>
    </row>
    <row r="4148" spans="1:26" ht="12.75">
      <c r="A4148" s="11">
        <v>43747.126030092593</v>
      </c>
      <c r="B4148" s="12" t="str">
        <f>HYPERLINK("https://twitter.com/gktrkakyz","@gktrkakyz")</f>
        <v>@gktrkakyz</v>
      </c>
      <c r="C4148" s="7" t="s">
        <v>21349</v>
      </c>
      <c r="D4148" s="7" t="s">
        <v>9019</v>
      </c>
      <c r="E4148" s="12" t="str">
        <f>HYPERLINK("https://twitter.com/gktrkakyz/status/1181872302557990915","1181872302557990915")</f>
        <v>1181872302557990915</v>
      </c>
      <c r="F4148" s="8"/>
      <c r="G4148" s="14" t="s">
        <v>21350</v>
      </c>
      <c r="H4148" s="8"/>
      <c r="I4148" s="15">
        <v>0</v>
      </c>
      <c r="J4148" s="15">
        <v>1</v>
      </c>
      <c r="K4148" s="12" t="str">
        <f>HYPERLINK("http://twitter.com/download/iphone","Twitter for iPhone")</f>
        <v>Twitter for iPhone</v>
      </c>
      <c r="L4148" s="16">
        <v>62</v>
      </c>
      <c r="M4148" s="16">
        <v>197</v>
      </c>
      <c r="N4148" s="16">
        <v>0</v>
      </c>
      <c r="O4148" s="17"/>
      <c r="P4148" s="18">
        <v>43268.668449074074</v>
      </c>
      <c r="Q4148" s="7" t="s">
        <v>21351</v>
      </c>
      <c r="R4148" s="7" t="s">
        <v>3501</v>
      </c>
      <c r="S4148" s="8"/>
      <c r="T4148" s="8"/>
      <c r="U4148" s="19" t="str">
        <f>HYPERLINK("https://pbs.twimg.com/profile_images/1174496177401806849/P16aN2mL.jpg","View")</f>
        <v>View</v>
      </c>
      <c r="V4148" s="8"/>
      <c r="W4148" s="8"/>
      <c r="X4148" s="8"/>
      <c r="Y4148" s="8"/>
      <c r="Z4148" s="8"/>
    </row>
    <row r="4149" spans="1:26" ht="12.75">
      <c r="A4149" s="11">
        <v>43747.12599537037</v>
      </c>
      <c r="B4149" s="12" t="str">
        <f>HYPERLINK("https://twitter.com/ouzhanaxu","@ouzhanaxu")</f>
        <v>@ouzhanaxu</v>
      </c>
      <c r="C4149" s="7" t="s">
        <v>21352</v>
      </c>
      <c r="D4149" s="7" t="s">
        <v>21353</v>
      </c>
      <c r="E4149" s="12" t="str">
        <f>HYPERLINK("https://twitter.com/ouzhanaxu/status/1181872290499301377","1181872290499301377")</f>
        <v>1181872290499301377</v>
      </c>
      <c r="F4149" s="8"/>
      <c r="G4149" s="14" t="s">
        <v>21354</v>
      </c>
      <c r="H4149" s="8"/>
      <c r="I4149" s="15">
        <v>0</v>
      </c>
      <c r="J4149" s="15">
        <v>1</v>
      </c>
      <c r="K4149" s="12" t="str">
        <f>HYPERLINK("http://twitter.com/download/android","Twitter for Android")</f>
        <v>Twitter for Android</v>
      </c>
      <c r="L4149" s="16">
        <v>727</v>
      </c>
      <c r="M4149" s="16">
        <v>452</v>
      </c>
      <c r="N4149" s="16">
        <v>0</v>
      </c>
      <c r="O4149" s="17"/>
      <c r="P4149" s="18">
        <v>42877.528495370367</v>
      </c>
      <c r="Q4149" s="7" t="s">
        <v>1850</v>
      </c>
      <c r="R4149" s="7" t="s">
        <v>21355</v>
      </c>
      <c r="S4149" s="14" t="s">
        <v>21356</v>
      </c>
      <c r="T4149" s="8"/>
      <c r="U4149" s="19" t="str">
        <f>HYPERLINK("https://pbs.twimg.com/profile_images/1181559095658237952/GcBvWjAI.jpg","View")</f>
        <v>View</v>
      </c>
      <c r="V4149" s="8"/>
      <c r="W4149" s="8"/>
      <c r="X4149" s="8"/>
      <c r="Y4149" s="8"/>
      <c r="Z4149" s="8"/>
    </row>
    <row r="4150" spans="1:26" ht="12.75">
      <c r="A4150" s="11">
        <v>43747.125983796301</v>
      </c>
      <c r="B4150" s="12" t="str">
        <f>HYPERLINK("https://twitter.com/Gkdnzyldz8","@Gkdnzyldz8")</f>
        <v>@Gkdnzyldz8</v>
      </c>
      <c r="C4150" s="7" t="s">
        <v>21357</v>
      </c>
      <c r="D4150" s="7" t="s">
        <v>21358</v>
      </c>
      <c r="E4150" s="12" t="str">
        <f>HYPERLINK("https://twitter.com/Gkdnzyldz8/status/1181872282865680384","1181872282865680384")</f>
        <v>1181872282865680384</v>
      </c>
      <c r="F4150" s="8"/>
      <c r="G4150" s="14" t="s">
        <v>21359</v>
      </c>
      <c r="H4150" s="8"/>
      <c r="I4150" s="15">
        <v>0</v>
      </c>
      <c r="J4150" s="15">
        <v>4</v>
      </c>
      <c r="K4150" s="12" t="str">
        <f>HYPERLINK("http://twitter.com/download/android","Twitter for Android")</f>
        <v>Twitter for Android</v>
      </c>
      <c r="L4150" s="16">
        <v>148</v>
      </c>
      <c r="M4150" s="16">
        <v>194</v>
      </c>
      <c r="N4150" s="16">
        <v>0</v>
      </c>
      <c r="O4150" s="17"/>
      <c r="P4150" s="18">
        <v>42820.28833333333</v>
      </c>
      <c r="Q4150" s="7" t="s">
        <v>21042</v>
      </c>
      <c r="R4150" s="7" t="s">
        <v>21360</v>
      </c>
      <c r="S4150" s="8"/>
      <c r="T4150" s="8"/>
      <c r="U4150" s="19" t="str">
        <f>HYPERLINK("https://pbs.twimg.com/profile_images/954020606554656773/NwLvcYQO.jpg","View")</f>
        <v>View</v>
      </c>
      <c r="V4150" s="8"/>
      <c r="W4150" s="8"/>
      <c r="X4150" s="8"/>
      <c r="Y4150" s="8"/>
      <c r="Z4150" s="8"/>
    </row>
    <row r="4151" spans="1:26" ht="12.75">
      <c r="A4151" s="11">
        <v>43747.125937500001</v>
      </c>
      <c r="B4151" s="12" t="str">
        <f>HYPERLINK("https://twitter.com/Furkanceli54","@Furkanceli54")</f>
        <v>@Furkanceli54</v>
      </c>
      <c r="C4151" s="7" t="s">
        <v>21361</v>
      </c>
      <c r="D4151" s="7" t="s">
        <v>160</v>
      </c>
      <c r="E4151" s="12" t="str">
        <f>HYPERLINK("https://twitter.com/Furkanceli54/status/1181872268122701825","1181872268122701825")</f>
        <v>1181872268122701825</v>
      </c>
      <c r="F4151" s="8"/>
      <c r="G4151" s="14" t="s">
        <v>21362</v>
      </c>
      <c r="H4151" s="8"/>
      <c r="I4151" s="15">
        <v>0</v>
      </c>
      <c r="J4151" s="15">
        <v>5</v>
      </c>
      <c r="K4151" s="12" t="str">
        <f>HYPERLINK("http://twitter.com/download/android","Twitter for Android")</f>
        <v>Twitter for Android</v>
      </c>
      <c r="L4151" s="16">
        <v>341</v>
      </c>
      <c r="M4151" s="16">
        <v>322</v>
      </c>
      <c r="N4151" s="16">
        <v>1</v>
      </c>
      <c r="O4151" s="17"/>
      <c r="P4151" s="18">
        <v>41148.017662037033</v>
      </c>
      <c r="Q4151" s="7"/>
      <c r="R4151" s="7" t="s">
        <v>21363</v>
      </c>
      <c r="S4151" s="8"/>
      <c r="T4151" s="8"/>
      <c r="U4151" s="19" t="str">
        <f>HYPERLINK("https://pbs.twimg.com/profile_images/1125684474178621440/hJfm5nnm.jpg","View")</f>
        <v>View</v>
      </c>
      <c r="V4151" s="8"/>
      <c r="W4151" s="8"/>
      <c r="X4151" s="8"/>
      <c r="Y4151" s="8"/>
      <c r="Z4151" s="8"/>
    </row>
    <row r="4152" spans="1:26" ht="12.75">
      <c r="A4152" s="11">
        <v>43747.125937500001</v>
      </c>
      <c r="B4152" s="12" t="str">
        <f>HYPERLINK("https://twitter.com/dnz_ce","@dnz_ce")</f>
        <v>@dnz_ce</v>
      </c>
      <c r="C4152" s="7" t="s">
        <v>21364</v>
      </c>
      <c r="D4152" s="7" t="s">
        <v>21365</v>
      </c>
      <c r="E4152" s="12" t="str">
        <f>HYPERLINK("https://twitter.com/dnz_ce/status/1181872267942334465","1181872267942334465")</f>
        <v>1181872267942334465</v>
      </c>
      <c r="F4152" s="8"/>
      <c r="G4152" s="14" t="s">
        <v>21366</v>
      </c>
      <c r="H4152" s="8"/>
      <c r="I4152" s="15">
        <v>2</v>
      </c>
      <c r="J4152" s="15">
        <v>4</v>
      </c>
      <c r="K4152" s="12" t="str">
        <f>HYPERLINK("http://twitter.com/download/iphone","Twitter for iPhone")</f>
        <v>Twitter for iPhone</v>
      </c>
      <c r="L4152" s="16">
        <v>40328</v>
      </c>
      <c r="M4152" s="16">
        <v>23176</v>
      </c>
      <c r="N4152" s="16">
        <v>55</v>
      </c>
      <c r="O4152" s="17"/>
      <c r="P4152" s="18">
        <v>40840.029768518521</v>
      </c>
      <c r="Q4152" s="7" t="s">
        <v>21367</v>
      </c>
      <c r="R4152" s="7" t="s">
        <v>21368</v>
      </c>
      <c r="S4152" s="15"/>
      <c r="T4152" s="8"/>
      <c r="U4152" s="19" t="str">
        <f>HYPERLINK("https://pbs.twimg.com/profile_images/1149666695721705472/ViE0tqBR.jpg","View")</f>
        <v>View</v>
      </c>
      <c r="V4152" s="8"/>
      <c r="W4152" s="8"/>
      <c r="X4152" s="8"/>
      <c r="Y4152" s="8"/>
      <c r="Z4152" s="8"/>
    </row>
    <row r="4153" spans="1:26" ht="12.75">
      <c r="A4153" s="11">
        <v>43747.125914351855</v>
      </c>
      <c r="B4153" s="12" t="str">
        <f>HYPERLINK("https://twitter.com/kadirakyol_80","@kadirakyol_80")</f>
        <v>@kadirakyol_80</v>
      </c>
      <c r="C4153" s="7" t="s">
        <v>21369</v>
      </c>
      <c r="D4153" s="7" t="s">
        <v>21370</v>
      </c>
      <c r="E4153" s="12" t="str">
        <f>HYPERLINK("https://twitter.com/kadirakyol_80/status/1181872260782678017","1181872260782678017")</f>
        <v>1181872260782678017</v>
      </c>
      <c r="F4153" s="8"/>
      <c r="G4153" s="14" t="s">
        <v>21371</v>
      </c>
      <c r="H4153" s="8"/>
      <c r="I4153" s="15">
        <v>5</v>
      </c>
      <c r="J4153" s="15">
        <v>12</v>
      </c>
      <c r="K4153" s="12" t="str">
        <f>HYPERLINK("http://twitter.com/download/android","Twitter for Android")</f>
        <v>Twitter for Android</v>
      </c>
      <c r="L4153" s="16">
        <v>8869</v>
      </c>
      <c r="M4153" s="16">
        <v>9416</v>
      </c>
      <c r="N4153" s="16">
        <v>3</v>
      </c>
      <c r="O4153" s="17"/>
      <c r="P4153" s="18">
        <v>41109.754120370373</v>
      </c>
      <c r="Q4153" s="7" t="s">
        <v>918</v>
      </c>
      <c r="R4153" s="7" t="s">
        <v>21372</v>
      </c>
      <c r="S4153" s="8"/>
      <c r="T4153" s="8"/>
      <c r="U4153" s="19" t="str">
        <f>HYPERLINK("https://pbs.twimg.com/profile_images/1125473818951208961/jE_v1Lhc.jpg","View")</f>
        <v>View</v>
      </c>
      <c r="V4153" s="8"/>
      <c r="W4153" s="8"/>
      <c r="X4153" s="8"/>
      <c r="Y4153" s="8"/>
      <c r="Z4153" s="8"/>
    </row>
    <row r="4154" spans="1:26" ht="12.75">
      <c r="A4154" s="11">
        <v>43747.125914351855</v>
      </c>
      <c r="B4154" s="12" t="str">
        <f>HYPERLINK("https://twitter.com/ysfsmsk55","@ysfsmsk55")</f>
        <v>@ysfsmsk55</v>
      </c>
      <c r="C4154" s="7" t="s">
        <v>21373</v>
      </c>
      <c r="D4154" s="7" t="s">
        <v>21374</v>
      </c>
      <c r="E4154" s="12" t="str">
        <f>HYPERLINK("https://twitter.com/ysfsmsk55/status/1181872260208103424","1181872260208103424")</f>
        <v>1181872260208103424</v>
      </c>
      <c r="F4154" s="8"/>
      <c r="G4154" s="14" t="s">
        <v>21375</v>
      </c>
      <c r="H4154" s="8"/>
      <c r="I4154" s="15">
        <v>0</v>
      </c>
      <c r="J4154" s="15">
        <v>1</v>
      </c>
      <c r="K4154" s="12" t="str">
        <f>HYPERLINK("http://twitter.com/download/iphone","Twitter for iPhone")</f>
        <v>Twitter for iPhone</v>
      </c>
      <c r="L4154" s="16">
        <v>15</v>
      </c>
      <c r="M4154" s="16">
        <v>80</v>
      </c>
      <c r="N4154" s="16">
        <v>0</v>
      </c>
      <c r="O4154" s="17"/>
      <c r="P4154" s="18">
        <v>42439.741203703699</v>
      </c>
      <c r="Q4154" s="7" t="s">
        <v>1748</v>
      </c>
      <c r="R4154" s="7"/>
      <c r="S4154" s="8"/>
      <c r="T4154" s="8"/>
      <c r="U4154" s="19" t="str">
        <f>HYPERLINK("https://pbs.twimg.com/profile_images/1135656333066297344/314vtv7l.jpg","View")</f>
        <v>View</v>
      </c>
      <c r="V4154" s="8"/>
      <c r="W4154" s="8"/>
      <c r="X4154" s="8"/>
      <c r="Y4154" s="8"/>
      <c r="Z4154" s="8"/>
    </row>
    <row r="4155" spans="1:26" ht="12.75">
      <c r="A4155" s="11">
        <v>43747.125798611116</v>
      </c>
      <c r="B4155" s="12" t="str">
        <f>HYPERLINK("https://twitter.com/birokturfrkn","@birokturfrkn")</f>
        <v>@birokturfrkn</v>
      </c>
      <c r="C4155" s="7" t="s">
        <v>3141</v>
      </c>
      <c r="D4155" s="7" t="s">
        <v>21376</v>
      </c>
      <c r="E4155" s="12" t="str">
        <f>HYPERLINK("https://twitter.com/birokturfrkn/status/1181872218868998145","1181872218868998145")</f>
        <v>1181872218868998145</v>
      </c>
      <c r="F4155" s="8"/>
      <c r="G4155" s="15"/>
      <c r="H4155" s="8"/>
      <c r="I4155" s="15">
        <v>0</v>
      </c>
      <c r="J4155" s="15">
        <v>2</v>
      </c>
      <c r="K4155" s="12" t="str">
        <f>HYPERLINK("http://twitter.com/download/android","Twitter for Android")</f>
        <v>Twitter for Android</v>
      </c>
      <c r="L4155" s="16">
        <v>11</v>
      </c>
      <c r="M4155" s="16">
        <v>128</v>
      </c>
      <c r="N4155" s="16">
        <v>0</v>
      </c>
      <c r="O4155" s="17"/>
      <c r="P4155" s="18">
        <v>43499.949374999997</v>
      </c>
      <c r="Q4155" s="7"/>
      <c r="R4155" s="7" t="s">
        <v>21377</v>
      </c>
      <c r="S4155" s="8"/>
      <c r="T4155" s="8"/>
      <c r="U4155" s="19" t="str">
        <f>HYPERLINK("https://pbs.twimg.com/profile_images/1156524899067936768/tWtZy4OO.jpg","View")</f>
        <v>View</v>
      </c>
      <c r="V4155" s="8"/>
      <c r="W4155" s="8"/>
      <c r="X4155" s="8"/>
      <c r="Y4155" s="8"/>
      <c r="Z4155" s="8"/>
    </row>
    <row r="4156" spans="1:26" ht="12.75">
      <c r="A4156" s="11">
        <v>43747.125798611116</v>
      </c>
      <c r="B4156" s="12" t="str">
        <f>HYPERLINK("https://twitter.com/191ismail","@191ismail")</f>
        <v>@191ismail</v>
      </c>
      <c r="C4156" s="7" t="s">
        <v>21378</v>
      </c>
      <c r="D4156" s="7" t="s">
        <v>21379</v>
      </c>
      <c r="E4156" s="12" t="str">
        <f>HYPERLINK("https://twitter.com/191ismail/status/1181872218537648128","1181872218537648128")</f>
        <v>1181872218537648128</v>
      </c>
      <c r="F4156" s="8"/>
      <c r="G4156" s="14" t="s">
        <v>21380</v>
      </c>
      <c r="H4156" s="8"/>
      <c r="I4156" s="15">
        <v>0</v>
      </c>
      <c r="J4156" s="15">
        <v>3</v>
      </c>
      <c r="K4156" s="12" t="str">
        <f>HYPERLINK("http://twitter.com/download/iphone","Twitter for iPhone")</f>
        <v>Twitter for iPhone</v>
      </c>
      <c r="L4156" s="16">
        <v>1624</v>
      </c>
      <c r="M4156" s="16">
        <v>1432</v>
      </c>
      <c r="N4156" s="16">
        <v>0</v>
      </c>
      <c r="O4156" s="17"/>
      <c r="P4156" s="18">
        <v>41002.401203703703</v>
      </c>
      <c r="Q4156" s="7" t="s">
        <v>21381</v>
      </c>
      <c r="R4156" s="7" t="s">
        <v>21382</v>
      </c>
      <c r="S4156" s="15"/>
      <c r="T4156" s="8"/>
      <c r="U4156" s="19" t="str">
        <f>HYPERLINK("https://pbs.twimg.com/profile_images/1101517883870449666/tWtGy7No.jpg","View")</f>
        <v>View</v>
      </c>
      <c r="V4156" s="8"/>
      <c r="W4156" s="8"/>
      <c r="X4156" s="8"/>
      <c r="Y4156" s="8"/>
      <c r="Z4156" s="8"/>
    </row>
    <row r="4157" spans="1:26" ht="12.75">
      <c r="A4157" s="11">
        <v>43747.125787037032</v>
      </c>
      <c r="B4157" s="12" t="str">
        <f>HYPERLINK("https://twitter.com/buraktekcan9","@buraktekcan9")</f>
        <v>@buraktekcan9</v>
      </c>
      <c r="C4157" s="7" t="s">
        <v>21383</v>
      </c>
      <c r="D4157" s="7" t="s">
        <v>21384</v>
      </c>
      <c r="E4157" s="12" t="str">
        <f>HYPERLINK("https://twitter.com/buraktekcan9/status/1181872214490132480","1181872214490132480")</f>
        <v>1181872214490132480</v>
      </c>
      <c r="F4157" s="8"/>
      <c r="G4157" s="15"/>
      <c r="H4157" s="8"/>
      <c r="I4157" s="15">
        <v>0</v>
      </c>
      <c r="J4157" s="15">
        <v>1</v>
      </c>
      <c r="K4157" s="12" t="str">
        <f>HYPERLINK("http://twitter.com/download/android","Twitter for Android")</f>
        <v>Twitter for Android</v>
      </c>
      <c r="L4157" s="16">
        <v>227</v>
      </c>
      <c r="M4157" s="16">
        <v>74</v>
      </c>
      <c r="N4157" s="16">
        <v>0</v>
      </c>
      <c r="O4157" s="17"/>
      <c r="P4157" s="18">
        <v>41497.51871527778</v>
      </c>
      <c r="Q4157" s="7" t="s">
        <v>313</v>
      </c>
      <c r="R4157" s="7" t="s">
        <v>21385</v>
      </c>
      <c r="S4157" s="14" t="s">
        <v>21386</v>
      </c>
      <c r="T4157" s="8"/>
      <c r="U4157" s="19" t="str">
        <f>HYPERLINK("https://pbs.twimg.com/profile_images/1181297043555225600/o2Wkfmz0.jpg","View")</f>
        <v>View</v>
      </c>
      <c r="V4157" s="8"/>
      <c r="W4157" s="8"/>
      <c r="X4157" s="8"/>
      <c r="Y4157" s="8"/>
      <c r="Z4157" s="8"/>
    </row>
    <row r="4158" spans="1:26" ht="12.75">
      <c r="A4158" s="11">
        <v>43747.12572916667</v>
      </c>
      <c r="B4158" s="12" t="str">
        <f>HYPERLINK("https://twitter.com/ozan_karan","@ozan_karan")</f>
        <v>@ozan_karan</v>
      </c>
      <c r="C4158" s="7" t="s">
        <v>21387</v>
      </c>
      <c r="D4158" s="7" t="s">
        <v>21388</v>
      </c>
      <c r="E4158" s="12" t="str">
        <f>HYPERLINK("https://twitter.com/ozan_karan/status/1181872194663657473","1181872194663657473")</f>
        <v>1181872194663657473</v>
      </c>
      <c r="F4158" s="8"/>
      <c r="G4158" s="7"/>
      <c r="H4158" s="8"/>
      <c r="I4158" s="15">
        <v>0</v>
      </c>
      <c r="J4158" s="15">
        <v>1</v>
      </c>
      <c r="K4158" s="12" t="str">
        <f>HYPERLINK("http://twitter.com/download/iphone","Twitter for iPhone")</f>
        <v>Twitter for iPhone</v>
      </c>
      <c r="L4158" s="16">
        <v>174</v>
      </c>
      <c r="M4158" s="16">
        <v>334</v>
      </c>
      <c r="N4158" s="16">
        <v>1</v>
      </c>
      <c r="O4158" s="17"/>
      <c r="P4158" s="18">
        <v>40697.680648148147</v>
      </c>
      <c r="Q4158" s="7" t="s">
        <v>10826</v>
      </c>
      <c r="R4158" s="7" t="s">
        <v>21389</v>
      </c>
      <c r="S4158" s="8"/>
      <c r="T4158" s="8"/>
      <c r="U4158" s="19" t="str">
        <f>HYPERLINK("https://pbs.twimg.com/profile_images/992888336913137664/FF_BF9zm.jpg","View")</f>
        <v>View</v>
      </c>
      <c r="V4158" s="8"/>
      <c r="W4158" s="8"/>
      <c r="X4158" s="8"/>
      <c r="Y4158" s="8"/>
      <c r="Z4158" s="8"/>
    </row>
    <row r="4159" spans="1:26" ht="12.75">
      <c r="A4159" s="11">
        <v>43747.125694444447</v>
      </c>
      <c r="B4159" s="12" t="str">
        <f>HYPERLINK("https://twitter.com/Nazlcan26483016","@Nazlcan26483016")</f>
        <v>@Nazlcan26483016</v>
      </c>
      <c r="C4159" s="7" t="s">
        <v>21390</v>
      </c>
      <c r="D4159" s="7" t="s">
        <v>21391</v>
      </c>
      <c r="E4159" s="12" t="str">
        <f>HYPERLINK("https://twitter.com/Nazlcan26483016/status/1181872181267054592","1181872181267054592")</f>
        <v>1181872181267054592</v>
      </c>
      <c r="F4159" s="8"/>
      <c r="G4159" s="14" t="s">
        <v>21392</v>
      </c>
      <c r="H4159" s="8"/>
      <c r="I4159" s="15">
        <v>0</v>
      </c>
      <c r="J4159" s="15">
        <v>1</v>
      </c>
      <c r="K4159" s="12" t="str">
        <f>HYPERLINK("https://mobile.twitter.com","Twitter Web App")</f>
        <v>Twitter Web App</v>
      </c>
      <c r="L4159" s="16">
        <v>5</v>
      </c>
      <c r="M4159" s="16">
        <v>22</v>
      </c>
      <c r="N4159" s="16">
        <v>0</v>
      </c>
      <c r="O4159" s="17"/>
      <c r="P4159" s="18">
        <v>43666.465879629628</v>
      </c>
      <c r="Q4159" s="7"/>
      <c r="R4159" s="7"/>
      <c r="S4159" s="8"/>
      <c r="T4159" s="8"/>
      <c r="U4159" s="19" t="str">
        <f>HYPERLINK("https://pbs.twimg.com/profile_images/1158812622575362048/ZEfYnrO2.jpg","View")</f>
        <v>View</v>
      </c>
      <c r="V4159" s="8"/>
      <c r="W4159" s="8"/>
      <c r="X4159" s="8"/>
      <c r="Y4159" s="8"/>
      <c r="Z4159" s="8"/>
    </row>
    <row r="4160" spans="1:26" ht="12.75">
      <c r="A4160" s="11">
        <v>43747.125694444447</v>
      </c>
      <c r="B4160" s="12" t="str">
        <f>HYPERLINK("https://twitter.com/SibelKk3","@SibelKk3")</f>
        <v>@SibelKk3</v>
      </c>
      <c r="C4160" s="7" t="s">
        <v>21393</v>
      </c>
      <c r="D4160" s="7" t="s">
        <v>21394</v>
      </c>
      <c r="E4160" s="12" t="str">
        <f>HYPERLINK("https://twitter.com/SibelKk3/status/1181872179681603585","1181872179681603585")</f>
        <v>1181872179681603585</v>
      </c>
      <c r="F4160" s="8"/>
      <c r="G4160" s="15"/>
      <c r="H4160" s="8"/>
      <c r="I4160" s="15">
        <v>0</v>
      </c>
      <c r="J4160" s="15">
        <v>2</v>
      </c>
      <c r="K4160" s="12" t="str">
        <f>HYPERLINK("http://twitter.com/download/iphone","Twitter for iPhone")</f>
        <v>Twitter for iPhone</v>
      </c>
      <c r="L4160" s="16">
        <v>79</v>
      </c>
      <c r="M4160" s="16">
        <v>90</v>
      </c>
      <c r="N4160" s="16">
        <v>0</v>
      </c>
      <c r="O4160" s="17"/>
      <c r="P4160" s="18">
        <v>40836.389861111107</v>
      </c>
      <c r="Q4160" s="7"/>
      <c r="R4160" s="7"/>
      <c r="S4160" s="14" t="s">
        <v>21395</v>
      </c>
      <c r="T4160" s="8"/>
      <c r="U4160" s="19" t="str">
        <f>HYPERLINK("https://pbs.twimg.com/profile_images/979083861576617984/2OcWvAOg.jpg","View")</f>
        <v>View</v>
      </c>
      <c r="V4160" s="8"/>
      <c r="W4160" s="8"/>
      <c r="X4160" s="8"/>
      <c r="Y4160" s="8"/>
      <c r="Z4160" s="8"/>
    </row>
    <row r="4161" spans="1:26" ht="12.75">
      <c r="A4161" s="11">
        <v>43747.125567129631</v>
      </c>
      <c r="B4161" s="12" t="str">
        <f>HYPERLINK("https://twitter.com/okul_husnu","@okul_husnu")</f>
        <v>@okul_husnu</v>
      </c>
      <c r="C4161" s="7" t="s">
        <v>21396</v>
      </c>
      <c r="D4161" s="7" t="s">
        <v>21397</v>
      </c>
      <c r="E4161" s="12" t="str">
        <f>HYPERLINK("https://twitter.com/okul_husnu/status/1181872133242261504","1181872133242261504")</f>
        <v>1181872133242261504</v>
      </c>
      <c r="F4161" s="8"/>
      <c r="G4161" s="15"/>
      <c r="H4161" s="8"/>
      <c r="I4161" s="15">
        <v>0</v>
      </c>
      <c r="J4161" s="15">
        <v>1</v>
      </c>
      <c r="K4161" s="12" t="str">
        <f>HYPERLINK("http://twitter.com/download/android","Twitter for Android")</f>
        <v>Twitter for Android</v>
      </c>
      <c r="L4161" s="16">
        <v>31</v>
      </c>
      <c r="M4161" s="16">
        <v>24</v>
      </c>
      <c r="N4161" s="16">
        <v>0</v>
      </c>
      <c r="O4161" s="17"/>
      <c r="P4161" s="18">
        <v>42934.129224537042</v>
      </c>
      <c r="Q4161" s="7"/>
      <c r="R4161" s="7"/>
      <c r="S4161" s="14" t="s">
        <v>21398</v>
      </c>
      <c r="T4161" s="8"/>
      <c r="U4161" s="19" t="str">
        <f>HYPERLINK("https://pbs.twimg.com/profile_images/1179796894656147456/ZiJr0mlP.jpg","View")</f>
        <v>View</v>
      </c>
      <c r="V4161" s="8"/>
      <c r="W4161" s="8"/>
      <c r="X4161" s="8"/>
      <c r="Y4161" s="8"/>
      <c r="Z4161" s="8"/>
    </row>
    <row r="4162" spans="1:26" ht="12.75">
      <c r="A4162" s="11">
        <v>43747.125543981485</v>
      </c>
      <c r="B4162" s="12" t="str">
        <f>HYPERLINK("https://twitter.com/Cakir_6181","@Cakir_6181")</f>
        <v>@Cakir_6181</v>
      </c>
      <c r="C4162" s="7" t="s">
        <v>21399</v>
      </c>
      <c r="D4162" s="7" t="s">
        <v>21400</v>
      </c>
      <c r="E4162" s="12" t="str">
        <f>HYPERLINK("https://twitter.com/Cakir_6181/status/1181872124962754560","1181872124962754560")</f>
        <v>1181872124962754560</v>
      </c>
      <c r="F4162" s="7"/>
      <c r="G4162" s="14" t="s">
        <v>21401</v>
      </c>
      <c r="H4162" s="8"/>
      <c r="I4162" s="15">
        <v>0</v>
      </c>
      <c r="J4162" s="15">
        <v>1</v>
      </c>
      <c r="K4162" s="12" t="str">
        <f>HYPERLINK("http://twitter.com/download/android","Twitter for Android")</f>
        <v>Twitter for Android</v>
      </c>
      <c r="L4162" s="16">
        <v>12</v>
      </c>
      <c r="M4162" s="16">
        <v>25</v>
      </c>
      <c r="N4162" s="16">
        <v>0</v>
      </c>
      <c r="O4162" s="17"/>
      <c r="P4162" s="18">
        <v>43555.613888888889</v>
      </c>
      <c r="Q4162" s="7"/>
      <c r="R4162" s="7"/>
      <c r="S4162" s="8"/>
      <c r="T4162" s="8"/>
      <c r="U4162" s="19" t="str">
        <f>HYPERLINK("https://pbs.twimg.com/profile_images/1113142602507927552/5lpO8DAc.jpg","View")</f>
        <v>View</v>
      </c>
      <c r="V4162" s="8"/>
      <c r="W4162" s="8"/>
      <c r="X4162" s="8"/>
      <c r="Y4162" s="8"/>
      <c r="Z4162" s="8"/>
    </row>
    <row r="4163" spans="1:26" ht="12.75">
      <c r="A4163" s="11">
        <v>43747.125543981485</v>
      </c>
      <c r="B4163" s="12" t="str">
        <f>HYPERLINK("https://twitter.com/kartalgoolll","@kartalgoolll")</f>
        <v>@kartalgoolll</v>
      </c>
      <c r="C4163" s="7" t="s">
        <v>21402</v>
      </c>
      <c r="D4163" s="7" t="s">
        <v>21403</v>
      </c>
      <c r="E4163" s="12" t="str">
        <f>HYPERLINK("https://twitter.com/kartalgoolll/status/1181872124757184512","1181872124757184512")</f>
        <v>1181872124757184512</v>
      </c>
      <c r="F4163" s="15"/>
      <c r="G4163" s="15"/>
      <c r="H4163" s="8"/>
      <c r="I4163" s="15">
        <v>1</v>
      </c>
      <c r="J4163" s="15">
        <v>7</v>
      </c>
      <c r="K4163" s="12" t="str">
        <f>HYPERLINK("http://twitter.com/download/android","Twitter for Android")</f>
        <v>Twitter for Android</v>
      </c>
      <c r="L4163" s="16">
        <v>21007</v>
      </c>
      <c r="M4163" s="16">
        <v>15053</v>
      </c>
      <c r="N4163" s="16">
        <v>7</v>
      </c>
      <c r="O4163" s="17"/>
      <c r="P4163" s="18">
        <v>40753.162314814814</v>
      </c>
      <c r="Q4163" s="7" t="s">
        <v>287</v>
      </c>
      <c r="R4163" s="7" t="s">
        <v>21404</v>
      </c>
      <c r="S4163" s="8"/>
      <c r="T4163" s="8"/>
      <c r="U4163" s="19" t="str">
        <f>HYPERLINK("https://pbs.twimg.com/profile_images/1180783508928770048/_bZtCV3B.jpg","View")</f>
        <v>View</v>
      </c>
      <c r="V4163" s="8"/>
      <c r="W4163" s="8"/>
      <c r="X4163" s="8"/>
      <c r="Y4163" s="8"/>
      <c r="Z4163" s="8"/>
    </row>
    <row r="4164" spans="1:26" ht="12.75">
      <c r="A4164" s="11">
        <v>43747.125532407408</v>
      </c>
      <c r="B4164" s="12" t="str">
        <f>HYPERLINK("https://twitter.com/myhopeworldd7","@myhopeworldd7")</f>
        <v>@myhopeworldd7</v>
      </c>
      <c r="C4164" s="7" t="s">
        <v>21405</v>
      </c>
      <c r="D4164" s="7" t="s">
        <v>21406</v>
      </c>
      <c r="E4164" s="12" t="str">
        <f>HYPERLINK("https://twitter.com/myhopeworldd7/status/1181872121716379648","1181872121716379648")</f>
        <v>1181872121716379648</v>
      </c>
      <c r="F4164" s="8"/>
      <c r="G4164" s="15"/>
      <c r="H4164" s="8"/>
      <c r="I4164" s="15">
        <v>0</v>
      </c>
      <c r="J4164" s="15">
        <v>1</v>
      </c>
      <c r="K4164" s="12" t="str">
        <f>HYPERLINK("http://twitter.com/download/android","Twitter for Android")</f>
        <v>Twitter for Android</v>
      </c>
      <c r="L4164" s="16">
        <v>412</v>
      </c>
      <c r="M4164" s="16">
        <v>458</v>
      </c>
      <c r="N4164" s="16">
        <v>3</v>
      </c>
      <c r="O4164" s="17"/>
      <c r="P4164" s="18">
        <v>43248.319108796291</v>
      </c>
      <c r="Q4164" s="7" t="s">
        <v>21407</v>
      </c>
      <c r="R4164" s="7" t="s">
        <v>21408</v>
      </c>
      <c r="S4164" s="8"/>
      <c r="T4164" s="8"/>
      <c r="U4164" s="19" t="str">
        <f>HYPERLINK("https://pbs.twimg.com/profile_images/1179823107265179649/LY36hTO_.jpg","View")</f>
        <v>View</v>
      </c>
      <c r="V4164" s="8"/>
      <c r="W4164" s="8"/>
      <c r="X4164" s="8"/>
      <c r="Y4164" s="8"/>
      <c r="Z4164" s="8"/>
    </row>
    <row r="4165" spans="1:26" ht="12.75">
      <c r="A4165" s="11">
        <v>43747.125509259262</v>
      </c>
      <c r="B4165" s="12" t="str">
        <f>HYPERLINK("https://twitter.com/fmt_2016","@fmt_2016")</f>
        <v>@fmt_2016</v>
      </c>
      <c r="C4165" s="7" t="s">
        <v>21409</v>
      </c>
      <c r="D4165" s="7" t="s">
        <v>160</v>
      </c>
      <c r="E4165" s="12" t="str">
        <f>HYPERLINK("https://twitter.com/fmt_2016/status/1181872111696142337","1181872111696142337")</f>
        <v>1181872111696142337</v>
      </c>
      <c r="F4165" s="15"/>
      <c r="G4165" s="7"/>
      <c r="H4165" s="8"/>
      <c r="I4165" s="15">
        <v>0</v>
      </c>
      <c r="J4165" s="15">
        <v>0</v>
      </c>
      <c r="K4165" s="12" t="str">
        <f>HYPERLINK("http://twitter.com/download/android","Twitter for Android")</f>
        <v>Twitter for Android</v>
      </c>
      <c r="L4165" s="16">
        <v>2</v>
      </c>
      <c r="M4165" s="16">
        <v>74</v>
      </c>
      <c r="N4165" s="16">
        <v>0</v>
      </c>
      <c r="O4165" s="17"/>
      <c r="P4165" s="18">
        <v>42642.989479166667</v>
      </c>
      <c r="Q4165" s="7"/>
      <c r="R4165" s="7"/>
      <c r="S4165" s="8"/>
      <c r="T4165" s="8"/>
      <c r="U4165" s="20" t="s">
        <v>354</v>
      </c>
      <c r="V4165" s="8"/>
      <c r="W4165" s="8"/>
      <c r="X4165" s="8"/>
      <c r="Y4165" s="8"/>
      <c r="Z4165" s="8"/>
    </row>
    <row r="4166" spans="1:26" ht="12.75">
      <c r="A4166" s="11">
        <v>43747.125497685185</v>
      </c>
      <c r="B4166" s="12" t="str">
        <f>HYPERLINK("https://twitter.com/OHaldeVarlm","@OHaldeVarlm")</f>
        <v>@OHaldeVarlm</v>
      </c>
      <c r="C4166" s="7" t="s">
        <v>21410</v>
      </c>
      <c r="D4166" s="7" t="s">
        <v>21411</v>
      </c>
      <c r="E4166" s="12" t="str">
        <f>HYPERLINK("https://twitter.com/OHaldeVarlm/status/1181872108785287168","1181872108785287168")</f>
        <v>1181872108785287168</v>
      </c>
      <c r="F4166" s="14" t="s">
        <v>21412</v>
      </c>
      <c r="G4166" s="7"/>
      <c r="H4166" s="8"/>
      <c r="I4166" s="15">
        <v>0</v>
      </c>
      <c r="J4166" s="15">
        <v>1</v>
      </c>
      <c r="K4166" s="12" t="str">
        <f>HYPERLINK("http://twitter.com/download/android","Twitter for Android")</f>
        <v>Twitter for Android</v>
      </c>
      <c r="L4166" s="16">
        <v>239</v>
      </c>
      <c r="M4166" s="16">
        <v>55</v>
      </c>
      <c r="N4166" s="16">
        <v>5</v>
      </c>
      <c r="O4166" s="17"/>
      <c r="P4166" s="18">
        <v>42094.532951388886</v>
      </c>
      <c r="Q4166" s="7" t="s">
        <v>21413</v>
      </c>
      <c r="R4166" s="7" t="s">
        <v>21414</v>
      </c>
      <c r="S4166" s="14" t="s">
        <v>4588</v>
      </c>
      <c r="T4166" s="8"/>
      <c r="U4166" s="19" t="str">
        <f>HYPERLINK("https://pbs.twimg.com/profile_images/963056970952531968/i1-lodwV.jpg","View")</f>
        <v>View</v>
      </c>
      <c r="V4166" s="8"/>
      <c r="W4166" s="8"/>
      <c r="X4166" s="8"/>
      <c r="Y4166" s="8"/>
      <c r="Z4166" s="8"/>
    </row>
    <row r="4167" spans="1:26" ht="12.75">
      <c r="A4167" s="11">
        <v>43747.125428240739</v>
      </c>
      <c r="B4167" s="12" t="str">
        <f>HYPERLINK("https://twitter.com/panente","@panente")</f>
        <v>@panente</v>
      </c>
      <c r="C4167" s="7" t="s">
        <v>21415</v>
      </c>
      <c r="D4167" s="7" t="s">
        <v>21416</v>
      </c>
      <c r="E4167" s="12" t="str">
        <f>HYPERLINK("https://twitter.com/panente/status/1181872081895612417","1181872081895612417")</f>
        <v>1181872081895612417</v>
      </c>
      <c r="F4167" s="8"/>
      <c r="G4167" s="7"/>
      <c r="H4167" s="8"/>
      <c r="I4167" s="15">
        <v>0</v>
      </c>
      <c r="J4167" s="15">
        <v>1</v>
      </c>
      <c r="K4167" s="12" t="str">
        <f>HYPERLINK("http://twitter.com/download/android","Twitter for Android")</f>
        <v>Twitter for Android</v>
      </c>
      <c r="L4167" s="16">
        <v>150</v>
      </c>
      <c r="M4167" s="16">
        <v>321</v>
      </c>
      <c r="N4167" s="16">
        <v>0</v>
      </c>
      <c r="O4167" s="17"/>
      <c r="P4167" s="18">
        <v>40141.455497685187</v>
      </c>
      <c r="Q4167" s="7" t="s">
        <v>1489</v>
      </c>
      <c r="R4167" s="7" t="s">
        <v>21417</v>
      </c>
      <c r="S4167" s="15"/>
      <c r="T4167" s="8"/>
      <c r="U4167" s="19" t="str">
        <f>HYPERLINK("https://pbs.twimg.com/profile_images/1165228284185108480/_gsh5PdN.jpg","View")</f>
        <v>View</v>
      </c>
      <c r="V4167" s="8"/>
      <c r="W4167" s="8"/>
      <c r="X4167" s="8"/>
      <c r="Y4167" s="8"/>
      <c r="Z4167" s="8"/>
    </row>
    <row r="4168" spans="1:26" ht="12.75">
      <c r="A4168" s="11">
        <v>43747.125405092593</v>
      </c>
      <c r="B4168" s="12" t="str">
        <f>HYPERLINK("https://twitter.com/yunus_cetn","@yunus_cetn")</f>
        <v>@yunus_cetn</v>
      </c>
      <c r="C4168" s="7" t="s">
        <v>21418</v>
      </c>
      <c r="D4168" s="7" t="s">
        <v>21419</v>
      </c>
      <c r="E4168" s="12" t="str">
        <f>HYPERLINK("https://twitter.com/yunus_cetn/status/1181872074618335232","1181872074618335232")</f>
        <v>1181872074618335232</v>
      </c>
      <c r="F4168" s="8"/>
      <c r="G4168" s="7"/>
      <c r="H4168" s="8"/>
      <c r="I4168" s="15">
        <v>0</v>
      </c>
      <c r="J4168" s="15">
        <v>2</v>
      </c>
      <c r="K4168" s="12" t="str">
        <f>HYPERLINK("http://twitter.com/download/android","Twitter for Android")</f>
        <v>Twitter for Android</v>
      </c>
      <c r="L4168" s="16">
        <v>68</v>
      </c>
      <c r="M4168" s="16">
        <v>133</v>
      </c>
      <c r="N4168" s="16">
        <v>1</v>
      </c>
      <c r="O4168" s="17"/>
      <c r="P4168" s="18">
        <v>40736.606979166667</v>
      </c>
      <c r="Q4168" s="7"/>
      <c r="R4168" s="7" t="s">
        <v>21420</v>
      </c>
      <c r="S4168" s="8"/>
      <c r="T4168" s="8"/>
      <c r="U4168" s="19" t="str">
        <f>HYPERLINK("https://pbs.twimg.com/profile_images/1113902311800279040/N3BrN2mk.jpg","View")</f>
        <v>View</v>
      </c>
      <c r="V4168" s="8"/>
      <c r="W4168" s="8"/>
      <c r="X4168" s="8"/>
      <c r="Y4168" s="8"/>
      <c r="Z4168" s="8"/>
    </row>
    <row r="4169" spans="1:26" ht="12.75">
      <c r="A4169" s="11">
        <v>43747.125405092593</v>
      </c>
      <c r="B4169" s="12" t="str">
        <f>HYPERLINK("https://twitter.com/ugakdemir01","@ugakdemir01")</f>
        <v>@ugakdemir01</v>
      </c>
      <c r="C4169" s="7" t="s">
        <v>21421</v>
      </c>
      <c r="D4169" s="7" t="s">
        <v>21422</v>
      </c>
      <c r="E4169" s="12" t="str">
        <f>HYPERLINK("https://twitter.com/ugakdemir01/status/1181872073238556672","1181872073238556672")</f>
        <v>1181872073238556672</v>
      </c>
      <c r="F4169" s="8"/>
      <c r="G4169" s="14" t="s">
        <v>21423</v>
      </c>
      <c r="H4169" s="8"/>
      <c r="I4169" s="15">
        <v>0</v>
      </c>
      <c r="J4169" s="15">
        <v>4</v>
      </c>
      <c r="K4169" s="12" t="str">
        <f>HYPERLINK("http://twitter.com/download/android","Twitter for Android")</f>
        <v>Twitter for Android</v>
      </c>
      <c r="L4169" s="16">
        <v>72</v>
      </c>
      <c r="M4169" s="16">
        <v>128</v>
      </c>
      <c r="N4169" s="16">
        <v>1</v>
      </c>
      <c r="O4169" s="17"/>
      <c r="P4169" s="18">
        <v>41637.986712962964</v>
      </c>
      <c r="Q4169" s="7"/>
      <c r="R4169" s="7" t="s">
        <v>21424</v>
      </c>
      <c r="S4169" s="8"/>
      <c r="T4169" s="8"/>
      <c r="U4169" s="19" t="str">
        <f>HYPERLINK("https://pbs.twimg.com/profile_images/1034801058202243072/mvnLYBa1.jpg","View")</f>
        <v>View</v>
      </c>
      <c r="V4169" s="8"/>
      <c r="W4169" s="8"/>
      <c r="X4169" s="8"/>
      <c r="Y4169" s="8"/>
      <c r="Z4169" s="8"/>
    </row>
    <row r="4170" spans="1:26" ht="12.75">
      <c r="A4170" s="11">
        <v>43747.1253587963</v>
      </c>
      <c r="B4170" s="12" t="str">
        <f>HYPERLINK("https://twitter.com/Nazl17689947","@Nazl17689947")</f>
        <v>@Nazl17689947</v>
      </c>
      <c r="C4170" s="7" t="s">
        <v>21425</v>
      </c>
      <c r="D4170" s="7" t="s">
        <v>21426</v>
      </c>
      <c r="E4170" s="12" t="str">
        <f>HYPERLINK("https://twitter.com/Nazl17689947/status/1181872056922771458","1181872056922771458")</f>
        <v>1181872056922771458</v>
      </c>
      <c r="F4170" s="8"/>
      <c r="G4170" s="7"/>
      <c r="H4170" s="8"/>
      <c r="I4170" s="15">
        <v>0</v>
      </c>
      <c r="J4170" s="15">
        <v>5</v>
      </c>
      <c r="K4170" s="12" t="str">
        <f>HYPERLINK("http://twitter.com/download/android","Twitter for Android")</f>
        <v>Twitter for Android</v>
      </c>
      <c r="L4170" s="16">
        <v>398</v>
      </c>
      <c r="M4170" s="16">
        <v>382</v>
      </c>
      <c r="N4170" s="16">
        <v>0</v>
      </c>
      <c r="O4170" s="17"/>
      <c r="P4170" s="18">
        <v>43685.580358796295</v>
      </c>
      <c r="Q4170" s="7"/>
      <c r="R4170" s="7" t="s">
        <v>21427</v>
      </c>
      <c r="S4170" s="8"/>
      <c r="T4170" s="8"/>
      <c r="U4170" s="19" t="str">
        <f>HYPERLINK("https://pbs.twimg.com/profile_images/1171744502123520000/BCy7lE7O.jpg","View")</f>
        <v>View</v>
      </c>
      <c r="V4170" s="8"/>
      <c r="W4170" s="8"/>
      <c r="X4170" s="8"/>
      <c r="Y4170" s="8"/>
      <c r="Z4170" s="8"/>
    </row>
    <row r="4171" spans="1:26" ht="12.75">
      <c r="A4171" s="11">
        <v>43747.1253125</v>
      </c>
      <c r="B4171" s="12" t="str">
        <f>HYPERLINK("https://twitter.com/kerimhan_gocen","@kerimhan_gocen")</f>
        <v>@kerimhan_gocen</v>
      </c>
      <c r="C4171" s="7" t="s">
        <v>21428</v>
      </c>
      <c r="D4171" s="21" t="s">
        <v>14119</v>
      </c>
      <c r="E4171" s="12" t="str">
        <f>HYPERLINK("https://twitter.com/kerimhan_gocen/status/1181872041722597376","1181872041722597376")</f>
        <v>1181872041722597376</v>
      </c>
      <c r="F4171" s="8"/>
      <c r="G4171" s="14" t="s">
        <v>14120</v>
      </c>
      <c r="H4171" s="8"/>
      <c r="I4171" s="15">
        <v>0</v>
      </c>
      <c r="J4171" s="15">
        <v>1</v>
      </c>
      <c r="K4171" s="12" t="str">
        <f>HYPERLINK("http://twitter.com","Twitter Web Client")</f>
        <v>Twitter Web Client</v>
      </c>
      <c r="L4171" s="16">
        <v>15</v>
      </c>
      <c r="M4171" s="16">
        <v>0</v>
      </c>
      <c r="N4171" s="16">
        <v>0</v>
      </c>
      <c r="O4171" s="17"/>
      <c r="P4171" s="18">
        <v>43639.716666666667</v>
      </c>
      <c r="Q4171" s="7" t="s">
        <v>1567</v>
      </c>
      <c r="R4171" s="7" t="s">
        <v>21429</v>
      </c>
      <c r="S4171" s="8"/>
      <c r="T4171" s="8"/>
      <c r="U4171" s="19" t="str">
        <f>HYPERLINK("https://pbs.twimg.com/profile_images/1143823693551996928/UOilrg1W.jpg","View")</f>
        <v>View</v>
      </c>
      <c r="V4171" s="8"/>
      <c r="W4171" s="8"/>
      <c r="X4171" s="8"/>
      <c r="Y4171" s="8"/>
      <c r="Z4171" s="8"/>
    </row>
    <row r="4172" spans="1:26" ht="12.75">
      <c r="A4172" s="11">
        <v>43747.125277777777</v>
      </c>
      <c r="B4172" s="12" t="str">
        <f>HYPERLINK("https://twitter.com/HaticeVanl4","@HaticeVanl4")</f>
        <v>@HaticeVanl4</v>
      </c>
      <c r="C4172" s="7" t="s">
        <v>21430</v>
      </c>
      <c r="D4172" s="7" t="s">
        <v>21431</v>
      </c>
      <c r="E4172" s="12" t="str">
        <f>HYPERLINK("https://twitter.com/HaticeVanl4/status/1181872030133690368","1181872030133690368")</f>
        <v>1181872030133690368</v>
      </c>
      <c r="F4172" s="8"/>
      <c r="G4172" s="14" t="s">
        <v>21432</v>
      </c>
      <c r="H4172" s="8"/>
      <c r="I4172" s="15">
        <v>2</v>
      </c>
      <c r="J4172" s="15">
        <v>11</v>
      </c>
      <c r="K4172" s="12" t="str">
        <f>HYPERLINK("https://mobile.twitter.com","Twitter Web App")</f>
        <v>Twitter Web App</v>
      </c>
      <c r="L4172" s="16">
        <v>129</v>
      </c>
      <c r="M4172" s="16">
        <v>239</v>
      </c>
      <c r="N4172" s="16">
        <v>0</v>
      </c>
      <c r="O4172" s="17"/>
      <c r="P4172" s="18">
        <v>43654.208148148144</v>
      </c>
      <c r="Q4172" s="7"/>
      <c r="R4172" s="7"/>
      <c r="S4172" s="8"/>
      <c r="T4172" s="8"/>
      <c r="U4172" s="19" t="str">
        <f>HYPERLINK("https://pbs.twimg.com/profile_images/1181669857059885057/SjT9fq36.jpg","View")</f>
        <v>View</v>
      </c>
      <c r="V4172" s="8"/>
      <c r="W4172" s="8"/>
      <c r="X4172" s="8"/>
      <c r="Y4172" s="8"/>
      <c r="Z4172" s="8"/>
    </row>
    <row r="4173" spans="1:26" ht="12.75">
      <c r="A4173" s="11">
        <v>43747.125243055554</v>
      </c>
      <c r="B4173" s="12" t="str">
        <f>HYPERLINK("https://twitter.com/Semiz20","@Semiz20")</f>
        <v>@Semiz20</v>
      </c>
      <c r="C4173" s="7" t="s">
        <v>21433</v>
      </c>
      <c r="D4173" s="7" t="s">
        <v>21434</v>
      </c>
      <c r="E4173" s="12" t="str">
        <f>HYPERLINK("https://twitter.com/Semiz20/status/1181872015407534081","1181872015407534081")</f>
        <v>1181872015407534081</v>
      </c>
      <c r="F4173" s="8"/>
      <c r="G4173" s="7"/>
      <c r="H4173" s="8"/>
      <c r="I4173" s="15">
        <v>0</v>
      </c>
      <c r="J4173" s="15">
        <v>0</v>
      </c>
      <c r="K4173" s="12" t="str">
        <f>HYPERLINK("http://twitter.com/download/iphone","Twitter for iPhone")</f>
        <v>Twitter for iPhone</v>
      </c>
      <c r="L4173" s="16">
        <v>744</v>
      </c>
      <c r="M4173" s="16">
        <v>478</v>
      </c>
      <c r="N4173" s="16">
        <v>1</v>
      </c>
      <c r="O4173" s="17"/>
      <c r="P4173" s="18">
        <v>41845.686550925922</v>
      </c>
      <c r="Q4173" s="7" t="s">
        <v>8902</v>
      </c>
      <c r="R4173" s="7" t="s">
        <v>21435</v>
      </c>
      <c r="S4173" s="14" t="s">
        <v>21436</v>
      </c>
      <c r="T4173" s="8"/>
      <c r="U4173" s="19" t="str">
        <f>HYPERLINK("https://pbs.twimg.com/profile_images/1150393037266333698/ZpDpGVDZ.jpg","View")</f>
        <v>View</v>
      </c>
      <c r="V4173" s="8"/>
      <c r="W4173" s="8"/>
      <c r="X4173" s="8"/>
      <c r="Y4173" s="8"/>
      <c r="Z4173" s="8"/>
    </row>
    <row r="4174" spans="1:26" ht="12.75">
      <c r="A4174" s="11">
        <v>43747.125196759254</v>
      </c>
      <c r="B4174" s="12" t="str">
        <f>HYPERLINK("https://twitter.com/Rothilion1","@Rothilion1")</f>
        <v>@Rothilion1</v>
      </c>
      <c r="C4174" s="7" t="s">
        <v>21437</v>
      </c>
      <c r="D4174" s="7" t="s">
        <v>21438</v>
      </c>
      <c r="E4174" s="12" t="str">
        <f>HYPERLINK("https://twitter.com/Rothilion1/status/1181871997854330881","1181871997854330881")</f>
        <v>1181871997854330881</v>
      </c>
      <c r="F4174" s="15"/>
      <c r="G4174" s="14" t="s">
        <v>21439</v>
      </c>
      <c r="H4174" s="8"/>
      <c r="I4174" s="15">
        <v>0</v>
      </c>
      <c r="J4174" s="15">
        <v>2</v>
      </c>
      <c r="K4174" s="12" t="str">
        <f>HYPERLINK("http://twitter.com/download/android","Twitter for Android")</f>
        <v>Twitter for Android</v>
      </c>
      <c r="L4174" s="16">
        <v>36</v>
      </c>
      <c r="M4174" s="16">
        <v>61</v>
      </c>
      <c r="N4174" s="16">
        <v>0</v>
      </c>
      <c r="O4174" s="17"/>
      <c r="P4174" s="18">
        <v>42216.519571759258</v>
      </c>
      <c r="Q4174" s="7"/>
      <c r="R4174" s="7"/>
      <c r="S4174" s="8"/>
      <c r="T4174" s="8"/>
      <c r="U4174" s="19" t="str">
        <f>HYPERLINK("https://pbs.twimg.com/profile_images/627201351345405952/PPOLLGmR.jpg","View")</f>
        <v>View</v>
      </c>
      <c r="V4174" s="8"/>
      <c r="W4174" s="8"/>
      <c r="X4174" s="8"/>
      <c r="Y4174" s="8"/>
      <c r="Z4174" s="8"/>
    </row>
    <row r="4175" spans="1:26" ht="12.75">
      <c r="A4175" s="11">
        <v>43747.125150462962</v>
      </c>
      <c r="B4175" s="12" t="str">
        <f>HYPERLINK("https://twitter.com/BaysalFerit","@BaysalFerit")</f>
        <v>@BaysalFerit</v>
      </c>
      <c r="C4175" s="7" t="s">
        <v>21440</v>
      </c>
      <c r="D4175" s="7" t="s">
        <v>21441</v>
      </c>
      <c r="E4175" s="12" t="str">
        <f>HYPERLINK("https://twitter.com/BaysalFerit/status/1181871981966299139","1181871981966299139")</f>
        <v>1181871981966299139</v>
      </c>
      <c r="F4175" s="8"/>
      <c r="G4175" s="14" t="s">
        <v>21442</v>
      </c>
      <c r="H4175" s="8"/>
      <c r="I4175" s="15">
        <v>0</v>
      </c>
      <c r="J4175" s="15">
        <v>3</v>
      </c>
      <c r="K4175" s="12" t="str">
        <f>HYPERLINK("http://twitter.com/download/android","Twitter for Android")</f>
        <v>Twitter for Android</v>
      </c>
      <c r="L4175" s="16">
        <v>4390</v>
      </c>
      <c r="M4175" s="16">
        <v>4521</v>
      </c>
      <c r="N4175" s="16">
        <v>2</v>
      </c>
      <c r="O4175" s="17"/>
      <c r="P4175" s="18">
        <v>41157.22828703704</v>
      </c>
      <c r="Q4175" s="7" t="s">
        <v>16059</v>
      </c>
      <c r="R4175" s="7" t="s">
        <v>21443</v>
      </c>
      <c r="S4175" s="15"/>
      <c r="T4175" s="8"/>
      <c r="U4175" s="19" t="str">
        <f>HYPERLINK("https://pbs.twimg.com/profile_images/1072775907272769537/yDPfdll4.jpg","View")</f>
        <v>View</v>
      </c>
      <c r="V4175" s="8"/>
      <c r="W4175" s="8"/>
      <c r="X4175" s="8"/>
      <c r="Y4175" s="8"/>
      <c r="Z4175" s="8"/>
    </row>
    <row r="4176" spans="1:26" ht="12.75">
      <c r="A4176" s="11">
        <v>43747.125115740739</v>
      </c>
      <c r="B4176" s="12" t="str">
        <f>HYPERLINK("https://twitter.com/SanatliTweetler","@SanatliTweetler")</f>
        <v>@SanatliTweetler</v>
      </c>
      <c r="C4176" s="7" t="s">
        <v>21444</v>
      </c>
      <c r="D4176" s="7" t="s">
        <v>21445</v>
      </c>
      <c r="E4176" s="12" t="str">
        <f>HYPERLINK("https://twitter.com/SanatliTweetler/status/1181871970989813760","1181871970989813760")</f>
        <v>1181871970989813760</v>
      </c>
      <c r="F4176" s="8"/>
      <c r="G4176" s="15"/>
      <c r="H4176" s="8"/>
      <c r="I4176" s="15">
        <v>3</v>
      </c>
      <c r="J4176" s="15">
        <v>5</v>
      </c>
      <c r="K4176" s="12" t="str">
        <f>HYPERLINK("http://twitter.com/download/iphone","Twitter for iPhone")</f>
        <v>Twitter for iPhone</v>
      </c>
      <c r="L4176" s="16">
        <v>4927</v>
      </c>
      <c r="M4176" s="16">
        <v>5377</v>
      </c>
      <c r="N4176" s="16">
        <v>2</v>
      </c>
      <c r="O4176" s="17"/>
      <c r="P4176" s="18">
        <v>42416.490497685183</v>
      </c>
      <c r="Q4176" s="7" t="s">
        <v>21446</v>
      </c>
      <c r="R4176" s="7" t="s">
        <v>21447</v>
      </c>
      <c r="S4176" s="14" t="s">
        <v>21448</v>
      </c>
      <c r="T4176" s="8"/>
      <c r="U4176" s="19" t="str">
        <f>HYPERLINK("https://pbs.twimg.com/profile_images/1155269757827977217/TCfemv-j.jpg","View")</f>
        <v>View</v>
      </c>
      <c r="V4176" s="8"/>
      <c r="W4176" s="8"/>
      <c r="X4176" s="8"/>
      <c r="Y4176" s="8"/>
      <c r="Z4176" s="8"/>
    </row>
    <row r="4177" spans="1:26" ht="12.75">
      <c r="A4177" s="11">
        <v>43747.125115740739</v>
      </c>
      <c r="B4177" s="12" t="str">
        <f>HYPERLINK("https://twitter.com/HasanmertUnlu","@HasanmertUnlu")</f>
        <v>@HasanmertUnlu</v>
      </c>
      <c r="C4177" s="7" t="s">
        <v>21449</v>
      </c>
      <c r="D4177" s="7" t="s">
        <v>160</v>
      </c>
      <c r="E4177" s="12" t="str">
        <f>HYPERLINK("https://twitter.com/HasanmertUnlu/status/1181871969328861184","1181871969328861184")</f>
        <v>1181871969328861184</v>
      </c>
      <c r="F4177" s="8"/>
      <c r="G4177" s="7"/>
      <c r="H4177" s="8"/>
      <c r="I4177" s="15">
        <v>0</v>
      </c>
      <c r="J4177" s="15">
        <v>0</v>
      </c>
      <c r="K4177" s="12" t="str">
        <f>HYPERLINK("http://twitter.com/download/android","Twitter for Android")</f>
        <v>Twitter for Android</v>
      </c>
      <c r="L4177" s="16">
        <v>72</v>
      </c>
      <c r="M4177" s="16">
        <v>408</v>
      </c>
      <c r="N4177" s="16">
        <v>0</v>
      </c>
      <c r="O4177" s="17"/>
      <c r="P4177" s="18">
        <v>42209.278182870374</v>
      </c>
      <c r="Q4177" s="7" t="s">
        <v>13705</v>
      </c>
      <c r="R4177" s="7" t="s">
        <v>21450</v>
      </c>
      <c r="S4177" s="8"/>
      <c r="T4177" s="8"/>
      <c r="U4177" s="19" t="str">
        <f>HYPERLINK("https://pbs.twimg.com/profile_images/821812265741590528/Q5hEYO3K.jpg","View")</f>
        <v>View</v>
      </c>
      <c r="V4177" s="8"/>
      <c r="W4177" s="8"/>
      <c r="X4177" s="8"/>
      <c r="Y4177" s="8"/>
      <c r="Z4177" s="8"/>
    </row>
    <row r="4178" spans="1:26" ht="12.75">
      <c r="A4178" s="11">
        <v>43747.125081018516</v>
      </c>
      <c r="B4178" s="12" t="str">
        <f>HYPERLINK("https://twitter.com/panzehirist2","@panzehirist2")</f>
        <v>@panzehirist2</v>
      </c>
      <c r="C4178" s="7" t="s">
        <v>21451</v>
      </c>
      <c r="D4178" s="7" t="s">
        <v>21452</v>
      </c>
      <c r="E4178" s="12" t="str">
        <f>HYPERLINK("https://twitter.com/panzehirist2/status/1181871959828770816","1181871959828770816")</f>
        <v>1181871959828770816</v>
      </c>
      <c r="F4178" s="8"/>
      <c r="G4178" s="14" t="s">
        <v>21453</v>
      </c>
      <c r="H4178" s="8"/>
      <c r="I4178" s="15">
        <v>0</v>
      </c>
      <c r="J4178" s="15">
        <v>3</v>
      </c>
      <c r="K4178" s="12" t="str">
        <f>HYPERLINK("http://twitter.com/download/android","Twitter for Android")</f>
        <v>Twitter for Android</v>
      </c>
      <c r="L4178" s="16">
        <v>71</v>
      </c>
      <c r="M4178" s="16">
        <v>313</v>
      </c>
      <c r="N4178" s="16">
        <v>0</v>
      </c>
      <c r="O4178" s="17"/>
      <c r="P4178" s="18">
        <v>43243.463229166664</v>
      </c>
      <c r="Q4178" s="7" t="s">
        <v>313</v>
      </c>
      <c r="R4178" s="7"/>
      <c r="S4178" s="15"/>
      <c r="T4178" s="8"/>
      <c r="U4178" s="19" t="str">
        <f>HYPERLINK("https://pbs.twimg.com/profile_images/1027446064486522880/TAp6aS8S.jpg","View")</f>
        <v>View</v>
      </c>
      <c r="V4178" s="8"/>
      <c r="W4178" s="8"/>
      <c r="X4178" s="8"/>
      <c r="Y4178" s="8"/>
      <c r="Z4178" s="8"/>
    </row>
    <row r="4179" spans="1:26" ht="12.75">
      <c r="A4179" s="11">
        <v>43747.124942129631</v>
      </c>
      <c r="B4179" s="12" t="str">
        <f>HYPERLINK("https://twitter.com/mlayikel","@mlayikel")</f>
        <v>@mlayikel</v>
      </c>
      <c r="C4179" s="7" t="s">
        <v>21454</v>
      </c>
      <c r="D4179" s="7" t="s">
        <v>21455</v>
      </c>
      <c r="E4179" s="12" t="str">
        <f>HYPERLINK("https://twitter.com/mlayikel/status/1181871907479666689","1181871907479666689")</f>
        <v>1181871907479666689</v>
      </c>
      <c r="F4179" s="15"/>
      <c r="G4179" s="14" t="s">
        <v>21456</v>
      </c>
      <c r="H4179" s="8"/>
      <c r="I4179" s="15">
        <v>2</v>
      </c>
      <c r="J4179" s="15">
        <v>2</v>
      </c>
      <c r="K4179" s="12" t="str">
        <f>HYPERLINK("https://mobile.twitter.com","Twitter Web App")</f>
        <v>Twitter Web App</v>
      </c>
      <c r="L4179" s="16">
        <v>830</v>
      </c>
      <c r="M4179" s="16">
        <v>374</v>
      </c>
      <c r="N4179" s="16">
        <v>5</v>
      </c>
      <c r="O4179" s="17"/>
      <c r="P4179" s="18">
        <v>40616.228275462963</v>
      </c>
      <c r="Q4179" s="7" t="s">
        <v>200</v>
      </c>
      <c r="R4179" s="7" t="s">
        <v>21457</v>
      </c>
      <c r="S4179" s="14" t="s">
        <v>21458</v>
      </c>
      <c r="T4179" s="8"/>
      <c r="U4179" s="19" t="str">
        <f>HYPERLINK("https://pbs.twimg.com/profile_images/1088047013395132422/PpaX9wMt.jpg","View")</f>
        <v>View</v>
      </c>
      <c r="V4179" s="8"/>
      <c r="W4179" s="8"/>
      <c r="X4179" s="8"/>
      <c r="Y4179" s="8"/>
      <c r="Z4179" s="8"/>
    </row>
    <row r="4180" spans="1:26" ht="12.75">
      <c r="A4180" s="11">
        <v>43747.124872685185</v>
      </c>
      <c r="B4180" s="12" t="str">
        <f>HYPERLINK("https://twitter.com/ozmennn","@ozmennn")</f>
        <v>@ozmennn</v>
      </c>
      <c r="C4180" s="7" t="s">
        <v>21459</v>
      </c>
      <c r="D4180" s="7" t="s">
        <v>21460</v>
      </c>
      <c r="E4180" s="12" t="str">
        <f>HYPERLINK("https://twitter.com/ozmennn/status/1181871882238402560","1181871882238402560")</f>
        <v>1181871882238402560</v>
      </c>
      <c r="F4180" s="8"/>
      <c r="G4180" s="7"/>
      <c r="H4180" s="8"/>
      <c r="I4180" s="15">
        <v>0</v>
      </c>
      <c r="J4180" s="15">
        <v>2</v>
      </c>
      <c r="K4180" s="12" t="str">
        <f>HYPERLINK("http://twitter.com/download/iphone","Twitter for iPhone")</f>
        <v>Twitter for iPhone</v>
      </c>
      <c r="L4180" s="16">
        <v>490</v>
      </c>
      <c r="M4180" s="16">
        <v>292</v>
      </c>
      <c r="N4180" s="16">
        <v>0</v>
      </c>
      <c r="O4180" s="17"/>
      <c r="P4180" s="18">
        <v>41588.06763888889</v>
      </c>
      <c r="Q4180" s="7" t="s">
        <v>21461</v>
      </c>
      <c r="R4180" s="7" t="s">
        <v>21462</v>
      </c>
      <c r="S4180" s="8"/>
      <c r="T4180" s="8"/>
      <c r="U4180" s="19" t="str">
        <f>HYPERLINK("https://pbs.twimg.com/profile_images/1176372073586987009/O0OAOJcc.jpg","View")</f>
        <v>View</v>
      </c>
      <c r="V4180" s="8"/>
      <c r="W4180" s="8"/>
      <c r="X4180" s="8"/>
      <c r="Y4180" s="8"/>
      <c r="Z4180" s="8"/>
    </row>
    <row r="4181" spans="1:26" ht="12.75">
      <c r="A4181" s="11">
        <v>43747.124814814815</v>
      </c>
      <c r="B4181" s="12" t="str">
        <f>HYPERLINK("https://twitter.com/_suicidealone__","@_suicidealone__")</f>
        <v>@_suicidealone__</v>
      </c>
      <c r="C4181" s="7" t="s">
        <v>21463</v>
      </c>
      <c r="D4181" s="7" t="s">
        <v>21464</v>
      </c>
      <c r="E4181" s="12" t="str">
        <f>HYPERLINK("https://twitter.com/_suicidealone__/status/1181871860625137664","1181871860625137664")</f>
        <v>1181871860625137664</v>
      </c>
      <c r="F4181" s="8"/>
      <c r="G4181" s="14" t="s">
        <v>21465</v>
      </c>
      <c r="H4181" s="8"/>
      <c r="I4181" s="15">
        <v>0</v>
      </c>
      <c r="J4181" s="15">
        <v>5</v>
      </c>
      <c r="K4181" s="12" t="str">
        <f>HYPERLINK("http://twitter.com/download/iphone","Twitter for iPhone")</f>
        <v>Twitter for iPhone</v>
      </c>
      <c r="L4181" s="16">
        <v>4</v>
      </c>
      <c r="M4181" s="16">
        <v>33</v>
      </c>
      <c r="N4181" s="16">
        <v>0</v>
      </c>
      <c r="O4181" s="17"/>
      <c r="P4181" s="18">
        <v>43660.60802083333</v>
      </c>
      <c r="Q4181" s="7" t="s">
        <v>287</v>
      </c>
      <c r="R4181" s="7"/>
      <c r="S4181" s="8"/>
      <c r="T4181" s="8"/>
      <c r="U4181" s="19" t="str">
        <f>HYPERLINK("https://pbs.twimg.com/profile_images/1151284538703847425/3eb0nRE8.jpg","View")</f>
        <v>View</v>
      </c>
      <c r="V4181" s="8"/>
      <c r="W4181" s="8"/>
      <c r="X4181" s="8"/>
      <c r="Y4181" s="8"/>
      <c r="Z4181" s="8"/>
    </row>
    <row r="4182" spans="1:26" ht="12.75">
      <c r="A4182" s="11">
        <v>43747.124756944446</v>
      </c>
      <c r="B4182" s="12" t="str">
        <f>HYPERLINK("https://twitter.com/ahmeturndu","@ahmeturndu")</f>
        <v>@ahmeturndu</v>
      </c>
      <c r="C4182" s="7" t="s">
        <v>21466</v>
      </c>
      <c r="D4182" s="7" t="s">
        <v>21467</v>
      </c>
      <c r="E4182" s="12" t="str">
        <f>HYPERLINK("https://twitter.com/ahmeturndu/status/1181871838894460928","1181871838894460928")</f>
        <v>1181871838894460928</v>
      </c>
      <c r="F4182" s="8"/>
      <c r="G4182" s="14" t="s">
        <v>21468</v>
      </c>
      <c r="H4182" s="8"/>
      <c r="I4182" s="15">
        <v>1</v>
      </c>
      <c r="J4182" s="15">
        <v>7</v>
      </c>
      <c r="K4182" s="12" t="str">
        <f>HYPERLINK("http://twitter.com/download/android","Twitter for Android")</f>
        <v>Twitter for Android</v>
      </c>
      <c r="L4182" s="16">
        <v>3456</v>
      </c>
      <c r="M4182" s="16">
        <v>4471</v>
      </c>
      <c r="N4182" s="16">
        <v>1</v>
      </c>
      <c r="O4182" s="17"/>
      <c r="P4182" s="18">
        <v>41407.215810185182</v>
      </c>
      <c r="Q4182" s="7" t="s">
        <v>14529</v>
      </c>
      <c r="R4182" s="7" t="s">
        <v>21469</v>
      </c>
      <c r="S4182" s="14" t="s">
        <v>21470</v>
      </c>
      <c r="T4182" s="8"/>
      <c r="U4182" s="19" t="str">
        <f>HYPERLINK("https://pbs.twimg.com/profile_images/1178716218683006977/qXtFXuky.jpg","View")</f>
        <v>View</v>
      </c>
      <c r="V4182" s="8"/>
      <c r="W4182" s="8"/>
      <c r="X4182" s="8"/>
      <c r="Y4182" s="8"/>
      <c r="Z4182" s="8"/>
    </row>
    <row r="4183" spans="1:26" ht="12.75">
      <c r="A4183" s="11">
        <v>43747.124745370369</v>
      </c>
      <c r="B4183" s="12" t="str">
        <f>HYPERLINK("https://twitter.com/eyupozbakir7","@eyupozbakir7")</f>
        <v>@eyupozbakir7</v>
      </c>
      <c r="C4183" s="7" t="s">
        <v>21471</v>
      </c>
      <c r="D4183" s="7" t="s">
        <v>21472</v>
      </c>
      <c r="E4183" s="12" t="str">
        <f>HYPERLINK("https://twitter.com/eyupozbakir7/status/1181871835601870848","1181871835601870848")</f>
        <v>1181871835601870848</v>
      </c>
      <c r="F4183" s="8"/>
      <c r="G4183" s="14" t="s">
        <v>21473</v>
      </c>
      <c r="H4183" s="8"/>
      <c r="I4183" s="15">
        <v>1</v>
      </c>
      <c r="J4183" s="15">
        <v>2</v>
      </c>
      <c r="K4183" s="12" t="str">
        <f>HYPERLINK("http://twitter.com/download/android","Twitter for Android")</f>
        <v>Twitter for Android</v>
      </c>
      <c r="L4183" s="16">
        <v>1073</v>
      </c>
      <c r="M4183" s="16">
        <v>958</v>
      </c>
      <c r="N4183" s="16">
        <v>0</v>
      </c>
      <c r="O4183" s="17"/>
      <c r="P4183" s="18">
        <v>41431.224942129629</v>
      </c>
      <c r="Q4183" s="7" t="s">
        <v>21474</v>
      </c>
      <c r="R4183" s="7" t="s">
        <v>21475</v>
      </c>
      <c r="S4183" s="8"/>
      <c r="T4183" s="8"/>
      <c r="U4183" s="19" t="str">
        <f>HYPERLINK("https://pbs.twimg.com/profile_images/1108295587638722560/p1lMy0Ng.jpg","View")</f>
        <v>View</v>
      </c>
      <c r="V4183" s="8"/>
      <c r="W4183" s="8"/>
      <c r="X4183" s="8"/>
      <c r="Y4183" s="8"/>
      <c r="Z4183" s="8"/>
    </row>
    <row r="4184" spans="1:26" ht="12.75">
      <c r="A4184" s="11">
        <v>43747.124710648146</v>
      </c>
      <c r="B4184" s="12" t="str">
        <f>HYPERLINK("https://twitter.com/OmayTopyurek","@OmayTopyurek")</f>
        <v>@OmayTopyurek</v>
      </c>
      <c r="C4184" s="7" t="s">
        <v>21476</v>
      </c>
      <c r="D4184" s="7" t="s">
        <v>21477</v>
      </c>
      <c r="E4184" s="12" t="str">
        <f>HYPERLINK("https://twitter.com/OmayTopyurek/status/1181871825048997888","1181871825048997888")</f>
        <v>1181871825048997888</v>
      </c>
      <c r="F4184" s="8"/>
      <c r="G4184" s="14" t="s">
        <v>21478</v>
      </c>
      <c r="H4184" s="8"/>
      <c r="I4184" s="15">
        <v>0</v>
      </c>
      <c r="J4184" s="15">
        <v>1</v>
      </c>
      <c r="K4184" s="12" t="str">
        <f>HYPERLINK("http://twitter.com","Twitter Web Client")</f>
        <v>Twitter Web Client</v>
      </c>
      <c r="L4184" s="16">
        <v>4</v>
      </c>
      <c r="M4184" s="16">
        <v>0</v>
      </c>
      <c r="N4184" s="16">
        <v>0</v>
      </c>
      <c r="O4184" s="17"/>
      <c r="P4184" s="18">
        <v>43669.034166666665</v>
      </c>
      <c r="Q4184" s="7" t="s">
        <v>1193</v>
      </c>
      <c r="R4184" s="7" t="s">
        <v>21479</v>
      </c>
      <c r="S4184" s="8"/>
      <c r="T4184" s="8"/>
      <c r="U4184" s="19" t="str">
        <f>HYPERLINK("https://pbs.twimg.com/profile_images/1154293066498527232/9J5O3X3p.jpg","View")</f>
        <v>View</v>
      </c>
      <c r="V4184" s="8"/>
      <c r="W4184" s="8"/>
      <c r="X4184" s="8"/>
      <c r="Y4184" s="8"/>
      <c r="Z4184" s="8"/>
    </row>
    <row r="4185" spans="1:26" ht="12.75">
      <c r="A4185" s="11">
        <v>43747.124675925923</v>
      </c>
      <c r="B4185" s="12" t="str">
        <f>HYPERLINK("https://twitter.com/KARAKULOGLU","@KARAKULOGLU")</f>
        <v>@KARAKULOGLU</v>
      </c>
      <c r="C4185" s="7" t="s">
        <v>21480</v>
      </c>
      <c r="D4185" s="7" t="s">
        <v>21481</v>
      </c>
      <c r="E4185" s="12" t="str">
        <f>HYPERLINK("https://twitter.com/KARAKULOGLU/status/1181871810217992193","1181871810217992193")</f>
        <v>1181871810217992193</v>
      </c>
      <c r="F4185" s="8"/>
      <c r="G4185" s="14" t="s">
        <v>21482</v>
      </c>
      <c r="H4185" s="8"/>
      <c r="I4185" s="15">
        <v>0</v>
      </c>
      <c r="J4185" s="15">
        <v>2</v>
      </c>
      <c r="K4185" s="12" t="str">
        <f>HYPERLINK("http://twitter.com/download/android","Twitter for Android")</f>
        <v>Twitter for Android</v>
      </c>
      <c r="L4185" s="16">
        <v>427</v>
      </c>
      <c r="M4185" s="16">
        <v>4961</v>
      </c>
      <c r="N4185" s="16">
        <v>1</v>
      </c>
      <c r="O4185" s="17"/>
      <c r="P4185" s="18">
        <v>40409.120787037034</v>
      </c>
      <c r="Q4185" s="7"/>
      <c r="R4185" s="7" t="s">
        <v>21483</v>
      </c>
      <c r="S4185" s="14" t="s">
        <v>21484</v>
      </c>
      <c r="T4185" s="8"/>
      <c r="U4185" s="19" t="str">
        <f>HYPERLINK("https://pbs.twimg.com/profile_images/789894892017377280/RNWsg9K6.jpg","View")</f>
        <v>View</v>
      </c>
      <c r="V4185" s="8"/>
      <c r="W4185" s="8"/>
      <c r="X4185" s="8"/>
      <c r="Y4185" s="8"/>
      <c r="Z4185" s="8"/>
    </row>
    <row r="4186" spans="1:26" ht="12.75">
      <c r="A4186" s="11">
        <v>43747.1246412037</v>
      </c>
      <c r="B4186" s="12" t="str">
        <f>HYPERLINK("https://twitter.com/dilosumkya","@dilosumkya")</f>
        <v>@dilosumkya</v>
      </c>
      <c r="C4186" s="7" t="s">
        <v>21485</v>
      </c>
      <c r="D4186" s="7" t="s">
        <v>160</v>
      </c>
      <c r="E4186" s="12" t="str">
        <f>HYPERLINK("https://twitter.com/dilosumkya/status/1181871796313706496","1181871796313706496")</f>
        <v>1181871796313706496</v>
      </c>
      <c r="F4186" s="8"/>
      <c r="G4186" s="15"/>
      <c r="H4186" s="8"/>
      <c r="I4186" s="15">
        <v>0</v>
      </c>
      <c r="J4186" s="15">
        <v>0</v>
      </c>
      <c r="K4186" s="12" t="str">
        <f>HYPERLINK("https://mobile.twitter.com","Twitter Web App")</f>
        <v>Twitter Web App</v>
      </c>
      <c r="L4186" s="16">
        <v>270</v>
      </c>
      <c r="M4186" s="16">
        <v>316</v>
      </c>
      <c r="N4186" s="16">
        <v>1</v>
      </c>
      <c r="O4186" s="17"/>
      <c r="P4186" s="18">
        <v>41838.7184375</v>
      </c>
      <c r="Q4186" s="7" t="s">
        <v>21486</v>
      </c>
      <c r="R4186" s="7" t="s">
        <v>21487</v>
      </c>
      <c r="S4186" s="14" t="s">
        <v>21488</v>
      </c>
      <c r="T4186" s="8"/>
      <c r="U4186" s="19" t="str">
        <f>HYPERLINK("https://pbs.twimg.com/profile_images/922786375899938816/9HMdVu2b.jpg","View")</f>
        <v>View</v>
      </c>
      <c r="V4186" s="8"/>
      <c r="W4186" s="8"/>
      <c r="X4186" s="8"/>
      <c r="Y4186" s="8"/>
      <c r="Z4186" s="8"/>
    </row>
    <row r="4187" spans="1:26" ht="12.75">
      <c r="A4187" s="11">
        <v>43747.124560185184</v>
      </c>
      <c r="B4187" s="12" t="str">
        <f>HYPERLINK("https://twitter.com/GGoktann","@GGoktann")</f>
        <v>@GGoktann</v>
      </c>
      <c r="C4187" s="7" t="s">
        <v>21489</v>
      </c>
      <c r="D4187" s="7" t="s">
        <v>160</v>
      </c>
      <c r="E4187" s="12" t="str">
        <f>HYPERLINK("https://twitter.com/GGoktann/status/1181871770116198400","1181871770116198400")</f>
        <v>1181871770116198400</v>
      </c>
      <c r="F4187" s="8"/>
      <c r="G4187" s="14" t="s">
        <v>21490</v>
      </c>
      <c r="H4187" s="8"/>
      <c r="I4187" s="15">
        <v>0</v>
      </c>
      <c r="J4187" s="15">
        <v>0</v>
      </c>
      <c r="K4187" s="12" t="str">
        <f>HYPERLINK("http://twitter.com/download/android","Twitter for Android")</f>
        <v>Twitter for Android</v>
      </c>
      <c r="L4187" s="16">
        <v>6</v>
      </c>
      <c r="M4187" s="16">
        <v>24</v>
      </c>
      <c r="N4187" s="16">
        <v>0</v>
      </c>
      <c r="O4187" s="17"/>
      <c r="P4187" s="18">
        <v>42420.362013888887</v>
      </c>
      <c r="Q4187" s="7" t="s">
        <v>8299</v>
      </c>
      <c r="R4187" s="7" t="s">
        <v>21491</v>
      </c>
      <c r="S4187" s="15"/>
      <c r="T4187" s="8"/>
      <c r="U4187" s="19" t="str">
        <f>HYPERLINK("https://pbs.twimg.com/profile_images/1112824773921464320/uuy6bc75.jpg","View")</f>
        <v>View</v>
      </c>
      <c r="V4187" s="8"/>
      <c r="W4187" s="8"/>
      <c r="X4187" s="8"/>
      <c r="Y4187" s="8"/>
      <c r="Z4187" s="8"/>
    </row>
    <row r="4188" spans="1:26" ht="12.75">
      <c r="A4188" s="11">
        <v>43747.124537037038</v>
      </c>
      <c r="B4188" s="12" t="str">
        <f>HYPERLINK("https://twitter.com/dunyacefasi","@dunyacefasi")</f>
        <v>@dunyacefasi</v>
      </c>
      <c r="C4188" s="7" t="s">
        <v>21492</v>
      </c>
      <c r="D4188" s="7" t="s">
        <v>21493</v>
      </c>
      <c r="E4188" s="12" t="str">
        <f>HYPERLINK("https://twitter.com/dunyacefasi/status/1181871761815691264","1181871761815691264")</f>
        <v>1181871761815691264</v>
      </c>
      <c r="F4188" s="8"/>
      <c r="G4188" s="14" t="s">
        <v>21494</v>
      </c>
      <c r="H4188" s="8"/>
      <c r="I4188" s="15">
        <v>0</v>
      </c>
      <c r="J4188" s="15">
        <v>2</v>
      </c>
      <c r="K4188" s="12" t="str">
        <f>HYPERLINK("https://mobile.twitter.com","Twitter Web App")</f>
        <v>Twitter Web App</v>
      </c>
      <c r="L4188" s="16">
        <v>140</v>
      </c>
      <c r="M4188" s="16">
        <v>483</v>
      </c>
      <c r="N4188" s="16">
        <v>0</v>
      </c>
      <c r="O4188" s="17"/>
      <c r="P4188" s="18">
        <v>40326.567083333335</v>
      </c>
      <c r="Q4188" s="7"/>
      <c r="R4188" s="7" t="s">
        <v>21495</v>
      </c>
      <c r="S4188" s="8"/>
      <c r="T4188" s="8"/>
      <c r="U4188" s="19" t="str">
        <f>HYPERLINK("https://pbs.twimg.com/profile_images/717112509308788736/r05zq4gm.jpg","View")</f>
        <v>View</v>
      </c>
      <c r="V4188" s="8"/>
      <c r="W4188" s="8"/>
      <c r="X4188" s="8"/>
      <c r="Y4188" s="8"/>
      <c r="Z4188" s="8"/>
    </row>
    <row r="4189" spans="1:26" ht="12.75">
      <c r="A4189" s="11">
        <v>43747.124525462961</v>
      </c>
      <c r="B4189" s="12" t="str">
        <f>HYPERLINK("https://twitter.com/NecmiDursun58","@NecmiDursun58")</f>
        <v>@NecmiDursun58</v>
      </c>
      <c r="C4189" s="13" t="s">
        <v>21496</v>
      </c>
      <c r="D4189" s="7" t="s">
        <v>160</v>
      </c>
      <c r="E4189" s="12" t="str">
        <f>HYPERLINK("https://twitter.com/NecmiDursun58/status/1181871756795138049","1181871756795138049")</f>
        <v>1181871756795138049</v>
      </c>
      <c r="F4189" s="15"/>
      <c r="G4189" s="14" t="s">
        <v>21497</v>
      </c>
      <c r="H4189" s="8"/>
      <c r="I4189" s="15">
        <v>0</v>
      </c>
      <c r="J4189" s="15">
        <v>0</v>
      </c>
      <c r="K4189" s="12" t="str">
        <f>HYPERLINK("http://twitter.com/download/iphone","Twitter for iPhone")</f>
        <v>Twitter for iPhone</v>
      </c>
      <c r="L4189" s="16">
        <v>375</v>
      </c>
      <c r="M4189" s="16">
        <v>164</v>
      </c>
      <c r="N4189" s="16">
        <v>1</v>
      </c>
      <c r="O4189" s="17"/>
      <c r="P4189" s="18">
        <v>42175.696770833332</v>
      </c>
      <c r="Q4189" s="7" t="s">
        <v>313</v>
      </c>
      <c r="R4189" s="13" t="s">
        <v>21498</v>
      </c>
      <c r="S4189" s="8"/>
      <c r="T4189" s="8"/>
      <c r="U4189" s="19" t="str">
        <f>HYPERLINK("https://pbs.twimg.com/profile_images/1176340438468501505/r4yWDr4F.jpg","View")</f>
        <v>View</v>
      </c>
      <c r="V4189" s="8"/>
      <c r="W4189" s="8"/>
      <c r="X4189" s="8"/>
      <c r="Y4189" s="8"/>
      <c r="Z4189" s="8"/>
    </row>
    <row r="4190" spans="1:26" ht="12.75">
      <c r="A4190" s="11">
        <v>43747.124513888892</v>
      </c>
      <c r="B4190" s="12" t="str">
        <f>HYPERLINK("https://twitter.com/ErolYav52354580","@ErolYav52354580")</f>
        <v>@ErolYav52354580</v>
      </c>
      <c r="C4190" s="7" t="s">
        <v>21499</v>
      </c>
      <c r="D4190" s="7" t="s">
        <v>21500</v>
      </c>
      <c r="E4190" s="12" t="str">
        <f>HYPERLINK("https://twitter.com/ErolYav52354580/status/1181871753196425216","1181871753196425216")</f>
        <v>1181871753196425216</v>
      </c>
      <c r="F4190" s="8"/>
      <c r="G4190" s="15"/>
      <c r="H4190" s="8"/>
      <c r="I4190" s="15">
        <v>0</v>
      </c>
      <c r="J4190" s="15">
        <v>0</v>
      </c>
      <c r="K4190" s="12" t="str">
        <f>HYPERLINK("http://twitter.com/download/iphone","Twitter for iPhone")</f>
        <v>Twitter for iPhone</v>
      </c>
      <c r="L4190" s="16">
        <v>23</v>
      </c>
      <c r="M4190" s="16">
        <v>58</v>
      </c>
      <c r="N4190" s="16">
        <v>0</v>
      </c>
      <c r="O4190" s="17"/>
      <c r="P4190" s="18">
        <v>43600.916018518517</v>
      </c>
      <c r="Q4190" s="7"/>
      <c r="R4190" s="7"/>
      <c r="S4190" s="15"/>
      <c r="T4190" s="8"/>
      <c r="U4190" s="19" t="str">
        <f>HYPERLINK("https://pbs.twimg.com/profile_images/1136435051833450496/7ET8WaPL.jpg","View")</f>
        <v>View</v>
      </c>
      <c r="V4190" s="8"/>
      <c r="W4190" s="8"/>
      <c r="X4190" s="8"/>
      <c r="Y4190" s="8"/>
      <c r="Z4190" s="8"/>
    </row>
    <row r="4191" spans="1:26" ht="12.75">
      <c r="A4191" s="11">
        <v>43747.124502314815</v>
      </c>
      <c r="B4191" s="12" t="str">
        <f>HYPERLINK("https://twitter.com/CasaGazel","@CasaGazel")</f>
        <v>@CasaGazel</v>
      </c>
      <c r="C4191" s="7" t="s">
        <v>21501</v>
      </c>
      <c r="D4191" s="7" t="s">
        <v>21502</v>
      </c>
      <c r="E4191" s="12" t="str">
        <f>HYPERLINK("https://twitter.com/CasaGazel/status/1181871748800757760","1181871748800757760")</f>
        <v>1181871748800757760</v>
      </c>
      <c r="F4191" s="8"/>
      <c r="G4191" s="7"/>
      <c r="H4191" s="8"/>
      <c r="I4191" s="15">
        <v>0</v>
      </c>
      <c r="J4191" s="15">
        <v>1</v>
      </c>
      <c r="K4191" s="12" t="str">
        <f>HYPERLINK("http://twitter.com/download/iphone","Twitter for iPhone")</f>
        <v>Twitter for iPhone</v>
      </c>
      <c r="L4191" s="16">
        <v>2</v>
      </c>
      <c r="M4191" s="16">
        <v>5</v>
      </c>
      <c r="N4191" s="16">
        <v>0</v>
      </c>
      <c r="O4191" s="17"/>
      <c r="P4191" s="18">
        <v>43224.358993055561</v>
      </c>
      <c r="Q4191" s="7"/>
      <c r="R4191" s="7"/>
      <c r="S4191" s="8"/>
      <c r="T4191" s="8"/>
      <c r="U4191" s="20" t="s">
        <v>354</v>
      </c>
      <c r="V4191" s="8"/>
      <c r="W4191" s="8"/>
      <c r="X4191" s="8"/>
      <c r="Y4191" s="8"/>
      <c r="Z4191" s="8"/>
    </row>
    <row r="4192" spans="1:26" ht="12.75">
      <c r="A4192" s="11">
        <v>43747.124467592592</v>
      </c>
      <c r="B4192" s="12" t="str">
        <f>HYPERLINK("https://twitter.com/nuriikoval","@nuriikoval")</f>
        <v>@nuriikoval</v>
      </c>
      <c r="C4192" s="7" t="s">
        <v>21503</v>
      </c>
      <c r="D4192" s="7" t="s">
        <v>21504</v>
      </c>
      <c r="E4192" s="12" t="str">
        <f>HYPERLINK("https://twitter.com/nuriikoval/status/1181871736339468288","1181871736339468288")</f>
        <v>1181871736339468288</v>
      </c>
      <c r="F4192" s="8"/>
      <c r="G4192" s="7"/>
      <c r="H4192" s="8"/>
      <c r="I4192" s="15">
        <v>0</v>
      </c>
      <c r="J4192" s="15">
        <v>0</v>
      </c>
      <c r="K4192" s="12" t="str">
        <f>HYPERLINK("http://twitter.com/download/iphone","Twitter for iPhone")</f>
        <v>Twitter for iPhone</v>
      </c>
      <c r="L4192" s="16">
        <v>263</v>
      </c>
      <c r="M4192" s="16">
        <v>347</v>
      </c>
      <c r="N4192" s="16">
        <v>0</v>
      </c>
      <c r="O4192" s="17"/>
      <c r="P4192" s="18">
        <v>40523.262673611112</v>
      </c>
      <c r="Q4192" s="7" t="s">
        <v>21505</v>
      </c>
      <c r="R4192" s="7" t="s">
        <v>21506</v>
      </c>
      <c r="S4192" s="8"/>
      <c r="T4192" s="8"/>
      <c r="U4192" s="19" t="str">
        <f>HYPERLINK("https://pbs.twimg.com/profile_images/1003644880994881536/F3vIEBNJ.jpg","View")</f>
        <v>View</v>
      </c>
      <c r="V4192" s="8"/>
      <c r="W4192" s="8"/>
      <c r="X4192" s="8"/>
      <c r="Y4192" s="8"/>
      <c r="Z4192" s="8"/>
    </row>
    <row r="4193" spans="1:26" ht="12.75">
      <c r="A4193" s="11">
        <v>43747.124409722222</v>
      </c>
      <c r="B4193" s="12" t="str">
        <f>HYPERLINK("https://twitter.com/aad_9092","@aad_9092")</f>
        <v>@aad_9092</v>
      </c>
      <c r="C4193" s="7" t="s">
        <v>21507</v>
      </c>
      <c r="D4193" s="7" t="s">
        <v>21508</v>
      </c>
      <c r="E4193" s="12" t="str">
        <f>HYPERLINK("https://twitter.com/aad_9092/status/1181871716353622017","1181871716353622017")</f>
        <v>1181871716353622017</v>
      </c>
      <c r="F4193" s="8"/>
      <c r="G4193" s="7"/>
      <c r="H4193" s="8"/>
      <c r="I4193" s="15">
        <v>0</v>
      </c>
      <c r="J4193" s="15">
        <v>0</v>
      </c>
      <c r="K4193" s="12" t="str">
        <f>HYPERLINK("https://mobile.twitter.com","Twitter Web App")</f>
        <v>Twitter Web App</v>
      </c>
      <c r="L4193" s="16">
        <v>1</v>
      </c>
      <c r="M4193" s="16">
        <v>1</v>
      </c>
      <c r="N4193" s="16">
        <v>0</v>
      </c>
      <c r="O4193" s="17"/>
      <c r="P4193" s="18">
        <v>40687.121539351851</v>
      </c>
      <c r="Q4193" s="7"/>
      <c r="R4193" s="7"/>
      <c r="S4193" s="8"/>
      <c r="T4193" s="8"/>
      <c r="U4193" s="20" t="s">
        <v>354</v>
      </c>
      <c r="V4193" s="8"/>
      <c r="W4193" s="8"/>
      <c r="X4193" s="8"/>
      <c r="Y4193" s="8"/>
      <c r="Z4193" s="8"/>
    </row>
    <row r="4194" spans="1:26" ht="12.75">
      <c r="A4194" s="11">
        <v>43747.124409722222</v>
      </c>
      <c r="B4194" s="12" t="str">
        <f>HYPERLINK("https://twitter.com/MAF63878279","@MAF63878279")</f>
        <v>@MAF63878279</v>
      </c>
      <c r="C4194" s="7" t="s">
        <v>21509</v>
      </c>
      <c r="D4194" s="7" t="s">
        <v>21510</v>
      </c>
      <c r="E4194" s="12" t="str">
        <f>HYPERLINK("https://twitter.com/MAF63878279/status/1181871713753153536","1181871713753153536")</f>
        <v>1181871713753153536</v>
      </c>
      <c r="F4194" s="8"/>
      <c r="G4194" s="14" t="s">
        <v>21511</v>
      </c>
      <c r="H4194" s="8"/>
      <c r="I4194" s="15">
        <v>0</v>
      </c>
      <c r="J4194" s="15">
        <v>0</v>
      </c>
      <c r="K4194" s="12" t="str">
        <f>HYPERLINK("http://twitter.com/download/android","Twitter for Android")</f>
        <v>Twitter for Android</v>
      </c>
      <c r="L4194" s="16">
        <v>36</v>
      </c>
      <c r="M4194" s="16">
        <v>341</v>
      </c>
      <c r="N4194" s="16">
        <v>0</v>
      </c>
      <c r="O4194" s="17"/>
      <c r="P4194" s="18">
        <v>43579.999143518522</v>
      </c>
      <c r="Q4194" s="7" t="s">
        <v>21512</v>
      </c>
      <c r="R4194" s="7" t="s">
        <v>21513</v>
      </c>
      <c r="S4194" s="8"/>
      <c r="T4194" s="8"/>
      <c r="U4194" s="19" t="str">
        <f>HYPERLINK("https://pbs.twimg.com/profile_images/1124027301694464000/uP1nFM-H.jpg","View")</f>
        <v>View</v>
      </c>
      <c r="V4194" s="8"/>
      <c r="W4194" s="8"/>
      <c r="X4194" s="8"/>
      <c r="Y4194" s="8"/>
      <c r="Z4194" s="8"/>
    </row>
    <row r="4195" spans="1:26" ht="12.75">
      <c r="A4195" s="11">
        <v>43747.124398148153</v>
      </c>
      <c r="B4195" s="12" t="str">
        <f>HYPERLINK("https://twitter.com/5858Bay5858","@5858Bay5858")</f>
        <v>@5858Bay5858</v>
      </c>
      <c r="C4195" s="7" t="s">
        <v>21514</v>
      </c>
      <c r="D4195" s="7" t="s">
        <v>21515</v>
      </c>
      <c r="E4195" s="12" t="str">
        <f>HYPERLINK("https://twitter.com/5858Bay5858/status/1181871709621772288","1181871709621772288")</f>
        <v>1181871709621772288</v>
      </c>
      <c r="F4195" s="8"/>
      <c r="G4195" s="14" t="s">
        <v>21516</v>
      </c>
      <c r="H4195" s="8"/>
      <c r="I4195" s="15">
        <v>0</v>
      </c>
      <c r="J4195" s="15">
        <v>1</v>
      </c>
      <c r="K4195" s="12" t="str">
        <f>HYPERLINK("http://twitter.com/download/iphone","Twitter for iPhone")</f>
        <v>Twitter for iPhone</v>
      </c>
      <c r="L4195" s="16">
        <v>14</v>
      </c>
      <c r="M4195" s="16">
        <v>228</v>
      </c>
      <c r="N4195" s="16">
        <v>0</v>
      </c>
      <c r="O4195" s="17"/>
      <c r="P4195" s="18">
        <v>42525.52107638889</v>
      </c>
      <c r="Q4195" s="7" t="s">
        <v>200</v>
      </c>
      <c r="R4195" s="7" t="s">
        <v>21517</v>
      </c>
      <c r="S4195" s="15"/>
      <c r="T4195" s="8"/>
      <c r="U4195" s="19" t="str">
        <f>HYPERLINK("https://pbs.twimg.com/profile_images/1180810370912534528/zWD5eOqW.jpg","View")</f>
        <v>View</v>
      </c>
      <c r="V4195" s="8"/>
      <c r="W4195" s="8"/>
      <c r="X4195" s="8"/>
      <c r="Y4195" s="8"/>
      <c r="Z4195" s="8"/>
    </row>
    <row r="4196" spans="1:26" ht="12.75">
      <c r="A4196" s="11">
        <v>43747.124374999999</v>
      </c>
      <c r="B4196" s="12" t="str">
        <f>HYPERLINK("https://twitter.com/demircanmurat71","@demircanmurat71")</f>
        <v>@demircanmurat71</v>
      </c>
      <c r="C4196" s="7" t="s">
        <v>21518</v>
      </c>
      <c r="D4196" s="7" t="s">
        <v>160</v>
      </c>
      <c r="E4196" s="12" t="str">
        <f>HYPERLINK("https://twitter.com/demircanmurat71/status/1181871703779094528","1181871703779094528")</f>
        <v>1181871703779094528</v>
      </c>
      <c r="F4196" s="8"/>
      <c r="G4196" s="14" t="s">
        <v>21519</v>
      </c>
      <c r="H4196" s="8"/>
      <c r="I4196" s="15">
        <v>0</v>
      </c>
      <c r="J4196" s="15">
        <v>1</v>
      </c>
      <c r="K4196" s="12" t="str">
        <f>HYPERLINK("http://twitter.com/download/iphone","Twitter for iPhone")</f>
        <v>Twitter for iPhone</v>
      </c>
      <c r="L4196" s="16">
        <v>467</v>
      </c>
      <c r="M4196" s="16">
        <v>541</v>
      </c>
      <c r="N4196" s="16">
        <v>0</v>
      </c>
      <c r="O4196" s="17"/>
      <c r="P4196" s="18">
        <v>43734.525972222225</v>
      </c>
      <c r="Q4196" s="7"/>
      <c r="R4196" s="7" t="s">
        <v>21520</v>
      </c>
      <c r="S4196" s="8"/>
      <c r="T4196" s="8"/>
      <c r="U4196" s="19" t="str">
        <f>HYPERLINK("https://pbs.twimg.com/profile_images/1177306351011282947/7GWhcq1S.jpg","View")</f>
        <v>View</v>
      </c>
      <c r="V4196" s="8"/>
      <c r="W4196" s="8"/>
      <c r="X4196" s="8"/>
      <c r="Y4196" s="8"/>
      <c r="Z4196" s="8"/>
    </row>
    <row r="4197" spans="1:26" ht="12.75">
      <c r="A4197" s="11">
        <v>43747.124374999999</v>
      </c>
      <c r="B4197" s="12" t="str">
        <f>HYPERLINK("https://twitter.com/HaberOlay_Net","@HaberOlay_Net")</f>
        <v>@HaberOlay_Net</v>
      </c>
      <c r="C4197" s="7" t="s">
        <v>21521</v>
      </c>
      <c r="D4197" s="7" t="s">
        <v>21522</v>
      </c>
      <c r="E4197" s="12" t="str">
        <f>HYPERLINK("https://twitter.com/HaberOlay_Net/status/1181871702835372032","1181871702835372032")</f>
        <v>1181871702835372032</v>
      </c>
      <c r="F4197" s="14" t="s">
        <v>21523</v>
      </c>
      <c r="G4197" s="7"/>
      <c r="H4197" s="8"/>
      <c r="I4197" s="15">
        <v>1</v>
      </c>
      <c r="J4197" s="15">
        <v>1</v>
      </c>
      <c r="K4197" s="12" t="str">
        <f>HYPERLINK("http://twitter.com","Twitter Web Client")</f>
        <v>Twitter Web Client</v>
      </c>
      <c r="L4197" s="16">
        <v>767</v>
      </c>
      <c r="M4197" s="16">
        <v>2510</v>
      </c>
      <c r="N4197" s="16">
        <v>0</v>
      </c>
      <c r="O4197" s="17"/>
      <c r="P4197" s="18">
        <v>42137.232314814813</v>
      </c>
      <c r="Q4197" s="7" t="s">
        <v>10009</v>
      </c>
      <c r="R4197" s="7" t="s">
        <v>21524</v>
      </c>
      <c r="S4197" s="14" t="s">
        <v>21525</v>
      </c>
      <c r="T4197" s="8"/>
      <c r="U4197" s="19" t="str">
        <f>HYPERLINK("https://pbs.twimg.com/profile_images/1170257577059475457/3hjQBTkI.jpg","View")</f>
        <v>View</v>
      </c>
      <c r="V4197" s="8"/>
      <c r="W4197" s="8"/>
      <c r="X4197" s="8"/>
      <c r="Y4197" s="8"/>
      <c r="Z4197" s="8"/>
    </row>
    <row r="4198" spans="1:26" ht="12.75">
      <c r="A4198" s="11">
        <v>43747.124351851853</v>
      </c>
      <c r="B4198" s="12" t="str">
        <f>HYPERLINK("https://twitter.com/tytz38","@tytz38")</f>
        <v>@tytz38</v>
      </c>
      <c r="C4198" s="7" t="s">
        <v>10467</v>
      </c>
      <c r="D4198" s="7" t="s">
        <v>9019</v>
      </c>
      <c r="E4198" s="12" t="str">
        <f>HYPERLINK("https://twitter.com/tytz38/status/1181871692299341824","1181871692299341824")</f>
        <v>1181871692299341824</v>
      </c>
      <c r="F4198" s="8"/>
      <c r="G4198" s="7"/>
      <c r="H4198" s="8"/>
      <c r="I4198" s="15">
        <v>0</v>
      </c>
      <c r="J4198" s="15">
        <v>0</v>
      </c>
      <c r="K4198" s="12" t="str">
        <f>HYPERLINK("http://twitter.com/download/android","Twitter for Android")</f>
        <v>Twitter for Android</v>
      </c>
      <c r="L4198" s="16">
        <v>56</v>
      </c>
      <c r="M4198" s="16">
        <v>94</v>
      </c>
      <c r="N4198" s="16">
        <v>0</v>
      </c>
      <c r="O4198" s="17"/>
      <c r="P4198" s="18">
        <v>43232.255949074075</v>
      </c>
      <c r="Q4198" s="7" t="s">
        <v>1639</v>
      </c>
      <c r="R4198" s="7"/>
      <c r="S4198" s="8"/>
      <c r="T4198" s="8"/>
      <c r="U4198" s="19" t="str">
        <f>HYPERLINK("https://pbs.twimg.com/profile_images/1178773769499922434/rQ7zO8JN.jpg","View")</f>
        <v>View</v>
      </c>
      <c r="V4198" s="8"/>
      <c r="W4198" s="8"/>
      <c r="X4198" s="8"/>
      <c r="Y4198" s="8"/>
      <c r="Z4198" s="8"/>
    </row>
    <row r="4199" spans="1:26" ht="12.75">
      <c r="A4199" s="11">
        <v>43747.12431712963</v>
      </c>
      <c r="B4199" s="12" t="str">
        <f>HYPERLINK("https://twitter.com/serkanakyol52","@serkanakyol52")</f>
        <v>@serkanakyol52</v>
      </c>
      <c r="C4199" s="7" t="s">
        <v>21526</v>
      </c>
      <c r="D4199" s="7" t="s">
        <v>21527</v>
      </c>
      <c r="E4199" s="12" t="str">
        <f>HYPERLINK("https://twitter.com/serkanakyol52/status/1181871680911749124","1181871680911749124")</f>
        <v>1181871680911749124</v>
      </c>
      <c r="F4199" s="8"/>
      <c r="G4199" s="14" t="s">
        <v>21528</v>
      </c>
      <c r="H4199" s="8"/>
      <c r="I4199" s="15">
        <v>0</v>
      </c>
      <c r="J4199" s="15">
        <v>2</v>
      </c>
      <c r="K4199" s="12" t="str">
        <f>HYPERLINK("https://mobile.twitter.com","Twitter Web App")</f>
        <v>Twitter Web App</v>
      </c>
      <c r="L4199" s="16">
        <v>442</v>
      </c>
      <c r="M4199" s="16">
        <v>541</v>
      </c>
      <c r="N4199" s="16">
        <v>0</v>
      </c>
      <c r="O4199" s="17"/>
      <c r="P4199" s="18">
        <v>41414.113912037035</v>
      </c>
      <c r="Q4199" s="7"/>
      <c r="R4199" s="7" t="s">
        <v>21529</v>
      </c>
      <c r="S4199" s="8"/>
      <c r="T4199" s="8"/>
      <c r="U4199" s="19" t="str">
        <f>HYPERLINK("https://pbs.twimg.com/profile_images/1153039565390827527/pFGNt4XH.jpg","View")</f>
        <v>View</v>
      </c>
      <c r="V4199" s="8"/>
      <c r="W4199" s="8"/>
      <c r="X4199" s="8"/>
      <c r="Y4199" s="8"/>
      <c r="Z4199" s="8"/>
    </row>
    <row r="4200" spans="1:26" ht="12.75">
      <c r="A4200" s="11">
        <v>43747.124305555553</v>
      </c>
      <c r="B4200" s="12" t="str">
        <f>HYPERLINK("https://twitter.com/cimendestici3","@cimendestici3")</f>
        <v>@cimendestici3</v>
      </c>
      <c r="C4200" s="7" t="s">
        <v>21530</v>
      </c>
      <c r="D4200" s="7" t="s">
        <v>21531</v>
      </c>
      <c r="E4200" s="12" t="str">
        <f>HYPERLINK("https://twitter.com/cimendestici3/status/1181871677887647745","1181871677887647745")</f>
        <v>1181871677887647745</v>
      </c>
      <c r="F4200" s="8"/>
      <c r="G4200" s="14" t="s">
        <v>21532</v>
      </c>
      <c r="H4200" s="8"/>
      <c r="I4200" s="15">
        <v>0</v>
      </c>
      <c r="J4200" s="15">
        <v>1</v>
      </c>
      <c r="K4200" s="12" t="str">
        <f>HYPERLINK("http://twitter.com/download/iphone","Twitter for iPhone")</f>
        <v>Twitter for iPhone</v>
      </c>
      <c r="L4200" s="16">
        <v>0</v>
      </c>
      <c r="M4200" s="16">
        <v>0</v>
      </c>
      <c r="N4200" s="16">
        <v>0</v>
      </c>
      <c r="O4200" s="17"/>
      <c r="P4200" s="18">
        <v>43736.328506944439</v>
      </c>
      <c r="Q4200" s="7" t="s">
        <v>19290</v>
      </c>
      <c r="R4200" s="7" t="s">
        <v>21533</v>
      </c>
      <c r="S4200" s="8"/>
      <c r="T4200" s="8"/>
      <c r="U4200" s="19" t="str">
        <f>HYPERLINK("https://pbs.twimg.com/profile_images/1179129922578784259/Avk_glst.jpg","View")</f>
        <v>View</v>
      </c>
      <c r="V4200" s="8"/>
      <c r="W4200" s="8"/>
      <c r="X4200" s="8"/>
      <c r="Y4200" s="8"/>
      <c r="Z4200" s="8"/>
    </row>
    <row r="4201" spans="1:26" ht="12.75">
      <c r="A4201" s="11">
        <v>43747.124247685184</v>
      </c>
      <c r="B4201" s="12" t="str">
        <f>HYPERLINK("https://twitter.com/PenceZeytindali","@PenceZeytindali")</f>
        <v>@PenceZeytindali</v>
      </c>
      <c r="C4201" s="7" t="s">
        <v>21534</v>
      </c>
      <c r="D4201" s="7" t="s">
        <v>21535</v>
      </c>
      <c r="E4201" s="12" t="str">
        <f>HYPERLINK("https://twitter.com/PenceZeytindali/status/1181871656274411520","1181871656274411520")</f>
        <v>1181871656274411520</v>
      </c>
      <c r="F4201" s="8"/>
      <c r="G4201" s="15"/>
      <c r="H4201" s="8"/>
      <c r="I4201" s="15">
        <v>0</v>
      </c>
      <c r="J4201" s="15">
        <v>0</v>
      </c>
      <c r="K4201" s="12" t="str">
        <f>HYPERLINK("http://twitter.com/download/android","Twitter for Android")</f>
        <v>Twitter for Android</v>
      </c>
      <c r="L4201" s="16">
        <v>0</v>
      </c>
      <c r="M4201" s="16">
        <v>13</v>
      </c>
      <c r="N4201" s="16">
        <v>0</v>
      </c>
      <c r="O4201" s="17"/>
      <c r="P4201" s="18">
        <v>43699.04552083333</v>
      </c>
      <c r="Q4201" s="7"/>
      <c r="R4201" s="7" t="s">
        <v>21536</v>
      </c>
      <c r="S4201" s="8"/>
      <c r="T4201" s="8"/>
      <c r="U4201" s="19" t="str">
        <f>HYPERLINK("https://pbs.twimg.com/profile_images/1164448655006453760/Pp5b3ytM.jpg","View")</f>
        <v>View</v>
      </c>
      <c r="V4201" s="8"/>
      <c r="W4201" s="8"/>
      <c r="X4201" s="8"/>
      <c r="Y4201" s="8"/>
      <c r="Z4201" s="8"/>
    </row>
    <row r="4202" spans="1:26" ht="12.75">
      <c r="A4202" s="11">
        <v>43747.124224537038</v>
      </c>
      <c r="B4202" s="12" t="str">
        <f>HYPERLINK("https://twitter.com/NCokberk","@NCokberk")</f>
        <v>@NCokberk</v>
      </c>
      <c r="C4202" s="7" t="s">
        <v>21537</v>
      </c>
      <c r="D4202" s="7" t="s">
        <v>21538</v>
      </c>
      <c r="E4202" s="12" t="str">
        <f>HYPERLINK("https://twitter.com/NCokberk/status/1181871645612486656","1181871645612486656")</f>
        <v>1181871645612486656</v>
      </c>
      <c r="F4202" s="8"/>
      <c r="G4202" s="14" t="s">
        <v>21539</v>
      </c>
      <c r="H4202" s="8"/>
      <c r="I4202" s="15">
        <v>0</v>
      </c>
      <c r="J4202" s="15">
        <v>1</v>
      </c>
      <c r="K4202" s="12" t="str">
        <f>HYPERLINK("http://twitter.com","Twitter Web Client")</f>
        <v>Twitter Web Client</v>
      </c>
      <c r="L4202" s="16">
        <v>5</v>
      </c>
      <c r="M4202" s="16">
        <v>0</v>
      </c>
      <c r="N4202" s="16">
        <v>0</v>
      </c>
      <c r="O4202" s="17"/>
      <c r="P4202" s="18">
        <v>43669.842962962968</v>
      </c>
      <c r="Q4202" s="7" t="s">
        <v>4807</v>
      </c>
      <c r="R4202" s="7" t="s">
        <v>21540</v>
      </c>
      <c r="S4202" s="8"/>
      <c r="T4202" s="8"/>
      <c r="U4202" s="19" t="str">
        <f>HYPERLINK("https://pbs.twimg.com/profile_images/1154293864259358721/Nf_dqDci.jpg","View")</f>
        <v>View</v>
      </c>
      <c r="V4202" s="8"/>
      <c r="W4202" s="8"/>
      <c r="X4202" s="8"/>
      <c r="Y4202" s="8"/>
      <c r="Z4202" s="8"/>
    </row>
    <row r="4203" spans="1:26" ht="12.75">
      <c r="A4203" s="11">
        <v>43747.124178240745</v>
      </c>
      <c r="B4203" s="12" t="str">
        <f>HYPERLINK("https://twitter.com/93mCelik","@93mCelik")</f>
        <v>@93mCelik</v>
      </c>
      <c r="C4203" s="7" t="s">
        <v>21541</v>
      </c>
      <c r="D4203" s="7" t="s">
        <v>21542</v>
      </c>
      <c r="E4203" s="12" t="str">
        <f>HYPERLINK("https://twitter.com/93mCelik/status/1181871630131314688","1181871630131314688")</f>
        <v>1181871630131314688</v>
      </c>
      <c r="F4203" s="8"/>
      <c r="G4203" s="14" t="s">
        <v>21543</v>
      </c>
      <c r="H4203" s="8"/>
      <c r="I4203" s="15">
        <v>0</v>
      </c>
      <c r="J4203" s="15">
        <v>1</v>
      </c>
      <c r="K4203" s="12" t="str">
        <f>HYPERLINK("http://twitter.com/download/android","Twitter for Android")</f>
        <v>Twitter for Android</v>
      </c>
      <c r="L4203" s="16">
        <v>524</v>
      </c>
      <c r="M4203" s="16">
        <v>978</v>
      </c>
      <c r="N4203" s="16">
        <v>1</v>
      </c>
      <c r="O4203" s="17"/>
      <c r="P4203" s="18">
        <v>41953.499768518523</v>
      </c>
      <c r="Q4203" s="7" t="s">
        <v>21544</v>
      </c>
      <c r="R4203" s="7" t="s">
        <v>20904</v>
      </c>
      <c r="S4203" s="8"/>
      <c r="T4203" s="8"/>
      <c r="U4203" s="19" t="str">
        <f>HYPERLINK("https://pbs.twimg.com/profile_images/1085742540912054273/CP4vZIeh.jpg","View")</f>
        <v>View</v>
      </c>
      <c r="V4203" s="8"/>
      <c r="W4203" s="8"/>
      <c r="X4203" s="8"/>
      <c r="Y4203" s="8"/>
      <c r="Z4203" s="8"/>
    </row>
    <row r="4204" spans="1:26" ht="12.75">
      <c r="A4204" s="11">
        <v>43747.124178240745</v>
      </c>
      <c r="B4204" s="12" t="str">
        <f>HYPERLINK("https://twitter.com/Mehmet12993","@Mehmet12993")</f>
        <v>@Mehmet12993</v>
      </c>
      <c r="C4204" s="7" t="s">
        <v>21545</v>
      </c>
      <c r="D4204" s="7" t="s">
        <v>21546</v>
      </c>
      <c r="E4204" s="12" t="str">
        <f>HYPERLINK("https://twitter.com/Mehmet12993/status/1181871629372182528","1181871629372182528")</f>
        <v>1181871629372182528</v>
      </c>
      <c r="F4204" s="8"/>
      <c r="G4204" s="7"/>
      <c r="H4204" s="8"/>
      <c r="I4204" s="15">
        <v>0</v>
      </c>
      <c r="J4204" s="15">
        <v>1</v>
      </c>
      <c r="K4204" s="12" t="str">
        <f>HYPERLINK("http://twitter.com/download/android","Twitter for Android")</f>
        <v>Twitter for Android</v>
      </c>
      <c r="L4204" s="16">
        <v>42</v>
      </c>
      <c r="M4204" s="16">
        <v>146</v>
      </c>
      <c r="N4204" s="16">
        <v>1</v>
      </c>
      <c r="O4204" s="17"/>
      <c r="P4204" s="18">
        <v>43716.574733796297</v>
      </c>
      <c r="Q4204" s="7" t="s">
        <v>21547</v>
      </c>
      <c r="R4204" s="7" t="s">
        <v>21548</v>
      </c>
      <c r="S4204" s="8"/>
      <c r="T4204" s="8"/>
      <c r="U4204" s="19" t="str">
        <f>HYPERLINK("https://pbs.twimg.com/profile_images/1176771202368585728/9ETOYROa.jpg","View")</f>
        <v>View</v>
      </c>
      <c r="V4204" s="8"/>
      <c r="W4204" s="8"/>
      <c r="X4204" s="8"/>
      <c r="Y4204" s="8"/>
      <c r="Z4204" s="8"/>
    </row>
    <row r="4205" spans="1:26" ht="12.75">
      <c r="A4205" s="11">
        <v>43747.124131944445</v>
      </c>
      <c r="B4205" s="12" t="str">
        <f>HYPERLINK("https://twitter.com/sabriisbilen","@sabriisbilen")</f>
        <v>@sabriisbilen</v>
      </c>
      <c r="C4205" s="7" t="s">
        <v>21549</v>
      </c>
      <c r="D4205" s="7" t="s">
        <v>21550</v>
      </c>
      <c r="E4205" s="12" t="str">
        <f>HYPERLINK("https://twitter.com/sabriisbilen/status/1181871614360727552","1181871614360727552")</f>
        <v>1181871614360727552</v>
      </c>
      <c r="F4205" s="8"/>
      <c r="G4205" s="7"/>
      <c r="H4205" s="8"/>
      <c r="I4205" s="15">
        <v>9</v>
      </c>
      <c r="J4205" s="15">
        <v>27</v>
      </c>
      <c r="K4205" s="12" t="str">
        <f>HYPERLINK("https://mobile.twitter.com","Twitter Web App")</f>
        <v>Twitter Web App</v>
      </c>
      <c r="L4205" s="16">
        <v>24289</v>
      </c>
      <c r="M4205" s="16">
        <v>1832</v>
      </c>
      <c r="N4205" s="16">
        <v>53</v>
      </c>
      <c r="O4205" s="17" t="s">
        <v>984</v>
      </c>
      <c r="P4205" s="18">
        <v>41900.921030092592</v>
      </c>
      <c r="Q4205" s="7" t="s">
        <v>200</v>
      </c>
      <c r="R4205" s="7" t="s">
        <v>21551</v>
      </c>
      <c r="S4205" s="14" t="s">
        <v>21552</v>
      </c>
      <c r="T4205" s="8"/>
      <c r="U4205" s="19" t="str">
        <f>HYPERLINK("https://pbs.twimg.com/profile_images/827648056120180738/Va9pfqTN.jpg","View")</f>
        <v>View</v>
      </c>
      <c r="V4205" s="8"/>
      <c r="W4205" s="8"/>
      <c r="X4205" s="8"/>
      <c r="Y4205" s="8"/>
      <c r="Z4205" s="8"/>
    </row>
    <row r="4206" spans="1:26" ht="12.75">
      <c r="A4206" s="11">
        <v>43747.124074074076</v>
      </c>
      <c r="B4206" s="12" t="str">
        <f>HYPERLINK("https://twitter.com/adeseder","@adeseder")</f>
        <v>@adeseder</v>
      </c>
      <c r="C4206" s="7" t="s">
        <v>21553</v>
      </c>
      <c r="D4206" s="7" t="s">
        <v>21554</v>
      </c>
      <c r="E4206" s="12" t="str">
        <f>HYPERLINK("https://twitter.com/adeseder/status/1181871592365854722","1181871592365854722")</f>
        <v>1181871592365854722</v>
      </c>
      <c r="F4206" s="8"/>
      <c r="G4206" s="7"/>
      <c r="H4206" s="8"/>
      <c r="I4206" s="15">
        <v>0</v>
      </c>
      <c r="J4206" s="15">
        <v>0</v>
      </c>
      <c r="K4206" s="12" t="str">
        <f>HYPERLINK("https://mobile.twitter.com","Twitter Web App")</f>
        <v>Twitter Web App</v>
      </c>
      <c r="L4206" s="16">
        <v>5</v>
      </c>
      <c r="M4206" s="16">
        <v>86</v>
      </c>
      <c r="N4206" s="16">
        <v>0</v>
      </c>
      <c r="O4206" s="17"/>
      <c r="P4206" s="18">
        <v>43628.253842592589</v>
      </c>
      <c r="Q4206" s="7" t="s">
        <v>21555</v>
      </c>
      <c r="R4206" s="7" t="s">
        <v>21556</v>
      </c>
      <c r="S4206" s="8"/>
      <c r="T4206" s="8"/>
      <c r="U4206" s="19" t="str">
        <f>HYPERLINK("https://pbs.twimg.com/profile_images/1138799903088545793/hoCiIEP0.png","View")</f>
        <v>View</v>
      </c>
      <c r="V4206" s="8"/>
      <c r="W4206" s="8"/>
      <c r="X4206" s="8"/>
      <c r="Y4206" s="8"/>
      <c r="Z4206" s="8"/>
    </row>
    <row r="4207" spans="1:26" ht="12.75">
      <c r="A4207" s="11">
        <v>43747.124027777776</v>
      </c>
      <c r="B4207" s="12" t="str">
        <f>HYPERLINK("https://twitter.com/ertingumehmet","@ertingumehmet")</f>
        <v>@ertingumehmet</v>
      </c>
      <c r="C4207" s="7" t="s">
        <v>21557</v>
      </c>
      <c r="D4207" s="7" t="s">
        <v>21558</v>
      </c>
      <c r="E4207" s="12" t="str">
        <f>HYPERLINK("https://twitter.com/ertingumehmet/status/1181871576456859648","1181871576456859648")</f>
        <v>1181871576456859648</v>
      </c>
      <c r="F4207" s="8"/>
      <c r="G4207" s="7"/>
      <c r="H4207" s="8"/>
      <c r="I4207" s="15">
        <v>0</v>
      </c>
      <c r="J4207" s="15">
        <v>0</v>
      </c>
      <c r="K4207" s="12" t="str">
        <f>HYPERLINK("https://mobile.twitter.com","Twitter Web App")</f>
        <v>Twitter Web App</v>
      </c>
      <c r="L4207" s="16">
        <v>65</v>
      </c>
      <c r="M4207" s="16">
        <v>158</v>
      </c>
      <c r="N4207" s="16">
        <v>0</v>
      </c>
      <c r="O4207" s="17"/>
      <c r="P4207" s="18">
        <v>42290.573564814811</v>
      </c>
      <c r="Q4207" s="7" t="s">
        <v>313</v>
      </c>
      <c r="R4207" s="7" t="s">
        <v>21559</v>
      </c>
      <c r="S4207" s="8"/>
      <c r="T4207" s="8"/>
      <c r="U4207" s="19" t="str">
        <f>HYPERLINK("https://pbs.twimg.com/profile_images/894822738669572096/MRVOPo1t.jpg","View")</f>
        <v>View</v>
      </c>
      <c r="V4207" s="8"/>
      <c r="W4207" s="8"/>
      <c r="X4207" s="8"/>
      <c r="Y4207" s="8"/>
      <c r="Z4207" s="8"/>
    </row>
    <row r="4208" spans="1:26" ht="12.75">
      <c r="A4208" s="11">
        <v>43747.12400462963</v>
      </c>
      <c r="B4208" s="12" t="str">
        <f>HYPERLINK("https://twitter.com/Selim05387175","@Selim05387175")</f>
        <v>@Selim05387175</v>
      </c>
      <c r="C4208" s="7" t="s">
        <v>21560</v>
      </c>
      <c r="D4208" s="7" t="s">
        <v>21561</v>
      </c>
      <c r="E4208" s="12" t="str">
        <f>HYPERLINK("https://twitter.com/Selim05387175/status/1181871565761384448","1181871565761384448")</f>
        <v>1181871565761384448</v>
      </c>
      <c r="F4208" s="8"/>
      <c r="G4208" s="14" t="s">
        <v>21562</v>
      </c>
      <c r="H4208" s="8"/>
      <c r="I4208" s="15">
        <v>0</v>
      </c>
      <c r="J4208" s="15">
        <v>3</v>
      </c>
      <c r="K4208" s="12" t="str">
        <f>HYPERLINK("http://twitter.com/download/android","Twitter for Android")</f>
        <v>Twitter for Android</v>
      </c>
      <c r="L4208" s="16">
        <v>107</v>
      </c>
      <c r="M4208" s="16">
        <v>436</v>
      </c>
      <c r="N4208" s="16">
        <v>0</v>
      </c>
      <c r="O4208" s="17"/>
      <c r="P4208" s="18">
        <v>43049.511041666672</v>
      </c>
      <c r="Q4208" s="7"/>
      <c r="R4208" s="7" t="s">
        <v>9307</v>
      </c>
      <c r="S4208" s="8"/>
      <c r="T4208" s="8"/>
      <c r="U4208" s="19" t="str">
        <f>HYPERLINK("https://pbs.twimg.com/profile_images/931959597979627521/xByG42Rj.jpg","View")</f>
        <v>View</v>
      </c>
      <c r="V4208" s="8"/>
      <c r="W4208" s="8"/>
      <c r="X4208" s="8"/>
      <c r="Y4208" s="8"/>
      <c r="Z4208" s="8"/>
    </row>
    <row r="4209" spans="1:26" ht="12.75">
      <c r="A4209" s="11">
        <v>43747.123969907407</v>
      </c>
      <c r="B4209" s="12" t="str">
        <f>HYPERLINK("https://twitter.com/emreerdogan337","@emreerdogan337")</f>
        <v>@emreerdogan337</v>
      </c>
      <c r="C4209" s="7" t="s">
        <v>21563</v>
      </c>
      <c r="D4209" s="7" t="s">
        <v>21564</v>
      </c>
      <c r="E4209" s="12" t="str">
        <f>HYPERLINK("https://twitter.com/emreerdogan337/status/1181871555065896961","1181871555065896961")</f>
        <v>1181871555065896961</v>
      </c>
      <c r="F4209" s="8"/>
      <c r="G4209" s="14" t="s">
        <v>21565</v>
      </c>
      <c r="H4209" s="8"/>
      <c r="I4209" s="15">
        <v>0</v>
      </c>
      <c r="J4209" s="15">
        <v>3</v>
      </c>
      <c r="K4209" s="12" t="str">
        <f>HYPERLINK("http://twitter.com/download/android","Twitter for Android")</f>
        <v>Twitter for Android</v>
      </c>
      <c r="L4209" s="16">
        <v>103</v>
      </c>
      <c r="M4209" s="16">
        <v>224</v>
      </c>
      <c r="N4209" s="16">
        <v>1</v>
      </c>
      <c r="O4209" s="17"/>
      <c r="P4209" s="18">
        <v>42041.556307870371</v>
      </c>
      <c r="Q4209" s="7" t="s">
        <v>21566</v>
      </c>
      <c r="R4209" s="7" t="s">
        <v>21567</v>
      </c>
      <c r="S4209" s="8"/>
      <c r="T4209" s="8"/>
      <c r="U4209" s="19" t="str">
        <f>HYPERLINK("https://pbs.twimg.com/profile_images/1178199963957891077/WEOW4LuY.jpg","View")</f>
        <v>View</v>
      </c>
      <c r="V4209" s="8"/>
      <c r="W4209" s="8"/>
      <c r="X4209" s="8"/>
      <c r="Y4209" s="8"/>
      <c r="Z4209" s="8"/>
    </row>
    <row r="4210" spans="1:26" ht="12.75">
      <c r="A4210" s="11">
        <v>43747.123935185184</v>
      </c>
      <c r="B4210" s="12" t="str">
        <f>HYPERLINK("https://twitter.com/SiyahMetal","@SiyahMetal")</f>
        <v>@SiyahMetal</v>
      </c>
      <c r="C4210" s="7" t="s">
        <v>21568</v>
      </c>
      <c r="D4210" s="7" t="s">
        <v>21569</v>
      </c>
      <c r="E4210" s="12" t="str">
        <f>HYPERLINK("https://twitter.com/SiyahMetal/status/1181871543535722497","1181871543535722497")</f>
        <v>1181871543535722497</v>
      </c>
      <c r="F4210" s="8"/>
      <c r="G4210" s="15"/>
      <c r="H4210" s="8"/>
      <c r="I4210" s="15">
        <v>0</v>
      </c>
      <c r="J4210" s="15">
        <v>1</v>
      </c>
      <c r="K4210" s="12" t="str">
        <f>HYPERLINK("https://mobile.twitter.com","Twitter Web App")</f>
        <v>Twitter Web App</v>
      </c>
      <c r="L4210" s="16">
        <v>12677</v>
      </c>
      <c r="M4210" s="16">
        <v>12099</v>
      </c>
      <c r="N4210" s="16">
        <v>49</v>
      </c>
      <c r="O4210" s="17"/>
      <c r="P4210" s="18">
        <v>42118.500613425931</v>
      </c>
      <c r="Q4210" s="7" t="s">
        <v>200</v>
      </c>
      <c r="R4210" s="7" t="s">
        <v>21570</v>
      </c>
      <c r="S4210" s="8"/>
      <c r="T4210" s="8"/>
      <c r="U4210" s="19" t="str">
        <f>HYPERLINK("https://pbs.twimg.com/profile_images/1138401457290522625/njDr1cYC.png","View")</f>
        <v>View</v>
      </c>
      <c r="V4210" s="8"/>
      <c r="W4210" s="8"/>
      <c r="X4210" s="8"/>
      <c r="Y4210" s="8"/>
      <c r="Z4210" s="8"/>
    </row>
    <row r="4211" spans="1:26" ht="12.75">
      <c r="A4211" s="11">
        <v>43747.123935185184</v>
      </c>
      <c r="B4211" s="12" t="str">
        <f>HYPERLINK("https://twitter.com/ismailhakkioner","@ismailhakkioner")</f>
        <v>@ismailhakkioner</v>
      </c>
      <c r="C4211" s="7" t="s">
        <v>21571</v>
      </c>
      <c r="D4211" s="7" t="s">
        <v>21572</v>
      </c>
      <c r="E4211" s="12" t="str">
        <f>HYPERLINK("https://twitter.com/ismailhakkioner/status/1181871541195300864","1181871541195300864")</f>
        <v>1181871541195300864</v>
      </c>
      <c r="F4211" s="8"/>
      <c r="G4211" s="15"/>
      <c r="H4211" s="8"/>
      <c r="I4211" s="15">
        <v>0</v>
      </c>
      <c r="J4211" s="15">
        <v>2</v>
      </c>
      <c r="K4211" s="12" t="str">
        <f>HYPERLINK("http://twitter.com/download/android","Twitter for Android")</f>
        <v>Twitter for Android</v>
      </c>
      <c r="L4211" s="16">
        <v>512</v>
      </c>
      <c r="M4211" s="16">
        <v>501</v>
      </c>
      <c r="N4211" s="16">
        <v>0</v>
      </c>
      <c r="O4211" s="17"/>
      <c r="P4211" s="18">
        <v>41570.248842592591</v>
      </c>
      <c r="Q4211" s="7" t="s">
        <v>21573</v>
      </c>
      <c r="R4211" s="7" t="s">
        <v>21574</v>
      </c>
      <c r="S4211" s="8"/>
      <c r="T4211" s="8"/>
      <c r="U4211" s="19" t="str">
        <f>HYPERLINK("https://pbs.twimg.com/profile_images/1154129685497950208/jBuk0PH-.jpg","View")</f>
        <v>View</v>
      </c>
      <c r="V4211" s="8"/>
      <c r="W4211" s="8"/>
      <c r="X4211" s="8"/>
      <c r="Y4211" s="8"/>
      <c r="Z4211" s="8"/>
    </row>
    <row r="4212" spans="1:26" ht="12.75">
      <c r="A4212" s="11">
        <v>43747.123912037037</v>
      </c>
      <c r="B4212" s="12" t="str">
        <f>HYPERLINK("https://twitter.com/kldknsynrabia","@kldknsynrabia")</f>
        <v>@kldknsynrabia</v>
      </c>
      <c r="C4212" s="7" t="s">
        <v>21575</v>
      </c>
      <c r="D4212" s="7" t="s">
        <v>13999</v>
      </c>
      <c r="E4212" s="12" t="str">
        <f>HYPERLINK("https://twitter.com/kldknsynrabia/status/1181871534304051200","1181871534304051200")</f>
        <v>1181871534304051200</v>
      </c>
      <c r="F4212" s="8"/>
      <c r="G4212" s="15"/>
      <c r="H4212" s="8"/>
      <c r="I4212" s="15">
        <v>0</v>
      </c>
      <c r="J4212" s="15">
        <v>4</v>
      </c>
      <c r="K4212" s="12" t="str">
        <f>HYPERLINK("http://twitter.com/download/android","Twitter for Android")</f>
        <v>Twitter for Android</v>
      </c>
      <c r="L4212" s="16">
        <v>2666</v>
      </c>
      <c r="M4212" s="16">
        <v>2560</v>
      </c>
      <c r="N4212" s="16">
        <v>3</v>
      </c>
      <c r="O4212" s="17"/>
      <c r="P4212" s="18">
        <v>43611.569699074069</v>
      </c>
      <c r="Q4212" s="7"/>
      <c r="R4212" s="7" t="s">
        <v>21576</v>
      </c>
      <c r="S4212" s="8"/>
      <c r="T4212" s="8"/>
      <c r="U4212" s="19" t="str">
        <f>HYPERLINK("https://pbs.twimg.com/profile_images/1181145019006230528/lqSYnNkA.jpg","View")</f>
        <v>View</v>
      </c>
      <c r="V4212" s="8"/>
      <c r="W4212" s="8"/>
      <c r="X4212" s="8"/>
      <c r="Y4212" s="8"/>
      <c r="Z4212" s="8"/>
    </row>
    <row r="4213" spans="1:26" ht="12.75">
      <c r="A4213" s="11">
        <v>43747.123888888891</v>
      </c>
      <c r="B4213" s="12" t="str">
        <f>HYPERLINK("https://twitter.com/saliher26","@saliher26")</f>
        <v>@saliher26</v>
      </c>
      <c r="C4213" s="7" t="s">
        <v>21577</v>
      </c>
      <c r="D4213" s="7" t="s">
        <v>21578</v>
      </c>
      <c r="E4213" s="12" t="str">
        <f>HYPERLINK("https://twitter.com/saliher26/status/1181871525735075841","1181871525735075841")</f>
        <v>1181871525735075841</v>
      </c>
      <c r="F4213" s="8"/>
      <c r="G4213" s="14" t="s">
        <v>21579</v>
      </c>
      <c r="H4213" s="8"/>
      <c r="I4213" s="15">
        <v>0</v>
      </c>
      <c r="J4213" s="15">
        <v>4</v>
      </c>
      <c r="K4213" s="12" t="str">
        <f>HYPERLINK("https://mobile.twitter.com","Twitter Web App")</f>
        <v>Twitter Web App</v>
      </c>
      <c r="L4213" s="16">
        <v>76</v>
      </c>
      <c r="M4213" s="16">
        <v>114</v>
      </c>
      <c r="N4213" s="16">
        <v>2</v>
      </c>
      <c r="O4213" s="17"/>
      <c r="P4213" s="18">
        <v>41463.201840277776</v>
      </c>
      <c r="Q4213" s="7" t="s">
        <v>21580</v>
      </c>
      <c r="R4213" s="7" t="s">
        <v>21581</v>
      </c>
      <c r="S4213" s="14" t="s">
        <v>21582</v>
      </c>
      <c r="T4213" s="8"/>
      <c r="U4213" s="19" t="str">
        <f>HYPERLINK("https://pbs.twimg.com/profile_images/1083813201500872710/A6VwZP4f.jpg","View")</f>
        <v>View</v>
      </c>
      <c r="V4213" s="8"/>
      <c r="W4213" s="8"/>
      <c r="X4213" s="8"/>
      <c r="Y4213" s="8"/>
      <c r="Z4213" s="8"/>
    </row>
    <row r="4214" spans="1:26" ht="12.75">
      <c r="A4214" s="11">
        <v>43747.123888888891</v>
      </c>
      <c r="B4214" s="12" t="str">
        <f>HYPERLINK("https://twitter.com/Baturrrrrr","@Baturrrrrr")</f>
        <v>@Baturrrrrr</v>
      </c>
      <c r="C4214" s="7" t="s">
        <v>21583</v>
      </c>
      <c r="D4214" s="7" t="s">
        <v>21584</v>
      </c>
      <c r="E4214" s="12" t="str">
        <f>HYPERLINK("https://twitter.com/Baturrrrrr/status/1181871524489433088","1181871524489433088")</f>
        <v>1181871524489433088</v>
      </c>
      <c r="F4214" s="8"/>
      <c r="G4214" s="14" t="s">
        <v>21585</v>
      </c>
      <c r="H4214" s="8"/>
      <c r="I4214" s="15">
        <v>0</v>
      </c>
      <c r="J4214" s="15">
        <v>0</v>
      </c>
      <c r="K4214" s="12" t="str">
        <f>HYPERLINK("http://twitter.com/download/android","Twitter for Android")</f>
        <v>Twitter for Android</v>
      </c>
      <c r="L4214" s="16">
        <v>23</v>
      </c>
      <c r="M4214" s="16">
        <v>52</v>
      </c>
      <c r="N4214" s="16">
        <v>0</v>
      </c>
      <c r="O4214" s="17"/>
      <c r="P4214" s="18">
        <v>42744.598402777774</v>
      </c>
      <c r="Q4214" s="7" t="s">
        <v>313</v>
      </c>
      <c r="R4214" s="7"/>
      <c r="S4214" s="8"/>
      <c r="T4214" s="8"/>
      <c r="U4214" s="19" t="str">
        <f>HYPERLINK("https://pbs.twimg.com/profile_images/1173170178785447936/2WCYo5FC.jpg","View")</f>
        <v>View</v>
      </c>
      <c r="V4214" s="8"/>
      <c r="W4214" s="8"/>
      <c r="X4214" s="8"/>
      <c r="Y4214" s="8"/>
      <c r="Z4214" s="8"/>
    </row>
    <row r="4215" spans="1:26" ht="12.75">
      <c r="A4215" s="11">
        <v>43747.123877314814</v>
      </c>
      <c r="B4215" s="12" t="str">
        <f>HYPERLINK("https://twitter.com/FanUzakdogu","@FanUzakdogu")</f>
        <v>@FanUzakdogu</v>
      </c>
      <c r="C4215" s="7" t="s">
        <v>21586</v>
      </c>
      <c r="D4215" s="7" t="s">
        <v>21587</v>
      </c>
      <c r="E4215" s="12" t="str">
        <f>HYPERLINK("https://twitter.com/FanUzakdogu/status/1181871521180073984","1181871521180073984")</f>
        <v>1181871521180073984</v>
      </c>
      <c r="F4215" s="8"/>
      <c r="G4215" s="7"/>
      <c r="H4215" s="8"/>
      <c r="I4215" s="15">
        <v>0</v>
      </c>
      <c r="J4215" s="15">
        <v>2</v>
      </c>
      <c r="K4215" s="12" t="str">
        <f>HYPERLINK("http://twitter.com/download/android","Twitter for Android")</f>
        <v>Twitter for Android</v>
      </c>
      <c r="L4215" s="16">
        <v>3</v>
      </c>
      <c r="M4215" s="16">
        <v>67</v>
      </c>
      <c r="N4215" s="16">
        <v>0</v>
      </c>
      <c r="O4215" s="17"/>
      <c r="P4215" s="18">
        <v>43746.446597222224</v>
      </c>
      <c r="Q4215" s="7"/>
      <c r="R4215" s="7" t="s">
        <v>21588</v>
      </c>
      <c r="S4215" s="8"/>
      <c r="T4215" s="8"/>
      <c r="U4215" s="19" t="str">
        <f>HYPERLINK("https://pbs.twimg.com/profile_images/1181626222469668865/hOEdVF6C.jpg","View")</f>
        <v>View</v>
      </c>
      <c r="V4215" s="8"/>
      <c r="W4215" s="8"/>
      <c r="X4215" s="8"/>
      <c r="Y4215" s="8"/>
      <c r="Z4215" s="8"/>
    </row>
    <row r="4216" spans="1:26" ht="12.75">
      <c r="A4216" s="11">
        <v>43747.123831018514</v>
      </c>
      <c r="B4216" s="12" t="str">
        <f>HYPERLINK("https://twitter.com/erif25391214","@erif25391214")</f>
        <v>@erif25391214</v>
      </c>
      <c r="C4216" s="7" t="s">
        <v>21589</v>
      </c>
      <c r="D4216" s="7" t="s">
        <v>21590</v>
      </c>
      <c r="E4216" s="12" t="str">
        <f>HYPERLINK("https://twitter.com/erif25391214/status/1181871502771331072","1181871502771331072")</f>
        <v>1181871502771331072</v>
      </c>
      <c r="F4216" s="8"/>
      <c r="G4216" s="14" t="s">
        <v>21591</v>
      </c>
      <c r="H4216" s="8"/>
      <c r="I4216" s="15">
        <v>0</v>
      </c>
      <c r="J4216" s="15">
        <v>0</v>
      </c>
      <c r="K4216" s="12" t="str">
        <f>HYPERLINK("http://twitter.com/download/android","Twitter for Android")</f>
        <v>Twitter for Android</v>
      </c>
      <c r="L4216" s="16">
        <v>1</v>
      </c>
      <c r="M4216" s="16">
        <v>90</v>
      </c>
      <c r="N4216" s="16">
        <v>0</v>
      </c>
      <c r="O4216" s="17"/>
      <c r="P4216" s="18">
        <v>43738.566388888888</v>
      </c>
      <c r="Q4216" s="7" t="s">
        <v>21592</v>
      </c>
      <c r="R4216" s="7" t="s">
        <v>21593</v>
      </c>
      <c r="S4216" s="8"/>
      <c r="T4216" s="8"/>
      <c r="U4216" s="19" t="str">
        <f>HYPERLINK("https://pbs.twimg.com/profile_images/1180634910320709633/h2huuPg0.jpg","View")</f>
        <v>View</v>
      </c>
      <c r="V4216" s="8"/>
      <c r="W4216" s="8"/>
      <c r="X4216" s="8"/>
      <c r="Y4216" s="8"/>
      <c r="Z4216" s="8"/>
    </row>
    <row r="4217" spans="1:26" ht="12.75">
      <c r="A4217" s="11">
        <v>43747.123819444445</v>
      </c>
      <c r="B4217" s="12" t="str">
        <f>HYPERLINK("https://twitter.com/baranntaskiran","@baranntaskiran")</f>
        <v>@baranntaskiran</v>
      </c>
      <c r="C4217" s="7" t="s">
        <v>21594</v>
      </c>
      <c r="D4217" s="7" t="s">
        <v>21595</v>
      </c>
      <c r="E4217" s="12" t="str">
        <f>HYPERLINK("https://twitter.com/baranntaskiran/status/1181871501324226560","1181871501324226560")</f>
        <v>1181871501324226560</v>
      </c>
      <c r="F4217" s="8"/>
      <c r="G4217" s="15"/>
      <c r="H4217" s="8"/>
      <c r="I4217" s="15">
        <v>0</v>
      </c>
      <c r="J4217" s="15">
        <v>0</v>
      </c>
      <c r="K4217" s="12" t="str">
        <f>HYPERLINK("http://twitter.com/download/iphone","Twitter for iPhone")</f>
        <v>Twitter for iPhone</v>
      </c>
      <c r="L4217" s="16">
        <v>40</v>
      </c>
      <c r="M4217" s="16">
        <v>48</v>
      </c>
      <c r="N4217" s="16">
        <v>0</v>
      </c>
      <c r="O4217" s="17"/>
      <c r="P4217" s="18">
        <v>43709.41006944445</v>
      </c>
      <c r="Q4217" s="7" t="s">
        <v>8508</v>
      </c>
      <c r="R4217" s="7" t="s">
        <v>21596</v>
      </c>
      <c r="S4217" s="8"/>
      <c r="T4217" s="8"/>
      <c r="U4217" s="19" t="str">
        <f>HYPERLINK("https://pbs.twimg.com/profile_images/1171343383694053376/3gcRrAS-.jpg","View")</f>
        <v>View</v>
      </c>
      <c r="V4217" s="8"/>
      <c r="W4217" s="8"/>
      <c r="X4217" s="8"/>
      <c r="Y4217" s="8"/>
      <c r="Z4217" s="8"/>
    </row>
    <row r="4218" spans="1:26" ht="12.75">
      <c r="A4218" s="11">
        <v>43747.123807870375</v>
      </c>
      <c r="B4218" s="12" t="str">
        <f>HYPERLINK("https://twitter.com/atbey_mec","@atbey_mec")</f>
        <v>@atbey_mec</v>
      </c>
      <c r="C4218" s="7" t="s">
        <v>21597</v>
      </c>
      <c r="D4218" s="7" t="s">
        <v>21598</v>
      </c>
      <c r="E4218" s="12" t="str">
        <f>HYPERLINK("https://twitter.com/atbey_mec/status/1181871497192837120","1181871497192837120")</f>
        <v>1181871497192837120</v>
      </c>
      <c r="F4218" s="8"/>
      <c r="G4218" s="14" t="s">
        <v>21599</v>
      </c>
      <c r="H4218" s="8"/>
      <c r="I4218" s="15">
        <v>1</v>
      </c>
      <c r="J4218" s="15">
        <v>2</v>
      </c>
      <c r="K4218" s="12" t="str">
        <f>HYPERLINK("http://twitter.com/download/iphone","Twitter for iPhone")</f>
        <v>Twitter for iPhone</v>
      </c>
      <c r="L4218" s="16">
        <v>647</v>
      </c>
      <c r="M4218" s="16">
        <v>1303</v>
      </c>
      <c r="N4218" s="16">
        <v>0</v>
      </c>
      <c r="O4218" s="17"/>
      <c r="P4218" s="18">
        <v>41171.017627314817</v>
      </c>
      <c r="Q4218" s="7"/>
      <c r="R4218" s="7" t="s">
        <v>21600</v>
      </c>
      <c r="S4218" s="8"/>
      <c r="T4218" s="8"/>
      <c r="U4218" s="19" t="str">
        <f>HYPERLINK("https://pbs.twimg.com/profile_images/1116589614720897029/NHcq2-Lq.jpg","View")</f>
        <v>View</v>
      </c>
      <c r="V4218" s="8"/>
      <c r="W4218" s="8"/>
      <c r="X4218" s="8"/>
      <c r="Y4218" s="8"/>
      <c r="Z4218" s="8"/>
    </row>
    <row r="4219" spans="1:26" ht="12.75">
      <c r="A4219" s="11">
        <v>43747.123807870375</v>
      </c>
      <c r="B4219" s="12" t="str">
        <f>HYPERLINK("https://twitter.com/Muhamme39603377","@Muhamme39603377")</f>
        <v>@Muhamme39603377</v>
      </c>
      <c r="C4219" s="7" t="s">
        <v>21601</v>
      </c>
      <c r="D4219" s="7" t="s">
        <v>21602</v>
      </c>
      <c r="E4219" s="12" t="str">
        <f>HYPERLINK("https://twitter.com/Muhamme39603377/status/1181871494353358848","1181871494353358848")</f>
        <v>1181871494353358848</v>
      </c>
      <c r="F4219" s="8"/>
      <c r="G4219" s="14" t="s">
        <v>21603</v>
      </c>
      <c r="H4219" s="8"/>
      <c r="I4219" s="15">
        <v>0</v>
      </c>
      <c r="J4219" s="15">
        <v>1</v>
      </c>
      <c r="K4219" s="12" t="str">
        <f>HYPERLINK("http://twitter.com/download/android","Twitter for Android")</f>
        <v>Twitter for Android</v>
      </c>
      <c r="L4219" s="16">
        <v>44</v>
      </c>
      <c r="M4219" s="16">
        <v>187</v>
      </c>
      <c r="N4219" s="16">
        <v>0</v>
      </c>
      <c r="O4219" s="17"/>
      <c r="P4219" s="18">
        <v>43282.486388888894</v>
      </c>
      <c r="Q4219" s="7" t="s">
        <v>200</v>
      </c>
      <c r="R4219" s="7" t="s">
        <v>21604</v>
      </c>
      <c r="S4219" s="8"/>
      <c r="T4219" s="8"/>
      <c r="U4219" s="19" t="str">
        <f>HYPERLINK("https://pbs.twimg.com/profile_images/1106628871602999298/rfPjimA3.jpg","View")</f>
        <v>View</v>
      </c>
      <c r="V4219" s="8"/>
      <c r="W4219" s="8"/>
      <c r="X4219" s="8"/>
      <c r="Y4219" s="8"/>
      <c r="Z4219" s="8"/>
    </row>
    <row r="4220" spans="1:26" ht="12.75">
      <c r="A4220" s="11">
        <v>43747.123796296291</v>
      </c>
      <c r="B4220" s="12" t="str">
        <f>HYPERLINK("https://twitter.com/UmutBusenur","@UmutBusenur")</f>
        <v>@UmutBusenur</v>
      </c>
      <c r="C4220" s="7" t="s">
        <v>21605</v>
      </c>
      <c r="D4220" s="7" t="s">
        <v>21606</v>
      </c>
      <c r="E4220" s="12" t="str">
        <f>HYPERLINK("https://twitter.com/UmutBusenur/status/1181871491383775232","1181871491383775232")</f>
        <v>1181871491383775232</v>
      </c>
      <c r="F4220" s="8"/>
      <c r="G4220" s="14" t="s">
        <v>21607</v>
      </c>
      <c r="H4220" s="8"/>
      <c r="I4220" s="15">
        <v>1</v>
      </c>
      <c r="J4220" s="15">
        <v>3</v>
      </c>
      <c r="K4220" s="12" t="str">
        <f>HYPERLINK("http://twitter.com/download/android","Twitter for Android")</f>
        <v>Twitter for Android</v>
      </c>
      <c r="L4220" s="16">
        <v>1664</v>
      </c>
      <c r="M4220" s="16">
        <v>2</v>
      </c>
      <c r="N4220" s="16">
        <v>1</v>
      </c>
      <c r="O4220" s="17"/>
      <c r="P4220" s="18">
        <v>42158.384872685187</v>
      </c>
      <c r="Q4220" s="7" t="s">
        <v>668</v>
      </c>
      <c r="R4220" s="7" t="s">
        <v>21608</v>
      </c>
      <c r="S4220" s="8"/>
      <c r="T4220" s="8"/>
      <c r="U4220" s="19" t="str">
        <f>HYPERLINK("https://pbs.twimg.com/profile_images/1165581555378663424/erIh66U1.jpg","View")</f>
        <v>View</v>
      </c>
      <c r="V4220" s="8"/>
      <c r="W4220" s="8"/>
      <c r="X4220" s="8"/>
      <c r="Y4220" s="8"/>
      <c r="Z4220" s="8"/>
    </row>
    <row r="4221" spans="1:26" ht="12.75">
      <c r="A4221" s="11">
        <v>43747.123784722222</v>
      </c>
      <c r="B4221" s="12" t="str">
        <f>HYPERLINK("https://twitter.com/RTErdoganizm","@RTErdoganizm")</f>
        <v>@RTErdoganizm</v>
      </c>
      <c r="C4221" s="7" t="s">
        <v>21609</v>
      </c>
      <c r="D4221" s="7" t="s">
        <v>21610</v>
      </c>
      <c r="E4221" s="12" t="str">
        <f>HYPERLINK("https://twitter.com/RTErdoganizm/status/1181871486942011392","1181871486942011392")</f>
        <v>1181871486942011392</v>
      </c>
      <c r="F4221" s="8"/>
      <c r="G4221" s="7"/>
      <c r="H4221" s="8"/>
      <c r="I4221" s="15">
        <v>0</v>
      </c>
      <c r="J4221" s="15">
        <v>1</v>
      </c>
      <c r="K4221" s="12" t="str">
        <f>HYPERLINK("https://mobile.twitter.com","Twitter Web App")</f>
        <v>Twitter Web App</v>
      </c>
      <c r="L4221" s="16">
        <v>13488</v>
      </c>
      <c r="M4221" s="16">
        <v>12678</v>
      </c>
      <c r="N4221" s="16">
        <v>18</v>
      </c>
      <c r="O4221" s="17"/>
      <c r="P4221" s="18">
        <v>41180.198101851856</v>
      </c>
      <c r="Q4221" s="7"/>
      <c r="R4221" s="7" t="s">
        <v>21609</v>
      </c>
      <c r="S4221" s="8"/>
      <c r="T4221" s="8"/>
      <c r="U4221" s="19" t="str">
        <f>HYPERLINK("https://pbs.twimg.com/profile_images/960603355532972032/GisgBeMM.jpg","View")</f>
        <v>View</v>
      </c>
      <c r="V4221" s="8"/>
      <c r="W4221" s="8"/>
      <c r="X4221" s="8"/>
      <c r="Y4221" s="8"/>
      <c r="Z4221" s="8"/>
    </row>
    <row r="4222" spans="1:26" ht="12.75">
      <c r="A4222" s="11">
        <v>43747.123761574076</v>
      </c>
      <c r="B4222" s="12" t="str">
        <f>HYPERLINK("https://twitter.com/yldrm_hmt","@yldrm_hmt")</f>
        <v>@yldrm_hmt</v>
      </c>
      <c r="C4222" s="7" t="s">
        <v>21611</v>
      </c>
      <c r="D4222" s="7" t="s">
        <v>21612</v>
      </c>
      <c r="E4222" s="12" t="str">
        <f>HYPERLINK("https://twitter.com/yldrm_hmt/status/1181871481174810624","1181871481174810624")</f>
        <v>1181871481174810624</v>
      </c>
      <c r="F4222" s="8"/>
      <c r="G4222" s="14" t="s">
        <v>21613</v>
      </c>
      <c r="H4222" s="8"/>
      <c r="I4222" s="15">
        <v>1</v>
      </c>
      <c r="J4222" s="15">
        <v>1</v>
      </c>
      <c r="K4222" s="12" t="str">
        <f>HYPERLINK("http://twitter.com/download/iphone","Twitter for iPhone")</f>
        <v>Twitter for iPhone</v>
      </c>
      <c r="L4222" s="16">
        <v>328</v>
      </c>
      <c r="M4222" s="16">
        <v>404</v>
      </c>
      <c r="N4222" s="16">
        <v>0</v>
      </c>
      <c r="O4222" s="17"/>
      <c r="P4222" s="18">
        <v>40741.285567129627</v>
      </c>
      <c r="Q4222" s="7"/>
      <c r="R4222" s="7"/>
      <c r="S4222" s="8"/>
      <c r="T4222" s="8"/>
      <c r="U4222" s="19" t="str">
        <f>HYPERLINK("https://pbs.twimg.com/profile_images/1176217137020645378/f-1NiSk4.jpg","View")</f>
        <v>View</v>
      </c>
      <c r="V4222" s="8"/>
      <c r="W4222" s="8"/>
      <c r="X4222" s="8"/>
      <c r="Y4222" s="8"/>
      <c r="Z4222" s="8"/>
    </row>
    <row r="4223" spans="1:26" ht="12.75">
      <c r="A4223" s="11">
        <v>43747.123726851853</v>
      </c>
      <c r="B4223" s="12" t="str">
        <f>HYPERLINK("https://twitter.com/floydkokanplak","@floydkokanplak")</f>
        <v>@floydkokanplak</v>
      </c>
      <c r="C4223" s="7" t="s">
        <v>18804</v>
      </c>
      <c r="D4223" s="7" t="s">
        <v>15054</v>
      </c>
      <c r="E4223" s="12" t="str">
        <f>HYPERLINK("https://twitter.com/floydkokanplak/status/1181871468663263232","1181871468663263232")</f>
        <v>1181871468663263232</v>
      </c>
      <c r="F4223" s="8"/>
      <c r="G4223" s="7"/>
      <c r="H4223" s="8"/>
      <c r="I4223" s="15">
        <v>0</v>
      </c>
      <c r="J4223" s="15">
        <v>1</v>
      </c>
      <c r="K4223" s="12" t="str">
        <f>HYPERLINK("https://mobile.twitter.com","Twitter Web App")</f>
        <v>Twitter Web App</v>
      </c>
      <c r="L4223" s="16">
        <v>1311</v>
      </c>
      <c r="M4223" s="16">
        <v>315</v>
      </c>
      <c r="N4223" s="16">
        <v>0</v>
      </c>
      <c r="O4223" s="17"/>
      <c r="P4223" s="18">
        <v>41012.406956018516</v>
      </c>
      <c r="Q4223" s="7" t="s">
        <v>21614</v>
      </c>
      <c r="R4223" s="7" t="s">
        <v>21615</v>
      </c>
      <c r="S4223" s="8"/>
      <c r="T4223" s="8"/>
      <c r="U4223" s="19" t="str">
        <f>HYPERLINK("https://pbs.twimg.com/profile_images/1179480312528740352/naG36i-v.jpg","View")</f>
        <v>View</v>
      </c>
      <c r="V4223" s="8"/>
      <c r="W4223" s="8"/>
      <c r="X4223" s="8"/>
      <c r="Y4223" s="8"/>
      <c r="Z4223" s="8"/>
    </row>
    <row r="4224" spans="1:26" ht="12.75">
      <c r="A4224" s="11">
        <v>43747.123692129629</v>
      </c>
      <c r="B4224" s="12" t="str">
        <f>HYPERLINK("https://twitter.com/budawhat","@budawhat")</f>
        <v>@budawhat</v>
      </c>
      <c r="C4224" s="7" t="s">
        <v>21616</v>
      </c>
      <c r="D4224" s="7" t="s">
        <v>21617</v>
      </c>
      <c r="E4224" s="12" t="str">
        <f>HYPERLINK("https://twitter.com/budawhat/status/1181871455161798656","1181871455161798656")</f>
        <v>1181871455161798656</v>
      </c>
      <c r="F4224" s="8"/>
      <c r="G4224" s="14" t="s">
        <v>21618</v>
      </c>
      <c r="H4224" s="8"/>
      <c r="I4224" s="15">
        <v>0</v>
      </c>
      <c r="J4224" s="15">
        <v>3</v>
      </c>
      <c r="K4224" s="12" t="str">
        <f>HYPERLINK("http://twitter.com/download/android","Twitter for Android")</f>
        <v>Twitter for Android</v>
      </c>
      <c r="L4224" s="16">
        <v>157</v>
      </c>
      <c r="M4224" s="16">
        <v>159</v>
      </c>
      <c r="N4224" s="16">
        <v>0</v>
      </c>
      <c r="O4224" s="17"/>
      <c r="P4224" s="18">
        <v>42248.385925925926</v>
      </c>
      <c r="Q4224" s="7" t="s">
        <v>576</v>
      </c>
      <c r="R4224" s="7"/>
      <c r="S4224" s="8"/>
      <c r="T4224" s="8"/>
      <c r="U4224" s="19" t="str">
        <f>HYPERLINK("https://pbs.twimg.com/profile_images/1137845849793470465/GNKB_Z6P.jpg","View")</f>
        <v>View</v>
      </c>
      <c r="V4224" s="8"/>
      <c r="W4224" s="8"/>
      <c r="X4224" s="8"/>
      <c r="Y4224" s="8"/>
      <c r="Z4224" s="8"/>
    </row>
    <row r="4225" spans="1:26" ht="12.75">
      <c r="A4225" s="11">
        <v>43747.123668981483</v>
      </c>
      <c r="B4225" s="12" t="str">
        <f>HYPERLINK("https://twitter.com/sabriozpolat","@sabriozpolat")</f>
        <v>@sabriozpolat</v>
      </c>
      <c r="C4225" s="7" t="s">
        <v>21619</v>
      </c>
      <c r="D4225" s="7" t="s">
        <v>21620</v>
      </c>
      <c r="E4225" s="12" t="str">
        <f>HYPERLINK("https://twitter.com/sabriozpolat/status/1181871447352004608","1181871447352004608")</f>
        <v>1181871447352004608</v>
      </c>
      <c r="F4225" s="8"/>
      <c r="G4225" s="14" t="s">
        <v>21621</v>
      </c>
      <c r="H4225" s="8"/>
      <c r="I4225" s="15">
        <v>0</v>
      </c>
      <c r="J4225" s="15">
        <v>0</v>
      </c>
      <c r="K4225" s="12" t="str">
        <f>HYPERLINK("http://twitter.com/download/android","Twitter for Android")</f>
        <v>Twitter for Android</v>
      </c>
      <c r="L4225" s="16">
        <v>48</v>
      </c>
      <c r="M4225" s="16">
        <v>135</v>
      </c>
      <c r="N4225" s="16">
        <v>0</v>
      </c>
      <c r="O4225" s="17"/>
      <c r="P4225" s="18">
        <v>43634.549699074079</v>
      </c>
      <c r="Q4225" s="7"/>
      <c r="R4225" s="7" t="s">
        <v>21622</v>
      </c>
      <c r="S4225" s="8"/>
      <c r="T4225" s="8"/>
      <c r="U4225" s="19" t="str">
        <f>HYPERLINK("https://pbs.twimg.com/profile_images/1141076244706054144/TMkE3Kih.jpg","View")</f>
        <v>View</v>
      </c>
      <c r="V4225" s="8"/>
      <c r="W4225" s="8"/>
      <c r="X4225" s="8"/>
      <c r="Y4225" s="8"/>
      <c r="Z4225" s="8"/>
    </row>
    <row r="4226" spans="1:26" ht="12.75">
      <c r="A4226" s="11">
        <v>43747.123506944445</v>
      </c>
      <c r="B4226" s="12" t="str">
        <f>HYPERLINK("https://twitter.com/MURATDORUK1","@MURATDORUK1")</f>
        <v>@MURATDORUK1</v>
      </c>
      <c r="C4226" s="7" t="s">
        <v>21623</v>
      </c>
      <c r="D4226" s="7" t="s">
        <v>21624</v>
      </c>
      <c r="E4226" s="12" t="str">
        <f>HYPERLINK("https://twitter.com/MURATDORUK1/status/1181871385716674561","1181871385716674561")</f>
        <v>1181871385716674561</v>
      </c>
      <c r="F4226" s="8"/>
      <c r="G4226" s="15"/>
      <c r="H4226" s="8"/>
      <c r="I4226" s="15">
        <v>0</v>
      </c>
      <c r="J4226" s="15">
        <v>1</v>
      </c>
      <c r="K4226" s="12" t="str">
        <f>HYPERLINK("https://mobile.twitter.com","Twitter Web App")</f>
        <v>Twitter Web App</v>
      </c>
      <c r="L4226" s="16">
        <v>2473</v>
      </c>
      <c r="M4226" s="16">
        <v>141</v>
      </c>
      <c r="N4226" s="16">
        <v>5</v>
      </c>
      <c r="O4226" s="17"/>
      <c r="P4226" s="18">
        <v>40812.102939814817</v>
      </c>
      <c r="Q4226" s="7" t="s">
        <v>21625</v>
      </c>
      <c r="R4226" s="7" t="s">
        <v>21626</v>
      </c>
      <c r="S4226" s="14" t="s">
        <v>21627</v>
      </c>
      <c r="T4226" s="8"/>
      <c r="U4226" s="19" t="str">
        <f>HYPERLINK("https://pbs.twimg.com/profile_images/545266076074774529/fJ-7SO9z.jpeg","View")</f>
        <v>View</v>
      </c>
      <c r="V4226" s="8"/>
      <c r="W4226" s="8"/>
      <c r="X4226" s="8"/>
      <c r="Y4226" s="8"/>
      <c r="Z4226" s="8"/>
    </row>
    <row r="4227" spans="1:26" ht="12.75">
      <c r="A4227" s="11">
        <v>43747.123495370368</v>
      </c>
      <c r="B4227" s="12" t="str">
        <f>HYPERLINK("https://twitter.com/selennazbozgey1","@selennazbozgey1")</f>
        <v>@selennazbozgey1</v>
      </c>
      <c r="C4227" s="7" t="s">
        <v>21628</v>
      </c>
      <c r="D4227" s="21" t="s">
        <v>17490</v>
      </c>
      <c r="E4227" s="12" t="str">
        <f>HYPERLINK("https://twitter.com/selennazbozgey1/status/1181871385125294080","1181871385125294080")</f>
        <v>1181871385125294080</v>
      </c>
      <c r="F4227" s="8"/>
      <c r="G4227" s="14" t="s">
        <v>17491</v>
      </c>
      <c r="H4227" s="8"/>
      <c r="I4227" s="15">
        <v>0</v>
      </c>
      <c r="J4227" s="15">
        <v>2</v>
      </c>
      <c r="K4227" s="12" t="str">
        <f>HYPERLINK("http://twitter.com","Twitter Web Client")</f>
        <v>Twitter Web Client</v>
      </c>
      <c r="L4227" s="16">
        <v>3</v>
      </c>
      <c r="M4227" s="16">
        <v>0</v>
      </c>
      <c r="N4227" s="16">
        <v>0</v>
      </c>
      <c r="O4227" s="17"/>
      <c r="P4227" s="18">
        <v>43683.859918981485</v>
      </c>
      <c r="Q4227" s="7" t="s">
        <v>21192</v>
      </c>
      <c r="R4227" s="7" t="s">
        <v>21629</v>
      </c>
      <c r="S4227" s="8"/>
      <c r="T4227" s="8"/>
      <c r="U4227" s="19" t="str">
        <f>HYPERLINK("https://pbs.twimg.com/profile_images/1167221546789801987/vp2E3_XQ.jpg","View")</f>
        <v>View</v>
      </c>
      <c r="V4227" s="8"/>
      <c r="W4227" s="8"/>
      <c r="X4227" s="8"/>
      <c r="Y4227" s="8"/>
      <c r="Z4227" s="8"/>
    </row>
    <row r="4228" spans="1:26" ht="12.75">
      <c r="A4228" s="11">
        <v>43747.123425925922</v>
      </c>
      <c r="B4228" s="12" t="str">
        <f>HYPERLINK("https://twitter.com/GendeTuna","@GendeTuna")</f>
        <v>@GendeTuna</v>
      </c>
      <c r="C4228" s="7" t="s">
        <v>21630</v>
      </c>
      <c r="D4228" s="7" t="s">
        <v>21631</v>
      </c>
      <c r="E4228" s="12" t="str">
        <f>HYPERLINK("https://twitter.com/GendeTuna/status/1181871356402634752","1181871356402634752")</f>
        <v>1181871356402634752</v>
      </c>
      <c r="F4228" s="8"/>
      <c r="G4228" s="7"/>
      <c r="H4228" s="8"/>
      <c r="I4228" s="15">
        <v>0</v>
      </c>
      <c r="J4228" s="15">
        <v>1</v>
      </c>
      <c r="K4228" s="12" t="str">
        <f>HYPERLINK("http://twitter.com/download/android","Twitter for Android")</f>
        <v>Twitter for Android</v>
      </c>
      <c r="L4228" s="16">
        <v>178</v>
      </c>
      <c r="M4228" s="16">
        <v>206</v>
      </c>
      <c r="N4228" s="16">
        <v>4</v>
      </c>
      <c r="O4228" s="17"/>
      <c r="P4228" s="18">
        <v>42012.667870370366</v>
      </c>
      <c r="Q4228" s="7" t="s">
        <v>21632</v>
      </c>
      <c r="R4228" s="7" t="s">
        <v>21633</v>
      </c>
      <c r="S4228" s="8"/>
      <c r="T4228" s="8"/>
      <c r="U4228" s="19" t="str">
        <f>HYPERLINK("https://pbs.twimg.com/profile_images/1105209173913030656/v2k8S-xp.jpg","View")</f>
        <v>View</v>
      </c>
      <c r="V4228" s="8"/>
      <c r="W4228" s="8"/>
      <c r="X4228" s="8"/>
      <c r="Y4228" s="8"/>
      <c r="Z4228" s="8"/>
    </row>
    <row r="4229" spans="1:26" ht="12.75">
      <c r="A4229" s="11">
        <v>43747.123391203699</v>
      </c>
      <c r="B4229" s="12" t="str">
        <f>HYPERLINK("https://twitter.com/A_Kursad_Giray","@A_Kursad_Giray")</f>
        <v>@A_Kursad_Giray</v>
      </c>
      <c r="C4229" s="7" t="s">
        <v>21634</v>
      </c>
      <c r="D4229" s="7" t="s">
        <v>21635</v>
      </c>
      <c r="E4229" s="12" t="str">
        <f>HYPERLINK("https://twitter.com/A_Kursad_Giray/status/1181871346109894658","1181871346109894658")</f>
        <v>1181871346109894658</v>
      </c>
      <c r="F4229" s="8"/>
      <c r="G4229" s="14" t="s">
        <v>21636</v>
      </c>
      <c r="H4229" s="8"/>
      <c r="I4229" s="15">
        <v>0</v>
      </c>
      <c r="J4229" s="15">
        <v>0</v>
      </c>
      <c r="K4229" s="12" t="str">
        <f>HYPERLINK("http://twitter.com/download/android","Twitter for Android")</f>
        <v>Twitter for Android</v>
      </c>
      <c r="L4229" s="16">
        <v>508</v>
      </c>
      <c r="M4229" s="16">
        <v>655</v>
      </c>
      <c r="N4229" s="16">
        <v>1</v>
      </c>
      <c r="O4229" s="17"/>
      <c r="P4229" s="18">
        <v>40707.456238425926</v>
      </c>
      <c r="Q4229" s="7" t="s">
        <v>287</v>
      </c>
      <c r="R4229" s="7" t="s">
        <v>21637</v>
      </c>
      <c r="S4229" s="8"/>
      <c r="T4229" s="8"/>
      <c r="U4229" s="19" t="str">
        <f>HYPERLINK("https://pbs.twimg.com/profile_images/1165049191275671553/kdBxUUde.jpg","View")</f>
        <v>View</v>
      </c>
      <c r="V4229" s="8"/>
      <c r="W4229" s="8"/>
      <c r="X4229" s="8"/>
      <c r="Y4229" s="8"/>
      <c r="Z4229" s="8"/>
    </row>
    <row r="4230" spans="1:26" ht="12.75">
      <c r="A4230" s="11">
        <v>43747.12332175926</v>
      </c>
      <c r="B4230" s="12" t="str">
        <f>HYPERLINK("https://twitter.com/OzgurBasat","@OzgurBasat")</f>
        <v>@OzgurBasat</v>
      </c>
      <c r="C4230" s="7" t="s">
        <v>21638</v>
      </c>
      <c r="D4230" s="7" t="s">
        <v>9777</v>
      </c>
      <c r="E4230" s="12" t="str">
        <f>HYPERLINK("https://twitter.com/OzgurBasat/status/1181871318171623424","1181871318171623424")</f>
        <v>1181871318171623424</v>
      </c>
      <c r="F4230" s="8"/>
      <c r="G4230" s="7"/>
      <c r="H4230" s="8"/>
      <c r="I4230" s="15">
        <v>0</v>
      </c>
      <c r="J4230" s="15">
        <v>0</v>
      </c>
      <c r="K4230" s="12" t="str">
        <f>HYPERLINK("http://twitter.com/download/android","Twitter for Android")</f>
        <v>Twitter for Android</v>
      </c>
      <c r="L4230" s="16">
        <v>42</v>
      </c>
      <c r="M4230" s="16">
        <v>159</v>
      </c>
      <c r="N4230" s="16">
        <v>1</v>
      </c>
      <c r="O4230" s="17"/>
      <c r="P4230" s="18">
        <v>42080.235543981486</v>
      </c>
      <c r="Q4230" s="7"/>
      <c r="R4230" s="7" t="s">
        <v>807</v>
      </c>
      <c r="S4230" s="8"/>
      <c r="T4230" s="8"/>
      <c r="U4230" s="19" t="str">
        <f>HYPERLINK("https://pbs.twimg.com/profile_images/1172966572857712642/imb1l_FV.jpg","View")</f>
        <v>View</v>
      </c>
      <c r="V4230" s="8"/>
      <c r="W4230" s="8"/>
      <c r="X4230" s="8"/>
      <c r="Y4230" s="8"/>
      <c r="Z4230" s="8"/>
    </row>
    <row r="4231" spans="1:26" ht="12.75">
      <c r="A4231" s="11">
        <v>43747.123298611114</v>
      </c>
      <c r="B4231" s="12" t="str">
        <f>HYPERLINK("https://twitter.com/irfanoztanc","@irfanoztanc")</f>
        <v>@irfanoztanc</v>
      </c>
      <c r="C4231" s="7" t="s">
        <v>21639</v>
      </c>
      <c r="D4231" s="7" t="s">
        <v>21640</v>
      </c>
      <c r="E4231" s="12" t="str">
        <f>HYPERLINK("https://twitter.com/irfanoztanc/status/1181871311615909888","1181871311615909888")</f>
        <v>1181871311615909888</v>
      </c>
      <c r="F4231" s="8"/>
      <c r="G4231" s="14" t="s">
        <v>21641</v>
      </c>
      <c r="H4231" s="8"/>
      <c r="I4231" s="15">
        <v>0</v>
      </c>
      <c r="J4231" s="15">
        <v>1</v>
      </c>
      <c r="K4231" s="12" t="str">
        <f>HYPERLINK("http://twitter.com/download/android","Twitter for Android")</f>
        <v>Twitter for Android</v>
      </c>
      <c r="L4231" s="16">
        <v>53</v>
      </c>
      <c r="M4231" s="16">
        <v>130</v>
      </c>
      <c r="N4231" s="16">
        <v>0</v>
      </c>
      <c r="O4231" s="17"/>
      <c r="P4231" s="18">
        <v>43351.001238425924</v>
      </c>
      <c r="Q4231" s="7"/>
      <c r="R4231" s="7"/>
      <c r="S4231" s="8"/>
      <c r="T4231" s="8"/>
      <c r="U4231" s="19" t="str">
        <f>HYPERLINK("https://pbs.twimg.com/profile_images/1038332347559686145/PbIfvFGD.jpg","View")</f>
        <v>View</v>
      </c>
      <c r="V4231" s="8"/>
      <c r="W4231" s="8"/>
      <c r="X4231" s="8"/>
      <c r="Y4231" s="8"/>
      <c r="Z4231" s="8"/>
    </row>
    <row r="4232" spans="1:26" ht="12.75">
      <c r="A4232" s="11">
        <v>43747.123298611114</v>
      </c>
      <c r="B4232" s="12" t="str">
        <f>HYPERLINK("https://twitter.com/biceryalin","@biceryalin")</f>
        <v>@biceryalin</v>
      </c>
      <c r="C4232" s="7" t="s">
        <v>21642</v>
      </c>
      <c r="D4232" s="7" t="s">
        <v>21643</v>
      </c>
      <c r="E4232" s="12" t="str">
        <f>HYPERLINK("https://twitter.com/biceryalin/status/1181871310282076160","1181871310282076160")</f>
        <v>1181871310282076160</v>
      </c>
      <c r="F4232" s="8"/>
      <c r="G4232" s="7"/>
      <c r="H4232" s="8"/>
      <c r="I4232" s="15">
        <v>0</v>
      </c>
      <c r="J4232" s="15">
        <v>1</v>
      </c>
      <c r="K4232" s="12" t="str">
        <f>HYPERLINK("http://twitter.com/download/android","Twitter for Android")</f>
        <v>Twitter for Android</v>
      </c>
      <c r="L4232" s="16">
        <v>203</v>
      </c>
      <c r="M4232" s="16">
        <v>200</v>
      </c>
      <c r="N4232" s="16">
        <v>0</v>
      </c>
      <c r="O4232" s="17"/>
      <c r="P4232" s="18">
        <v>41487.085891203707</v>
      </c>
      <c r="Q4232" s="7" t="s">
        <v>200</v>
      </c>
      <c r="R4232" s="7"/>
      <c r="S4232" s="8"/>
      <c r="T4232" s="8"/>
      <c r="U4232" s="19" t="str">
        <f>HYPERLINK("https://pbs.twimg.com/profile_images/797793177558220800/jrRcgTGB.jpg","View")</f>
        <v>View</v>
      </c>
      <c r="V4232" s="8"/>
      <c r="W4232" s="8"/>
      <c r="X4232" s="8"/>
      <c r="Y4232" s="8"/>
      <c r="Z4232" s="8"/>
    </row>
    <row r="4233" spans="1:26" ht="12.75">
      <c r="A4233" s="11">
        <v>43747.123287037037</v>
      </c>
      <c r="B4233" s="12" t="str">
        <f>HYPERLINK("https://twitter.com/veysellkole","@veysellkole")</f>
        <v>@veysellkole</v>
      </c>
      <c r="C4233" s="7" t="s">
        <v>21644</v>
      </c>
      <c r="D4233" s="7" t="s">
        <v>21645</v>
      </c>
      <c r="E4233" s="12" t="str">
        <f>HYPERLINK("https://twitter.com/veysellkole/status/1181871306989543425","1181871306989543425")</f>
        <v>1181871306989543425</v>
      </c>
      <c r="F4233" s="8"/>
      <c r="G4233" s="7"/>
      <c r="H4233" s="8"/>
      <c r="I4233" s="15">
        <v>0</v>
      </c>
      <c r="J4233" s="15">
        <v>0</v>
      </c>
      <c r="K4233" s="12" t="str">
        <f>HYPERLINK("http://twitter.com/download/iphone","Twitter for iPhone")</f>
        <v>Twitter for iPhone</v>
      </c>
      <c r="L4233" s="16">
        <v>12</v>
      </c>
      <c r="M4233" s="16">
        <v>91</v>
      </c>
      <c r="N4233" s="16">
        <v>0</v>
      </c>
      <c r="O4233" s="17"/>
      <c r="P4233" s="18">
        <v>40540.190740740742</v>
      </c>
      <c r="Q4233" s="7"/>
      <c r="R4233" s="7" t="s">
        <v>21646</v>
      </c>
      <c r="S4233" s="8"/>
      <c r="T4233" s="8"/>
      <c r="U4233" s="19" t="str">
        <f>HYPERLINK("https://pbs.twimg.com/profile_images/1157540629880147973/0nuo0rD3.jpg","View")</f>
        <v>View</v>
      </c>
      <c r="V4233" s="8"/>
      <c r="W4233" s="8"/>
      <c r="X4233" s="8"/>
      <c r="Y4233" s="8"/>
      <c r="Z4233" s="8"/>
    </row>
    <row r="4234" spans="1:26" ht="12.75">
      <c r="A4234" s="11">
        <v>43747.12327546296</v>
      </c>
      <c r="B4234" s="12" t="str">
        <f>HYPERLINK("https://twitter.com/bjkajans1903","@bjkajans1903")</f>
        <v>@bjkajans1903</v>
      </c>
      <c r="C4234" s="7" t="s">
        <v>21647</v>
      </c>
      <c r="D4234" s="7" t="s">
        <v>21648</v>
      </c>
      <c r="E4234" s="12" t="str">
        <f>HYPERLINK("https://twitter.com/bjkajans1903/status/1181871302472273926","1181871302472273926")</f>
        <v>1181871302472273926</v>
      </c>
      <c r="F4234" s="8"/>
      <c r="G4234" s="15"/>
      <c r="H4234" s="8"/>
      <c r="I4234" s="15">
        <v>0</v>
      </c>
      <c r="J4234" s="15">
        <v>2</v>
      </c>
      <c r="K4234" s="12" t="str">
        <f>HYPERLINK("http://twitter.com/download/android","Twitter for Android")</f>
        <v>Twitter for Android</v>
      </c>
      <c r="L4234" s="16">
        <v>2364</v>
      </c>
      <c r="M4234" s="16">
        <v>2115</v>
      </c>
      <c r="N4234" s="16">
        <v>1</v>
      </c>
      <c r="O4234" s="17"/>
      <c r="P4234" s="18">
        <v>42788.386550925927</v>
      </c>
      <c r="Q4234" s="7" t="s">
        <v>6551</v>
      </c>
      <c r="R4234" s="7" t="s">
        <v>21649</v>
      </c>
      <c r="S4234" s="14" t="s">
        <v>21650</v>
      </c>
      <c r="T4234" s="8"/>
      <c r="U4234" s="19" t="str">
        <f>HYPERLINK("https://pbs.twimg.com/profile_images/1159847625408991233/pe4XNqMM.jpg","View")</f>
        <v>View</v>
      </c>
      <c r="V4234" s="8"/>
      <c r="W4234" s="8"/>
      <c r="X4234" s="8"/>
      <c r="Y4234" s="8"/>
      <c r="Z4234" s="8"/>
    </row>
    <row r="4235" spans="1:26" ht="12.75">
      <c r="A4235" s="11">
        <v>43747.123263888891</v>
      </c>
      <c r="B4235" s="12" t="str">
        <f>HYPERLINK("https://twitter.com/bulentg20941117","@bulentg20941117")</f>
        <v>@bulentg20941117</v>
      </c>
      <c r="C4235" s="7" t="s">
        <v>21651</v>
      </c>
      <c r="D4235" s="7" t="s">
        <v>21652</v>
      </c>
      <c r="E4235" s="12" t="str">
        <f>HYPERLINK("https://twitter.com/bulentg20941117/status/1181871298844282880","1181871298844282880")</f>
        <v>1181871298844282880</v>
      </c>
      <c r="F4235" s="8"/>
      <c r="G4235" s="14" t="s">
        <v>21653</v>
      </c>
      <c r="H4235" s="8"/>
      <c r="I4235" s="15">
        <v>0</v>
      </c>
      <c r="J4235" s="15">
        <v>0</v>
      </c>
      <c r="K4235" s="12" t="str">
        <f>HYPERLINK("http://twitter.com","Twitter Web Client")</f>
        <v>Twitter Web Client</v>
      </c>
      <c r="L4235" s="16">
        <v>19</v>
      </c>
      <c r="M4235" s="16">
        <v>0</v>
      </c>
      <c r="N4235" s="16">
        <v>0</v>
      </c>
      <c r="O4235" s="17"/>
      <c r="P4235" s="18">
        <v>43597.539097222223</v>
      </c>
      <c r="Q4235" s="7" t="s">
        <v>12326</v>
      </c>
      <c r="R4235" s="7" t="s">
        <v>21654</v>
      </c>
      <c r="S4235" s="8"/>
      <c r="T4235" s="8"/>
      <c r="U4235" s="19" t="str">
        <f>HYPERLINK("https://pbs.twimg.com/profile_images/1130844820149161985/-LMrLjgA.jpg","View")</f>
        <v>View</v>
      </c>
      <c r="V4235" s="8"/>
      <c r="W4235" s="8"/>
      <c r="X4235" s="8"/>
      <c r="Y4235" s="8"/>
      <c r="Z4235" s="8"/>
    </row>
    <row r="4236" spans="1:26" ht="12.75">
      <c r="A4236" s="11">
        <v>43747.123240740737</v>
      </c>
      <c r="B4236" s="12" t="str">
        <f>HYPERLINK("https://twitter.com/Sebnemrah1","@Sebnemrah1")</f>
        <v>@Sebnemrah1</v>
      </c>
      <c r="C4236" s="7" t="s">
        <v>21655</v>
      </c>
      <c r="D4236" s="7" t="s">
        <v>21656</v>
      </c>
      <c r="E4236" s="12" t="str">
        <f>HYPERLINK("https://twitter.com/Sebnemrah1/status/1181871292301099008","1181871292301099008")</f>
        <v>1181871292301099008</v>
      </c>
      <c r="F4236" s="14" t="s">
        <v>14837</v>
      </c>
      <c r="G4236" s="14" t="s">
        <v>14838</v>
      </c>
      <c r="H4236" s="8"/>
      <c r="I4236" s="15">
        <v>0</v>
      </c>
      <c r="J4236" s="15">
        <v>1</v>
      </c>
      <c r="K4236" s="12" t="str">
        <f>HYPERLINK("http://twitter.com/download/android","Twitter for Android")</f>
        <v>Twitter for Android</v>
      </c>
      <c r="L4236" s="16">
        <v>32</v>
      </c>
      <c r="M4236" s="16">
        <v>91</v>
      </c>
      <c r="N4236" s="16">
        <v>0</v>
      </c>
      <c r="O4236" s="17"/>
      <c r="P4236" s="18">
        <v>43322.401747685188</v>
      </c>
      <c r="Q4236" s="7"/>
      <c r="R4236" s="7" t="s">
        <v>21657</v>
      </c>
      <c r="S4236" s="8"/>
      <c r="T4236" s="8"/>
      <c r="U4236" s="19" t="str">
        <f>HYPERLINK("https://pbs.twimg.com/profile_images/1092312371245314050/Mn9nn-pa.jpg","View")</f>
        <v>View</v>
      </c>
      <c r="V4236" s="8"/>
      <c r="W4236" s="8"/>
      <c r="X4236" s="8"/>
      <c r="Y4236" s="8"/>
      <c r="Z4236" s="8"/>
    </row>
    <row r="4237" spans="1:26" ht="12.75">
      <c r="A4237" s="11">
        <v>43747.123229166667</v>
      </c>
      <c r="B4237" s="12" t="str">
        <f>HYPERLINK("https://twitter.com/duetwithtolga","@duetwithtolga")</f>
        <v>@duetwithtolga</v>
      </c>
      <c r="C4237" s="7" t="s">
        <v>6833</v>
      </c>
      <c r="D4237" s="7" t="s">
        <v>21658</v>
      </c>
      <c r="E4237" s="12" t="str">
        <f>HYPERLINK("https://twitter.com/duetwithtolga/status/1181871284646551552","1181871284646551552")</f>
        <v>1181871284646551552</v>
      </c>
      <c r="F4237" s="8"/>
      <c r="G4237" s="15"/>
      <c r="H4237" s="8"/>
      <c r="I4237" s="15">
        <v>0</v>
      </c>
      <c r="J4237" s="15">
        <v>0</v>
      </c>
      <c r="K4237" s="12" t="str">
        <f>HYPERLINK("http://twitter.com/download/android","Twitter for Android")</f>
        <v>Twitter for Android</v>
      </c>
      <c r="L4237" s="16">
        <v>31</v>
      </c>
      <c r="M4237" s="16">
        <v>39</v>
      </c>
      <c r="N4237" s="16">
        <v>1</v>
      </c>
      <c r="O4237" s="17"/>
      <c r="P4237" s="18">
        <v>41613.802546296298</v>
      </c>
      <c r="Q4237" s="7" t="s">
        <v>287</v>
      </c>
      <c r="R4237" s="7" t="s">
        <v>21659</v>
      </c>
      <c r="S4237" s="8"/>
      <c r="T4237" s="8"/>
      <c r="U4237" s="19" t="str">
        <f>HYPERLINK("https://pbs.twimg.com/profile_images/1156669463657402378/9uHojd0A.jpg","View")</f>
        <v>View</v>
      </c>
      <c r="V4237" s="8"/>
      <c r="W4237" s="8"/>
      <c r="X4237" s="8"/>
      <c r="Y4237" s="8"/>
      <c r="Z4237" s="8"/>
    </row>
    <row r="4238" spans="1:26" ht="12.75">
      <c r="A4238" s="11">
        <v>43747.123206018514</v>
      </c>
      <c r="B4238" s="12" t="str">
        <f>HYPERLINK("https://twitter.com/eminfy","@eminfy")</f>
        <v>@eminfy</v>
      </c>
      <c r="C4238" s="7" t="s">
        <v>21660</v>
      </c>
      <c r="D4238" s="7" t="s">
        <v>160</v>
      </c>
      <c r="E4238" s="12" t="str">
        <f>HYPERLINK("https://twitter.com/eminfy/status/1181871279315570688","1181871279315570688")</f>
        <v>1181871279315570688</v>
      </c>
      <c r="F4238" s="8"/>
      <c r="G4238" s="15"/>
      <c r="H4238" s="8"/>
      <c r="I4238" s="15">
        <v>0</v>
      </c>
      <c r="J4238" s="15">
        <v>0</v>
      </c>
      <c r="K4238" s="12" t="str">
        <f>HYPERLINK("https://mobile.twitter.com","Twitter Web App")</f>
        <v>Twitter Web App</v>
      </c>
      <c r="L4238" s="16">
        <v>52</v>
      </c>
      <c r="M4238" s="16">
        <v>79</v>
      </c>
      <c r="N4238" s="16">
        <v>0</v>
      </c>
      <c r="O4238" s="17"/>
      <c r="P4238" s="18">
        <v>43523.207233796296</v>
      </c>
      <c r="Q4238" s="7"/>
      <c r="R4238" s="7" t="s">
        <v>21661</v>
      </c>
      <c r="S4238" s="15"/>
      <c r="T4238" s="8"/>
      <c r="U4238" s="19" t="str">
        <f>HYPERLINK("https://pbs.twimg.com/profile_images/1177967514170642434/1uVFv7cw.jpg","View")</f>
        <v>View</v>
      </c>
      <c r="V4238" s="8"/>
      <c r="W4238" s="8"/>
      <c r="X4238" s="8"/>
      <c r="Y4238" s="8"/>
      <c r="Z4238" s="8"/>
    </row>
    <row r="4239" spans="1:26" ht="12.75">
      <c r="A4239" s="11">
        <v>43747.123136574075</v>
      </c>
      <c r="B4239" s="12" t="str">
        <f>HYPERLINK("https://twitter.com/sincerelyyy","@sincerelyyy")</f>
        <v>@sincerelyyy</v>
      </c>
      <c r="C4239" s="7" t="s">
        <v>21662</v>
      </c>
      <c r="D4239" s="7" t="s">
        <v>21663</v>
      </c>
      <c r="E4239" s="12" t="str">
        <f>HYPERLINK("https://twitter.com/sincerelyyy/status/1181871253201788929","1181871253201788929")</f>
        <v>1181871253201788929</v>
      </c>
      <c r="F4239" s="8"/>
      <c r="G4239" s="15"/>
      <c r="H4239" s="8"/>
      <c r="I4239" s="15">
        <v>0</v>
      </c>
      <c r="J4239" s="15">
        <v>1</v>
      </c>
      <c r="K4239" s="12" t="str">
        <f>HYPERLINK("http://twitter.com","Twitter Web Client")</f>
        <v>Twitter Web Client</v>
      </c>
      <c r="L4239" s="16">
        <v>3208</v>
      </c>
      <c r="M4239" s="16">
        <v>1743</v>
      </c>
      <c r="N4239" s="16">
        <v>22</v>
      </c>
      <c r="O4239" s="17"/>
      <c r="P4239" s="18">
        <v>40415.499178240745</v>
      </c>
      <c r="Q4239" s="7" t="s">
        <v>313</v>
      </c>
      <c r="R4239" s="7" t="s">
        <v>21664</v>
      </c>
      <c r="S4239" s="15"/>
      <c r="T4239" s="8"/>
      <c r="U4239" s="19" t="str">
        <f>HYPERLINK("https://pbs.twimg.com/profile_images/1151147335210209280/dXludgL4.jpg","View")</f>
        <v>View</v>
      </c>
      <c r="V4239" s="8"/>
      <c r="W4239" s="8"/>
      <c r="X4239" s="8"/>
      <c r="Y4239" s="8"/>
      <c r="Z4239" s="8"/>
    </row>
    <row r="4240" spans="1:26" ht="12.75">
      <c r="A4240" s="11">
        <v>43747.123113425929</v>
      </c>
      <c r="B4240" s="12" t="str">
        <f>HYPERLINK("https://twitter.com/KLYC1453","@KLYC1453")</f>
        <v>@KLYC1453</v>
      </c>
      <c r="C4240" s="7" t="s">
        <v>21665</v>
      </c>
      <c r="D4240" s="7" t="s">
        <v>13923</v>
      </c>
      <c r="E4240" s="12" t="str">
        <f>HYPERLINK("https://twitter.com/KLYC1453/status/1181871246352568320","1181871246352568320")</f>
        <v>1181871246352568320</v>
      </c>
      <c r="F4240" s="8"/>
      <c r="G4240" s="14" t="s">
        <v>21666</v>
      </c>
      <c r="H4240" s="8"/>
      <c r="I4240" s="15">
        <v>0</v>
      </c>
      <c r="J4240" s="15">
        <v>2</v>
      </c>
      <c r="K4240" s="12" t="str">
        <f>HYPERLINK("http://twitter.com/download/android","Twitter for Android")</f>
        <v>Twitter for Android</v>
      </c>
      <c r="L4240" s="16">
        <v>127</v>
      </c>
      <c r="M4240" s="16">
        <v>139</v>
      </c>
      <c r="N4240" s="16">
        <v>0</v>
      </c>
      <c r="O4240" s="17"/>
      <c r="P4240" s="18">
        <v>40700.488252314812</v>
      </c>
      <c r="Q4240" s="7"/>
      <c r="R4240" s="7"/>
      <c r="S4240" s="8"/>
      <c r="T4240" s="8"/>
      <c r="U4240" s="19" t="str">
        <f>HYPERLINK("https://pbs.twimg.com/profile_images/1181533455366144001/X1OjuGf8.jpg","View")</f>
        <v>View</v>
      </c>
      <c r="V4240" s="8"/>
      <c r="W4240" s="8"/>
      <c r="X4240" s="8"/>
      <c r="Y4240" s="8"/>
      <c r="Z4240" s="8"/>
    </row>
    <row r="4241" spans="1:26" ht="12.75">
      <c r="A4241" s="11">
        <v>43747.123113425929</v>
      </c>
      <c r="B4241" s="12" t="str">
        <f>HYPERLINK("https://twitter.com/mudoonur","@mudoonur")</f>
        <v>@mudoonur</v>
      </c>
      <c r="C4241" s="7" t="s">
        <v>21667</v>
      </c>
      <c r="D4241" s="7" t="s">
        <v>21668</v>
      </c>
      <c r="E4241" s="12" t="str">
        <f>HYPERLINK("https://twitter.com/mudoonur/status/1181871244523839490","1181871244523839490")</f>
        <v>1181871244523839490</v>
      </c>
      <c r="F4241" s="8"/>
      <c r="G4241" s="15"/>
      <c r="H4241" s="8"/>
      <c r="I4241" s="15">
        <v>0</v>
      </c>
      <c r="J4241" s="15">
        <v>1</v>
      </c>
      <c r="K4241" s="12" t="str">
        <f>HYPERLINK("http://twitter.com/download/android","Twitter for Android")</f>
        <v>Twitter for Android</v>
      </c>
      <c r="L4241" s="16">
        <v>13</v>
      </c>
      <c r="M4241" s="16">
        <v>12</v>
      </c>
      <c r="N4241" s="16">
        <v>0</v>
      </c>
      <c r="O4241" s="17"/>
      <c r="P4241" s="18">
        <v>41940.341516203705</v>
      </c>
      <c r="Q4241" s="7"/>
      <c r="R4241" s="7" t="s">
        <v>21669</v>
      </c>
      <c r="S4241" s="8"/>
      <c r="T4241" s="8"/>
      <c r="U4241" s="19" t="str">
        <f>HYPERLINK("https://pbs.twimg.com/profile_images/907224060538613760/WCb1Okem.jpg","View")</f>
        <v>View</v>
      </c>
      <c r="V4241" s="8"/>
      <c r="W4241" s="8"/>
      <c r="X4241" s="8"/>
      <c r="Y4241" s="8"/>
      <c r="Z4241" s="8"/>
    </row>
    <row r="4242" spans="1:26" ht="12.75">
      <c r="A4242" s="11">
        <v>43747.123090277775</v>
      </c>
      <c r="B4242" s="12" t="str">
        <f>HYPERLINK("https://twitter.com/romantcfilozof","@romantcfilozof")</f>
        <v>@romantcfilozof</v>
      </c>
      <c r="C4242" s="7" t="s">
        <v>21670</v>
      </c>
      <c r="D4242" s="7" t="s">
        <v>21671</v>
      </c>
      <c r="E4242" s="12" t="str">
        <f>HYPERLINK("https://twitter.com/romantcfilozof/status/1181871236713988096","1181871236713988096")</f>
        <v>1181871236713988096</v>
      </c>
      <c r="F4242" s="8"/>
      <c r="G4242" s="7"/>
      <c r="H4242" s="8"/>
      <c r="I4242" s="15">
        <v>4</v>
      </c>
      <c r="J4242" s="15">
        <v>14</v>
      </c>
      <c r="K4242" s="12" t="str">
        <f>HYPERLINK("https://mobile.twitter.com","Twitter Web App")</f>
        <v>Twitter Web App</v>
      </c>
      <c r="L4242" s="16">
        <v>10658</v>
      </c>
      <c r="M4242" s="16">
        <v>9905</v>
      </c>
      <c r="N4242" s="16">
        <v>23</v>
      </c>
      <c r="O4242" s="17"/>
      <c r="P4242" s="18">
        <v>41259.448275462964</v>
      </c>
      <c r="Q4242" s="7"/>
      <c r="R4242" s="7" t="s">
        <v>21672</v>
      </c>
      <c r="S4242" s="8"/>
      <c r="T4242" s="8"/>
      <c r="U4242" s="19" t="str">
        <f>HYPERLINK("https://pbs.twimg.com/profile_images/536478609695731712/J-lF7QU5.jpeg","View")</f>
        <v>View</v>
      </c>
      <c r="V4242" s="8"/>
      <c r="W4242" s="8"/>
      <c r="X4242" s="8"/>
      <c r="Y4242" s="8"/>
      <c r="Z4242" s="8"/>
    </row>
    <row r="4243" spans="1:26" ht="12.75">
      <c r="A4243" s="11">
        <v>43747.123078703706</v>
      </c>
      <c r="B4243" s="12" t="str">
        <f>HYPERLINK("https://twitter.com/berkaysydm01","@berkaysydm01")</f>
        <v>@berkaysydm01</v>
      </c>
      <c r="C4243" s="7" t="s">
        <v>21673</v>
      </c>
      <c r="D4243" s="7" t="s">
        <v>21674</v>
      </c>
      <c r="E4243" s="12" t="str">
        <f>HYPERLINK("https://twitter.com/berkaysydm01/status/1181871232263827457","1181871232263827457")</f>
        <v>1181871232263827457</v>
      </c>
      <c r="F4243" s="8"/>
      <c r="G4243" s="14" t="s">
        <v>21675</v>
      </c>
      <c r="H4243" s="8"/>
      <c r="I4243" s="15">
        <v>0</v>
      </c>
      <c r="J4243" s="15">
        <v>1</v>
      </c>
      <c r="K4243" s="12" t="str">
        <f>HYPERLINK("http://twitter.com/download/iphone","Twitter for iPhone")</f>
        <v>Twitter for iPhone</v>
      </c>
      <c r="L4243" s="16">
        <v>145</v>
      </c>
      <c r="M4243" s="16">
        <v>169</v>
      </c>
      <c r="N4243" s="16">
        <v>0</v>
      </c>
      <c r="O4243" s="17"/>
      <c r="P4243" s="18">
        <v>42781.408530092594</v>
      </c>
      <c r="Q4243" s="7" t="s">
        <v>16844</v>
      </c>
      <c r="R4243" s="7" t="s">
        <v>21676</v>
      </c>
      <c r="S4243" s="14" t="s">
        <v>21677</v>
      </c>
      <c r="T4243" s="8"/>
      <c r="U4243" s="19" t="str">
        <f>HYPERLINK("https://pbs.twimg.com/profile_images/1180697305856520192/3xS5fYF7.jpg","View")</f>
        <v>View</v>
      </c>
      <c r="V4243" s="8"/>
      <c r="W4243" s="8"/>
      <c r="X4243" s="8"/>
      <c r="Y4243" s="8"/>
      <c r="Z4243" s="8"/>
    </row>
    <row r="4244" spans="1:26" ht="12.75">
      <c r="A4244" s="11">
        <v>43747.123067129629</v>
      </c>
      <c r="B4244" s="12" t="str">
        <f>HYPERLINK("https://twitter.com/_Fatih_Kul_","@_Fatih_Kul_")</f>
        <v>@_Fatih_Kul_</v>
      </c>
      <c r="C4244" s="7" t="s">
        <v>21678</v>
      </c>
      <c r="D4244" s="7" t="s">
        <v>21679</v>
      </c>
      <c r="E4244" s="12" t="str">
        <f>HYPERLINK("https://twitter.com/_Fatih_Kul_/status/1181871225859166209","1181871225859166209")</f>
        <v>1181871225859166209</v>
      </c>
      <c r="F4244" s="15"/>
      <c r="G4244" s="15"/>
      <c r="H4244" s="8"/>
      <c r="I4244" s="15">
        <v>0</v>
      </c>
      <c r="J4244" s="15">
        <v>2</v>
      </c>
      <c r="K4244" s="12" t="str">
        <f>HYPERLINK("http://twitter.com/download/iphone","Twitter for iPhone")</f>
        <v>Twitter for iPhone</v>
      </c>
      <c r="L4244" s="16">
        <v>593</v>
      </c>
      <c r="M4244" s="16">
        <v>1816</v>
      </c>
      <c r="N4244" s="16">
        <v>1</v>
      </c>
      <c r="O4244" s="17"/>
      <c r="P4244" s="18">
        <v>41983.066689814819</v>
      </c>
      <c r="Q4244" s="7"/>
      <c r="R4244" s="7" t="s">
        <v>21680</v>
      </c>
      <c r="S4244" s="8"/>
      <c r="T4244" s="8"/>
      <c r="U4244" s="19" t="str">
        <f>HYPERLINK("https://pbs.twimg.com/profile_images/1123113025161052160/tuxVwamK.jpg","View")</f>
        <v>View</v>
      </c>
      <c r="V4244" s="8"/>
      <c r="W4244" s="8"/>
      <c r="X4244" s="8"/>
      <c r="Y4244" s="8"/>
      <c r="Z4244" s="8"/>
    </row>
    <row r="4245" spans="1:26" ht="12.75">
      <c r="A4245" s="11">
        <v>43747.123055555552</v>
      </c>
      <c r="B4245" s="12" t="str">
        <f>HYPERLINK("https://twitter.com/passion_34","@passion_34")</f>
        <v>@passion_34</v>
      </c>
      <c r="C4245" s="7" t="s">
        <v>21681</v>
      </c>
      <c r="D4245" s="7" t="s">
        <v>21682</v>
      </c>
      <c r="E4245" s="12" t="str">
        <f>HYPERLINK("https://twitter.com/passion_34/status/1181871224001044481","1181871224001044481")</f>
        <v>1181871224001044481</v>
      </c>
      <c r="F4245" s="8"/>
      <c r="G4245" s="7"/>
      <c r="H4245" s="8"/>
      <c r="I4245" s="15">
        <v>0</v>
      </c>
      <c r="J4245" s="15">
        <v>6</v>
      </c>
      <c r="K4245" s="12" t="str">
        <f>HYPERLINK("http://twitter.com/download/iphone","Twitter for iPhone")</f>
        <v>Twitter for iPhone</v>
      </c>
      <c r="L4245" s="16">
        <v>19605</v>
      </c>
      <c r="M4245" s="16">
        <v>14849</v>
      </c>
      <c r="N4245" s="16">
        <v>26</v>
      </c>
      <c r="O4245" s="17"/>
      <c r="P4245" s="18">
        <v>40920.097280092596</v>
      </c>
      <c r="Q4245" s="7" t="s">
        <v>4241</v>
      </c>
      <c r="R4245" s="7" t="s">
        <v>21683</v>
      </c>
      <c r="S4245" s="8"/>
      <c r="T4245" s="8"/>
      <c r="U4245" s="19" t="str">
        <f>HYPERLINK("https://pbs.twimg.com/profile_images/1170616385241800704/aN3BKryU.jpg","View")</f>
        <v>View</v>
      </c>
      <c r="V4245" s="8"/>
      <c r="W4245" s="8"/>
      <c r="X4245" s="8"/>
      <c r="Y4245" s="8"/>
      <c r="Z4245" s="8"/>
    </row>
    <row r="4246" spans="1:26" ht="12.75">
      <c r="A4246" s="11">
        <v>43747.123043981483</v>
      </c>
      <c r="B4246" s="12" t="str">
        <f>HYPERLINK("https://twitter.com/halilercannn","@halilercannn")</f>
        <v>@halilercannn</v>
      </c>
      <c r="C4246" s="7" t="s">
        <v>21684</v>
      </c>
      <c r="D4246" s="7" t="s">
        <v>160</v>
      </c>
      <c r="E4246" s="12" t="str">
        <f>HYPERLINK("https://twitter.com/halilercannn/status/1181871218049372161","1181871218049372161")</f>
        <v>1181871218049372161</v>
      </c>
      <c r="F4246" s="8"/>
      <c r="G4246" s="14" t="s">
        <v>21685</v>
      </c>
      <c r="H4246" s="8"/>
      <c r="I4246" s="15">
        <v>0</v>
      </c>
      <c r="J4246" s="15">
        <v>1</v>
      </c>
      <c r="K4246" s="12" t="str">
        <f>HYPERLINK("http://twitter.com/download/iphone","Twitter for iPhone")</f>
        <v>Twitter for iPhone</v>
      </c>
      <c r="L4246" s="16">
        <v>29</v>
      </c>
      <c r="M4246" s="16">
        <v>85</v>
      </c>
      <c r="N4246" s="16">
        <v>0</v>
      </c>
      <c r="O4246" s="17"/>
      <c r="P4246" s="18">
        <v>42960.124432870369</v>
      </c>
      <c r="Q4246" s="7" t="s">
        <v>8299</v>
      </c>
      <c r="R4246" s="7" t="s">
        <v>21686</v>
      </c>
      <c r="S4246" s="8"/>
      <c r="T4246" s="8"/>
      <c r="U4246" s="19" t="str">
        <f>HYPERLINK("https://pbs.twimg.com/profile_images/912973055550459905/_2_xM-3v.jpg","View")</f>
        <v>View</v>
      </c>
      <c r="V4246" s="8"/>
      <c r="W4246" s="8"/>
      <c r="X4246" s="8"/>
      <c r="Y4246" s="8"/>
      <c r="Z4246" s="8"/>
    </row>
    <row r="4247" spans="1:26" ht="12.75">
      <c r="A4247" s="11">
        <v>43747.123020833329</v>
      </c>
      <c r="B4247" s="12" t="str">
        <f>HYPERLINK("https://twitter.com/kadircetinnn35","@kadircetinnn35")</f>
        <v>@kadircetinnn35</v>
      </c>
      <c r="C4247" s="7" t="s">
        <v>21687</v>
      </c>
      <c r="D4247" s="7" t="s">
        <v>21688</v>
      </c>
      <c r="E4247" s="12" t="str">
        <f>HYPERLINK("https://twitter.com/kadircetinnn35/status/1181871212810645504","1181871212810645504")</f>
        <v>1181871212810645504</v>
      </c>
      <c r="F4247" s="8"/>
      <c r="G4247" s="7"/>
      <c r="H4247" s="8"/>
      <c r="I4247" s="15">
        <v>0</v>
      </c>
      <c r="J4247" s="15">
        <v>0</v>
      </c>
      <c r="K4247" s="12" t="str">
        <f>HYPERLINK("http://twitter.com/download/android","Twitter for Android")</f>
        <v>Twitter for Android</v>
      </c>
      <c r="L4247" s="16">
        <v>0</v>
      </c>
      <c r="M4247" s="16">
        <v>60</v>
      </c>
      <c r="N4247" s="16">
        <v>0</v>
      </c>
      <c r="O4247" s="17"/>
      <c r="P4247" s="18">
        <v>42282.546053240745</v>
      </c>
      <c r="Q4247" s="7" t="s">
        <v>1622</v>
      </c>
      <c r="R4247" s="7"/>
      <c r="S4247" s="8"/>
      <c r="T4247" s="8"/>
      <c r="U4247" s="19" t="str">
        <f>HYPERLINK("https://pbs.twimg.com/profile_images/1138459672158117894/znqWH7vI.jpg","View")</f>
        <v>View</v>
      </c>
      <c r="V4247" s="8"/>
      <c r="W4247" s="8"/>
      <c r="X4247" s="8"/>
      <c r="Y4247" s="8"/>
      <c r="Z4247" s="8"/>
    </row>
    <row r="4248" spans="1:26" ht="12.75">
      <c r="A4248" s="11">
        <v>43747.123020833329</v>
      </c>
      <c r="B4248" s="12" t="str">
        <f>HYPERLINK("https://twitter.com/YavuzerModoglu","@YavuzerModoglu")</f>
        <v>@YavuzerModoglu</v>
      </c>
      <c r="C4248" s="7" t="s">
        <v>21689</v>
      </c>
      <c r="D4248" s="7" t="s">
        <v>21690</v>
      </c>
      <c r="E4248" s="12" t="str">
        <f>HYPERLINK("https://twitter.com/YavuzerModoglu/status/1181871212026368002","1181871212026368002")</f>
        <v>1181871212026368002</v>
      </c>
      <c r="F4248" s="8"/>
      <c r="G4248" s="14" t="s">
        <v>21691</v>
      </c>
      <c r="H4248" s="8"/>
      <c r="I4248" s="15">
        <v>0</v>
      </c>
      <c r="J4248" s="15">
        <v>0</v>
      </c>
      <c r="K4248" s="12" t="str">
        <f>HYPERLINK("http://twitter.com","Twitter Web Client")</f>
        <v>Twitter Web Client</v>
      </c>
      <c r="L4248" s="16">
        <v>4</v>
      </c>
      <c r="M4248" s="16">
        <v>0</v>
      </c>
      <c r="N4248" s="16">
        <v>0</v>
      </c>
      <c r="O4248" s="17"/>
      <c r="P4248" s="18">
        <v>43675.098657407405</v>
      </c>
      <c r="Q4248" s="7" t="s">
        <v>241</v>
      </c>
      <c r="R4248" s="7" t="s">
        <v>21692</v>
      </c>
      <c r="S4248" s="8"/>
      <c r="T4248" s="8"/>
      <c r="U4248" s="19" t="str">
        <f>HYPERLINK("https://pbs.twimg.com/profile_images/1158624306311684096/vycT5_Ap.jpg","View")</f>
        <v>View</v>
      </c>
      <c r="V4248" s="8"/>
      <c r="W4248" s="8"/>
      <c r="X4248" s="8"/>
      <c r="Y4248" s="8"/>
      <c r="Z4248" s="8"/>
    </row>
    <row r="4249" spans="1:26" ht="12.75">
      <c r="A4249" s="11">
        <v>43747.123020833329</v>
      </c>
      <c r="B4249" s="12" t="str">
        <f>HYPERLINK("https://twitter.com/bakneyapabiliyo","@bakneyapabiliyo")</f>
        <v>@bakneyapabiliyo</v>
      </c>
      <c r="C4249" s="7" t="s">
        <v>21693</v>
      </c>
      <c r="D4249" s="7" t="s">
        <v>160</v>
      </c>
      <c r="E4249" s="12" t="str">
        <f>HYPERLINK("https://twitter.com/bakneyapabiliyo/status/1181871209140625408","1181871209140625408")</f>
        <v>1181871209140625408</v>
      </c>
      <c r="F4249" s="8"/>
      <c r="G4249" s="7"/>
      <c r="H4249" s="8"/>
      <c r="I4249" s="15">
        <v>0</v>
      </c>
      <c r="J4249" s="15">
        <v>0</v>
      </c>
      <c r="K4249" s="12" t="str">
        <f>HYPERLINK("https://mobile.twitter.com","Twitter Web App")</f>
        <v>Twitter Web App</v>
      </c>
      <c r="L4249" s="16">
        <v>115</v>
      </c>
      <c r="M4249" s="16">
        <v>51</v>
      </c>
      <c r="N4249" s="16">
        <v>1</v>
      </c>
      <c r="O4249" s="17"/>
      <c r="P4249" s="18">
        <v>41217.462187500001</v>
      </c>
      <c r="Q4249" s="7"/>
      <c r="R4249" s="7" t="s">
        <v>21694</v>
      </c>
      <c r="S4249" s="15"/>
      <c r="T4249" s="8"/>
      <c r="U4249" s="19" t="str">
        <f>HYPERLINK("https://pbs.twimg.com/profile_images/719938847174483968/uE4dbUJQ.jpg","View")</f>
        <v>View</v>
      </c>
      <c r="V4249" s="8"/>
      <c r="W4249" s="8"/>
      <c r="X4249" s="8"/>
      <c r="Y4249" s="8"/>
      <c r="Z4249" s="8"/>
    </row>
    <row r="4250" spans="1:26" ht="12.75">
      <c r="A4250" s="11">
        <v>43747.122986111106</v>
      </c>
      <c r="B4250" s="12" t="str">
        <f>HYPERLINK("https://twitter.com/hobari07","@hobari07")</f>
        <v>@hobari07</v>
      </c>
      <c r="C4250" s="7" t="s">
        <v>21695</v>
      </c>
      <c r="D4250" s="7" t="s">
        <v>21696</v>
      </c>
      <c r="E4250" s="12" t="str">
        <f>HYPERLINK("https://twitter.com/hobari07/status/1181871199372087297","1181871199372087297")</f>
        <v>1181871199372087297</v>
      </c>
      <c r="F4250" s="8"/>
      <c r="G4250" s="15"/>
      <c r="H4250" s="8"/>
      <c r="I4250" s="15">
        <v>0</v>
      </c>
      <c r="J4250" s="15">
        <v>0</v>
      </c>
      <c r="K4250" s="12" t="str">
        <f>HYPERLINK("http://twitter.com/download/android","Twitter for Android")</f>
        <v>Twitter for Android</v>
      </c>
      <c r="L4250" s="16">
        <v>9</v>
      </c>
      <c r="M4250" s="16">
        <v>73</v>
      </c>
      <c r="N4250" s="16">
        <v>0</v>
      </c>
      <c r="O4250" s="17"/>
      <c r="P4250" s="18">
        <v>43286.30190972222</v>
      </c>
      <c r="Q4250" s="7" t="s">
        <v>21697</v>
      </c>
      <c r="R4250" s="7" t="s">
        <v>21698</v>
      </c>
      <c r="S4250" s="8"/>
      <c r="T4250" s="8"/>
      <c r="U4250" s="19" t="str">
        <f>HYPERLINK("https://pbs.twimg.com/profile_images/1173356819370172416/JYUpFSfp.jpg","View")</f>
        <v>View</v>
      </c>
      <c r="V4250" s="8"/>
      <c r="W4250" s="8"/>
      <c r="X4250" s="8"/>
      <c r="Y4250" s="8"/>
      <c r="Z4250" s="8"/>
    </row>
    <row r="4251" spans="1:26" ht="12.75">
      <c r="A4251" s="11">
        <v>43747.122986111106</v>
      </c>
      <c r="B4251" s="12" t="str">
        <f>HYPERLINK("https://twitter.com/ogzhanocak","@ogzhanocak")</f>
        <v>@ogzhanocak</v>
      </c>
      <c r="C4251" s="7" t="s">
        <v>21699</v>
      </c>
      <c r="D4251" s="7" t="s">
        <v>21700</v>
      </c>
      <c r="E4251" s="12" t="str">
        <f>HYPERLINK("https://twitter.com/ogzhanocak/status/1181871196553584640","1181871196553584640")</f>
        <v>1181871196553584640</v>
      </c>
      <c r="F4251" s="8"/>
      <c r="G4251" s="15"/>
      <c r="H4251" s="8"/>
      <c r="I4251" s="15">
        <v>0</v>
      </c>
      <c r="J4251" s="15">
        <v>1</v>
      </c>
      <c r="K4251" s="12" t="str">
        <f>HYPERLINK("http://twitter.com/download/android","Twitter for Android")</f>
        <v>Twitter for Android</v>
      </c>
      <c r="L4251" s="16">
        <v>54</v>
      </c>
      <c r="M4251" s="16">
        <v>140</v>
      </c>
      <c r="N4251" s="16">
        <v>0</v>
      </c>
      <c r="O4251" s="17"/>
      <c r="P4251" s="18">
        <v>43563.489606481482</v>
      </c>
      <c r="Q4251" s="7" t="s">
        <v>15925</v>
      </c>
      <c r="R4251" s="7" t="s">
        <v>21701</v>
      </c>
      <c r="S4251" s="14" t="s">
        <v>21702</v>
      </c>
      <c r="T4251" s="8"/>
      <c r="U4251" s="19" t="str">
        <f>HYPERLINK("https://pbs.twimg.com/profile_images/1179773331693805568/HXwWOOit.jpg","View")</f>
        <v>View</v>
      </c>
      <c r="V4251" s="8"/>
      <c r="W4251" s="8"/>
      <c r="X4251" s="8"/>
      <c r="Y4251" s="8"/>
      <c r="Z4251" s="8"/>
    </row>
    <row r="4252" spans="1:26" ht="12.75">
      <c r="A4252" s="11">
        <v>43747.12290509259</v>
      </c>
      <c r="B4252" s="12" t="str">
        <f>HYPERLINK("https://twitter.com/sssorular","@sssorular")</f>
        <v>@sssorular</v>
      </c>
      <c r="C4252" s="7" t="s">
        <v>21703</v>
      </c>
      <c r="D4252" s="7" t="s">
        <v>15455</v>
      </c>
      <c r="E4252" s="12" t="str">
        <f>HYPERLINK("https://twitter.com/sssorular/status/1181871170490191872","1181871170490191872")</f>
        <v>1181871170490191872</v>
      </c>
      <c r="F4252" s="8"/>
      <c r="G4252" s="7"/>
      <c r="H4252" s="8"/>
      <c r="I4252" s="15">
        <v>0</v>
      </c>
      <c r="J4252" s="15">
        <v>0</v>
      </c>
      <c r="K4252" s="12" t="str">
        <f>HYPERLINK("http://twitter.com/download/iphone","Twitter for iPhone")</f>
        <v>Twitter for iPhone</v>
      </c>
      <c r="L4252" s="16">
        <v>329</v>
      </c>
      <c r="M4252" s="16">
        <v>7</v>
      </c>
      <c r="N4252" s="16">
        <v>1</v>
      </c>
      <c r="O4252" s="17"/>
      <c r="P4252" s="18">
        <v>43263.743020833332</v>
      </c>
      <c r="Q4252" s="7" t="s">
        <v>4645</v>
      </c>
      <c r="R4252" s="7" t="s">
        <v>21704</v>
      </c>
      <c r="S4252" s="8"/>
      <c r="T4252" s="8"/>
      <c r="U4252" s="19" t="str">
        <f>HYPERLINK("https://pbs.twimg.com/profile_images/1089079911925583873/-4S2ZuQt.jpg","View")</f>
        <v>View</v>
      </c>
      <c r="V4252" s="8"/>
      <c r="W4252" s="8"/>
      <c r="X4252" s="8"/>
      <c r="Y4252" s="8"/>
      <c r="Z4252" s="8"/>
    </row>
    <row r="4253" spans="1:26" ht="12.75">
      <c r="A4253" s="11">
        <v>43747.122893518521</v>
      </c>
      <c r="B4253" s="12" t="str">
        <f>HYPERLINK("https://twitter.com/TWETRCI","@TWETRCI")</f>
        <v>@TWETRCI</v>
      </c>
      <c r="C4253" s="7" t="s">
        <v>21705</v>
      </c>
      <c r="D4253" s="7" t="s">
        <v>21706</v>
      </c>
      <c r="E4253" s="12" t="str">
        <f>HYPERLINK("https://twitter.com/TWETRCI/status/1181871166304276480","1181871166304276480")</f>
        <v>1181871166304276480</v>
      </c>
      <c r="F4253" s="8"/>
      <c r="G4253" s="14" t="s">
        <v>21707</v>
      </c>
      <c r="H4253" s="8"/>
      <c r="I4253" s="15">
        <v>0</v>
      </c>
      <c r="J4253" s="15">
        <v>2</v>
      </c>
      <c r="K4253" s="12" t="str">
        <f>HYPERLINK("https://mobile.twitter.com","Twitter Web App")</f>
        <v>Twitter Web App</v>
      </c>
      <c r="L4253" s="16">
        <v>229</v>
      </c>
      <c r="M4253" s="16">
        <v>294</v>
      </c>
      <c r="N4253" s="16">
        <v>0</v>
      </c>
      <c r="O4253" s="17"/>
      <c r="P4253" s="18">
        <v>43595.384826388894</v>
      </c>
      <c r="Q4253" s="7"/>
      <c r="R4253" s="7" t="s">
        <v>21708</v>
      </c>
      <c r="S4253" s="8"/>
      <c r="T4253" s="8"/>
      <c r="U4253" s="19" t="str">
        <f>HYPERLINK("https://pbs.twimg.com/profile_images/1133450759788552192/YD6HxC1a.jpg","View")</f>
        <v>View</v>
      </c>
      <c r="V4253" s="8"/>
      <c r="W4253" s="8"/>
      <c r="X4253" s="8"/>
      <c r="Y4253" s="8"/>
      <c r="Z4253" s="8"/>
    </row>
    <row r="4254" spans="1:26" ht="12.75">
      <c r="A4254" s="11">
        <v>43747.122893518521</v>
      </c>
      <c r="B4254" s="12" t="str">
        <f>HYPERLINK("https://twitter.com/Sefadnc1903","@Sefadnc1903")</f>
        <v>@Sefadnc1903</v>
      </c>
      <c r="C4254" s="7" t="s">
        <v>21709</v>
      </c>
      <c r="D4254" s="7" t="s">
        <v>21710</v>
      </c>
      <c r="E4254" s="12" t="str">
        <f>HYPERLINK("https://twitter.com/Sefadnc1903/status/1181871164433600513","1181871164433600513")</f>
        <v>1181871164433600513</v>
      </c>
      <c r="F4254" s="8"/>
      <c r="G4254" s="14" t="s">
        <v>21711</v>
      </c>
      <c r="H4254" s="8"/>
      <c r="I4254" s="15">
        <v>0</v>
      </c>
      <c r="J4254" s="15">
        <v>18</v>
      </c>
      <c r="K4254" s="12" t="str">
        <f>HYPERLINK("http://twitter.com/download/iphone","Twitter for iPhone")</f>
        <v>Twitter for iPhone</v>
      </c>
      <c r="L4254" s="16">
        <v>45283</v>
      </c>
      <c r="M4254" s="16">
        <v>6359</v>
      </c>
      <c r="N4254" s="16">
        <v>57</v>
      </c>
      <c r="O4254" s="17"/>
      <c r="P4254" s="18">
        <v>40721.199895833335</v>
      </c>
      <c r="Q4254" s="7" t="s">
        <v>6551</v>
      </c>
      <c r="R4254" s="7" t="s">
        <v>21712</v>
      </c>
      <c r="S4254" s="14" t="s">
        <v>21713</v>
      </c>
      <c r="T4254" s="8"/>
      <c r="U4254" s="19" t="str">
        <f>HYPERLINK("https://pbs.twimg.com/profile_images/1141099578537709568/mCXkTE9k.jpg","View")</f>
        <v>View</v>
      </c>
      <c r="V4254" s="8"/>
      <c r="W4254" s="8"/>
      <c r="X4254" s="8"/>
      <c r="Y4254" s="8"/>
      <c r="Z4254" s="8"/>
    </row>
    <row r="4255" spans="1:26" ht="12.75">
      <c r="A4255" s="11">
        <v>43747.122870370367</v>
      </c>
      <c r="B4255" s="12" t="str">
        <f>HYPERLINK("https://twitter.com/TBeyazzz","@TBeyazzz")</f>
        <v>@TBeyazzz</v>
      </c>
      <c r="C4255" s="7" t="s">
        <v>21714</v>
      </c>
      <c r="D4255" s="7" t="s">
        <v>21715</v>
      </c>
      <c r="E4255" s="12" t="str">
        <f>HYPERLINK("https://twitter.com/TBeyazzz/status/1181871154539175936","1181871154539175936")</f>
        <v>1181871154539175936</v>
      </c>
      <c r="F4255" s="8"/>
      <c r="G4255" s="14" t="s">
        <v>21716</v>
      </c>
      <c r="H4255" s="8"/>
      <c r="I4255" s="15">
        <v>0</v>
      </c>
      <c r="J4255" s="15">
        <v>0</v>
      </c>
      <c r="K4255" s="12" t="str">
        <f>HYPERLINK("http://twitter.com/download/android","Twitter for Android")</f>
        <v>Twitter for Android</v>
      </c>
      <c r="L4255" s="16">
        <v>88</v>
      </c>
      <c r="M4255" s="16">
        <v>158</v>
      </c>
      <c r="N4255" s="16">
        <v>0</v>
      </c>
      <c r="O4255" s="17"/>
      <c r="P4255" s="18">
        <v>43406.600451388891</v>
      </c>
      <c r="Q4255" s="7" t="s">
        <v>7053</v>
      </c>
      <c r="R4255" s="7" t="s">
        <v>21717</v>
      </c>
      <c r="S4255" s="14" t="s">
        <v>21718</v>
      </c>
      <c r="T4255" s="8"/>
      <c r="U4255" s="19" t="str">
        <f>HYPERLINK("https://pbs.twimg.com/profile_images/1179892392943669248/dSKUak-K.jpg","View")</f>
        <v>View</v>
      </c>
      <c r="V4255" s="8"/>
      <c r="W4255" s="8"/>
      <c r="X4255" s="8"/>
      <c r="Y4255" s="8"/>
      <c r="Z4255" s="8"/>
    </row>
    <row r="4256" spans="1:26" ht="12.75">
      <c r="A4256" s="11">
        <v>43747.122824074075</v>
      </c>
      <c r="B4256" s="12" t="str">
        <f>HYPERLINK("https://twitter.com/mcanmuratbt","@mcanmuratbt")</f>
        <v>@mcanmuratbt</v>
      </c>
      <c r="C4256" s="7" t="s">
        <v>21719</v>
      </c>
      <c r="D4256" s="7" t="s">
        <v>160</v>
      </c>
      <c r="E4256" s="12" t="str">
        <f>HYPERLINK("https://twitter.com/mcanmuratbt/status/1181871141381693440","1181871141381693440")</f>
        <v>1181871141381693440</v>
      </c>
      <c r="F4256" s="8"/>
      <c r="G4256" s="14" t="s">
        <v>21720</v>
      </c>
      <c r="H4256" s="8"/>
      <c r="I4256" s="15">
        <v>0</v>
      </c>
      <c r="J4256" s="15">
        <v>0</v>
      </c>
      <c r="K4256" s="12" t="str">
        <f>HYPERLINK("http://twitter.com/download/iphone","Twitter for iPhone")</f>
        <v>Twitter for iPhone</v>
      </c>
      <c r="L4256" s="16">
        <v>3</v>
      </c>
      <c r="M4256" s="16">
        <v>13</v>
      </c>
      <c r="N4256" s="16">
        <v>0</v>
      </c>
      <c r="O4256" s="17"/>
      <c r="P4256" s="18">
        <v>43167.156041666662</v>
      </c>
      <c r="Q4256" s="7" t="s">
        <v>21721</v>
      </c>
      <c r="R4256" s="7" t="s">
        <v>21722</v>
      </c>
      <c r="S4256" s="8"/>
      <c r="T4256" s="8"/>
      <c r="U4256" s="19" t="str">
        <f>HYPERLINK("https://pbs.twimg.com/profile_images/971716702470844417/PuNo5mZj.jpg","View")</f>
        <v>View</v>
      </c>
      <c r="V4256" s="8"/>
      <c r="W4256" s="8"/>
      <c r="X4256" s="8"/>
      <c r="Y4256" s="8"/>
      <c r="Z4256" s="8"/>
    </row>
    <row r="4257" spans="1:26" ht="12.75">
      <c r="A4257" s="11">
        <v>43747.122824074075</v>
      </c>
      <c r="B4257" s="12" t="str">
        <f>HYPERLINK("https://twitter.com/OeuZ1903","@OeuZ1903")</f>
        <v>@OeuZ1903</v>
      </c>
      <c r="C4257" s="7" t="s">
        <v>21723</v>
      </c>
      <c r="D4257" s="7" t="s">
        <v>21724</v>
      </c>
      <c r="E4257" s="12" t="str">
        <f>HYPERLINK("https://twitter.com/OeuZ1903/status/1181871139263516677","1181871139263516677")</f>
        <v>1181871139263516677</v>
      </c>
      <c r="F4257" s="14" t="s">
        <v>21725</v>
      </c>
      <c r="G4257" s="14" t="s">
        <v>20461</v>
      </c>
      <c r="H4257" s="8"/>
      <c r="I4257" s="15">
        <v>0</v>
      </c>
      <c r="J4257" s="15">
        <v>1</v>
      </c>
      <c r="K4257" s="12" t="str">
        <f>HYPERLINK("http://twitter.com/download/android","Twitter for Android")</f>
        <v>Twitter for Android</v>
      </c>
      <c r="L4257" s="16">
        <v>115</v>
      </c>
      <c r="M4257" s="16">
        <v>568</v>
      </c>
      <c r="N4257" s="16">
        <v>1</v>
      </c>
      <c r="O4257" s="17"/>
      <c r="P4257" s="18">
        <v>42883.254490740743</v>
      </c>
      <c r="Q4257" s="7"/>
      <c r="R4257" s="7" t="s">
        <v>21726</v>
      </c>
      <c r="S4257" s="14" t="s">
        <v>21727</v>
      </c>
      <c r="T4257" s="8"/>
      <c r="U4257" s="19" t="str">
        <f>HYPERLINK("https://pbs.twimg.com/profile_images/1123306560028123138/63kla2mk.jpg","View")</f>
        <v>View</v>
      </c>
      <c r="V4257" s="8"/>
      <c r="W4257" s="8"/>
      <c r="X4257" s="8"/>
      <c r="Y4257" s="8"/>
      <c r="Z4257" s="8"/>
    </row>
    <row r="4258" spans="1:26" ht="12.75">
      <c r="A4258" s="11">
        <v>43747.122812500005</v>
      </c>
      <c r="B4258" s="12" t="str">
        <f>HYPERLINK("https://twitter.com/emirdevri","@emirdevri")</f>
        <v>@emirdevri</v>
      </c>
      <c r="C4258" s="7" t="s">
        <v>21728</v>
      </c>
      <c r="D4258" s="7" t="s">
        <v>21729</v>
      </c>
      <c r="E4258" s="12" t="str">
        <f>HYPERLINK("https://twitter.com/emirdevri/status/1181871135006298112","1181871135006298112")</f>
        <v>1181871135006298112</v>
      </c>
      <c r="F4258" s="8"/>
      <c r="G4258" s="15"/>
      <c r="H4258" s="8"/>
      <c r="I4258" s="15">
        <v>0</v>
      </c>
      <c r="J4258" s="15">
        <v>0</v>
      </c>
      <c r="K4258" s="12" t="str">
        <f>HYPERLINK("http://twitter.com/download/iphone","Twitter for iPhone")</f>
        <v>Twitter for iPhone</v>
      </c>
      <c r="L4258" s="16">
        <v>137</v>
      </c>
      <c r="M4258" s="16">
        <v>189</v>
      </c>
      <c r="N4258" s="16">
        <v>0</v>
      </c>
      <c r="O4258" s="17"/>
      <c r="P4258" s="18">
        <v>40377.613738425927</v>
      </c>
      <c r="Q4258" s="7"/>
      <c r="R4258" s="7" t="s">
        <v>21730</v>
      </c>
      <c r="S4258" s="14" t="s">
        <v>21731</v>
      </c>
      <c r="T4258" s="8"/>
      <c r="U4258" s="19" t="str">
        <f>HYPERLINK("https://pbs.twimg.com/profile_images/1126794606832771073/oRSmJGKy.jpg","View")</f>
        <v>View</v>
      </c>
      <c r="V4258" s="8"/>
      <c r="W4258" s="8"/>
      <c r="X4258" s="8"/>
      <c r="Y4258" s="8"/>
      <c r="Z4258" s="8"/>
    </row>
    <row r="4259" spans="1:26" ht="12.75">
      <c r="A4259" s="11">
        <v>43747.122766203705</v>
      </c>
      <c r="B4259" s="12" t="str">
        <f>HYPERLINK("https://twitter.com/banafakededi","@banafakededi")</f>
        <v>@banafakededi</v>
      </c>
      <c r="C4259" s="7" t="s">
        <v>21732</v>
      </c>
      <c r="D4259" s="7" t="s">
        <v>21733</v>
      </c>
      <c r="E4259" s="12" t="str">
        <f>HYPERLINK("https://twitter.com/banafakededi/status/1181871118774390790","1181871118774390790")</f>
        <v>1181871118774390790</v>
      </c>
      <c r="F4259" s="8"/>
      <c r="G4259" s="15"/>
      <c r="H4259" s="8"/>
      <c r="I4259" s="15">
        <v>0</v>
      </c>
      <c r="J4259" s="15">
        <v>0</v>
      </c>
      <c r="K4259" s="12" t="str">
        <f>HYPERLINK("http://twitter.com/download/iphone","Twitter for iPhone")</f>
        <v>Twitter for iPhone</v>
      </c>
      <c r="L4259" s="16">
        <v>78</v>
      </c>
      <c r="M4259" s="16">
        <v>593</v>
      </c>
      <c r="N4259" s="16">
        <v>1</v>
      </c>
      <c r="O4259" s="17"/>
      <c r="P4259" s="18">
        <v>43541.533472222218</v>
      </c>
      <c r="Q4259" s="7" t="s">
        <v>313</v>
      </c>
      <c r="R4259" s="7" t="s">
        <v>21734</v>
      </c>
      <c r="S4259" s="15"/>
      <c r="T4259" s="8"/>
      <c r="U4259" s="19" t="str">
        <f>HYPERLINK("https://pbs.twimg.com/profile_images/1107369571017805824/Xr948YbN.jpg","View")</f>
        <v>View</v>
      </c>
      <c r="V4259" s="8"/>
      <c r="W4259" s="8"/>
      <c r="X4259" s="8"/>
      <c r="Y4259" s="8"/>
      <c r="Z4259" s="8"/>
    </row>
    <row r="4260" spans="1:26" ht="12.75">
      <c r="A4260" s="11">
        <v>43747.122731481482</v>
      </c>
      <c r="B4260" s="12" t="str">
        <f>HYPERLINK("https://twitter.com/julidefzr","@julidefzr")</f>
        <v>@julidefzr</v>
      </c>
      <c r="C4260" s="7" t="s">
        <v>21735</v>
      </c>
      <c r="D4260" s="7" t="s">
        <v>21736</v>
      </c>
      <c r="E4260" s="12" t="str">
        <f>HYPERLINK("https://twitter.com/julidefzr/status/1181871105184796674","1181871105184796674")</f>
        <v>1181871105184796674</v>
      </c>
      <c r="F4260" s="8"/>
      <c r="G4260" s="7"/>
      <c r="H4260" s="8"/>
      <c r="I4260" s="15">
        <v>7</v>
      </c>
      <c r="J4260" s="15">
        <v>24</v>
      </c>
      <c r="K4260" s="12" t="str">
        <f>HYPERLINK("http://twitter.com/download/iphone","Twitter for iPhone")</f>
        <v>Twitter for iPhone</v>
      </c>
      <c r="L4260" s="16">
        <v>1276</v>
      </c>
      <c r="M4260" s="16">
        <v>671</v>
      </c>
      <c r="N4260" s="16">
        <v>2</v>
      </c>
      <c r="O4260" s="17"/>
      <c r="P4260" s="18">
        <v>42966.706863425927</v>
      </c>
      <c r="Q4260" s="7"/>
      <c r="R4260" s="7"/>
      <c r="S4260" s="8"/>
      <c r="T4260" s="8"/>
      <c r="U4260" s="19" t="str">
        <f>HYPERLINK("https://pbs.twimg.com/profile_images/1178034606303596546/H0TfwJyG.jpg","View")</f>
        <v>View</v>
      </c>
      <c r="V4260" s="8"/>
      <c r="W4260" s="8"/>
      <c r="X4260" s="8"/>
      <c r="Y4260" s="8"/>
      <c r="Z4260" s="8"/>
    </row>
    <row r="4261" spans="1:26" ht="12.75">
      <c r="A4261" s="11">
        <v>43747.122731481482</v>
      </c>
      <c r="B4261" s="12" t="str">
        <f>HYPERLINK("https://twitter.com/ElSolo1516","@ElSolo1516")</f>
        <v>@ElSolo1516</v>
      </c>
      <c r="C4261" s="7" t="s">
        <v>21737</v>
      </c>
      <c r="D4261" s="7" t="s">
        <v>21738</v>
      </c>
      <c r="E4261" s="12" t="str">
        <f>HYPERLINK("https://twitter.com/ElSolo1516/status/1181871104832557057","1181871104832557057")</f>
        <v>1181871104832557057</v>
      </c>
      <c r="F4261" s="8"/>
      <c r="G4261" s="14" t="s">
        <v>21739</v>
      </c>
      <c r="H4261" s="8"/>
      <c r="I4261" s="15">
        <v>0</v>
      </c>
      <c r="J4261" s="15">
        <v>0</v>
      </c>
      <c r="K4261" s="12" t="str">
        <f>HYPERLINK("http://twitter.com/download/android","Twitter for Android")</f>
        <v>Twitter for Android</v>
      </c>
      <c r="L4261" s="16">
        <v>26</v>
      </c>
      <c r="M4261" s="16">
        <v>58</v>
      </c>
      <c r="N4261" s="16">
        <v>0</v>
      </c>
      <c r="O4261" s="17"/>
      <c r="P4261" s="18">
        <v>43600.58112268518</v>
      </c>
      <c r="Q4261" s="7" t="s">
        <v>21740</v>
      </c>
      <c r="R4261" s="7"/>
      <c r="S4261" s="8"/>
      <c r="T4261" s="8"/>
      <c r="U4261" s="19" t="str">
        <f>HYPERLINK("https://pbs.twimg.com/profile_images/1169985328511430657/IGHlDmp-.jpg","View")</f>
        <v>View</v>
      </c>
      <c r="V4261" s="8"/>
      <c r="W4261" s="8"/>
      <c r="X4261" s="8"/>
      <c r="Y4261" s="8"/>
      <c r="Z4261" s="8"/>
    </row>
    <row r="4262" spans="1:26" ht="12.75">
      <c r="A4262" s="11">
        <v>43747.122731481482</v>
      </c>
      <c r="B4262" s="12" t="str">
        <f>HYPERLINK("https://twitter.com/faatihkaradag","@faatihkaradag")</f>
        <v>@faatihkaradag</v>
      </c>
      <c r="C4262" s="7" t="s">
        <v>21741</v>
      </c>
      <c r="D4262" s="7" t="s">
        <v>21742</v>
      </c>
      <c r="E4262" s="12" t="str">
        <f>HYPERLINK("https://twitter.com/faatihkaradag/status/1181871104341811200","1181871104341811200")</f>
        <v>1181871104341811200</v>
      </c>
      <c r="F4262" s="8"/>
      <c r="G4262" s="7"/>
      <c r="H4262" s="8"/>
      <c r="I4262" s="15">
        <v>0</v>
      </c>
      <c r="J4262" s="15">
        <v>0</v>
      </c>
      <c r="K4262" s="12" t="str">
        <f>HYPERLINK("http://twitter.com/download/iphone","Twitter for iPhone")</f>
        <v>Twitter for iPhone</v>
      </c>
      <c r="L4262" s="16">
        <v>102</v>
      </c>
      <c r="M4262" s="16">
        <v>96</v>
      </c>
      <c r="N4262" s="16">
        <v>0</v>
      </c>
      <c r="O4262" s="17"/>
      <c r="P4262" s="18">
        <v>43190.207685185189</v>
      </c>
      <c r="Q4262" s="7"/>
      <c r="R4262" s="7" t="s">
        <v>21743</v>
      </c>
      <c r="S4262" s="8"/>
      <c r="T4262" s="8"/>
      <c r="U4262" s="19" t="str">
        <f>HYPERLINK("https://pbs.twimg.com/profile_images/1092840054953832453/i_ysUsQ1.jpg","View")</f>
        <v>View</v>
      </c>
      <c r="V4262" s="8"/>
      <c r="W4262" s="8"/>
      <c r="X4262" s="8"/>
      <c r="Y4262" s="8"/>
      <c r="Z4262" s="8"/>
    </row>
    <row r="4263" spans="1:26" ht="12.75">
      <c r="A4263" s="11">
        <v>43747.122662037036</v>
      </c>
      <c r="B4263" s="12" t="str">
        <f>HYPERLINK("https://twitter.com/y4hy4cicek","@y4hy4cicek")</f>
        <v>@y4hy4cicek</v>
      </c>
      <c r="C4263" s="7" t="s">
        <v>21744</v>
      </c>
      <c r="D4263" s="7" t="s">
        <v>160</v>
      </c>
      <c r="E4263" s="12" t="str">
        <f>HYPERLINK("https://twitter.com/y4hy4cicek/status/1181871081424064513","1181871081424064513")</f>
        <v>1181871081424064513</v>
      </c>
      <c r="F4263" s="8"/>
      <c r="G4263" s="14" t="s">
        <v>21745</v>
      </c>
      <c r="H4263" s="8"/>
      <c r="I4263" s="15">
        <v>0</v>
      </c>
      <c r="J4263" s="15">
        <v>0</v>
      </c>
      <c r="K4263" s="12" t="str">
        <f>HYPERLINK("http://twitter.com/download/android","Twitter for Android")</f>
        <v>Twitter for Android</v>
      </c>
      <c r="L4263" s="16">
        <v>36</v>
      </c>
      <c r="M4263" s="16">
        <v>73</v>
      </c>
      <c r="N4263" s="16">
        <v>0</v>
      </c>
      <c r="O4263" s="17"/>
      <c r="P4263" s="18">
        <v>43124.599710648152</v>
      </c>
      <c r="Q4263" s="7" t="s">
        <v>2050</v>
      </c>
      <c r="R4263" s="7" t="s">
        <v>21746</v>
      </c>
      <c r="S4263" s="8"/>
      <c r="T4263" s="8"/>
      <c r="U4263" s="19" t="str">
        <f>HYPERLINK("https://pbs.twimg.com/profile_images/1147935408086560769/1keM4DFU.jpg","View")</f>
        <v>View</v>
      </c>
      <c r="V4263" s="8"/>
      <c r="W4263" s="8"/>
      <c r="X4263" s="8"/>
      <c r="Y4263" s="8"/>
      <c r="Z4263" s="8"/>
    </row>
    <row r="4264" spans="1:26" ht="12.75">
      <c r="A4264" s="11">
        <v>43747.122662037036</v>
      </c>
      <c r="B4264" s="12" t="str">
        <f>HYPERLINK("https://twitter.com/hltaydnn","@hltaydnn")</f>
        <v>@hltaydnn</v>
      </c>
      <c r="C4264" s="7" t="s">
        <v>21747</v>
      </c>
      <c r="D4264" s="7" t="s">
        <v>160</v>
      </c>
      <c r="E4264" s="12" t="str">
        <f>HYPERLINK("https://twitter.com/hltaydnn/status/1181871079473721349","1181871079473721349")</f>
        <v>1181871079473721349</v>
      </c>
      <c r="F4264" s="8"/>
      <c r="G4264" s="15"/>
      <c r="H4264" s="8"/>
      <c r="I4264" s="15">
        <v>0</v>
      </c>
      <c r="J4264" s="15">
        <v>0</v>
      </c>
      <c r="K4264" s="12" t="str">
        <f>HYPERLINK("http://twitter.com/download/android","Twitter for Android")</f>
        <v>Twitter for Android</v>
      </c>
      <c r="L4264" s="16">
        <v>256</v>
      </c>
      <c r="M4264" s="16">
        <v>253</v>
      </c>
      <c r="N4264" s="16">
        <v>1</v>
      </c>
      <c r="O4264" s="17"/>
      <c r="P4264" s="18">
        <v>42594.199687500004</v>
      </c>
      <c r="Q4264" s="7"/>
      <c r="R4264" s="7"/>
      <c r="S4264" s="8"/>
      <c r="T4264" s="8"/>
      <c r="U4264" s="19" t="str">
        <f>HYPERLINK("https://pbs.twimg.com/profile_images/879369948665188353/f2CwY-H8.jpg","View")</f>
        <v>View</v>
      </c>
      <c r="V4264" s="8"/>
      <c r="W4264" s="8"/>
      <c r="X4264" s="8"/>
      <c r="Y4264" s="8"/>
      <c r="Z4264" s="8"/>
    </row>
    <row r="4265" spans="1:26" ht="12.75">
      <c r="A4265" s="11">
        <v>43747.122627314813</v>
      </c>
      <c r="B4265" s="12" t="str">
        <f>HYPERLINK("https://twitter.com/ermanvpekkiyici","@ermanvpekkiyici")</f>
        <v>@ermanvpekkiyici</v>
      </c>
      <c r="C4265" s="7" t="s">
        <v>21748</v>
      </c>
      <c r="D4265" s="7" t="s">
        <v>21749</v>
      </c>
      <c r="E4265" s="12" t="str">
        <f>HYPERLINK("https://twitter.com/ermanvpekkiyici/status/1181871066525949952","1181871066525949952")</f>
        <v>1181871066525949952</v>
      </c>
      <c r="F4265" s="8"/>
      <c r="G4265" s="7"/>
      <c r="H4265" s="8"/>
      <c r="I4265" s="15">
        <v>0</v>
      </c>
      <c r="J4265" s="15">
        <v>0</v>
      </c>
      <c r="K4265" s="12" t="str">
        <f>HYPERLINK("http://twitter.com/download/android","Twitter for Android")</f>
        <v>Twitter for Android</v>
      </c>
      <c r="L4265" s="16">
        <v>135</v>
      </c>
      <c r="M4265" s="16">
        <v>345</v>
      </c>
      <c r="N4265" s="16">
        <v>0</v>
      </c>
      <c r="O4265" s="17"/>
      <c r="P4265" s="18">
        <v>41699.924062500002</v>
      </c>
      <c r="Q4265" s="7" t="s">
        <v>21750</v>
      </c>
      <c r="R4265" s="7" t="s">
        <v>21751</v>
      </c>
      <c r="S4265" s="8"/>
      <c r="T4265" s="8"/>
      <c r="U4265" s="19" t="str">
        <f>HYPERLINK("https://pbs.twimg.com/profile_images/1177903741674164224/4AITqhUC.jpg","View")</f>
        <v>View</v>
      </c>
      <c r="V4265" s="8"/>
      <c r="W4265" s="8"/>
      <c r="X4265" s="8"/>
      <c r="Y4265" s="8"/>
      <c r="Z4265" s="8"/>
    </row>
    <row r="4266" spans="1:26" ht="12.75">
      <c r="A4266" s="11">
        <v>43747.122615740736</v>
      </c>
      <c r="B4266" s="12" t="str">
        <f>HYPERLINK("https://twitter.com/Dogukandursn","@Dogukandursn")</f>
        <v>@Dogukandursn</v>
      </c>
      <c r="C4266" s="7" t="s">
        <v>21752</v>
      </c>
      <c r="D4266" s="7" t="s">
        <v>160</v>
      </c>
      <c r="E4266" s="12" t="str">
        <f>HYPERLINK("https://twitter.com/Dogukandursn/status/1181871063107608582","1181871063107608582")</f>
        <v>1181871063107608582</v>
      </c>
      <c r="F4266" s="15"/>
      <c r="G4266" s="14" t="s">
        <v>21753</v>
      </c>
      <c r="H4266" s="8"/>
      <c r="I4266" s="15">
        <v>0</v>
      </c>
      <c r="J4266" s="15">
        <v>0</v>
      </c>
      <c r="K4266" s="12" t="str">
        <f>HYPERLINK("https://mobile.twitter.com","Twitter Web App")</f>
        <v>Twitter Web App</v>
      </c>
      <c r="L4266" s="16">
        <v>18</v>
      </c>
      <c r="M4266" s="16">
        <v>182</v>
      </c>
      <c r="N4266" s="16">
        <v>0</v>
      </c>
      <c r="O4266" s="17"/>
      <c r="P4266" s="18">
        <v>41150.078842592593</v>
      </c>
      <c r="Q4266" s="7"/>
      <c r="R4266" s="7"/>
      <c r="S4266" s="8"/>
      <c r="T4266" s="8"/>
      <c r="U4266" s="19" t="str">
        <f>HYPERLINK("https://pbs.twimg.com/profile_images/1181186755929747457/Sa5Kezc5.jpg","View")</f>
        <v>View</v>
      </c>
      <c r="V4266" s="8"/>
      <c r="W4266" s="8"/>
      <c r="X4266" s="8"/>
      <c r="Y4266" s="8"/>
      <c r="Z4266" s="8"/>
    </row>
    <row r="4267" spans="1:26" ht="12.75">
      <c r="A4267" s="11">
        <v>43747.122604166667</v>
      </c>
      <c r="B4267" s="12" t="str">
        <f>HYPERLINK("https://twitter.com/veyseleser","@veyseleser")</f>
        <v>@veyseleser</v>
      </c>
      <c r="C4267" s="7" t="s">
        <v>21754</v>
      </c>
      <c r="D4267" s="7" t="s">
        <v>21755</v>
      </c>
      <c r="E4267" s="12" t="str">
        <f>HYPERLINK("https://twitter.com/veyseleser/status/1181871060305747968","1181871060305747968")</f>
        <v>1181871060305747968</v>
      </c>
      <c r="F4267" s="8"/>
      <c r="G4267" s="14" t="s">
        <v>21756</v>
      </c>
      <c r="H4267" s="8"/>
      <c r="I4267" s="15">
        <v>0</v>
      </c>
      <c r="J4267" s="15">
        <v>2</v>
      </c>
      <c r="K4267" s="12" t="str">
        <f>HYPERLINK("http://twitter.com/download/android","Twitter for Android")</f>
        <v>Twitter for Android</v>
      </c>
      <c r="L4267" s="16">
        <v>52</v>
      </c>
      <c r="M4267" s="16">
        <v>70</v>
      </c>
      <c r="N4267" s="16">
        <v>0</v>
      </c>
      <c r="O4267" s="17"/>
      <c r="P4267" s="18">
        <v>40840.201365740737</v>
      </c>
      <c r="Q4267" s="7" t="s">
        <v>860</v>
      </c>
      <c r="R4267" s="7" t="s">
        <v>21757</v>
      </c>
      <c r="S4267" s="8"/>
      <c r="T4267" s="8"/>
      <c r="U4267" s="19" t="str">
        <f>HYPERLINK("https://pbs.twimg.com/profile_images/1122973979315200002/eR8d3rA9.jpg","View")</f>
        <v>View</v>
      </c>
      <c r="V4267" s="8"/>
      <c r="W4267" s="8"/>
      <c r="X4267" s="8"/>
      <c r="Y4267" s="8"/>
      <c r="Z4267" s="8"/>
    </row>
    <row r="4268" spans="1:26" ht="12.75">
      <c r="A4268" s="11">
        <v>43747.122372685189</v>
      </c>
      <c r="B4268" s="12" t="str">
        <f>HYPERLINK("https://twitter.com/cengizhan_84","@cengizhan_84")</f>
        <v>@cengizhan_84</v>
      </c>
      <c r="C4268" s="7" t="s">
        <v>21758</v>
      </c>
      <c r="D4268" s="7" t="s">
        <v>21759</v>
      </c>
      <c r="E4268" s="12" t="str">
        <f>HYPERLINK("https://twitter.com/cengizhan_84/status/1181870977782882304","1181870977782882304")</f>
        <v>1181870977782882304</v>
      </c>
      <c r="F4268" s="8"/>
      <c r="G4268" s="14" t="s">
        <v>21760</v>
      </c>
      <c r="H4268" s="8"/>
      <c r="I4268" s="15">
        <v>0</v>
      </c>
      <c r="J4268" s="15">
        <v>0</v>
      </c>
      <c r="K4268" s="12" t="str">
        <f>HYPERLINK("https://mobile.twitter.com","Twitter Web App")</f>
        <v>Twitter Web App</v>
      </c>
      <c r="L4268" s="16">
        <v>2323</v>
      </c>
      <c r="M4268" s="16">
        <v>864</v>
      </c>
      <c r="N4268" s="16">
        <v>17</v>
      </c>
      <c r="O4268" s="17"/>
      <c r="P4268" s="18">
        <v>40912.100069444445</v>
      </c>
      <c r="Q4268" s="7" t="s">
        <v>21761</v>
      </c>
      <c r="R4268" s="7" t="s">
        <v>21762</v>
      </c>
      <c r="S4268" s="8"/>
      <c r="T4268" s="8"/>
      <c r="U4268" s="19" t="str">
        <f>HYPERLINK("https://pbs.twimg.com/profile_images/532520408382074880/8g2POldd.jpeg","View")</f>
        <v>View</v>
      </c>
      <c r="V4268" s="8"/>
      <c r="W4268" s="8"/>
      <c r="X4268" s="8"/>
      <c r="Y4268" s="8"/>
      <c r="Z4268" s="8"/>
    </row>
    <row r="4269" spans="1:26" ht="12.75">
      <c r="A4269" s="11">
        <v>43747.122349537036</v>
      </c>
      <c r="B4269" s="12" t="str">
        <f>HYPERLINK("https://twitter.com/erkanvangolu","@erkanvangolu")</f>
        <v>@erkanvangolu</v>
      </c>
      <c r="C4269" s="7" t="s">
        <v>21763</v>
      </c>
      <c r="D4269" s="7" t="s">
        <v>21764</v>
      </c>
      <c r="E4269" s="12" t="str">
        <f>HYPERLINK("https://twitter.com/erkanvangolu/status/1181870967775223808","1181870967775223808")</f>
        <v>1181870967775223808</v>
      </c>
      <c r="F4269" s="8"/>
      <c r="G4269" s="14" t="s">
        <v>21765</v>
      </c>
      <c r="H4269" s="8"/>
      <c r="I4269" s="15">
        <v>7</v>
      </c>
      <c r="J4269" s="15">
        <v>11</v>
      </c>
      <c r="K4269" s="12" t="str">
        <f>HYPERLINK("http://twitter.com/download/iphone","Twitter for iPhone")</f>
        <v>Twitter for iPhone</v>
      </c>
      <c r="L4269" s="16">
        <v>648</v>
      </c>
      <c r="M4269" s="16">
        <v>48</v>
      </c>
      <c r="N4269" s="16">
        <v>1</v>
      </c>
      <c r="O4269" s="17"/>
      <c r="P4269" s="18">
        <v>40726.519317129627</v>
      </c>
      <c r="Q4269" s="7" t="s">
        <v>200</v>
      </c>
      <c r="R4269" s="7" t="s">
        <v>21766</v>
      </c>
      <c r="S4269" s="8"/>
      <c r="T4269" s="8"/>
      <c r="U4269" s="19" t="str">
        <f>HYPERLINK("https://pbs.twimg.com/profile_images/1171360650502856704/wdvWPIn0.jpg","View")</f>
        <v>View</v>
      </c>
      <c r="V4269" s="8"/>
      <c r="W4269" s="8"/>
      <c r="X4269" s="8"/>
      <c r="Y4269" s="8"/>
      <c r="Z4269" s="8"/>
    </row>
    <row r="4270" spans="1:26" ht="12.75">
      <c r="A4270" s="11">
        <v>43747.12232638889</v>
      </c>
      <c r="B4270" s="12" t="str">
        <f>HYPERLINK("https://twitter.com/sevilbeyaz","@sevilbeyaz")</f>
        <v>@sevilbeyaz</v>
      </c>
      <c r="C4270" s="7" t="s">
        <v>21767</v>
      </c>
      <c r="D4270" s="7" t="s">
        <v>21768</v>
      </c>
      <c r="E4270" s="12" t="str">
        <f>HYPERLINK("https://twitter.com/sevilbeyaz/status/1181870959529205760","1181870959529205760")</f>
        <v>1181870959529205760</v>
      </c>
      <c r="F4270" s="8"/>
      <c r="G4270" s="7"/>
      <c r="H4270" s="8"/>
      <c r="I4270" s="15">
        <v>0</v>
      </c>
      <c r="J4270" s="15">
        <v>0</v>
      </c>
      <c r="K4270" s="12" t="str">
        <f>HYPERLINK("http://twitter.com/download/android","Twitter for Android")</f>
        <v>Twitter for Android</v>
      </c>
      <c r="L4270" s="16">
        <v>26</v>
      </c>
      <c r="M4270" s="16">
        <v>193</v>
      </c>
      <c r="N4270" s="16">
        <v>0</v>
      </c>
      <c r="O4270" s="17"/>
      <c r="P4270" s="18">
        <v>43745.488773148143</v>
      </c>
      <c r="Q4270" s="7" t="s">
        <v>200</v>
      </c>
      <c r="R4270" s="7" t="s">
        <v>21769</v>
      </c>
      <c r="S4270" s="8"/>
      <c r="T4270" s="8"/>
      <c r="U4270" s="19" t="str">
        <f>HYPERLINK("https://pbs.twimg.com/profile_images/1181530262422863872/Isqx-8jt.jpg","View")</f>
        <v>View</v>
      </c>
      <c r="V4270" s="8"/>
      <c r="W4270" s="8"/>
      <c r="X4270" s="8"/>
      <c r="Y4270" s="8"/>
      <c r="Z4270" s="8"/>
    </row>
    <row r="4271" spans="1:26" ht="12.75">
      <c r="A4271" s="11">
        <v>43747.12232638889</v>
      </c>
      <c r="B4271" s="12" t="str">
        <f>HYPERLINK("https://twitter.com/mustafa18597857","@mustafa18597857")</f>
        <v>@mustafa18597857</v>
      </c>
      <c r="C4271" s="7" t="s">
        <v>21770</v>
      </c>
      <c r="D4271" s="7" t="s">
        <v>21771</v>
      </c>
      <c r="E4271" s="12" t="str">
        <f>HYPERLINK("https://twitter.com/mustafa18597857/status/1181870958082174977","1181870958082174977")</f>
        <v>1181870958082174977</v>
      </c>
      <c r="F4271" s="8"/>
      <c r="G4271" s="14" t="s">
        <v>21772</v>
      </c>
      <c r="H4271" s="8"/>
      <c r="I4271" s="15">
        <v>0</v>
      </c>
      <c r="J4271" s="15">
        <v>1</v>
      </c>
      <c r="K4271" s="12" t="str">
        <f>HYPERLINK("http://twitter.com","Twitter Web Client")</f>
        <v>Twitter Web Client</v>
      </c>
      <c r="L4271" s="16">
        <v>3</v>
      </c>
      <c r="M4271" s="16">
        <v>0</v>
      </c>
      <c r="N4271" s="16">
        <v>0</v>
      </c>
      <c r="O4271" s="17"/>
      <c r="P4271" s="18">
        <v>43600.420347222222</v>
      </c>
      <c r="Q4271" s="7" t="s">
        <v>12072</v>
      </c>
      <c r="R4271" s="7" t="s">
        <v>21773</v>
      </c>
      <c r="S4271" s="8"/>
      <c r="T4271" s="8"/>
      <c r="U4271" s="19" t="str">
        <f>HYPERLINK("https://pbs.twimg.com/profile_images/1130845150828146689/5wmwjVd3.jpg","View")</f>
        <v>View</v>
      </c>
      <c r="V4271" s="8"/>
      <c r="W4271" s="8"/>
      <c r="X4271" s="8"/>
      <c r="Y4271" s="8"/>
      <c r="Z4271" s="8"/>
    </row>
    <row r="4272" spans="1:26" ht="12.75">
      <c r="A4272" s="11">
        <v>43747.12228009259</v>
      </c>
      <c r="B4272" s="12" t="str">
        <f>HYPERLINK("https://twitter.com/Aliahin04568191","@Aliahin04568191")</f>
        <v>@Aliahin04568191</v>
      </c>
      <c r="C4272" s="7" t="s">
        <v>21774</v>
      </c>
      <c r="D4272" s="7" t="s">
        <v>21775</v>
      </c>
      <c r="E4272" s="12" t="str">
        <f>HYPERLINK("https://twitter.com/Aliahin04568191/status/1181870943611822081","1181870943611822081")</f>
        <v>1181870943611822081</v>
      </c>
      <c r="F4272" s="8"/>
      <c r="G4272" s="14" t="s">
        <v>21776</v>
      </c>
      <c r="H4272" s="8"/>
      <c r="I4272" s="15">
        <v>0</v>
      </c>
      <c r="J4272" s="15">
        <v>0</v>
      </c>
      <c r="K4272" s="12" t="str">
        <f>HYPERLINK("http://twitter.com/download/android","Twitter for Android")</f>
        <v>Twitter for Android</v>
      </c>
      <c r="L4272" s="16">
        <v>27</v>
      </c>
      <c r="M4272" s="16">
        <v>96</v>
      </c>
      <c r="N4272" s="16">
        <v>0</v>
      </c>
      <c r="O4272" s="17"/>
      <c r="P4272" s="18">
        <v>43728.586006944446</v>
      </c>
      <c r="Q4272" s="7"/>
      <c r="R4272" s="7"/>
      <c r="S4272" s="8"/>
      <c r="T4272" s="8"/>
      <c r="U4272" s="19" t="str">
        <f>HYPERLINK("https://pbs.twimg.com/profile_images/1175154059894018054/BqNeRAV-.jpg","View")</f>
        <v>View</v>
      </c>
      <c r="V4272" s="8"/>
      <c r="W4272" s="8"/>
      <c r="X4272" s="8"/>
      <c r="Y4272" s="8"/>
      <c r="Z4272" s="8"/>
    </row>
    <row r="4273" spans="1:26" ht="12.75">
      <c r="A4273" s="11">
        <v>43747.12226851852</v>
      </c>
      <c r="B4273" s="12" t="str">
        <f>HYPERLINK("https://twitter.com/enes_ucr","@enes_ucr")</f>
        <v>@enes_ucr</v>
      </c>
      <c r="C4273" s="7" t="s">
        <v>21777</v>
      </c>
      <c r="D4273" s="7" t="s">
        <v>21778</v>
      </c>
      <c r="E4273" s="12" t="str">
        <f>HYPERLINK("https://twitter.com/enes_ucr/status/1181870937043603456","1181870937043603456")</f>
        <v>1181870937043603456</v>
      </c>
      <c r="F4273" s="8"/>
      <c r="G4273" s="14" t="s">
        <v>21779</v>
      </c>
      <c r="H4273" s="8"/>
      <c r="I4273" s="15">
        <v>0</v>
      </c>
      <c r="J4273" s="15">
        <v>1</v>
      </c>
      <c r="K4273" s="12" t="str">
        <f>HYPERLINK("http://twitter.com/download/android","Twitter for Android")</f>
        <v>Twitter for Android</v>
      </c>
      <c r="L4273" s="16">
        <v>32</v>
      </c>
      <c r="M4273" s="16">
        <v>48</v>
      </c>
      <c r="N4273" s="16">
        <v>0</v>
      </c>
      <c r="O4273" s="17"/>
      <c r="P4273" s="18">
        <v>41224.097824074073</v>
      </c>
      <c r="Q4273" s="7" t="s">
        <v>21780</v>
      </c>
      <c r="R4273" s="7" t="s">
        <v>21781</v>
      </c>
      <c r="S4273" s="8"/>
      <c r="T4273" s="8"/>
      <c r="U4273" s="19" t="str">
        <f>HYPERLINK("https://pbs.twimg.com/profile_images/1140017009964527623/_sMpCHS_.jpg","View")</f>
        <v>View</v>
      </c>
      <c r="V4273" s="8"/>
      <c r="W4273" s="8"/>
      <c r="X4273" s="8"/>
      <c r="Y4273" s="8"/>
      <c r="Z4273" s="8"/>
    </row>
    <row r="4274" spans="1:26" ht="12.75">
      <c r="A4274" s="11">
        <v>43747.122233796297</v>
      </c>
      <c r="B4274" s="12" t="str">
        <f>HYPERLINK("https://twitter.com/cemnudra","@cemnudra")</f>
        <v>@cemnudra</v>
      </c>
      <c r="C4274" s="7" t="s">
        <v>21782</v>
      </c>
      <c r="D4274" s="7" t="s">
        <v>160</v>
      </c>
      <c r="E4274" s="12" t="str">
        <f>HYPERLINK("https://twitter.com/cemnudra/status/1181870924431314945","1181870924431314945")</f>
        <v>1181870924431314945</v>
      </c>
      <c r="F4274" s="8"/>
      <c r="G4274" s="14" t="s">
        <v>21783</v>
      </c>
      <c r="H4274" s="8"/>
      <c r="I4274" s="15">
        <v>0</v>
      </c>
      <c r="J4274" s="15">
        <v>2</v>
      </c>
      <c r="K4274" s="12" t="str">
        <f>HYPERLINK("http://twitter.com/download/iphone","Twitter for iPhone")</f>
        <v>Twitter for iPhone</v>
      </c>
      <c r="L4274" s="16">
        <v>86</v>
      </c>
      <c r="M4274" s="16">
        <v>242</v>
      </c>
      <c r="N4274" s="16">
        <v>0</v>
      </c>
      <c r="O4274" s="17"/>
      <c r="P4274" s="18">
        <v>40966.28025462963</v>
      </c>
      <c r="Q4274" s="7"/>
      <c r="R4274" s="7" t="s">
        <v>21784</v>
      </c>
      <c r="S4274" s="8"/>
      <c r="T4274" s="8"/>
      <c r="U4274" s="19" t="str">
        <f>HYPERLINK("https://pbs.twimg.com/profile_images/718729139084255232/bvFxXCQG.jpg","View")</f>
        <v>View</v>
      </c>
      <c r="V4274" s="8"/>
      <c r="W4274" s="8"/>
      <c r="X4274" s="8"/>
      <c r="Y4274" s="8"/>
      <c r="Z4274" s="8"/>
    </row>
    <row r="4275" spans="1:26" ht="12.75">
      <c r="A4275" s="11">
        <v>43747.122233796297</v>
      </c>
      <c r="B4275" s="12" t="str">
        <f>HYPERLINK("https://twitter.com/K272306S","@K272306S")</f>
        <v>@K272306S</v>
      </c>
      <c r="C4275" s="7" t="s">
        <v>21785</v>
      </c>
      <c r="D4275" s="7" t="s">
        <v>21786</v>
      </c>
      <c r="E4275" s="12" t="str">
        <f>HYPERLINK("https://twitter.com/K272306S/status/1181870923865055232","1181870923865055232")</f>
        <v>1181870923865055232</v>
      </c>
      <c r="F4275" s="8"/>
      <c r="G4275" s="14" t="s">
        <v>21787</v>
      </c>
      <c r="H4275" s="8"/>
      <c r="I4275" s="15">
        <v>1</v>
      </c>
      <c r="J4275" s="15">
        <v>2</v>
      </c>
      <c r="K4275" s="12" t="str">
        <f>HYPERLINK("http://twitter.com/download/android","Twitter for Android")</f>
        <v>Twitter for Android</v>
      </c>
      <c r="L4275" s="16">
        <v>237</v>
      </c>
      <c r="M4275" s="16">
        <v>57</v>
      </c>
      <c r="N4275" s="16">
        <v>0</v>
      </c>
      <c r="O4275" s="17"/>
      <c r="P4275" s="18">
        <v>43267.038958333331</v>
      </c>
      <c r="Q4275" s="7" t="s">
        <v>21788</v>
      </c>
      <c r="R4275" s="7" t="s">
        <v>21789</v>
      </c>
      <c r="S4275" s="15"/>
      <c r="T4275" s="8"/>
      <c r="U4275" s="19" t="str">
        <f>HYPERLINK("https://pbs.twimg.com/profile_images/1169866119064113159/Ocxag2lU.jpg","View")</f>
        <v>View</v>
      </c>
      <c r="V4275" s="8"/>
      <c r="W4275" s="8"/>
      <c r="X4275" s="8"/>
      <c r="Y4275" s="8"/>
      <c r="Z4275" s="8"/>
    </row>
    <row r="4276" spans="1:26" ht="12.75">
      <c r="A4276" s="11">
        <v>43747.122187500005</v>
      </c>
      <c r="B4276" s="12" t="str">
        <f>HYPERLINK("https://twitter.com/Slmgnr53","@Slmgnr53")</f>
        <v>@Slmgnr53</v>
      </c>
      <c r="C4276" s="7" t="s">
        <v>21790</v>
      </c>
      <c r="D4276" s="7" t="s">
        <v>21791</v>
      </c>
      <c r="E4276" s="12" t="str">
        <f>HYPERLINK("https://twitter.com/Slmgnr53/status/1181870908295786496","1181870908295786496")</f>
        <v>1181870908295786496</v>
      </c>
      <c r="F4276" s="8"/>
      <c r="G4276" s="15"/>
      <c r="H4276" s="8"/>
      <c r="I4276" s="15">
        <v>0</v>
      </c>
      <c r="J4276" s="15">
        <v>2</v>
      </c>
      <c r="K4276" s="12" t="str">
        <f>HYPERLINK("http://twitter.com/download/android","Twitter for Android")</f>
        <v>Twitter for Android</v>
      </c>
      <c r="L4276" s="16">
        <v>704</v>
      </c>
      <c r="M4276" s="16">
        <v>743</v>
      </c>
      <c r="N4276" s="16">
        <v>0</v>
      </c>
      <c r="O4276" s="20"/>
      <c r="P4276" s="18">
        <v>43656.076145833329</v>
      </c>
      <c r="Q4276" s="7" t="s">
        <v>69</v>
      </c>
      <c r="R4276" s="7" t="s">
        <v>21792</v>
      </c>
      <c r="S4276" s="14" t="s">
        <v>21793</v>
      </c>
      <c r="T4276" s="8"/>
      <c r="U4276" s="19" t="str">
        <f>HYPERLINK("https://pbs.twimg.com/profile_images/1148975906209357824/I2C8aUE8.png","View")</f>
        <v>View</v>
      </c>
      <c r="V4276" s="8"/>
      <c r="W4276" s="8"/>
      <c r="X4276" s="8"/>
      <c r="Y4276" s="8"/>
      <c r="Z4276" s="8"/>
    </row>
    <row r="4277" spans="1:26" ht="12.75">
      <c r="A4277" s="11">
        <v>43747.122175925921</v>
      </c>
      <c r="B4277" s="12" t="str">
        <f>HYPERLINK("https://twitter.com/metehan_eken","@metehan_eken")</f>
        <v>@metehan_eken</v>
      </c>
      <c r="C4277" s="7" t="s">
        <v>21794</v>
      </c>
      <c r="D4277" s="7" t="s">
        <v>21795</v>
      </c>
      <c r="E4277" s="12" t="str">
        <f>HYPERLINK("https://twitter.com/metehan_eken/status/1181870906689425408","1181870906689425408")</f>
        <v>1181870906689425408</v>
      </c>
      <c r="F4277" s="8"/>
      <c r="G4277" s="15"/>
      <c r="H4277" s="8"/>
      <c r="I4277" s="15">
        <v>0</v>
      </c>
      <c r="J4277" s="15">
        <v>1</v>
      </c>
      <c r="K4277" s="12" t="str">
        <f>HYPERLINK("http://twitter.com/download/iphone","Twitter for iPhone")</f>
        <v>Twitter for iPhone</v>
      </c>
      <c r="L4277" s="16">
        <v>16</v>
      </c>
      <c r="M4277" s="16">
        <v>95</v>
      </c>
      <c r="N4277" s="16">
        <v>0</v>
      </c>
      <c r="O4277" s="17"/>
      <c r="P4277" s="18">
        <v>43425.291122685187</v>
      </c>
      <c r="Q4277" s="7" t="s">
        <v>21796</v>
      </c>
      <c r="R4277" s="7"/>
      <c r="S4277" s="15"/>
      <c r="T4277" s="8"/>
      <c r="U4277" s="19" t="str">
        <f>HYPERLINK("https://pbs.twimg.com/profile_images/1181167686442786821/UqXPUzMO.jpg","View")</f>
        <v>View</v>
      </c>
      <c r="V4277" s="8"/>
      <c r="W4277" s="8"/>
      <c r="X4277" s="8"/>
      <c r="Y4277" s="8"/>
      <c r="Z4277" s="8"/>
    </row>
    <row r="4278" spans="1:26" ht="12.75">
      <c r="A4278" s="11">
        <v>43747.122083333335</v>
      </c>
      <c r="B4278" s="12" t="str">
        <f>HYPERLINK("https://twitter.com/FatihKayaoglu93","@FatihKayaoglu93")</f>
        <v>@FatihKayaoglu93</v>
      </c>
      <c r="C4278" s="7" t="s">
        <v>21797</v>
      </c>
      <c r="D4278" s="7" t="s">
        <v>21798</v>
      </c>
      <c r="E4278" s="12" t="str">
        <f>HYPERLINK("https://twitter.com/FatihKayaoglu93/status/1181870869657849857","1181870869657849857")</f>
        <v>1181870869657849857</v>
      </c>
      <c r="F4278" s="8"/>
      <c r="G4278" s="7"/>
      <c r="H4278" s="8"/>
      <c r="I4278" s="15">
        <v>0</v>
      </c>
      <c r="J4278" s="15">
        <v>2</v>
      </c>
      <c r="K4278" s="12" t="str">
        <f>HYPERLINK("http://twitter.com/download/android","Twitter for Android")</f>
        <v>Twitter for Android</v>
      </c>
      <c r="L4278" s="16">
        <v>11</v>
      </c>
      <c r="M4278" s="16">
        <v>80</v>
      </c>
      <c r="N4278" s="16">
        <v>0</v>
      </c>
      <c r="O4278" s="17"/>
      <c r="P4278" s="18">
        <v>43601.228356481486</v>
      </c>
      <c r="Q4278" s="7"/>
      <c r="R4278" s="7" t="s">
        <v>21799</v>
      </c>
      <c r="S4278" s="8"/>
      <c r="T4278" s="8"/>
      <c r="U4278" s="19" t="str">
        <f>HYPERLINK("https://pbs.twimg.com/profile_images/1129005429575626752/1rZx5L47.jpg","View")</f>
        <v>View</v>
      </c>
      <c r="V4278" s="8"/>
      <c r="W4278" s="8"/>
      <c r="X4278" s="8"/>
      <c r="Y4278" s="8"/>
      <c r="Z4278" s="8"/>
    </row>
    <row r="4279" spans="1:26" ht="12.75">
      <c r="A4279" s="11">
        <v>43747.122037037036</v>
      </c>
      <c r="B4279" s="12" t="str">
        <f>HYPERLINK("https://twitter.com/Gamzedeyimm","@Gamzedeyimm")</f>
        <v>@Gamzedeyimm</v>
      </c>
      <c r="C4279" s="7" t="s">
        <v>21800</v>
      </c>
      <c r="D4279" s="7" t="s">
        <v>21801</v>
      </c>
      <c r="E4279" s="12" t="str">
        <f>HYPERLINK("https://twitter.com/Gamzedeyimm/status/1181870854776541187","1181870854776541187")</f>
        <v>1181870854776541187</v>
      </c>
      <c r="F4279" s="8"/>
      <c r="G4279" s="7"/>
      <c r="H4279" s="8"/>
      <c r="I4279" s="15">
        <v>0</v>
      </c>
      <c r="J4279" s="15">
        <v>7</v>
      </c>
      <c r="K4279" s="12" t="str">
        <f>HYPERLINK("http://twitter.com/download/iphone","Twitter for iPhone")</f>
        <v>Twitter for iPhone</v>
      </c>
      <c r="L4279" s="16">
        <v>5558</v>
      </c>
      <c r="M4279" s="16">
        <v>4666</v>
      </c>
      <c r="N4279" s="16">
        <v>4</v>
      </c>
      <c r="O4279" s="17"/>
      <c r="P4279" s="18">
        <v>40684.548692129625</v>
      </c>
      <c r="Q4279" s="7" t="s">
        <v>576</v>
      </c>
      <c r="R4279" s="7"/>
      <c r="S4279" s="8"/>
      <c r="T4279" s="8"/>
      <c r="U4279" s="19" t="str">
        <f>HYPERLINK("https://pbs.twimg.com/profile_images/556170405040623616/66Hwy0xo.jpeg","View")</f>
        <v>View</v>
      </c>
      <c r="V4279" s="8"/>
      <c r="W4279" s="8"/>
      <c r="X4279" s="8"/>
      <c r="Y4279" s="8"/>
      <c r="Z4279" s="8"/>
    </row>
    <row r="4280" spans="1:26" ht="12.75">
      <c r="A4280" s="11">
        <v>43747.121990740736</v>
      </c>
      <c r="B4280" s="12" t="str">
        <f>HYPERLINK("https://twitter.com/kalpakcii","@kalpakcii")</f>
        <v>@kalpakcii</v>
      </c>
      <c r="C4280" s="7" t="s">
        <v>21802</v>
      </c>
      <c r="D4280" s="7" t="s">
        <v>160</v>
      </c>
      <c r="E4280" s="12" t="str">
        <f>HYPERLINK("https://twitter.com/kalpakcii/status/1181870839777628160","1181870839777628160")</f>
        <v>1181870839777628160</v>
      </c>
      <c r="F4280" s="8"/>
      <c r="G4280" s="15"/>
      <c r="H4280" s="8"/>
      <c r="I4280" s="15">
        <v>0</v>
      </c>
      <c r="J4280" s="15">
        <v>1</v>
      </c>
      <c r="K4280" s="12" t="str">
        <f>HYPERLINK("http://twitter.com/download/android","Twitter for Android")</f>
        <v>Twitter for Android</v>
      </c>
      <c r="L4280" s="16">
        <v>55</v>
      </c>
      <c r="M4280" s="16">
        <v>98</v>
      </c>
      <c r="N4280" s="16">
        <v>0</v>
      </c>
      <c r="O4280" s="17"/>
      <c r="P4280" s="18">
        <v>43043.504108796296</v>
      </c>
      <c r="Q4280" s="7" t="s">
        <v>1748</v>
      </c>
      <c r="R4280" s="7" t="s">
        <v>21803</v>
      </c>
      <c r="S4280" s="8"/>
      <c r="T4280" s="8"/>
      <c r="U4280" s="19" t="str">
        <f>HYPERLINK("https://pbs.twimg.com/profile_images/1181677450113228800/muy_o5Hf.jpg","View")</f>
        <v>View</v>
      </c>
      <c r="V4280" s="8"/>
      <c r="W4280" s="8"/>
      <c r="X4280" s="8"/>
      <c r="Y4280" s="8"/>
      <c r="Z4280" s="8"/>
    </row>
    <row r="4281" spans="1:26" ht="12.75">
      <c r="A4281" s="11">
        <v>43747.121967592597</v>
      </c>
      <c r="B4281" s="12" t="str">
        <f>HYPERLINK("https://twitter.com/CKucukpolat","@CKucukpolat")</f>
        <v>@CKucukpolat</v>
      </c>
      <c r="C4281" s="7" t="s">
        <v>21804</v>
      </c>
      <c r="D4281" s="7" t="s">
        <v>21805</v>
      </c>
      <c r="E4281" s="12" t="str">
        <f>HYPERLINK("https://twitter.com/CKucukpolat/status/1181870827861630977","1181870827861630977")</f>
        <v>1181870827861630977</v>
      </c>
      <c r="F4281" s="15"/>
      <c r="G4281" s="14" t="s">
        <v>21806</v>
      </c>
      <c r="H4281" s="8"/>
      <c r="I4281" s="15">
        <v>1</v>
      </c>
      <c r="J4281" s="15">
        <v>4</v>
      </c>
      <c r="K4281" s="12" t="str">
        <f>HYPERLINK("http://twitter.com/download/android","Twitter for Android")</f>
        <v>Twitter for Android</v>
      </c>
      <c r="L4281" s="16">
        <v>182</v>
      </c>
      <c r="M4281" s="16">
        <v>214</v>
      </c>
      <c r="N4281" s="16">
        <v>1</v>
      </c>
      <c r="O4281" s="17"/>
      <c r="P4281" s="18">
        <v>42678.458912037036</v>
      </c>
      <c r="Q4281" s="7" t="s">
        <v>8902</v>
      </c>
      <c r="R4281" s="7" t="s">
        <v>21807</v>
      </c>
      <c r="S4281" s="8"/>
      <c r="T4281" s="8"/>
      <c r="U4281" s="19" t="str">
        <f>HYPERLINK("https://pbs.twimg.com/profile_images/944514553508966401/ZQfEhoIx.jpg","View")</f>
        <v>View</v>
      </c>
      <c r="V4281" s="8"/>
      <c r="W4281" s="8"/>
      <c r="X4281" s="8"/>
      <c r="Y4281" s="8"/>
      <c r="Z4281" s="8"/>
    </row>
    <row r="4282" spans="1:26" ht="12.75">
      <c r="A4282" s="11">
        <v>43747.121944444443</v>
      </c>
      <c r="B4282" s="12" t="str">
        <f>HYPERLINK("https://twitter.com/BulusluEnes","@BulusluEnes")</f>
        <v>@BulusluEnes</v>
      </c>
      <c r="C4282" s="7" t="s">
        <v>21808</v>
      </c>
      <c r="D4282" s="7" t="s">
        <v>21809</v>
      </c>
      <c r="E4282" s="12" t="str">
        <f>HYPERLINK("https://twitter.com/BulusluEnes/status/1181870821939253254","1181870821939253254")</f>
        <v>1181870821939253254</v>
      </c>
      <c r="F4282" s="8"/>
      <c r="G4282" s="15"/>
      <c r="H4282" s="8"/>
      <c r="I4282" s="15">
        <v>0</v>
      </c>
      <c r="J4282" s="15">
        <v>3</v>
      </c>
      <c r="K4282" s="12" t="str">
        <f>HYPERLINK("http://twitter.com/download/android","Twitter for Android")</f>
        <v>Twitter for Android</v>
      </c>
      <c r="L4282" s="16">
        <v>27</v>
      </c>
      <c r="M4282" s="16">
        <v>49</v>
      </c>
      <c r="N4282" s="16">
        <v>0</v>
      </c>
      <c r="O4282" s="17"/>
      <c r="P4282" s="18">
        <v>43406.147199074076</v>
      </c>
      <c r="Q4282" s="7"/>
      <c r="R4282" s="7"/>
      <c r="S4282" s="8"/>
      <c r="T4282" s="8"/>
      <c r="U4282" s="19" t="str">
        <f>HYPERLINK("https://pbs.twimg.com/profile_images/1133910146512539648/05lkpYm4.jpg","View")</f>
        <v>View</v>
      </c>
      <c r="V4282" s="8"/>
      <c r="W4282" s="8"/>
      <c r="X4282" s="8"/>
      <c r="Y4282" s="8"/>
      <c r="Z4282" s="8"/>
    </row>
    <row r="4283" spans="1:26" ht="12.75">
      <c r="A4283" s="11">
        <v>43747.121944444443</v>
      </c>
      <c r="B4283" s="12" t="str">
        <f>HYPERLINK("https://twitter.com/engineer__turk","@engineer__turk")</f>
        <v>@engineer__turk</v>
      </c>
      <c r="C4283" s="7" t="s">
        <v>21810</v>
      </c>
      <c r="D4283" s="7" t="s">
        <v>160</v>
      </c>
      <c r="E4283" s="12" t="str">
        <f>HYPERLINK("https://twitter.com/engineer__turk/status/1181870821565968387","1181870821565968387")</f>
        <v>1181870821565968387</v>
      </c>
      <c r="F4283" s="8"/>
      <c r="G4283" s="14" t="s">
        <v>21811</v>
      </c>
      <c r="H4283" s="8"/>
      <c r="I4283" s="15">
        <v>0</v>
      </c>
      <c r="J4283" s="15">
        <v>2</v>
      </c>
      <c r="K4283" s="12" t="str">
        <f>HYPERLINK("http://twitter.com/download/android","Twitter for Android")</f>
        <v>Twitter for Android</v>
      </c>
      <c r="L4283" s="16">
        <v>43</v>
      </c>
      <c r="M4283" s="16">
        <v>56</v>
      </c>
      <c r="N4283" s="16">
        <v>0</v>
      </c>
      <c r="O4283" s="17"/>
      <c r="P4283" s="18">
        <v>42972.271504629629</v>
      </c>
      <c r="Q4283" s="7" t="s">
        <v>21812</v>
      </c>
      <c r="R4283" s="7" t="s">
        <v>21813</v>
      </c>
      <c r="S4283" s="8"/>
      <c r="T4283" s="8"/>
      <c r="U4283" s="19" t="str">
        <f>HYPERLINK("https://pbs.twimg.com/profile_images/1157556129414746112/Cuudj5VN.jpg","View")</f>
        <v>View</v>
      </c>
      <c r="V4283" s="8"/>
      <c r="W4283" s="8"/>
      <c r="X4283" s="8"/>
      <c r="Y4283" s="8"/>
      <c r="Z4283" s="8"/>
    </row>
    <row r="4284" spans="1:26" ht="12.75">
      <c r="A4284" s="11">
        <v>43747.121932870374</v>
      </c>
      <c r="B4284" s="12" t="str">
        <f>HYPERLINK("https://twitter.com/guzelosmn","@guzelosmn")</f>
        <v>@guzelosmn</v>
      </c>
      <c r="C4284" s="7" t="s">
        <v>21814</v>
      </c>
      <c r="D4284" s="7" t="s">
        <v>12551</v>
      </c>
      <c r="E4284" s="12" t="str">
        <f>HYPERLINK("https://twitter.com/guzelosmn/status/1181870815945658368","1181870815945658368")</f>
        <v>1181870815945658368</v>
      </c>
      <c r="F4284" s="8"/>
      <c r="G4284" s="14" t="s">
        <v>21815</v>
      </c>
      <c r="H4284" s="8"/>
      <c r="I4284" s="15">
        <v>0</v>
      </c>
      <c r="J4284" s="15">
        <v>1</v>
      </c>
      <c r="K4284" s="12" t="str">
        <f>HYPERLINK("http://twitter.com/download/android","Twitter for Android")</f>
        <v>Twitter for Android</v>
      </c>
      <c r="L4284" s="16">
        <v>122</v>
      </c>
      <c r="M4284" s="16">
        <v>126</v>
      </c>
      <c r="N4284" s="16">
        <v>0</v>
      </c>
      <c r="O4284" s="17"/>
      <c r="P4284" s="18">
        <v>41637.028749999998</v>
      </c>
      <c r="Q4284" s="7"/>
      <c r="R4284" s="7" t="s">
        <v>21816</v>
      </c>
      <c r="S4284" s="15"/>
      <c r="T4284" s="8"/>
      <c r="U4284" s="19" t="str">
        <f>HYPERLINK("https://pbs.twimg.com/profile_images/1117516696686944258/spEyz2H7.jpg","View")</f>
        <v>View</v>
      </c>
      <c r="V4284" s="8"/>
      <c r="W4284" s="8"/>
      <c r="X4284" s="8"/>
      <c r="Y4284" s="8"/>
      <c r="Z4284" s="8"/>
    </row>
    <row r="4285" spans="1:26" ht="12.75">
      <c r="A4285" s="11">
        <v>43747.121851851851</v>
      </c>
      <c r="B4285" s="12" t="str">
        <f>HYPERLINK("https://twitter.com/AslandasBehzat","@AslandasBehzat")</f>
        <v>@AslandasBehzat</v>
      </c>
      <c r="C4285" s="7" t="s">
        <v>21817</v>
      </c>
      <c r="D4285" s="7" t="s">
        <v>16898</v>
      </c>
      <c r="E4285" s="12" t="str">
        <f>HYPERLINK("https://twitter.com/AslandasBehzat/status/1181870789081083904","1181870789081083904")</f>
        <v>1181870789081083904</v>
      </c>
      <c r="F4285" s="15"/>
      <c r="G4285" s="15"/>
      <c r="H4285" s="8"/>
      <c r="I4285" s="15">
        <v>0</v>
      </c>
      <c r="J4285" s="15">
        <v>0</v>
      </c>
      <c r="K4285" s="12" t="str">
        <f>HYPERLINK("http://twitter.com","Twitter Web Client")</f>
        <v>Twitter Web Client</v>
      </c>
      <c r="L4285" s="16">
        <v>11</v>
      </c>
      <c r="M4285" s="16">
        <v>0</v>
      </c>
      <c r="N4285" s="16">
        <v>0</v>
      </c>
      <c r="O4285" s="17"/>
      <c r="P4285" s="18">
        <v>43639.712349537032</v>
      </c>
      <c r="Q4285" s="7" t="s">
        <v>20619</v>
      </c>
      <c r="R4285" s="7" t="s">
        <v>21818</v>
      </c>
      <c r="S4285" s="8"/>
      <c r="T4285" s="8"/>
      <c r="U4285" s="19" t="str">
        <f>HYPERLINK("https://pbs.twimg.com/profile_images/1143820708562251777/5F40xxik.jpg","View")</f>
        <v>View</v>
      </c>
      <c r="V4285" s="8"/>
      <c r="W4285" s="8"/>
      <c r="X4285" s="8"/>
      <c r="Y4285" s="8"/>
      <c r="Z4285" s="8"/>
    </row>
    <row r="4286" spans="1:26" ht="12.75">
      <c r="A4286" s="11">
        <v>43747.121851851851</v>
      </c>
      <c r="B4286" s="12" t="str">
        <f>HYPERLINK("https://twitter.com/erlaltnbs","@erlaltnbs")</f>
        <v>@erlaltnbs</v>
      </c>
      <c r="C4286" s="7" t="s">
        <v>21819</v>
      </c>
      <c r="D4286" s="7" t="s">
        <v>21820</v>
      </c>
      <c r="E4286" s="12" t="str">
        <f>HYPERLINK("https://twitter.com/erlaltnbs/status/1181870788540063744","1181870788540063744")</f>
        <v>1181870788540063744</v>
      </c>
      <c r="F4286" s="15"/>
      <c r="G4286" s="15"/>
      <c r="H4286" s="8"/>
      <c r="I4286" s="15">
        <v>0</v>
      </c>
      <c r="J4286" s="15">
        <v>1</v>
      </c>
      <c r="K4286" s="12" t="str">
        <f>HYPERLINK("http://twitter.com/download/android","Twitter for Android")</f>
        <v>Twitter for Android</v>
      </c>
      <c r="L4286" s="16">
        <v>52</v>
      </c>
      <c r="M4286" s="16">
        <v>189</v>
      </c>
      <c r="N4286" s="16">
        <v>0</v>
      </c>
      <c r="O4286" s="17"/>
      <c r="P4286" s="18">
        <v>40050.188125000001</v>
      </c>
      <c r="Q4286" s="7"/>
      <c r="R4286" s="7" t="s">
        <v>21821</v>
      </c>
      <c r="S4286" s="8"/>
      <c r="T4286" s="8"/>
      <c r="U4286" s="19" t="str">
        <f>HYPERLINK("https://pbs.twimg.com/profile_images/1102656962485997569/MTvticZ2.jpg","View")</f>
        <v>View</v>
      </c>
      <c r="V4286" s="8"/>
      <c r="W4286" s="8"/>
      <c r="X4286" s="8"/>
      <c r="Y4286" s="8"/>
      <c r="Z4286" s="8"/>
    </row>
    <row r="4287" spans="1:26" ht="12.75">
      <c r="A4287" s="11">
        <v>43747.121828703705</v>
      </c>
      <c r="B4287" s="12" t="str">
        <f>HYPERLINK("https://twitter.com/BayginEmre","@BayginEmre")</f>
        <v>@BayginEmre</v>
      </c>
      <c r="C4287" s="7" t="s">
        <v>21822</v>
      </c>
      <c r="D4287" s="7" t="s">
        <v>160</v>
      </c>
      <c r="E4287" s="12" t="str">
        <f>HYPERLINK("https://twitter.com/BayginEmre/status/1181870779828510720","1181870779828510720")</f>
        <v>1181870779828510720</v>
      </c>
      <c r="F4287" s="8"/>
      <c r="G4287" s="14" t="s">
        <v>21823</v>
      </c>
      <c r="H4287" s="8"/>
      <c r="I4287" s="15">
        <v>0</v>
      </c>
      <c r="J4287" s="15">
        <v>1</v>
      </c>
      <c r="K4287" s="12" t="str">
        <f>HYPERLINK("https://mobile.twitter.com","Twitter Web App")</f>
        <v>Twitter Web App</v>
      </c>
      <c r="L4287" s="16">
        <v>3</v>
      </c>
      <c r="M4287" s="16">
        <v>8</v>
      </c>
      <c r="N4287" s="16">
        <v>0</v>
      </c>
      <c r="O4287" s="17"/>
      <c r="P4287" s="18">
        <v>43629.288773148146</v>
      </c>
      <c r="Q4287" s="7"/>
      <c r="R4287" s="7"/>
      <c r="S4287" s="15"/>
      <c r="T4287" s="8"/>
      <c r="U4287" s="20" t="s">
        <v>354</v>
      </c>
      <c r="V4287" s="8"/>
      <c r="W4287" s="8"/>
      <c r="X4287" s="8"/>
      <c r="Y4287" s="8"/>
      <c r="Z4287" s="8"/>
    </row>
    <row r="4288" spans="1:26" ht="12.75">
      <c r="A4288" s="11">
        <v>43747.121759259258</v>
      </c>
      <c r="B4288" s="12" t="str">
        <f>HYPERLINK("https://twitter.com/FurkannOner","@FurkannOner")</f>
        <v>@FurkannOner</v>
      </c>
      <c r="C4288" s="7" t="s">
        <v>21825</v>
      </c>
      <c r="D4288" s="7" t="s">
        <v>21826</v>
      </c>
      <c r="E4288" s="12" t="str">
        <f>HYPERLINK("https://twitter.com/FurkannOner/status/1181870755757342720","1181870755757342720")</f>
        <v>1181870755757342720</v>
      </c>
      <c r="F4288" s="8"/>
      <c r="G4288" s="7"/>
      <c r="H4288" s="8"/>
      <c r="I4288" s="15">
        <v>1</v>
      </c>
      <c r="J4288" s="15">
        <v>1</v>
      </c>
      <c r="K4288" s="12" t="str">
        <f>HYPERLINK("http://twitter.com/download/iphone","Twitter for iPhone")</f>
        <v>Twitter for iPhone</v>
      </c>
      <c r="L4288" s="16">
        <v>101</v>
      </c>
      <c r="M4288" s="16">
        <v>241</v>
      </c>
      <c r="N4288" s="16">
        <v>0</v>
      </c>
      <c r="O4288" s="17"/>
      <c r="P4288" s="18">
        <v>40754.289664351854</v>
      </c>
      <c r="Q4288" s="7" t="s">
        <v>898</v>
      </c>
      <c r="R4288" s="7" t="s">
        <v>21827</v>
      </c>
      <c r="S4288" s="8"/>
      <c r="T4288" s="8"/>
      <c r="U4288" s="19" t="str">
        <f>HYPERLINK("https://pbs.twimg.com/profile_images/744127413475549184/9J-cPawR.jpg","View")</f>
        <v>View</v>
      </c>
      <c r="V4288" s="8"/>
      <c r="W4288" s="8"/>
      <c r="X4288" s="8"/>
      <c r="Y4288" s="8"/>
      <c r="Z4288" s="8"/>
    </row>
    <row r="4289" spans="1:26" ht="12.75">
      <c r="A4289" s="11">
        <v>43747.121712962966</v>
      </c>
      <c r="B4289" s="12" t="str">
        <f>HYPERLINK("https://twitter.com/omaraciz","@omaraciz")</f>
        <v>@omaraciz</v>
      </c>
      <c r="C4289" s="7" t="s">
        <v>21828</v>
      </c>
      <c r="D4289" s="7" t="s">
        <v>160</v>
      </c>
      <c r="E4289" s="12" t="str">
        <f>HYPERLINK("https://twitter.com/omaraciz/status/1181870737562492928","1181870737562492928")</f>
        <v>1181870737562492928</v>
      </c>
      <c r="F4289" s="8"/>
      <c r="G4289" s="14" t="s">
        <v>21829</v>
      </c>
      <c r="H4289" s="8"/>
      <c r="I4289" s="15">
        <v>1</v>
      </c>
      <c r="J4289" s="15">
        <v>2</v>
      </c>
      <c r="K4289" s="12" t="str">
        <f>HYPERLINK("http://twitter.com/download/android","Twitter for Android")</f>
        <v>Twitter for Android</v>
      </c>
      <c r="L4289" s="16">
        <v>2438</v>
      </c>
      <c r="M4289" s="16">
        <v>2032</v>
      </c>
      <c r="N4289" s="16">
        <v>2</v>
      </c>
      <c r="O4289" s="17"/>
      <c r="P4289" s="18">
        <v>40290.128634259258</v>
      </c>
      <c r="Q4289" s="7"/>
      <c r="R4289" s="7" t="s">
        <v>21830</v>
      </c>
      <c r="S4289" s="15"/>
      <c r="T4289" s="8"/>
      <c r="U4289" s="19" t="str">
        <f>HYPERLINK("https://pbs.twimg.com/profile_images/1181869970428502016/Wfo2yHid.jpg","View")</f>
        <v>View</v>
      </c>
      <c r="V4289" s="8"/>
      <c r="W4289" s="8"/>
      <c r="X4289" s="8"/>
      <c r="Y4289" s="8"/>
      <c r="Z4289" s="8"/>
    </row>
    <row r="4290" spans="1:26" ht="12.75">
      <c r="A4290" s="11">
        <v>43747.121689814812</v>
      </c>
      <c r="B4290" s="12" t="str">
        <f>HYPERLINK("https://twitter.com/erdtekin","@erdtekin")</f>
        <v>@erdtekin</v>
      </c>
      <c r="C4290" s="7" t="s">
        <v>21831</v>
      </c>
      <c r="D4290" s="7" t="s">
        <v>21832</v>
      </c>
      <c r="E4290" s="12" t="str">
        <f>HYPERLINK("https://twitter.com/erdtekin/status/1181870729459126272","1181870729459126272")</f>
        <v>1181870729459126272</v>
      </c>
      <c r="F4290" s="8"/>
      <c r="G4290" s="7"/>
      <c r="H4290" s="8"/>
      <c r="I4290" s="15">
        <v>1</v>
      </c>
      <c r="J4290" s="15">
        <v>6</v>
      </c>
      <c r="K4290" s="12" t="str">
        <f>HYPERLINK("http://twitter.com/download/iphone","Twitter for iPhone")</f>
        <v>Twitter for iPhone</v>
      </c>
      <c r="L4290" s="16">
        <v>17116</v>
      </c>
      <c r="M4290" s="16">
        <v>16794</v>
      </c>
      <c r="N4290" s="16">
        <v>7</v>
      </c>
      <c r="O4290" s="17"/>
      <c r="P4290" s="18">
        <v>41140.224675925929</v>
      </c>
      <c r="Q4290" s="7" t="s">
        <v>200</v>
      </c>
      <c r="R4290" s="7" t="s">
        <v>21833</v>
      </c>
      <c r="S4290" s="14" t="s">
        <v>19204</v>
      </c>
      <c r="T4290" s="8"/>
      <c r="U4290" s="19" t="str">
        <f>HYPERLINK("https://pbs.twimg.com/profile_images/1162431689819340800/WbZN-s7w.jpg","View")</f>
        <v>View</v>
      </c>
      <c r="V4290" s="8"/>
      <c r="W4290" s="8"/>
      <c r="X4290" s="8"/>
      <c r="Y4290" s="8"/>
      <c r="Z4290" s="8"/>
    </row>
    <row r="4291" spans="1:26" ht="12.75">
      <c r="A4291" s="11">
        <v>43747.121689814812</v>
      </c>
      <c r="B4291" s="12" t="str">
        <f>HYPERLINK("https://twitter.com/rizelivezirr53","@rizelivezirr53")</f>
        <v>@rizelivezirr53</v>
      </c>
      <c r="C4291" s="7" t="s">
        <v>21834</v>
      </c>
      <c r="D4291" s="7" t="s">
        <v>21835</v>
      </c>
      <c r="E4291" s="12" t="str">
        <f>HYPERLINK("https://twitter.com/rizelivezirr53/status/1181870727970078722","1181870727970078722")</f>
        <v>1181870727970078722</v>
      </c>
      <c r="F4291" s="8"/>
      <c r="G4291" s="15"/>
      <c r="H4291" s="8"/>
      <c r="I4291" s="15">
        <v>0</v>
      </c>
      <c r="J4291" s="15">
        <v>3</v>
      </c>
      <c r="K4291" s="12" t="str">
        <f>HYPERLINK("http://twitter.com/download/android","Twitter for Android")</f>
        <v>Twitter for Android</v>
      </c>
      <c r="L4291" s="16">
        <v>10198</v>
      </c>
      <c r="M4291" s="16">
        <v>10168</v>
      </c>
      <c r="N4291" s="16">
        <v>1</v>
      </c>
      <c r="O4291" s="17"/>
      <c r="P4291" s="18">
        <v>41640.129375000004</v>
      </c>
      <c r="Q4291" s="7" t="s">
        <v>2712</v>
      </c>
      <c r="R4291" s="7" t="s">
        <v>21836</v>
      </c>
      <c r="S4291" s="14" t="s">
        <v>21837</v>
      </c>
      <c r="T4291" s="8"/>
      <c r="U4291" s="19" t="str">
        <f>HYPERLINK("https://pbs.twimg.com/profile_images/1168970935816396801/drxg24q4.jpg","View")</f>
        <v>View</v>
      </c>
      <c r="V4291" s="8"/>
      <c r="W4291" s="8"/>
      <c r="X4291" s="8"/>
      <c r="Y4291" s="8"/>
      <c r="Z4291" s="8"/>
    </row>
    <row r="4292" spans="1:26" ht="12.75">
      <c r="A4292" s="11">
        <v>43747.121678240743</v>
      </c>
      <c r="B4292" s="12" t="str">
        <f>HYPERLINK("https://twitter.com/LankusKar","@LankusKar")</f>
        <v>@LankusKar</v>
      </c>
      <c r="C4292" s="7" t="s">
        <v>21838</v>
      </c>
      <c r="D4292" s="7" t="s">
        <v>18805</v>
      </c>
      <c r="E4292" s="12" t="str">
        <f>HYPERLINK("https://twitter.com/LankusKar/status/1181870725327724544","1181870725327724544")</f>
        <v>1181870725327724544</v>
      </c>
      <c r="F4292" s="8"/>
      <c r="G4292" s="14" t="s">
        <v>21839</v>
      </c>
      <c r="H4292" s="8"/>
      <c r="I4292" s="15">
        <v>0</v>
      </c>
      <c r="J4292" s="15">
        <v>1</v>
      </c>
      <c r="K4292" s="12" t="str">
        <f>HYPERLINK("http://twitter.com/download/iphone","Twitter for iPhone")</f>
        <v>Twitter for iPhone</v>
      </c>
      <c r="L4292" s="16">
        <v>16</v>
      </c>
      <c r="M4292" s="16">
        <v>71</v>
      </c>
      <c r="N4292" s="16">
        <v>0</v>
      </c>
      <c r="O4292" s="17"/>
      <c r="P4292" s="18">
        <v>42063.620821759258</v>
      </c>
      <c r="Q4292" s="7" t="s">
        <v>80</v>
      </c>
      <c r="R4292" s="7"/>
      <c r="S4292" s="8"/>
      <c r="T4292" s="8"/>
      <c r="U4292" s="19" t="str">
        <f>HYPERLINK("https://pbs.twimg.com/profile_images/1144927702530568192/sxmkZ4gz.jpg","View")</f>
        <v>View</v>
      </c>
      <c r="V4292" s="8"/>
      <c r="W4292" s="8"/>
      <c r="X4292" s="8"/>
      <c r="Y4292" s="8"/>
      <c r="Z4292" s="8"/>
    </row>
    <row r="4293" spans="1:26" ht="12.75">
      <c r="A4293" s="11">
        <v>43747.121655092589</v>
      </c>
      <c r="B4293" s="12" t="str">
        <f>HYPERLINK("https://twitter.com/HazirSozler","@HazirSozler")</f>
        <v>@HazirSozler</v>
      </c>
      <c r="C4293" s="7" t="s">
        <v>21840</v>
      </c>
      <c r="D4293" s="7" t="s">
        <v>21841</v>
      </c>
      <c r="E4293" s="12" t="str">
        <f>HYPERLINK("https://twitter.com/HazirSozler/status/1181870717199147008","1181870717199147008")</f>
        <v>1181870717199147008</v>
      </c>
      <c r="F4293" s="14" t="s">
        <v>21842</v>
      </c>
      <c r="G4293" s="15"/>
      <c r="H4293" s="8"/>
      <c r="I4293" s="15">
        <v>0</v>
      </c>
      <c r="J4293" s="15">
        <v>1</v>
      </c>
      <c r="K4293" s="12" t="str">
        <f>HYPERLINK("https://mobile.twitter.com","Twitter Web App")</f>
        <v>Twitter Web App</v>
      </c>
      <c r="L4293" s="16">
        <v>2215</v>
      </c>
      <c r="M4293" s="16">
        <v>4961</v>
      </c>
      <c r="N4293" s="16">
        <v>1</v>
      </c>
      <c r="O4293" s="17"/>
      <c r="P4293" s="18">
        <v>43074.564270833333</v>
      </c>
      <c r="Q4293" s="7" t="s">
        <v>21843</v>
      </c>
      <c r="R4293" s="7" t="s">
        <v>21844</v>
      </c>
      <c r="S4293" s="14" t="s">
        <v>21845</v>
      </c>
      <c r="T4293" s="8"/>
      <c r="U4293" s="19" t="str">
        <f>HYPERLINK("https://pbs.twimg.com/profile_images/938165431369641984/4mdjPLk9.jpg","View")</f>
        <v>View</v>
      </c>
      <c r="V4293" s="8"/>
      <c r="W4293" s="8"/>
      <c r="X4293" s="8"/>
      <c r="Y4293" s="8"/>
      <c r="Z4293" s="8"/>
    </row>
    <row r="4294" spans="1:26" ht="12.75">
      <c r="A4294" s="11">
        <v>43747.12164351852</v>
      </c>
      <c r="B4294" s="12" t="str">
        <f>HYPERLINK("https://twitter.com/hadimul_muminin","@hadimul_muminin")</f>
        <v>@hadimul_muminin</v>
      </c>
      <c r="C4294" s="7" t="s">
        <v>21846</v>
      </c>
      <c r="D4294" s="7" t="s">
        <v>21847</v>
      </c>
      <c r="E4294" s="12" t="str">
        <f>HYPERLINK("https://twitter.com/hadimul_muminin/status/1181870713038348288","1181870713038348288")</f>
        <v>1181870713038348288</v>
      </c>
      <c r="F4294" s="8"/>
      <c r="G4294" s="14" t="s">
        <v>21848</v>
      </c>
      <c r="H4294" s="8"/>
      <c r="I4294" s="15">
        <v>0</v>
      </c>
      <c r="J4294" s="15">
        <v>6</v>
      </c>
      <c r="K4294" s="12" t="str">
        <f>HYPERLINK("http://twitter.com/download/android","Twitter for Android")</f>
        <v>Twitter for Android</v>
      </c>
      <c r="L4294" s="16">
        <v>3680</v>
      </c>
      <c r="M4294" s="16">
        <v>637</v>
      </c>
      <c r="N4294" s="16">
        <v>3</v>
      </c>
      <c r="O4294" s="17"/>
      <c r="P4294" s="18">
        <v>42595.342789351853</v>
      </c>
      <c r="Q4294" s="7"/>
      <c r="R4294" s="7" t="s">
        <v>21849</v>
      </c>
      <c r="S4294" s="14" t="s">
        <v>21850</v>
      </c>
      <c r="T4294" s="8"/>
      <c r="U4294" s="19" t="str">
        <f>HYPERLINK("https://pbs.twimg.com/profile_images/1085262805064994816/t_upC3u-.jpg","View")</f>
        <v>View</v>
      </c>
      <c r="V4294" s="8"/>
      <c r="W4294" s="8"/>
      <c r="X4294" s="8"/>
      <c r="Y4294" s="8"/>
      <c r="Z4294" s="8"/>
    </row>
    <row r="4295" spans="1:26" ht="12.75">
      <c r="A4295" s="11">
        <v>43747.121631944443</v>
      </c>
      <c r="B4295" s="12" t="str">
        <f>HYPERLINK("https://twitter.com/Hakanan76053594","@Hakanan76053594")</f>
        <v>@Hakanan76053594</v>
      </c>
      <c r="C4295" s="7" t="s">
        <v>21851</v>
      </c>
      <c r="D4295" s="7" t="s">
        <v>21852</v>
      </c>
      <c r="E4295" s="12" t="str">
        <f>HYPERLINK("https://twitter.com/Hakanan76053594/status/1181870709892681728","1181870709892681728")</f>
        <v>1181870709892681728</v>
      </c>
      <c r="F4295" s="8"/>
      <c r="G4295" s="14" t="s">
        <v>21853</v>
      </c>
      <c r="H4295" s="8"/>
      <c r="I4295" s="15">
        <v>0</v>
      </c>
      <c r="J4295" s="15">
        <v>0</v>
      </c>
      <c r="K4295" s="12" t="str">
        <f>HYPERLINK("http://twitter.com/download/android","Twitter for Android")</f>
        <v>Twitter for Android</v>
      </c>
      <c r="L4295" s="16">
        <v>23</v>
      </c>
      <c r="M4295" s="16">
        <v>86</v>
      </c>
      <c r="N4295" s="16">
        <v>0</v>
      </c>
      <c r="O4295" s="17"/>
      <c r="P4295" s="18">
        <v>43471.209803240738</v>
      </c>
      <c r="Q4295" s="7"/>
      <c r="R4295" s="7" t="s">
        <v>21854</v>
      </c>
      <c r="S4295" s="8"/>
      <c r="T4295" s="8"/>
      <c r="U4295" s="19" t="str">
        <f>HYPERLINK("https://pbs.twimg.com/profile_images/1081906735936401408/7qEpBadP.jpg","View")</f>
        <v>View</v>
      </c>
      <c r="V4295" s="8"/>
      <c r="W4295" s="8"/>
      <c r="X4295" s="8"/>
      <c r="Y4295" s="8"/>
      <c r="Z4295" s="8"/>
    </row>
    <row r="4296" spans="1:26" ht="12.75">
      <c r="A4296" s="11">
        <v>43747.121620370366</v>
      </c>
      <c r="B4296" s="12" t="str">
        <f>HYPERLINK("https://twitter.com/hsynstn1989","@hsynstn1989")</f>
        <v>@hsynstn1989</v>
      </c>
      <c r="C4296" s="7" t="s">
        <v>19747</v>
      </c>
      <c r="D4296" s="7" t="s">
        <v>21855</v>
      </c>
      <c r="E4296" s="12" t="str">
        <f>HYPERLINK("https://twitter.com/hsynstn1989/status/1181870701621456896","1181870701621456896")</f>
        <v>1181870701621456896</v>
      </c>
      <c r="F4296" s="8"/>
      <c r="G4296" s="15"/>
      <c r="H4296" s="8"/>
      <c r="I4296" s="15">
        <v>0</v>
      </c>
      <c r="J4296" s="15">
        <v>1</v>
      </c>
      <c r="K4296" s="12" t="str">
        <f>HYPERLINK("http://twitter.com/download/iphone","Twitter for iPhone")</f>
        <v>Twitter for iPhone</v>
      </c>
      <c r="L4296" s="16">
        <v>125</v>
      </c>
      <c r="M4296" s="16">
        <v>210</v>
      </c>
      <c r="N4296" s="16">
        <v>0</v>
      </c>
      <c r="O4296" s="17"/>
      <c r="P4296" s="18">
        <v>43034.585625</v>
      </c>
      <c r="Q4296" s="7" t="s">
        <v>313</v>
      </c>
      <c r="R4296" s="7" t="s">
        <v>21856</v>
      </c>
      <c r="S4296" s="8"/>
      <c r="T4296" s="8"/>
      <c r="U4296" s="19" t="str">
        <f>HYPERLINK("https://pbs.twimg.com/profile_images/1111708481109872640/6E4q7CFl.jpg","View")</f>
        <v>View</v>
      </c>
      <c r="V4296" s="8"/>
      <c r="W4296" s="8"/>
      <c r="X4296" s="8"/>
      <c r="Y4296" s="8"/>
      <c r="Z4296" s="8"/>
    </row>
    <row r="4297" spans="1:26" ht="12.75">
      <c r="A4297" s="11">
        <v>43747.121539351851</v>
      </c>
      <c r="B4297" s="12" t="str">
        <f>HYPERLINK("https://twitter.com/Mehmet21949124","@Mehmet21949124")</f>
        <v>@Mehmet21949124</v>
      </c>
      <c r="C4297" s="7" t="s">
        <v>4984</v>
      </c>
      <c r="D4297" s="7" t="s">
        <v>21857</v>
      </c>
      <c r="E4297" s="12" t="str">
        <f>HYPERLINK("https://twitter.com/Mehmet21949124/status/1181870674635378688","1181870674635378688")</f>
        <v>1181870674635378688</v>
      </c>
      <c r="F4297" s="8"/>
      <c r="G4297" s="7"/>
      <c r="H4297" s="8"/>
      <c r="I4297" s="15">
        <v>0</v>
      </c>
      <c r="J4297" s="15">
        <v>0</v>
      </c>
      <c r="K4297" s="12" t="str">
        <f>HYPERLINK("http://twitter.com/download/android","Twitter for Android")</f>
        <v>Twitter for Android</v>
      </c>
      <c r="L4297" s="16">
        <v>15</v>
      </c>
      <c r="M4297" s="16">
        <v>26</v>
      </c>
      <c r="N4297" s="16">
        <v>1</v>
      </c>
      <c r="O4297" s="17"/>
      <c r="P4297" s="18">
        <v>43581.650891203702</v>
      </c>
      <c r="Q4297" s="7"/>
      <c r="R4297" s="7" t="s">
        <v>21858</v>
      </c>
      <c r="S4297" s="8"/>
      <c r="T4297" s="8"/>
      <c r="U4297" s="19" t="str">
        <f>HYPERLINK("https://pbs.twimg.com/profile_images/1151963514933796901/m9ugx3uZ.jpg","View")</f>
        <v>View</v>
      </c>
      <c r="V4297" s="8"/>
      <c r="W4297" s="8"/>
      <c r="X4297" s="8"/>
      <c r="Y4297" s="8"/>
      <c r="Z4297" s="8"/>
    </row>
    <row r="4298" spans="1:26" ht="12.75">
      <c r="A4298" s="11">
        <v>43747.121493055558</v>
      </c>
      <c r="B4298" s="12" t="str">
        <f>HYPERLINK("https://twitter.com/greenn_s","@greenn_s")</f>
        <v>@greenn_s</v>
      </c>
      <c r="C4298" s="7" t="s">
        <v>21859</v>
      </c>
      <c r="D4298" s="7" t="s">
        <v>17212</v>
      </c>
      <c r="E4298" s="12" t="str">
        <f>HYPERLINK("https://twitter.com/greenn_s/status/1181870656012587008","1181870656012587008")</f>
        <v>1181870656012587008</v>
      </c>
      <c r="F4298" s="8"/>
      <c r="G4298" s="15"/>
      <c r="H4298" s="8"/>
      <c r="I4298" s="15">
        <v>0</v>
      </c>
      <c r="J4298" s="15">
        <v>2</v>
      </c>
      <c r="K4298" s="12" t="str">
        <f>HYPERLINK("http://twitter.com/download/iphone","Twitter for iPhone")</f>
        <v>Twitter for iPhone</v>
      </c>
      <c r="L4298" s="16">
        <v>15</v>
      </c>
      <c r="M4298" s="16">
        <v>52</v>
      </c>
      <c r="N4298" s="16">
        <v>0</v>
      </c>
      <c r="O4298" s="17"/>
      <c r="P4298" s="18">
        <v>41293.163506944446</v>
      </c>
      <c r="Q4298" s="7"/>
      <c r="R4298" s="7"/>
      <c r="S4298" s="8"/>
      <c r="T4298" s="8"/>
      <c r="U4298" s="19" t="str">
        <f>HYPERLINK("https://pbs.twimg.com/profile_images/3128710722/c52c55da619a806134d5b4eaeae08e06.jpeg","View")</f>
        <v>View</v>
      </c>
      <c r="V4298" s="8"/>
      <c r="W4298" s="8"/>
      <c r="X4298" s="8"/>
      <c r="Y4298" s="8"/>
      <c r="Z4298" s="8"/>
    </row>
    <row r="4299" spans="1:26" ht="12.75">
      <c r="A4299" s="11">
        <v>43747.121481481481</v>
      </c>
      <c r="B4299" s="12" t="str">
        <f>HYPERLINK("https://twitter.com/AvyuzenJale","@AvyuzenJale")</f>
        <v>@AvyuzenJale</v>
      </c>
      <c r="C4299" s="7" t="s">
        <v>21860</v>
      </c>
      <c r="D4299" s="7" t="s">
        <v>21861</v>
      </c>
      <c r="E4299" s="12" t="str">
        <f>HYPERLINK("https://twitter.com/AvyuzenJale/status/1181870652481064960","1181870652481064960")</f>
        <v>1181870652481064960</v>
      </c>
      <c r="F4299" s="8"/>
      <c r="G4299" s="7"/>
      <c r="H4299" s="8"/>
      <c r="I4299" s="15">
        <v>0</v>
      </c>
      <c r="J4299" s="15">
        <v>1</v>
      </c>
      <c r="K4299" s="12" t="str">
        <f>HYPERLINK("http://twitter.com/download/android","Twitter for Android")</f>
        <v>Twitter for Android</v>
      </c>
      <c r="L4299" s="16">
        <v>126</v>
      </c>
      <c r="M4299" s="16">
        <v>445</v>
      </c>
      <c r="N4299" s="16">
        <v>0</v>
      </c>
      <c r="O4299" s="17"/>
      <c r="P4299" s="18">
        <v>42333.396238425921</v>
      </c>
      <c r="Q4299" s="7"/>
      <c r="R4299" s="7" t="s">
        <v>21862</v>
      </c>
      <c r="S4299" s="8"/>
      <c r="T4299" s="8"/>
      <c r="U4299" s="19" t="str">
        <f>HYPERLINK("https://pbs.twimg.com/profile_images/1162700013224509440/haSpMZUO.jpg","View")</f>
        <v>View</v>
      </c>
      <c r="V4299" s="8"/>
      <c r="W4299" s="8"/>
      <c r="X4299" s="8"/>
      <c r="Y4299" s="8"/>
      <c r="Z4299" s="8"/>
    </row>
    <row r="4300" spans="1:26" ht="12.75">
      <c r="A4300" s="11">
        <v>43747.121435185181</v>
      </c>
      <c r="B4300" s="12" t="str">
        <f>HYPERLINK("https://twitter.com/fthbyglu","@fthbyglu")</f>
        <v>@fthbyglu</v>
      </c>
      <c r="C4300" s="7" t="s">
        <v>21863</v>
      </c>
      <c r="D4300" s="15" t="s">
        <v>19704</v>
      </c>
      <c r="E4300" s="12" t="str">
        <f>HYPERLINK("https://twitter.com/fthbyglu/status/1181870638232944640","1181870638232944640")</f>
        <v>1181870638232944640</v>
      </c>
      <c r="F4300" s="14" t="s">
        <v>19705</v>
      </c>
      <c r="G4300" s="14" t="s">
        <v>19706</v>
      </c>
      <c r="H4300" s="8"/>
      <c r="I4300" s="15">
        <v>1</v>
      </c>
      <c r="J4300" s="15">
        <v>4</v>
      </c>
      <c r="K4300" s="12" t="str">
        <f>HYPERLINK("http://twitter.com/download/iphone","Twitter for iPhone")</f>
        <v>Twitter for iPhone</v>
      </c>
      <c r="L4300" s="16">
        <v>201</v>
      </c>
      <c r="M4300" s="16">
        <v>321</v>
      </c>
      <c r="N4300" s="16">
        <v>0</v>
      </c>
      <c r="O4300" s="17"/>
      <c r="P4300" s="18">
        <v>40744.642905092594</v>
      </c>
      <c r="Q4300" s="7" t="s">
        <v>200</v>
      </c>
      <c r="R4300" s="7"/>
      <c r="S4300" s="8"/>
      <c r="T4300" s="8"/>
      <c r="U4300" s="19" t="str">
        <f>HYPERLINK("https://pbs.twimg.com/profile_images/1164302726467072000/VGez2mhq.jpg","View")</f>
        <v>View</v>
      </c>
      <c r="V4300" s="8"/>
      <c r="W4300" s="8"/>
      <c r="X4300" s="8"/>
      <c r="Y4300" s="8"/>
      <c r="Z4300" s="8"/>
    </row>
    <row r="4301" spans="1:26" ht="12.75">
      <c r="A4301" s="11">
        <v>43747.121435185181</v>
      </c>
      <c r="B4301" s="12" t="str">
        <f>HYPERLINK("https://twitter.com/fealin_mert","@fealin_mert")</f>
        <v>@fealin_mert</v>
      </c>
      <c r="C4301" s="7" t="s">
        <v>21864</v>
      </c>
      <c r="D4301" s="7" t="s">
        <v>21865</v>
      </c>
      <c r="E4301" s="12" t="str">
        <f>HYPERLINK("https://twitter.com/fealin_mert/status/1181870636815339520","1181870636815339520")</f>
        <v>1181870636815339520</v>
      </c>
      <c r="F4301" s="8"/>
      <c r="G4301" s="7"/>
      <c r="H4301" s="8"/>
      <c r="I4301" s="15">
        <v>0</v>
      </c>
      <c r="J4301" s="15">
        <v>1</v>
      </c>
      <c r="K4301" s="12" t="str">
        <f>HYPERLINK("http://twitter.com/download/android","Twitter for Android")</f>
        <v>Twitter for Android</v>
      </c>
      <c r="L4301" s="16">
        <v>12</v>
      </c>
      <c r="M4301" s="16">
        <v>28</v>
      </c>
      <c r="N4301" s="16">
        <v>0</v>
      </c>
      <c r="O4301" s="17"/>
      <c r="P4301" s="18">
        <v>42627.39643518519</v>
      </c>
      <c r="Q4301" s="7" t="s">
        <v>1850</v>
      </c>
      <c r="R4301" s="7" t="s">
        <v>21866</v>
      </c>
      <c r="S4301" s="8"/>
      <c r="T4301" s="8"/>
      <c r="U4301" s="19" t="str">
        <f>HYPERLINK("https://pbs.twimg.com/profile_images/1175332598970814464/auqnoIKU.jpg","View")</f>
        <v>View</v>
      </c>
      <c r="V4301" s="8"/>
      <c r="W4301" s="8"/>
      <c r="X4301" s="8"/>
      <c r="Y4301" s="8"/>
      <c r="Z4301" s="8"/>
    </row>
    <row r="4302" spans="1:26" ht="12.75">
      <c r="A4302" s="11">
        <v>43747.121412037042</v>
      </c>
      <c r="B4302" s="12" t="str">
        <f>HYPERLINK("https://twitter.com/dthuseyin","@dthuseyin")</f>
        <v>@dthuseyin</v>
      </c>
      <c r="C4302" s="7" t="s">
        <v>19747</v>
      </c>
      <c r="D4302" s="7" t="s">
        <v>21867</v>
      </c>
      <c r="E4302" s="12" t="str">
        <f>HYPERLINK("https://twitter.com/dthuseyin/status/1181870629865295873","1181870629865295873")</f>
        <v>1181870629865295873</v>
      </c>
      <c r="F4302" s="8"/>
      <c r="G4302" s="15"/>
      <c r="H4302" s="8"/>
      <c r="I4302" s="15">
        <v>0</v>
      </c>
      <c r="J4302" s="15">
        <v>0</v>
      </c>
      <c r="K4302" s="12" t="str">
        <f>HYPERLINK("http://twitter.com/download/android","Twitter for Android")</f>
        <v>Twitter for Android</v>
      </c>
      <c r="L4302" s="16">
        <v>23</v>
      </c>
      <c r="M4302" s="16">
        <v>3</v>
      </c>
      <c r="N4302" s="16">
        <v>0</v>
      </c>
      <c r="O4302" s="17"/>
      <c r="P4302" s="18">
        <v>40243.289409722223</v>
      </c>
      <c r="Q4302" s="7" t="s">
        <v>313</v>
      </c>
      <c r="R4302" s="7" t="s">
        <v>21868</v>
      </c>
      <c r="S4302" s="8"/>
      <c r="T4302" s="8"/>
      <c r="U4302" s="19" t="str">
        <f>HYPERLINK("https://pbs.twimg.com/profile_images/964921437235630080/3Ey36Uvj.jpg","View")</f>
        <v>View</v>
      </c>
      <c r="V4302" s="8"/>
      <c r="W4302" s="8"/>
      <c r="X4302" s="8"/>
      <c r="Y4302" s="8"/>
      <c r="Z4302" s="8"/>
    </row>
    <row r="4303" spans="1:26" ht="12.75">
      <c r="A4303" s="11">
        <v>43747.121400462958</v>
      </c>
      <c r="B4303" s="12" t="str">
        <f>HYPERLINK("https://twitter.com/aliyavuzerdogan","@aliyavuzerdogan")</f>
        <v>@aliyavuzerdogan</v>
      </c>
      <c r="C4303" s="7" t="s">
        <v>21869</v>
      </c>
      <c r="D4303" s="7" t="s">
        <v>21870</v>
      </c>
      <c r="E4303" s="12" t="str">
        <f>HYPERLINK("https://twitter.com/aliyavuzerdogan/status/1181870625289314304","1181870625289314304")</f>
        <v>1181870625289314304</v>
      </c>
      <c r="F4303" s="8"/>
      <c r="G4303" s="15"/>
      <c r="H4303" s="8"/>
      <c r="I4303" s="15">
        <v>0</v>
      </c>
      <c r="J4303" s="15">
        <v>0</v>
      </c>
      <c r="K4303" s="12" t="str">
        <f>HYPERLINK("http://twitter.com/download/iphone","Twitter for iPhone")</f>
        <v>Twitter for iPhone</v>
      </c>
      <c r="L4303" s="16">
        <v>163</v>
      </c>
      <c r="M4303" s="16">
        <v>559</v>
      </c>
      <c r="N4303" s="16">
        <v>0</v>
      </c>
      <c r="O4303" s="17"/>
      <c r="P4303" s="18">
        <v>41227.463425925926</v>
      </c>
      <c r="Q4303" s="7" t="s">
        <v>21871</v>
      </c>
      <c r="R4303" s="7" t="s">
        <v>21872</v>
      </c>
      <c r="S4303" s="8"/>
      <c r="T4303" s="8"/>
      <c r="U4303" s="19" t="str">
        <f>HYPERLINK("https://pbs.twimg.com/profile_images/1016261816920543232/Enbkn8Zn.jpg","View")</f>
        <v>View</v>
      </c>
      <c r="V4303" s="8"/>
      <c r="W4303" s="8"/>
      <c r="X4303" s="8"/>
      <c r="Y4303" s="8"/>
      <c r="Z4303" s="8"/>
    </row>
    <row r="4304" spans="1:26" ht="12.75">
      <c r="A4304" s="11">
        <v>43747.121342592596</v>
      </c>
      <c r="B4304" s="12" t="str">
        <f>HYPERLINK("https://twitter.com/GuzayMerakli","@GuzayMerakli")</f>
        <v>@GuzayMerakli</v>
      </c>
      <c r="C4304" s="7" t="s">
        <v>21873</v>
      </c>
      <c r="D4304" s="7" t="s">
        <v>21874</v>
      </c>
      <c r="E4304" s="12" t="str">
        <f>HYPERLINK("https://twitter.com/GuzayMerakli/status/1181870604774977536","1181870604774977536")</f>
        <v>1181870604774977536</v>
      </c>
      <c r="F4304" s="8"/>
      <c r="G4304" s="7"/>
      <c r="H4304" s="8"/>
      <c r="I4304" s="15">
        <v>0</v>
      </c>
      <c r="J4304" s="15">
        <v>1</v>
      </c>
      <c r="K4304" s="12" t="str">
        <f>HYPERLINK("http://twitter.com","Twitter Web Client")</f>
        <v>Twitter Web Client</v>
      </c>
      <c r="L4304" s="16">
        <v>7</v>
      </c>
      <c r="M4304" s="16">
        <v>0</v>
      </c>
      <c r="N4304" s="16">
        <v>0</v>
      </c>
      <c r="O4304" s="17"/>
      <c r="P4304" s="18">
        <v>43683.827997685185</v>
      </c>
      <c r="Q4304" s="7" t="s">
        <v>6929</v>
      </c>
      <c r="R4304" s="7" t="s">
        <v>21875</v>
      </c>
      <c r="S4304" s="15"/>
      <c r="T4304" s="8"/>
      <c r="U4304" s="19" t="str">
        <f>HYPERLINK("https://pbs.twimg.com/profile_images/1167218941074313216/ULZ_IBCj.jpg","View")</f>
        <v>View</v>
      </c>
      <c r="V4304" s="8"/>
      <c r="W4304" s="8"/>
      <c r="X4304" s="8"/>
      <c r="Y4304" s="8"/>
      <c r="Z4304" s="8"/>
    </row>
    <row r="4305" spans="1:26" ht="12.75">
      <c r="A4305" s="11">
        <v>43747.121342592596</v>
      </c>
      <c r="B4305" s="12" t="str">
        <f>HYPERLINK("https://twitter.com/AyhanGokcay","@AyhanGokcay")</f>
        <v>@AyhanGokcay</v>
      </c>
      <c r="C4305" s="7" t="s">
        <v>21876</v>
      </c>
      <c r="D4305" s="7" t="s">
        <v>21877</v>
      </c>
      <c r="E4305" s="12" t="str">
        <f>HYPERLINK("https://twitter.com/AyhanGokcay/status/1181870602652733442","1181870602652733442")</f>
        <v>1181870602652733442</v>
      </c>
      <c r="F4305" s="8"/>
      <c r="G4305" s="15"/>
      <c r="H4305" s="8"/>
      <c r="I4305" s="15">
        <v>0</v>
      </c>
      <c r="J4305" s="15">
        <v>0</v>
      </c>
      <c r="K4305" s="12" t="str">
        <f>HYPERLINK("http://twitter.com/download/android","Twitter for Android")</f>
        <v>Twitter for Android</v>
      </c>
      <c r="L4305" s="16">
        <v>230</v>
      </c>
      <c r="M4305" s="16">
        <v>260</v>
      </c>
      <c r="N4305" s="16">
        <v>0</v>
      </c>
      <c r="O4305" s="17"/>
      <c r="P4305" s="18">
        <v>41483.624953703707</v>
      </c>
      <c r="Q4305" s="7"/>
      <c r="R4305" s="7"/>
      <c r="S4305" s="8"/>
      <c r="T4305" s="8"/>
      <c r="U4305" s="19" t="str">
        <f>HYPERLINK("https://pbs.twimg.com/profile_images/722083171404279808/IGGPNIX8.jpg","View")</f>
        <v>View</v>
      </c>
      <c r="V4305" s="8"/>
      <c r="W4305" s="8"/>
      <c r="X4305" s="8"/>
      <c r="Y4305" s="8"/>
      <c r="Z4305" s="8"/>
    </row>
    <row r="4306" spans="1:26" ht="12.75">
      <c r="A4306" s="11">
        <v>43747.121331018519</v>
      </c>
      <c r="B4306" s="12" t="str">
        <f>HYPERLINK("https://twitter.com/deneyimlidenek_","@deneyimlidenek_")</f>
        <v>@deneyimlidenek_</v>
      </c>
      <c r="C4306" s="7" t="s">
        <v>21878</v>
      </c>
      <c r="D4306" s="7" t="s">
        <v>21879</v>
      </c>
      <c r="E4306" s="12" t="str">
        <f>HYPERLINK("https://twitter.com/deneyimlidenek_/status/1181870596780646400","1181870596780646400")</f>
        <v>1181870596780646400</v>
      </c>
      <c r="F4306" s="8"/>
      <c r="G4306" s="7"/>
      <c r="H4306" s="8"/>
      <c r="I4306" s="15">
        <v>0</v>
      </c>
      <c r="J4306" s="15">
        <v>0</v>
      </c>
      <c r="K4306" s="12" t="str">
        <f>HYPERLINK("http://twitter.com/download/android","Twitter for Android")</f>
        <v>Twitter for Android</v>
      </c>
      <c r="L4306" s="16">
        <v>44</v>
      </c>
      <c r="M4306" s="16">
        <v>166</v>
      </c>
      <c r="N4306" s="16">
        <v>0</v>
      </c>
      <c r="O4306" s="17"/>
      <c r="P4306" s="18">
        <v>40776.126099537039</v>
      </c>
      <c r="Q4306" s="7"/>
      <c r="R4306" s="7"/>
      <c r="S4306" s="14" t="s">
        <v>21880</v>
      </c>
      <c r="T4306" s="8"/>
      <c r="U4306" s="19" t="str">
        <f>HYPERLINK("https://pbs.twimg.com/profile_images/1554910920/n586559690_621255_7510.jpg","View")</f>
        <v>View</v>
      </c>
      <c r="V4306" s="8"/>
      <c r="W4306" s="8"/>
      <c r="X4306" s="8"/>
      <c r="Y4306" s="8"/>
      <c r="Z4306" s="8"/>
    </row>
    <row r="4307" spans="1:26" ht="12.75">
      <c r="A4307" s="11">
        <v>43747.121319444443</v>
      </c>
      <c r="B4307" s="12" t="str">
        <f>HYPERLINK("https://twitter.com/bioteknolog","@bioteknolog")</f>
        <v>@bioteknolog</v>
      </c>
      <c r="C4307" s="7" t="s">
        <v>21881</v>
      </c>
      <c r="D4307" s="7" t="s">
        <v>17674</v>
      </c>
      <c r="E4307" s="12" t="str">
        <f>HYPERLINK("https://twitter.com/bioteknolog/status/1181870593928519681","1181870593928519681")</f>
        <v>1181870593928519681</v>
      </c>
      <c r="F4307" s="8"/>
      <c r="G4307" s="14" t="s">
        <v>21882</v>
      </c>
      <c r="H4307" s="8"/>
      <c r="I4307" s="15">
        <v>13</v>
      </c>
      <c r="J4307" s="15">
        <v>111</v>
      </c>
      <c r="K4307" s="12" t="str">
        <f>HYPERLINK("http://twitter.com/download/iphone","Twitter for iPhone")</f>
        <v>Twitter for iPhone</v>
      </c>
      <c r="L4307" s="16">
        <v>8874</v>
      </c>
      <c r="M4307" s="16">
        <v>990</v>
      </c>
      <c r="N4307" s="16">
        <v>14</v>
      </c>
      <c r="O4307" s="17"/>
      <c r="P4307" s="18">
        <v>42567.642418981486</v>
      </c>
      <c r="Q4307" s="7" t="s">
        <v>80</v>
      </c>
      <c r="R4307" s="7" t="s">
        <v>21883</v>
      </c>
      <c r="S4307" s="14" t="s">
        <v>21884</v>
      </c>
      <c r="T4307" s="8"/>
      <c r="U4307" s="19" t="str">
        <f>HYPERLINK("https://pbs.twimg.com/profile_images/1177473957127000065/xSW4P9dy.jpg","View")</f>
        <v>View</v>
      </c>
      <c r="V4307" s="8"/>
      <c r="W4307" s="8"/>
      <c r="X4307" s="8"/>
      <c r="Y4307" s="8"/>
      <c r="Z4307" s="8"/>
    </row>
    <row r="4308" spans="1:26" ht="12.75">
      <c r="A4308" s="11">
        <v>43747.121215277773</v>
      </c>
      <c r="B4308" s="12" t="str">
        <f>HYPERLINK("https://twitter.com/leventkirman","@leventkirman")</f>
        <v>@leventkirman</v>
      </c>
      <c r="C4308" s="7" t="s">
        <v>21885</v>
      </c>
      <c r="D4308" s="7" t="s">
        <v>21886</v>
      </c>
      <c r="E4308" s="12" t="str">
        <f>HYPERLINK("https://twitter.com/leventkirman/status/1181870555571601408","1181870555571601408")</f>
        <v>1181870555571601408</v>
      </c>
      <c r="F4308" s="8"/>
      <c r="G4308" s="15"/>
      <c r="H4308" s="8"/>
      <c r="I4308" s="15">
        <v>0</v>
      </c>
      <c r="J4308" s="15">
        <v>1</v>
      </c>
      <c r="K4308" s="12" t="str">
        <f>HYPERLINK("http://twitter.com/download/iphone","Twitter for iPhone")</f>
        <v>Twitter for iPhone</v>
      </c>
      <c r="L4308" s="16">
        <v>274</v>
      </c>
      <c r="M4308" s="16">
        <v>376</v>
      </c>
      <c r="N4308" s="16">
        <v>2</v>
      </c>
      <c r="O4308" s="17"/>
      <c r="P4308" s="18">
        <v>40156.268726851849</v>
      </c>
      <c r="Q4308" s="7" t="s">
        <v>860</v>
      </c>
      <c r="R4308" s="7" t="s">
        <v>21887</v>
      </c>
      <c r="S4308" s="8"/>
      <c r="T4308" s="8"/>
      <c r="U4308" s="19" t="str">
        <f>HYPERLINK("https://pbs.twimg.com/profile_images/1111995742732861441/VtdDeF4n.jpg","View")</f>
        <v>View</v>
      </c>
      <c r="V4308" s="8"/>
      <c r="W4308" s="8"/>
      <c r="X4308" s="8"/>
      <c r="Y4308" s="8"/>
      <c r="Z4308" s="8"/>
    </row>
    <row r="4309" spans="1:26" ht="12.75">
      <c r="A4309" s="11">
        <v>43747.121203703704</v>
      </c>
      <c r="B4309" s="12" t="str">
        <f>HYPERLINK("https://twitter.com/TokadOttoman","@TokadOttoman")</f>
        <v>@TokadOttoman</v>
      </c>
      <c r="C4309" s="7" t="s">
        <v>21888</v>
      </c>
      <c r="D4309" s="7" t="s">
        <v>21889</v>
      </c>
      <c r="E4309" s="12" t="str">
        <f>HYPERLINK("https://twitter.com/TokadOttoman/status/1181870554296532992","1181870554296532992")</f>
        <v>1181870554296532992</v>
      </c>
      <c r="F4309" s="8"/>
      <c r="G4309" s="14" t="s">
        <v>21890</v>
      </c>
      <c r="H4309" s="8"/>
      <c r="I4309" s="15">
        <v>0</v>
      </c>
      <c r="J4309" s="15">
        <v>0</v>
      </c>
      <c r="K4309" s="12" t="str">
        <f>HYPERLINK("http://twitter.com/download/android","Twitter for Android")</f>
        <v>Twitter for Android</v>
      </c>
      <c r="L4309" s="16">
        <v>224</v>
      </c>
      <c r="M4309" s="16">
        <v>679</v>
      </c>
      <c r="N4309" s="16">
        <v>0</v>
      </c>
      <c r="O4309" s="17"/>
      <c r="P4309" s="18">
        <v>43561.642222222217</v>
      </c>
      <c r="Q4309" s="7"/>
      <c r="R4309" s="7" t="s">
        <v>21891</v>
      </c>
      <c r="S4309" s="8"/>
      <c r="T4309" s="8"/>
      <c r="U4309" s="19" t="str">
        <f>HYPERLINK("https://pbs.twimg.com/profile_images/1129700007769255937/t_Bmy4oP.jpg","View")</f>
        <v>View</v>
      </c>
      <c r="V4309" s="8"/>
      <c r="W4309" s="8"/>
      <c r="X4309" s="8"/>
      <c r="Y4309" s="8"/>
      <c r="Z4309" s="8"/>
    </row>
    <row r="4310" spans="1:26" ht="12.75">
      <c r="A4310" s="11">
        <v>43747.121111111112</v>
      </c>
      <c r="B4310" s="12" t="str">
        <f>HYPERLINK("https://twitter.com/furkanozturk7","@furkanozturk7")</f>
        <v>@furkanozturk7</v>
      </c>
      <c r="C4310" s="7" t="s">
        <v>21892</v>
      </c>
      <c r="D4310" s="7" t="s">
        <v>21893</v>
      </c>
      <c r="E4310" s="12" t="str">
        <f>HYPERLINK("https://twitter.com/furkanozturk7/status/1181870520234627074","1181870520234627074")</f>
        <v>1181870520234627074</v>
      </c>
      <c r="F4310" s="8"/>
      <c r="G4310" s="15"/>
      <c r="H4310" s="8"/>
      <c r="I4310" s="15">
        <v>0</v>
      </c>
      <c r="J4310" s="15">
        <v>1</v>
      </c>
      <c r="K4310" s="12" t="str">
        <f>HYPERLINK("http://twitter.com/download/iphone","Twitter for iPhone")</f>
        <v>Twitter for iPhone</v>
      </c>
      <c r="L4310" s="16">
        <v>301</v>
      </c>
      <c r="M4310" s="16">
        <v>167</v>
      </c>
      <c r="N4310" s="16">
        <v>0</v>
      </c>
      <c r="O4310" s="17"/>
      <c r="P4310" s="18">
        <v>42335.28943287037</v>
      </c>
      <c r="Q4310" s="7" t="s">
        <v>13095</v>
      </c>
      <c r="R4310" s="7" t="s">
        <v>1676</v>
      </c>
      <c r="S4310" s="8"/>
      <c r="T4310" s="8"/>
      <c r="U4310" s="19" t="str">
        <f>HYPERLINK("https://pbs.twimg.com/profile_images/1002690363696566278/FU3Xi9yb.jpg","View")</f>
        <v>View</v>
      </c>
      <c r="V4310" s="8"/>
      <c r="W4310" s="8"/>
      <c r="X4310" s="8"/>
      <c r="Y4310" s="8"/>
      <c r="Z4310" s="8"/>
    </row>
    <row r="4311" spans="1:26" ht="12.75">
      <c r="A4311" s="11">
        <v>43747.121111111112</v>
      </c>
      <c r="B4311" s="12" t="str">
        <f>HYPERLINK("https://twitter.com/nyzntrksn","@nyzntrksn")</f>
        <v>@nyzntrksn</v>
      </c>
      <c r="C4311" s="7" t="s">
        <v>21894</v>
      </c>
      <c r="D4311" s="7" t="s">
        <v>21895</v>
      </c>
      <c r="E4311" s="12" t="str">
        <f>HYPERLINK("https://twitter.com/nyzntrksn/status/1181870519148318722","1181870519148318722")</f>
        <v>1181870519148318722</v>
      </c>
      <c r="F4311" s="8"/>
      <c r="G4311" s="14" t="s">
        <v>21896</v>
      </c>
      <c r="H4311" s="8"/>
      <c r="I4311" s="15">
        <v>0</v>
      </c>
      <c r="J4311" s="15">
        <v>4</v>
      </c>
      <c r="K4311" s="12" t="str">
        <f>HYPERLINK("http://twitter.com/download/android","Twitter for Android")</f>
        <v>Twitter for Android</v>
      </c>
      <c r="L4311" s="16">
        <v>413</v>
      </c>
      <c r="M4311" s="16">
        <v>1275</v>
      </c>
      <c r="N4311" s="16">
        <v>0</v>
      </c>
      <c r="O4311" s="17"/>
      <c r="P4311" s="18">
        <v>41778.795057870375</v>
      </c>
      <c r="Q4311" s="7"/>
      <c r="R4311" s="7"/>
      <c r="S4311" s="8"/>
      <c r="T4311" s="8"/>
      <c r="U4311" s="19" t="str">
        <f>HYPERLINK("https://pbs.twimg.com/profile_images/1126803932360192000/BinFS9kb.jpg","View")</f>
        <v>View</v>
      </c>
      <c r="V4311" s="8"/>
      <c r="W4311" s="8"/>
      <c r="X4311" s="8"/>
      <c r="Y4311" s="8"/>
      <c r="Z4311" s="8"/>
    </row>
    <row r="4312" spans="1:26" ht="12.75">
      <c r="A4312" s="11">
        <v>43747.121076388888</v>
      </c>
      <c r="B4312" s="12" t="str">
        <f>HYPERLINK("https://twitter.com/Nur07522570","@Nur07522570")</f>
        <v>@Nur07522570</v>
      </c>
      <c r="C4312" s="7" t="s">
        <v>21897</v>
      </c>
      <c r="D4312" s="7" t="s">
        <v>21898</v>
      </c>
      <c r="E4312" s="12" t="str">
        <f>HYPERLINK("https://twitter.com/Nur07522570/status/1181870508536717313","1181870508536717313")</f>
        <v>1181870508536717313</v>
      </c>
      <c r="F4312" s="8"/>
      <c r="G4312" s="14" t="s">
        <v>21899</v>
      </c>
      <c r="H4312" s="8"/>
      <c r="I4312" s="15">
        <v>0</v>
      </c>
      <c r="J4312" s="15">
        <v>1</v>
      </c>
      <c r="K4312" s="12" t="str">
        <f>HYPERLINK("http://twitter.com/download/android","Twitter for Android")</f>
        <v>Twitter for Android</v>
      </c>
      <c r="L4312" s="16">
        <v>11</v>
      </c>
      <c r="M4312" s="16">
        <v>122</v>
      </c>
      <c r="N4312" s="16">
        <v>0</v>
      </c>
      <c r="O4312" s="17"/>
      <c r="P4312" s="18">
        <v>43635.546817129631</v>
      </c>
      <c r="Q4312" s="7"/>
      <c r="R4312" s="7" t="s">
        <v>807</v>
      </c>
      <c r="S4312" s="8"/>
      <c r="T4312" s="8"/>
      <c r="U4312" s="19" t="str">
        <f>HYPERLINK("https://pbs.twimg.com/profile_images/1180156486800031744/UpmHzrsx.jpg","View")</f>
        <v>View</v>
      </c>
      <c r="V4312" s="8"/>
      <c r="W4312" s="8"/>
      <c r="X4312" s="8"/>
      <c r="Y4312" s="8"/>
      <c r="Z4312" s="8"/>
    </row>
    <row r="4313" spans="1:26" ht="12.75">
      <c r="A4313" s="11">
        <v>43747.121041666665</v>
      </c>
      <c r="B4313" s="12" t="str">
        <f>HYPERLINK("https://twitter.com/BeyzaYI89779667","@BeyzaYI89779667")</f>
        <v>@BeyzaYI89779667</v>
      </c>
      <c r="C4313" s="7" t="s">
        <v>21900</v>
      </c>
      <c r="D4313" s="7" t="s">
        <v>160</v>
      </c>
      <c r="E4313" s="12" t="str">
        <f>HYPERLINK("https://twitter.com/BeyzaYI89779667/status/1181870495916068864","1181870495916068864")</f>
        <v>1181870495916068864</v>
      </c>
      <c r="F4313" s="8"/>
      <c r="G4313" s="7"/>
      <c r="H4313" s="8"/>
      <c r="I4313" s="15">
        <v>0</v>
      </c>
      <c r="J4313" s="15">
        <v>0</v>
      </c>
      <c r="K4313" s="12" t="str">
        <f>HYPERLINK("http://twitter.com/download/android","Twitter for Android")</f>
        <v>Twitter for Android</v>
      </c>
      <c r="L4313" s="16">
        <v>0</v>
      </c>
      <c r="M4313" s="16">
        <v>24</v>
      </c>
      <c r="N4313" s="16">
        <v>0</v>
      </c>
      <c r="O4313" s="17"/>
      <c r="P4313" s="18">
        <v>43747.118634259255</v>
      </c>
      <c r="Q4313" s="7"/>
      <c r="R4313" s="7"/>
      <c r="S4313" s="8"/>
      <c r="T4313" s="8"/>
      <c r="U4313" s="19" t="str">
        <f>HYPERLINK("https://pbs.twimg.com/profile_images/1181871089963732992/e5Rxdnnu.jpg","View")</f>
        <v>View</v>
      </c>
      <c r="V4313" s="8"/>
      <c r="W4313" s="8"/>
      <c r="X4313" s="8"/>
      <c r="Y4313" s="8"/>
      <c r="Z4313" s="8"/>
    </row>
    <row r="4314" spans="1:26" ht="12.75">
      <c r="A4314" s="11">
        <v>43747.12091435185</v>
      </c>
      <c r="B4314" s="12" t="str">
        <f>HYPERLINK("https://twitter.com/MuratNenni","@MuratNenni")</f>
        <v>@MuratNenni</v>
      </c>
      <c r="C4314" s="7" t="s">
        <v>21901</v>
      </c>
      <c r="D4314" s="7" t="s">
        <v>21902</v>
      </c>
      <c r="E4314" s="12" t="str">
        <f>HYPERLINK("https://twitter.com/MuratNenni/status/1181870448088420352","1181870448088420352")</f>
        <v>1181870448088420352</v>
      </c>
      <c r="F4314" s="8"/>
      <c r="G4314" s="15"/>
      <c r="H4314" s="8"/>
      <c r="I4314" s="15">
        <v>0</v>
      </c>
      <c r="J4314" s="15">
        <v>1</v>
      </c>
      <c r="K4314" s="12" t="str">
        <f>HYPERLINK("http://twitter.com/download/iphone","Twitter for iPhone")</f>
        <v>Twitter for iPhone</v>
      </c>
      <c r="L4314" s="16">
        <v>22</v>
      </c>
      <c r="M4314" s="16">
        <v>28</v>
      </c>
      <c r="N4314" s="16">
        <v>0</v>
      </c>
      <c r="O4314" s="17"/>
      <c r="P4314" s="18">
        <v>42526.364212962959</v>
      </c>
      <c r="Q4314" s="7" t="s">
        <v>313</v>
      </c>
      <c r="R4314" s="7" t="s">
        <v>21903</v>
      </c>
      <c r="S4314" s="8"/>
      <c r="T4314" s="8"/>
      <c r="U4314" s="19" t="str">
        <f>HYPERLINK("https://pbs.twimg.com/profile_images/900682686834102273/PB7KfnOv.jpg","View")</f>
        <v>View</v>
      </c>
      <c r="V4314" s="8"/>
      <c r="W4314" s="8"/>
      <c r="X4314" s="8"/>
      <c r="Y4314" s="8"/>
      <c r="Z4314" s="8"/>
    </row>
    <row r="4315" spans="1:26" ht="12.75">
      <c r="A4315" s="11">
        <v>43747.120775462958</v>
      </c>
      <c r="B4315" s="12" t="str">
        <f>HYPERLINK("https://twitter.com/sennerdenbilicn","@sennerdenbilicn")</f>
        <v>@sennerdenbilicn</v>
      </c>
      <c r="C4315" s="7" t="s">
        <v>139</v>
      </c>
      <c r="D4315" s="7" t="s">
        <v>21904</v>
      </c>
      <c r="E4315" s="12" t="str">
        <f>HYPERLINK("https://twitter.com/sennerdenbilicn/status/1181870395923849217","1181870395923849217")</f>
        <v>1181870395923849217</v>
      </c>
      <c r="F4315" s="8"/>
      <c r="G4315" s="14" t="s">
        <v>21905</v>
      </c>
      <c r="H4315" s="8"/>
      <c r="I4315" s="15">
        <v>0</v>
      </c>
      <c r="J4315" s="15">
        <v>1</v>
      </c>
      <c r="K4315" s="12" t="str">
        <f>HYPERLINK("http://twitter.com/download/iphone","Twitter for iPhone")</f>
        <v>Twitter for iPhone</v>
      </c>
      <c r="L4315" s="16">
        <v>824</v>
      </c>
      <c r="M4315" s="16">
        <v>567</v>
      </c>
      <c r="N4315" s="16">
        <v>3</v>
      </c>
      <c r="O4315" s="17"/>
      <c r="P4315" s="18">
        <v>41209.21429398148</v>
      </c>
      <c r="Q4315" s="7"/>
      <c r="R4315" s="7" t="s">
        <v>21906</v>
      </c>
      <c r="S4315" s="8"/>
      <c r="T4315" s="8"/>
      <c r="U4315" s="19" t="str">
        <f>HYPERLINK("https://pbs.twimg.com/profile_images/1180850735761821696/0A1xq0s0.jpg","View")</f>
        <v>View</v>
      </c>
      <c r="V4315" s="8"/>
      <c r="W4315" s="8"/>
      <c r="X4315" s="8"/>
      <c r="Y4315" s="8"/>
      <c r="Z4315" s="8"/>
    </row>
    <row r="4316" spans="1:26" ht="12.75">
      <c r="A4316" s="11">
        <v>43747.120729166665</v>
      </c>
      <c r="B4316" s="12" t="str">
        <f>HYPERLINK("https://twitter.com/Eminekiliinc","@Eminekiliinc")</f>
        <v>@Eminekiliinc</v>
      </c>
      <c r="C4316" s="7" t="s">
        <v>21907</v>
      </c>
      <c r="D4316" s="7" t="s">
        <v>21908</v>
      </c>
      <c r="E4316" s="12" t="str">
        <f>HYPERLINK("https://twitter.com/Eminekiliinc/status/1181870381365370882","1181870381365370882")</f>
        <v>1181870381365370882</v>
      </c>
      <c r="F4316" s="8"/>
      <c r="G4316" s="15"/>
      <c r="H4316" s="8"/>
      <c r="I4316" s="15">
        <v>0</v>
      </c>
      <c r="J4316" s="15">
        <v>1</v>
      </c>
      <c r="K4316" s="12" t="str">
        <f>HYPERLINK("http://twitter.com/download/android","Twitter for Android")</f>
        <v>Twitter for Android</v>
      </c>
      <c r="L4316" s="16">
        <v>477</v>
      </c>
      <c r="M4316" s="16">
        <v>498</v>
      </c>
      <c r="N4316" s="16">
        <v>0</v>
      </c>
      <c r="O4316" s="17"/>
      <c r="P4316" s="18">
        <v>43498.107557870375</v>
      </c>
      <c r="Q4316" s="7" t="s">
        <v>313</v>
      </c>
      <c r="R4316" s="7"/>
      <c r="S4316" s="14" t="s">
        <v>21909</v>
      </c>
      <c r="T4316" s="8"/>
      <c r="U4316" s="19" t="str">
        <f>HYPERLINK("https://pbs.twimg.com/profile_images/1181871272369807360/bShCJOYQ.jpg","View")</f>
        <v>View</v>
      </c>
      <c r="V4316" s="8"/>
      <c r="W4316" s="8"/>
      <c r="X4316" s="8"/>
      <c r="Y4316" s="8"/>
      <c r="Z4316" s="8"/>
    </row>
    <row r="4317" spans="1:26" ht="12.75">
      <c r="A4317" s="11">
        <v>43747.120706018519</v>
      </c>
      <c r="B4317" s="12" t="str">
        <f>HYPERLINK("https://twitter.com/TulparYaras","@TulparYaras")</f>
        <v>@TulparYaras</v>
      </c>
      <c r="C4317" s="7" t="s">
        <v>21910</v>
      </c>
      <c r="D4317" s="7" t="s">
        <v>21911</v>
      </c>
      <c r="E4317" s="12" t="str">
        <f>HYPERLINK("https://twitter.com/TulparYaras/status/1181870371164901376","1181870371164901376")</f>
        <v>1181870371164901376</v>
      </c>
      <c r="F4317" s="8"/>
      <c r="G4317" s="15"/>
      <c r="H4317" s="8"/>
      <c r="I4317" s="15">
        <v>0</v>
      </c>
      <c r="J4317" s="15">
        <v>2</v>
      </c>
      <c r="K4317" s="12" t="str">
        <f>HYPERLINK("http://twitter.com/download/android","Twitter for Android")</f>
        <v>Twitter for Android</v>
      </c>
      <c r="L4317" s="16">
        <v>14</v>
      </c>
      <c r="M4317" s="16">
        <v>33</v>
      </c>
      <c r="N4317" s="16">
        <v>0</v>
      </c>
      <c r="O4317" s="17"/>
      <c r="P4317" s="18">
        <v>43693.252870370372</v>
      </c>
      <c r="Q4317" s="7"/>
      <c r="R4317" s="7" t="s">
        <v>21912</v>
      </c>
      <c r="S4317" s="8"/>
      <c r="T4317" s="8"/>
      <c r="U4317" s="19" t="str">
        <f>HYPERLINK("https://pbs.twimg.com/profile_images/1162350921176760320/gRHTZgT6.jpg","View")</f>
        <v>View</v>
      </c>
      <c r="V4317" s="8"/>
      <c r="W4317" s="8"/>
      <c r="X4317" s="8"/>
      <c r="Y4317" s="8"/>
      <c r="Z4317" s="8"/>
    </row>
    <row r="4318" spans="1:26" ht="12.75">
      <c r="A4318" s="11">
        <v>43747.120694444442</v>
      </c>
      <c r="B4318" s="12" t="str">
        <f>HYPERLINK("https://twitter.com/ishak_sahinli","@ishak_sahinli")</f>
        <v>@ishak_sahinli</v>
      </c>
      <c r="C4318" s="7" t="s">
        <v>21913</v>
      </c>
      <c r="D4318" s="7" t="s">
        <v>18451</v>
      </c>
      <c r="E4318" s="12" t="str">
        <f>HYPERLINK("https://twitter.com/ishak_sahinli/status/1181870369894014976","1181870369894014976")</f>
        <v>1181870369894014976</v>
      </c>
      <c r="F4318" s="8"/>
      <c r="G4318" s="7"/>
      <c r="H4318" s="8"/>
      <c r="I4318" s="15">
        <v>0</v>
      </c>
      <c r="J4318" s="15">
        <v>0</v>
      </c>
      <c r="K4318" s="12" t="str">
        <f>HYPERLINK("http://twitter.com/download/android","Twitter for Android")</f>
        <v>Twitter for Android</v>
      </c>
      <c r="L4318" s="16">
        <v>2</v>
      </c>
      <c r="M4318" s="16">
        <v>35</v>
      </c>
      <c r="N4318" s="16">
        <v>0</v>
      </c>
      <c r="O4318" s="17"/>
      <c r="P4318" s="18">
        <v>42319.605949074074</v>
      </c>
      <c r="Q4318" s="7"/>
      <c r="R4318" s="7"/>
      <c r="S4318" s="15"/>
      <c r="T4318" s="8"/>
      <c r="U4318" s="20" t="s">
        <v>354</v>
      </c>
      <c r="V4318" s="8"/>
      <c r="W4318" s="8"/>
      <c r="X4318" s="8"/>
      <c r="Y4318" s="8"/>
      <c r="Z4318" s="8"/>
    </row>
    <row r="4319" spans="1:26" ht="12.75">
      <c r="A4319" s="11">
        <v>43747.120671296296</v>
      </c>
      <c r="B4319" s="12" t="str">
        <f>HYPERLINK("https://twitter.com/emrecdogdu","@emrecdogdu")</f>
        <v>@emrecdogdu</v>
      </c>
      <c r="C4319" s="7" t="s">
        <v>3662</v>
      </c>
      <c r="D4319" s="7" t="s">
        <v>21914</v>
      </c>
      <c r="E4319" s="12" t="str">
        <f>HYPERLINK("https://twitter.com/emrecdogdu/status/1181870361098498048","1181870361098498048")</f>
        <v>1181870361098498048</v>
      </c>
      <c r="F4319" s="8"/>
      <c r="G4319" s="15"/>
      <c r="H4319" s="8"/>
      <c r="I4319" s="15">
        <v>0</v>
      </c>
      <c r="J4319" s="15">
        <v>0</v>
      </c>
      <c r="K4319" s="12" t="str">
        <f>HYPERLINK("http://twitter.com/download/android","Twitter for Android")</f>
        <v>Twitter for Android</v>
      </c>
      <c r="L4319" s="16">
        <v>802</v>
      </c>
      <c r="M4319" s="16">
        <v>800</v>
      </c>
      <c r="N4319" s="16">
        <v>2</v>
      </c>
      <c r="O4319" s="17"/>
      <c r="P4319" s="18">
        <v>42418.605914351851</v>
      </c>
      <c r="Q4319" s="7" t="s">
        <v>313</v>
      </c>
      <c r="R4319" s="7" t="s">
        <v>21915</v>
      </c>
      <c r="S4319" s="8"/>
      <c r="T4319" s="8"/>
      <c r="U4319" s="19" t="str">
        <f>HYPERLINK("https://pbs.twimg.com/profile_images/1176595211725807617/EbeI_E_O.jpg","View")</f>
        <v>View</v>
      </c>
      <c r="V4319" s="8"/>
      <c r="W4319" s="8"/>
      <c r="X4319" s="8"/>
      <c r="Y4319" s="8"/>
      <c r="Z4319" s="8"/>
    </row>
    <row r="4320" spans="1:26" ht="12.75">
      <c r="A4320" s="11">
        <v>43747.120648148149</v>
      </c>
      <c r="B4320" s="12" t="str">
        <f>HYPERLINK("https://twitter.com/ibrahim97979797","@ibrahim97979797")</f>
        <v>@ibrahim97979797</v>
      </c>
      <c r="C4320" s="7" t="s">
        <v>9982</v>
      </c>
      <c r="D4320" s="7" t="s">
        <v>21916</v>
      </c>
      <c r="E4320" s="12" t="str">
        <f>HYPERLINK("https://twitter.com/ibrahim97979797/status/1181870350465941504","1181870350465941504")</f>
        <v>1181870350465941504</v>
      </c>
      <c r="F4320" s="8"/>
      <c r="G4320" s="15"/>
      <c r="H4320" s="8"/>
      <c r="I4320" s="15">
        <v>0</v>
      </c>
      <c r="J4320" s="15">
        <v>1</v>
      </c>
      <c r="K4320" s="12" t="str">
        <f>HYPERLINK("http://twitter.com/download/android","Twitter for Android")</f>
        <v>Twitter for Android</v>
      </c>
      <c r="L4320" s="16">
        <v>11</v>
      </c>
      <c r="M4320" s="16">
        <v>73</v>
      </c>
      <c r="N4320" s="16">
        <v>0</v>
      </c>
      <c r="O4320" s="17"/>
      <c r="P4320" s="18">
        <v>43706.24732638889</v>
      </c>
      <c r="Q4320" s="7"/>
      <c r="R4320" s="7" t="s">
        <v>21917</v>
      </c>
      <c r="S4320" s="8"/>
      <c r="T4320" s="8"/>
      <c r="U4320" s="19" t="str">
        <f>HYPERLINK("https://pbs.twimg.com/profile_images/1167060087904636929/FycWHwMk.jpg","View")</f>
        <v>View</v>
      </c>
      <c r="V4320" s="8"/>
      <c r="W4320" s="8"/>
      <c r="X4320" s="8"/>
      <c r="Y4320" s="8"/>
      <c r="Z4320" s="8"/>
    </row>
    <row r="4321" spans="1:26" ht="12.75">
      <c r="A4321" s="11">
        <v>43747.120624999996</v>
      </c>
      <c r="B4321" s="12" t="str">
        <f>HYPERLINK("https://twitter.com/TR_Gunlugu","@TR_Gunlugu")</f>
        <v>@TR_Gunlugu</v>
      </c>
      <c r="C4321" s="7" t="s">
        <v>21918</v>
      </c>
      <c r="D4321" s="7" t="s">
        <v>21919</v>
      </c>
      <c r="E4321" s="12" t="str">
        <f>HYPERLINK("https://twitter.com/TR_Gunlugu/status/1181870342907813888","1181870342907813888")</f>
        <v>1181870342907813888</v>
      </c>
      <c r="F4321" s="8"/>
      <c r="G4321" s="14" t="s">
        <v>21920</v>
      </c>
      <c r="H4321" s="8"/>
      <c r="I4321" s="15">
        <v>0</v>
      </c>
      <c r="J4321" s="15">
        <v>3</v>
      </c>
      <c r="K4321" s="12" t="str">
        <f>HYPERLINK("https://mobile.twitter.com","Twitter Web App")</f>
        <v>Twitter Web App</v>
      </c>
      <c r="L4321" s="16">
        <v>120</v>
      </c>
      <c r="M4321" s="16">
        <v>840</v>
      </c>
      <c r="N4321" s="16">
        <v>0</v>
      </c>
      <c r="O4321" s="17"/>
      <c r="P4321" s="18">
        <v>43734.207951388889</v>
      </c>
      <c r="Q4321" s="7"/>
      <c r="R4321" s="7" t="s">
        <v>21921</v>
      </c>
      <c r="S4321" s="8"/>
      <c r="T4321" s="8"/>
      <c r="U4321" s="19" t="str">
        <f>HYPERLINK("https://pbs.twimg.com/profile_images/1177229815210029057/EzLpPkHa.jpg","View")</f>
        <v>View</v>
      </c>
      <c r="V4321" s="8"/>
      <c r="W4321" s="8"/>
      <c r="X4321" s="8"/>
      <c r="Y4321" s="8"/>
      <c r="Z4321" s="8"/>
    </row>
    <row r="4322" spans="1:26" ht="12.75">
      <c r="A4322" s="11">
        <v>43747.120590277773</v>
      </c>
      <c r="B4322" s="12" t="str">
        <f>HYPERLINK("https://twitter.com/isogurbuzz","@isogurbuzz")</f>
        <v>@isogurbuzz</v>
      </c>
      <c r="C4322" s="7" t="s">
        <v>21922</v>
      </c>
      <c r="D4322" s="7" t="s">
        <v>4284</v>
      </c>
      <c r="E4322" s="12" t="str">
        <f>HYPERLINK("https://twitter.com/isogurbuzz/status/1181870331088326657","1181870331088326657")</f>
        <v>1181870331088326657</v>
      </c>
      <c r="F4322" s="8"/>
      <c r="G4322" s="7"/>
      <c r="H4322" s="8"/>
      <c r="I4322" s="15">
        <v>0</v>
      </c>
      <c r="J4322" s="15">
        <v>1</v>
      </c>
      <c r="K4322" s="12" t="str">
        <f>HYPERLINK("https://mobile.twitter.com","Twitter Web App")</f>
        <v>Twitter Web App</v>
      </c>
      <c r="L4322" s="16">
        <v>62</v>
      </c>
      <c r="M4322" s="16">
        <v>102</v>
      </c>
      <c r="N4322" s="16">
        <v>0</v>
      </c>
      <c r="O4322" s="17"/>
      <c r="P4322" s="18">
        <v>42539.622615740736</v>
      </c>
      <c r="Q4322" s="7"/>
      <c r="R4322" s="7" t="s">
        <v>21923</v>
      </c>
      <c r="S4322" s="8"/>
      <c r="T4322" s="8"/>
      <c r="U4322" s="19" t="str">
        <f>HYPERLINK("https://pbs.twimg.com/profile_images/1025786802634993665/5Fovr4Gv.jpg","View")</f>
        <v>View</v>
      </c>
      <c r="V4322" s="8"/>
      <c r="W4322" s="8"/>
      <c r="X4322" s="8"/>
      <c r="Y4322" s="8"/>
      <c r="Z4322" s="8"/>
    </row>
    <row r="4323" spans="1:26" ht="12.75">
      <c r="A4323" s="11">
        <v>43747.120474537034</v>
      </c>
      <c r="B4323" s="12" t="str">
        <f>HYPERLINK("https://twitter.com/tayra_hoscan","@tayra_hoscan")</f>
        <v>@tayra_hoscan</v>
      </c>
      <c r="C4323" s="7" t="s">
        <v>21924</v>
      </c>
      <c r="D4323" s="7" t="s">
        <v>21925</v>
      </c>
      <c r="E4323" s="12" t="str">
        <f>HYPERLINK("https://twitter.com/tayra_hoscan/status/1181870290126721025","1181870290126721025")</f>
        <v>1181870290126721025</v>
      </c>
      <c r="F4323" s="8"/>
      <c r="G4323" s="15"/>
      <c r="H4323" s="8"/>
      <c r="I4323" s="15">
        <v>0</v>
      </c>
      <c r="J4323" s="15">
        <v>2</v>
      </c>
      <c r="K4323" s="12" t="str">
        <f>HYPERLINK("http://twitter.com","Twitter Web Client")</f>
        <v>Twitter Web Client</v>
      </c>
      <c r="L4323" s="16">
        <v>5</v>
      </c>
      <c r="M4323" s="16">
        <v>0</v>
      </c>
      <c r="N4323" s="16">
        <v>0</v>
      </c>
      <c r="O4323" s="17"/>
      <c r="P4323" s="18">
        <v>43675.129895833335</v>
      </c>
      <c r="Q4323" s="7" t="s">
        <v>9575</v>
      </c>
      <c r="R4323" s="7" t="s">
        <v>17681</v>
      </c>
      <c r="S4323" s="8"/>
      <c r="T4323" s="8"/>
      <c r="U4323" s="19" t="str">
        <f>HYPERLINK("https://pbs.twimg.com/profile_images/1158840997083852800/VPX3dEu5.jpg","View")</f>
        <v>View</v>
      </c>
      <c r="V4323" s="8"/>
      <c r="W4323" s="8"/>
      <c r="X4323" s="8"/>
      <c r="Y4323" s="8"/>
      <c r="Z4323" s="8"/>
    </row>
    <row r="4324" spans="1:26" ht="12.75">
      <c r="A4324" s="11">
        <v>43747.120428240742</v>
      </c>
      <c r="B4324" s="12" t="str">
        <f>HYPERLINK("https://twitter.com/bahadirrcelik","@bahadirrcelik")</f>
        <v>@bahadirrcelik</v>
      </c>
      <c r="C4324" s="7" t="s">
        <v>21926</v>
      </c>
      <c r="D4324" s="7" t="s">
        <v>4284</v>
      </c>
      <c r="E4324" s="12" t="str">
        <f>HYPERLINK("https://twitter.com/bahadirrcelik/status/1181870272179326976","1181870272179326976")</f>
        <v>1181870272179326976</v>
      </c>
      <c r="F4324" s="8"/>
      <c r="G4324" s="15"/>
      <c r="H4324" s="8"/>
      <c r="I4324" s="15">
        <v>0</v>
      </c>
      <c r="J4324" s="15">
        <v>1</v>
      </c>
      <c r="K4324" s="12" t="str">
        <f>HYPERLINK("http://twitter.com/download/android","Twitter for Android")</f>
        <v>Twitter for Android</v>
      </c>
      <c r="L4324" s="16">
        <v>206</v>
      </c>
      <c r="M4324" s="16">
        <v>117</v>
      </c>
      <c r="N4324" s="16">
        <v>0</v>
      </c>
      <c r="O4324" s="17"/>
      <c r="P4324" s="18">
        <v>41175.495092592595</v>
      </c>
      <c r="Q4324" s="7"/>
      <c r="R4324" s="7" t="s">
        <v>21927</v>
      </c>
      <c r="S4324" s="8"/>
      <c r="T4324" s="8"/>
      <c r="U4324" s="19" t="str">
        <f>HYPERLINK("https://pbs.twimg.com/profile_images/1165286679407661057/faUEM388.jpg","View")</f>
        <v>View</v>
      </c>
      <c r="V4324" s="8"/>
      <c r="W4324" s="8"/>
      <c r="X4324" s="8"/>
      <c r="Y4324" s="8"/>
      <c r="Z4324" s="8"/>
    </row>
    <row r="4325" spans="1:26" ht="12.75">
      <c r="A4325" s="11">
        <v>43747.120358796295</v>
      </c>
      <c r="B4325" s="12" t="str">
        <f>HYPERLINK("https://twitter.com/Mehmet91861254","@Mehmet91861254")</f>
        <v>@Mehmet91861254</v>
      </c>
      <c r="C4325" s="7" t="s">
        <v>4984</v>
      </c>
      <c r="D4325" s="7" t="s">
        <v>21928</v>
      </c>
      <c r="E4325" s="12" t="str">
        <f>HYPERLINK("https://twitter.com/Mehmet91861254/status/1181870247609032704","1181870247609032704")</f>
        <v>1181870247609032704</v>
      </c>
      <c r="F4325" s="8"/>
      <c r="G4325" s="15"/>
      <c r="H4325" s="8"/>
      <c r="I4325" s="15">
        <v>0</v>
      </c>
      <c r="J4325" s="15">
        <v>0</v>
      </c>
      <c r="K4325" s="12" t="str">
        <f>HYPERLINK("http://twitter.com/download/android","Twitter for Android")</f>
        <v>Twitter for Android</v>
      </c>
      <c r="L4325" s="16">
        <v>1</v>
      </c>
      <c r="M4325" s="16">
        <v>5</v>
      </c>
      <c r="N4325" s="16">
        <v>0</v>
      </c>
      <c r="O4325" s="17"/>
      <c r="P4325" s="18">
        <v>43682.515648148154</v>
      </c>
      <c r="Q4325" s="7"/>
      <c r="R4325" s="7"/>
      <c r="S4325" s="8"/>
      <c r="T4325" s="8"/>
      <c r="U4325" s="20" t="s">
        <v>354</v>
      </c>
      <c r="V4325" s="8"/>
      <c r="W4325" s="8"/>
      <c r="X4325" s="8"/>
      <c r="Y4325" s="8"/>
      <c r="Z4325" s="8"/>
    </row>
    <row r="4326" spans="1:26" ht="12.75">
      <c r="A4326" s="11">
        <v>43747.120335648149</v>
      </c>
      <c r="B4326" s="12" t="str">
        <f>HYPERLINK("https://twitter.com/0673Efendi","@0673Efendi")</f>
        <v>@0673Efendi</v>
      </c>
      <c r="C4326" s="7" t="s">
        <v>21929</v>
      </c>
      <c r="D4326" s="7" t="s">
        <v>21930</v>
      </c>
      <c r="E4326" s="12" t="str">
        <f>HYPERLINK("https://twitter.com/0673Efendi/status/1181870236800290816","1181870236800290816")</f>
        <v>1181870236800290816</v>
      </c>
      <c r="F4326" s="15"/>
      <c r="G4326" s="14" t="s">
        <v>21931</v>
      </c>
      <c r="H4326" s="8"/>
      <c r="I4326" s="15">
        <v>0</v>
      </c>
      <c r="J4326" s="15">
        <v>2</v>
      </c>
      <c r="K4326" s="12" t="str">
        <f>HYPERLINK("https://mobile.twitter.com","Twitter Web App")</f>
        <v>Twitter Web App</v>
      </c>
      <c r="L4326" s="16">
        <v>448</v>
      </c>
      <c r="M4326" s="16">
        <v>929</v>
      </c>
      <c r="N4326" s="16">
        <v>0</v>
      </c>
      <c r="O4326" s="17"/>
      <c r="P4326" s="18">
        <v>41291.287488425922</v>
      </c>
      <c r="Q4326" s="7" t="s">
        <v>4895</v>
      </c>
      <c r="R4326" s="7" t="s">
        <v>21932</v>
      </c>
      <c r="S4326" s="15"/>
      <c r="T4326" s="8"/>
      <c r="U4326" s="19" t="str">
        <f>HYPERLINK("https://pbs.twimg.com/profile_images/1083071356772716549/ur7g-l15.jpg","View")</f>
        <v>View</v>
      </c>
      <c r="V4326" s="8"/>
      <c r="W4326" s="8"/>
      <c r="X4326" s="8"/>
      <c r="Y4326" s="8"/>
      <c r="Z4326" s="8"/>
    </row>
    <row r="4327" spans="1:26" ht="12.75">
      <c r="A4327" s="11">
        <v>43747.120335648149</v>
      </c>
      <c r="B4327" s="12" t="str">
        <f>HYPERLINK("https://twitter.com/grup_anka","@grup_anka")</f>
        <v>@grup_anka</v>
      </c>
      <c r="C4327" s="7" t="s">
        <v>21933</v>
      </c>
      <c r="D4327" s="7" t="s">
        <v>21934</v>
      </c>
      <c r="E4327" s="12" t="str">
        <f>HYPERLINK("https://twitter.com/grup_anka/status/1181870236103929856","1181870236103929856")</f>
        <v>1181870236103929856</v>
      </c>
      <c r="F4327" s="8"/>
      <c r="G4327" s="14" t="s">
        <v>21935</v>
      </c>
      <c r="H4327" s="8"/>
      <c r="I4327" s="15">
        <v>0</v>
      </c>
      <c r="J4327" s="15">
        <v>0</v>
      </c>
      <c r="K4327" s="12" t="str">
        <f>HYPERLINK("http://twitter.com/download/android","Twitter for Android")</f>
        <v>Twitter for Android</v>
      </c>
      <c r="L4327" s="16">
        <v>873</v>
      </c>
      <c r="M4327" s="16">
        <v>1611</v>
      </c>
      <c r="N4327" s="16">
        <v>6</v>
      </c>
      <c r="O4327" s="17"/>
      <c r="P4327" s="18">
        <v>40428.769108796296</v>
      </c>
      <c r="Q4327" s="7" t="s">
        <v>668</v>
      </c>
      <c r="R4327" s="7" t="s">
        <v>21936</v>
      </c>
      <c r="S4327" s="14" t="s">
        <v>21937</v>
      </c>
      <c r="T4327" s="8"/>
      <c r="U4327" s="19" t="str">
        <f>HYPERLINK("https://pbs.twimg.com/profile_images/1149081924822065153/2RQPaK-Q.jpg","View")</f>
        <v>View</v>
      </c>
      <c r="V4327" s="8"/>
      <c r="W4327" s="8"/>
      <c r="X4327" s="8"/>
      <c r="Y4327" s="8"/>
      <c r="Z4327" s="8"/>
    </row>
    <row r="4328" spans="1:26" ht="12.75">
      <c r="A4328" s="11">
        <v>43747.120243055557</v>
      </c>
      <c r="B4328" s="12" t="str">
        <f>HYPERLINK("https://twitter.com/bumtamtam07","@bumtamtam07")</f>
        <v>@bumtamtam07</v>
      </c>
      <c r="C4328" s="7" t="s">
        <v>21938</v>
      </c>
      <c r="D4328" s="7" t="s">
        <v>21939</v>
      </c>
      <c r="E4328" s="12" t="str">
        <f>HYPERLINK("https://twitter.com/bumtamtam07/status/1181870204709740545","1181870204709740545")</f>
        <v>1181870204709740545</v>
      </c>
      <c r="F4328" s="8"/>
      <c r="G4328" s="15"/>
      <c r="H4328" s="8"/>
      <c r="I4328" s="15">
        <v>0</v>
      </c>
      <c r="J4328" s="15">
        <v>0</v>
      </c>
      <c r="K4328" s="12" t="str">
        <f>HYPERLINK("http://twitter.com/download/iphone","Twitter for iPhone")</f>
        <v>Twitter for iPhone</v>
      </c>
      <c r="L4328" s="16">
        <v>256</v>
      </c>
      <c r="M4328" s="16">
        <v>390</v>
      </c>
      <c r="N4328" s="16">
        <v>2</v>
      </c>
      <c r="O4328" s="17"/>
      <c r="P4328" s="18">
        <v>40941.171331018515</v>
      </c>
      <c r="Q4328" s="7" t="s">
        <v>668</v>
      </c>
      <c r="R4328" s="7"/>
      <c r="S4328" s="8"/>
      <c r="T4328" s="8"/>
      <c r="U4328" s="19" t="str">
        <f>HYPERLINK("https://pbs.twimg.com/profile_images/1129287769971412992/Ns-MTK7B.jpg","View")</f>
        <v>View</v>
      </c>
      <c r="V4328" s="8"/>
      <c r="W4328" s="8"/>
      <c r="X4328" s="8"/>
      <c r="Y4328" s="8"/>
      <c r="Z4328" s="8"/>
    </row>
    <row r="4329" spans="1:26" ht="12.75">
      <c r="A4329" s="11">
        <v>43747.120208333334</v>
      </c>
      <c r="B4329" s="12" t="str">
        <f>HYPERLINK("https://twitter.com/kulalerol","@kulalerol")</f>
        <v>@kulalerol</v>
      </c>
      <c r="C4329" s="7" t="s">
        <v>21940</v>
      </c>
      <c r="D4329" s="7" t="s">
        <v>21941</v>
      </c>
      <c r="E4329" s="12" t="str">
        <f>HYPERLINK("https://twitter.com/kulalerol/status/1181870194014216192","1181870194014216192")</f>
        <v>1181870194014216192</v>
      </c>
      <c r="F4329" s="8"/>
      <c r="G4329" s="7"/>
      <c r="H4329" s="8"/>
      <c r="I4329" s="15">
        <v>2</v>
      </c>
      <c r="J4329" s="15">
        <v>9</v>
      </c>
      <c r="K4329" s="12" t="str">
        <f>HYPERLINK("http://twitter.com/download/iphone","Twitter for iPhone")</f>
        <v>Twitter for iPhone</v>
      </c>
      <c r="L4329" s="16">
        <v>1756</v>
      </c>
      <c r="M4329" s="16">
        <v>26</v>
      </c>
      <c r="N4329" s="16">
        <v>0</v>
      </c>
      <c r="O4329" s="17"/>
      <c r="P4329" s="18">
        <v>43404.128310185188</v>
      </c>
      <c r="Q4329" s="7" t="s">
        <v>200</v>
      </c>
      <c r="R4329" s="7" t="s">
        <v>21942</v>
      </c>
      <c r="S4329" s="14" t="s">
        <v>21943</v>
      </c>
      <c r="T4329" s="8"/>
      <c r="U4329" s="19" t="str">
        <f>HYPERLINK("https://pbs.twimg.com/profile_images/1150865985735462912/KQlTFChh.jpg","View")</f>
        <v>View</v>
      </c>
      <c r="V4329" s="8"/>
      <c r="W4329" s="8"/>
      <c r="X4329" s="8"/>
      <c r="Y4329" s="8"/>
      <c r="Z4329" s="8"/>
    </row>
    <row r="4330" spans="1:26" ht="12.75">
      <c r="A4330" s="11">
        <v>43747.120196759264</v>
      </c>
      <c r="B4330" s="12" t="str">
        <f>HYPERLINK("https://twitter.com/cnrdlszz","@cnrdlszz")</f>
        <v>@cnrdlszz</v>
      </c>
      <c r="C4330" s="7" t="s">
        <v>21944</v>
      </c>
      <c r="D4330" s="7" t="s">
        <v>21945</v>
      </c>
      <c r="E4330" s="12" t="str">
        <f>HYPERLINK("https://twitter.com/cnrdlszz/status/1181870187970211847","1181870187970211847")</f>
        <v>1181870187970211847</v>
      </c>
      <c r="F4330" s="8"/>
      <c r="G4330" s="14" t="s">
        <v>21946</v>
      </c>
      <c r="H4330" s="8"/>
      <c r="I4330" s="15">
        <v>0</v>
      </c>
      <c r="J4330" s="15">
        <v>1</v>
      </c>
      <c r="K4330" s="12" t="str">
        <f>HYPERLINK("http://twitter.com/download/android","Twitter for Android")</f>
        <v>Twitter for Android</v>
      </c>
      <c r="L4330" s="16">
        <v>680</v>
      </c>
      <c r="M4330" s="16">
        <v>576</v>
      </c>
      <c r="N4330" s="16">
        <v>0</v>
      </c>
      <c r="O4330" s="17"/>
      <c r="P4330" s="18">
        <v>40660.244895833333</v>
      </c>
      <c r="Q4330" s="7" t="s">
        <v>576</v>
      </c>
      <c r="R4330" s="7" t="s">
        <v>21947</v>
      </c>
      <c r="S4330" s="8"/>
      <c r="T4330" s="8"/>
      <c r="U4330" s="19" t="str">
        <f>HYPERLINK("https://pbs.twimg.com/profile_images/1177694326719221761/6oyFarRM.jpg","View")</f>
        <v>View</v>
      </c>
      <c r="V4330" s="8"/>
      <c r="W4330" s="8"/>
      <c r="X4330" s="8"/>
      <c r="Y4330" s="8"/>
      <c r="Z4330" s="8"/>
    </row>
    <row r="4331" spans="1:26" ht="12.75">
      <c r="A4331" s="11">
        <v>43747.120173611111</v>
      </c>
      <c r="B4331" s="12" t="str">
        <f>HYPERLINK("https://twitter.com/felsefenindibi","@felsefenindibi")</f>
        <v>@felsefenindibi</v>
      </c>
      <c r="C4331" s="7" t="s">
        <v>21948</v>
      </c>
      <c r="D4331" s="7" t="s">
        <v>21949</v>
      </c>
      <c r="E4331" s="12" t="str">
        <f>HYPERLINK("https://twitter.com/felsefenindibi/status/1181870180290482177","1181870180290482177")</f>
        <v>1181870180290482177</v>
      </c>
      <c r="F4331" s="8"/>
      <c r="G4331" s="7"/>
      <c r="H4331" s="8"/>
      <c r="I4331" s="15">
        <v>0</v>
      </c>
      <c r="J4331" s="15">
        <v>0</v>
      </c>
      <c r="K4331" s="12" t="str">
        <f>HYPERLINK("http://twitter.com/download/android","Twitter for Android")</f>
        <v>Twitter for Android</v>
      </c>
      <c r="L4331" s="16">
        <v>93</v>
      </c>
      <c r="M4331" s="16">
        <v>152</v>
      </c>
      <c r="N4331" s="16">
        <v>0</v>
      </c>
      <c r="O4331" s="17"/>
      <c r="P4331" s="18">
        <v>40232.66814814815</v>
      </c>
      <c r="Q4331" s="7" t="s">
        <v>576</v>
      </c>
      <c r="R4331" s="7"/>
      <c r="S4331" s="8"/>
      <c r="T4331" s="8"/>
      <c r="U4331" s="19" t="str">
        <f>HYPERLINK("https://pbs.twimg.com/profile_images/807538273681866752/ZOq8khhO.jpg","View")</f>
        <v>View</v>
      </c>
      <c r="V4331" s="8"/>
      <c r="W4331" s="8"/>
      <c r="X4331" s="8"/>
      <c r="Y4331" s="8"/>
      <c r="Z4331" s="8"/>
    </row>
    <row r="4332" spans="1:26" ht="12.75">
      <c r="A4332" s="11">
        <v>43747.120150462964</v>
      </c>
      <c r="B4332" s="12" t="str">
        <f>HYPERLINK("https://twitter.com/mustafa_tpkr","@mustafa_tpkr")</f>
        <v>@mustafa_tpkr</v>
      </c>
      <c r="C4332" s="7" t="s">
        <v>21950</v>
      </c>
      <c r="D4332" s="7" t="s">
        <v>160</v>
      </c>
      <c r="E4332" s="12" t="str">
        <f>HYPERLINK("https://twitter.com/mustafa_tpkr/status/1181870170316398592","1181870170316398592")</f>
        <v>1181870170316398592</v>
      </c>
      <c r="F4332" s="8"/>
      <c r="G4332" s="14" t="s">
        <v>21951</v>
      </c>
      <c r="H4332" s="8"/>
      <c r="I4332" s="15">
        <v>0</v>
      </c>
      <c r="J4332" s="15">
        <v>1</v>
      </c>
      <c r="K4332" s="12" t="str">
        <f>HYPERLINK("http://twitter.com/download/android","Twitter for Android")</f>
        <v>Twitter for Android</v>
      </c>
      <c r="L4332" s="16">
        <v>400</v>
      </c>
      <c r="M4332" s="16">
        <v>348</v>
      </c>
      <c r="N4332" s="16">
        <v>0</v>
      </c>
      <c r="O4332" s="17"/>
      <c r="P4332" s="18">
        <v>40434.297581018516</v>
      </c>
      <c r="Q4332" s="7" t="s">
        <v>860</v>
      </c>
      <c r="R4332" s="14" t="s">
        <v>21952</v>
      </c>
      <c r="S4332" s="8"/>
      <c r="T4332" s="8"/>
      <c r="U4332" s="19" t="str">
        <f>HYPERLINK("https://pbs.twimg.com/profile_images/1172398044941172743/0jY_zQTP.jpg","View")</f>
        <v>View</v>
      </c>
      <c r="V4332" s="8"/>
      <c r="W4332" s="8"/>
      <c r="X4332" s="8"/>
      <c r="Y4332" s="8"/>
      <c r="Z4332" s="8"/>
    </row>
    <row r="4333" spans="1:26" ht="12.75">
      <c r="A4333" s="11">
        <v>43747.120138888888</v>
      </c>
      <c r="B4333" s="12" t="str">
        <f>HYPERLINK("https://twitter.com/the_green_spell","@the_green_spell")</f>
        <v>@the_green_spell</v>
      </c>
      <c r="C4333" s="7" t="s">
        <v>21953</v>
      </c>
      <c r="D4333" s="7" t="s">
        <v>160</v>
      </c>
      <c r="E4333" s="12" t="str">
        <f>HYPERLINK("https://twitter.com/the_green_spell/status/1181870168257040384","1181870168257040384")</f>
        <v>1181870168257040384</v>
      </c>
      <c r="F4333" s="8"/>
      <c r="G4333" s="15"/>
      <c r="H4333" s="8"/>
      <c r="I4333" s="15">
        <v>0</v>
      </c>
      <c r="J4333" s="15">
        <v>0</v>
      </c>
      <c r="K4333" s="12" t="str">
        <f>HYPERLINK("https://mobile.twitter.com","Twitter Web App")</f>
        <v>Twitter Web App</v>
      </c>
      <c r="L4333" s="16">
        <v>127</v>
      </c>
      <c r="M4333" s="16">
        <v>80</v>
      </c>
      <c r="N4333" s="16">
        <v>0</v>
      </c>
      <c r="O4333" s="17"/>
      <c r="P4333" s="18">
        <v>40476.043796296297</v>
      </c>
      <c r="Q4333" s="7"/>
      <c r="R4333" s="7"/>
      <c r="S4333" s="8"/>
      <c r="T4333" s="8"/>
      <c r="U4333" s="19" t="str">
        <f>HYPERLINK("https://pbs.twimg.com/profile_images/1177558918760976384/3NAVa-DZ.jpg","View")</f>
        <v>View</v>
      </c>
      <c r="V4333" s="8"/>
      <c r="W4333" s="8"/>
      <c r="X4333" s="8"/>
      <c r="Y4333" s="8"/>
      <c r="Z4333" s="8"/>
    </row>
    <row r="4334" spans="1:26" ht="12.75">
      <c r="A4334" s="11">
        <v>43747.120138888888</v>
      </c>
      <c r="B4334" s="12" t="str">
        <f>HYPERLINK("https://twitter.com/RainyDa43302064","@RainyDa43302064")</f>
        <v>@RainyDa43302064</v>
      </c>
      <c r="C4334" s="7" t="s">
        <v>21954</v>
      </c>
      <c r="D4334" s="7" t="s">
        <v>21955</v>
      </c>
      <c r="E4334" s="12" t="str">
        <f>HYPERLINK("https://twitter.com/RainyDa43302064/status/1181870166499565568","1181870166499565568")</f>
        <v>1181870166499565568</v>
      </c>
      <c r="F4334" s="8"/>
      <c r="G4334" s="7"/>
      <c r="H4334" s="8"/>
      <c r="I4334" s="15">
        <v>0</v>
      </c>
      <c r="J4334" s="15">
        <v>0</v>
      </c>
      <c r="K4334" s="12" t="str">
        <f>HYPERLINK("http://twitter.com/download/android","Twitter for Android")</f>
        <v>Twitter for Android</v>
      </c>
      <c r="L4334" s="16">
        <v>3</v>
      </c>
      <c r="M4334" s="16">
        <v>15</v>
      </c>
      <c r="N4334" s="16">
        <v>0</v>
      </c>
      <c r="O4334" s="17"/>
      <c r="P4334" s="18">
        <v>43603.123379629629</v>
      </c>
      <c r="Q4334" s="7"/>
      <c r="R4334" s="7"/>
      <c r="S4334" s="15"/>
      <c r="T4334" s="8"/>
      <c r="U4334" s="20" t="s">
        <v>354</v>
      </c>
      <c r="V4334" s="8"/>
      <c r="W4334" s="8"/>
      <c r="X4334" s="8"/>
      <c r="Y4334" s="8"/>
      <c r="Z4334" s="8"/>
    </row>
    <row r="4335" spans="1:26" ht="12.75">
      <c r="A4335" s="11">
        <v>43747.120127314818</v>
      </c>
      <c r="B4335" s="12" t="str">
        <f>HYPERLINK("https://twitter.com/BeniisraiL","@BeniisraiL")</f>
        <v>@BeniisraiL</v>
      </c>
      <c r="C4335" s="7" t="s">
        <v>21956</v>
      </c>
      <c r="D4335" s="7" t="s">
        <v>21957</v>
      </c>
      <c r="E4335" s="12" t="str">
        <f>HYPERLINK("https://twitter.com/BeniisraiL/status/1181870163542626304","1181870163542626304")</f>
        <v>1181870163542626304</v>
      </c>
      <c r="F4335" s="8"/>
      <c r="G4335" s="14" t="s">
        <v>21958</v>
      </c>
      <c r="H4335" s="8"/>
      <c r="I4335" s="15">
        <v>1</v>
      </c>
      <c r="J4335" s="15">
        <v>7</v>
      </c>
      <c r="K4335" s="12" t="str">
        <f>HYPERLINK("http://twitter.com/download/android","Twitter for Android")</f>
        <v>Twitter for Android</v>
      </c>
      <c r="L4335" s="16">
        <v>17197</v>
      </c>
      <c r="M4335" s="16">
        <v>16994</v>
      </c>
      <c r="N4335" s="16">
        <v>36</v>
      </c>
      <c r="O4335" s="17"/>
      <c r="P4335" s="18">
        <v>41453.690925925926</v>
      </c>
      <c r="Q4335" s="7" t="s">
        <v>21959</v>
      </c>
      <c r="R4335" s="7" t="s">
        <v>21960</v>
      </c>
      <c r="S4335" s="8"/>
      <c r="T4335" s="8"/>
      <c r="U4335" s="19" t="str">
        <f>HYPERLINK("https://pbs.twimg.com/profile_images/1151222181491355648/pU2PHX9-.jpg","View")</f>
        <v>View</v>
      </c>
      <c r="V4335" s="8"/>
      <c r="W4335" s="8"/>
      <c r="X4335" s="8"/>
      <c r="Y4335" s="8"/>
      <c r="Z4335" s="8"/>
    </row>
    <row r="4336" spans="1:26" ht="12.75">
      <c r="A4336" s="11">
        <v>43747.120104166665</v>
      </c>
      <c r="B4336" s="12" t="str">
        <f>HYPERLINK("https://twitter.com/alisen1414","@alisen1414")</f>
        <v>@alisen1414</v>
      </c>
      <c r="C4336" s="7" t="s">
        <v>21961</v>
      </c>
      <c r="D4336" s="7" t="s">
        <v>20569</v>
      </c>
      <c r="E4336" s="12" t="str">
        <f>HYPERLINK("https://twitter.com/alisen1414/status/1181870153547616256","1181870153547616256")</f>
        <v>1181870153547616256</v>
      </c>
      <c r="F4336" s="8"/>
      <c r="G4336" s="14" t="s">
        <v>21962</v>
      </c>
      <c r="H4336" s="8"/>
      <c r="I4336" s="15">
        <v>1</v>
      </c>
      <c r="J4336" s="15">
        <v>3</v>
      </c>
      <c r="K4336" s="12" t="str">
        <f>HYPERLINK("http://twitter.com/download/android","Twitter for Android")</f>
        <v>Twitter for Android</v>
      </c>
      <c r="L4336" s="16">
        <v>2406</v>
      </c>
      <c r="M4336" s="16">
        <v>1733</v>
      </c>
      <c r="N4336" s="16">
        <v>0</v>
      </c>
      <c r="O4336" s="17"/>
      <c r="P4336" s="18">
        <v>43073.388912037037</v>
      </c>
      <c r="Q4336" s="7" t="s">
        <v>576</v>
      </c>
      <c r="R4336" s="7" t="s">
        <v>21963</v>
      </c>
      <c r="S4336" s="8"/>
      <c r="T4336" s="8"/>
      <c r="U4336" s="19" t="str">
        <f>HYPERLINK("https://pbs.twimg.com/profile_images/1148295143830818816/5w5GYtBK.jpg","View")</f>
        <v>View</v>
      </c>
      <c r="V4336" s="8"/>
      <c r="W4336" s="8"/>
      <c r="X4336" s="8"/>
      <c r="Y4336" s="8"/>
      <c r="Z4336" s="8"/>
    </row>
    <row r="4337" spans="1:26" ht="12.75">
      <c r="A4337" s="11">
        <v>43747.120081018518</v>
      </c>
      <c r="B4337" s="12" t="str">
        <f>HYPERLINK("https://twitter.com/Asilbabazade","@Asilbabazade")</f>
        <v>@Asilbabazade</v>
      </c>
      <c r="C4337" s="7" t="s">
        <v>21964</v>
      </c>
      <c r="D4337" s="7" t="s">
        <v>160</v>
      </c>
      <c r="E4337" s="12" t="str">
        <f>HYPERLINK("https://twitter.com/Asilbabazade/status/1181870145817501697","1181870145817501697")</f>
        <v>1181870145817501697</v>
      </c>
      <c r="F4337" s="8"/>
      <c r="G4337" s="14" t="s">
        <v>21965</v>
      </c>
      <c r="H4337" s="8"/>
      <c r="I4337" s="15">
        <v>0</v>
      </c>
      <c r="J4337" s="15">
        <v>0</v>
      </c>
      <c r="K4337" s="12" t="str">
        <f>HYPERLINK("http://twitter.com/download/android","Twitter for Android")</f>
        <v>Twitter for Android</v>
      </c>
      <c r="L4337" s="16">
        <v>20</v>
      </c>
      <c r="M4337" s="16">
        <v>155</v>
      </c>
      <c r="N4337" s="16">
        <v>0</v>
      </c>
      <c r="O4337" s="17"/>
      <c r="P4337" s="18">
        <v>42265.947893518518</v>
      </c>
      <c r="Q4337" s="7" t="s">
        <v>21966</v>
      </c>
      <c r="R4337" s="7" t="s">
        <v>21967</v>
      </c>
      <c r="S4337" s="8"/>
      <c r="T4337" s="8"/>
      <c r="U4337" s="19" t="str">
        <f>HYPERLINK("https://pbs.twimg.com/profile_images/1150399225206923264/cc2JJfFP.jpg","View")</f>
        <v>View</v>
      </c>
      <c r="V4337" s="8"/>
      <c r="W4337" s="8"/>
      <c r="X4337" s="8"/>
      <c r="Y4337" s="8"/>
      <c r="Z4337" s="8"/>
    </row>
    <row r="4338" spans="1:26" ht="12.75">
      <c r="A4338" s="11">
        <v>43747.120057870372</v>
      </c>
      <c r="B4338" s="12" t="str">
        <f>HYPERLINK("https://twitter.com/furkanstark","@furkanstark")</f>
        <v>@furkanstark</v>
      </c>
      <c r="C4338" s="7" t="s">
        <v>3141</v>
      </c>
      <c r="D4338" s="7" t="s">
        <v>16588</v>
      </c>
      <c r="E4338" s="12" t="str">
        <f>HYPERLINK("https://twitter.com/furkanstark/status/1181870136006975488","1181870136006975488")</f>
        <v>1181870136006975488</v>
      </c>
      <c r="F4338" s="15"/>
      <c r="G4338" s="7"/>
      <c r="H4338" s="8"/>
      <c r="I4338" s="15">
        <v>2</v>
      </c>
      <c r="J4338" s="15">
        <v>41</v>
      </c>
      <c r="K4338" s="12" t="str">
        <f>HYPERLINK("https://mobile.twitter.com","Twitter Web App")</f>
        <v>Twitter Web App</v>
      </c>
      <c r="L4338" s="16">
        <v>5261</v>
      </c>
      <c r="M4338" s="16">
        <v>5180</v>
      </c>
      <c r="N4338" s="16">
        <v>6</v>
      </c>
      <c r="O4338" s="17"/>
      <c r="P4338" s="18">
        <v>39968.650960648149</v>
      </c>
      <c r="Q4338" s="7" t="s">
        <v>21968</v>
      </c>
      <c r="R4338" s="7" t="s">
        <v>21969</v>
      </c>
      <c r="S4338" s="8"/>
      <c r="T4338" s="8"/>
      <c r="U4338" s="19" t="str">
        <f>HYPERLINK("https://pbs.twimg.com/profile_images/1171391981471358976/PaxGYiUL.jpg","View")</f>
        <v>View</v>
      </c>
      <c r="V4338" s="8"/>
      <c r="W4338" s="8"/>
      <c r="X4338" s="8"/>
      <c r="Y4338" s="8"/>
      <c r="Z4338" s="8"/>
    </row>
    <row r="4339" spans="1:26" ht="12.75">
      <c r="A4339" s="11">
        <v>43747.120023148149</v>
      </c>
      <c r="B4339" s="12" t="str">
        <f>HYPERLINK("https://twitter.com/ummugulsum_ak","@ummugulsum_ak")</f>
        <v>@ummugulsum_ak</v>
      </c>
      <c r="C4339" s="7" t="s">
        <v>21970</v>
      </c>
      <c r="D4339" s="7" t="s">
        <v>21971</v>
      </c>
      <c r="E4339" s="12" t="str">
        <f>HYPERLINK("https://twitter.com/ummugulsum_ak/status/1181870123734519808","1181870123734519808")</f>
        <v>1181870123734519808</v>
      </c>
      <c r="F4339" s="15"/>
      <c r="G4339" s="14" t="s">
        <v>21972</v>
      </c>
      <c r="H4339" s="8"/>
      <c r="I4339" s="15">
        <v>2</v>
      </c>
      <c r="J4339" s="15">
        <v>2</v>
      </c>
      <c r="K4339" s="12" t="str">
        <f>HYPERLINK("https://mobile.twitter.com","Twitter Web App")</f>
        <v>Twitter Web App</v>
      </c>
      <c r="L4339" s="16">
        <v>371</v>
      </c>
      <c r="M4339" s="16">
        <v>1626</v>
      </c>
      <c r="N4339" s="16">
        <v>1</v>
      </c>
      <c r="O4339" s="17"/>
      <c r="P4339" s="18">
        <v>40832.966678240744</v>
      </c>
      <c r="Q4339" s="7" t="s">
        <v>313</v>
      </c>
      <c r="R4339" s="7" t="s">
        <v>21973</v>
      </c>
      <c r="S4339" s="8"/>
      <c r="T4339" s="8"/>
      <c r="U4339" s="19" t="str">
        <f>HYPERLINK("https://pbs.twimg.com/profile_images/1178425689202216960/6uPQmR2e.jpg","View")</f>
        <v>View</v>
      </c>
      <c r="V4339" s="8"/>
      <c r="W4339" s="8"/>
      <c r="X4339" s="8"/>
      <c r="Y4339" s="8"/>
      <c r="Z4339" s="8"/>
    </row>
    <row r="4340" spans="1:26" ht="12.75">
      <c r="A4340" s="11">
        <v>43747.120023148149</v>
      </c>
      <c r="B4340" s="12" t="str">
        <f>HYPERLINK("https://twitter.com/Sevri63","@Sevri63")</f>
        <v>@Sevri63</v>
      </c>
      <c r="C4340" s="7" t="s">
        <v>21974</v>
      </c>
      <c r="D4340" s="7" t="s">
        <v>21975</v>
      </c>
      <c r="E4340" s="12" t="str">
        <f>HYPERLINK("https://twitter.com/Sevri63/status/1181870123084374017","1181870123084374017")</f>
        <v>1181870123084374017</v>
      </c>
      <c r="F4340" s="8"/>
      <c r="G4340" s="7"/>
      <c r="H4340" s="8"/>
      <c r="I4340" s="15">
        <v>0</v>
      </c>
      <c r="J4340" s="15">
        <v>0</v>
      </c>
      <c r="K4340" s="12" t="str">
        <f>HYPERLINK("http://twitter.com/download/android","Twitter for Android")</f>
        <v>Twitter for Android</v>
      </c>
      <c r="L4340" s="16">
        <v>179</v>
      </c>
      <c r="M4340" s="16">
        <v>345</v>
      </c>
      <c r="N4340" s="16">
        <v>1</v>
      </c>
      <c r="O4340" s="17"/>
      <c r="P4340" s="18">
        <v>40730.935081018521</v>
      </c>
      <c r="Q4340" s="7" t="s">
        <v>10009</v>
      </c>
      <c r="R4340" s="7" t="s">
        <v>21976</v>
      </c>
      <c r="S4340" s="8"/>
      <c r="T4340" s="8"/>
      <c r="U4340" s="19" t="str">
        <f>HYPERLINK("https://pbs.twimg.com/profile_images/1125490428537602048/HUzHjLhx.jpg","View")</f>
        <v>View</v>
      </c>
      <c r="V4340" s="8"/>
      <c r="W4340" s="8"/>
      <c r="X4340" s="8"/>
      <c r="Y4340" s="8"/>
      <c r="Z4340" s="8"/>
    </row>
    <row r="4341" spans="1:26" ht="12.75">
      <c r="A4341" s="11">
        <v>43747.119999999995</v>
      </c>
      <c r="B4341" s="12" t="str">
        <f>HYPERLINK("https://twitter.com/alican_bicim","@alican_bicim")</f>
        <v>@alican_bicim</v>
      </c>
      <c r="C4341" s="7" t="s">
        <v>21977</v>
      </c>
      <c r="D4341" s="7" t="s">
        <v>19190</v>
      </c>
      <c r="E4341" s="12" t="str">
        <f>HYPERLINK("https://twitter.com/alican_bicim/status/1181870114863505408","1181870114863505408")</f>
        <v>1181870114863505408</v>
      </c>
      <c r="F4341" s="8"/>
      <c r="G4341" s="15"/>
      <c r="H4341" s="8"/>
      <c r="I4341" s="15">
        <v>0</v>
      </c>
      <c r="J4341" s="15">
        <v>0</v>
      </c>
      <c r="K4341" s="12" t="str">
        <f>HYPERLINK("http://twitter.com","Twitter Web Client")</f>
        <v>Twitter Web Client</v>
      </c>
      <c r="L4341" s="16">
        <v>12</v>
      </c>
      <c r="M4341" s="16">
        <v>0</v>
      </c>
      <c r="N4341" s="16">
        <v>0</v>
      </c>
      <c r="O4341" s="17"/>
      <c r="P4341" s="18">
        <v>43639.660358796296</v>
      </c>
      <c r="Q4341" s="7" t="s">
        <v>1150</v>
      </c>
      <c r="R4341" s="7" t="s">
        <v>21978</v>
      </c>
      <c r="S4341" s="8"/>
      <c r="T4341" s="8"/>
      <c r="U4341" s="19" t="str">
        <f>HYPERLINK("https://pbs.twimg.com/profile_images/1143823174586552320/H09GkF2x.png","View")</f>
        <v>View</v>
      </c>
      <c r="V4341" s="8"/>
      <c r="W4341" s="8"/>
      <c r="X4341" s="8"/>
      <c r="Y4341" s="8"/>
      <c r="Z4341" s="8"/>
    </row>
    <row r="4342" spans="1:26" ht="12.75">
      <c r="A4342" s="11">
        <v>43747.11996527778</v>
      </c>
      <c r="B4342" s="12" t="str">
        <f>HYPERLINK("https://twitter.com/AhmetGoksu19","@AhmetGoksu19")</f>
        <v>@AhmetGoksu19</v>
      </c>
      <c r="C4342" s="7" t="s">
        <v>21979</v>
      </c>
      <c r="D4342" s="7" t="s">
        <v>21980</v>
      </c>
      <c r="E4342" s="12" t="str">
        <f>HYPERLINK("https://twitter.com/AhmetGoksu19/status/1181870105879355393","1181870105879355393")</f>
        <v>1181870105879355393</v>
      </c>
      <c r="F4342" s="8"/>
      <c r="G4342" s="14" t="s">
        <v>21981</v>
      </c>
      <c r="H4342" s="8"/>
      <c r="I4342" s="15">
        <v>0</v>
      </c>
      <c r="J4342" s="15">
        <v>1</v>
      </c>
      <c r="K4342" s="12" t="str">
        <f>HYPERLINK("http://twitter.com/download/iphone","Twitter for iPhone")</f>
        <v>Twitter for iPhone</v>
      </c>
      <c r="L4342" s="16">
        <v>368</v>
      </c>
      <c r="M4342" s="16">
        <v>673</v>
      </c>
      <c r="N4342" s="16">
        <v>1</v>
      </c>
      <c r="O4342" s="17"/>
      <c r="P4342" s="18">
        <v>43646.537083333329</v>
      </c>
      <c r="Q4342" s="7"/>
      <c r="R4342" s="7" t="s">
        <v>21982</v>
      </c>
      <c r="S4342" s="8"/>
      <c r="T4342" s="8"/>
      <c r="U4342" s="19" t="str">
        <f>HYPERLINK("https://pbs.twimg.com/profile_images/1157218900838367232/dgjPPnKm.jpg","View")</f>
        <v>View</v>
      </c>
      <c r="V4342" s="8"/>
      <c r="W4342" s="8"/>
      <c r="X4342" s="8"/>
      <c r="Y4342" s="8"/>
      <c r="Z4342" s="8"/>
    </row>
    <row r="4343" spans="1:26" ht="12.75">
      <c r="A4343" s="11">
        <v>43747.119942129633</v>
      </c>
      <c r="B4343" s="12" t="str">
        <f>HYPERLINK("https://twitter.com/Girift_enes","@Girift_enes")</f>
        <v>@Girift_enes</v>
      </c>
      <c r="C4343" s="7" t="s">
        <v>21983</v>
      </c>
      <c r="D4343" s="7" t="s">
        <v>21984</v>
      </c>
      <c r="E4343" s="12" t="str">
        <f>HYPERLINK("https://twitter.com/Girift_enes/status/1181870095758442496","1181870095758442496")</f>
        <v>1181870095758442496</v>
      </c>
      <c r="F4343" s="15"/>
      <c r="G4343" s="14" t="s">
        <v>21985</v>
      </c>
      <c r="H4343" s="8"/>
      <c r="I4343" s="15">
        <v>0</v>
      </c>
      <c r="J4343" s="15">
        <v>1</v>
      </c>
      <c r="K4343" s="12" t="str">
        <f>HYPERLINK("http://twitter.com/download/android","Twitter for Android")</f>
        <v>Twitter for Android</v>
      </c>
      <c r="L4343" s="16">
        <v>4</v>
      </c>
      <c r="M4343" s="16">
        <v>95</v>
      </c>
      <c r="N4343" s="16">
        <v>0</v>
      </c>
      <c r="O4343" s="17"/>
      <c r="P4343" s="18">
        <v>43557.463993055557</v>
      </c>
      <c r="Q4343" s="7" t="s">
        <v>12236</v>
      </c>
      <c r="R4343" s="7" t="s">
        <v>21986</v>
      </c>
      <c r="S4343" s="8"/>
      <c r="T4343" s="8"/>
      <c r="U4343" s="19" t="str">
        <f>HYPERLINK("https://pbs.twimg.com/profile_images/1113141305650110465/jafP1kD0.jpg","View")</f>
        <v>View</v>
      </c>
      <c r="V4343" s="8"/>
      <c r="W4343" s="8"/>
      <c r="X4343" s="8"/>
      <c r="Y4343" s="8"/>
      <c r="Z4343" s="8"/>
    </row>
    <row r="4344" spans="1:26" ht="12.75">
      <c r="A4344" s="11">
        <v>43747.119942129633</v>
      </c>
      <c r="B4344" s="12" t="str">
        <f>HYPERLINK("https://twitter.com/ehakansonmez1","@ehakansonmez1")</f>
        <v>@ehakansonmez1</v>
      </c>
      <c r="C4344" s="7" t="s">
        <v>21987</v>
      </c>
      <c r="D4344" s="7" t="s">
        <v>21988</v>
      </c>
      <c r="E4344" s="12" t="str">
        <f>HYPERLINK("https://twitter.com/ehakansonmez1/status/1181870094307205122","1181870094307205122")</f>
        <v>1181870094307205122</v>
      </c>
      <c r="F4344" s="14" t="s">
        <v>21989</v>
      </c>
      <c r="G4344" s="15"/>
      <c r="H4344" s="8"/>
      <c r="I4344" s="15">
        <v>0</v>
      </c>
      <c r="J4344" s="15">
        <v>0</v>
      </c>
      <c r="K4344" s="12" t="str">
        <f>HYPERLINK("https://mobile.twitter.com","Twitter Web App")</f>
        <v>Twitter Web App</v>
      </c>
      <c r="L4344" s="16">
        <v>485</v>
      </c>
      <c r="M4344" s="16">
        <v>1331</v>
      </c>
      <c r="N4344" s="16">
        <v>1</v>
      </c>
      <c r="O4344" s="17"/>
      <c r="P4344" s="18">
        <v>42484.653449074074</v>
      </c>
      <c r="Q4344" s="7" t="s">
        <v>287</v>
      </c>
      <c r="R4344" s="7"/>
      <c r="S4344" s="8"/>
      <c r="T4344" s="8"/>
      <c r="U4344" s="19" t="str">
        <f>HYPERLINK("https://pbs.twimg.com/profile_images/724368115086295040/N5qq6mc0.jpg","View")</f>
        <v>View</v>
      </c>
      <c r="V4344" s="8"/>
      <c r="W4344" s="8"/>
      <c r="X4344" s="8"/>
      <c r="Y4344" s="8"/>
      <c r="Z4344" s="8"/>
    </row>
    <row r="4345" spans="1:26" ht="12.75">
      <c r="A4345" s="11">
        <v>43747.119930555556</v>
      </c>
      <c r="B4345" s="12" t="str">
        <f>HYPERLINK("https://twitter.com/canayakin","@canayakin")</f>
        <v>@canayakin</v>
      </c>
      <c r="C4345" s="7" t="s">
        <v>21990</v>
      </c>
      <c r="D4345" s="7" t="s">
        <v>13923</v>
      </c>
      <c r="E4345" s="12" t="str">
        <f>HYPERLINK("https://twitter.com/canayakin/status/1181870093246050304","1181870093246050304")</f>
        <v>1181870093246050304</v>
      </c>
      <c r="F4345" s="8"/>
      <c r="G4345" s="14" t="s">
        <v>21666</v>
      </c>
      <c r="H4345" s="8"/>
      <c r="I4345" s="15">
        <v>0</v>
      </c>
      <c r="J4345" s="15">
        <v>1</v>
      </c>
      <c r="K4345" s="12" t="str">
        <f>HYPERLINK("http://twitter.com/download/android","Twitter for Android")</f>
        <v>Twitter for Android</v>
      </c>
      <c r="L4345" s="16">
        <v>270</v>
      </c>
      <c r="M4345" s="16">
        <v>479</v>
      </c>
      <c r="N4345" s="16">
        <v>0</v>
      </c>
      <c r="O4345" s="17"/>
      <c r="P4345" s="18">
        <v>40046.381608796299</v>
      </c>
      <c r="Q4345" s="7" t="s">
        <v>21991</v>
      </c>
      <c r="R4345" s="7"/>
      <c r="S4345" s="14" t="s">
        <v>21992</v>
      </c>
      <c r="T4345" s="8"/>
      <c r="U4345" s="19" t="str">
        <f>HYPERLINK("https://pbs.twimg.com/profile_images/1084553814328438790/oBOuD2ry.jpg","View")</f>
        <v>View</v>
      </c>
      <c r="V4345" s="8"/>
      <c r="W4345" s="8"/>
      <c r="X4345" s="8"/>
      <c r="Y4345" s="8"/>
      <c r="Z4345" s="8"/>
    </row>
    <row r="4346" spans="1:26" ht="12.75">
      <c r="A4346" s="11">
        <v>43747.119895833333</v>
      </c>
      <c r="B4346" s="12" t="str">
        <f>HYPERLINK("https://twitter.com/krtknnu","@krtknnu")</f>
        <v>@krtknnu</v>
      </c>
      <c r="C4346" s="7" t="s">
        <v>21993</v>
      </c>
      <c r="D4346" s="7" t="s">
        <v>21994</v>
      </c>
      <c r="E4346" s="12" t="str">
        <f>HYPERLINK("https://twitter.com/krtknnu/status/1181870079107108864","1181870079107108864")</f>
        <v>1181870079107108864</v>
      </c>
      <c r="F4346" s="8"/>
      <c r="G4346" s="15"/>
      <c r="H4346" s="8"/>
      <c r="I4346" s="15">
        <v>0</v>
      </c>
      <c r="J4346" s="15">
        <v>1</v>
      </c>
      <c r="K4346" s="12" t="str">
        <f>HYPERLINK("http://twitter.com/download/android","Twitter for Android")</f>
        <v>Twitter for Android</v>
      </c>
      <c r="L4346" s="16">
        <v>581</v>
      </c>
      <c r="M4346" s="16">
        <v>519</v>
      </c>
      <c r="N4346" s="16">
        <v>0</v>
      </c>
      <c r="O4346" s="17"/>
      <c r="P4346" s="18">
        <v>43528.307604166665</v>
      </c>
      <c r="Q4346" s="7"/>
      <c r="R4346" s="7"/>
      <c r="S4346" s="8"/>
      <c r="T4346" s="8"/>
      <c r="U4346" s="19" t="str">
        <f>HYPERLINK("https://pbs.twimg.com/profile_images/1176217320747884544/otqhCGqo.jpg","View")</f>
        <v>View</v>
      </c>
      <c r="V4346" s="8"/>
      <c r="W4346" s="8"/>
      <c r="X4346" s="8"/>
      <c r="Y4346" s="8"/>
      <c r="Z4346" s="8"/>
    </row>
    <row r="4347" spans="1:26" ht="12.75">
      <c r="A4347" s="11">
        <v>43747.119895833333</v>
      </c>
      <c r="B4347" s="12" t="str">
        <f>HYPERLINK("https://twitter.com/Yamtarucmak","@Yamtarucmak")</f>
        <v>@Yamtarucmak</v>
      </c>
      <c r="C4347" s="7" t="s">
        <v>21995</v>
      </c>
      <c r="D4347" s="7" t="s">
        <v>21996</v>
      </c>
      <c r="E4347" s="12" t="str">
        <f>HYPERLINK("https://twitter.com/Yamtarucmak/status/1181870078821900288","1181870078821900288")</f>
        <v>1181870078821900288</v>
      </c>
      <c r="F4347" s="8"/>
      <c r="G4347" s="14" t="s">
        <v>21997</v>
      </c>
      <c r="H4347" s="8"/>
      <c r="I4347" s="15">
        <v>0</v>
      </c>
      <c r="J4347" s="15">
        <v>2</v>
      </c>
      <c r="K4347" s="12" t="str">
        <f>HYPERLINK("http://twitter.com/download/iphone","Twitter for iPhone")</f>
        <v>Twitter for iPhone</v>
      </c>
      <c r="L4347" s="16">
        <v>10</v>
      </c>
      <c r="M4347" s="16">
        <v>25</v>
      </c>
      <c r="N4347" s="16">
        <v>0</v>
      </c>
      <c r="O4347" s="17"/>
      <c r="P4347" s="18">
        <v>42937.023715277777</v>
      </c>
      <c r="Q4347" s="7" t="s">
        <v>2201</v>
      </c>
      <c r="R4347" s="7" t="s">
        <v>21998</v>
      </c>
      <c r="S4347" s="8"/>
      <c r="T4347" s="8"/>
      <c r="U4347" s="19" t="str">
        <f>HYPERLINK("https://pbs.twimg.com/profile_images/1053618241732575232/T1JoMdty.jpg","View")</f>
        <v>View</v>
      </c>
      <c r="V4347" s="8"/>
      <c r="W4347" s="8"/>
      <c r="X4347" s="8"/>
      <c r="Y4347" s="8"/>
      <c r="Z4347" s="8"/>
    </row>
    <row r="4348" spans="1:26" ht="12.75">
      <c r="A4348" s="11">
        <v>43747.119895833333</v>
      </c>
      <c r="B4348" s="12" t="str">
        <f>HYPERLINK("https://twitter.com/AhadZaman17","@AhadZaman17")</f>
        <v>@AhadZaman17</v>
      </c>
      <c r="C4348" s="7" t="s">
        <v>21999</v>
      </c>
      <c r="D4348" s="7" t="s">
        <v>160</v>
      </c>
      <c r="E4348" s="12" t="str">
        <f>HYPERLINK("https://twitter.com/AhadZaman17/status/1181870076754108416","1181870076754108416")</f>
        <v>1181870076754108416</v>
      </c>
      <c r="F4348" s="8"/>
      <c r="G4348" s="14" t="s">
        <v>22000</v>
      </c>
      <c r="H4348" s="8"/>
      <c r="I4348" s="15">
        <v>0</v>
      </c>
      <c r="J4348" s="15">
        <v>0</v>
      </c>
      <c r="K4348" s="12" t="str">
        <f>HYPERLINK("http://twitter.com/download/android","Twitter for Android")</f>
        <v>Twitter for Android</v>
      </c>
      <c r="L4348" s="16">
        <v>3</v>
      </c>
      <c r="M4348" s="16">
        <v>5</v>
      </c>
      <c r="N4348" s="16">
        <v>1</v>
      </c>
      <c r="O4348" s="17"/>
      <c r="P4348" s="18">
        <v>43569.435891203699</v>
      </c>
      <c r="Q4348" s="7" t="s">
        <v>4617</v>
      </c>
      <c r="R4348" s="7" t="s">
        <v>22001</v>
      </c>
      <c r="S4348" s="14" t="s">
        <v>22002</v>
      </c>
      <c r="T4348" s="8"/>
      <c r="U4348" s="19" t="str">
        <f>HYPERLINK("https://pbs.twimg.com/profile_images/1180191793272512512/4SZjGN6A.jpg","View")</f>
        <v>View</v>
      </c>
      <c r="V4348" s="8"/>
      <c r="W4348" s="8"/>
      <c r="X4348" s="8"/>
      <c r="Y4348" s="8"/>
      <c r="Z4348" s="8"/>
    </row>
    <row r="4349" spans="1:26" ht="12.75">
      <c r="A4349" s="11">
        <v>43747.11986111111</v>
      </c>
      <c r="B4349" s="12" t="str">
        <f>HYPERLINK("https://twitter.com/Filizynl","@Filizynl")</f>
        <v>@Filizynl</v>
      </c>
      <c r="C4349" s="7" t="s">
        <v>22003</v>
      </c>
      <c r="D4349" s="7" t="s">
        <v>22004</v>
      </c>
      <c r="E4349" s="12" t="str">
        <f>HYPERLINK("https://twitter.com/Filizynl/status/1181870066968776706","1181870066968776706")</f>
        <v>1181870066968776706</v>
      </c>
      <c r="F4349" s="8"/>
      <c r="G4349" s="14" t="s">
        <v>22005</v>
      </c>
      <c r="H4349" s="8"/>
      <c r="I4349" s="15">
        <v>0</v>
      </c>
      <c r="J4349" s="15">
        <v>3</v>
      </c>
      <c r="K4349" s="12" t="str">
        <f>HYPERLINK("http://twitter.com/download/iphone","Twitter for iPhone")</f>
        <v>Twitter for iPhone</v>
      </c>
      <c r="L4349" s="16">
        <v>110</v>
      </c>
      <c r="M4349" s="16">
        <v>225</v>
      </c>
      <c r="N4349" s="16">
        <v>0</v>
      </c>
      <c r="O4349" s="17"/>
      <c r="P4349" s="18">
        <v>40990.172199074077</v>
      </c>
      <c r="Q4349" s="7"/>
      <c r="R4349" s="7" t="s">
        <v>22006</v>
      </c>
      <c r="S4349" s="8"/>
      <c r="T4349" s="8"/>
      <c r="U4349" s="19" t="str">
        <f>HYPERLINK("https://pbs.twimg.com/profile_images/643742431364689920/nwVYz2dh.jpg","View")</f>
        <v>View</v>
      </c>
      <c r="V4349" s="8"/>
      <c r="W4349" s="8"/>
      <c r="X4349" s="8"/>
      <c r="Y4349" s="8"/>
      <c r="Z4349" s="8"/>
    </row>
    <row r="4350" spans="1:26" ht="12.75">
      <c r="A4350" s="11">
        <v>43747.119849537034</v>
      </c>
      <c r="B4350" s="12" t="str">
        <f>HYPERLINK("https://twitter.com/RsLShN38","@RsLShN38")</f>
        <v>@RsLShN38</v>
      </c>
      <c r="C4350" s="7" t="s">
        <v>22007</v>
      </c>
      <c r="D4350" s="7" t="s">
        <v>160</v>
      </c>
      <c r="E4350" s="12" t="str">
        <f>HYPERLINK("https://twitter.com/RsLShN38/status/1181870063210639360","1181870063210639360")</f>
        <v>1181870063210639360</v>
      </c>
      <c r="F4350" s="8"/>
      <c r="G4350" s="15"/>
      <c r="H4350" s="8"/>
      <c r="I4350" s="15">
        <v>0</v>
      </c>
      <c r="J4350" s="15">
        <v>0</v>
      </c>
      <c r="K4350" s="12" t="str">
        <f>HYPERLINK("http://twitter.com/download/android","Twitter for Android")</f>
        <v>Twitter for Android</v>
      </c>
      <c r="L4350" s="16">
        <v>46</v>
      </c>
      <c r="M4350" s="16">
        <v>93</v>
      </c>
      <c r="N4350" s="16">
        <v>0</v>
      </c>
      <c r="O4350" s="17"/>
      <c r="P4350" s="18">
        <v>40764.259432870371</v>
      </c>
      <c r="Q4350" s="7"/>
      <c r="R4350" s="7"/>
      <c r="S4350" s="8"/>
      <c r="T4350" s="8"/>
      <c r="U4350" s="19" t="str">
        <f>HYPERLINK("https://pbs.twimg.com/profile_images/1028716914187673600/KKJNq7lT.jpg","View")</f>
        <v>View</v>
      </c>
      <c r="V4350" s="8"/>
      <c r="W4350" s="8"/>
      <c r="X4350" s="8"/>
      <c r="Y4350" s="8"/>
      <c r="Z4350" s="8"/>
    </row>
    <row r="4351" spans="1:26" ht="12.75">
      <c r="A4351" s="11">
        <v>43747.119849537034</v>
      </c>
      <c r="B4351" s="12" t="str">
        <f>HYPERLINK("https://twitter.com/yavuzagiraliog","@yavuzagiraliog")</f>
        <v>@yavuzagiraliog</v>
      </c>
      <c r="C4351" s="7" t="s">
        <v>22008</v>
      </c>
      <c r="D4351" s="7" t="s">
        <v>22009</v>
      </c>
      <c r="E4351" s="12" t="str">
        <f>HYPERLINK("https://twitter.com/yavuzagiraliog/status/1181870062455668736","1181870062455668736")</f>
        <v>1181870062455668736</v>
      </c>
      <c r="F4351" s="15"/>
      <c r="G4351" s="14" t="s">
        <v>22010</v>
      </c>
      <c r="H4351" s="8"/>
      <c r="I4351" s="15">
        <v>96</v>
      </c>
      <c r="J4351" s="15">
        <v>623</v>
      </c>
      <c r="K4351" s="12" t="str">
        <f>HYPERLINK("http://twitter.com/download/android","Twitter for Android")</f>
        <v>Twitter for Android</v>
      </c>
      <c r="L4351" s="16">
        <v>168176</v>
      </c>
      <c r="M4351" s="16">
        <v>80</v>
      </c>
      <c r="N4351" s="16">
        <v>126</v>
      </c>
      <c r="O4351" s="17" t="s">
        <v>984</v>
      </c>
      <c r="P4351" s="18">
        <v>41353.343738425923</v>
      </c>
      <c r="Q4351" s="7" t="s">
        <v>313</v>
      </c>
      <c r="R4351" s="7" t="s">
        <v>22011</v>
      </c>
      <c r="S4351" s="8"/>
      <c r="T4351" s="8"/>
      <c r="U4351" s="19" t="str">
        <f>HYPERLINK("https://pbs.twimg.com/profile_images/1153670093215338499/1KqAX-bJ.jpg","View")</f>
        <v>View</v>
      </c>
      <c r="V4351" s="8"/>
      <c r="W4351" s="8"/>
      <c r="X4351" s="8"/>
      <c r="Y4351" s="8"/>
      <c r="Z4351" s="8"/>
    </row>
    <row r="4352" spans="1:26" ht="12.75">
      <c r="A4352" s="11">
        <v>43747.119814814811</v>
      </c>
      <c r="B4352" s="12" t="str">
        <f>HYPERLINK("https://twitter.com/Alp_3r","@Alp_3r")</f>
        <v>@Alp_3r</v>
      </c>
      <c r="C4352" s="7" t="s">
        <v>22012</v>
      </c>
      <c r="D4352" s="7" t="s">
        <v>22013</v>
      </c>
      <c r="E4352" s="12" t="str">
        <f>HYPERLINK("https://twitter.com/Alp_3r/status/1181870048203493376","1181870048203493376")</f>
        <v>1181870048203493376</v>
      </c>
      <c r="F4352" s="8"/>
      <c r="G4352" s="14" t="s">
        <v>22014</v>
      </c>
      <c r="H4352" s="8"/>
      <c r="I4352" s="15">
        <v>1</v>
      </c>
      <c r="J4352" s="15">
        <v>1</v>
      </c>
      <c r="K4352" s="12" t="str">
        <f>HYPERLINK("https://mobile.twitter.com","Twitter Web App")</f>
        <v>Twitter Web App</v>
      </c>
      <c r="L4352" s="16">
        <v>612</v>
      </c>
      <c r="M4352" s="16">
        <v>166</v>
      </c>
      <c r="N4352" s="16">
        <v>4</v>
      </c>
      <c r="O4352" s="17"/>
      <c r="P4352" s="18">
        <v>39926.14371527778</v>
      </c>
      <c r="Q4352" s="7" t="s">
        <v>918</v>
      </c>
      <c r="R4352" s="7" t="s">
        <v>22015</v>
      </c>
      <c r="S4352" s="8"/>
      <c r="T4352" s="8"/>
      <c r="U4352" s="19" t="str">
        <f>HYPERLINK("https://pbs.twimg.com/profile_images/664665042651062273/pzs78foc.jpg","View")</f>
        <v>View</v>
      </c>
      <c r="V4352" s="8"/>
      <c r="W4352" s="8"/>
      <c r="X4352" s="8"/>
      <c r="Y4352" s="8"/>
      <c r="Z4352" s="8"/>
    </row>
    <row r="4353" spans="1:26" ht="12.75">
      <c r="A4353" s="11">
        <v>43747.119803240741</v>
      </c>
      <c r="B4353" s="12" t="str">
        <f>HYPERLINK("https://twitter.com/furkan_ozkaya44","@furkan_ozkaya44")</f>
        <v>@furkan_ozkaya44</v>
      </c>
      <c r="C4353" s="7" t="s">
        <v>22016</v>
      </c>
      <c r="D4353" s="7" t="s">
        <v>22017</v>
      </c>
      <c r="E4353" s="12" t="str">
        <f>HYPERLINK("https://twitter.com/furkan_ozkaya44/status/1181870046492143621","1181870046492143621")</f>
        <v>1181870046492143621</v>
      </c>
      <c r="F4353" s="8"/>
      <c r="G4353" s="14" t="s">
        <v>22018</v>
      </c>
      <c r="H4353" s="8"/>
      <c r="I4353" s="15">
        <v>4</v>
      </c>
      <c r="J4353" s="15">
        <v>7</v>
      </c>
      <c r="K4353" s="12" t="str">
        <f>HYPERLINK("https://mobile.twitter.com","Twitter Web App")</f>
        <v>Twitter Web App</v>
      </c>
      <c r="L4353" s="16">
        <v>1081</v>
      </c>
      <c r="M4353" s="16">
        <v>602</v>
      </c>
      <c r="N4353" s="16">
        <v>2</v>
      </c>
      <c r="O4353" s="17"/>
      <c r="P4353" s="18">
        <v>42496.101793981477</v>
      </c>
      <c r="Q4353" s="7"/>
      <c r="R4353" s="7" t="s">
        <v>22019</v>
      </c>
      <c r="S4353" s="8"/>
      <c r="T4353" s="8"/>
      <c r="U4353" s="19" t="str">
        <f>HYPERLINK("https://pbs.twimg.com/profile_images/1151064298887811074/0pMQuso4.jpg","View")</f>
        <v>View</v>
      </c>
      <c r="V4353" s="8"/>
      <c r="W4353" s="8"/>
      <c r="X4353" s="8"/>
      <c r="Y4353" s="8"/>
      <c r="Z4353" s="8"/>
    </row>
    <row r="4354" spans="1:26" ht="12.75">
      <c r="A4354" s="11">
        <v>43747.119733796295</v>
      </c>
      <c r="B4354" s="12" t="str">
        <f>HYPERLINK("https://twitter.com/hakansengonl52","@hakansengonl52")</f>
        <v>@hakansengonl52</v>
      </c>
      <c r="C4354" s="7" t="s">
        <v>22020</v>
      </c>
      <c r="D4354" s="7" t="s">
        <v>160</v>
      </c>
      <c r="E4354" s="12" t="str">
        <f>HYPERLINK("https://twitter.com/hakansengonl52/status/1181870020470755328","1181870020470755328")</f>
        <v>1181870020470755328</v>
      </c>
      <c r="F4354" s="8"/>
      <c r="G4354" s="14" t="s">
        <v>22021</v>
      </c>
      <c r="H4354" s="8"/>
      <c r="I4354" s="15">
        <v>0</v>
      </c>
      <c r="J4354" s="15">
        <v>1</v>
      </c>
      <c r="K4354" s="12" t="str">
        <f>HYPERLINK("https://mobile.twitter.com","Twitter Web App")</f>
        <v>Twitter Web App</v>
      </c>
      <c r="L4354" s="16">
        <v>454</v>
      </c>
      <c r="M4354" s="16">
        <v>454</v>
      </c>
      <c r="N4354" s="16">
        <v>2</v>
      </c>
      <c r="O4354" s="17"/>
      <c r="P4354" s="18">
        <v>43421.110648148147</v>
      </c>
      <c r="Q4354" s="7" t="s">
        <v>2225</v>
      </c>
      <c r="R4354" s="7" t="s">
        <v>22022</v>
      </c>
      <c r="S4354" s="14" t="s">
        <v>22023</v>
      </c>
      <c r="T4354" s="8"/>
      <c r="U4354" s="19" t="str">
        <f>HYPERLINK("https://pbs.twimg.com/profile_images/1176588385227608066/BsCADOg8.jpg","View")</f>
        <v>View</v>
      </c>
      <c r="V4354" s="8"/>
      <c r="W4354" s="8"/>
      <c r="X4354" s="8"/>
      <c r="Y4354" s="8"/>
      <c r="Z4354" s="8"/>
    </row>
    <row r="4355" spans="1:26" ht="12.75">
      <c r="A4355" s="11">
        <v>43747.119710648149</v>
      </c>
      <c r="B4355" s="12" t="str">
        <f>HYPERLINK("https://twitter.com/habaddalinoglu","@habaddalinoglu")</f>
        <v>@habaddalinoglu</v>
      </c>
      <c r="C4355" s="7" t="s">
        <v>22024</v>
      </c>
      <c r="D4355" s="7" t="s">
        <v>22025</v>
      </c>
      <c r="E4355" s="12" t="str">
        <f>HYPERLINK("https://twitter.com/habaddalinoglu/status/1181870012816068609","1181870012816068609")</f>
        <v>1181870012816068609</v>
      </c>
      <c r="F4355" s="8"/>
      <c r="G4355" s="14" t="s">
        <v>22026</v>
      </c>
      <c r="H4355" s="8"/>
      <c r="I4355" s="15">
        <v>1</v>
      </c>
      <c r="J4355" s="15">
        <v>2</v>
      </c>
      <c r="K4355" s="12" t="str">
        <f>HYPERLINK("http://twitter.com/download/android","Twitter for Android")</f>
        <v>Twitter for Android</v>
      </c>
      <c r="L4355" s="16">
        <v>4027</v>
      </c>
      <c r="M4355" s="16">
        <v>4566</v>
      </c>
      <c r="N4355" s="16">
        <v>3</v>
      </c>
      <c r="O4355" s="17"/>
      <c r="P4355" s="18">
        <v>40974.295995370368</v>
      </c>
      <c r="Q4355" s="7" t="s">
        <v>200</v>
      </c>
      <c r="R4355" s="7" t="s">
        <v>22027</v>
      </c>
      <c r="S4355" s="8"/>
      <c r="T4355" s="8"/>
      <c r="U4355" s="19" t="str">
        <f>HYPERLINK("https://pbs.twimg.com/profile_images/1163125905402814464/tF_52rRd.jpg","View")</f>
        <v>View</v>
      </c>
      <c r="V4355" s="8"/>
      <c r="W4355" s="8"/>
      <c r="X4355" s="8"/>
      <c r="Y4355" s="8"/>
      <c r="Z4355" s="8"/>
    </row>
    <row r="4356" spans="1:26" ht="12.75">
      <c r="A4356" s="11">
        <v>43747.119560185187</v>
      </c>
      <c r="B4356" s="12" t="str">
        <f>HYPERLINK("https://twitter.com/YCantenor","@YCantenor")</f>
        <v>@YCantenor</v>
      </c>
      <c r="C4356" s="7" t="s">
        <v>5104</v>
      </c>
      <c r="D4356" s="7" t="s">
        <v>160</v>
      </c>
      <c r="E4356" s="12" t="str">
        <f>HYPERLINK("https://twitter.com/YCantenor/status/1181869955593183233","1181869955593183233")</f>
        <v>1181869955593183233</v>
      </c>
      <c r="F4356" s="15"/>
      <c r="G4356" s="14" t="s">
        <v>22028</v>
      </c>
      <c r="H4356" s="8"/>
      <c r="I4356" s="15">
        <v>0</v>
      </c>
      <c r="J4356" s="15">
        <v>0</v>
      </c>
      <c r="K4356" s="12" t="str">
        <f>HYPERLINK("http://twitter.com/download/android","Twitter for Android")</f>
        <v>Twitter for Android</v>
      </c>
      <c r="L4356" s="16">
        <v>527</v>
      </c>
      <c r="M4356" s="16">
        <v>765</v>
      </c>
      <c r="N4356" s="16">
        <v>0</v>
      </c>
      <c r="O4356" s="17"/>
      <c r="P4356" s="18">
        <v>40726.020613425928</v>
      </c>
      <c r="Q4356" s="7" t="s">
        <v>22029</v>
      </c>
      <c r="R4356" s="7" t="s">
        <v>22030</v>
      </c>
      <c r="S4356" s="15"/>
      <c r="T4356" s="8"/>
      <c r="U4356" s="19" t="str">
        <f>HYPERLINK("https://pbs.twimg.com/profile_images/1181671360898174976/JbA-BlHQ.jpg","View")</f>
        <v>View</v>
      </c>
      <c r="V4356" s="8"/>
      <c r="W4356" s="8"/>
      <c r="X4356" s="8"/>
      <c r="Y4356" s="8"/>
      <c r="Z4356" s="8"/>
    </row>
    <row r="4357" spans="1:26" ht="12.75">
      <c r="A4357" s="11">
        <v>43747.119537037041</v>
      </c>
      <c r="B4357" s="12" t="str">
        <f>HYPERLINK("https://twitter.com/tweetterlo","@tweetterlo")</f>
        <v>@tweetterlo</v>
      </c>
      <c r="C4357" s="7" t="s">
        <v>22031</v>
      </c>
      <c r="D4357" s="7" t="s">
        <v>22032</v>
      </c>
      <c r="E4357" s="12" t="str">
        <f>HYPERLINK("https://twitter.com/tweetterlo/status/1181869946969739264","1181869946969739264")</f>
        <v>1181869946969739264</v>
      </c>
      <c r="F4357" s="8"/>
      <c r="G4357" s="15"/>
      <c r="H4357" s="8"/>
      <c r="I4357" s="15">
        <v>0</v>
      </c>
      <c r="J4357" s="15">
        <v>0</v>
      </c>
      <c r="K4357" s="12" t="str">
        <f>HYPERLINK("http://twitter.com/download/android","Twitter for Android")</f>
        <v>Twitter for Android</v>
      </c>
      <c r="L4357" s="16">
        <v>1</v>
      </c>
      <c r="M4357" s="16">
        <v>8</v>
      </c>
      <c r="N4357" s="16">
        <v>0</v>
      </c>
      <c r="O4357" s="17"/>
      <c r="P4357" s="18">
        <v>43555.600729166668</v>
      </c>
      <c r="Q4357" s="7"/>
      <c r="R4357" s="7" t="s">
        <v>22033</v>
      </c>
      <c r="S4357" s="8"/>
      <c r="T4357" s="8"/>
      <c r="U4357" s="19" t="str">
        <f>HYPERLINK("https://pbs.twimg.com/profile_images/1125910874940694528/bDElbs6w.jpg","View")</f>
        <v>View</v>
      </c>
      <c r="V4357" s="8"/>
      <c r="W4357" s="8"/>
      <c r="X4357" s="8"/>
      <c r="Y4357" s="8"/>
      <c r="Z4357" s="8"/>
    </row>
    <row r="4358" spans="1:26" ht="12.75">
      <c r="A4358" s="11">
        <v>43747.119525462964</v>
      </c>
      <c r="B4358" s="12" t="str">
        <f>HYPERLINK("https://twitter.com/MurvetSaltan","@MurvetSaltan")</f>
        <v>@MurvetSaltan</v>
      </c>
      <c r="C4358" s="7" t="s">
        <v>22034</v>
      </c>
      <c r="D4358" s="7" t="s">
        <v>22035</v>
      </c>
      <c r="E4358" s="12" t="str">
        <f>HYPERLINK("https://twitter.com/MurvetSaltan/status/1181869944633544704","1181869944633544704")</f>
        <v>1181869944633544704</v>
      </c>
      <c r="F4358" s="8"/>
      <c r="G4358" s="7"/>
      <c r="H4358" s="8"/>
      <c r="I4358" s="15">
        <v>0</v>
      </c>
      <c r="J4358" s="15">
        <v>0</v>
      </c>
      <c r="K4358" s="12" t="str">
        <f>HYPERLINK("http://twitter.com","Twitter Web Client")</f>
        <v>Twitter Web Client</v>
      </c>
      <c r="L4358" s="16">
        <v>4</v>
      </c>
      <c r="M4358" s="16">
        <v>0</v>
      </c>
      <c r="N4358" s="16">
        <v>0</v>
      </c>
      <c r="O4358" s="17"/>
      <c r="P4358" s="18">
        <v>43668.990150462967</v>
      </c>
      <c r="Q4358" s="7" t="s">
        <v>2201</v>
      </c>
      <c r="R4358" s="7" t="s">
        <v>22036</v>
      </c>
      <c r="S4358" s="8"/>
      <c r="T4358" s="8"/>
      <c r="U4358" s="19" t="str">
        <f>HYPERLINK("https://pbs.twimg.com/profile_images/1154291199542484993/G8xREkxG.jpg","View")</f>
        <v>View</v>
      </c>
      <c r="V4358" s="8"/>
      <c r="W4358" s="8"/>
      <c r="X4358" s="8"/>
      <c r="Y4358" s="8"/>
      <c r="Z4358" s="8"/>
    </row>
    <row r="4359" spans="1:26" ht="12.75">
      <c r="A4359" s="11">
        <v>43747.119490740741</v>
      </c>
      <c r="B4359" s="12" t="str">
        <f>HYPERLINK("https://twitter.com/mutluregaip","@mutluregaip")</f>
        <v>@mutluregaip</v>
      </c>
      <c r="C4359" s="7" t="s">
        <v>22037</v>
      </c>
      <c r="D4359" s="7" t="s">
        <v>22038</v>
      </c>
      <c r="E4359" s="12" t="str">
        <f>HYPERLINK("https://twitter.com/mutluregaip/status/1181869931891249152","1181869931891249152")</f>
        <v>1181869931891249152</v>
      </c>
      <c r="F4359" s="8"/>
      <c r="G4359" s="15"/>
      <c r="H4359" s="8"/>
      <c r="I4359" s="15">
        <v>0</v>
      </c>
      <c r="J4359" s="15">
        <v>2</v>
      </c>
      <c r="K4359" s="12" t="str">
        <f>HYPERLINK("http://twitter.com/download/android","Twitter for Android")</f>
        <v>Twitter for Android</v>
      </c>
      <c r="L4359" s="16">
        <v>408</v>
      </c>
      <c r="M4359" s="16">
        <v>266</v>
      </c>
      <c r="N4359" s="16">
        <v>0</v>
      </c>
      <c r="O4359" s="17"/>
      <c r="P4359" s="18">
        <v>42581.710543981477</v>
      </c>
      <c r="Q4359" s="7"/>
      <c r="R4359" s="7"/>
      <c r="S4359" s="8"/>
      <c r="T4359" s="8"/>
      <c r="U4359" s="19" t="str">
        <f>HYPERLINK("https://pbs.twimg.com/profile_images/759731447322189824/EmtGy0DN.jpg","View")</f>
        <v>View</v>
      </c>
      <c r="V4359" s="8"/>
      <c r="W4359" s="8"/>
      <c r="X4359" s="8"/>
      <c r="Y4359" s="8"/>
      <c r="Z4359" s="8"/>
    </row>
    <row r="4360" spans="1:26" ht="12.75">
      <c r="A4360" s="11">
        <v>43747.119467592594</v>
      </c>
      <c r="B4360" s="12" t="str">
        <f>HYPERLINK("https://twitter.com/Yeimden23930869","@Yeimden23930869")</f>
        <v>@Yeimden23930869</v>
      </c>
      <c r="C4360" s="7" t="s">
        <v>22039</v>
      </c>
      <c r="D4360" s="7" t="s">
        <v>160</v>
      </c>
      <c r="E4360" s="12" t="str">
        <f>HYPERLINK("https://twitter.com/Yeimden23930869/status/1181869924660252672","1181869924660252672")</f>
        <v>1181869924660252672</v>
      </c>
      <c r="F4360" s="8"/>
      <c r="G4360" s="14" t="s">
        <v>22040</v>
      </c>
      <c r="H4360" s="8"/>
      <c r="I4360" s="15">
        <v>0</v>
      </c>
      <c r="J4360" s="15">
        <v>0</v>
      </c>
      <c r="K4360" s="12" t="str">
        <f>HYPERLINK("http://twitter.com/download/android","Twitter for Android")</f>
        <v>Twitter for Android</v>
      </c>
      <c r="L4360" s="16">
        <v>16</v>
      </c>
      <c r="M4360" s="16">
        <v>47</v>
      </c>
      <c r="N4360" s="16">
        <v>0</v>
      </c>
      <c r="O4360" s="17"/>
      <c r="P4360" s="18">
        <v>43296.121053240742</v>
      </c>
      <c r="Q4360" s="7"/>
      <c r="R4360" s="7" t="s">
        <v>22041</v>
      </c>
      <c r="S4360" s="8"/>
      <c r="T4360" s="8"/>
      <c r="U4360" s="19" t="str">
        <f>HYPERLINK("https://pbs.twimg.com/profile_images/1163043773347246080/jip2DAmT.jpg","View")</f>
        <v>View</v>
      </c>
      <c r="V4360" s="8"/>
      <c r="W4360" s="8"/>
      <c r="X4360" s="8"/>
      <c r="Y4360" s="8"/>
      <c r="Z4360" s="8"/>
    </row>
    <row r="4361" spans="1:26" ht="12.75">
      <c r="A4361" s="11">
        <v>43747.119444444441</v>
      </c>
      <c r="B4361" s="12" t="str">
        <f>HYPERLINK("https://twitter.com/Yigit__Erdem","@Yigit__Erdem")</f>
        <v>@Yigit__Erdem</v>
      </c>
      <c r="C4361" s="7" t="s">
        <v>22042</v>
      </c>
      <c r="D4361" s="7" t="s">
        <v>22043</v>
      </c>
      <c r="E4361" s="12" t="str">
        <f>HYPERLINK("https://twitter.com/Yigit__Erdem/status/1181869916770783232","1181869916770783232")</f>
        <v>1181869916770783232</v>
      </c>
      <c r="F4361" s="15"/>
      <c r="G4361" s="15"/>
      <c r="H4361" s="8"/>
      <c r="I4361" s="15">
        <v>0</v>
      </c>
      <c r="J4361" s="15">
        <v>0</v>
      </c>
      <c r="K4361" s="12" t="str">
        <f>HYPERLINK("https://mobile.twitter.com","Twitter Web App")</f>
        <v>Twitter Web App</v>
      </c>
      <c r="L4361" s="16">
        <v>625</v>
      </c>
      <c r="M4361" s="16">
        <v>568</v>
      </c>
      <c r="N4361" s="16">
        <v>1</v>
      </c>
      <c r="O4361" s="17"/>
      <c r="P4361" s="18">
        <v>43132.41337962963</v>
      </c>
      <c r="Q4361" s="7" t="s">
        <v>313</v>
      </c>
      <c r="R4361" s="7" t="s">
        <v>22044</v>
      </c>
      <c r="S4361" s="8"/>
      <c r="T4361" s="8"/>
      <c r="U4361" s="19" t="str">
        <f>HYPERLINK("https://pbs.twimg.com/profile_images/1150762131324907521/a_A65acz.png","View")</f>
        <v>View</v>
      </c>
      <c r="V4361" s="8"/>
      <c r="W4361" s="8"/>
      <c r="X4361" s="8"/>
      <c r="Y4361" s="8"/>
      <c r="Z4361" s="8"/>
    </row>
    <row r="4362" spans="1:26" ht="12.75">
      <c r="A4362" s="11">
        <v>43747.119432870371</v>
      </c>
      <c r="B4362" s="12" t="str">
        <f>HYPERLINK("https://twitter.com/intronamjoon","@intronamjoon")</f>
        <v>@intronamjoon</v>
      </c>
      <c r="C4362" s="7" t="s">
        <v>22045</v>
      </c>
      <c r="D4362" s="7" t="s">
        <v>160</v>
      </c>
      <c r="E4362" s="12" t="str">
        <f>HYPERLINK("https://twitter.com/intronamjoon/status/1181869909430718464","1181869909430718464")</f>
        <v>1181869909430718464</v>
      </c>
      <c r="F4362" s="8"/>
      <c r="G4362" s="14" t="s">
        <v>22046</v>
      </c>
      <c r="H4362" s="8"/>
      <c r="I4362" s="15">
        <v>0</v>
      </c>
      <c r="J4362" s="15">
        <v>0</v>
      </c>
      <c r="K4362" s="12" t="str">
        <f>HYPERLINK("http://twitter.com/download/iphone","Twitter for iPhone")</f>
        <v>Twitter for iPhone</v>
      </c>
      <c r="L4362" s="16">
        <v>8148</v>
      </c>
      <c r="M4362" s="16">
        <v>85</v>
      </c>
      <c r="N4362" s="16">
        <v>130</v>
      </c>
      <c r="O4362" s="17"/>
      <c r="P4362" s="18">
        <v>41196.544085648144</v>
      </c>
      <c r="Q4362" s="7"/>
      <c r="R4362" s="7" t="s">
        <v>22047</v>
      </c>
      <c r="S4362" s="15"/>
      <c r="T4362" s="8"/>
      <c r="U4362" s="19" t="str">
        <f>HYPERLINK("https://pbs.twimg.com/profile_images/1180216889001291782/xJ6CpAhS.jpg","View")</f>
        <v>View</v>
      </c>
      <c r="V4362" s="8"/>
      <c r="W4362" s="8"/>
      <c r="X4362" s="8"/>
      <c r="Y4362" s="8"/>
      <c r="Z4362" s="8"/>
    </row>
    <row r="4363" spans="1:26" ht="12.75">
      <c r="A4363" s="11">
        <v>43747.119374999995</v>
      </c>
      <c r="B4363" s="12" t="str">
        <f>HYPERLINK("https://twitter.com/1923andimiz","@1923andimiz")</f>
        <v>@1923andimiz</v>
      </c>
      <c r="C4363" s="7" t="s">
        <v>22049</v>
      </c>
      <c r="D4363" s="7" t="s">
        <v>160</v>
      </c>
      <c r="E4363" s="12" t="str">
        <f>HYPERLINK("https://twitter.com/1923andimiz/status/1181869890648625152","1181869890648625152")</f>
        <v>1181869890648625152</v>
      </c>
      <c r="F4363" s="7"/>
      <c r="G4363" s="14" t="s">
        <v>22050</v>
      </c>
      <c r="H4363" s="8"/>
      <c r="I4363" s="15">
        <v>0</v>
      </c>
      <c r="J4363" s="15">
        <v>2</v>
      </c>
      <c r="K4363" s="12" t="str">
        <f>HYPERLINK("http://twitter.com/download/android","Twitter for Android")</f>
        <v>Twitter for Android</v>
      </c>
      <c r="L4363" s="16">
        <v>4346</v>
      </c>
      <c r="M4363" s="16">
        <v>4529</v>
      </c>
      <c r="N4363" s="16">
        <v>1</v>
      </c>
      <c r="O4363" s="17"/>
      <c r="P4363" s="18">
        <v>41890.564918981479</v>
      </c>
      <c r="Q4363" s="7"/>
      <c r="R4363" s="7" t="s">
        <v>22051</v>
      </c>
      <c r="S4363" s="8"/>
      <c r="T4363" s="8"/>
      <c r="U4363" s="19" t="str">
        <f>HYPERLINK("https://pbs.twimg.com/profile_images/1181871007478550528/qF2PRqkK.jpg","View")</f>
        <v>View</v>
      </c>
      <c r="V4363" s="8"/>
      <c r="W4363" s="8"/>
      <c r="X4363" s="8"/>
      <c r="Y4363" s="8"/>
      <c r="Z4363" s="8"/>
    </row>
    <row r="4364" spans="1:26" ht="12.75">
      <c r="A4364" s="11">
        <v>43747.119351851856</v>
      </c>
      <c r="B4364" s="12" t="str">
        <f>HYPERLINK("https://twitter.com/Velitarslann","@Velitarslann")</f>
        <v>@Velitarslann</v>
      </c>
      <c r="C4364" s="7" t="s">
        <v>22052</v>
      </c>
      <c r="D4364" s="7" t="s">
        <v>160</v>
      </c>
      <c r="E4364" s="12" t="str">
        <f>HYPERLINK("https://twitter.com/Velitarslann/status/1181869882130014209","1181869882130014209")</f>
        <v>1181869882130014209</v>
      </c>
      <c r="F4364" s="8"/>
      <c r="G4364" s="14" t="s">
        <v>22053</v>
      </c>
      <c r="H4364" s="8"/>
      <c r="I4364" s="15">
        <v>0</v>
      </c>
      <c r="J4364" s="15">
        <v>1</v>
      </c>
      <c r="K4364" s="12" t="str">
        <f>HYPERLINK("http://twitter.com/download/android","Twitter for Android")</f>
        <v>Twitter for Android</v>
      </c>
      <c r="L4364" s="16">
        <v>35</v>
      </c>
      <c r="M4364" s="16">
        <v>204</v>
      </c>
      <c r="N4364" s="16">
        <v>0</v>
      </c>
      <c r="O4364" s="17"/>
      <c r="P4364" s="18">
        <v>43303.108333333337</v>
      </c>
      <c r="Q4364" s="7" t="s">
        <v>14529</v>
      </c>
      <c r="R4364" s="7" t="s">
        <v>22054</v>
      </c>
      <c r="S4364" s="8"/>
      <c r="T4364" s="8"/>
      <c r="U4364" s="19" t="str">
        <f>HYPERLINK("https://pbs.twimg.com/profile_images/1178820965486284800/gi1EAL1m.jpg","View")</f>
        <v>View</v>
      </c>
      <c r="V4364" s="8"/>
      <c r="W4364" s="8"/>
      <c r="X4364" s="8"/>
      <c r="Y4364" s="8"/>
      <c r="Z4364" s="8"/>
    </row>
    <row r="4365" spans="1:26" ht="12.75">
      <c r="A4365" s="11">
        <v>43747.119340277779</v>
      </c>
      <c r="B4365" s="12" t="str">
        <f>HYPERLINK("https://twitter.com/fatmanurygmr23","@fatmanurygmr23")</f>
        <v>@fatmanurygmr23</v>
      </c>
      <c r="C4365" s="7" t="s">
        <v>22055</v>
      </c>
      <c r="D4365" s="7" t="s">
        <v>160</v>
      </c>
      <c r="E4365" s="12" t="str">
        <f>HYPERLINK("https://twitter.com/fatmanurygmr23/status/1181869875364614144","1181869875364614144")</f>
        <v>1181869875364614144</v>
      </c>
      <c r="F4365" s="15"/>
      <c r="G4365" s="15"/>
      <c r="H4365" s="8"/>
      <c r="I4365" s="15">
        <v>0</v>
      </c>
      <c r="J4365" s="15">
        <v>0</v>
      </c>
      <c r="K4365" s="12" t="str">
        <f>HYPERLINK("http://twitter.com/download/android","Twitter for Android")</f>
        <v>Twitter for Android</v>
      </c>
      <c r="L4365" s="16">
        <v>448</v>
      </c>
      <c r="M4365" s="16">
        <v>292</v>
      </c>
      <c r="N4365" s="16">
        <v>0</v>
      </c>
      <c r="O4365" s="17"/>
      <c r="P4365" s="18">
        <v>42396.572476851856</v>
      </c>
      <c r="Q4365" s="7" t="s">
        <v>313</v>
      </c>
      <c r="R4365" s="7" t="s">
        <v>22056</v>
      </c>
      <c r="S4365" s="8"/>
      <c r="T4365" s="8"/>
      <c r="U4365" s="19" t="str">
        <f>HYPERLINK("https://pbs.twimg.com/profile_images/1170734343507128320/68a2sP7v.jpg","View")</f>
        <v>View</v>
      </c>
      <c r="V4365" s="8"/>
      <c r="W4365" s="8"/>
      <c r="X4365" s="8"/>
      <c r="Y4365" s="8"/>
      <c r="Z4365" s="8"/>
    </row>
    <row r="4366" spans="1:26" ht="12.75">
      <c r="A4366" s="11">
        <v>43747.119293981479</v>
      </c>
      <c r="B4366" s="12" t="str">
        <f>HYPERLINK("https://twitter.com/seher3457","@seher3457")</f>
        <v>@seher3457</v>
      </c>
      <c r="C4366" s="7" t="s">
        <v>22057</v>
      </c>
      <c r="D4366" s="7" t="s">
        <v>22058</v>
      </c>
      <c r="E4366" s="12" t="str">
        <f>HYPERLINK("https://twitter.com/seher3457/status/1181869859287818240","1181869859287818240")</f>
        <v>1181869859287818240</v>
      </c>
      <c r="F4366" s="8"/>
      <c r="G4366" s="15"/>
      <c r="H4366" s="8"/>
      <c r="I4366" s="15">
        <v>1</v>
      </c>
      <c r="J4366" s="15">
        <v>1</v>
      </c>
      <c r="K4366" s="12" t="str">
        <f>HYPERLINK("http://twitter.com/download/android","Twitter for Android")</f>
        <v>Twitter for Android</v>
      </c>
      <c r="L4366" s="16">
        <v>1474</v>
      </c>
      <c r="M4366" s="16">
        <v>1513</v>
      </c>
      <c r="N4366" s="16">
        <v>6</v>
      </c>
      <c r="O4366" s="17"/>
      <c r="P4366" s="18">
        <v>42375.438043981485</v>
      </c>
      <c r="Q4366" s="7" t="s">
        <v>445</v>
      </c>
      <c r="R4366" s="7" t="s">
        <v>22059</v>
      </c>
      <c r="S4366" s="8"/>
      <c r="T4366" s="8"/>
      <c r="U4366" s="19" t="str">
        <f>HYPERLINK("https://pbs.twimg.com/profile_images/1155505336163454978/QTb6FkOx.jpg","View")</f>
        <v>View</v>
      </c>
      <c r="V4366" s="8"/>
      <c r="W4366" s="8"/>
      <c r="X4366" s="8"/>
      <c r="Y4366" s="8"/>
      <c r="Z4366" s="8"/>
    </row>
    <row r="4367" spans="1:26" ht="12.75">
      <c r="A4367" s="11">
        <v>43747.11928240741</v>
      </c>
      <c r="B4367" s="12" t="str">
        <f>HYPERLINK("https://twitter.com/zahidegosteris1","@zahidegosteris1")</f>
        <v>@zahidegosteris1</v>
      </c>
      <c r="C4367" s="7" t="s">
        <v>22060</v>
      </c>
      <c r="D4367" s="7" t="s">
        <v>22061</v>
      </c>
      <c r="E4367" s="12" t="str">
        <f>HYPERLINK("https://twitter.com/zahidegosteris1/status/1181869857685594115","1181869857685594115")</f>
        <v>1181869857685594115</v>
      </c>
      <c r="F4367" s="8"/>
      <c r="G4367" s="14" t="s">
        <v>22062</v>
      </c>
      <c r="H4367" s="8"/>
      <c r="I4367" s="15">
        <v>0</v>
      </c>
      <c r="J4367" s="15">
        <v>3</v>
      </c>
      <c r="K4367" s="12" t="str">
        <f>HYPERLINK("http://twitter.com","Twitter Web Client")</f>
        <v>Twitter Web Client</v>
      </c>
      <c r="L4367" s="16">
        <v>13</v>
      </c>
      <c r="M4367" s="16">
        <v>0</v>
      </c>
      <c r="N4367" s="16">
        <v>1</v>
      </c>
      <c r="O4367" s="17"/>
      <c r="P4367" s="18">
        <v>43703.858124999999</v>
      </c>
      <c r="Q4367" s="7" t="s">
        <v>5984</v>
      </c>
      <c r="R4367" s="7" t="s">
        <v>22063</v>
      </c>
      <c r="S4367" s="8"/>
      <c r="T4367" s="8"/>
      <c r="U4367" s="19" t="str">
        <f>HYPERLINK("https://pbs.twimg.com/profile_images/1166789179684077570/51cCXGYm.jpg","View")</f>
        <v>View</v>
      </c>
      <c r="V4367" s="8"/>
      <c r="W4367" s="8"/>
      <c r="X4367" s="8"/>
      <c r="Y4367" s="8"/>
      <c r="Z4367" s="8"/>
    </row>
    <row r="4368" spans="1:26" ht="12.75">
      <c r="A4368" s="11">
        <v>43747.11928240741</v>
      </c>
      <c r="B4368" s="12" t="str">
        <f>HYPERLINK("https://twitter.com/Mozcnnn","@Mozcnnn")</f>
        <v>@Mozcnnn</v>
      </c>
      <c r="C4368" s="7" t="s">
        <v>22064</v>
      </c>
      <c r="D4368" s="7" t="s">
        <v>22065</v>
      </c>
      <c r="E4368" s="12" t="str">
        <f>HYPERLINK("https://twitter.com/Mozcnnn/status/1181869856649547776","1181869856649547776")</f>
        <v>1181869856649547776</v>
      </c>
      <c r="F4368" s="8"/>
      <c r="G4368" s="15"/>
      <c r="H4368" s="8"/>
      <c r="I4368" s="15">
        <v>0</v>
      </c>
      <c r="J4368" s="15">
        <v>5</v>
      </c>
      <c r="K4368" s="12" t="str">
        <f>HYPERLINK("http://twitter.com/download/android","Twitter for Android")</f>
        <v>Twitter for Android</v>
      </c>
      <c r="L4368" s="16">
        <v>2279</v>
      </c>
      <c r="M4368" s="16">
        <v>2423</v>
      </c>
      <c r="N4368" s="16">
        <v>2</v>
      </c>
      <c r="O4368" s="17"/>
      <c r="P4368" s="18">
        <v>43005.358807870369</v>
      </c>
      <c r="Q4368" s="7" t="s">
        <v>22066</v>
      </c>
      <c r="R4368" s="7" t="s">
        <v>22067</v>
      </c>
      <c r="S4368" s="14" t="s">
        <v>22068</v>
      </c>
      <c r="T4368" s="8"/>
      <c r="U4368" s="19" t="str">
        <f>HYPERLINK("https://pbs.twimg.com/profile_images/1172448094287319041/cfc9z_FS.jpg","View")</f>
        <v>View</v>
      </c>
      <c r="V4368" s="8"/>
      <c r="W4368" s="8"/>
      <c r="X4368" s="8"/>
      <c r="Y4368" s="8"/>
      <c r="Z4368" s="8"/>
    </row>
    <row r="4369" spans="1:26" ht="12.75">
      <c r="A4369" s="11">
        <v>43747.119270833333</v>
      </c>
      <c r="B4369" s="12" t="str">
        <f>HYPERLINK("https://twitter.com/Via65645708","@Via65645708")</f>
        <v>@Via65645708</v>
      </c>
      <c r="C4369" s="7" t="s">
        <v>22069</v>
      </c>
      <c r="D4369" s="7" t="s">
        <v>22070</v>
      </c>
      <c r="E4369" s="12" t="str">
        <f>HYPERLINK("https://twitter.com/Via65645708/status/1181869852786659328","1181869852786659328")</f>
        <v>1181869852786659328</v>
      </c>
      <c r="F4369" s="8"/>
      <c r="G4369" s="7"/>
      <c r="H4369" s="8"/>
      <c r="I4369" s="15">
        <v>0</v>
      </c>
      <c r="J4369" s="15">
        <v>0</v>
      </c>
      <c r="K4369" s="12" t="str">
        <f>HYPERLINK("http://twitter.com/download/android","Twitter for Android")</f>
        <v>Twitter for Android</v>
      </c>
      <c r="L4369" s="16">
        <v>0</v>
      </c>
      <c r="M4369" s="16">
        <v>0</v>
      </c>
      <c r="N4369" s="16">
        <v>0</v>
      </c>
      <c r="O4369" s="17"/>
      <c r="P4369" s="18">
        <v>43745.591365740736</v>
      </c>
      <c r="Q4369" s="7"/>
      <c r="R4369" s="7"/>
      <c r="S4369" s="8"/>
      <c r="T4369" s="8"/>
      <c r="U4369" s="20" t="s">
        <v>354</v>
      </c>
      <c r="V4369" s="8"/>
      <c r="W4369" s="8"/>
      <c r="X4369" s="8"/>
      <c r="Y4369" s="8"/>
      <c r="Z4369" s="8"/>
    </row>
    <row r="4370" spans="1:26" ht="12.75">
      <c r="A4370" s="11">
        <v>43747.119247685187</v>
      </c>
      <c r="B4370" s="12" t="str">
        <f>HYPERLINK("https://twitter.com/ErdemSekin7","@ErdemSekin7")</f>
        <v>@ErdemSekin7</v>
      </c>
      <c r="C4370" s="7" t="s">
        <v>22071</v>
      </c>
      <c r="D4370" s="7" t="s">
        <v>22072</v>
      </c>
      <c r="E4370" s="12" t="str">
        <f>HYPERLINK("https://twitter.com/ErdemSekin7/status/1181869845417267201","1181869845417267201")</f>
        <v>1181869845417267201</v>
      </c>
      <c r="F4370" s="8"/>
      <c r="G4370" s="14" t="s">
        <v>22073</v>
      </c>
      <c r="H4370" s="8"/>
      <c r="I4370" s="15">
        <v>0</v>
      </c>
      <c r="J4370" s="15">
        <v>1</v>
      </c>
      <c r="K4370" s="12" t="str">
        <f>HYPERLINK("http://twitter.com/download/android","Twitter for Android")</f>
        <v>Twitter for Android</v>
      </c>
      <c r="L4370" s="16">
        <v>1</v>
      </c>
      <c r="M4370" s="16">
        <v>17</v>
      </c>
      <c r="N4370" s="16">
        <v>0</v>
      </c>
      <c r="O4370" s="17"/>
      <c r="P4370" s="18">
        <v>43692.26489583333</v>
      </c>
      <c r="Q4370" s="7"/>
      <c r="R4370" s="7"/>
      <c r="S4370" s="15"/>
      <c r="T4370" s="8"/>
      <c r="U4370" s="20" t="s">
        <v>354</v>
      </c>
      <c r="V4370" s="8"/>
      <c r="W4370" s="8"/>
      <c r="X4370" s="8"/>
      <c r="Y4370" s="8"/>
      <c r="Z4370" s="8"/>
    </row>
    <row r="4371" spans="1:26" ht="12.75">
      <c r="A4371" s="11">
        <v>43747.119212962964</v>
      </c>
      <c r="B4371" s="12" t="str">
        <f>HYPERLINK("https://twitter.com/Celal_c_2","@Celal_c_2")</f>
        <v>@Celal_c_2</v>
      </c>
      <c r="C4371" s="7" t="s">
        <v>22074</v>
      </c>
      <c r="D4371" s="7" t="s">
        <v>160</v>
      </c>
      <c r="E4371" s="12" t="str">
        <f>HYPERLINK("https://twitter.com/Celal_c_2/status/1181869832880508930","1181869832880508930")</f>
        <v>1181869832880508930</v>
      </c>
      <c r="F4371" s="8"/>
      <c r="G4371" s="14" t="s">
        <v>22075</v>
      </c>
      <c r="H4371" s="8"/>
      <c r="I4371" s="15">
        <v>0</v>
      </c>
      <c r="J4371" s="15">
        <v>2</v>
      </c>
      <c r="K4371" s="12" t="str">
        <f>HYPERLINK("https://mobile.twitter.com","Twitter Web App")</f>
        <v>Twitter Web App</v>
      </c>
      <c r="L4371" s="16">
        <v>67</v>
      </c>
      <c r="M4371" s="16">
        <v>317</v>
      </c>
      <c r="N4371" s="16">
        <v>0</v>
      </c>
      <c r="O4371" s="17"/>
      <c r="P4371" s="18">
        <v>43628.567731481482</v>
      </c>
      <c r="Q4371" s="7"/>
      <c r="R4371" s="7" t="s">
        <v>22076</v>
      </c>
      <c r="S4371" s="14" t="s">
        <v>22077</v>
      </c>
      <c r="T4371" s="8"/>
      <c r="U4371" s="19" t="str">
        <f>HYPERLINK("https://pbs.twimg.com/profile_images/1173670926224936960/eBMioDm6.jpg","View")</f>
        <v>View</v>
      </c>
      <c r="V4371" s="8"/>
      <c r="W4371" s="8"/>
      <c r="X4371" s="8"/>
      <c r="Y4371" s="8"/>
      <c r="Z4371" s="8"/>
    </row>
    <row r="4372" spans="1:26" ht="12.75">
      <c r="A4372" s="11">
        <v>43747.119131944448</v>
      </c>
      <c r="B4372" s="12" t="str">
        <f>HYPERLINK("https://twitter.com/windman_42","@windman_42")</f>
        <v>@windman_42</v>
      </c>
      <c r="C4372" s="7" t="s">
        <v>2347</v>
      </c>
      <c r="D4372" s="7" t="s">
        <v>22078</v>
      </c>
      <c r="E4372" s="12" t="str">
        <f>HYPERLINK("https://twitter.com/windman_42/status/1181869803809705985","1181869803809705985")</f>
        <v>1181869803809705985</v>
      </c>
      <c r="F4372" s="8"/>
      <c r="G4372" s="14" t="s">
        <v>22079</v>
      </c>
      <c r="H4372" s="8"/>
      <c r="I4372" s="15">
        <v>0</v>
      </c>
      <c r="J4372" s="15">
        <v>2</v>
      </c>
      <c r="K4372" s="12" t="str">
        <f>HYPERLINK("http://twitter.com/download/android","Twitter for Android")</f>
        <v>Twitter for Android</v>
      </c>
      <c r="L4372" s="16">
        <v>72</v>
      </c>
      <c r="M4372" s="16">
        <v>168</v>
      </c>
      <c r="N4372" s="16">
        <v>0</v>
      </c>
      <c r="O4372" s="17"/>
      <c r="P4372" s="18">
        <v>43521.549942129626</v>
      </c>
      <c r="Q4372" s="7" t="s">
        <v>2050</v>
      </c>
      <c r="R4372" s="7" t="s">
        <v>22080</v>
      </c>
      <c r="S4372" s="8"/>
      <c r="T4372" s="8"/>
      <c r="U4372" s="19" t="str">
        <f>HYPERLINK("https://pbs.twimg.com/profile_images/1175873723414523905/sTv6y7jA.jpg","View")</f>
        <v>View</v>
      </c>
      <c r="V4372" s="8"/>
      <c r="W4372" s="8"/>
      <c r="X4372" s="8"/>
      <c r="Y4372" s="8"/>
      <c r="Z4372" s="8"/>
    </row>
    <row r="4373" spans="1:26" ht="12.75">
      <c r="A4373" s="11">
        <v>43747.119131944448</v>
      </c>
      <c r="B4373" s="12" t="str">
        <f>HYPERLINK("https://twitter.com/baskentbekcisi","@baskentbekcisi")</f>
        <v>@baskentbekcisi</v>
      </c>
      <c r="C4373" s="7" t="s">
        <v>22081</v>
      </c>
      <c r="D4373" s="7" t="s">
        <v>22082</v>
      </c>
      <c r="E4373" s="12" t="str">
        <f>HYPERLINK("https://twitter.com/baskentbekcisi/status/1181869801079222272","1181869801079222272")</f>
        <v>1181869801079222272</v>
      </c>
      <c r="F4373" s="8"/>
      <c r="G4373" s="14" t="s">
        <v>22083</v>
      </c>
      <c r="H4373" s="8"/>
      <c r="I4373" s="15">
        <v>0</v>
      </c>
      <c r="J4373" s="15">
        <v>3</v>
      </c>
      <c r="K4373" s="12" t="str">
        <f>HYPERLINK("http://twitter.com/download/iphone","Twitter for iPhone")</f>
        <v>Twitter for iPhone</v>
      </c>
      <c r="L4373" s="16">
        <v>414</v>
      </c>
      <c r="M4373" s="16">
        <v>2179</v>
      </c>
      <c r="N4373" s="16">
        <v>0</v>
      </c>
      <c r="O4373" s="17"/>
      <c r="P4373" s="18">
        <v>43408.120034722218</v>
      </c>
      <c r="Q4373" s="7" t="s">
        <v>287</v>
      </c>
      <c r="R4373" s="7"/>
      <c r="S4373" s="15"/>
      <c r="T4373" s="8"/>
      <c r="U4373" s="19" t="str">
        <f>HYPERLINK("https://pbs.twimg.com/profile_images/1059036270515642368/xPa8Yu-N.jpg","View")</f>
        <v>View</v>
      </c>
      <c r="V4373" s="8"/>
      <c r="W4373" s="8"/>
      <c r="X4373" s="8"/>
      <c r="Y4373" s="8"/>
      <c r="Z4373" s="8"/>
    </row>
    <row r="4374" spans="1:26" ht="12.75">
      <c r="A4374" s="11">
        <v>43747.119120370371</v>
      </c>
      <c r="B4374" s="12" t="str">
        <f>HYPERLINK("https://twitter.com/aslsahinn1","@aslsahinn1")</f>
        <v>@aslsahinn1</v>
      </c>
      <c r="C4374" s="7" t="s">
        <v>22084</v>
      </c>
      <c r="D4374" s="7" t="s">
        <v>22085</v>
      </c>
      <c r="E4374" s="12" t="str">
        <f>HYPERLINK("https://twitter.com/aslsahinn1/status/1181869796725538816","1181869796725538816")</f>
        <v>1181869796725538816</v>
      </c>
      <c r="F4374" s="8"/>
      <c r="G4374" s="14" t="s">
        <v>22086</v>
      </c>
      <c r="H4374" s="8"/>
      <c r="I4374" s="15">
        <v>0</v>
      </c>
      <c r="J4374" s="15">
        <v>4</v>
      </c>
      <c r="K4374" s="12" t="str">
        <f>HYPERLINK("http://twitter.com/download/android","Twitter for Android")</f>
        <v>Twitter for Android</v>
      </c>
      <c r="L4374" s="16">
        <v>275</v>
      </c>
      <c r="M4374" s="16">
        <v>231</v>
      </c>
      <c r="N4374" s="16">
        <v>1</v>
      </c>
      <c r="O4374" s="17"/>
      <c r="P4374" s="18">
        <v>42822.234907407408</v>
      </c>
      <c r="Q4374" s="7" t="s">
        <v>200</v>
      </c>
      <c r="R4374" s="7" t="s">
        <v>22087</v>
      </c>
      <c r="S4374" s="8"/>
      <c r="T4374" s="8"/>
      <c r="U4374" s="19" t="str">
        <f>HYPERLINK("https://pbs.twimg.com/profile_images/969973176099799041/dU2bffki.jpg","View")</f>
        <v>View</v>
      </c>
      <c r="V4374" s="8"/>
      <c r="W4374" s="8"/>
      <c r="X4374" s="8"/>
      <c r="Y4374" s="8"/>
      <c r="Z4374" s="8"/>
    </row>
    <row r="4375" spans="1:26" ht="12.75">
      <c r="A4375" s="11">
        <v>43747.119097222225</v>
      </c>
      <c r="B4375" s="12" t="str">
        <f>HYPERLINK("https://twitter.com/Selver40976753","@Selver40976753")</f>
        <v>@Selver40976753</v>
      </c>
      <c r="C4375" s="7" t="s">
        <v>22088</v>
      </c>
      <c r="D4375" s="7" t="s">
        <v>22089</v>
      </c>
      <c r="E4375" s="12" t="str">
        <f>HYPERLINK("https://twitter.com/Selver40976753/status/1181869788919980032","1181869788919980032")</f>
        <v>1181869788919980032</v>
      </c>
      <c r="F4375" s="8"/>
      <c r="G4375" s="15"/>
      <c r="H4375" s="8"/>
      <c r="I4375" s="15">
        <v>0</v>
      </c>
      <c r="J4375" s="15">
        <v>0</v>
      </c>
      <c r="K4375" s="12" t="str">
        <f>HYPERLINK("http://twitter.com/download/android","Twitter for Android")</f>
        <v>Twitter for Android</v>
      </c>
      <c r="L4375" s="16">
        <v>0</v>
      </c>
      <c r="M4375" s="16">
        <v>38</v>
      </c>
      <c r="N4375" s="16">
        <v>0</v>
      </c>
      <c r="O4375" s="17"/>
      <c r="P4375" s="18">
        <v>43640.858888888892</v>
      </c>
      <c r="Q4375" s="7" t="s">
        <v>22090</v>
      </c>
      <c r="R4375" s="7"/>
      <c r="S4375" s="8"/>
      <c r="T4375" s="8"/>
      <c r="U4375" s="19" t="str">
        <f>HYPERLINK("https://pbs.twimg.com/profile_images/1144315621020246016/D_XOHyOt.jpg","View")</f>
        <v>View</v>
      </c>
      <c r="V4375" s="8"/>
      <c r="W4375" s="8"/>
      <c r="X4375" s="8"/>
      <c r="Y4375" s="8"/>
      <c r="Z4375" s="8"/>
    </row>
    <row r="4376" spans="1:26" ht="12.75">
      <c r="A4376" s="11">
        <v>43747.119085648148</v>
      </c>
      <c r="B4376" s="12" t="str">
        <f>HYPERLINK("https://twitter.com/OzkanAlpaslan1","@OzkanAlpaslan1")</f>
        <v>@OzkanAlpaslan1</v>
      </c>
      <c r="C4376" s="7" t="s">
        <v>22091</v>
      </c>
      <c r="D4376" s="7" t="s">
        <v>22092</v>
      </c>
      <c r="E4376" s="12" t="str">
        <f>HYPERLINK("https://twitter.com/OzkanAlpaslan1/status/1181869787053531138","1181869787053531138")</f>
        <v>1181869787053531138</v>
      </c>
      <c r="F4376" s="8"/>
      <c r="G4376" s="15"/>
      <c r="H4376" s="8"/>
      <c r="I4376" s="15">
        <v>0</v>
      </c>
      <c r="J4376" s="15">
        <v>0</v>
      </c>
      <c r="K4376" s="12" t="str">
        <f>HYPERLINK("http://twitter.com/download/iphone","Twitter for iPhone")</f>
        <v>Twitter for iPhone</v>
      </c>
      <c r="L4376" s="16">
        <v>282</v>
      </c>
      <c r="M4376" s="16">
        <v>240</v>
      </c>
      <c r="N4376" s="16">
        <v>1</v>
      </c>
      <c r="O4376" s="17"/>
      <c r="P4376" s="18">
        <v>42362.312824074077</v>
      </c>
      <c r="Q4376" s="7" t="s">
        <v>4645</v>
      </c>
      <c r="R4376" s="7" t="s">
        <v>22093</v>
      </c>
      <c r="S4376" s="8"/>
      <c r="T4376" s="8"/>
      <c r="U4376" s="19" t="str">
        <f>HYPERLINK("https://pbs.twimg.com/profile_images/1173923385144950784/-lRWaLb3.jpg","View")</f>
        <v>View</v>
      </c>
      <c r="V4376" s="8"/>
      <c r="W4376" s="8"/>
      <c r="X4376" s="8"/>
      <c r="Y4376" s="8"/>
      <c r="Z4376" s="8"/>
    </row>
    <row r="4377" spans="1:26" ht="12.75">
      <c r="A4377" s="11">
        <v>43747.119039351848</v>
      </c>
      <c r="B4377" s="12" t="str">
        <f>HYPERLINK("https://twitter.com/OguzhanRousseau","@OguzhanRousseau")</f>
        <v>@OguzhanRousseau</v>
      </c>
      <c r="C4377" s="7" t="s">
        <v>22094</v>
      </c>
      <c r="D4377" s="7" t="s">
        <v>22095</v>
      </c>
      <c r="E4377" s="12" t="str">
        <f>HYPERLINK("https://twitter.com/OguzhanRousseau/status/1181869766472093696","1181869766472093696")</f>
        <v>1181869766472093696</v>
      </c>
      <c r="F4377" s="8"/>
      <c r="G4377" s="15"/>
      <c r="H4377" s="8"/>
      <c r="I4377" s="15">
        <v>0</v>
      </c>
      <c r="J4377" s="15">
        <v>0</v>
      </c>
      <c r="K4377" s="12" t="str">
        <f>HYPERLINK("http://twitter.com/download/iphone","Twitter for iPhone")</f>
        <v>Twitter for iPhone</v>
      </c>
      <c r="L4377" s="16">
        <v>5</v>
      </c>
      <c r="M4377" s="16">
        <v>64</v>
      </c>
      <c r="N4377" s="16">
        <v>0</v>
      </c>
      <c r="O4377" s="17"/>
      <c r="P4377" s="18">
        <v>43722.923171296294</v>
      </c>
      <c r="Q4377" s="7"/>
      <c r="R4377" s="7" t="s">
        <v>22096</v>
      </c>
      <c r="S4377" s="8"/>
      <c r="T4377" s="8"/>
      <c r="U4377" s="19" t="str">
        <f>HYPERLINK("https://pbs.twimg.com/profile_images/1173101575524536321/vXnk7N5Q.jpg","View")</f>
        <v>View</v>
      </c>
      <c r="V4377" s="8"/>
      <c r="W4377" s="8"/>
      <c r="X4377" s="8"/>
      <c r="Y4377" s="8"/>
      <c r="Z4377" s="8"/>
    </row>
    <row r="4378" spans="1:26" ht="12.75">
      <c r="A4378" s="11">
        <v>43747.119016203702</v>
      </c>
      <c r="B4378" s="12" t="str">
        <f>HYPERLINK("https://twitter.com/funnygame800","@funnygame800")</f>
        <v>@funnygame800</v>
      </c>
      <c r="C4378" s="7" t="s">
        <v>22097</v>
      </c>
      <c r="D4378" s="7" t="s">
        <v>160</v>
      </c>
      <c r="E4378" s="12" t="str">
        <f>HYPERLINK("https://twitter.com/funnygame800/status/1181869761187241985","1181869761187241985")</f>
        <v>1181869761187241985</v>
      </c>
      <c r="F4378" s="14" t="s">
        <v>22098</v>
      </c>
      <c r="G4378" s="7"/>
      <c r="H4378" s="8"/>
      <c r="I4378" s="15">
        <v>0</v>
      </c>
      <c r="J4378" s="15">
        <v>0</v>
      </c>
      <c r="K4378" s="12" t="str">
        <f>HYPERLINK("https://mobile.twitter.com","Twitter Web App")</f>
        <v>Twitter Web App</v>
      </c>
      <c r="L4378" s="16">
        <v>177</v>
      </c>
      <c r="M4378" s="16">
        <v>783</v>
      </c>
      <c r="N4378" s="16">
        <v>0</v>
      </c>
      <c r="O4378" s="17"/>
      <c r="P4378" s="18">
        <v>43683.546539351853</v>
      </c>
      <c r="Q4378" s="7"/>
      <c r="R4378" s="14" t="s">
        <v>22099</v>
      </c>
      <c r="S4378" s="14" t="s">
        <v>22099</v>
      </c>
      <c r="T4378" s="8"/>
      <c r="U4378" s="19" t="str">
        <f>HYPERLINK("https://pbs.twimg.com/profile_images/1180787898653794307/8AdascBh.jpg","View")</f>
        <v>View</v>
      </c>
      <c r="V4378" s="8"/>
      <c r="W4378" s="8"/>
      <c r="X4378" s="8"/>
      <c r="Y4378" s="8"/>
      <c r="Z4378" s="8"/>
    </row>
    <row r="4379" spans="1:26" ht="12.75">
      <c r="A4379" s="11">
        <v>43747.118923611109</v>
      </c>
      <c r="B4379" s="12" t="str">
        <f>HYPERLINK("https://twitter.com/dragonstylee","@dragonstylee")</f>
        <v>@dragonstylee</v>
      </c>
      <c r="C4379" s="7" t="s">
        <v>22100</v>
      </c>
      <c r="D4379" s="7" t="s">
        <v>22101</v>
      </c>
      <c r="E4379" s="12" t="str">
        <f>HYPERLINK("https://twitter.com/dragonstylee/status/1181869725082669057","1181869725082669057")</f>
        <v>1181869725082669057</v>
      </c>
      <c r="F4379" s="8"/>
      <c r="G4379" s="15"/>
      <c r="H4379" s="8"/>
      <c r="I4379" s="15">
        <v>0</v>
      </c>
      <c r="J4379" s="15">
        <v>1</v>
      </c>
      <c r="K4379" s="12" t="str">
        <f>HYPERLINK("http://twitter.com/download/android","Twitter for Android")</f>
        <v>Twitter for Android</v>
      </c>
      <c r="L4379" s="16">
        <v>23</v>
      </c>
      <c r="M4379" s="16">
        <v>75</v>
      </c>
      <c r="N4379" s="16">
        <v>0</v>
      </c>
      <c r="O4379" s="17"/>
      <c r="P4379" s="18">
        <v>42665.416944444441</v>
      </c>
      <c r="Q4379" s="7"/>
      <c r="R4379" s="7"/>
      <c r="S4379" s="8"/>
      <c r="T4379" s="8"/>
      <c r="U4379" s="19" t="str">
        <f>HYPERLINK("https://pbs.twimg.com/profile_images/1178883506677657600/nl1La4c2.jpg","View")</f>
        <v>View</v>
      </c>
      <c r="V4379" s="8"/>
      <c r="W4379" s="8"/>
      <c r="X4379" s="8"/>
      <c r="Y4379" s="8"/>
      <c r="Z4379" s="8"/>
    </row>
    <row r="4380" spans="1:26" ht="12.75">
      <c r="A4380" s="11">
        <v>43747.118888888886</v>
      </c>
      <c r="B4380" s="12" t="str">
        <f>HYPERLINK("https://twitter.com/DykeSuzanne","@DykeSuzanne")</f>
        <v>@DykeSuzanne</v>
      </c>
      <c r="C4380" s="7" t="s">
        <v>22102</v>
      </c>
      <c r="D4380" s="7" t="s">
        <v>22103</v>
      </c>
      <c r="E4380" s="12" t="str">
        <f>HYPERLINK("https://twitter.com/DykeSuzanne/status/1181869714894725120","1181869714894725120")</f>
        <v>1181869714894725120</v>
      </c>
      <c r="F4380" s="8"/>
      <c r="G4380" s="15"/>
      <c r="H4380" s="8"/>
      <c r="I4380" s="15">
        <v>0</v>
      </c>
      <c r="J4380" s="15">
        <v>0</v>
      </c>
      <c r="K4380" s="12" t="str">
        <f>HYPERLINK("https://mobile.twitter.com","Twitter Web App")</f>
        <v>Twitter Web App</v>
      </c>
      <c r="L4380" s="16">
        <v>54</v>
      </c>
      <c r="M4380" s="16">
        <v>375</v>
      </c>
      <c r="N4380" s="16">
        <v>0</v>
      </c>
      <c r="O4380" s="17"/>
      <c r="P4380" s="18">
        <v>43637.177534722221</v>
      </c>
      <c r="Q4380" s="7" t="s">
        <v>16399</v>
      </c>
      <c r="R4380" s="7" t="s">
        <v>22104</v>
      </c>
      <c r="S4380" s="8"/>
      <c r="T4380" s="8"/>
      <c r="U4380" s="19" t="str">
        <f>HYPERLINK("https://pbs.twimg.com/profile_images/1176033368921825280/AfCYUnZT.jpg","View")</f>
        <v>View</v>
      </c>
      <c r="V4380" s="8"/>
      <c r="W4380" s="8"/>
      <c r="X4380" s="8"/>
      <c r="Y4380" s="8"/>
      <c r="Z4380" s="8"/>
    </row>
    <row r="4381" spans="1:26" ht="12.75">
      <c r="A4381" s="11">
        <v>43747.118854166663</v>
      </c>
      <c r="B4381" s="12" t="str">
        <f>HYPERLINK("https://twitter.com/Kadir50821659","@Kadir50821659")</f>
        <v>@Kadir50821659</v>
      </c>
      <c r="C4381" s="7" t="s">
        <v>22105</v>
      </c>
      <c r="D4381" s="7" t="s">
        <v>160</v>
      </c>
      <c r="E4381" s="12" t="str">
        <f>HYPERLINK("https://twitter.com/Kadir50821659/status/1181869702076874752","1181869702076874752")</f>
        <v>1181869702076874752</v>
      </c>
      <c r="F4381" s="8"/>
      <c r="G4381" s="7"/>
      <c r="H4381" s="8"/>
      <c r="I4381" s="15">
        <v>0</v>
      </c>
      <c r="J4381" s="15">
        <v>0</v>
      </c>
      <c r="K4381" s="12" t="str">
        <f>HYPERLINK("http://twitter.com/download/iphone","Twitter for iPhone")</f>
        <v>Twitter for iPhone</v>
      </c>
      <c r="L4381" s="16">
        <v>0</v>
      </c>
      <c r="M4381" s="16">
        <v>42</v>
      </c>
      <c r="N4381" s="16">
        <v>0</v>
      </c>
      <c r="O4381" s="17"/>
      <c r="P4381" s="18">
        <v>43716.124907407408</v>
      </c>
      <c r="Q4381" s="7"/>
      <c r="R4381" s="7"/>
      <c r="S4381" s="8"/>
      <c r="T4381" s="8"/>
      <c r="U4381" s="20" t="s">
        <v>354</v>
      </c>
      <c r="V4381" s="8"/>
      <c r="W4381" s="8"/>
      <c r="X4381" s="8"/>
      <c r="Y4381" s="8"/>
      <c r="Z4381" s="8"/>
    </row>
    <row r="4382" spans="1:26" ht="12.75">
      <c r="A4382" s="11">
        <v>43747.118842592594</v>
      </c>
      <c r="B4382" s="12" t="str">
        <f>HYPERLINK("https://twitter.com/AbdullahHopa","@AbdullahHopa")</f>
        <v>@AbdullahHopa</v>
      </c>
      <c r="C4382" s="7" t="s">
        <v>6869</v>
      </c>
      <c r="D4382" s="7" t="s">
        <v>160</v>
      </c>
      <c r="E4382" s="12" t="str">
        <f>HYPERLINK("https://twitter.com/AbdullahHopa/status/1181869695600861184","1181869695600861184")</f>
        <v>1181869695600861184</v>
      </c>
      <c r="F4382" s="8"/>
      <c r="G4382" s="15"/>
      <c r="H4382" s="8"/>
      <c r="I4382" s="15">
        <v>0</v>
      </c>
      <c r="J4382" s="15">
        <v>0</v>
      </c>
      <c r="K4382" s="12" t="str">
        <f>HYPERLINK("https://mobile.twitter.com","Twitter Web App")</f>
        <v>Twitter Web App</v>
      </c>
      <c r="L4382" s="16">
        <v>144</v>
      </c>
      <c r="M4382" s="16">
        <v>76</v>
      </c>
      <c r="N4382" s="16">
        <v>1</v>
      </c>
      <c r="O4382" s="17"/>
      <c r="P4382" s="18">
        <v>40770.994293981479</v>
      </c>
      <c r="Q4382" s="7"/>
      <c r="R4382" s="7"/>
      <c r="S4382" s="14" t="s">
        <v>22106</v>
      </c>
      <c r="T4382" s="8"/>
      <c r="U4382" s="19" t="str">
        <f>HYPERLINK("https://pbs.twimg.com/profile_images/1168105937565036545/gqlktQlw.jpg","View")</f>
        <v>View</v>
      </c>
      <c r="V4382" s="8"/>
      <c r="W4382" s="8"/>
      <c r="X4382" s="8"/>
      <c r="Y4382" s="8"/>
      <c r="Z4382" s="8"/>
    </row>
    <row r="4383" spans="1:26" ht="12.75">
      <c r="A4383" s="11">
        <v>43747.11881944444</v>
      </c>
      <c r="B4383" s="12" t="str">
        <f>HYPERLINK("https://twitter.com/isola_blu_","@isola_blu_")</f>
        <v>@isola_blu_</v>
      </c>
      <c r="C4383" s="7" t="s">
        <v>22107</v>
      </c>
      <c r="D4383" s="7" t="s">
        <v>22108</v>
      </c>
      <c r="E4383" s="12" t="str">
        <f>HYPERLINK("https://twitter.com/isola_blu_/status/1181869690257334272","1181869690257334272")</f>
        <v>1181869690257334272</v>
      </c>
      <c r="F4383" s="14" t="s">
        <v>22109</v>
      </c>
      <c r="G4383" s="14" t="s">
        <v>22110</v>
      </c>
      <c r="H4383" s="8"/>
      <c r="I4383" s="15">
        <v>1</v>
      </c>
      <c r="J4383" s="15">
        <v>7</v>
      </c>
      <c r="K4383" s="12" t="str">
        <f>HYPERLINK("http://twitter.com/download/iphone","Twitter for iPhone")</f>
        <v>Twitter for iPhone</v>
      </c>
      <c r="L4383" s="16">
        <v>3108</v>
      </c>
      <c r="M4383" s="16">
        <v>158</v>
      </c>
      <c r="N4383" s="16">
        <v>54</v>
      </c>
      <c r="O4383" s="17"/>
      <c r="P4383" s="18">
        <v>42183.58384259259</v>
      </c>
      <c r="Q4383" s="7"/>
      <c r="R4383" s="7" t="s">
        <v>22111</v>
      </c>
      <c r="S4383" s="14" t="s">
        <v>22112</v>
      </c>
      <c r="T4383" s="8"/>
      <c r="U4383" s="19" t="str">
        <f>HYPERLINK("https://pbs.twimg.com/profile_images/1177007906216206336/-3TTT2ED.jpg","View")</f>
        <v>View</v>
      </c>
      <c r="V4383" s="8"/>
      <c r="W4383" s="8"/>
      <c r="X4383" s="8"/>
      <c r="Y4383" s="8"/>
      <c r="Z4383" s="8"/>
    </row>
    <row r="4384" spans="1:26" ht="12.75">
      <c r="A4384" s="11">
        <v>43747.118807870371</v>
      </c>
      <c r="B4384" s="12" t="str">
        <f>HYPERLINK("https://twitter.com/sercankorkmaz11","@sercankorkmaz11")</f>
        <v>@sercankorkmaz11</v>
      </c>
      <c r="C4384" s="7" t="s">
        <v>22113</v>
      </c>
      <c r="D4384" s="7" t="s">
        <v>22114</v>
      </c>
      <c r="E4384" s="12" t="str">
        <f>HYPERLINK("https://twitter.com/sercankorkmaz11/status/1181869682841784325","1181869682841784325")</f>
        <v>1181869682841784325</v>
      </c>
      <c r="F4384" s="8"/>
      <c r="G4384" s="15"/>
      <c r="H4384" s="8"/>
      <c r="I4384" s="15">
        <v>0</v>
      </c>
      <c r="J4384" s="15">
        <v>1</v>
      </c>
      <c r="K4384" s="12" t="str">
        <f>HYPERLINK("http://twitter.com/download/android","Twitter for Android")</f>
        <v>Twitter for Android</v>
      </c>
      <c r="L4384" s="16">
        <v>0</v>
      </c>
      <c r="M4384" s="16">
        <v>4</v>
      </c>
      <c r="N4384" s="16">
        <v>0</v>
      </c>
      <c r="O4384" s="17"/>
      <c r="P4384" s="18">
        <v>41168.523055555554</v>
      </c>
      <c r="Q4384" s="7" t="s">
        <v>22115</v>
      </c>
      <c r="R4384" s="7" t="s">
        <v>22116</v>
      </c>
      <c r="S4384" s="8"/>
      <c r="T4384" s="8"/>
      <c r="U4384" s="19" t="str">
        <f>HYPERLINK("https://pbs.twimg.com/profile_images/1177286335788441601/wphAG330.jpg","View")</f>
        <v>View</v>
      </c>
      <c r="V4384" s="8"/>
      <c r="W4384" s="8"/>
      <c r="X4384" s="8"/>
      <c r="Y4384" s="8"/>
      <c r="Z4384" s="8"/>
    </row>
    <row r="4385" spans="1:26" ht="12.75">
      <c r="A4385" s="11">
        <v>43747.118784722217</v>
      </c>
      <c r="B4385" s="12" t="str">
        <f>HYPERLINK("https://twitter.com/huseyineguven","@huseyineguven")</f>
        <v>@huseyineguven</v>
      </c>
      <c r="C4385" s="7" t="s">
        <v>22117</v>
      </c>
      <c r="D4385" s="7" t="s">
        <v>160</v>
      </c>
      <c r="E4385" s="12" t="str">
        <f>HYPERLINK("https://twitter.com/huseyineguven/status/1181869675115876353","1181869675115876353")</f>
        <v>1181869675115876353</v>
      </c>
      <c r="F4385" s="8"/>
      <c r="G4385" s="14" t="s">
        <v>22118</v>
      </c>
      <c r="H4385" s="8"/>
      <c r="I4385" s="15">
        <v>0</v>
      </c>
      <c r="J4385" s="15">
        <v>0</v>
      </c>
      <c r="K4385" s="12" t="str">
        <f>HYPERLINK("http://twitter.com/download/android","Twitter for Android")</f>
        <v>Twitter for Android</v>
      </c>
      <c r="L4385" s="16">
        <v>337</v>
      </c>
      <c r="M4385" s="16">
        <v>1545</v>
      </c>
      <c r="N4385" s="16">
        <v>2</v>
      </c>
      <c r="O4385" s="17"/>
      <c r="P4385" s="18">
        <v>41440.353067129632</v>
      </c>
      <c r="Q4385" s="7" t="s">
        <v>313</v>
      </c>
      <c r="R4385" s="7" t="s">
        <v>22119</v>
      </c>
      <c r="S4385" s="8"/>
      <c r="T4385" s="8"/>
      <c r="U4385" s="19" t="str">
        <f>HYPERLINK("https://pbs.twimg.com/profile_images/1095292213284749312/L8XVCoVD.jpg","View")</f>
        <v>View</v>
      </c>
      <c r="V4385" s="8"/>
      <c r="W4385" s="8"/>
      <c r="X4385" s="8"/>
      <c r="Y4385" s="8"/>
      <c r="Z4385" s="8"/>
    </row>
    <row r="4386" spans="1:26" ht="12.75">
      <c r="A4386" s="11">
        <v>43747.118773148148</v>
      </c>
      <c r="B4386" s="12" t="str">
        <f>HYPERLINK("https://twitter.com/tascimurat07","@tascimurat07")</f>
        <v>@tascimurat07</v>
      </c>
      <c r="C4386" s="7" t="s">
        <v>22120</v>
      </c>
      <c r="D4386" s="7" t="s">
        <v>22121</v>
      </c>
      <c r="E4386" s="12" t="str">
        <f>HYPERLINK("https://twitter.com/tascimurat07/status/1181869673341767681","1181869673341767681")</f>
        <v>1181869673341767681</v>
      </c>
      <c r="F4386" s="8"/>
      <c r="G4386" s="14" t="s">
        <v>22122</v>
      </c>
      <c r="H4386" s="8"/>
      <c r="I4386" s="15">
        <v>0</v>
      </c>
      <c r="J4386" s="15">
        <v>1</v>
      </c>
      <c r="K4386" s="12" t="str">
        <f>HYPERLINK("http://twitter.com/download/iphone","Twitter for iPhone")</f>
        <v>Twitter for iPhone</v>
      </c>
      <c r="L4386" s="16">
        <v>210</v>
      </c>
      <c r="M4386" s="16">
        <v>727</v>
      </c>
      <c r="N4386" s="16">
        <v>0</v>
      </c>
      <c r="O4386" s="17"/>
      <c r="P4386" s="18">
        <v>41706.126215277778</v>
      </c>
      <c r="Q4386" s="7" t="s">
        <v>22123</v>
      </c>
      <c r="R4386" s="7" t="s">
        <v>22124</v>
      </c>
      <c r="S4386" s="8"/>
      <c r="T4386" s="8"/>
      <c r="U4386" s="19" t="str">
        <f>HYPERLINK("https://pbs.twimg.com/profile_images/1150981085444091904/52yBtb40.jpg","View")</f>
        <v>View</v>
      </c>
      <c r="V4386" s="8"/>
      <c r="W4386" s="8"/>
      <c r="X4386" s="8"/>
      <c r="Y4386" s="8"/>
      <c r="Z4386" s="8"/>
    </row>
    <row r="4387" spans="1:26" ht="12.75">
      <c r="A4387" s="11">
        <v>43747.118773148148</v>
      </c>
      <c r="B4387" s="12" t="str">
        <f>HYPERLINK("https://twitter.com/imsweetqueenn","@imsweetqueenn")</f>
        <v>@imsweetqueenn</v>
      </c>
      <c r="C4387" s="7" t="s">
        <v>22125</v>
      </c>
      <c r="D4387" s="7" t="s">
        <v>22126</v>
      </c>
      <c r="E4387" s="12" t="str">
        <f>HYPERLINK("https://twitter.com/imsweetqueenn/status/1181869670963568640","1181869670963568640")</f>
        <v>1181869670963568640</v>
      </c>
      <c r="F4387" s="8"/>
      <c r="G4387" s="15"/>
      <c r="H4387" s="8"/>
      <c r="I4387" s="15">
        <v>0</v>
      </c>
      <c r="J4387" s="15">
        <v>0</v>
      </c>
      <c r="K4387" s="12" t="str">
        <f>HYPERLINK("http://twitter.com/download/android","Twitter for Android")</f>
        <v>Twitter for Android</v>
      </c>
      <c r="L4387" s="16">
        <v>51</v>
      </c>
      <c r="M4387" s="16">
        <v>168</v>
      </c>
      <c r="N4387" s="16">
        <v>1</v>
      </c>
      <c r="O4387" s="17"/>
      <c r="P4387" s="18">
        <v>43020.992465277777</v>
      </c>
      <c r="Q4387" s="7"/>
      <c r="R4387" s="7" t="s">
        <v>22127</v>
      </c>
      <c r="S4387" s="8"/>
      <c r="T4387" s="8"/>
      <c r="U4387" s="19" t="str">
        <f>HYPERLINK("https://pbs.twimg.com/profile_images/1175929118254346240/0u340I3E.jpg","View")</f>
        <v>View</v>
      </c>
      <c r="V4387" s="8"/>
      <c r="W4387" s="8"/>
      <c r="X4387" s="8"/>
      <c r="Y4387" s="8"/>
      <c r="Z4387" s="8"/>
    </row>
    <row r="4388" spans="1:26" ht="12.75">
      <c r="A4388" s="11">
        <v>43747.118750000001</v>
      </c>
      <c r="B4388" s="12" t="str">
        <f>HYPERLINK("https://twitter.com/asigen36","@asigen36")</f>
        <v>@asigen36</v>
      </c>
      <c r="C4388" s="7" t="s">
        <v>22128</v>
      </c>
      <c r="D4388" s="7" t="s">
        <v>22129</v>
      </c>
      <c r="E4388" s="12" t="str">
        <f>HYPERLINK("https://twitter.com/asigen36/status/1181869661421477888","1181869661421477888")</f>
        <v>1181869661421477888</v>
      </c>
      <c r="F4388" s="8"/>
      <c r="G4388" s="15"/>
      <c r="H4388" s="8"/>
      <c r="I4388" s="15">
        <v>0</v>
      </c>
      <c r="J4388" s="15">
        <v>0</v>
      </c>
      <c r="K4388" s="12" t="str">
        <f>HYPERLINK("http://twitter.com/download/iphone","Twitter for iPhone")</f>
        <v>Twitter for iPhone</v>
      </c>
      <c r="L4388" s="16">
        <v>5</v>
      </c>
      <c r="M4388" s="16">
        <v>14</v>
      </c>
      <c r="N4388" s="16">
        <v>0</v>
      </c>
      <c r="O4388" s="17"/>
      <c r="P4388" s="18">
        <v>41241.39708333333</v>
      </c>
      <c r="Q4388" s="7"/>
      <c r="R4388" s="7"/>
      <c r="S4388" s="8"/>
      <c r="T4388" s="8"/>
      <c r="U4388" s="19" t="str">
        <f>HYPERLINK("https://pbs.twimg.com/profile_images/1170269335132286976/JGiHHPHy.jpg","View")</f>
        <v>View</v>
      </c>
      <c r="V4388" s="8"/>
      <c r="W4388" s="8"/>
      <c r="X4388" s="8"/>
      <c r="Y4388" s="8"/>
      <c r="Z4388" s="8"/>
    </row>
    <row r="4389" spans="1:26" ht="12.75">
      <c r="A4389" s="11">
        <v>43747.118726851855</v>
      </c>
      <c r="B4389" s="12" t="str">
        <f>HYPERLINK("https://twitter.com/_yazarca","@_yazarca")</f>
        <v>@_yazarca</v>
      </c>
      <c r="C4389" s="7" t="s">
        <v>22130</v>
      </c>
      <c r="D4389" s="7" t="s">
        <v>22131</v>
      </c>
      <c r="E4389" s="12" t="str">
        <f>HYPERLINK("https://twitter.com/_yazarca/status/1181869654047899648","1181869654047899648")</f>
        <v>1181869654047899648</v>
      </c>
      <c r="F4389" s="8"/>
      <c r="G4389" s="14" t="s">
        <v>22132</v>
      </c>
      <c r="H4389" s="8"/>
      <c r="I4389" s="15">
        <v>6</v>
      </c>
      <c r="J4389" s="15">
        <v>8</v>
      </c>
      <c r="K4389" s="12" t="str">
        <f>HYPERLINK("http://twitter.com/download/android","Twitter for Android")</f>
        <v>Twitter for Android</v>
      </c>
      <c r="L4389" s="16">
        <v>12305</v>
      </c>
      <c r="M4389" s="16">
        <v>9649</v>
      </c>
      <c r="N4389" s="16">
        <v>25</v>
      </c>
      <c r="O4389" s="17"/>
      <c r="P4389" s="18">
        <v>41003.672800925924</v>
      </c>
      <c r="Q4389" s="7" t="s">
        <v>313</v>
      </c>
      <c r="R4389" s="7" t="s">
        <v>22133</v>
      </c>
      <c r="S4389" s="8"/>
      <c r="T4389" s="8"/>
      <c r="U4389" s="19" t="str">
        <f>HYPERLINK("https://pbs.twimg.com/profile_images/1166633270085332992/HNmeE7pl.jpg","View")</f>
        <v>View</v>
      </c>
      <c r="V4389" s="8"/>
      <c r="W4389" s="8"/>
      <c r="X4389" s="8"/>
      <c r="Y4389" s="8"/>
      <c r="Z4389" s="8"/>
    </row>
    <row r="4390" spans="1:26" ht="12.75">
      <c r="A4390" s="11">
        <v>43747.118715277778</v>
      </c>
      <c r="B4390" s="12" t="str">
        <f>HYPERLINK("https://twitter.com/Ozanbey82477741","@Ozanbey82477741")</f>
        <v>@Ozanbey82477741</v>
      </c>
      <c r="C4390" s="7" t="s">
        <v>22134</v>
      </c>
      <c r="D4390" s="7" t="s">
        <v>22135</v>
      </c>
      <c r="E4390" s="12" t="str">
        <f>HYPERLINK("https://twitter.com/Ozanbey82477741/status/1181869649681625089","1181869649681625089")</f>
        <v>1181869649681625089</v>
      </c>
      <c r="F4390" s="8"/>
      <c r="G4390" s="14" t="s">
        <v>22136</v>
      </c>
      <c r="H4390" s="8"/>
      <c r="I4390" s="15">
        <v>0</v>
      </c>
      <c r="J4390" s="15">
        <v>1</v>
      </c>
      <c r="K4390" s="12" t="str">
        <f>HYPERLINK("https://mobile.twitter.com","Twitter Web App")</f>
        <v>Twitter Web App</v>
      </c>
      <c r="L4390" s="16">
        <v>21</v>
      </c>
      <c r="M4390" s="16">
        <v>34</v>
      </c>
      <c r="N4390" s="16">
        <v>0</v>
      </c>
      <c r="O4390" s="17"/>
      <c r="P4390" s="18">
        <v>43536.537523148145</v>
      </c>
      <c r="Q4390" s="7"/>
      <c r="R4390" s="7" t="s">
        <v>22137</v>
      </c>
      <c r="S4390" s="8"/>
      <c r="T4390" s="8"/>
      <c r="U4390" s="19" t="str">
        <f>HYPERLINK("https://pbs.twimg.com/profile_images/1114219077139144704/QwnKJN8B.jpg","View")</f>
        <v>View</v>
      </c>
      <c r="V4390" s="8"/>
      <c r="W4390" s="8"/>
      <c r="X4390" s="8"/>
      <c r="Y4390" s="8"/>
      <c r="Z4390" s="8"/>
    </row>
    <row r="4391" spans="1:26" ht="12.75">
      <c r="A4391" s="11">
        <v>43747.118668981479</v>
      </c>
      <c r="B4391" s="12" t="str">
        <f>HYPERLINK("https://twitter.com/h_iboyldz","@h_iboyldz")</f>
        <v>@h_iboyldz</v>
      </c>
      <c r="C4391" s="7" t="s">
        <v>22138</v>
      </c>
      <c r="D4391" s="7" t="s">
        <v>22139</v>
      </c>
      <c r="E4391" s="12" t="str">
        <f>HYPERLINK("https://twitter.com/h_iboyldz/status/1181869635387482112","1181869635387482112")</f>
        <v>1181869635387482112</v>
      </c>
      <c r="F4391" s="8"/>
      <c r="G4391" s="15"/>
      <c r="H4391" s="8"/>
      <c r="I4391" s="15">
        <v>0</v>
      </c>
      <c r="J4391" s="15">
        <v>1</v>
      </c>
      <c r="K4391" s="12" t="str">
        <f>HYPERLINK("http://twitter.com/download/iphone","Twitter for iPhone")</f>
        <v>Twitter for iPhone</v>
      </c>
      <c r="L4391" s="16">
        <v>55</v>
      </c>
      <c r="M4391" s="16">
        <v>59</v>
      </c>
      <c r="N4391" s="16">
        <v>0</v>
      </c>
      <c r="O4391" s="17"/>
      <c r="P4391" s="18">
        <v>43120.9921875</v>
      </c>
      <c r="Q4391" s="7" t="s">
        <v>313</v>
      </c>
      <c r="R4391" s="7"/>
      <c r="S4391" s="8"/>
      <c r="T4391" s="8"/>
      <c r="U4391" s="19" t="str">
        <f>HYPERLINK("https://pbs.twimg.com/profile_images/1170361456564604928/zy6ZMgwc.jpg","View")</f>
        <v>View</v>
      </c>
      <c r="V4391" s="8"/>
      <c r="W4391" s="8"/>
      <c r="X4391" s="8"/>
      <c r="Y4391" s="8"/>
      <c r="Z4391" s="8"/>
    </row>
    <row r="4392" spans="1:26" ht="12.75">
      <c r="A4392" s="11">
        <v>43747.118645833332</v>
      </c>
      <c r="B4392" s="12" t="str">
        <f>HYPERLINK("https://twitter.com/TTAgrup","@TTAgrup")</f>
        <v>@TTAgrup</v>
      </c>
      <c r="C4392" s="7" t="s">
        <v>22140</v>
      </c>
      <c r="D4392" s="7" t="s">
        <v>9019</v>
      </c>
      <c r="E4392" s="12" t="str">
        <f>HYPERLINK("https://twitter.com/TTAgrup/status/1181869625136619521","1181869625136619521")</f>
        <v>1181869625136619521</v>
      </c>
      <c r="F4392" s="8"/>
      <c r="G4392" s="14" t="s">
        <v>22141</v>
      </c>
      <c r="H4392" s="8"/>
      <c r="I4392" s="15">
        <v>93</v>
      </c>
      <c r="J4392" s="15">
        <v>743</v>
      </c>
      <c r="K4392" s="12" t="str">
        <f>HYPERLINK("https://mobile.twitter.com","Twitter Web App")</f>
        <v>Twitter Web App</v>
      </c>
      <c r="L4392" s="16">
        <v>137021</v>
      </c>
      <c r="M4392" s="16">
        <v>26</v>
      </c>
      <c r="N4392" s="16">
        <v>153</v>
      </c>
      <c r="O4392" s="17"/>
      <c r="P4392" s="18">
        <v>42277.404780092591</v>
      </c>
      <c r="Q4392" s="7" t="s">
        <v>22142</v>
      </c>
      <c r="R4392" s="7" t="s">
        <v>22143</v>
      </c>
      <c r="S4392" s="14" t="s">
        <v>22144</v>
      </c>
      <c r="T4392" s="8"/>
      <c r="U4392" s="19" t="str">
        <f>HYPERLINK("https://pbs.twimg.com/profile_images/929406711240232962/W1UJ4vtz.jpg","View")</f>
        <v>View</v>
      </c>
      <c r="V4392" s="8"/>
      <c r="W4392" s="8"/>
      <c r="X4392" s="8"/>
      <c r="Y4392" s="8"/>
      <c r="Z4392" s="8"/>
    </row>
    <row r="4393" spans="1:26" ht="12.75">
      <c r="A4393" s="11">
        <v>43747.118645833332</v>
      </c>
      <c r="B4393" s="12" t="str">
        <f>HYPERLINK("https://twitter.com/Delibqlta","@Delibqlta")</f>
        <v>@Delibqlta</v>
      </c>
      <c r="C4393" s="7" t="s">
        <v>22145</v>
      </c>
      <c r="D4393" s="7" t="s">
        <v>22146</v>
      </c>
      <c r="E4393" s="12" t="str">
        <f>HYPERLINK("https://twitter.com/Delibqlta/status/1181869623844753408","1181869623844753408")</f>
        <v>1181869623844753408</v>
      </c>
      <c r="F4393" s="8"/>
      <c r="G4393" s="7"/>
      <c r="H4393" s="8"/>
      <c r="I4393" s="15">
        <v>0</v>
      </c>
      <c r="J4393" s="15">
        <v>0</v>
      </c>
      <c r="K4393" s="12" t="str">
        <f>HYPERLINK("http://twitter.com/download/android","Twitter for Android")</f>
        <v>Twitter for Android</v>
      </c>
      <c r="L4393" s="16">
        <v>25</v>
      </c>
      <c r="M4393" s="16">
        <v>302</v>
      </c>
      <c r="N4393" s="16">
        <v>0</v>
      </c>
      <c r="O4393" s="17"/>
      <c r="P4393" s="18">
        <v>42603.325902777782</v>
      </c>
      <c r="Q4393" s="7" t="s">
        <v>200</v>
      </c>
      <c r="R4393" s="7" t="s">
        <v>22147</v>
      </c>
      <c r="S4393" s="8"/>
      <c r="T4393" s="8"/>
      <c r="U4393" s="19" t="str">
        <f>HYPERLINK("https://pbs.twimg.com/profile_images/1129847186609590272/DygMicql.jpg","View")</f>
        <v>View</v>
      </c>
      <c r="V4393" s="8"/>
      <c r="W4393" s="8"/>
      <c r="X4393" s="8"/>
      <c r="Y4393" s="8"/>
      <c r="Z4393" s="8"/>
    </row>
    <row r="4394" spans="1:26" ht="12.75">
      <c r="A4394" s="11">
        <v>43747.118634259255</v>
      </c>
      <c r="B4394" s="12" t="str">
        <f>HYPERLINK("https://twitter.com/siyahsancak2071","@siyahsancak2071")</f>
        <v>@siyahsancak2071</v>
      </c>
      <c r="C4394" s="7" t="s">
        <v>22148</v>
      </c>
      <c r="D4394" s="7" t="s">
        <v>22048</v>
      </c>
      <c r="E4394" s="12" t="str">
        <f>HYPERLINK("https://twitter.com/siyahsancak2071/status/1181869622431227904","1181869622431227904")</f>
        <v>1181869622431227904</v>
      </c>
      <c r="F4394" s="8"/>
      <c r="G4394" s="15"/>
      <c r="H4394" s="8"/>
      <c r="I4394" s="15">
        <v>0</v>
      </c>
      <c r="J4394" s="15">
        <v>0</v>
      </c>
      <c r="K4394" s="12" t="str">
        <f>HYPERLINK("https://mobile.twitter.com","Twitter Web App")</f>
        <v>Twitter Web App</v>
      </c>
      <c r="L4394" s="16">
        <v>185</v>
      </c>
      <c r="M4394" s="16">
        <v>539</v>
      </c>
      <c r="N4394" s="16">
        <v>0</v>
      </c>
      <c r="O4394" s="17"/>
      <c r="P4394" s="18">
        <v>42260.154039351852</v>
      </c>
      <c r="Q4394" s="7"/>
      <c r="R4394" s="7"/>
      <c r="S4394" s="15"/>
      <c r="T4394" s="8"/>
      <c r="U4394" s="19" t="str">
        <f>HYPERLINK("https://pbs.twimg.com/profile_images/955151673781030912/odt2PHo3.jpg","View")</f>
        <v>View</v>
      </c>
      <c r="V4394" s="8"/>
      <c r="W4394" s="8"/>
      <c r="X4394" s="8"/>
      <c r="Y4394" s="8"/>
      <c r="Z4394" s="8"/>
    </row>
    <row r="4395" spans="1:26" ht="12.75">
      <c r="A4395" s="11">
        <v>43747.118611111116</v>
      </c>
      <c r="B4395" s="12" t="str">
        <f>HYPERLINK("https://twitter.com/erkn_aydn","@erkn_aydn")</f>
        <v>@erkn_aydn</v>
      </c>
      <c r="C4395" s="7" t="s">
        <v>22149</v>
      </c>
      <c r="D4395" s="7" t="s">
        <v>22150</v>
      </c>
      <c r="E4395" s="12" t="str">
        <f>HYPERLINK("https://twitter.com/erkn_aydn/status/1181869614394941440","1181869614394941440")</f>
        <v>1181869614394941440</v>
      </c>
      <c r="F4395" s="8"/>
      <c r="G4395" s="7"/>
      <c r="H4395" s="8"/>
      <c r="I4395" s="15">
        <v>0</v>
      </c>
      <c r="J4395" s="15">
        <v>0</v>
      </c>
      <c r="K4395" s="12" t="str">
        <f>HYPERLINK("http://twitter.com/download/android","Twitter for Android")</f>
        <v>Twitter for Android</v>
      </c>
      <c r="L4395" s="16">
        <v>179</v>
      </c>
      <c r="M4395" s="16">
        <v>553</v>
      </c>
      <c r="N4395" s="16">
        <v>0</v>
      </c>
      <c r="O4395" s="17"/>
      <c r="P4395" s="18">
        <v>40101.578171296293</v>
      </c>
      <c r="Q4395" s="7" t="s">
        <v>200</v>
      </c>
      <c r="R4395" s="7" t="s">
        <v>22151</v>
      </c>
      <c r="S4395" s="8"/>
      <c r="T4395" s="8"/>
      <c r="U4395" s="19" t="str">
        <f>HYPERLINK("https://pbs.twimg.com/profile_images/1117164779620196352/DTTrZjLE.jpg","View")</f>
        <v>View</v>
      </c>
      <c r="V4395" s="8"/>
      <c r="W4395" s="8"/>
      <c r="X4395" s="8"/>
      <c r="Y4395" s="8"/>
      <c r="Z4395" s="8"/>
    </row>
    <row r="4396" spans="1:26" ht="12.75">
      <c r="A4396" s="11">
        <v>43747.118611111116</v>
      </c>
      <c r="B4396" s="12" t="str">
        <f>HYPERLINK("https://twitter.com/erkovan_samed","@erkovan_samed")</f>
        <v>@erkovan_samed</v>
      </c>
      <c r="C4396" s="7" t="s">
        <v>22152</v>
      </c>
      <c r="D4396" s="7" t="s">
        <v>22153</v>
      </c>
      <c r="E4396" s="12" t="str">
        <f>HYPERLINK("https://twitter.com/erkovan_samed/status/1181869614072041478","1181869614072041478")</f>
        <v>1181869614072041478</v>
      </c>
      <c r="F4396" s="8"/>
      <c r="G4396" s="14" t="s">
        <v>22154</v>
      </c>
      <c r="H4396" s="8"/>
      <c r="I4396" s="15">
        <v>0</v>
      </c>
      <c r="J4396" s="15">
        <v>5</v>
      </c>
      <c r="K4396" s="12" t="str">
        <f>HYPERLINK("http://twitter.com/download/android","Twitter for Android")</f>
        <v>Twitter for Android</v>
      </c>
      <c r="L4396" s="16">
        <v>26</v>
      </c>
      <c r="M4396" s="16">
        <v>58</v>
      </c>
      <c r="N4396" s="16">
        <v>0</v>
      </c>
      <c r="O4396" s="17"/>
      <c r="P4396" s="18">
        <v>43360.170266203699</v>
      </c>
      <c r="Q4396" s="7" t="s">
        <v>313</v>
      </c>
      <c r="R4396" s="7"/>
      <c r="S4396" s="8"/>
      <c r="T4396" s="8"/>
      <c r="U4396" s="19" t="str">
        <f>HYPERLINK("https://pbs.twimg.com/profile_images/1100459273417564160/BzJv2vpk.jpg","View")</f>
        <v>View</v>
      </c>
      <c r="V4396" s="8"/>
      <c r="W4396" s="8"/>
      <c r="X4396" s="8"/>
      <c r="Y4396" s="8"/>
      <c r="Z4396" s="8"/>
    </row>
    <row r="4397" spans="1:26" ht="12.75">
      <c r="A4397" s="11">
        <v>43747.118599537032</v>
      </c>
      <c r="B4397" s="12" t="str">
        <f>HYPERLINK("https://twitter.com/sercan_ozbek32","@sercan_ozbek32")</f>
        <v>@sercan_ozbek32</v>
      </c>
      <c r="C4397" s="7" t="s">
        <v>22155</v>
      </c>
      <c r="D4397" s="7" t="s">
        <v>160</v>
      </c>
      <c r="E4397" s="12" t="str">
        <f>HYPERLINK("https://twitter.com/sercan_ozbek32/status/1181869607679922176","1181869607679922176")</f>
        <v>1181869607679922176</v>
      </c>
      <c r="F4397" s="8"/>
      <c r="G4397" s="14" t="s">
        <v>22156</v>
      </c>
      <c r="H4397" s="8"/>
      <c r="I4397" s="15">
        <v>0</v>
      </c>
      <c r="J4397" s="15">
        <v>0</v>
      </c>
      <c r="K4397" s="12" t="str">
        <f>HYPERLINK("http://twitter.com/download/android","Twitter for Android")</f>
        <v>Twitter for Android</v>
      </c>
      <c r="L4397" s="16">
        <v>136</v>
      </c>
      <c r="M4397" s="16">
        <v>117</v>
      </c>
      <c r="N4397" s="16">
        <v>0</v>
      </c>
      <c r="O4397" s="17"/>
      <c r="P4397" s="18">
        <v>42776.639999999999</v>
      </c>
      <c r="Q4397" s="7" t="s">
        <v>8665</v>
      </c>
      <c r="R4397" s="7" t="s">
        <v>22157</v>
      </c>
      <c r="S4397" s="8"/>
      <c r="T4397" s="8"/>
      <c r="U4397" s="19" t="str">
        <f>HYPERLINK("https://pbs.twimg.com/profile_images/1113344810855874560/VaQigsqm.jpg","View")</f>
        <v>View</v>
      </c>
      <c r="V4397" s="8"/>
      <c r="W4397" s="8"/>
      <c r="X4397" s="8"/>
      <c r="Y4397" s="8"/>
      <c r="Z4397" s="8"/>
    </row>
    <row r="4398" spans="1:26" ht="12.75">
      <c r="A4398" s="11">
        <v>43747.118587962963</v>
      </c>
      <c r="B4398" s="12" t="str">
        <f>HYPERLINK("https://twitter.com/1881_esra_1903","@1881_esra_1903")</f>
        <v>@1881_esra_1903</v>
      </c>
      <c r="C4398" s="7" t="s">
        <v>22158</v>
      </c>
      <c r="D4398" s="7" t="s">
        <v>22159</v>
      </c>
      <c r="E4398" s="12" t="str">
        <f>HYPERLINK("https://twitter.com/1881_esra_1903/status/1181869606539075584","1181869606539075584")</f>
        <v>1181869606539075584</v>
      </c>
      <c r="F4398" s="8"/>
      <c r="G4398" s="15"/>
      <c r="H4398" s="8"/>
      <c r="I4398" s="15">
        <v>2</v>
      </c>
      <c r="J4398" s="15">
        <v>6</v>
      </c>
      <c r="K4398" s="12" t="str">
        <f>HYPERLINK("http://twitter.com/download/android","Twitter for Android")</f>
        <v>Twitter for Android</v>
      </c>
      <c r="L4398" s="16">
        <v>8954</v>
      </c>
      <c r="M4398" s="16">
        <v>2692</v>
      </c>
      <c r="N4398" s="16">
        <v>7</v>
      </c>
      <c r="O4398" s="17"/>
      <c r="P4398" s="18">
        <v>43007.104097222225</v>
      </c>
      <c r="Q4398" s="7" t="s">
        <v>313</v>
      </c>
      <c r="R4398" s="7" t="s">
        <v>22160</v>
      </c>
      <c r="S4398" s="8"/>
      <c r="T4398" s="8"/>
      <c r="U4398" s="19" t="str">
        <f>HYPERLINK("https://pbs.twimg.com/profile_images/1099720447933976579/vyJJ1Bcp.jpg","View")</f>
        <v>View</v>
      </c>
      <c r="V4398" s="8"/>
      <c r="W4398" s="8"/>
      <c r="X4398" s="8"/>
      <c r="Y4398" s="8"/>
      <c r="Z4398" s="8"/>
    </row>
    <row r="4399" spans="1:26" ht="12.75">
      <c r="A4399" s="11">
        <v>43747.118506944447</v>
      </c>
      <c r="B4399" s="12" t="str">
        <f>HYPERLINK("https://twitter.com/KSirillo","@KSirillo")</f>
        <v>@KSirillo</v>
      </c>
      <c r="C4399" s="7" t="s">
        <v>22161</v>
      </c>
      <c r="D4399" s="7" t="s">
        <v>22162</v>
      </c>
      <c r="E4399" s="12" t="str">
        <f>HYPERLINK("https://twitter.com/KSirillo/status/1181869574318415873","1181869574318415873")</f>
        <v>1181869574318415873</v>
      </c>
      <c r="F4399" s="8"/>
      <c r="G4399" s="15"/>
      <c r="H4399" s="8"/>
      <c r="I4399" s="15">
        <v>0</v>
      </c>
      <c r="J4399" s="15">
        <v>0</v>
      </c>
      <c r="K4399" s="12" t="str">
        <f>HYPERLINK("https://mobile.twitter.com","Twitter Web App")</f>
        <v>Twitter Web App</v>
      </c>
      <c r="L4399" s="16">
        <v>142</v>
      </c>
      <c r="M4399" s="16">
        <v>1143</v>
      </c>
      <c r="N4399" s="16">
        <v>0</v>
      </c>
      <c r="O4399" s="17"/>
      <c r="P4399" s="18">
        <v>43677.117037037038</v>
      </c>
      <c r="Q4399" s="7"/>
      <c r="R4399" s="7" t="s">
        <v>22163</v>
      </c>
      <c r="S4399" s="8"/>
      <c r="T4399" s="8"/>
      <c r="U4399" s="19" t="str">
        <f>HYPERLINK("https://pbs.twimg.com/profile_images/1156502590730985472/IUyp2hIk.jpg","View")</f>
        <v>View</v>
      </c>
      <c r="V4399" s="8"/>
      <c r="W4399" s="8"/>
      <c r="X4399" s="8"/>
      <c r="Y4399" s="8"/>
      <c r="Z4399" s="8"/>
    </row>
    <row r="4400" spans="1:26" ht="12.75">
      <c r="A4400" s="11">
        <v>43747.118495370371</v>
      </c>
      <c r="B4400" s="12" t="str">
        <f>HYPERLINK("https://twitter.com/YasiinSolmaz","@YasiinSolmaz")</f>
        <v>@YasiinSolmaz</v>
      </c>
      <c r="C4400" s="7" t="s">
        <v>22164</v>
      </c>
      <c r="D4400" s="7" t="s">
        <v>22165</v>
      </c>
      <c r="E4400" s="12" t="str">
        <f>HYPERLINK("https://twitter.com/YasiinSolmaz/status/1181869572351287296","1181869572351287296")</f>
        <v>1181869572351287296</v>
      </c>
      <c r="F4400" s="8"/>
      <c r="G4400" s="14" t="s">
        <v>22166</v>
      </c>
      <c r="H4400" s="8"/>
      <c r="I4400" s="15">
        <v>0</v>
      </c>
      <c r="J4400" s="15">
        <v>1</v>
      </c>
      <c r="K4400" s="12" t="str">
        <f>HYPERLINK("http://twitter.com/download/iphone","Twitter for iPhone")</f>
        <v>Twitter for iPhone</v>
      </c>
      <c r="L4400" s="16">
        <v>25</v>
      </c>
      <c r="M4400" s="16">
        <v>76</v>
      </c>
      <c r="N4400" s="16">
        <v>0</v>
      </c>
      <c r="O4400" s="17"/>
      <c r="P4400" s="18">
        <v>41908.425520833334</v>
      </c>
      <c r="Q4400" s="7" t="s">
        <v>287</v>
      </c>
      <c r="R4400" s="7"/>
      <c r="S4400" s="15"/>
      <c r="T4400" s="8"/>
      <c r="U4400" s="19" t="str">
        <f>HYPERLINK("https://pbs.twimg.com/profile_images/1180732513959981057/p7nZz5kl.jpg","View")</f>
        <v>View</v>
      </c>
      <c r="V4400" s="8"/>
      <c r="W4400" s="8"/>
      <c r="X4400" s="8"/>
      <c r="Y4400" s="8"/>
      <c r="Z4400" s="8"/>
    </row>
    <row r="4401" spans="1:26" ht="12.75">
      <c r="A4401" s="11">
        <v>43747.118460648147</v>
      </c>
      <c r="B4401" s="12" t="str">
        <f>HYPERLINK("https://twitter.com/GaripDayko","@GaripDayko")</f>
        <v>@GaripDayko</v>
      </c>
      <c r="C4401" s="7" t="s">
        <v>22167</v>
      </c>
      <c r="D4401" s="7" t="s">
        <v>22168</v>
      </c>
      <c r="E4401" s="12" t="str">
        <f>HYPERLINK("https://twitter.com/GaripDayko/status/1181869557243359233","1181869557243359233")</f>
        <v>1181869557243359233</v>
      </c>
      <c r="F4401" s="15"/>
      <c r="G4401" s="15"/>
      <c r="H4401" s="8"/>
      <c r="I4401" s="15">
        <v>0</v>
      </c>
      <c r="J4401" s="15">
        <v>2</v>
      </c>
      <c r="K4401" s="12" t="str">
        <f>HYPERLINK("http://twitter.com/download/android","Twitter for Android")</f>
        <v>Twitter for Android</v>
      </c>
      <c r="L4401" s="16">
        <v>313</v>
      </c>
      <c r="M4401" s="16">
        <v>1079</v>
      </c>
      <c r="N4401" s="16">
        <v>0</v>
      </c>
      <c r="O4401" s="17"/>
      <c r="P4401" s="18">
        <v>43650.139583333337</v>
      </c>
      <c r="Q4401" s="7"/>
      <c r="R4401" s="7" t="s">
        <v>22169</v>
      </c>
      <c r="S4401" s="8"/>
      <c r="T4401" s="8"/>
      <c r="U4401" s="19" t="str">
        <f>HYPERLINK("https://pbs.twimg.com/profile_images/1146726316592508928/h6PejKwl.jpg","View")</f>
        <v>View</v>
      </c>
      <c r="V4401" s="8"/>
      <c r="W4401" s="8"/>
      <c r="X4401" s="8"/>
      <c r="Y4401" s="8"/>
      <c r="Z4401" s="8"/>
    </row>
    <row r="4402" spans="1:26" ht="12.75">
      <c r="A4402" s="11">
        <v>43747.118414351848</v>
      </c>
      <c r="B4402" s="12" t="str">
        <f>HYPERLINK("https://twitter.com/damlaasecgin","@damlaasecgin")</f>
        <v>@damlaasecgin</v>
      </c>
      <c r="C4402" s="7" t="s">
        <v>22170</v>
      </c>
      <c r="D4402" s="7" t="s">
        <v>160</v>
      </c>
      <c r="E4402" s="12" t="str">
        <f>HYPERLINK("https://twitter.com/damlaasecgin/status/1181869540965326848","1181869540965326848")</f>
        <v>1181869540965326848</v>
      </c>
      <c r="F4402" s="8"/>
      <c r="G4402" s="15"/>
      <c r="H4402" s="8"/>
      <c r="I4402" s="15">
        <v>0</v>
      </c>
      <c r="J4402" s="15">
        <v>0</v>
      </c>
      <c r="K4402" s="12" t="str">
        <f>HYPERLINK("http://twitter.com/download/iphone","Twitter for iPhone")</f>
        <v>Twitter for iPhone</v>
      </c>
      <c r="L4402" s="16">
        <v>519</v>
      </c>
      <c r="M4402" s="16">
        <v>200</v>
      </c>
      <c r="N4402" s="16">
        <v>0</v>
      </c>
      <c r="O4402" s="17"/>
      <c r="P4402" s="18">
        <v>42354.199861111112</v>
      </c>
      <c r="Q4402" s="7" t="s">
        <v>313</v>
      </c>
      <c r="R4402" s="7" t="s">
        <v>22171</v>
      </c>
      <c r="S4402" s="14" t="s">
        <v>22172</v>
      </c>
      <c r="T4402" s="8"/>
      <c r="U4402" s="19" t="str">
        <f>HYPERLINK("https://pbs.twimg.com/profile_images/1179789009305907200/s8lcEdZ0.jpg","View")</f>
        <v>View</v>
      </c>
      <c r="V4402" s="8"/>
      <c r="W4402" s="8"/>
      <c r="X4402" s="8"/>
      <c r="Y4402" s="8"/>
      <c r="Z4402" s="8"/>
    </row>
    <row r="4403" spans="1:26" ht="12.75">
      <c r="A4403" s="11">
        <v>43747.118368055555</v>
      </c>
      <c r="B4403" s="12" t="str">
        <f>HYPERLINK("https://twitter.com/tapincdeniz","@tapincdeniz")</f>
        <v>@tapincdeniz</v>
      </c>
      <c r="C4403" s="7" t="s">
        <v>22173</v>
      </c>
      <c r="D4403" s="7" t="s">
        <v>22174</v>
      </c>
      <c r="E4403" s="12" t="str">
        <f>HYPERLINK("https://twitter.com/tapincdeniz/status/1181869525630935040","1181869525630935040")</f>
        <v>1181869525630935040</v>
      </c>
      <c r="F4403" s="8"/>
      <c r="G4403" s="14" t="s">
        <v>22175</v>
      </c>
      <c r="H4403" s="8"/>
      <c r="I4403" s="15">
        <v>0</v>
      </c>
      <c r="J4403" s="15">
        <v>15</v>
      </c>
      <c r="K4403" s="12" t="str">
        <f>HYPERLINK("http://twitter.com/download/iphone","Twitter for iPhone")</f>
        <v>Twitter for iPhone</v>
      </c>
      <c r="L4403" s="16">
        <v>4142</v>
      </c>
      <c r="M4403" s="16">
        <v>2629</v>
      </c>
      <c r="N4403" s="16">
        <v>0</v>
      </c>
      <c r="O4403" s="17"/>
      <c r="P4403" s="18">
        <v>40711.39775462963</v>
      </c>
      <c r="Q4403" s="7" t="s">
        <v>11017</v>
      </c>
      <c r="R4403" s="7" t="s">
        <v>22176</v>
      </c>
      <c r="S4403" s="15"/>
      <c r="T4403" s="8"/>
      <c r="U4403" s="19" t="str">
        <f>HYPERLINK("https://pbs.twimg.com/profile_images/1152648675715362817/gBxpS4_C.jpg","View")</f>
        <v>View</v>
      </c>
      <c r="V4403" s="8"/>
      <c r="W4403" s="8"/>
      <c r="X4403" s="8"/>
      <c r="Y4403" s="8"/>
      <c r="Z4403" s="8"/>
    </row>
    <row r="4404" spans="1:26" ht="12.75">
      <c r="A4404" s="11">
        <v>43747.118344907409</v>
      </c>
      <c r="B4404" s="12" t="str">
        <f>HYPERLINK("https://twitter.com/zorbeykalkande1","@zorbeykalkande1")</f>
        <v>@zorbeykalkande1</v>
      </c>
      <c r="C4404" s="7" t="s">
        <v>22177</v>
      </c>
      <c r="D4404" s="7" t="s">
        <v>22178</v>
      </c>
      <c r="E4404" s="12" t="str">
        <f>HYPERLINK("https://twitter.com/zorbeykalkande1/status/1181869517221322752","1181869517221322752")</f>
        <v>1181869517221322752</v>
      </c>
      <c r="F4404" s="15"/>
      <c r="G4404" s="7"/>
      <c r="H4404" s="8"/>
      <c r="I4404" s="15">
        <v>0</v>
      </c>
      <c r="J4404" s="15">
        <v>0</v>
      </c>
      <c r="K4404" s="12" t="str">
        <f>HYPERLINK("http://twitter.com","Twitter Web Client")</f>
        <v>Twitter Web Client</v>
      </c>
      <c r="L4404" s="16">
        <v>6</v>
      </c>
      <c r="M4404" s="16">
        <v>0</v>
      </c>
      <c r="N4404" s="16">
        <v>0</v>
      </c>
      <c r="O4404" s="17"/>
      <c r="P4404" s="18">
        <v>43668.864212962959</v>
      </c>
      <c r="Q4404" s="7" t="s">
        <v>16381</v>
      </c>
      <c r="R4404" s="7" t="s">
        <v>22179</v>
      </c>
      <c r="S4404" s="8"/>
      <c r="T4404" s="8"/>
      <c r="U4404" s="19" t="str">
        <f>HYPERLINK("https://pbs.twimg.com/profile_images/1153752489101053952/PoUZovgG.jpg","View")</f>
        <v>View</v>
      </c>
      <c r="V4404" s="8"/>
      <c r="W4404" s="8"/>
      <c r="X4404" s="8"/>
      <c r="Y4404" s="8"/>
      <c r="Z4404" s="8"/>
    </row>
    <row r="4405" spans="1:26" ht="12.75">
      <c r="A4405" s="11">
        <v>43747.118217592593</v>
      </c>
      <c r="B4405" s="12" t="str">
        <f>HYPERLINK("https://twitter.com/CevherTimur","@CevherTimur")</f>
        <v>@CevherTimur</v>
      </c>
      <c r="C4405" s="7" t="s">
        <v>22180</v>
      </c>
      <c r="D4405" s="7" t="s">
        <v>22181</v>
      </c>
      <c r="E4405" s="12" t="str">
        <f>HYPERLINK("https://twitter.com/CevherTimur/status/1181869471264378880","1181869471264378880")</f>
        <v>1181869471264378880</v>
      </c>
      <c r="F4405" s="8"/>
      <c r="G4405" s="14" t="s">
        <v>22182</v>
      </c>
      <c r="H4405" s="8"/>
      <c r="I4405" s="15">
        <v>0</v>
      </c>
      <c r="J4405" s="15">
        <v>0</v>
      </c>
      <c r="K4405" s="12" t="str">
        <f>HYPERLINK("http://twitter.com/download/android","Twitter for Android")</f>
        <v>Twitter for Android</v>
      </c>
      <c r="L4405" s="16">
        <v>306</v>
      </c>
      <c r="M4405" s="16">
        <v>286</v>
      </c>
      <c r="N4405" s="16">
        <v>0</v>
      </c>
      <c r="O4405" s="17"/>
      <c r="P4405" s="18">
        <v>42464.241562499999</v>
      </c>
      <c r="Q4405" s="7"/>
      <c r="R4405" s="7" t="s">
        <v>22183</v>
      </c>
      <c r="S4405" s="15"/>
      <c r="T4405" s="8"/>
      <c r="U4405" s="19" t="str">
        <f>HYPERLINK("https://pbs.twimg.com/profile_images/930614968453562368/QsQ9abDn.jpg","View")</f>
        <v>View</v>
      </c>
      <c r="V4405" s="8"/>
      <c r="W4405" s="8"/>
      <c r="X4405" s="8"/>
      <c r="Y4405" s="8"/>
      <c r="Z4405" s="8"/>
    </row>
    <row r="4406" spans="1:26" ht="12.75">
      <c r="A4406" s="11">
        <v>43747.11819444444</v>
      </c>
      <c r="B4406" s="12" t="str">
        <f>HYPERLINK("https://twitter.com/o_bayrak25","@o_bayrak25")</f>
        <v>@o_bayrak25</v>
      </c>
      <c r="C4406" s="7" t="s">
        <v>22184</v>
      </c>
      <c r="D4406" s="7" t="s">
        <v>22185</v>
      </c>
      <c r="E4406" s="12" t="str">
        <f>HYPERLINK("https://twitter.com/o_bayrak25/status/1181869462984822785","1181869462984822785")</f>
        <v>1181869462984822785</v>
      </c>
      <c r="F4406" s="8"/>
      <c r="G4406" s="15"/>
      <c r="H4406" s="8"/>
      <c r="I4406" s="15">
        <v>0</v>
      </c>
      <c r="J4406" s="15">
        <v>0</v>
      </c>
      <c r="K4406" s="12" t="str">
        <f>HYPERLINK("http://twitter.com/download/android","Twitter for Android")</f>
        <v>Twitter for Android</v>
      </c>
      <c r="L4406" s="16">
        <v>17</v>
      </c>
      <c r="M4406" s="16">
        <v>67</v>
      </c>
      <c r="N4406" s="16">
        <v>0</v>
      </c>
      <c r="O4406" s="17"/>
      <c r="P4406" s="18">
        <v>42829.12498842593</v>
      </c>
      <c r="Q4406" s="7"/>
      <c r="R4406" s="7"/>
      <c r="S4406" s="8"/>
      <c r="T4406" s="8"/>
      <c r="U4406" s="19" t="str">
        <f>HYPERLINK("https://pbs.twimg.com/profile_images/969319485839691777/uK8WuC5t.jpg","View")</f>
        <v>View</v>
      </c>
      <c r="V4406" s="8"/>
      <c r="W4406" s="8"/>
      <c r="X4406" s="8"/>
      <c r="Y4406" s="8"/>
      <c r="Z4406" s="8"/>
    </row>
    <row r="4407" spans="1:26" ht="12.75">
      <c r="A4407" s="11">
        <v>43747.118125000001</v>
      </c>
      <c r="B4407" s="12" t="str">
        <f>HYPERLINK("https://twitter.com/beynurece","@beynurece")</f>
        <v>@beynurece</v>
      </c>
      <c r="C4407" s="7" t="s">
        <v>22186</v>
      </c>
      <c r="D4407" s="7" t="s">
        <v>22187</v>
      </c>
      <c r="E4407" s="12" t="str">
        <f>HYPERLINK("https://twitter.com/beynurece/status/1181869438167113728","1181869438167113728")</f>
        <v>1181869438167113728</v>
      </c>
      <c r="F4407" s="8"/>
      <c r="G4407" s="7"/>
      <c r="H4407" s="8"/>
      <c r="I4407" s="15">
        <v>0</v>
      </c>
      <c r="J4407" s="15">
        <v>0</v>
      </c>
      <c r="K4407" s="12" t="str">
        <f>HYPERLINK("http://twitter.com/download/iphone","Twitter for iPhone")</f>
        <v>Twitter for iPhone</v>
      </c>
      <c r="L4407" s="16">
        <v>818</v>
      </c>
      <c r="M4407" s="16">
        <v>1934</v>
      </c>
      <c r="N4407" s="16">
        <v>1</v>
      </c>
      <c r="O4407" s="17"/>
      <c r="P4407" s="18">
        <v>40762.652928240743</v>
      </c>
      <c r="Q4407" s="7"/>
      <c r="R4407" s="7"/>
      <c r="S4407" s="8"/>
      <c r="T4407" s="8"/>
      <c r="U4407" s="19" t="str">
        <f>HYPERLINK("https://pbs.twimg.com/profile_images/1163188339048157185/AeV6Y7wO.jpg","View")</f>
        <v>View</v>
      </c>
      <c r="V4407" s="8"/>
      <c r="W4407" s="8"/>
      <c r="X4407" s="8"/>
      <c r="Y4407" s="8"/>
      <c r="Z4407" s="8"/>
    </row>
    <row r="4408" spans="1:26" ht="12.75">
      <c r="A4408" s="11">
        <v>43747.118032407408</v>
      </c>
      <c r="B4408" s="12" t="str">
        <f>HYPERLINK("https://twitter.com/9923Day","@9923Day")</f>
        <v>@9923Day</v>
      </c>
      <c r="C4408" s="7" t="s">
        <v>22188</v>
      </c>
      <c r="D4408" s="7" t="s">
        <v>22189</v>
      </c>
      <c r="E4408" s="12" t="str">
        <f>HYPERLINK("https://twitter.com/9923Day/status/1181869401747972097","1181869401747972097")</f>
        <v>1181869401747972097</v>
      </c>
      <c r="F4408" s="15"/>
      <c r="G4408" s="15"/>
      <c r="H4408" s="8"/>
      <c r="I4408" s="15">
        <v>0</v>
      </c>
      <c r="J4408" s="15">
        <v>0</v>
      </c>
      <c r="K4408" s="12" t="str">
        <f>HYPERLINK("http://twitter.com/download/android","Twitter for Android")</f>
        <v>Twitter for Android</v>
      </c>
      <c r="L4408" s="16">
        <v>5</v>
      </c>
      <c r="M4408" s="16">
        <v>9</v>
      </c>
      <c r="N4408" s="16">
        <v>0</v>
      </c>
      <c r="O4408" s="17"/>
      <c r="P4408" s="18">
        <v>43432.539907407408</v>
      </c>
      <c r="Q4408" s="7"/>
      <c r="R4408" s="7"/>
      <c r="S4408" s="8"/>
      <c r="T4408" s="8"/>
      <c r="U4408" s="19" t="str">
        <f>HYPERLINK("https://pbs.twimg.com/profile_images/1173557369583919106/JYnQly2X.jpg","View")</f>
        <v>View</v>
      </c>
      <c r="V4408" s="8"/>
      <c r="W4408" s="8"/>
      <c r="X4408" s="8"/>
      <c r="Y4408" s="8"/>
      <c r="Z4408" s="8"/>
    </row>
    <row r="4409" spans="1:26" ht="12.75">
      <c r="A4409" s="11">
        <v>43747.118020833332</v>
      </c>
      <c r="B4409" s="12" t="str">
        <f>HYPERLINK("https://twitter.com/ates_erencan","@ates_erencan")</f>
        <v>@ates_erencan</v>
      </c>
      <c r="C4409" s="7" t="s">
        <v>22190</v>
      </c>
      <c r="D4409" s="7" t="s">
        <v>22191</v>
      </c>
      <c r="E4409" s="12" t="str">
        <f>HYPERLINK("https://twitter.com/ates_erencan/status/1181869398379892736","1181869398379892736")</f>
        <v>1181869398379892736</v>
      </c>
      <c r="F4409" s="15"/>
      <c r="G4409" s="14" t="s">
        <v>22192</v>
      </c>
      <c r="H4409" s="8"/>
      <c r="I4409" s="15">
        <v>0</v>
      </c>
      <c r="J4409" s="15">
        <v>0</v>
      </c>
      <c r="K4409" s="12" t="str">
        <f>HYPERLINK("http://twitter.com/download/android","Twitter for Android")</f>
        <v>Twitter for Android</v>
      </c>
      <c r="L4409" s="16">
        <v>25</v>
      </c>
      <c r="M4409" s="16">
        <v>19</v>
      </c>
      <c r="N4409" s="16">
        <v>0</v>
      </c>
      <c r="O4409" s="17"/>
      <c r="P4409" s="18">
        <v>43008.473055555558</v>
      </c>
      <c r="Q4409" s="7"/>
      <c r="R4409" s="7" t="s">
        <v>22193</v>
      </c>
      <c r="S4409" s="8"/>
      <c r="T4409" s="8"/>
      <c r="U4409" s="19" t="str">
        <f>HYPERLINK("https://pbs.twimg.com/profile_images/1180064162791198720/y7hzhTPj.jpg","View")</f>
        <v>View</v>
      </c>
      <c r="V4409" s="8"/>
      <c r="W4409" s="8"/>
      <c r="X4409" s="8"/>
      <c r="Y4409" s="8"/>
      <c r="Z4409" s="8"/>
    </row>
    <row r="4410" spans="1:26" ht="12.75">
      <c r="A4410" s="11">
        <v>43747.117997685185</v>
      </c>
      <c r="B4410" s="12" t="str">
        <f>HYPERLINK("https://twitter.com/IbrarButt9","@IbrarButt9")</f>
        <v>@IbrarButt9</v>
      </c>
      <c r="C4410" s="7" t="s">
        <v>22194</v>
      </c>
      <c r="D4410" s="7" t="s">
        <v>22195</v>
      </c>
      <c r="E4410" s="12" t="str">
        <f>HYPERLINK("https://twitter.com/IbrarButt9/status/1181869390867947520","1181869390867947520")</f>
        <v>1181869390867947520</v>
      </c>
      <c r="F4410" s="14" t="s">
        <v>21081</v>
      </c>
      <c r="G4410" s="14" t="s">
        <v>20787</v>
      </c>
      <c r="H4410" s="8"/>
      <c r="I4410" s="15">
        <v>0</v>
      </c>
      <c r="J4410" s="15">
        <v>1</v>
      </c>
      <c r="K4410" s="12" t="str">
        <f>HYPERLINK("https://mobile.twitter.com","Twitter Web App")</f>
        <v>Twitter Web App</v>
      </c>
      <c r="L4410" s="16">
        <v>103</v>
      </c>
      <c r="M4410" s="16">
        <v>329</v>
      </c>
      <c r="N4410" s="16">
        <v>0</v>
      </c>
      <c r="O4410" s="17"/>
      <c r="P4410" s="18">
        <v>42120.04105324074</v>
      </c>
      <c r="Q4410" s="7" t="s">
        <v>1796</v>
      </c>
      <c r="R4410" s="7" t="s">
        <v>22196</v>
      </c>
      <c r="S4410" s="8"/>
      <c r="T4410" s="8"/>
      <c r="U4410" s="19" t="str">
        <f>HYPERLINK("https://pbs.twimg.com/profile_images/1165801443749765122/BLPzXNct.jpg","View")</f>
        <v>View</v>
      </c>
      <c r="V4410" s="8"/>
      <c r="W4410" s="8"/>
      <c r="X4410" s="8"/>
      <c r="Y4410" s="8"/>
      <c r="Z4410" s="8"/>
    </row>
    <row r="4411" spans="1:26" ht="12.75">
      <c r="A4411" s="11">
        <v>43747.117997685185</v>
      </c>
      <c r="B4411" s="12" t="str">
        <f>HYPERLINK("https://twitter.com/samil0703","@samil0703")</f>
        <v>@samil0703</v>
      </c>
      <c r="C4411" s="7" t="s">
        <v>22197</v>
      </c>
      <c r="D4411" s="7" t="s">
        <v>22198</v>
      </c>
      <c r="E4411" s="12" t="str">
        <f>HYPERLINK("https://twitter.com/samil0703/status/1181869390771474433","1181869390771474433")</f>
        <v>1181869390771474433</v>
      </c>
      <c r="F4411" s="8"/>
      <c r="G4411" s="15"/>
      <c r="H4411" s="8"/>
      <c r="I4411" s="15">
        <v>0</v>
      </c>
      <c r="J4411" s="15">
        <v>0</v>
      </c>
      <c r="K4411" s="12" t="str">
        <f>HYPERLINK("http://twitter.com/download/iphone","Twitter for iPhone")</f>
        <v>Twitter for iPhone</v>
      </c>
      <c r="L4411" s="16">
        <v>2</v>
      </c>
      <c r="M4411" s="16">
        <v>11</v>
      </c>
      <c r="N4411" s="16">
        <v>0</v>
      </c>
      <c r="O4411" s="17"/>
      <c r="P4411" s="18">
        <v>41593.975752314815</v>
      </c>
      <c r="Q4411" s="7"/>
      <c r="R4411" s="7"/>
      <c r="S4411" s="15"/>
      <c r="T4411" s="8"/>
      <c r="U4411" s="20" t="s">
        <v>354</v>
      </c>
      <c r="V4411" s="8"/>
      <c r="W4411" s="8"/>
      <c r="X4411" s="8"/>
      <c r="Y4411" s="8"/>
      <c r="Z4411" s="8"/>
    </row>
    <row r="4412" spans="1:26" ht="12.75">
      <c r="A4412" s="11">
        <v>43747.117928240739</v>
      </c>
      <c r="B4412" s="12" t="str">
        <f>HYPERLINK("https://twitter.com/yazeed160","@yazeed160")</f>
        <v>@yazeed160</v>
      </c>
      <c r="C4412" s="7" t="s">
        <v>22199</v>
      </c>
      <c r="D4412" s="7" t="s">
        <v>22200</v>
      </c>
      <c r="E4412" s="12" t="str">
        <f>HYPERLINK("https://twitter.com/yazeed160/status/1181869366524219392","1181869366524219392")</f>
        <v>1181869366524219392</v>
      </c>
      <c r="F4412" s="8"/>
      <c r="G4412" s="14" t="s">
        <v>22201</v>
      </c>
      <c r="H4412" s="8"/>
      <c r="I4412" s="15">
        <v>0</v>
      </c>
      <c r="J4412" s="15">
        <v>0</v>
      </c>
      <c r="K4412" s="12" t="str">
        <f>HYPERLINK("http://twitter.com/download/android","Twitter for Android")</f>
        <v>Twitter for Android</v>
      </c>
      <c r="L4412" s="16">
        <v>106</v>
      </c>
      <c r="M4412" s="16">
        <v>60</v>
      </c>
      <c r="N4412" s="16">
        <v>1</v>
      </c>
      <c r="O4412" s="17"/>
      <c r="P4412" s="18">
        <v>41160.968969907408</v>
      </c>
      <c r="Q4412" s="7" t="s">
        <v>22202</v>
      </c>
      <c r="R4412" s="7" t="s">
        <v>22203</v>
      </c>
      <c r="S4412" s="8"/>
      <c r="T4412" s="8"/>
      <c r="U4412" s="19" t="str">
        <f>HYPERLINK("https://pbs.twimg.com/profile_images/1116641915351576576/S9-L9efD.jpg","View")</f>
        <v>View</v>
      </c>
      <c r="V4412" s="8"/>
      <c r="W4412" s="8"/>
      <c r="X4412" s="8"/>
      <c r="Y4412" s="8"/>
      <c r="Z4412" s="8"/>
    </row>
    <row r="4413" spans="1:26" ht="12.75">
      <c r="A4413" s="11">
        <v>43747.117928240739</v>
      </c>
      <c r="B4413" s="12" t="str">
        <f>HYPERLINK("https://twitter.com/fearles355","@fearles355")</f>
        <v>@fearles355</v>
      </c>
      <c r="C4413" s="7" t="s">
        <v>22204</v>
      </c>
      <c r="D4413" s="7" t="s">
        <v>22205</v>
      </c>
      <c r="E4413" s="12" t="str">
        <f>HYPERLINK("https://twitter.com/fearles355/status/1181869363957293057","1181869363957293057")</f>
        <v>1181869363957293057</v>
      </c>
      <c r="F4413" s="8"/>
      <c r="G4413" s="14" t="s">
        <v>22206</v>
      </c>
      <c r="H4413" s="8"/>
      <c r="I4413" s="15">
        <v>0</v>
      </c>
      <c r="J4413" s="15">
        <v>9</v>
      </c>
      <c r="K4413" s="12" t="str">
        <f>HYPERLINK("http://twitter.com/download/android","Twitter for Android")</f>
        <v>Twitter for Android</v>
      </c>
      <c r="L4413" s="16">
        <v>2286</v>
      </c>
      <c r="M4413" s="16">
        <v>1739</v>
      </c>
      <c r="N4413" s="16">
        <v>2</v>
      </c>
      <c r="O4413" s="17"/>
      <c r="P4413" s="18">
        <v>40716.222048611111</v>
      </c>
      <c r="Q4413" s="7"/>
      <c r="R4413" s="7" t="s">
        <v>22207</v>
      </c>
      <c r="S4413" s="15"/>
      <c r="T4413" s="8"/>
      <c r="U4413" s="19" t="str">
        <f>HYPERLINK("https://pbs.twimg.com/profile_images/1150279137552191488/-UPQakOn.jpg","View")</f>
        <v>View</v>
      </c>
      <c r="V4413" s="8"/>
      <c r="W4413" s="8"/>
      <c r="X4413" s="8"/>
      <c r="Y4413" s="8"/>
      <c r="Z4413" s="8"/>
    </row>
    <row r="4414" spans="1:26" ht="12.75">
      <c r="A4414" s="11">
        <v>43747.11791666667</v>
      </c>
      <c r="B4414" s="12" t="str">
        <f>HYPERLINK("https://twitter.com/halilkuskira","@halilkuskira")</f>
        <v>@halilkuskira</v>
      </c>
      <c r="C4414" s="7" t="s">
        <v>22208</v>
      </c>
      <c r="D4414" s="7" t="s">
        <v>22209</v>
      </c>
      <c r="E4414" s="12" t="str">
        <f>HYPERLINK("https://twitter.com/halilkuskira/status/1181869363244277762","1181869363244277762")</f>
        <v>1181869363244277762</v>
      </c>
      <c r="F4414" s="8"/>
      <c r="G4414" s="7"/>
      <c r="H4414" s="8"/>
      <c r="I4414" s="15">
        <v>0</v>
      </c>
      <c r="J4414" s="15">
        <v>2</v>
      </c>
      <c r="K4414" s="12" t="str">
        <f>HYPERLINK("http://twitter.com/download/android","Twitter for Android")</f>
        <v>Twitter for Android</v>
      </c>
      <c r="L4414" s="16">
        <v>96</v>
      </c>
      <c r="M4414" s="16">
        <v>876</v>
      </c>
      <c r="N4414" s="16">
        <v>0</v>
      </c>
      <c r="O4414" s="17"/>
      <c r="P4414" s="18">
        <v>41271.481168981481</v>
      </c>
      <c r="Q4414" s="7" t="s">
        <v>860</v>
      </c>
      <c r="R4414" s="14" t="s">
        <v>22210</v>
      </c>
      <c r="S4414" s="8"/>
      <c r="T4414" s="8"/>
      <c r="U4414" s="19" t="str">
        <f>HYPERLINK("https://pbs.twimg.com/profile_images/1039973499690004483/f5BWARvJ.jpg","View")</f>
        <v>View</v>
      </c>
      <c r="V4414" s="8"/>
      <c r="W4414" s="8"/>
      <c r="X4414" s="8"/>
      <c r="Y4414" s="8"/>
      <c r="Z4414" s="8"/>
    </row>
    <row r="4415" spans="1:26" ht="12.75">
      <c r="A4415" s="11">
        <v>43747.117905092593</v>
      </c>
      <c r="B4415" s="12" t="str">
        <f>HYPERLINK("https://twitter.com/MFY1453_","@MFY1453_")</f>
        <v>@MFY1453_</v>
      </c>
      <c r="C4415" s="7" t="s">
        <v>22211</v>
      </c>
      <c r="D4415" s="7" t="s">
        <v>22212</v>
      </c>
      <c r="E4415" s="12" t="str">
        <f>HYPERLINK("https://twitter.com/MFY1453_/status/1181869358584356864","1181869358584356864")</f>
        <v>1181869358584356864</v>
      </c>
      <c r="F4415" s="15"/>
      <c r="G4415" s="14" t="s">
        <v>22213</v>
      </c>
      <c r="H4415" s="8"/>
      <c r="I4415" s="15">
        <v>0</v>
      </c>
      <c r="J4415" s="15">
        <v>0</v>
      </c>
      <c r="K4415" s="12" t="str">
        <f>HYPERLINK("http://twitter.com/download/android","Twitter for Android")</f>
        <v>Twitter for Android</v>
      </c>
      <c r="L4415" s="16">
        <v>40</v>
      </c>
      <c r="M4415" s="16">
        <v>37</v>
      </c>
      <c r="N4415" s="16">
        <v>0</v>
      </c>
      <c r="O4415" s="17"/>
      <c r="P4415" s="18">
        <v>43681.375775462962</v>
      </c>
      <c r="Q4415" s="7" t="s">
        <v>80</v>
      </c>
      <c r="R4415" s="7" t="s">
        <v>22214</v>
      </c>
      <c r="S4415" s="8"/>
      <c r="T4415" s="8"/>
      <c r="U4415" s="19" t="str">
        <f>HYPERLINK("https://pbs.twimg.com/profile_images/1178412531699896322/5E2JkFea.jpg","View")</f>
        <v>View</v>
      </c>
      <c r="V4415" s="8"/>
      <c r="W4415" s="8"/>
      <c r="X4415" s="8"/>
      <c r="Y4415" s="8"/>
      <c r="Z4415" s="8"/>
    </row>
    <row r="4416" spans="1:26" ht="12.75">
      <c r="A4416" s="11">
        <v>43747.117893518516</v>
      </c>
      <c r="B4416" s="12" t="str">
        <f>HYPERLINK("https://twitter.com/Vatanse30807891","@Vatanse30807891")</f>
        <v>@Vatanse30807891</v>
      </c>
      <c r="C4416" s="7" t="s">
        <v>7228</v>
      </c>
      <c r="D4416" s="7" t="s">
        <v>22215</v>
      </c>
      <c r="E4416" s="12" t="str">
        <f>HYPERLINK("https://twitter.com/Vatanse30807891/status/1181869351399575552","1181869351399575552")</f>
        <v>1181869351399575552</v>
      </c>
      <c r="F4416" s="8"/>
      <c r="G4416" s="7"/>
      <c r="H4416" s="8"/>
      <c r="I4416" s="15">
        <v>0</v>
      </c>
      <c r="J4416" s="15">
        <v>0</v>
      </c>
      <c r="K4416" s="12" t="str">
        <f>HYPERLINK("http://twitter.com/download/android","Twitter for Android")</f>
        <v>Twitter for Android</v>
      </c>
      <c r="L4416" s="16">
        <v>8</v>
      </c>
      <c r="M4416" s="16">
        <v>71</v>
      </c>
      <c r="N4416" s="16">
        <v>0</v>
      </c>
      <c r="O4416" s="17"/>
      <c r="P4416" s="18">
        <v>43702.227314814816</v>
      </c>
      <c r="Q4416" s="7" t="s">
        <v>22216</v>
      </c>
      <c r="R4416" s="7" t="s">
        <v>22217</v>
      </c>
      <c r="S4416" s="8"/>
      <c r="T4416" s="8"/>
      <c r="U4416" s="19" t="str">
        <f>HYPERLINK("https://pbs.twimg.com/profile_images/1180444788316921856/x-aazl6H.jpg","View")</f>
        <v>View</v>
      </c>
      <c r="V4416" s="8"/>
      <c r="W4416" s="8"/>
      <c r="X4416" s="8"/>
      <c r="Y4416" s="8"/>
      <c r="Z4416" s="8"/>
    </row>
    <row r="4417" spans="1:26" ht="12.75">
      <c r="A4417" s="11">
        <v>43747.11787037037</v>
      </c>
      <c r="B4417" s="12" t="str">
        <f>HYPERLINK("https://twitter.com/ceyhun9090","@ceyhun9090")</f>
        <v>@ceyhun9090</v>
      </c>
      <c r="C4417" s="7" t="s">
        <v>22218</v>
      </c>
      <c r="D4417" s="7" t="s">
        <v>22219</v>
      </c>
      <c r="E4417" s="12" t="str">
        <f>HYPERLINK("https://twitter.com/ceyhun9090/status/1181869343929491457","1181869343929491457")</f>
        <v>1181869343929491457</v>
      </c>
      <c r="F4417" s="8"/>
      <c r="G4417" s="15"/>
      <c r="H4417" s="8"/>
      <c r="I4417" s="15">
        <v>0</v>
      </c>
      <c r="J4417" s="15">
        <v>1</v>
      </c>
      <c r="K4417" s="12" t="str">
        <f>HYPERLINK("http://twitter.com/download/iphone","Twitter for iPhone")</f>
        <v>Twitter for iPhone</v>
      </c>
      <c r="L4417" s="16">
        <v>17</v>
      </c>
      <c r="M4417" s="16">
        <v>193</v>
      </c>
      <c r="N4417" s="16">
        <v>0</v>
      </c>
      <c r="O4417" s="17"/>
      <c r="P4417" s="18">
        <v>43702.577372685184</v>
      </c>
      <c r="Q4417" s="7" t="s">
        <v>22220</v>
      </c>
      <c r="R4417" s="7" t="s">
        <v>22221</v>
      </c>
      <c r="S4417" s="8"/>
      <c r="T4417" s="8"/>
      <c r="U4417" s="19" t="str">
        <f>HYPERLINK("https://pbs.twimg.com/profile_images/1167198866862682114/smTFtKwn.jpg","View")</f>
        <v>View</v>
      </c>
      <c r="V4417" s="8"/>
      <c r="W4417" s="8"/>
      <c r="X4417" s="8"/>
      <c r="Y4417" s="8"/>
      <c r="Z4417" s="8"/>
    </row>
    <row r="4418" spans="1:26" ht="12.75">
      <c r="A4418" s="11">
        <v>43747.117847222224</v>
      </c>
      <c r="B4418" s="12" t="str">
        <f>HYPERLINK("https://twitter.com/Mehmetcatan_","@Mehmetcatan_")</f>
        <v>@Mehmetcatan_</v>
      </c>
      <c r="C4418" s="7" t="s">
        <v>22222</v>
      </c>
      <c r="D4418" s="7" t="s">
        <v>22223</v>
      </c>
      <c r="E4418" s="12" t="str">
        <f>HYPERLINK("https://twitter.com/Mehmetcatan_/status/1181869338221072384","1181869338221072384")</f>
        <v>1181869338221072384</v>
      </c>
      <c r="F4418" s="14" t="s">
        <v>21183</v>
      </c>
      <c r="G4418" s="15"/>
      <c r="H4418" s="8"/>
      <c r="I4418" s="15">
        <v>0</v>
      </c>
      <c r="J4418" s="15">
        <v>0</v>
      </c>
      <c r="K4418" s="12" t="str">
        <f>HYPERLINK("http://twitter.com/download/iphone","Twitter for iPhone")</f>
        <v>Twitter for iPhone</v>
      </c>
      <c r="L4418" s="16">
        <v>1027</v>
      </c>
      <c r="M4418" s="16">
        <v>1296</v>
      </c>
      <c r="N4418" s="16">
        <v>0</v>
      </c>
      <c r="O4418" s="17"/>
      <c r="P4418" s="18">
        <v>43421.388831018514</v>
      </c>
      <c r="Q4418" s="7" t="s">
        <v>14533</v>
      </c>
      <c r="R4418" s="7" t="s">
        <v>22224</v>
      </c>
      <c r="S4418" s="15"/>
      <c r="T4418" s="8"/>
      <c r="U4418" s="19" t="str">
        <f>HYPERLINK("https://pbs.twimg.com/profile_images/1064700178458968064/_m5hw6g7.jpg","View")</f>
        <v>View</v>
      </c>
      <c r="V4418" s="8"/>
      <c r="W4418" s="8"/>
      <c r="X4418" s="8"/>
      <c r="Y4418" s="8"/>
      <c r="Z4418" s="8"/>
    </row>
    <row r="4419" spans="1:26" ht="12.75">
      <c r="A4419" s="11">
        <v>43747.11782407407</v>
      </c>
      <c r="B4419" s="12" t="str">
        <f>HYPERLINK("https://twitter.com/xjohnstewartx","@xjohnstewartx")</f>
        <v>@xjohnstewartx</v>
      </c>
      <c r="C4419" s="7" t="s">
        <v>22225</v>
      </c>
      <c r="D4419" s="7" t="s">
        <v>160</v>
      </c>
      <c r="E4419" s="12" t="str">
        <f>HYPERLINK("https://twitter.com/xjohnstewartx/status/1181869328725086210","1181869328725086210")</f>
        <v>1181869328725086210</v>
      </c>
      <c r="F4419" s="8"/>
      <c r="G4419" s="14" t="s">
        <v>22226</v>
      </c>
      <c r="H4419" s="8"/>
      <c r="I4419" s="15">
        <v>0</v>
      </c>
      <c r="J4419" s="15">
        <v>0</v>
      </c>
      <c r="K4419" s="12" t="str">
        <f>HYPERLINK("http://twitter.com/download/iphone","Twitter for iPhone")</f>
        <v>Twitter for iPhone</v>
      </c>
      <c r="L4419" s="16">
        <v>0</v>
      </c>
      <c r="M4419" s="16">
        <v>86</v>
      </c>
      <c r="N4419" s="16">
        <v>0</v>
      </c>
      <c r="O4419" s="17"/>
      <c r="P4419" s="18">
        <v>42199.576377314814</v>
      </c>
      <c r="Q4419" s="7"/>
      <c r="R4419" s="7"/>
      <c r="S4419" s="8"/>
      <c r="T4419" s="8"/>
      <c r="U4419" s="19" t="str">
        <f>HYPERLINK("https://pbs.twimg.com/profile_images/956185590827028481/--m7Kt_f.jpg","View")</f>
        <v>View</v>
      </c>
      <c r="V4419" s="8"/>
      <c r="W4419" s="8"/>
      <c r="X4419" s="8"/>
      <c r="Y4419" s="8"/>
      <c r="Z4419" s="8"/>
    </row>
    <row r="4420" spans="1:26" ht="12.75">
      <c r="A4420" s="11">
        <v>43747.117800925931</v>
      </c>
      <c r="B4420" s="12" t="str">
        <f>HYPERLINK("https://twitter.com/RdvnAkcy41","@RdvnAkcy41")</f>
        <v>@RdvnAkcy41</v>
      </c>
      <c r="C4420" s="7" t="s">
        <v>22227</v>
      </c>
      <c r="D4420" s="7" t="s">
        <v>160</v>
      </c>
      <c r="E4420" s="12" t="str">
        <f>HYPERLINK("https://twitter.com/RdvnAkcy41/status/1181869320722419712","1181869320722419712")</f>
        <v>1181869320722419712</v>
      </c>
      <c r="F4420" s="8"/>
      <c r="G4420" s="15"/>
      <c r="H4420" s="8"/>
      <c r="I4420" s="15">
        <v>0</v>
      </c>
      <c r="J4420" s="15">
        <v>0</v>
      </c>
      <c r="K4420" s="12" t="str">
        <f>HYPERLINK("http://twitter.com/download/iphone","Twitter for iPhone")</f>
        <v>Twitter for iPhone</v>
      </c>
      <c r="L4420" s="16">
        <v>0</v>
      </c>
      <c r="M4420" s="16">
        <v>10</v>
      </c>
      <c r="N4420" s="16">
        <v>0</v>
      </c>
      <c r="O4420" s="17"/>
      <c r="P4420" s="18">
        <v>43483.666203703702</v>
      </c>
      <c r="Q4420" s="7"/>
      <c r="R4420" s="15" t="s">
        <v>22228</v>
      </c>
      <c r="S4420" s="8"/>
      <c r="T4420" s="8"/>
      <c r="U4420" s="19" t="str">
        <f>HYPERLINK("https://pbs.twimg.com/profile_images/1086412935587643392/cNmRxlt9.jpg","View")</f>
        <v>View</v>
      </c>
      <c r="V4420" s="8"/>
      <c r="W4420" s="8"/>
      <c r="X4420" s="8"/>
      <c r="Y4420" s="8"/>
      <c r="Z4420" s="8"/>
    </row>
    <row r="4421" spans="1:26" ht="12.75">
      <c r="A4421" s="11">
        <v>43747.117789351847</v>
      </c>
      <c r="B4421" s="12" t="str">
        <f>HYPERLINK("https://twitter.com/Nesavc","@Nesavc")</f>
        <v>@Nesavc</v>
      </c>
      <c r="C4421" s="7" t="s">
        <v>22229</v>
      </c>
      <c r="D4421" s="7" t="s">
        <v>22230</v>
      </c>
      <c r="E4421" s="12" t="str">
        <f>HYPERLINK("https://twitter.com/Nesavc/status/1181869315458568192","1181869315458568192")</f>
        <v>1181869315458568192</v>
      </c>
      <c r="F4421" s="8"/>
      <c r="G4421" s="14" t="s">
        <v>22231</v>
      </c>
      <c r="H4421" s="8"/>
      <c r="I4421" s="15">
        <v>0</v>
      </c>
      <c r="J4421" s="15">
        <v>2</v>
      </c>
      <c r="K4421" s="12" t="str">
        <f>HYPERLINK("http://twitter.com/download/android","Twitter for Android")</f>
        <v>Twitter for Android</v>
      </c>
      <c r="L4421" s="16">
        <v>689</v>
      </c>
      <c r="M4421" s="16">
        <v>477</v>
      </c>
      <c r="N4421" s="16">
        <v>1</v>
      </c>
      <c r="O4421" s="17"/>
      <c r="P4421" s="18">
        <v>41176.453634259262</v>
      </c>
      <c r="Q4421" s="7" t="s">
        <v>80</v>
      </c>
      <c r="R4421" s="7" t="s">
        <v>22232</v>
      </c>
      <c r="S4421" s="8"/>
      <c r="T4421" s="8"/>
      <c r="U4421" s="19" t="str">
        <f>HYPERLINK("https://pbs.twimg.com/profile_images/1180976577347280896/QzbVTqMj.jpg","View")</f>
        <v>View</v>
      </c>
      <c r="V4421" s="8"/>
      <c r="W4421" s="8"/>
      <c r="X4421" s="8"/>
      <c r="Y4421" s="8"/>
      <c r="Z4421" s="8"/>
    </row>
    <row r="4422" spans="1:26" ht="12.75">
      <c r="A4422" s="11">
        <v>43747.117789351847</v>
      </c>
      <c r="B4422" s="12" t="str">
        <f>HYPERLINK("https://twitter.com/sertac__arslan","@sertac__arslan")</f>
        <v>@sertac__arslan</v>
      </c>
      <c r="C4422" s="7" t="s">
        <v>22233</v>
      </c>
      <c r="D4422" s="7" t="s">
        <v>22234</v>
      </c>
      <c r="E4422" s="12" t="str">
        <f>HYPERLINK("https://twitter.com/sertac__arslan/status/1181869314753941504","1181869314753941504")</f>
        <v>1181869314753941504</v>
      </c>
      <c r="F4422" s="8"/>
      <c r="G4422" s="14" t="s">
        <v>22235</v>
      </c>
      <c r="H4422" s="8"/>
      <c r="I4422" s="15">
        <v>0</v>
      </c>
      <c r="J4422" s="15">
        <v>3</v>
      </c>
      <c r="K4422" s="12" t="str">
        <f>HYPERLINK("http://twitter.com/download/iphone","Twitter for iPhone")</f>
        <v>Twitter for iPhone</v>
      </c>
      <c r="L4422" s="16">
        <v>86</v>
      </c>
      <c r="M4422" s="16">
        <v>376</v>
      </c>
      <c r="N4422" s="16">
        <v>0</v>
      </c>
      <c r="O4422" s="17"/>
      <c r="P4422" s="18">
        <v>41453.209930555553</v>
      </c>
      <c r="Q4422" s="7" t="s">
        <v>860</v>
      </c>
      <c r="R4422" s="7"/>
      <c r="S4422" s="8"/>
      <c r="T4422" s="8"/>
      <c r="U4422" s="19" t="str">
        <f>HYPERLINK("https://pbs.twimg.com/profile_images/1142796624948813824/SrcltPJL.jpg","View")</f>
        <v>View</v>
      </c>
      <c r="V4422" s="8"/>
      <c r="W4422" s="8"/>
      <c r="X4422" s="8"/>
      <c r="Y4422" s="8"/>
      <c r="Z4422" s="8"/>
    </row>
    <row r="4423" spans="1:26" ht="12.75">
      <c r="A4423" s="11">
        <v>43747.117685185185</v>
      </c>
      <c r="B4423" s="12" t="str">
        <f>HYPERLINK("https://twitter.com/KoksalKontek","@KoksalKontek")</f>
        <v>@KoksalKontek</v>
      </c>
      <c r="C4423" s="7" t="s">
        <v>22236</v>
      </c>
      <c r="D4423" s="7" t="s">
        <v>22237</v>
      </c>
      <c r="E4423" s="12" t="str">
        <f>HYPERLINK("https://twitter.com/KoksalKontek/status/1181869279576301568","1181869279576301568")</f>
        <v>1181869279576301568</v>
      </c>
      <c r="F4423" s="8"/>
      <c r="G4423" s="15"/>
      <c r="H4423" s="8"/>
      <c r="I4423" s="15">
        <v>0</v>
      </c>
      <c r="J4423" s="15">
        <v>1</v>
      </c>
      <c r="K4423" s="12" t="str">
        <f>HYPERLINK("http://twitter.com/download/android","Twitter for Android")</f>
        <v>Twitter for Android</v>
      </c>
      <c r="L4423" s="16">
        <v>15</v>
      </c>
      <c r="M4423" s="16">
        <v>117</v>
      </c>
      <c r="N4423" s="16">
        <v>0</v>
      </c>
      <c r="O4423" s="17"/>
      <c r="P4423" s="18">
        <v>42845.278287037036</v>
      </c>
      <c r="Q4423" s="7"/>
      <c r="R4423" s="7" t="s">
        <v>19633</v>
      </c>
      <c r="S4423" s="8"/>
      <c r="T4423" s="8"/>
      <c r="U4423" s="19" t="str">
        <f>HYPERLINK("https://pbs.twimg.com/profile_images/855070969647554560/XUQk5G0V.jpg","View")</f>
        <v>View</v>
      </c>
      <c r="V4423" s="8"/>
      <c r="W4423" s="8"/>
      <c r="X4423" s="8"/>
      <c r="Y4423" s="8"/>
      <c r="Z4423" s="8"/>
    </row>
    <row r="4424" spans="1:26" ht="12.75">
      <c r="A4424" s="11">
        <v>43747.117685185185</v>
      </c>
      <c r="B4424" s="12" t="str">
        <f>HYPERLINK("https://twitter.com/KaanesmerGL","@KaanesmerGL")</f>
        <v>@KaanesmerGL</v>
      </c>
      <c r="C4424" s="7" t="s">
        <v>22238</v>
      </c>
      <c r="D4424" s="7" t="s">
        <v>160</v>
      </c>
      <c r="E4424" s="12" t="str">
        <f>HYPERLINK("https://twitter.com/KaanesmerGL/status/1181869275532926976","1181869275532926976")</f>
        <v>1181869275532926976</v>
      </c>
      <c r="F4424" s="8"/>
      <c r="G4424" s="7"/>
      <c r="H4424" s="8"/>
      <c r="I4424" s="15">
        <v>0</v>
      </c>
      <c r="J4424" s="15">
        <v>0</v>
      </c>
      <c r="K4424" s="12" t="str">
        <f>HYPERLINK("http://twitter.com/download/android","Twitter for Android")</f>
        <v>Twitter for Android</v>
      </c>
      <c r="L4424" s="16">
        <v>105</v>
      </c>
      <c r="M4424" s="16">
        <v>218</v>
      </c>
      <c r="N4424" s="16">
        <v>0</v>
      </c>
      <c r="O4424" s="17"/>
      <c r="P4424" s="18">
        <v>43247.457673611112</v>
      </c>
      <c r="Q4424" s="7"/>
      <c r="R4424" s="15" t="s">
        <v>22239</v>
      </c>
      <c r="S4424" s="8"/>
      <c r="T4424" s="8"/>
      <c r="U4424" s="19" t="str">
        <f>HYPERLINK("https://pbs.twimg.com/profile_images/1157557100723224577/GPob2kyF.jpg","View")</f>
        <v>View</v>
      </c>
      <c r="V4424" s="8"/>
      <c r="W4424" s="8"/>
      <c r="X4424" s="8"/>
      <c r="Y4424" s="8"/>
      <c r="Z4424" s="8"/>
    </row>
    <row r="4425" spans="1:26" ht="12.75">
      <c r="A4425" s="11">
        <v>43747.117569444439</v>
      </c>
      <c r="B4425" s="12" t="str">
        <f>HYPERLINK("https://twitter.com/denizaltunays","@denizaltunays")</f>
        <v>@denizaltunays</v>
      </c>
      <c r="C4425" s="7" t="s">
        <v>22240</v>
      </c>
      <c r="D4425" s="7" t="s">
        <v>22241</v>
      </c>
      <c r="E4425" s="12" t="str">
        <f>HYPERLINK("https://twitter.com/denizaltunays/status/1181869237171838976","1181869237171838976")</f>
        <v>1181869237171838976</v>
      </c>
      <c r="F4425" s="8"/>
      <c r="G4425" s="14" t="s">
        <v>22242</v>
      </c>
      <c r="H4425" s="8"/>
      <c r="I4425" s="15">
        <v>0</v>
      </c>
      <c r="J4425" s="15">
        <v>0</v>
      </c>
      <c r="K4425" s="12" t="str">
        <f>HYPERLINK("http://twitter.com/download/android","Twitter for Android")</f>
        <v>Twitter for Android</v>
      </c>
      <c r="L4425" s="16">
        <v>88</v>
      </c>
      <c r="M4425" s="16">
        <v>144</v>
      </c>
      <c r="N4425" s="16">
        <v>1</v>
      </c>
      <c r="O4425" s="17"/>
      <c r="P4425" s="18">
        <v>42752.445162037038</v>
      </c>
      <c r="Q4425" s="7"/>
      <c r="R4425" s="7" t="s">
        <v>22243</v>
      </c>
      <c r="S4425" s="8"/>
      <c r="T4425" s="8"/>
      <c r="U4425" s="19" t="str">
        <f>HYPERLINK("https://pbs.twimg.com/profile_images/1142426325241749504/FUghG0xj.jpg","View")</f>
        <v>View</v>
      </c>
      <c r="V4425" s="8"/>
      <c r="W4425" s="8"/>
      <c r="X4425" s="8"/>
      <c r="Y4425" s="8"/>
      <c r="Z4425" s="8"/>
    </row>
    <row r="4426" spans="1:26" ht="12.75">
      <c r="A4426" s="11">
        <v>43747.117488425924</v>
      </c>
      <c r="B4426" s="12" t="str">
        <f>HYPERLINK("https://twitter.com/fthylmzz","@fthylmzz")</f>
        <v>@fthylmzz</v>
      </c>
      <c r="C4426" s="7" t="s">
        <v>22244</v>
      </c>
      <c r="D4426" s="7" t="s">
        <v>22245</v>
      </c>
      <c r="E4426" s="12" t="str">
        <f>HYPERLINK("https://twitter.com/fthylmzz/status/1181869208063352833","1181869208063352833")</f>
        <v>1181869208063352833</v>
      </c>
      <c r="F4426" s="8"/>
      <c r="G4426" s="7"/>
      <c r="H4426" s="8"/>
      <c r="I4426" s="15">
        <v>0</v>
      </c>
      <c r="J4426" s="15">
        <v>0</v>
      </c>
      <c r="K4426" s="12" t="str">
        <f>HYPERLINK("http://twitter.com/download/android","Twitter for Android")</f>
        <v>Twitter for Android</v>
      </c>
      <c r="L4426" s="16">
        <v>2</v>
      </c>
      <c r="M4426" s="16">
        <v>35</v>
      </c>
      <c r="N4426" s="16">
        <v>0</v>
      </c>
      <c r="O4426" s="17"/>
      <c r="P4426" s="18">
        <v>42972.423750000002</v>
      </c>
      <c r="Q4426" s="7"/>
      <c r="R4426" s="7"/>
      <c r="S4426" s="8"/>
      <c r="T4426" s="8"/>
      <c r="U4426" s="19" t="str">
        <f>HYPERLINK("https://pbs.twimg.com/profile_images/976462805246279681/ylNfpYyB.jpg","View")</f>
        <v>View</v>
      </c>
      <c r="V4426" s="8"/>
      <c r="W4426" s="8"/>
      <c r="X4426" s="8"/>
      <c r="Y4426" s="8"/>
      <c r="Z4426" s="8"/>
    </row>
    <row r="4427" spans="1:26" ht="12.75">
      <c r="A4427" s="11">
        <v>43747.117488425924</v>
      </c>
      <c r="B4427" s="12" t="str">
        <f>HYPERLINK("https://twitter.com/Seherr_k","@Seherr_k")</f>
        <v>@Seherr_k</v>
      </c>
      <c r="C4427" s="7" t="s">
        <v>22246</v>
      </c>
      <c r="D4427" s="7" t="s">
        <v>22247</v>
      </c>
      <c r="E4427" s="12" t="str">
        <f>HYPERLINK("https://twitter.com/Seherr_k/status/1181869207979532288","1181869207979532288")</f>
        <v>1181869207979532288</v>
      </c>
      <c r="F4427" s="15"/>
      <c r="G4427" s="14" t="s">
        <v>22248</v>
      </c>
      <c r="H4427" s="8"/>
      <c r="I4427" s="15">
        <v>0</v>
      </c>
      <c r="J4427" s="15">
        <v>7</v>
      </c>
      <c r="K4427" s="12" t="str">
        <f>HYPERLINK("http://twitter.com/download/android","Twitter for Android")</f>
        <v>Twitter for Android</v>
      </c>
      <c r="L4427" s="16">
        <v>2276</v>
      </c>
      <c r="M4427" s="16">
        <v>635</v>
      </c>
      <c r="N4427" s="16">
        <v>23</v>
      </c>
      <c r="O4427" s="17"/>
      <c r="P4427" s="18">
        <v>40736.305092592593</v>
      </c>
      <c r="Q4427" s="7" t="s">
        <v>200</v>
      </c>
      <c r="R4427" s="7" t="s">
        <v>22249</v>
      </c>
      <c r="S4427" s="8"/>
      <c r="T4427" s="8"/>
      <c r="U4427" s="19" t="str">
        <f>HYPERLINK("https://pbs.twimg.com/profile_images/1181558899461251073/cFVTKA0O.jpg","View")</f>
        <v>View</v>
      </c>
      <c r="V4427" s="8"/>
      <c r="W4427" s="8"/>
      <c r="X4427" s="8"/>
      <c r="Y4427" s="8"/>
      <c r="Z4427" s="8"/>
    </row>
    <row r="4428" spans="1:26" ht="12.75">
      <c r="A4428" s="11">
        <v>43747.117476851854</v>
      </c>
      <c r="B4428" s="12" t="str">
        <f>HYPERLINK("https://twitter.com/mguraygunes_","@mguraygunes_")</f>
        <v>@mguraygunes_</v>
      </c>
      <c r="C4428" s="7" t="s">
        <v>22250</v>
      </c>
      <c r="D4428" s="7" t="s">
        <v>160</v>
      </c>
      <c r="E4428" s="12" t="str">
        <f>HYPERLINK("https://twitter.com/mguraygunes_/status/1181869202937974785","1181869202937974785")</f>
        <v>1181869202937974785</v>
      </c>
      <c r="F4428" s="8"/>
      <c r="G4428" s="14" t="s">
        <v>22251</v>
      </c>
      <c r="H4428" s="8"/>
      <c r="I4428" s="15">
        <v>0</v>
      </c>
      <c r="J4428" s="15">
        <v>1</v>
      </c>
      <c r="K4428" s="12" t="str">
        <f>HYPERLINK("http://twitter.com/download/android","Twitter for Android")</f>
        <v>Twitter for Android</v>
      </c>
      <c r="L4428" s="16">
        <v>85</v>
      </c>
      <c r="M4428" s="16">
        <v>65</v>
      </c>
      <c r="N4428" s="16">
        <v>0</v>
      </c>
      <c r="O4428" s="17"/>
      <c r="P4428" s="18">
        <v>42740.30741898148</v>
      </c>
      <c r="Q4428" s="7"/>
      <c r="R4428" s="7" t="s">
        <v>22252</v>
      </c>
      <c r="S4428" s="8"/>
      <c r="T4428" s="8"/>
      <c r="U4428" s="19" t="str">
        <f>HYPERLINK("https://pbs.twimg.com/profile_images/1180613630817193984/NmUiUKUP.jpg","View")</f>
        <v>View</v>
      </c>
      <c r="V4428" s="8"/>
      <c r="W4428" s="8"/>
      <c r="X4428" s="8"/>
      <c r="Y4428" s="8"/>
      <c r="Z4428" s="8"/>
    </row>
    <row r="4429" spans="1:26" ht="12.75">
      <c r="A4429" s="11">
        <v>43747.117476851854</v>
      </c>
      <c r="B4429" s="12" t="str">
        <f>HYPERLINK("https://twitter.com/FahriDuyar2","@FahriDuyar2")</f>
        <v>@FahriDuyar2</v>
      </c>
      <c r="C4429" s="7" t="s">
        <v>22253</v>
      </c>
      <c r="D4429" s="7" t="s">
        <v>22254</v>
      </c>
      <c r="E4429" s="12" t="str">
        <f>HYPERLINK("https://twitter.com/FahriDuyar2/status/1181869200299704321","1181869200299704321")</f>
        <v>1181869200299704321</v>
      </c>
      <c r="F4429" s="8"/>
      <c r="G4429" s="7"/>
      <c r="H4429" s="8"/>
      <c r="I4429" s="15">
        <v>0</v>
      </c>
      <c r="J4429" s="15">
        <v>2</v>
      </c>
      <c r="K4429" s="12" t="str">
        <f>HYPERLINK("http://twitter.com/download/android","Twitter for Android")</f>
        <v>Twitter for Android</v>
      </c>
      <c r="L4429" s="16">
        <v>520</v>
      </c>
      <c r="M4429" s="16">
        <v>1915</v>
      </c>
      <c r="N4429" s="16">
        <v>0</v>
      </c>
      <c r="O4429" s="17"/>
      <c r="P4429" s="18">
        <v>43297.125648148147</v>
      </c>
      <c r="Q4429" s="7" t="s">
        <v>8345</v>
      </c>
      <c r="R4429" s="7"/>
      <c r="S4429" s="8"/>
      <c r="T4429" s="8"/>
      <c r="U4429" s="19" t="str">
        <f>HYPERLINK("https://pbs.twimg.com/profile_images/1171465492105551874/LvBkwAAC.jpg","View")</f>
        <v>View</v>
      </c>
      <c r="V4429" s="8"/>
      <c r="W4429" s="8"/>
      <c r="X4429" s="8"/>
      <c r="Y4429" s="8"/>
      <c r="Z4429" s="8"/>
    </row>
    <row r="4430" spans="1:26" ht="12.75">
      <c r="A4430" s="11">
        <v>43747.117407407408</v>
      </c>
      <c r="B4430" s="12" t="str">
        <f>HYPERLINK("https://twitter.com/erdenaliii","@erdenaliii")</f>
        <v>@erdenaliii</v>
      </c>
      <c r="C4430" s="7" t="s">
        <v>22255</v>
      </c>
      <c r="D4430" s="7" t="s">
        <v>22256</v>
      </c>
      <c r="E4430" s="12" t="str">
        <f>HYPERLINK("https://twitter.com/erdenaliii/status/1181869178590023680","1181869178590023680")</f>
        <v>1181869178590023680</v>
      </c>
      <c r="F4430" s="8"/>
      <c r="G4430" s="7"/>
      <c r="H4430" s="8"/>
      <c r="I4430" s="15">
        <v>0</v>
      </c>
      <c r="J4430" s="15">
        <v>1</v>
      </c>
      <c r="K4430" s="12" t="str">
        <f>HYPERLINK("http://twitter.com/download/iphone","Twitter for iPhone")</f>
        <v>Twitter for iPhone</v>
      </c>
      <c r="L4430" s="16">
        <v>92</v>
      </c>
      <c r="M4430" s="16">
        <v>324</v>
      </c>
      <c r="N4430" s="16">
        <v>0</v>
      </c>
      <c r="O4430" s="17"/>
      <c r="P4430" s="18">
        <v>43685.574814814812</v>
      </c>
      <c r="Q4430" s="7"/>
      <c r="R4430" s="7" t="s">
        <v>22257</v>
      </c>
      <c r="S4430" s="14" t="s">
        <v>22258</v>
      </c>
      <c r="T4430" s="8"/>
      <c r="U4430" s="19" t="str">
        <f>HYPERLINK("https://pbs.twimg.com/profile_images/1159570712966901760/fmRDI1Br.jpg","View")</f>
        <v>View</v>
      </c>
      <c r="V4430" s="8"/>
      <c r="W4430" s="8"/>
      <c r="X4430" s="8"/>
      <c r="Y4430" s="8"/>
      <c r="Z4430" s="8"/>
    </row>
    <row r="4431" spans="1:26" ht="12.75">
      <c r="A4431" s="11">
        <v>43747.117337962962</v>
      </c>
      <c r="B4431" s="12" t="str">
        <f>HYPERLINK("https://twitter.com/Battal_Gaazi","@Battal_Gaazi")</f>
        <v>@Battal_Gaazi</v>
      </c>
      <c r="C4431" s="7" t="s">
        <v>22259</v>
      </c>
      <c r="D4431" s="7" t="s">
        <v>22260</v>
      </c>
      <c r="E4431" s="12" t="str">
        <f>HYPERLINK("https://twitter.com/Battal_Gaazi/status/1181869153034088448","1181869153034088448")</f>
        <v>1181869153034088448</v>
      </c>
      <c r="F4431" s="8"/>
      <c r="G4431" s="15"/>
      <c r="H4431" s="8"/>
      <c r="I4431" s="15">
        <v>0</v>
      </c>
      <c r="J4431" s="15">
        <v>1</v>
      </c>
      <c r="K4431" s="12" t="str">
        <f>HYPERLINK("http://twitter.com/download/android","Twitter for Android")</f>
        <v>Twitter for Android</v>
      </c>
      <c r="L4431" s="16">
        <v>371</v>
      </c>
      <c r="M4431" s="16">
        <v>827</v>
      </c>
      <c r="N4431" s="16">
        <v>0</v>
      </c>
      <c r="O4431" s="17"/>
      <c r="P4431" s="18">
        <v>42179.132222222222</v>
      </c>
      <c r="Q4431" s="7"/>
      <c r="R4431" s="7" t="s">
        <v>22261</v>
      </c>
      <c r="S4431" s="8"/>
      <c r="T4431" s="8"/>
      <c r="U4431" s="19" t="str">
        <f>HYPERLINK("https://pbs.twimg.com/profile_images/1178765948402196480/prI4vJ_v.jpg","View")</f>
        <v>View</v>
      </c>
      <c r="V4431" s="8"/>
      <c r="W4431" s="8"/>
      <c r="X4431" s="8"/>
      <c r="Y4431" s="8"/>
      <c r="Z4431" s="8"/>
    </row>
    <row r="4432" spans="1:26" ht="12.75">
      <c r="A4432" s="11">
        <v>43747.117291666669</v>
      </c>
      <c r="B4432" s="12" t="str">
        <f>HYPERLINK("https://twitter.com/sessizgemi1988","@sessizgemi1988")</f>
        <v>@sessizgemi1988</v>
      </c>
      <c r="C4432" s="7" t="s">
        <v>22262</v>
      </c>
      <c r="D4432" s="7" t="s">
        <v>160</v>
      </c>
      <c r="E4432" s="12" t="str">
        <f>HYPERLINK("https://twitter.com/sessizgemi1988/status/1181869135724253184","1181869135724253184")</f>
        <v>1181869135724253184</v>
      </c>
      <c r="F4432" s="8"/>
      <c r="G4432" s="15"/>
      <c r="H4432" s="8"/>
      <c r="I4432" s="15">
        <v>0</v>
      </c>
      <c r="J4432" s="15">
        <v>1</v>
      </c>
      <c r="K4432" s="12" t="str">
        <f>HYPERLINK("http://twitter.com/download/android","Twitter for Android")</f>
        <v>Twitter for Android</v>
      </c>
      <c r="L4432" s="16">
        <v>132</v>
      </c>
      <c r="M4432" s="16">
        <v>342</v>
      </c>
      <c r="N4432" s="16">
        <v>0</v>
      </c>
      <c r="O4432" s="17"/>
      <c r="P4432" s="18">
        <v>43322.325439814813</v>
      </c>
      <c r="Q4432" s="7"/>
      <c r="R4432" s="7" t="s">
        <v>22263</v>
      </c>
      <c r="S4432" s="8"/>
      <c r="T4432" s="8"/>
      <c r="U4432" s="19" t="str">
        <f>HYPERLINK("https://pbs.twimg.com/profile_images/1179725300437078017/Zkc1YiYG.jpg","View")</f>
        <v>View</v>
      </c>
      <c r="V4432" s="8"/>
      <c r="W4432" s="8"/>
      <c r="X4432" s="8"/>
      <c r="Y4432" s="8"/>
      <c r="Z4432" s="8"/>
    </row>
    <row r="4433" spans="1:26" ht="12.75">
      <c r="A4433" s="11">
        <v>43747.117280092592</v>
      </c>
      <c r="B4433" s="12" t="str">
        <f>HYPERLINK("https://twitter.com/SqlCommand1903","@SqlCommand1903")</f>
        <v>@SqlCommand1903</v>
      </c>
      <c r="C4433" s="7" t="s">
        <v>22264</v>
      </c>
      <c r="D4433" s="7" t="s">
        <v>160</v>
      </c>
      <c r="E4433" s="12" t="str">
        <f>HYPERLINK("https://twitter.com/SqlCommand1903/status/1181869129910886400","1181869129910886400")</f>
        <v>1181869129910886400</v>
      </c>
      <c r="F4433" s="8"/>
      <c r="G4433" s="15"/>
      <c r="H4433" s="8"/>
      <c r="I4433" s="15">
        <v>0</v>
      </c>
      <c r="J4433" s="15">
        <v>0</v>
      </c>
      <c r="K4433" s="12" t="str">
        <f>HYPERLINK("http://twitter.com/download/android","Twitter for Android")</f>
        <v>Twitter for Android</v>
      </c>
      <c r="L4433" s="16">
        <v>118</v>
      </c>
      <c r="M4433" s="16">
        <v>538</v>
      </c>
      <c r="N4433" s="16">
        <v>0</v>
      </c>
      <c r="O4433" s="17"/>
      <c r="P4433" s="18">
        <v>42012.071157407408</v>
      </c>
      <c r="Q4433" s="7"/>
      <c r="R4433" s="7" t="s">
        <v>22265</v>
      </c>
      <c r="S4433" s="15"/>
      <c r="T4433" s="8"/>
      <c r="U4433" s="19" t="str">
        <f>HYPERLINK("https://pbs.twimg.com/profile_images/997776677274050560/rtQjDIQc.jpg","View")</f>
        <v>View</v>
      </c>
      <c r="V4433" s="8"/>
      <c r="W4433" s="8"/>
      <c r="X4433" s="8"/>
      <c r="Y4433" s="8"/>
      <c r="Z4433" s="8"/>
    </row>
    <row r="4434" spans="1:26" ht="12.75">
      <c r="A4434" s="11">
        <v>43747.117268518516</v>
      </c>
      <c r="B4434" s="12" t="str">
        <f>HYPERLINK("https://twitter.com/Cem9Eylul","@Cem9Eylul")</f>
        <v>@Cem9Eylul</v>
      </c>
      <c r="C4434" s="7" t="s">
        <v>22266</v>
      </c>
      <c r="D4434" s="7" t="s">
        <v>160</v>
      </c>
      <c r="E4434" s="12" t="str">
        <f>HYPERLINK("https://twitter.com/Cem9Eylul/status/1181869127977373696","1181869127977373696")</f>
        <v>1181869127977373696</v>
      </c>
      <c r="F4434" s="8"/>
      <c r="G4434" s="14" t="s">
        <v>22267</v>
      </c>
      <c r="H4434" s="8"/>
      <c r="I4434" s="15">
        <v>2</v>
      </c>
      <c r="J4434" s="15">
        <v>8</v>
      </c>
      <c r="K4434" s="12" t="str">
        <f>HYPERLINK("http://twitter.com/download/android","Twitter for Android")</f>
        <v>Twitter for Android</v>
      </c>
      <c r="L4434" s="16">
        <v>19699</v>
      </c>
      <c r="M4434" s="16">
        <v>5531</v>
      </c>
      <c r="N4434" s="16">
        <v>17</v>
      </c>
      <c r="O4434" s="17"/>
      <c r="P4434" s="18">
        <v>42665.510983796295</v>
      </c>
      <c r="Q4434" s="7" t="s">
        <v>22268</v>
      </c>
      <c r="R4434" s="7" t="s">
        <v>22269</v>
      </c>
      <c r="S4434" s="8"/>
      <c r="T4434" s="8"/>
      <c r="U4434" s="19" t="str">
        <f>HYPERLINK("https://pbs.twimg.com/profile_images/1040012105892720640/TNioXW_s.jpg","View")</f>
        <v>View</v>
      </c>
      <c r="V4434" s="8"/>
      <c r="W4434" s="8"/>
      <c r="X4434" s="8"/>
      <c r="Y4434" s="8"/>
      <c r="Z4434" s="8"/>
    </row>
    <row r="4435" spans="1:26" ht="12.75">
      <c r="A4435" s="11">
        <v>43747.117233796293</v>
      </c>
      <c r="B4435" s="12" t="str">
        <f>HYPERLINK("https://twitter.com/HusamettinKahya","@HusamettinKahya")</f>
        <v>@HusamettinKahya</v>
      </c>
      <c r="C4435" s="7" t="s">
        <v>22270</v>
      </c>
      <c r="D4435" s="7" t="s">
        <v>22271</v>
      </c>
      <c r="E4435" s="12" t="str">
        <f>HYPERLINK("https://twitter.com/HusamettinKahya/status/1181869114857537536","1181869114857537536")</f>
        <v>1181869114857537536</v>
      </c>
      <c r="F4435" s="8"/>
      <c r="G4435" s="14" t="s">
        <v>22272</v>
      </c>
      <c r="H4435" s="8"/>
      <c r="I4435" s="15">
        <v>0</v>
      </c>
      <c r="J4435" s="15">
        <v>1</v>
      </c>
      <c r="K4435" s="12" t="str">
        <f>HYPERLINK("http://twitter.com/download/android","Twitter for Android")</f>
        <v>Twitter for Android</v>
      </c>
      <c r="L4435" s="16">
        <v>4938</v>
      </c>
      <c r="M4435" s="16">
        <v>4800</v>
      </c>
      <c r="N4435" s="16">
        <v>1</v>
      </c>
      <c r="O4435" s="17"/>
      <c r="P4435" s="18">
        <v>40667.45171296296</v>
      </c>
      <c r="Q4435" s="7" t="s">
        <v>22273</v>
      </c>
      <c r="R4435" s="7" t="s">
        <v>22274</v>
      </c>
      <c r="S4435" s="14" t="s">
        <v>22275</v>
      </c>
      <c r="T4435" s="8"/>
      <c r="U4435" s="19" t="str">
        <f>HYPERLINK("https://pbs.twimg.com/profile_images/1140708338424078339/j0wbKJK0.jpg","View")</f>
        <v>View</v>
      </c>
      <c r="V4435" s="8"/>
      <c r="W4435" s="8"/>
      <c r="X4435" s="8"/>
      <c r="Y4435" s="8"/>
      <c r="Z4435" s="8"/>
    </row>
    <row r="4436" spans="1:26" ht="12.75">
      <c r="A4436" s="11">
        <v>43747.11719907407</v>
      </c>
      <c r="B4436" s="12" t="str">
        <f>HYPERLINK("https://twitter.com/gokcetlcstr","@gokcetlcstr")</f>
        <v>@gokcetlcstr</v>
      </c>
      <c r="C4436" s="7" t="s">
        <v>22276</v>
      </c>
      <c r="D4436" s="7" t="s">
        <v>22277</v>
      </c>
      <c r="E4436" s="12" t="str">
        <f>HYPERLINK("https://twitter.com/gokcetlcstr/status/1181869100588568576","1181869100588568576")</f>
        <v>1181869100588568576</v>
      </c>
      <c r="F4436" s="15"/>
      <c r="G4436" s="15"/>
      <c r="H4436" s="8"/>
      <c r="I4436" s="15">
        <v>0</v>
      </c>
      <c r="J4436" s="15">
        <v>1</v>
      </c>
      <c r="K4436" s="12" t="str">
        <f>HYPERLINK("http://twitter.com/download/android","Twitter for Android")</f>
        <v>Twitter for Android</v>
      </c>
      <c r="L4436" s="16">
        <v>13</v>
      </c>
      <c r="M4436" s="16">
        <v>27</v>
      </c>
      <c r="N4436" s="16">
        <v>0</v>
      </c>
      <c r="O4436" s="17"/>
      <c r="P4436" s="18">
        <v>43626.691111111111</v>
      </c>
      <c r="Q4436" s="7"/>
      <c r="R4436" s="7"/>
      <c r="S4436" s="8"/>
      <c r="T4436" s="8"/>
      <c r="U4436" s="19" t="str">
        <f>HYPERLINK("https://pbs.twimg.com/profile_images/1138228421530738688/9Zgd3A4J.jpg","View")</f>
        <v>View</v>
      </c>
      <c r="V4436" s="8"/>
      <c r="W4436" s="8"/>
      <c r="X4436" s="8"/>
      <c r="Y4436" s="8"/>
      <c r="Z4436" s="8"/>
    </row>
    <row r="4437" spans="1:26" ht="12.75">
      <c r="A4437" s="11">
        <v>43747.1171875</v>
      </c>
      <c r="B4437" s="12" t="str">
        <f>HYPERLINK("https://twitter.com/sewda0zturk","@sewda0zturk")</f>
        <v>@sewda0zturk</v>
      </c>
      <c r="C4437" s="7" t="s">
        <v>22278</v>
      </c>
      <c r="D4437" s="7" t="s">
        <v>8731</v>
      </c>
      <c r="E4437" s="12" t="str">
        <f>HYPERLINK("https://twitter.com/sewda0zturk/status/1181869096989802496","1181869096989802496")</f>
        <v>1181869096989802496</v>
      </c>
      <c r="F4437" s="8"/>
      <c r="G4437" s="15"/>
      <c r="H4437" s="8"/>
      <c r="I4437" s="15">
        <v>0</v>
      </c>
      <c r="J4437" s="15">
        <v>2</v>
      </c>
      <c r="K4437" s="12" t="str">
        <f>HYPERLINK("http://twitter.com/download/iphone","Twitter for iPhone")</f>
        <v>Twitter for iPhone</v>
      </c>
      <c r="L4437" s="16">
        <v>258</v>
      </c>
      <c r="M4437" s="16">
        <v>67</v>
      </c>
      <c r="N4437" s="16">
        <v>0</v>
      </c>
      <c r="O4437" s="17"/>
      <c r="P4437" s="18">
        <v>42254.261400462958</v>
      </c>
      <c r="Q4437" s="7" t="s">
        <v>1150</v>
      </c>
      <c r="R4437" s="7"/>
      <c r="S4437" s="8"/>
      <c r="T4437" s="8"/>
      <c r="U4437" s="19" t="str">
        <f>HYPERLINK("https://pbs.twimg.com/profile_images/1076563305328721920/xtJacbo1.jpg","View")</f>
        <v>View</v>
      </c>
      <c r="V4437" s="8"/>
      <c r="W4437" s="8"/>
      <c r="X4437" s="8"/>
      <c r="Y4437" s="8"/>
      <c r="Z4437" s="8"/>
    </row>
    <row r="4438" spans="1:26" ht="12.75">
      <c r="A4438" s="11">
        <v>43747.11717592593</v>
      </c>
      <c r="B4438" s="12" t="str">
        <f>HYPERLINK("https://twitter.com/ProfCelalSengor","@ProfCelalSengor")</f>
        <v>@ProfCelalSengor</v>
      </c>
      <c r="C4438" s="7" t="s">
        <v>22279</v>
      </c>
      <c r="D4438" s="7" t="s">
        <v>22280</v>
      </c>
      <c r="E4438" s="12" t="str">
        <f>HYPERLINK("https://twitter.com/ProfCelalSengor/status/1181869093848322048","1181869093848322048")</f>
        <v>1181869093848322048</v>
      </c>
      <c r="F4438" s="8"/>
      <c r="G4438" s="14" t="s">
        <v>22281</v>
      </c>
      <c r="H4438" s="8"/>
      <c r="I4438" s="15">
        <v>4</v>
      </c>
      <c r="J4438" s="15">
        <v>81</v>
      </c>
      <c r="K4438" s="12" t="str">
        <f>HYPERLINK("https://mobile.twitter.com","Twitter Web App")</f>
        <v>Twitter Web App</v>
      </c>
      <c r="L4438" s="16">
        <v>16869</v>
      </c>
      <c r="M4438" s="16">
        <v>581</v>
      </c>
      <c r="N4438" s="16">
        <v>10</v>
      </c>
      <c r="O4438" s="17"/>
      <c r="P4438" s="18">
        <v>43142.147106481483</v>
      </c>
      <c r="Q4438" s="7" t="s">
        <v>313</v>
      </c>
      <c r="R4438" s="7" t="s">
        <v>22282</v>
      </c>
      <c r="S4438" s="14" t="s">
        <v>22283</v>
      </c>
      <c r="T4438" s="8"/>
      <c r="U4438" s="19" t="str">
        <f>HYPERLINK("https://pbs.twimg.com/profile_images/1154366980704673792/t-etD9Ze.jpg","View")</f>
        <v>View</v>
      </c>
      <c r="V4438" s="8"/>
      <c r="W4438" s="8"/>
      <c r="X4438" s="8"/>
      <c r="Y4438" s="8"/>
      <c r="Z4438" s="8"/>
    </row>
    <row r="4439" spans="1:26" ht="12.75">
      <c r="A4439" s="11">
        <v>43747.117129629631</v>
      </c>
      <c r="B4439" s="12" t="str">
        <f>HYPERLINK("https://twitter.com/ozcn_sngl64","@ozcn_sngl64")</f>
        <v>@ozcn_sngl64</v>
      </c>
      <c r="C4439" s="7" t="s">
        <v>22284</v>
      </c>
      <c r="D4439" s="7" t="s">
        <v>22285</v>
      </c>
      <c r="E4439" s="12" t="str">
        <f>HYPERLINK("https://twitter.com/ozcn_sngl64/status/1181869075280072704","1181869075280072704")</f>
        <v>1181869075280072704</v>
      </c>
      <c r="F4439" s="8"/>
      <c r="G4439" s="7"/>
      <c r="H4439" s="8"/>
      <c r="I4439" s="15">
        <v>0</v>
      </c>
      <c r="J4439" s="15">
        <v>0</v>
      </c>
      <c r="K4439" s="12" t="str">
        <f>HYPERLINK("http://twitter.com/download/android","Twitter for Android")</f>
        <v>Twitter for Android</v>
      </c>
      <c r="L4439" s="16">
        <v>44</v>
      </c>
      <c r="M4439" s="16">
        <v>36</v>
      </c>
      <c r="N4439" s="16">
        <v>0</v>
      </c>
      <c r="O4439" s="17"/>
      <c r="P4439" s="18">
        <v>42160.609618055554</v>
      </c>
      <c r="Q4439" s="7" t="s">
        <v>313</v>
      </c>
      <c r="R4439" s="7"/>
      <c r="S4439" s="8"/>
      <c r="T4439" s="8"/>
      <c r="U4439" s="19" t="str">
        <f>HYPERLINK("https://pbs.twimg.com/profile_images/744129400560562176/Yp-r6A8I.jpg","View")</f>
        <v>View</v>
      </c>
      <c r="V4439" s="8"/>
      <c r="W4439" s="8"/>
      <c r="X4439" s="8"/>
      <c r="Y4439" s="8"/>
      <c r="Z4439" s="8"/>
    </row>
    <row r="4440" spans="1:26" ht="12.75">
      <c r="A4440" s="11">
        <v>43747.117118055554</v>
      </c>
      <c r="B4440" s="12" t="str">
        <f>HYPERLINK("https://twitter.com/hooktonluthomas","@hooktonluthomas")</f>
        <v>@hooktonluthomas</v>
      </c>
      <c r="C4440" s="7" t="s">
        <v>22286</v>
      </c>
      <c r="D4440" s="7" t="s">
        <v>22287</v>
      </c>
      <c r="E4440" s="12" t="str">
        <f>HYPERLINK("https://twitter.com/hooktonluthomas/status/1181869073208098816","1181869073208098816")</f>
        <v>1181869073208098816</v>
      </c>
      <c r="F4440" s="8"/>
      <c r="G4440" s="15"/>
      <c r="H4440" s="8"/>
      <c r="I4440" s="15">
        <v>0</v>
      </c>
      <c r="J4440" s="15">
        <v>0</v>
      </c>
      <c r="K4440" s="12" t="str">
        <f>HYPERLINK("http://twitter.com/download/iphone","Twitter for iPhone")</f>
        <v>Twitter for iPhone</v>
      </c>
      <c r="L4440" s="16">
        <v>189</v>
      </c>
      <c r="M4440" s="16">
        <v>519</v>
      </c>
      <c r="N4440" s="16">
        <v>0</v>
      </c>
      <c r="O4440" s="17"/>
      <c r="P4440" s="18">
        <v>43176.034722222219</v>
      </c>
      <c r="Q4440" s="7"/>
      <c r="R4440" s="7"/>
      <c r="S4440" s="8"/>
      <c r="T4440" s="8"/>
      <c r="U4440" s="19" t="str">
        <f>HYPERLINK("https://pbs.twimg.com/profile_images/1125811320119529473/7-FB4gO4.jpg","View")</f>
        <v>View</v>
      </c>
      <c r="V4440" s="8"/>
      <c r="W4440" s="8"/>
      <c r="X4440" s="8"/>
      <c r="Y4440" s="8"/>
      <c r="Z4440" s="8"/>
    </row>
    <row r="4441" spans="1:26" ht="12.75">
      <c r="A4441" s="11">
        <v>43747.117094907408</v>
      </c>
      <c r="B4441" s="12" t="str">
        <f>HYPERLINK("https://twitter.com/neydikneolduk3","@neydikneolduk3")</f>
        <v>@neydikneolduk3</v>
      </c>
      <c r="C4441" s="7" t="s">
        <v>22288</v>
      </c>
      <c r="D4441" s="7" t="s">
        <v>22289</v>
      </c>
      <c r="E4441" s="12" t="str">
        <f>HYPERLINK("https://twitter.com/neydikneolduk3/status/1181869062021931008","1181869062021931008")</f>
        <v>1181869062021931008</v>
      </c>
      <c r="F4441" s="8"/>
      <c r="G4441" s="15"/>
      <c r="H4441" s="8"/>
      <c r="I4441" s="15">
        <v>0</v>
      </c>
      <c r="J4441" s="15">
        <v>0</v>
      </c>
      <c r="K4441" s="12" t="str">
        <f>HYPERLINK("http://twitter.com/download/iphone","Twitter for iPhone")</f>
        <v>Twitter for iPhone</v>
      </c>
      <c r="L4441" s="16">
        <v>1</v>
      </c>
      <c r="M4441" s="16">
        <v>103</v>
      </c>
      <c r="N4441" s="16">
        <v>0</v>
      </c>
      <c r="O4441" s="17"/>
      <c r="P4441" s="18">
        <v>43747.08630787037</v>
      </c>
      <c r="Q4441" s="7"/>
      <c r="R4441" s="7" t="s">
        <v>22290</v>
      </c>
      <c r="S4441" s="8"/>
      <c r="T4441" s="8"/>
      <c r="U4441" s="19" t="str">
        <f>HYPERLINK("https://pbs.twimg.com/profile_images/1181858104809594881/XsJmpCOB.jpg","View")</f>
        <v>View</v>
      </c>
      <c r="V4441" s="8"/>
      <c r="W4441" s="8"/>
      <c r="X4441" s="8"/>
      <c r="Y4441" s="8"/>
      <c r="Z4441" s="8"/>
    </row>
    <row r="4442" spans="1:26" ht="12.75">
      <c r="A4442" s="11">
        <v>43747.117013888885</v>
      </c>
      <c r="B4442" s="12" t="str">
        <f>HYPERLINK("https://twitter.com/taha_nacar","@taha_nacar")</f>
        <v>@taha_nacar</v>
      </c>
      <c r="C4442" s="7" t="s">
        <v>22291</v>
      </c>
      <c r="D4442" s="7" t="s">
        <v>22292</v>
      </c>
      <c r="E4442" s="12" t="str">
        <f>HYPERLINK("https://twitter.com/taha_nacar/status/1181869033752322054","1181869033752322054")</f>
        <v>1181869033752322054</v>
      </c>
      <c r="F4442" s="8"/>
      <c r="G4442" s="14" t="s">
        <v>22293</v>
      </c>
      <c r="H4442" s="8"/>
      <c r="I4442" s="15">
        <v>0</v>
      </c>
      <c r="J4442" s="15">
        <v>1</v>
      </c>
      <c r="K4442" s="12" t="str">
        <f>HYPERLINK("http://twitter.com/download/iphone","Twitter for iPhone")</f>
        <v>Twitter for iPhone</v>
      </c>
      <c r="L4442" s="16">
        <v>47</v>
      </c>
      <c r="M4442" s="16">
        <v>48</v>
      </c>
      <c r="N4442" s="16">
        <v>0</v>
      </c>
      <c r="O4442" s="17"/>
      <c r="P4442" s="18">
        <v>42423.265497685185</v>
      </c>
      <c r="Q4442" s="7" t="s">
        <v>313</v>
      </c>
      <c r="R4442" s="7"/>
      <c r="S4442" s="8"/>
      <c r="T4442" s="8"/>
      <c r="U4442" s="19" t="str">
        <f>HYPERLINK("https://pbs.twimg.com/profile_images/1157782633499299842/pGlIIece.jpg","View")</f>
        <v>View</v>
      </c>
      <c r="V4442" s="8"/>
      <c r="W4442" s="8"/>
      <c r="X4442" s="8"/>
      <c r="Y4442" s="8"/>
      <c r="Z4442" s="8"/>
    </row>
    <row r="4443" spans="1:26" ht="12.75">
      <c r="A4443" s="11">
        <v>43747.117013888885</v>
      </c>
      <c r="B4443" s="12" t="str">
        <f>HYPERLINK("https://twitter.com/kursat_noyan","@kursat_noyan")</f>
        <v>@kursat_noyan</v>
      </c>
      <c r="C4443" s="7" t="s">
        <v>22294</v>
      </c>
      <c r="D4443" s="7" t="s">
        <v>22295</v>
      </c>
      <c r="E4443" s="12" t="str">
        <f>HYPERLINK("https://twitter.com/kursat_noyan/status/1181869032724733952","1181869032724733952")</f>
        <v>1181869032724733952</v>
      </c>
      <c r="F4443" s="8"/>
      <c r="G4443" s="14" t="s">
        <v>22296</v>
      </c>
      <c r="H4443" s="8"/>
      <c r="I4443" s="15">
        <v>2</v>
      </c>
      <c r="J4443" s="15">
        <v>15</v>
      </c>
      <c r="K4443" s="12" t="str">
        <f>HYPERLINK("https://mobile.twitter.com","Twitter Web App")</f>
        <v>Twitter Web App</v>
      </c>
      <c r="L4443" s="16">
        <v>4041</v>
      </c>
      <c r="M4443" s="16">
        <v>2193</v>
      </c>
      <c r="N4443" s="16">
        <v>3</v>
      </c>
      <c r="O4443" s="17"/>
      <c r="P4443" s="18">
        <v>41625.684432870374</v>
      </c>
      <c r="Q4443" s="7"/>
      <c r="R4443" s="7" t="s">
        <v>22297</v>
      </c>
      <c r="S4443" s="14" t="s">
        <v>22298</v>
      </c>
      <c r="T4443" s="8"/>
      <c r="U4443" s="19" t="str">
        <f>HYPERLINK("https://pbs.twimg.com/profile_images/1099996939205136384/nfaiBuu3.png","View")</f>
        <v>View</v>
      </c>
      <c r="V4443" s="8"/>
      <c r="W4443" s="8"/>
      <c r="X4443" s="8"/>
      <c r="Y4443" s="8"/>
      <c r="Z4443" s="8"/>
    </row>
    <row r="4444" spans="1:26" ht="12.75">
      <c r="A4444" s="11">
        <v>43747.116759259261</v>
      </c>
      <c r="B4444" s="12" t="str">
        <f>HYPERLINK("https://twitter.com/karavanabuum","@karavanabuum")</f>
        <v>@karavanabuum</v>
      </c>
      <c r="C4444" s="7" t="s">
        <v>2327</v>
      </c>
      <c r="D4444" s="7" t="s">
        <v>22299</v>
      </c>
      <c r="E4444" s="12" t="str">
        <f>HYPERLINK("https://twitter.com/karavanabuum/status/1181868941897076736","1181868941897076736")</f>
        <v>1181868941897076736</v>
      </c>
      <c r="F4444" s="15"/>
      <c r="G4444" s="7"/>
      <c r="H4444" s="8"/>
      <c r="I4444" s="15">
        <v>0</v>
      </c>
      <c r="J4444" s="15">
        <v>2</v>
      </c>
      <c r="K4444" s="12" t="str">
        <f>HYPERLINK("http://twitter.com/download/iphone","Twitter for iPhone")</f>
        <v>Twitter for iPhone</v>
      </c>
      <c r="L4444" s="16">
        <v>1127</v>
      </c>
      <c r="M4444" s="16">
        <v>389</v>
      </c>
      <c r="N4444" s="16">
        <v>1</v>
      </c>
      <c r="O4444" s="17"/>
      <c r="P4444" s="18">
        <v>42931.691111111111</v>
      </c>
      <c r="Q4444" s="7" t="s">
        <v>313</v>
      </c>
      <c r="R4444" s="7"/>
      <c r="S4444" s="8"/>
      <c r="T4444" s="8"/>
      <c r="U4444" s="19" t="str">
        <f>HYPERLINK("https://pbs.twimg.com/profile_images/1175819560441778177/mdCxNh8B.jpg","View")</f>
        <v>View</v>
      </c>
      <c r="V4444" s="8"/>
      <c r="W4444" s="8"/>
      <c r="X4444" s="8"/>
      <c r="Y4444" s="8"/>
      <c r="Z4444" s="8"/>
    </row>
    <row r="4445" spans="1:26" ht="12.75">
      <c r="A4445" s="11">
        <v>43747.116747685184</v>
      </c>
      <c r="B4445" s="12" t="str">
        <f>HYPERLINK("https://twitter.com/BurkayEdis6","@BurkayEdis6")</f>
        <v>@BurkayEdis6</v>
      </c>
      <c r="C4445" s="7" t="s">
        <v>22300</v>
      </c>
      <c r="D4445" s="7" t="s">
        <v>22301</v>
      </c>
      <c r="E4445" s="12" t="str">
        <f>HYPERLINK("https://twitter.com/BurkayEdis6/status/1181868938118025217","1181868938118025217")</f>
        <v>1181868938118025217</v>
      </c>
      <c r="F4445" s="8"/>
      <c r="G4445" s="14" t="s">
        <v>22302</v>
      </c>
      <c r="H4445" s="8"/>
      <c r="I4445" s="15">
        <v>0</v>
      </c>
      <c r="J4445" s="15">
        <v>1</v>
      </c>
      <c r="K4445" s="12" t="str">
        <f>HYPERLINK("http://twitter.com","Twitter Web Client")</f>
        <v>Twitter Web Client</v>
      </c>
      <c r="L4445" s="16">
        <v>6</v>
      </c>
      <c r="M4445" s="16">
        <v>0</v>
      </c>
      <c r="N4445" s="16">
        <v>0</v>
      </c>
      <c r="O4445" s="17"/>
      <c r="P4445" s="18">
        <v>43661.131493055553</v>
      </c>
      <c r="Q4445" s="7"/>
      <c r="R4445" s="7"/>
      <c r="S4445" s="8"/>
      <c r="T4445" s="8"/>
      <c r="U4445" s="20" t="s">
        <v>354</v>
      </c>
      <c r="V4445" s="8"/>
      <c r="W4445" s="8"/>
      <c r="X4445" s="8"/>
      <c r="Y4445" s="8"/>
      <c r="Z4445" s="8"/>
    </row>
    <row r="4446" spans="1:26" ht="12.75">
      <c r="A4446" s="11">
        <v>43747.116736111115</v>
      </c>
      <c r="B4446" s="12" t="str">
        <f>HYPERLINK("https://twitter.com/barispinariopr","@barispinariopr")</f>
        <v>@barispinariopr</v>
      </c>
      <c r="C4446" s="7" t="s">
        <v>22303</v>
      </c>
      <c r="D4446" s="7" t="s">
        <v>22304</v>
      </c>
      <c r="E4446" s="12" t="str">
        <f>HYPERLINK("https://twitter.com/barispinariopr/status/1181868934871556096","1181868934871556096")</f>
        <v>1181868934871556096</v>
      </c>
      <c r="F4446" s="14" t="s">
        <v>22305</v>
      </c>
      <c r="G4446" s="14" t="s">
        <v>22306</v>
      </c>
      <c r="H4446" s="8"/>
      <c r="I4446" s="15">
        <v>0</v>
      </c>
      <c r="J4446" s="15">
        <v>1</v>
      </c>
      <c r="K4446" s="12" t="str">
        <f>HYPERLINK("https://mobile.twitter.com","Twitter Web App")</f>
        <v>Twitter Web App</v>
      </c>
      <c r="L4446" s="16">
        <v>289</v>
      </c>
      <c r="M4446" s="16">
        <v>330</v>
      </c>
      <c r="N4446" s="16">
        <v>3</v>
      </c>
      <c r="O4446" s="17"/>
      <c r="P4446" s="18">
        <v>42351.625185185185</v>
      </c>
      <c r="Q4446" s="7"/>
      <c r="R4446" s="7"/>
      <c r="S4446" s="8"/>
      <c r="T4446" s="8"/>
      <c r="U4446" s="19" t="str">
        <f>HYPERLINK("https://pbs.twimg.com/profile_images/1181127118807339009/SMGbZ5T9.jpg","View")</f>
        <v>View</v>
      </c>
      <c r="V4446" s="8"/>
      <c r="W4446" s="8"/>
      <c r="X4446" s="8"/>
      <c r="Y4446" s="8"/>
      <c r="Z4446" s="8"/>
    </row>
    <row r="4447" spans="1:26" ht="12.75">
      <c r="A4447" s="11">
        <v>43747.116701388892</v>
      </c>
      <c r="B4447" s="12" t="str">
        <f>HYPERLINK("https://twitter.com/ANTALYA_41","@ANTALYA_41")</f>
        <v>@ANTALYA_41</v>
      </c>
      <c r="C4447" s="7" t="s">
        <v>22307</v>
      </c>
      <c r="D4447" s="7" t="s">
        <v>22308</v>
      </c>
      <c r="E4447" s="12" t="str">
        <f>HYPERLINK("https://twitter.com/ANTALYA_41/status/1181868922485825536","1181868922485825536")</f>
        <v>1181868922485825536</v>
      </c>
      <c r="F4447" s="8"/>
      <c r="G4447" s="15"/>
      <c r="H4447" s="8"/>
      <c r="I4447" s="15">
        <v>0</v>
      </c>
      <c r="J4447" s="15">
        <v>2</v>
      </c>
      <c r="K4447" s="12" t="str">
        <f>HYPERLINK("http://twitter.com/download/android","Twitter for Android")</f>
        <v>Twitter for Android</v>
      </c>
      <c r="L4447" s="16">
        <v>6363</v>
      </c>
      <c r="M4447" s="16">
        <v>5884</v>
      </c>
      <c r="N4447" s="16">
        <v>1</v>
      </c>
      <c r="O4447" s="17"/>
      <c r="P4447" s="18">
        <v>43537.454594907409</v>
      </c>
      <c r="Q4447" s="7"/>
      <c r="R4447" s="7" t="s">
        <v>22309</v>
      </c>
      <c r="S4447" s="8"/>
      <c r="T4447" s="8"/>
      <c r="U4447" s="19" t="str">
        <f>HYPERLINK("https://pbs.twimg.com/profile_images/1174834583831027712/y2pfpOBh.jpg","View")</f>
        <v>View</v>
      </c>
      <c r="V4447" s="8"/>
      <c r="W4447" s="8"/>
      <c r="X4447" s="8"/>
      <c r="Y4447" s="8"/>
      <c r="Z4447" s="8"/>
    </row>
    <row r="4448" spans="1:26" ht="12.75">
      <c r="A4448" s="11">
        <v>43747.116655092592</v>
      </c>
      <c r="B4448" s="12" t="str">
        <f>HYPERLINK("https://twitter.com/emirbuurak","@emirbuurak")</f>
        <v>@emirbuurak</v>
      </c>
      <c r="C4448" s="7" t="s">
        <v>22310</v>
      </c>
      <c r="D4448" s="7" t="s">
        <v>22311</v>
      </c>
      <c r="E4448" s="12" t="str">
        <f>HYPERLINK("https://twitter.com/emirbuurak/status/1181868905146531840","1181868905146531840")</f>
        <v>1181868905146531840</v>
      </c>
      <c r="F4448" s="8"/>
      <c r="G4448" s="7"/>
      <c r="H4448" s="8"/>
      <c r="I4448" s="15">
        <v>0</v>
      </c>
      <c r="J4448" s="15">
        <v>1</v>
      </c>
      <c r="K4448" s="12" t="str">
        <f>HYPERLINK("http://twitter.com/download/iphone","Twitter for iPhone")</f>
        <v>Twitter for iPhone</v>
      </c>
      <c r="L4448" s="16">
        <v>97</v>
      </c>
      <c r="M4448" s="16">
        <v>99</v>
      </c>
      <c r="N4448" s="16">
        <v>0</v>
      </c>
      <c r="O4448" s="17"/>
      <c r="P4448" s="18">
        <v>42705.410277777773</v>
      </c>
      <c r="Q4448" s="7"/>
      <c r="R4448" s="7" t="s">
        <v>22312</v>
      </c>
      <c r="S4448" s="8"/>
      <c r="T4448" s="8"/>
      <c r="U4448" s="19" t="str">
        <f>HYPERLINK("https://pbs.twimg.com/profile_images/1147824752825896961/q6qYO-Rg.jpg","View")</f>
        <v>View</v>
      </c>
      <c r="V4448" s="8"/>
      <c r="W4448" s="8"/>
      <c r="X4448" s="8"/>
      <c r="Y4448" s="8"/>
      <c r="Z4448" s="8"/>
    </row>
    <row r="4449" spans="1:26" ht="12.75">
      <c r="A4449" s="11">
        <v>43747.116655092592</v>
      </c>
      <c r="B4449" s="12" t="str">
        <f>HYPERLINK("https://twitter.com/Svc_Serap","@Svc_Serap")</f>
        <v>@Svc_Serap</v>
      </c>
      <c r="C4449" s="7" t="s">
        <v>22313</v>
      </c>
      <c r="D4449" s="7" t="s">
        <v>22314</v>
      </c>
      <c r="E4449" s="12" t="str">
        <f>HYPERLINK("https://twitter.com/Svc_Serap/status/1181868903510745088","1181868903510745088")</f>
        <v>1181868903510745088</v>
      </c>
      <c r="F4449" s="8"/>
      <c r="G4449" s="7"/>
      <c r="H4449" s="8"/>
      <c r="I4449" s="15">
        <v>0</v>
      </c>
      <c r="J4449" s="15">
        <v>2</v>
      </c>
      <c r="K4449" s="12" t="str">
        <f>HYPERLINK("http://twitter.com/download/android","Twitter for Android")</f>
        <v>Twitter for Android</v>
      </c>
      <c r="L4449" s="16">
        <v>371</v>
      </c>
      <c r="M4449" s="16">
        <v>275</v>
      </c>
      <c r="N4449" s="16">
        <v>0</v>
      </c>
      <c r="O4449" s="17"/>
      <c r="P4449" s="18">
        <v>41902.387523148151</v>
      </c>
      <c r="Q4449" s="7" t="s">
        <v>1567</v>
      </c>
      <c r="R4449" s="7" t="s">
        <v>22315</v>
      </c>
      <c r="S4449" s="8"/>
      <c r="T4449" s="8"/>
      <c r="U4449" s="19" t="str">
        <f>HYPERLINK("https://pbs.twimg.com/profile_images/1181248669938585610/lMGKPy5m.jpg","View")</f>
        <v>View</v>
      </c>
      <c r="V4449" s="8"/>
      <c r="W4449" s="8"/>
      <c r="X4449" s="8"/>
      <c r="Y4449" s="8"/>
      <c r="Z4449" s="8"/>
    </row>
    <row r="4450" spans="1:26" ht="12.75">
      <c r="A4450" s="11">
        <v>43747.116655092592</v>
      </c>
      <c r="B4450" s="12" t="str">
        <f>HYPERLINK("https://twitter.com/TheTrNews","@TheTrNews")</f>
        <v>@TheTrNews</v>
      </c>
      <c r="C4450" s="7" t="s">
        <v>22316</v>
      </c>
      <c r="D4450" s="7" t="s">
        <v>22317</v>
      </c>
      <c r="E4450" s="12" t="str">
        <f>HYPERLINK("https://twitter.com/TheTrNews/status/1181868903376441344","1181868903376441344")</f>
        <v>1181868903376441344</v>
      </c>
      <c r="F4450" s="8"/>
      <c r="G4450" s="14" t="s">
        <v>22318</v>
      </c>
      <c r="H4450" s="8"/>
      <c r="I4450" s="15">
        <v>0</v>
      </c>
      <c r="J4450" s="15">
        <v>0</v>
      </c>
      <c r="K4450" s="12" t="str">
        <f>HYPERLINK("http://twitter.com/download/iphone","Twitter for iPhone")</f>
        <v>Twitter for iPhone</v>
      </c>
      <c r="L4450" s="16">
        <v>1170</v>
      </c>
      <c r="M4450" s="16">
        <v>1439</v>
      </c>
      <c r="N4450" s="16">
        <v>1</v>
      </c>
      <c r="O4450" s="17"/>
      <c r="P4450" s="18">
        <v>43571.212384259255</v>
      </c>
      <c r="Q4450" s="7" t="s">
        <v>200</v>
      </c>
      <c r="R4450" s="7" t="s">
        <v>22319</v>
      </c>
      <c r="S4450" s="8"/>
      <c r="T4450" s="8"/>
      <c r="U4450" s="19" t="str">
        <f>HYPERLINK("https://pbs.twimg.com/profile_images/1181620699460440064/0-fL5nMW.jpg","View")</f>
        <v>View</v>
      </c>
      <c r="V4450" s="8"/>
      <c r="W4450" s="8"/>
      <c r="X4450" s="8"/>
      <c r="Y4450" s="8"/>
      <c r="Z4450" s="8"/>
    </row>
    <row r="4451" spans="1:26" ht="12.75">
      <c r="A4451" s="11">
        <v>43747.116631944446</v>
      </c>
      <c r="B4451" s="12" t="str">
        <f>HYPERLINK("https://twitter.com/EmreUnlu_TM","@EmreUnlu_TM")</f>
        <v>@EmreUnlu_TM</v>
      </c>
      <c r="C4451" s="7" t="s">
        <v>22320</v>
      </c>
      <c r="D4451" s="7" t="s">
        <v>22321</v>
      </c>
      <c r="E4451" s="12" t="str">
        <f>HYPERLINK("https://twitter.com/EmreUnlu_TM/status/1181868893918420992","1181868893918420992")</f>
        <v>1181868893918420992</v>
      </c>
      <c r="F4451" s="15"/>
      <c r="G4451" s="14" t="s">
        <v>22322</v>
      </c>
      <c r="H4451" s="8"/>
      <c r="I4451" s="15">
        <v>0</v>
      </c>
      <c r="J4451" s="15">
        <v>0</v>
      </c>
      <c r="K4451" s="12" t="str">
        <f>HYPERLINK("http://twitter.com/download/iphone","Twitter for iPhone")</f>
        <v>Twitter for iPhone</v>
      </c>
      <c r="L4451" s="16">
        <v>256</v>
      </c>
      <c r="M4451" s="16">
        <v>219</v>
      </c>
      <c r="N4451" s="16">
        <v>0</v>
      </c>
      <c r="O4451" s="17"/>
      <c r="P4451" s="18">
        <v>43263.088229166664</v>
      </c>
      <c r="Q4451" s="7"/>
      <c r="R4451" s="7" t="s">
        <v>22323</v>
      </c>
      <c r="S4451" s="8"/>
      <c r="T4451" s="8"/>
      <c r="U4451" s="19" t="str">
        <f>HYPERLINK("https://pbs.twimg.com/profile_images/1181569723584192520/15zlEjyh.jpg","View")</f>
        <v>View</v>
      </c>
      <c r="V4451" s="8"/>
      <c r="W4451" s="8"/>
      <c r="X4451" s="8"/>
      <c r="Y4451" s="8"/>
      <c r="Z4451" s="8"/>
    </row>
    <row r="4452" spans="1:26" ht="12.75">
      <c r="A4452" s="11">
        <v>43747.116620370369</v>
      </c>
      <c r="B4452" s="12" t="str">
        <f>HYPERLINK("https://twitter.com/benbenleebirim","@benbenleebirim")</f>
        <v>@benbenleebirim</v>
      </c>
      <c r="C4452" s="7" t="s">
        <v>5104</v>
      </c>
      <c r="D4452" s="7" t="s">
        <v>22324</v>
      </c>
      <c r="E4452" s="12" t="str">
        <f>HYPERLINK("https://twitter.com/benbenleebirim/status/1181868891758305281","1181868891758305281")</f>
        <v>1181868891758305281</v>
      </c>
      <c r="F4452" s="8"/>
      <c r="G4452" s="7"/>
      <c r="H4452" s="8"/>
      <c r="I4452" s="15">
        <v>0</v>
      </c>
      <c r="J4452" s="15">
        <v>0</v>
      </c>
      <c r="K4452" s="12" t="str">
        <f>HYPERLINK("http://twitter.com/download/android","Twitter for Android")</f>
        <v>Twitter for Android</v>
      </c>
      <c r="L4452" s="16">
        <v>825</v>
      </c>
      <c r="M4452" s="16">
        <v>781</v>
      </c>
      <c r="N4452" s="16">
        <v>1</v>
      </c>
      <c r="O4452" s="17"/>
      <c r="P4452" s="18">
        <v>42197.349108796298</v>
      </c>
      <c r="Q4452" s="7" t="s">
        <v>860</v>
      </c>
      <c r="R4452" s="7"/>
      <c r="S4452" s="14" t="s">
        <v>22325</v>
      </c>
      <c r="T4452" s="8"/>
      <c r="U4452" s="19" t="str">
        <f>HYPERLINK("https://pbs.twimg.com/profile_images/1180053500056748032/Y44LrKkg.jpg","View")</f>
        <v>View</v>
      </c>
      <c r="V4452" s="8"/>
      <c r="W4452" s="8"/>
      <c r="X4452" s="8"/>
      <c r="Y4452" s="8"/>
      <c r="Z4452" s="8"/>
    </row>
    <row r="4453" spans="1:26" ht="12.75">
      <c r="A4453" s="11">
        <v>43747.116608796292</v>
      </c>
      <c r="B4453" s="12" t="str">
        <f>HYPERLINK("https://twitter.com/cengaverhaber","@cengaverhaber")</f>
        <v>@cengaverhaber</v>
      </c>
      <c r="C4453" s="7" t="s">
        <v>22326</v>
      </c>
      <c r="D4453" s="7" t="s">
        <v>22327</v>
      </c>
      <c r="E4453" s="12" t="str">
        <f>HYPERLINK("https://twitter.com/cengaverhaber/status/1181868887765336064","1181868887765336064")</f>
        <v>1181868887765336064</v>
      </c>
      <c r="F4453" s="8"/>
      <c r="G4453" s="14" t="s">
        <v>22328</v>
      </c>
      <c r="H4453" s="8"/>
      <c r="I4453" s="15">
        <v>0</v>
      </c>
      <c r="J4453" s="15">
        <v>3</v>
      </c>
      <c r="K4453" s="12" t="str">
        <f>HYPERLINK("http://twitter.com/download/android","Twitter for Android")</f>
        <v>Twitter for Android</v>
      </c>
      <c r="L4453" s="16">
        <v>210</v>
      </c>
      <c r="M4453" s="16">
        <v>172</v>
      </c>
      <c r="N4453" s="16">
        <v>0</v>
      </c>
      <c r="O4453" s="17"/>
      <c r="P4453" s="18">
        <v>42550.502326388887</v>
      </c>
      <c r="Q4453" s="7" t="s">
        <v>313</v>
      </c>
      <c r="R4453" s="21" t="s">
        <v>22329</v>
      </c>
      <c r="S4453" s="8"/>
      <c r="T4453" s="8"/>
      <c r="U4453" s="19" t="str">
        <f>HYPERLINK("https://pbs.twimg.com/profile_images/1176853346067656706/siwbns2m.jpg","View")</f>
        <v>View</v>
      </c>
      <c r="V4453" s="8"/>
      <c r="W4453" s="8"/>
      <c r="X4453" s="8"/>
      <c r="Y4453" s="8"/>
      <c r="Z4453" s="8"/>
    </row>
    <row r="4454" spans="1:26" ht="12.75">
      <c r="A4454" s="11">
        <v>43747.116539351853</v>
      </c>
      <c r="B4454" s="12" t="str">
        <f>HYPERLINK("https://twitter.com/Emir541905","@Emir541905")</f>
        <v>@Emir541905</v>
      </c>
      <c r="C4454" s="7" t="s">
        <v>22330</v>
      </c>
      <c r="D4454" s="7" t="s">
        <v>160</v>
      </c>
      <c r="E4454" s="12" t="str">
        <f>HYPERLINK("https://twitter.com/Emir541905/status/1181868862318534656","1181868862318534656")</f>
        <v>1181868862318534656</v>
      </c>
      <c r="F4454" s="8"/>
      <c r="G4454" s="7"/>
      <c r="H4454" s="8"/>
      <c r="I4454" s="15">
        <v>0</v>
      </c>
      <c r="J4454" s="15">
        <v>0</v>
      </c>
      <c r="K4454" s="12" t="str">
        <f>HYPERLINK("https://mobile.twitter.com","Twitter Web App")</f>
        <v>Twitter Web App</v>
      </c>
      <c r="L4454" s="16">
        <v>4</v>
      </c>
      <c r="M4454" s="16">
        <v>9</v>
      </c>
      <c r="N4454" s="16">
        <v>0</v>
      </c>
      <c r="O4454" s="17"/>
      <c r="P4454" s="18">
        <v>41921.245717592596</v>
      </c>
      <c r="Q4454" s="7" t="s">
        <v>200</v>
      </c>
      <c r="R4454" s="7" t="s">
        <v>6539</v>
      </c>
      <c r="S4454" s="8"/>
      <c r="T4454" s="8"/>
      <c r="U4454" s="19" t="str">
        <f>HYPERLINK("https://pbs.twimg.com/profile_images/1144383015549919232/7IlZP4ks.jpg","View")</f>
        <v>View</v>
      </c>
      <c r="V4454" s="8"/>
      <c r="W4454" s="8"/>
      <c r="X4454" s="8"/>
      <c r="Y4454" s="8"/>
      <c r="Z4454" s="8"/>
    </row>
    <row r="4455" spans="1:26" ht="12.75">
      <c r="A4455" s="11">
        <v>43747.116469907407</v>
      </c>
      <c r="B4455" s="12" t="str">
        <f>HYPERLINK("https://twitter.com/Yakamoz_3458","@Yakamoz_3458")</f>
        <v>@Yakamoz_3458</v>
      </c>
      <c r="C4455" s="7" t="s">
        <v>22331</v>
      </c>
      <c r="D4455" s="7" t="s">
        <v>22332</v>
      </c>
      <c r="E4455" s="12" t="str">
        <f>HYPERLINK("https://twitter.com/Yakamoz_3458/status/1181868838981386240","1181868838981386240")</f>
        <v>1181868838981386240</v>
      </c>
      <c r="F4455" s="8"/>
      <c r="G4455" s="14" t="s">
        <v>22333</v>
      </c>
      <c r="H4455" s="8"/>
      <c r="I4455" s="15">
        <v>16</v>
      </c>
      <c r="J4455" s="15">
        <v>22</v>
      </c>
      <c r="K4455" s="12" t="str">
        <f>HYPERLINK("http://twitter.com/download/android","Twitter for Android")</f>
        <v>Twitter for Android</v>
      </c>
      <c r="L4455" s="16">
        <v>1565</v>
      </c>
      <c r="M4455" s="16">
        <v>2312</v>
      </c>
      <c r="N4455" s="16">
        <v>0</v>
      </c>
      <c r="O4455" s="17"/>
      <c r="P4455" s="18">
        <v>43677.095578703702</v>
      </c>
      <c r="Q4455" s="7"/>
      <c r="R4455" s="7" t="s">
        <v>22334</v>
      </c>
      <c r="S4455" s="15"/>
      <c r="T4455" s="8"/>
      <c r="U4455" s="19" t="str">
        <f>HYPERLINK("https://pbs.twimg.com/profile_images/1167807584507695112/CsmcqH8D.jpg","View")</f>
        <v>View</v>
      </c>
      <c r="V4455" s="8"/>
      <c r="W4455" s="8"/>
      <c r="X4455" s="8"/>
      <c r="Y4455" s="8"/>
      <c r="Z4455" s="8"/>
    </row>
    <row r="4456" spans="1:26" ht="12.75">
      <c r="A4456" s="11">
        <v>43747.11645833333</v>
      </c>
      <c r="B4456" s="12" t="str">
        <f>HYPERLINK("https://twitter.com/krmcandan","@krmcandan")</f>
        <v>@krmcandan</v>
      </c>
      <c r="C4456" s="7" t="s">
        <v>22335</v>
      </c>
      <c r="D4456" s="7" t="s">
        <v>22336</v>
      </c>
      <c r="E4456" s="12" t="str">
        <f>HYPERLINK("https://twitter.com/krmcandan/status/1181868834908712960","1181868834908712960")</f>
        <v>1181868834908712960</v>
      </c>
      <c r="F4456" s="8"/>
      <c r="G4456" s="15"/>
      <c r="H4456" s="8"/>
      <c r="I4456" s="15">
        <v>1</v>
      </c>
      <c r="J4456" s="15">
        <v>2</v>
      </c>
      <c r="K4456" s="12" t="str">
        <f>HYPERLINK("http://twitter.com/download/iphone","Twitter for iPhone")</f>
        <v>Twitter for iPhone</v>
      </c>
      <c r="L4456" s="16">
        <v>795</v>
      </c>
      <c r="M4456" s="16">
        <v>1092</v>
      </c>
      <c r="N4456" s="16">
        <v>0</v>
      </c>
      <c r="O4456" s="17"/>
      <c r="P4456" s="18">
        <v>41159.165497685186</v>
      </c>
      <c r="Q4456" s="7" t="s">
        <v>200</v>
      </c>
      <c r="R4456" s="7" t="s">
        <v>22337</v>
      </c>
      <c r="S4456" s="14" t="s">
        <v>22338</v>
      </c>
      <c r="T4456" s="8"/>
      <c r="U4456" s="19" t="str">
        <f>HYPERLINK("https://pbs.twimg.com/profile_images/1174618975604563968/osL1Zqx4.jpg","View")</f>
        <v>View</v>
      </c>
      <c r="V4456" s="8"/>
      <c r="W4456" s="8"/>
      <c r="X4456" s="8"/>
      <c r="Y4456" s="8"/>
      <c r="Z4456" s="8"/>
    </row>
    <row r="4457" spans="1:26" ht="12.75">
      <c r="A4457" s="11">
        <v>43747.116400462968</v>
      </c>
      <c r="B4457" s="12" t="str">
        <f>HYPERLINK("https://twitter.com/ibocanhistoryx","@ibocanhistoryx")</f>
        <v>@ibocanhistoryx</v>
      </c>
      <c r="C4457" s="7" t="s">
        <v>22339</v>
      </c>
      <c r="D4457" s="7" t="s">
        <v>22340</v>
      </c>
      <c r="E4457" s="12" t="str">
        <f>HYPERLINK("https://twitter.com/ibocanhistoryx/status/1181868811563257856","1181868811563257856")</f>
        <v>1181868811563257856</v>
      </c>
      <c r="F4457" s="15"/>
      <c r="G4457" s="15"/>
      <c r="H4457" s="8"/>
      <c r="I4457" s="15">
        <v>0</v>
      </c>
      <c r="J4457" s="15">
        <v>0</v>
      </c>
      <c r="K4457" s="12" t="str">
        <f>HYPERLINK("http://twitter.com/download/android","Twitter for Android")</f>
        <v>Twitter for Android</v>
      </c>
      <c r="L4457" s="16">
        <v>87</v>
      </c>
      <c r="M4457" s="16">
        <v>419</v>
      </c>
      <c r="N4457" s="16">
        <v>0</v>
      </c>
      <c r="O4457" s="17"/>
      <c r="P4457" s="18">
        <v>42605.577499999999</v>
      </c>
      <c r="Q4457" s="7"/>
      <c r="R4457" s="7" t="s">
        <v>22341</v>
      </c>
      <c r="S4457" s="8"/>
      <c r="T4457" s="8"/>
      <c r="U4457" s="19" t="str">
        <f>HYPERLINK("https://pbs.twimg.com/profile_images/1162829186886750209/c8Z0SY4f.jpg","View")</f>
        <v>View</v>
      </c>
      <c r="V4457" s="8"/>
      <c r="W4457" s="8"/>
      <c r="X4457" s="8"/>
      <c r="Y4457" s="8"/>
      <c r="Z4457" s="8"/>
    </row>
    <row r="4458" spans="1:26" ht="12.75">
      <c r="A4458" s="11">
        <v>43747.116354166668</v>
      </c>
      <c r="B4458" s="12" t="str">
        <f>HYPERLINK("https://twitter.com/Bay__muhalif","@Bay__muhalif")</f>
        <v>@Bay__muhalif</v>
      </c>
      <c r="C4458" s="7" t="s">
        <v>22342</v>
      </c>
      <c r="D4458" s="7" t="s">
        <v>22343</v>
      </c>
      <c r="E4458" s="12" t="str">
        <f>HYPERLINK("https://twitter.com/Bay__muhalif/status/1181868796631539712","1181868796631539712")</f>
        <v>1181868796631539712</v>
      </c>
      <c r="F4458" s="14" t="s">
        <v>22305</v>
      </c>
      <c r="G4458" s="14" t="s">
        <v>22306</v>
      </c>
      <c r="H4458" s="8"/>
      <c r="I4458" s="15">
        <v>0</v>
      </c>
      <c r="J4458" s="15">
        <v>0</v>
      </c>
      <c r="K4458" s="12" t="str">
        <f>HYPERLINK("http://twitter.com/download/android","Twitter for Android")</f>
        <v>Twitter for Android</v>
      </c>
      <c r="L4458" s="16">
        <v>5907</v>
      </c>
      <c r="M4458" s="16">
        <v>49</v>
      </c>
      <c r="N4458" s="16">
        <v>3</v>
      </c>
      <c r="O4458" s="17"/>
      <c r="P4458" s="18">
        <v>41343.068240740744</v>
      </c>
      <c r="Q4458" s="7" t="s">
        <v>287</v>
      </c>
      <c r="R4458" s="7" t="s">
        <v>22344</v>
      </c>
      <c r="S4458" s="8"/>
      <c r="T4458" s="8"/>
      <c r="U4458" s="19" t="str">
        <f>HYPERLINK("https://pbs.twimg.com/profile_images/1176881965116657664/9XWHNy2Z.jpg","View")</f>
        <v>View</v>
      </c>
      <c r="V4458" s="8"/>
      <c r="W4458" s="8"/>
      <c r="X4458" s="8"/>
      <c r="Y4458" s="8"/>
      <c r="Z4458" s="8"/>
    </row>
    <row r="4459" spans="1:26" ht="12.75">
      <c r="A4459" s="11">
        <v>43747.116342592592</v>
      </c>
      <c r="B4459" s="12" t="str">
        <f>HYPERLINK("https://twitter.com/AloneSoul21","@AloneSoul21")</f>
        <v>@AloneSoul21</v>
      </c>
      <c r="C4459" s="7" t="s">
        <v>22345</v>
      </c>
      <c r="D4459" s="7" t="s">
        <v>22346</v>
      </c>
      <c r="E4459" s="12" t="str">
        <f>HYPERLINK("https://twitter.com/AloneSoul21/status/1181868789778063360","1181868789778063360")</f>
        <v>1181868789778063360</v>
      </c>
      <c r="F4459" s="8"/>
      <c r="G4459" s="15"/>
      <c r="H4459" s="8"/>
      <c r="I4459" s="15">
        <v>0</v>
      </c>
      <c r="J4459" s="15">
        <v>0</v>
      </c>
      <c r="K4459" s="12" t="str">
        <f>HYPERLINK("http://twitter.com/download/android","Twitter for Android")</f>
        <v>Twitter for Android</v>
      </c>
      <c r="L4459" s="16">
        <v>95</v>
      </c>
      <c r="M4459" s="16">
        <v>338</v>
      </c>
      <c r="N4459" s="16">
        <v>0</v>
      </c>
      <c r="O4459" s="17"/>
      <c r="P4459" s="18">
        <v>43349.13354166667</v>
      </c>
      <c r="Q4459" s="7" t="s">
        <v>69</v>
      </c>
      <c r="R4459" s="7"/>
      <c r="S4459" s="15"/>
      <c r="T4459" s="8"/>
      <c r="U4459" s="19" t="str">
        <f>HYPERLINK("https://pbs.twimg.com/profile_images/1162801648919547904/cvPJ2Juv.jpg","View")</f>
        <v>View</v>
      </c>
      <c r="V4459" s="8"/>
      <c r="W4459" s="8"/>
      <c r="X4459" s="8"/>
      <c r="Y4459" s="8"/>
      <c r="Z4459" s="8"/>
    </row>
    <row r="4460" spans="1:26" ht="12.75">
      <c r="A4460" s="11">
        <v>43747.116273148145</v>
      </c>
      <c r="B4460" s="12" t="str">
        <f>HYPERLINK("https://twitter.com/MesudeP","@MesudeP")</f>
        <v>@MesudeP</v>
      </c>
      <c r="C4460" s="7" t="s">
        <v>22347</v>
      </c>
      <c r="D4460" s="7" t="s">
        <v>22348</v>
      </c>
      <c r="E4460" s="12" t="str">
        <f>HYPERLINK("https://twitter.com/MesudeP/status/1181868767741190150","1181868767741190150")</f>
        <v>1181868767741190150</v>
      </c>
      <c r="F4460" s="8"/>
      <c r="G4460" s="14" t="s">
        <v>22349</v>
      </c>
      <c r="H4460" s="8"/>
      <c r="I4460" s="15">
        <v>1</v>
      </c>
      <c r="J4460" s="15">
        <v>0</v>
      </c>
      <c r="K4460" s="12" t="str">
        <f>HYPERLINK("http://twitter.com","Twitter Web Client")</f>
        <v>Twitter Web Client</v>
      </c>
      <c r="L4460" s="16">
        <v>12</v>
      </c>
      <c r="M4460" s="16">
        <v>0</v>
      </c>
      <c r="N4460" s="16">
        <v>0</v>
      </c>
      <c r="O4460" s="17"/>
      <c r="P4460" s="18">
        <v>43683.809201388889</v>
      </c>
      <c r="Q4460" s="7" t="s">
        <v>1748</v>
      </c>
      <c r="R4460" s="7" t="s">
        <v>22350</v>
      </c>
      <c r="S4460" s="8"/>
      <c r="T4460" s="8"/>
      <c r="U4460" s="19" t="str">
        <f>HYPERLINK("https://pbs.twimg.com/profile_images/1167217421993877504/WCX957PA.jpg","View")</f>
        <v>View</v>
      </c>
      <c r="V4460" s="8"/>
      <c r="W4460" s="8"/>
      <c r="X4460" s="8"/>
      <c r="Y4460" s="8"/>
      <c r="Z4460" s="8"/>
    </row>
    <row r="4461" spans="1:26" ht="12.75">
      <c r="A4461" s="11">
        <v>43747.116273148145</v>
      </c>
      <c r="B4461" s="12" t="str">
        <f>HYPERLINK("https://twitter.com/muhi61","@muhi61")</f>
        <v>@muhi61</v>
      </c>
      <c r="C4461" s="7" t="s">
        <v>22351</v>
      </c>
      <c r="D4461" s="7" t="s">
        <v>160</v>
      </c>
      <c r="E4461" s="12" t="str">
        <f>HYPERLINK("https://twitter.com/muhi61/status/1181868767720148994","1181868767720148994")</f>
        <v>1181868767720148994</v>
      </c>
      <c r="F4461" s="8"/>
      <c r="G4461" s="7"/>
      <c r="H4461" s="8"/>
      <c r="I4461" s="15">
        <v>0</v>
      </c>
      <c r="J4461" s="15">
        <v>0</v>
      </c>
      <c r="K4461" s="12" t="str">
        <f>HYPERLINK("http://twitter.com/download/iphone","Twitter for iPhone")</f>
        <v>Twitter for iPhone</v>
      </c>
      <c r="L4461" s="16">
        <v>8</v>
      </c>
      <c r="M4461" s="16">
        <v>46</v>
      </c>
      <c r="N4461" s="16">
        <v>0</v>
      </c>
      <c r="O4461" s="17"/>
      <c r="P4461" s="18">
        <v>43230.64634259259</v>
      </c>
      <c r="Q4461" s="7" t="s">
        <v>22352</v>
      </c>
      <c r="R4461" s="7" t="s">
        <v>22353</v>
      </c>
      <c r="S4461" s="8"/>
      <c r="T4461" s="8"/>
      <c r="U4461" s="19" t="str">
        <f>HYPERLINK("https://pbs.twimg.com/profile_images/994707870301196288/i4S6I5jS.jpg","View")</f>
        <v>View</v>
      </c>
      <c r="V4461" s="8"/>
      <c r="W4461" s="8"/>
      <c r="X4461" s="8"/>
      <c r="Y4461" s="8"/>
      <c r="Z4461" s="8"/>
    </row>
    <row r="4462" spans="1:26" ht="12.75">
      <c r="A4462" s="11">
        <v>43747.116261574076</v>
      </c>
      <c r="B4462" s="12" t="str">
        <f>HYPERLINK("https://twitter.com/FrozenReis","@FrozenReis")</f>
        <v>@FrozenReis</v>
      </c>
      <c r="C4462" s="7" t="s">
        <v>22354</v>
      </c>
      <c r="D4462" s="7" t="s">
        <v>22355</v>
      </c>
      <c r="E4462" s="12" t="str">
        <f>HYPERLINK("https://twitter.com/FrozenReis/status/1181868762552766464","1181868762552766464")</f>
        <v>1181868762552766464</v>
      </c>
      <c r="F4462" s="8"/>
      <c r="G4462" s="14" t="s">
        <v>22356</v>
      </c>
      <c r="H4462" s="8"/>
      <c r="I4462" s="15">
        <v>0</v>
      </c>
      <c r="J4462" s="15">
        <v>0</v>
      </c>
      <c r="K4462" s="12" t="str">
        <f>HYPERLINK("http://twitter.com/download/iphone","Twitter for iPhone")</f>
        <v>Twitter for iPhone</v>
      </c>
      <c r="L4462" s="16">
        <v>94</v>
      </c>
      <c r="M4462" s="16">
        <v>190</v>
      </c>
      <c r="N4462" s="16">
        <v>1</v>
      </c>
      <c r="O4462" s="17"/>
      <c r="P4462" s="18">
        <v>43653.357789351852</v>
      </c>
      <c r="Q4462" s="7"/>
      <c r="R4462" s="7"/>
      <c r="S4462" s="8"/>
      <c r="T4462" s="8"/>
      <c r="U4462" s="19" t="str">
        <f>HYPERLINK("https://pbs.twimg.com/profile_images/1181607924029886464/j9gmY1_1.jpg","View")</f>
        <v>View</v>
      </c>
      <c r="V4462" s="8"/>
      <c r="W4462" s="8"/>
      <c r="X4462" s="8"/>
      <c r="Y4462" s="8"/>
      <c r="Z4462" s="8"/>
    </row>
    <row r="4463" spans="1:26" ht="12.75">
      <c r="A4463" s="11">
        <v>43747.116249999999</v>
      </c>
      <c r="B4463" s="12" t="str">
        <f>HYPERLINK("https://twitter.com/Ztrk__53","@Ztrk__53")</f>
        <v>@Ztrk__53</v>
      </c>
      <c r="C4463" s="7" t="s">
        <v>22357</v>
      </c>
      <c r="D4463" s="7" t="s">
        <v>22358</v>
      </c>
      <c r="E4463" s="12" t="str">
        <f>HYPERLINK("https://twitter.com/Ztrk__53/status/1181868758358351873","1181868758358351873")</f>
        <v>1181868758358351873</v>
      </c>
      <c r="F4463" s="8"/>
      <c r="G4463" s="14" t="s">
        <v>22359</v>
      </c>
      <c r="H4463" s="8"/>
      <c r="I4463" s="15">
        <v>3</v>
      </c>
      <c r="J4463" s="15">
        <v>6</v>
      </c>
      <c r="K4463" s="12" t="str">
        <f>HYPERLINK("http://twitter.com/download/android","Twitter for Android")</f>
        <v>Twitter for Android</v>
      </c>
      <c r="L4463" s="16">
        <v>19857</v>
      </c>
      <c r="M4463" s="16">
        <v>10943</v>
      </c>
      <c r="N4463" s="16">
        <v>14</v>
      </c>
      <c r="O4463" s="17"/>
      <c r="P4463" s="18">
        <v>41863.562951388885</v>
      </c>
      <c r="Q4463" s="7" t="s">
        <v>22360</v>
      </c>
      <c r="R4463" s="7" t="s">
        <v>22361</v>
      </c>
      <c r="S4463" s="8"/>
      <c r="T4463" s="8"/>
      <c r="U4463" s="19" t="str">
        <f>HYPERLINK("https://pbs.twimg.com/profile_images/1162096271978577922/hV766VZf.jpg","View")</f>
        <v>View</v>
      </c>
      <c r="V4463" s="8"/>
      <c r="W4463" s="8"/>
      <c r="X4463" s="8"/>
      <c r="Y4463" s="8"/>
      <c r="Z4463" s="8"/>
    </row>
    <row r="4464" spans="1:26" ht="12.75">
      <c r="A4464" s="11">
        <v>43747.116238425922</v>
      </c>
      <c r="B4464" s="12" t="str">
        <f>HYPERLINK("https://twitter.com/azhab_4","@azhab_4")</f>
        <v>@azhab_4</v>
      </c>
      <c r="C4464" s="7" t="s">
        <v>22362</v>
      </c>
      <c r="D4464" s="7" t="s">
        <v>22363</v>
      </c>
      <c r="E4464" s="12" t="str">
        <f>HYPERLINK("https://twitter.com/azhab_4/status/1181868751777603584","1181868751777603584")</f>
        <v>1181868751777603584</v>
      </c>
      <c r="F4464" s="8"/>
      <c r="G4464" s="15"/>
      <c r="H4464" s="8"/>
      <c r="I4464" s="15">
        <v>0</v>
      </c>
      <c r="J4464" s="15">
        <v>0</v>
      </c>
      <c r="K4464" s="12" t="str">
        <f>HYPERLINK("https://mobile.twitter.com","Twitter Web App")</f>
        <v>Twitter Web App</v>
      </c>
      <c r="L4464" s="16">
        <v>15</v>
      </c>
      <c r="M4464" s="16">
        <v>92</v>
      </c>
      <c r="N4464" s="16">
        <v>0</v>
      </c>
      <c r="O4464" s="17"/>
      <c r="P4464" s="18">
        <v>43710.967349537037</v>
      </c>
      <c r="Q4464" s="7"/>
      <c r="R4464" s="7" t="s">
        <v>22364</v>
      </c>
      <c r="S4464" s="8"/>
      <c r="T4464" s="8"/>
      <c r="U4464" s="19" t="str">
        <f>HYPERLINK("https://pbs.twimg.com/profile_images/1181497055698722816/YxHc7uay.jpg","View")</f>
        <v>View</v>
      </c>
      <c r="V4464" s="8"/>
      <c r="W4464" s="8"/>
      <c r="X4464" s="8"/>
      <c r="Y4464" s="8"/>
      <c r="Z4464" s="8"/>
    </row>
    <row r="4465" spans="1:26" ht="12.75">
      <c r="A4465" s="11">
        <v>43747.116226851853</v>
      </c>
      <c r="B4465" s="12" t="str">
        <f>HYPERLINK("https://twitter.com/58_Akbulut_58","@58_Akbulut_58")</f>
        <v>@58_Akbulut_58</v>
      </c>
      <c r="C4465" s="7" t="s">
        <v>22365</v>
      </c>
      <c r="D4465" s="7" t="s">
        <v>160</v>
      </c>
      <c r="E4465" s="12" t="str">
        <f>HYPERLINK("https://twitter.com/58_Akbulut_58/status/1181868748233424896","1181868748233424896")</f>
        <v>1181868748233424896</v>
      </c>
      <c r="F4465" s="8"/>
      <c r="G4465" s="14" t="s">
        <v>22366</v>
      </c>
      <c r="H4465" s="8"/>
      <c r="I4465" s="15">
        <v>0</v>
      </c>
      <c r="J4465" s="15">
        <v>0</v>
      </c>
      <c r="K4465" s="12" t="str">
        <f>HYPERLINK("http://twitter.com/download/android","Twitter for Android")</f>
        <v>Twitter for Android</v>
      </c>
      <c r="L4465" s="16">
        <v>16</v>
      </c>
      <c r="M4465" s="16">
        <v>38</v>
      </c>
      <c r="N4465" s="16">
        <v>0</v>
      </c>
      <c r="O4465" s="17"/>
      <c r="P4465" s="18">
        <v>40708.530601851853</v>
      </c>
      <c r="Q4465" s="7" t="s">
        <v>8228</v>
      </c>
      <c r="R4465" s="7"/>
      <c r="S4465" s="8"/>
      <c r="T4465" s="8"/>
      <c r="U4465" s="19" t="str">
        <f>HYPERLINK("https://pbs.twimg.com/profile_images/418245054927343616/IEWgSlDe.jpeg","View")</f>
        <v>View</v>
      </c>
      <c r="V4465" s="8"/>
      <c r="W4465" s="8"/>
      <c r="X4465" s="8"/>
      <c r="Y4465" s="8"/>
      <c r="Z4465" s="8"/>
    </row>
    <row r="4466" spans="1:26" ht="12.75">
      <c r="A4466" s="11">
        <v>43747.11618055556</v>
      </c>
      <c r="B4466" s="12" t="str">
        <f>HYPERLINK("https://twitter.com/tameresmen1","@tameresmen1")</f>
        <v>@tameresmen1</v>
      </c>
      <c r="C4466" s="7" t="s">
        <v>22367</v>
      </c>
      <c r="D4466" s="7" t="s">
        <v>22368</v>
      </c>
      <c r="E4466" s="12" t="str">
        <f>HYPERLINK("https://twitter.com/tameresmen1/status/1181868732173504513","1181868732173504513")</f>
        <v>1181868732173504513</v>
      </c>
      <c r="F4466" s="15"/>
      <c r="G4466" s="15"/>
      <c r="H4466" s="8"/>
      <c r="I4466" s="15">
        <v>0</v>
      </c>
      <c r="J4466" s="15">
        <v>0</v>
      </c>
      <c r="K4466" s="12" t="str">
        <f>HYPERLINK("http://twitter.com/download/android","Twitter for Android")</f>
        <v>Twitter for Android</v>
      </c>
      <c r="L4466" s="16">
        <v>7</v>
      </c>
      <c r="M4466" s="16">
        <v>54</v>
      </c>
      <c r="N4466" s="16">
        <v>0</v>
      </c>
      <c r="O4466" s="17"/>
      <c r="P4466" s="18">
        <v>43596.472581018519</v>
      </c>
      <c r="Q4466" s="7"/>
      <c r="R4466" s="7"/>
      <c r="S4466" s="8"/>
      <c r="T4466" s="8"/>
      <c r="U4466" s="19" t="str">
        <f>HYPERLINK("https://pbs.twimg.com/profile_images/1127278094757388289/q7VFjkKF.jpg","View")</f>
        <v>View</v>
      </c>
      <c r="V4466" s="8"/>
      <c r="W4466" s="8"/>
      <c r="X4466" s="8"/>
      <c r="Y4466" s="8"/>
      <c r="Z4466" s="8"/>
    </row>
    <row r="4467" spans="1:26" ht="12.75">
      <c r="A4467" s="11">
        <v>43747.116157407407</v>
      </c>
      <c r="B4467" s="12" t="str">
        <f>HYPERLINK("https://twitter.com/servertahirlerr","@servertahirlerr")</f>
        <v>@servertahirlerr</v>
      </c>
      <c r="C4467" s="7" t="s">
        <v>22369</v>
      </c>
      <c r="D4467" s="7" t="s">
        <v>22370</v>
      </c>
      <c r="E4467" s="12" t="str">
        <f>HYPERLINK("https://twitter.com/servertahirlerr/status/1181868724665683969","1181868724665683969")</f>
        <v>1181868724665683969</v>
      </c>
      <c r="F4467" s="8"/>
      <c r="G4467" s="14" t="s">
        <v>22371</v>
      </c>
      <c r="H4467" s="8"/>
      <c r="I4467" s="15">
        <v>0</v>
      </c>
      <c r="J4467" s="15">
        <v>1</v>
      </c>
      <c r="K4467" s="12" t="str">
        <f>HYPERLINK("http://twitter.com/download/android","Twitter for Android")</f>
        <v>Twitter for Android</v>
      </c>
      <c r="L4467" s="16">
        <v>77</v>
      </c>
      <c r="M4467" s="16">
        <v>96</v>
      </c>
      <c r="N4467" s="16">
        <v>1</v>
      </c>
      <c r="O4467" s="17"/>
      <c r="P4467" s="18">
        <v>41159.578067129631</v>
      </c>
      <c r="Q4467" s="7" t="s">
        <v>146</v>
      </c>
      <c r="R4467" s="7" t="s">
        <v>22372</v>
      </c>
      <c r="S4467" s="14" t="s">
        <v>22373</v>
      </c>
      <c r="T4467" s="8"/>
      <c r="U4467" s="19" t="str">
        <f>HYPERLINK("https://pbs.twimg.com/profile_images/1175067833258131457/1QgXf70z.jpg","View")</f>
        <v>View</v>
      </c>
      <c r="V4467" s="8"/>
      <c r="W4467" s="8"/>
      <c r="X4467" s="8"/>
      <c r="Y4467" s="8"/>
      <c r="Z4467" s="8"/>
    </row>
    <row r="4468" spans="1:26" ht="12.75">
      <c r="A4468" s="11">
        <v>43747.116157407407</v>
      </c>
      <c r="B4468" s="12" t="str">
        <f>HYPERLINK("https://twitter.com/kurtuluskilinc","@kurtuluskilinc")</f>
        <v>@kurtuluskilinc</v>
      </c>
      <c r="C4468" s="7" t="s">
        <v>22374</v>
      </c>
      <c r="D4468" s="7" t="s">
        <v>22375</v>
      </c>
      <c r="E4468" s="12" t="str">
        <f>HYPERLINK("https://twitter.com/kurtuluskilinc/status/1181868722488840192","1181868722488840192")</f>
        <v>1181868722488840192</v>
      </c>
      <c r="F4468" s="14" t="s">
        <v>22376</v>
      </c>
      <c r="G4468" s="14" t="s">
        <v>22377</v>
      </c>
      <c r="H4468" s="8"/>
      <c r="I4468" s="15">
        <v>0</v>
      </c>
      <c r="J4468" s="15">
        <v>0</v>
      </c>
      <c r="K4468" s="12" t="str">
        <f>HYPERLINK("http://twitter.com/download/android","Twitter for Android")</f>
        <v>Twitter for Android</v>
      </c>
      <c r="L4468" s="16">
        <v>220</v>
      </c>
      <c r="M4468" s="16">
        <v>444</v>
      </c>
      <c r="N4468" s="16">
        <v>0</v>
      </c>
      <c r="O4468" s="17"/>
      <c r="P4468" s="18">
        <v>41099.452152777776</v>
      </c>
      <c r="Q4468" s="7" t="s">
        <v>22378</v>
      </c>
      <c r="R4468" s="7" t="s">
        <v>22379</v>
      </c>
      <c r="S4468" s="14" t="s">
        <v>22380</v>
      </c>
      <c r="T4468" s="8"/>
      <c r="U4468" s="19" t="str">
        <f>HYPERLINK("https://pbs.twimg.com/profile_images/1176217096738562054/5CqU8D8e.jpg","View")</f>
        <v>View</v>
      </c>
      <c r="V4468" s="8"/>
      <c r="W4468" s="8"/>
      <c r="X4468" s="8"/>
      <c r="Y4468" s="8"/>
      <c r="Z4468" s="8"/>
    </row>
    <row r="4469" spans="1:26" ht="12.75">
      <c r="A4469" s="11">
        <v>43747.116111111114</v>
      </c>
      <c r="B4469" s="12" t="str">
        <f>HYPERLINK("https://twitter.com/genco_unltrk","@genco_unltrk")</f>
        <v>@genco_unltrk</v>
      </c>
      <c r="C4469" s="7" t="s">
        <v>22381</v>
      </c>
      <c r="D4469" s="7" t="s">
        <v>22382</v>
      </c>
      <c r="E4469" s="12" t="str">
        <f>HYPERLINK("https://twitter.com/genco_unltrk/status/1181868707087310848","1181868707087310848")</f>
        <v>1181868707087310848</v>
      </c>
      <c r="F4469" s="8"/>
      <c r="G4469" s="14" t="s">
        <v>22383</v>
      </c>
      <c r="H4469" s="8"/>
      <c r="I4469" s="15">
        <v>0</v>
      </c>
      <c r="J4469" s="15">
        <v>1</v>
      </c>
      <c r="K4469" s="12" t="str">
        <f>HYPERLINK("http://twitter.com/download/android","Twitter for Android")</f>
        <v>Twitter for Android</v>
      </c>
      <c r="L4469" s="16">
        <v>255</v>
      </c>
      <c r="M4469" s="16">
        <v>276</v>
      </c>
      <c r="N4469" s="16">
        <v>1</v>
      </c>
      <c r="O4469" s="17"/>
      <c r="P4469" s="18">
        <v>43377.300115740742</v>
      </c>
      <c r="Q4469" s="7" t="s">
        <v>22384</v>
      </c>
      <c r="R4469" s="7" t="s">
        <v>22385</v>
      </c>
      <c r="S4469" s="14" t="s">
        <v>22386</v>
      </c>
      <c r="T4469" s="8"/>
      <c r="U4469" s="19" t="str">
        <f>HYPERLINK("https://pbs.twimg.com/profile_images/1178069404313161733/538uhFk5.jpg","View")</f>
        <v>View</v>
      </c>
      <c r="V4469" s="8"/>
      <c r="W4469" s="8"/>
      <c r="X4469" s="8"/>
      <c r="Y4469" s="8"/>
      <c r="Z4469" s="8"/>
    </row>
    <row r="4470" spans="1:26" ht="12.75">
      <c r="A4470" s="11">
        <v>43747.116087962961</v>
      </c>
      <c r="B4470" s="12" t="str">
        <f>HYPERLINK("https://twitter.com/Kartal78286473","@Kartal78286473")</f>
        <v>@Kartal78286473</v>
      </c>
      <c r="C4470" s="7" t="s">
        <v>22387</v>
      </c>
      <c r="D4470" s="7" t="s">
        <v>22388</v>
      </c>
      <c r="E4470" s="12" t="str">
        <f>HYPERLINK("https://twitter.com/Kartal78286473/status/1181868700707762176","1181868700707762176")</f>
        <v>1181868700707762176</v>
      </c>
      <c r="F4470" s="8"/>
      <c r="G4470" s="15"/>
      <c r="H4470" s="8"/>
      <c r="I4470" s="15">
        <v>0</v>
      </c>
      <c r="J4470" s="15">
        <v>0</v>
      </c>
      <c r="K4470" s="12" t="str">
        <f>HYPERLINK("http://twitter.com/download/android","Twitter for Android")</f>
        <v>Twitter for Android</v>
      </c>
      <c r="L4470" s="16">
        <v>1</v>
      </c>
      <c r="M4470" s="16">
        <v>26</v>
      </c>
      <c r="N4470" s="16">
        <v>0</v>
      </c>
      <c r="O4470" s="17"/>
      <c r="P4470" s="18">
        <v>43453.384386574078</v>
      </c>
      <c r="Q4470" s="7"/>
      <c r="R4470" s="7"/>
      <c r="S4470" s="8"/>
      <c r="T4470" s="8"/>
      <c r="U4470" s="20" t="s">
        <v>354</v>
      </c>
      <c r="V4470" s="8"/>
      <c r="W4470" s="8"/>
      <c r="X4470" s="8"/>
      <c r="Y4470" s="8"/>
      <c r="Z4470" s="8"/>
    </row>
    <row r="4471" spans="1:26" ht="12.75">
      <c r="A4471" s="11">
        <v>43747.116041666668</v>
      </c>
      <c r="B4471" s="12" t="str">
        <f>HYPERLINK("https://twitter.com/mehmety79381131","@mehmety79381131")</f>
        <v>@mehmety79381131</v>
      </c>
      <c r="C4471" s="7" t="s">
        <v>22389</v>
      </c>
      <c r="D4471" s="7" t="s">
        <v>22390</v>
      </c>
      <c r="E4471" s="12" t="str">
        <f>HYPERLINK("https://twitter.com/mehmety79381131/status/1181868679992094720","1181868679992094720")</f>
        <v>1181868679992094720</v>
      </c>
      <c r="F4471" s="8"/>
      <c r="G4471" s="14" t="s">
        <v>22391</v>
      </c>
      <c r="H4471" s="8"/>
      <c r="I4471" s="15">
        <v>0</v>
      </c>
      <c r="J4471" s="15">
        <v>0</v>
      </c>
      <c r="K4471" s="12" t="str">
        <f>HYPERLINK("http://twitter.com","Twitter Web Client")</f>
        <v>Twitter Web Client</v>
      </c>
      <c r="L4471" s="16">
        <v>9</v>
      </c>
      <c r="M4471" s="16">
        <v>0</v>
      </c>
      <c r="N4471" s="16">
        <v>0</v>
      </c>
      <c r="O4471" s="17"/>
      <c r="P4471" s="18">
        <v>43600.468333333338</v>
      </c>
      <c r="Q4471" s="7" t="s">
        <v>20619</v>
      </c>
      <c r="R4471" s="7" t="s">
        <v>22392</v>
      </c>
      <c r="S4471" s="8"/>
      <c r="T4471" s="8"/>
      <c r="U4471" s="19" t="str">
        <f>HYPERLINK("https://pbs.twimg.com/profile_images/1130845399156023296/6s_ITCQf.jpg","View")</f>
        <v>View</v>
      </c>
      <c r="V4471" s="8"/>
      <c r="W4471" s="8"/>
      <c r="X4471" s="8"/>
      <c r="Y4471" s="8"/>
      <c r="Z4471" s="8"/>
    </row>
    <row r="4472" spans="1:26" ht="12.75">
      <c r="A4472" s="11">
        <v>43747.116030092591</v>
      </c>
      <c r="B4472" s="12" t="str">
        <f>HYPERLINK("https://twitter.com/KangalAyse","@KangalAyse")</f>
        <v>@KangalAyse</v>
      </c>
      <c r="C4472" s="7" t="s">
        <v>22393</v>
      </c>
      <c r="D4472" s="7" t="s">
        <v>22394</v>
      </c>
      <c r="E4472" s="12" t="str">
        <f>HYPERLINK("https://twitter.com/KangalAyse/status/1181868679048372224","1181868679048372224")</f>
        <v>1181868679048372224</v>
      </c>
      <c r="F4472" s="8"/>
      <c r="G4472" s="15"/>
      <c r="H4472" s="8"/>
      <c r="I4472" s="15">
        <v>0</v>
      </c>
      <c r="J4472" s="15">
        <v>0</v>
      </c>
      <c r="K4472" s="12" t="str">
        <f>HYPERLINK("http://twitter.com/download/android","Twitter for Android")</f>
        <v>Twitter for Android</v>
      </c>
      <c r="L4472" s="16">
        <v>980</v>
      </c>
      <c r="M4472" s="16">
        <v>230</v>
      </c>
      <c r="N4472" s="16">
        <v>0</v>
      </c>
      <c r="O4472" s="17"/>
      <c r="P4472" s="18">
        <v>42148.971168981487</v>
      </c>
      <c r="Q4472" s="7"/>
      <c r="R4472" s="7" t="s">
        <v>22395</v>
      </c>
      <c r="S4472" s="8"/>
      <c r="T4472" s="8"/>
      <c r="U4472" s="19" t="str">
        <f>HYPERLINK("https://pbs.twimg.com/profile_images/1172202940720910336/fuDC0Jk4.jpg","View")</f>
        <v>View</v>
      </c>
      <c r="V4472" s="8"/>
      <c r="W4472" s="8"/>
      <c r="X4472" s="8"/>
      <c r="Y4472" s="8"/>
      <c r="Z4472" s="8"/>
    </row>
    <row r="4473" spans="1:26" ht="12.75">
      <c r="A4473" s="11">
        <v>43747.116006944445</v>
      </c>
      <c r="B4473" s="12" t="str">
        <f>HYPERLINK("https://twitter.com/antiimpclub","@antiimpclub")</f>
        <v>@antiimpclub</v>
      </c>
      <c r="C4473" s="7" t="s">
        <v>22396</v>
      </c>
      <c r="D4473" s="7" t="s">
        <v>22397</v>
      </c>
      <c r="E4473" s="12" t="str">
        <f>HYPERLINK("https://twitter.com/antiimpclub/status/1181868669451808768","1181868669451808768")</f>
        <v>1181868669451808768</v>
      </c>
      <c r="F4473" s="15"/>
      <c r="G4473" s="15"/>
      <c r="H4473" s="8"/>
      <c r="I4473" s="15">
        <v>2</v>
      </c>
      <c r="J4473" s="15">
        <v>0</v>
      </c>
      <c r="K4473" s="12" t="str">
        <f>HYPERLINK("http://twitter.com/download/android","Twitter for Android")</f>
        <v>Twitter for Android</v>
      </c>
      <c r="L4473" s="16">
        <v>137</v>
      </c>
      <c r="M4473" s="16">
        <v>149</v>
      </c>
      <c r="N4473" s="16">
        <v>2</v>
      </c>
      <c r="O4473" s="17"/>
      <c r="P4473" s="18">
        <v>43245.667048611111</v>
      </c>
      <c r="Q4473" s="7"/>
      <c r="R4473" s="7"/>
      <c r="S4473" s="8"/>
      <c r="T4473" s="8"/>
      <c r="U4473" s="19" t="str">
        <f>HYPERLINK("https://pbs.twimg.com/profile_images/1091808966915641356/JswITPSw.jpg","View")</f>
        <v>View</v>
      </c>
      <c r="V4473" s="8"/>
      <c r="W4473" s="8"/>
      <c r="X4473" s="8"/>
      <c r="Y4473" s="8"/>
      <c r="Z4473" s="8"/>
    </row>
    <row r="4474" spans="1:26" ht="12.75">
      <c r="A4474" s="11">
        <v>43747.115972222222</v>
      </c>
      <c r="B4474" s="12" t="str">
        <f>HYPERLINK("https://twitter.com/SerappELMACI","@SerappELMACI")</f>
        <v>@SerappELMACI</v>
      </c>
      <c r="C4474" s="7" t="s">
        <v>22398</v>
      </c>
      <c r="D4474" s="7" t="s">
        <v>22399</v>
      </c>
      <c r="E4474" s="12" t="str">
        <f>HYPERLINK("https://twitter.com/SerappELMACI/status/1181868657057652736","1181868657057652736")</f>
        <v>1181868657057652736</v>
      </c>
      <c r="F4474" s="8"/>
      <c r="G4474" s="14" t="s">
        <v>22400</v>
      </c>
      <c r="H4474" s="8"/>
      <c r="I4474" s="15">
        <v>0</v>
      </c>
      <c r="J4474" s="15">
        <v>2</v>
      </c>
      <c r="K4474" s="12" t="str">
        <f>HYPERLINK("http://twitter.com/download/android","Twitter for Android")</f>
        <v>Twitter for Android</v>
      </c>
      <c r="L4474" s="16">
        <v>158</v>
      </c>
      <c r="M4474" s="16">
        <v>193</v>
      </c>
      <c r="N4474" s="16">
        <v>0</v>
      </c>
      <c r="O4474" s="17"/>
      <c r="P4474" s="18">
        <v>42543.559525462959</v>
      </c>
      <c r="Q4474" s="7"/>
      <c r="R4474" s="7" t="s">
        <v>22401</v>
      </c>
      <c r="S4474" s="8"/>
      <c r="T4474" s="8"/>
      <c r="U4474" s="19" t="str">
        <f>HYPERLINK("https://pbs.twimg.com/profile_images/1147961869958885376/PC7MhZMb.jpg","View")</f>
        <v>View</v>
      </c>
      <c r="V4474" s="8"/>
      <c r="W4474" s="8"/>
      <c r="X4474" s="8"/>
      <c r="Y4474" s="8"/>
      <c r="Z4474" s="8"/>
    </row>
    <row r="4475" spans="1:26" ht="12.75">
      <c r="A4475" s="11">
        <v>43747.115949074076</v>
      </c>
      <c r="B4475" s="12" t="str">
        <f>HYPERLINK("https://twitter.com/emirgokmen","@emirgokmen")</f>
        <v>@emirgokmen</v>
      </c>
      <c r="C4475" s="7" t="s">
        <v>21274</v>
      </c>
      <c r="D4475" s="7" t="s">
        <v>22402</v>
      </c>
      <c r="E4475" s="12" t="str">
        <f>HYPERLINK("https://twitter.com/emirgokmen/status/1181868648790667264","1181868648790667264")</f>
        <v>1181868648790667264</v>
      </c>
      <c r="F4475" s="8"/>
      <c r="G4475" s="15"/>
      <c r="H4475" s="8"/>
      <c r="I4475" s="15">
        <v>0</v>
      </c>
      <c r="J4475" s="15">
        <v>2</v>
      </c>
      <c r="K4475" s="12" t="str">
        <f>HYPERLINK("http://twitter.com/download/iphone","Twitter for iPhone")</f>
        <v>Twitter for iPhone</v>
      </c>
      <c r="L4475" s="16">
        <v>75</v>
      </c>
      <c r="M4475" s="16">
        <v>245</v>
      </c>
      <c r="N4475" s="16">
        <v>0</v>
      </c>
      <c r="O4475" s="17"/>
      <c r="P4475" s="18">
        <v>40621.386076388888</v>
      </c>
      <c r="Q4475" s="7"/>
      <c r="R4475" s="7" t="s">
        <v>22403</v>
      </c>
      <c r="S4475" s="8"/>
      <c r="T4475" s="8"/>
      <c r="U4475" s="19" t="str">
        <f>HYPERLINK("https://pbs.twimg.com/profile_images/1147664107476271104/NqRCzsLJ.jpg","View")</f>
        <v>View</v>
      </c>
      <c r="V4475" s="8"/>
      <c r="W4475" s="8"/>
      <c r="X4475" s="8"/>
      <c r="Y4475" s="8"/>
      <c r="Z4475" s="8"/>
    </row>
    <row r="4476" spans="1:26" ht="12.75">
      <c r="A4476" s="11">
        <v>43747.115914351853</v>
      </c>
      <c r="B4476" s="12" t="str">
        <f>HYPERLINK("https://twitter.com/Asr42840820","@Asr42840820")</f>
        <v>@Asr42840820</v>
      </c>
      <c r="C4476" s="7" t="s">
        <v>22404</v>
      </c>
      <c r="D4476" s="7" t="s">
        <v>160</v>
      </c>
      <c r="E4476" s="12" t="str">
        <f>HYPERLINK("https://twitter.com/Asr42840820/status/1181868637386354688","1181868637386354688")</f>
        <v>1181868637386354688</v>
      </c>
      <c r="F4476" s="8"/>
      <c r="G4476" s="14" t="s">
        <v>22405</v>
      </c>
      <c r="H4476" s="8"/>
      <c r="I4476" s="15">
        <v>0</v>
      </c>
      <c r="J4476" s="15">
        <v>0</v>
      </c>
      <c r="K4476" s="12" t="str">
        <f>HYPERLINK("http://twitter.com/download/android","Twitter for Android")</f>
        <v>Twitter for Android</v>
      </c>
      <c r="L4476" s="16">
        <v>57</v>
      </c>
      <c r="M4476" s="16">
        <v>138</v>
      </c>
      <c r="N4476" s="16">
        <v>0</v>
      </c>
      <c r="O4476" s="17"/>
      <c r="P4476" s="18">
        <v>43662.687604166669</v>
      </c>
      <c r="Q4476" s="7"/>
      <c r="R4476" s="7" t="s">
        <v>22406</v>
      </c>
      <c r="S4476" s="15"/>
      <c r="T4476" s="8"/>
      <c r="U4476" s="19" t="str">
        <f>HYPERLINK("https://pbs.twimg.com/profile_images/1151280599493238784/-f0sXEiz.jpg","View")</f>
        <v>View</v>
      </c>
      <c r="V4476" s="8"/>
      <c r="W4476" s="8"/>
      <c r="X4476" s="8"/>
      <c r="Y4476" s="8"/>
      <c r="Z4476" s="8"/>
    </row>
    <row r="4477" spans="1:26" ht="12.75">
      <c r="A4477" s="11">
        <v>43747.115902777776</v>
      </c>
      <c r="B4477" s="12" t="str">
        <f>HYPERLINK("https://twitter.com/tekisilikmecnun","@tekisilikmecnun")</f>
        <v>@tekisilikmecnun</v>
      </c>
      <c r="C4477" s="7" t="s">
        <v>22407</v>
      </c>
      <c r="D4477" s="7" t="s">
        <v>160</v>
      </c>
      <c r="E4477" s="12" t="str">
        <f>HYPERLINK("https://twitter.com/tekisilikmecnun/status/1181868632638406657","1181868632638406657")</f>
        <v>1181868632638406657</v>
      </c>
      <c r="F4477" s="8"/>
      <c r="G4477" s="14" t="s">
        <v>22408</v>
      </c>
      <c r="H4477" s="8"/>
      <c r="I4477" s="15">
        <v>0</v>
      </c>
      <c r="J4477" s="15">
        <v>0</v>
      </c>
      <c r="K4477" s="12" t="str">
        <f>HYPERLINK("http://twitter.com/download/iphone","Twitter for iPhone")</f>
        <v>Twitter for iPhone</v>
      </c>
      <c r="L4477" s="16">
        <v>276</v>
      </c>
      <c r="M4477" s="16">
        <v>122</v>
      </c>
      <c r="N4477" s="16">
        <v>1</v>
      </c>
      <c r="O4477" s="17"/>
      <c r="P4477" s="18">
        <v>41490.136284722219</v>
      </c>
      <c r="Q4477" s="7"/>
      <c r="R4477" s="7" t="s">
        <v>22409</v>
      </c>
      <c r="S4477" s="14" t="s">
        <v>22410</v>
      </c>
      <c r="T4477" s="8"/>
      <c r="U4477" s="19" t="str">
        <f>HYPERLINK("https://pbs.twimg.com/profile_images/1167365295582957568/DVfuFWfV.jpg","View")</f>
        <v>View</v>
      </c>
      <c r="V4477" s="8"/>
      <c r="W4477" s="8"/>
      <c r="X4477" s="8"/>
      <c r="Y4477" s="8"/>
      <c r="Z4477" s="8"/>
    </row>
    <row r="4478" spans="1:26" ht="12.75">
      <c r="A4478" s="11">
        <v>43747.115879629629</v>
      </c>
      <c r="B4478" s="12" t="str">
        <f>HYPERLINK("https://twitter.com/benvekendim0","@benvekendim0")</f>
        <v>@benvekendim0</v>
      </c>
      <c r="C4478" s="7" t="s">
        <v>22411</v>
      </c>
      <c r="D4478" s="7" t="s">
        <v>22412</v>
      </c>
      <c r="E4478" s="12" t="str">
        <f>HYPERLINK("https://twitter.com/benvekendim0/status/1181868621695467520","1181868621695467520")</f>
        <v>1181868621695467520</v>
      </c>
      <c r="F4478" s="8"/>
      <c r="G4478" s="14" t="s">
        <v>22413</v>
      </c>
      <c r="H4478" s="8"/>
      <c r="I4478" s="15">
        <v>0</v>
      </c>
      <c r="J4478" s="15">
        <v>1</v>
      </c>
      <c r="K4478" s="12" t="str">
        <f>HYPERLINK("http://twitter.com/download/android","Twitter for Android")</f>
        <v>Twitter for Android</v>
      </c>
      <c r="L4478" s="16">
        <v>63</v>
      </c>
      <c r="M4478" s="16">
        <v>146</v>
      </c>
      <c r="N4478" s="16">
        <v>0</v>
      </c>
      <c r="O4478" s="17"/>
      <c r="P4478" s="18">
        <v>43446.027291666665</v>
      </c>
      <c r="Q4478" s="7" t="s">
        <v>2268</v>
      </c>
      <c r="R4478" s="7"/>
      <c r="S4478" s="15"/>
      <c r="T4478" s="8"/>
      <c r="U4478" s="19" t="str">
        <f>HYPERLINK("https://pbs.twimg.com/profile_images/1175880286023966720/BgTmz6_8.jpg","View")</f>
        <v>View</v>
      </c>
      <c r="V4478" s="8"/>
      <c r="W4478" s="8"/>
      <c r="X4478" s="8"/>
      <c r="Y4478" s="8"/>
      <c r="Z4478" s="8"/>
    </row>
    <row r="4479" spans="1:26" ht="12.75">
      <c r="A4479" s="11">
        <v>43747.115844907406</v>
      </c>
      <c r="B4479" s="12" t="str">
        <f>HYPERLINK("https://twitter.com/musagngr1433","@musagngr1433")</f>
        <v>@musagngr1433</v>
      </c>
      <c r="C4479" s="7" t="s">
        <v>17469</v>
      </c>
      <c r="D4479" s="7" t="s">
        <v>160</v>
      </c>
      <c r="E4479" s="12" t="str">
        <f>HYPERLINK("https://twitter.com/musagngr1433/status/1181868611209764865","1181868611209764865")</f>
        <v>1181868611209764865</v>
      </c>
      <c r="F4479" s="8"/>
      <c r="G4479" s="15"/>
      <c r="H4479" s="8"/>
      <c r="I4479" s="15">
        <v>0</v>
      </c>
      <c r="J4479" s="15">
        <v>0</v>
      </c>
      <c r="K4479" s="12" t="str">
        <f>HYPERLINK("http://twitter.com/download/iphone","Twitter for iPhone")</f>
        <v>Twitter for iPhone</v>
      </c>
      <c r="L4479" s="16">
        <v>19</v>
      </c>
      <c r="M4479" s="16">
        <v>14</v>
      </c>
      <c r="N4479" s="16">
        <v>0</v>
      </c>
      <c r="O4479" s="17"/>
      <c r="P4479" s="18">
        <v>42213.157777777778</v>
      </c>
      <c r="Q4479" s="7"/>
      <c r="R4479" s="7"/>
      <c r="S4479" s="8"/>
      <c r="T4479" s="8"/>
      <c r="U4479" s="19" t="str">
        <f>HYPERLINK("https://pbs.twimg.com/profile_images/1108863023727501319/L2d3JJ_I.jpg","View")</f>
        <v>View</v>
      </c>
      <c r="V4479" s="8"/>
      <c r="W4479" s="8"/>
      <c r="X4479" s="8"/>
      <c r="Y4479" s="8"/>
      <c r="Z4479" s="8"/>
    </row>
    <row r="4480" spans="1:26" ht="12.75">
      <c r="A4480" s="11">
        <v>43747.115844907406</v>
      </c>
      <c r="B4480" s="12" t="str">
        <f>HYPERLINK("https://twitter.com/AlperJava","@AlperJava")</f>
        <v>@AlperJava</v>
      </c>
      <c r="C4480" s="7" t="s">
        <v>22414</v>
      </c>
      <c r="D4480" s="7" t="s">
        <v>22415</v>
      </c>
      <c r="E4480" s="12" t="str">
        <f>HYPERLINK("https://twitter.com/AlperJava/status/1181868609720729601","1181868609720729601")</f>
        <v>1181868609720729601</v>
      </c>
      <c r="F4480" s="8"/>
      <c r="G4480" s="14" t="s">
        <v>22416</v>
      </c>
      <c r="H4480" s="8"/>
      <c r="I4480" s="15">
        <v>0</v>
      </c>
      <c r="J4480" s="15">
        <v>1</v>
      </c>
      <c r="K4480" s="12" t="str">
        <f>HYPERLINK("https://mobile.twitter.com","Twitter Web App")</f>
        <v>Twitter Web App</v>
      </c>
      <c r="L4480" s="16">
        <v>556</v>
      </c>
      <c r="M4480" s="16">
        <v>525</v>
      </c>
      <c r="N4480" s="16">
        <v>4</v>
      </c>
      <c r="O4480" s="17"/>
      <c r="P4480" s="18">
        <v>42040.331354166672</v>
      </c>
      <c r="Q4480" s="7" t="s">
        <v>576</v>
      </c>
      <c r="R4480" s="7" t="s">
        <v>22417</v>
      </c>
      <c r="S4480" s="14" t="s">
        <v>22418</v>
      </c>
      <c r="T4480" s="8"/>
      <c r="U4480" s="19" t="str">
        <f>HYPERLINK("https://pbs.twimg.com/profile_images/1129837858775326720/wn50AUv-.jpg","View")</f>
        <v>View</v>
      </c>
      <c r="V4480" s="8"/>
      <c r="W4480" s="8"/>
      <c r="X4480" s="8"/>
      <c r="Y4480" s="8"/>
      <c r="Z4480" s="8"/>
    </row>
    <row r="4481" spans="1:26" ht="12.75">
      <c r="A4481" s="11">
        <v>43747.115810185191</v>
      </c>
      <c r="B4481" s="12" t="str">
        <f>HYPERLINK("https://twitter.com/zeynep0571","@zeynep0571")</f>
        <v>@zeynep0571</v>
      </c>
      <c r="C4481" s="7" t="s">
        <v>22419</v>
      </c>
      <c r="D4481" s="7" t="s">
        <v>22420</v>
      </c>
      <c r="E4481" s="12" t="str">
        <f>HYPERLINK("https://twitter.com/zeynep0571/status/1181868598484189185","1181868598484189185")</f>
        <v>1181868598484189185</v>
      </c>
      <c r="F4481" s="14" t="s">
        <v>22421</v>
      </c>
      <c r="G4481" s="7"/>
      <c r="H4481" s="8"/>
      <c r="I4481" s="15">
        <v>0</v>
      </c>
      <c r="J4481" s="15">
        <v>0</v>
      </c>
      <c r="K4481" s="12" t="str">
        <f>HYPERLINK("https://mobile.twitter.com","Twitter Web App")</f>
        <v>Twitter Web App</v>
      </c>
      <c r="L4481" s="16">
        <v>2923</v>
      </c>
      <c r="M4481" s="16">
        <v>2407</v>
      </c>
      <c r="N4481" s="16">
        <v>5</v>
      </c>
      <c r="O4481" s="17"/>
      <c r="P4481" s="18">
        <v>41941.441006944442</v>
      </c>
      <c r="Q4481" s="7" t="s">
        <v>22422</v>
      </c>
      <c r="R4481" s="7" t="s">
        <v>22423</v>
      </c>
      <c r="S4481" s="8"/>
      <c r="T4481" s="8"/>
      <c r="U4481" s="19" t="str">
        <f>HYPERLINK("https://pbs.twimg.com/profile_images/937433026153340929/Wpj_Yo_Y.jpg","View")</f>
        <v>View</v>
      </c>
      <c r="V4481" s="8"/>
      <c r="W4481" s="8"/>
      <c r="X4481" s="8"/>
      <c r="Y4481" s="8"/>
      <c r="Z4481" s="8"/>
    </row>
    <row r="4482" spans="1:26" ht="12.75">
      <c r="A4482" s="11">
        <v>43747.115775462968</v>
      </c>
      <c r="B4482" s="12" t="str">
        <f>HYPERLINK("https://twitter.com/Sbagcii53","@Sbagcii53")</f>
        <v>@Sbagcii53</v>
      </c>
      <c r="C4482" s="7" t="s">
        <v>22424</v>
      </c>
      <c r="D4482" s="7" t="s">
        <v>22425</v>
      </c>
      <c r="E4482" s="12" t="str">
        <f>HYPERLINK("https://twitter.com/Sbagcii53/status/1181868585926479873","1181868585926479873")</f>
        <v>1181868585926479873</v>
      </c>
      <c r="F4482" s="8"/>
      <c r="G4482" s="7"/>
      <c r="H4482" s="8"/>
      <c r="I4482" s="15">
        <v>0</v>
      </c>
      <c r="J4482" s="15">
        <v>0</v>
      </c>
      <c r="K4482" s="12" t="str">
        <f>HYPERLINK("http://twitter.com/download/iphone","Twitter for iPhone")</f>
        <v>Twitter for iPhone</v>
      </c>
      <c r="L4482" s="16">
        <v>321</v>
      </c>
      <c r="M4482" s="16">
        <v>300</v>
      </c>
      <c r="N4482" s="16">
        <v>0</v>
      </c>
      <c r="O4482" s="17"/>
      <c r="P4482" s="18">
        <v>43239.199374999997</v>
      </c>
      <c r="Q4482" s="7"/>
      <c r="R4482" s="7" t="s">
        <v>22426</v>
      </c>
      <c r="S4482" s="8"/>
      <c r="T4482" s="8"/>
      <c r="U4482" s="19" t="str">
        <f>HYPERLINK("https://pbs.twimg.com/profile_images/1174795778679853068/xHwdcxfZ.jpg","View")</f>
        <v>View</v>
      </c>
      <c r="V4482" s="8"/>
      <c r="W4482" s="8"/>
      <c r="X4482" s="8"/>
      <c r="Y4482" s="8"/>
      <c r="Z4482" s="8"/>
    </row>
    <row r="4483" spans="1:26" ht="12.75">
      <c r="A4483" s="11">
        <v>43747.115671296298</v>
      </c>
      <c r="B4483" s="12" t="str">
        <f>HYPERLINK("https://twitter.com/HamzaBcr00","@HamzaBcr00")</f>
        <v>@HamzaBcr00</v>
      </c>
      <c r="C4483" s="7" t="s">
        <v>22427</v>
      </c>
      <c r="D4483" s="7" t="s">
        <v>160</v>
      </c>
      <c r="E4483" s="12" t="str">
        <f>HYPERLINK("https://twitter.com/HamzaBcr00/status/1181868549364703232","1181868549364703232")</f>
        <v>1181868549364703232</v>
      </c>
      <c r="F4483" s="8"/>
      <c r="G4483" s="14" t="s">
        <v>22428</v>
      </c>
      <c r="H4483" s="8"/>
      <c r="I4483" s="15">
        <v>0</v>
      </c>
      <c r="J4483" s="15">
        <v>6</v>
      </c>
      <c r="K4483" s="12" t="str">
        <f>HYPERLINK("http://twitter.com/download/android","Twitter for Android")</f>
        <v>Twitter for Android</v>
      </c>
      <c r="L4483" s="16">
        <v>1774</v>
      </c>
      <c r="M4483" s="16">
        <v>1835</v>
      </c>
      <c r="N4483" s="16">
        <v>0</v>
      </c>
      <c r="O4483" s="17"/>
      <c r="P4483" s="18">
        <v>43034.490810185191</v>
      </c>
      <c r="Q4483" s="7" t="s">
        <v>200</v>
      </c>
      <c r="R4483" s="7" t="s">
        <v>22429</v>
      </c>
      <c r="S4483" s="8"/>
      <c r="T4483" s="8"/>
      <c r="U4483" s="19" t="str">
        <f>HYPERLINK("https://pbs.twimg.com/profile_images/1158158850521993217/GxiwMoNx.jpg","View")</f>
        <v>View</v>
      </c>
      <c r="V4483" s="8"/>
      <c r="W4483" s="8"/>
      <c r="X4483" s="8"/>
      <c r="Y4483" s="8"/>
      <c r="Z4483" s="8"/>
    </row>
    <row r="4484" spans="1:26" ht="12.75">
      <c r="A4484" s="11">
        <v>43747.115636574075</v>
      </c>
      <c r="B4484" s="12" t="str">
        <f>HYPERLINK("https://twitter.com/samedhancoksay1","@samedhancoksay1")</f>
        <v>@samedhancoksay1</v>
      </c>
      <c r="C4484" s="7" t="s">
        <v>22430</v>
      </c>
      <c r="D4484" s="7" t="s">
        <v>18672</v>
      </c>
      <c r="E4484" s="12" t="str">
        <f>HYPERLINK("https://twitter.com/samedhancoksay1/status/1181868535464828928","1181868535464828928")</f>
        <v>1181868535464828928</v>
      </c>
      <c r="F4484" s="7"/>
      <c r="G4484" s="7"/>
      <c r="H4484" s="8"/>
      <c r="I4484" s="15">
        <v>0</v>
      </c>
      <c r="J4484" s="15">
        <v>1</v>
      </c>
      <c r="K4484" s="12" t="str">
        <f>HYPERLINK("http://twitter.com","Twitter Web Client")</f>
        <v>Twitter Web Client</v>
      </c>
      <c r="L4484" s="16">
        <v>1</v>
      </c>
      <c r="M4484" s="16">
        <v>0</v>
      </c>
      <c r="N4484" s="16">
        <v>0</v>
      </c>
      <c r="O4484" s="17"/>
      <c r="P4484" s="18">
        <v>43668.870023148149</v>
      </c>
      <c r="Q4484" s="7" t="s">
        <v>12072</v>
      </c>
      <c r="R4484" s="7" t="s">
        <v>22431</v>
      </c>
      <c r="S4484" s="15"/>
      <c r="T4484" s="8"/>
      <c r="U4484" s="19" t="str">
        <f>HYPERLINK("https://pbs.twimg.com/profile_images/1153752986650337280/-jUkQXzy.jpg","View")</f>
        <v>View</v>
      </c>
      <c r="V4484" s="8"/>
      <c r="W4484" s="8"/>
      <c r="X4484" s="8"/>
      <c r="Y4484" s="8"/>
      <c r="Z4484" s="8"/>
    </row>
    <row r="4485" spans="1:26" ht="12.75">
      <c r="A4485" s="11">
        <v>43747.115567129629</v>
      </c>
      <c r="B4485" s="12" t="str">
        <f>HYPERLINK("https://twitter.com/Eren15568316","@Eren15568316")</f>
        <v>@Eren15568316</v>
      </c>
      <c r="C4485" s="7" t="s">
        <v>6768</v>
      </c>
      <c r="D4485" s="7" t="s">
        <v>22432</v>
      </c>
      <c r="E4485" s="12" t="str">
        <f>HYPERLINK("https://twitter.com/Eren15568316/status/1181868510143746048","1181868510143746048")</f>
        <v>1181868510143746048</v>
      </c>
      <c r="F4485" s="8"/>
      <c r="G4485" s="7"/>
      <c r="H4485" s="8"/>
      <c r="I4485" s="15">
        <v>0</v>
      </c>
      <c r="J4485" s="15">
        <v>0</v>
      </c>
      <c r="K4485" s="12" t="str">
        <f>HYPERLINK("http://twitter.com/download/android","Twitter for Android")</f>
        <v>Twitter for Android</v>
      </c>
      <c r="L4485" s="16">
        <v>3</v>
      </c>
      <c r="M4485" s="16">
        <v>18</v>
      </c>
      <c r="N4485" s="16">
        <v>0</v>
      </c>
      <c r="O4485" s="17"/>
      <c r="P4485" s="18">
        <v>43745.79650462963</v>
      </c>
      <c r="Q4485" s="7"/>
      <c r="R4485" s="7" t="s">
        <v>22433</v>
      </c>
      <c r="S4485" s="8"/>
      <c r="T4485" s="8"/>
      <c r="U4485" s="19" t="str">
        <f>HYPERLINK("https://pbs.twimg.com/profile_images/1181390587850833920/6gM7Uy6y.jpg","View")</f>
        <v>View</v>
      </c>
      <c r="V4485" s="8"/>
      <c r="W4485" s="8"/>
      <c r="X4485" s="8"/>
      <c r="Y4485" s="8"/>
      <c r="Z4485" s="8"/>
    </row>
    <row r="4486" spans="1:26" ht="12.75">
      <c r="A4486" s="11">
        <v>43747.115543981483</v>
      </c>
      <c r="B4486" s="12" t="str">
        <f>HYPERLINK("https://twitter.com/YSMYLZ","@YSMYLZ")</f>
        <v>@YSMYLZ</v>
      </c>
      <c r="C4486" s="7" t="s">
        <v>22434</v>
      </c>
      <c r="D4486" s="7" t="s">
        <v>22435</v>
      </c>
      <c r="E4486" s="12" t="str">
        <f>HYPERLINK("https://twitter.com/YSMYLZ/status/1181868503361622018","1181868503361622018")</f>
        <v>1181868503361622018</v>
      </c>
      <c r="F4486" s="8"/>
      <c r="G4486" s="7"/>
      <c r="H4486" s="8"/>
      <c r="I4486" s="15">
        <v>0</v>
      </c>
      <c r="J4486" s="15">
        <v>1</v>
      </c>
      <c r="K4486" s="12" t="str">
        <f>HYPERLINK("http://twitter.com/download/iphone","Twitter for iPhone")</f>
        <v>Twitter for iPhone</v>
      </c>
      <c r="L4486" s="16">
        <v>18</v>
      </c>
      <c r="M4486" s="16">
        <v>123</v>
      </c>
      <c r="N4486" s="16">
        <v>0</v>
      </c>
      <c r="O4486" s="17"/>
      <c r="P4486" s="18">
        <v>41095.18204861111</v>
      </c>
      <c r="Q4486" s="7"/>
      <c r="R4486" s="7"/>
      <c r="S4486" s="8"/>
      <c r="T4486" s="8"/>
      <c r="U4486" s="19" t="str">
        <f>HYPERLINK("https://pbs.twimg.com/profile_images/1027932476256206848/nWgCGQcW.jpg","View")</f>
        <v>View</v>
      </c>
      <c r="V4486" s="8"/>
      <c r="W4486" s="8"/>
      <c r="X4486" s="8"/>
      <c r="Y4486" s="8"/>
      <c r="Z4486" s="8"/>
    </row>
    <row r="4487" spans="1:26" ht="12.75">
      <c r="A4487" s="11">
        <v>43747.115532407406</v>
      </c>
      <c r="B4487" s="12" t="str">
        <f>HYPERLINK("https://twitter.com/erennnyildizzz","@erennnyildizzz")</f>
        <v>@erennnyildizzz</v>
      </c>
      <c r="C4487" s="7" t="s">
        <v>22436</v>
      </c>
      <c r="D4487" s="7" t="s">
        <v>22437</v>
      </c>
      <c r="E4487" s="12" t="str">
        <f>HYPERLINK("https://twitter.com/erennnyildizzz/status/1181868498550689792","1181868498550689792")</f>
        <v>1181868498550689792</v>
      </c>
      <c r="F4487" s="8"/>
      <c r="G4487" s="7"/>
      <c r="H4487" s="8"/>
      <c r="I4487" s="15">
        <v>0</v>
      </c>
      <c r="J4487" s="15">
        <v>1</v>
      </c>
      <c r="K4487" s="12" t="str">
        <f>HYPERLINK("http://twitter.com/download/android","Twitter for Android")</f>
        <v>Twitter for Android</v>
      </c>
      <c r="L4487" s="16">
        <v>220</v>
      </c>
      <c r="M4487" s="16">
        <v>306</v>
      </c>
      <c r="N4487" s="16">
        <v>1</v>
      </c>
      <c r="O4487" s="17"/>
      <c r="P4487" s="18">
        <v>42326.13175925926</v>
      </c>
      <c r="Q4487" s="7" t="s">
        <v>313</v>
      </c>
      <c r="R4487" s="7" t="s">
        <v>22438</v>
      </c>
      <c r="S4487" s="14" t="s">
        <v>22439</v>
      </c>
      <c r="T4487" s="8"/>
      <c r="U4487" s="19" t="str">
        <f>HYPERLINK("https://pbs.twimg.com/profile_images/1178433758841769985/wLgKV1jy.jpg","View")</f>
        <v>View</v>
      </c>
      <c r="V4487" s="8"/>
      <c r="W4487" s="8"/>
      <c r="X4487" s="8"/>
      <c r="Y4487" s="8"/>
      <c r="Z4487" s="8"/>
    </row>
    <row r="4488" spans="1:26" ht="12.75">
      <c r="A4488" s="11">
        <v>43747.115520833337</v>
      </c>
      <c r="B4488" s="12" t="str">
        <f>HYPERLINK("https://twitter.com/harunkulek","@harunkulek")</f>
        <v>@harunkulek</v>
      </c>
      <c r="C4488" s="7" t="s">
        <v>22440</v>
      </c>
      <c r="D4488" s="7" t="s">
        <v>160</v>
      </c>
      <c r="E4488" s="12" t="str">
        <f>HYPERLINK("https://twitter.com/harunkulek/status/1181868491667902464","1181868491667902464")</f>
        <v>1181868491667902464</v>
      </c>
      <c r="F4488" s="15"/>
      <c r="G4488" s="15"/>
      <c r="H4488" s="8"/>
      <c r="I4488" s="15">
        <v>0</v>
      </c>
      <c r="J4488" s="15">
        <v>2</v>
      </c>
      <c r="K4488" s="12" t="str">
        <f>HYPERLINK("http://twitter.com/download/android","Twitter for Android")</f>
        <v>Twitter for Android</v>
      </c>
      <c r="L4488" s="16">
        <v>8</v>
      </c>
      <c r="M4488" s="16">
        <v>104</v>
      </c>
      <c r="N4488" s="16">
        <v>0</v>
      </c>
      <c r="O4488" s="17"/>
      <c r="P4488" s="18">
        <v>41276.40053240741</v>
      </c>
      <c r="Q4488" s="7"/>
      <c r="R4488" s="7"/>
      <c r="S4488" s="8"/>
      <c r="T4488" s="8"/>
      <c r="U4488" s="19" t="str">
        <f>HYPERLINK("https://pbs.twimg.com/profile_images/1181288481642799105/osruJIUf.jpg","View")</f>
        <v>View</v>
      </c>
      <c r="V4488" s="8"/>
      <c r="W4488" s="8"/>
      <c r="X4488" s="8"/>
      <c r="Y4488" s="8"/>
      <c r="Z4488" s="8"/>
    </row>
    <row r="4489" spans="1:26" ht="12.75">
      <c r="A4489" s="11">
        <v>43747.115474537037</v>
      </c>
      <c r="B4489" s="12" t="str">
        <f>HYPERLINK("https://twitter.com/AspandaBurkut20","@AspandaBurkut20")</f>
        <v>@AspandaBurkut20</v>
      </c>
      <c r="C4489" s="7" t="s">
        <v>21349</v>
      </c>
      <c r="D4489" s="7" t="s">
        <v>16825</v>
      </c>
      <c r="E4489" s="12" t="str">
        <f>HYPERLINK("https://twitter.com/AspandaBurkut20/status/1181868477621125120","1181868477621125120")</f>
        <v>1181868477621125120</v>
      </c>
      <c r="F4489" s="8"/>
      <c r="G4489" s="7"/>
      <c r="H4489" s="8"/>
      <c r="I4489" s="15">
        <v>0</v>
      </c>
      <c r="J4489" s="15">
        <v>0</v>
      </c>
      <c r="K4489" s="12" t="str">
        <f>HYPERLINK("http://twitter.com/download/android","Twitter for Android")</f>
        <v>Twitter for Android</v>
      </c>
      <c r="L4489" s="16">
        <v>43</v>
      </c>
      <c r="M4489" s="16">
        <v>110</v>
      </c>
      <c r="N4489" s="16">
        <v>0</v>
      </c>
      <c r="O4489" s="17"/>
      <c r="P4489" s="18">
        <v>40777.947094907409</v>
      </c>
      <c r="Q4489" s="7"/>
      <c r="R4489" s="7"/>
      <c r="S4489" s="8"/>
      <c r="T4489" s="8"/>
      <c r="U4489" s="19" t="str">
        <f>HYPERLINK("https://pbs.twimg.com/profile_images/1001824416702099467/kB_ytBS9.jpg","View")</f>
        <v>View</v>
      </c>
      <c r="V4489" s="8"/>
      <c r="W4489" s="8"/>
      <c r="X4489" s="8"/>
      <c r="Y4489" s="8"/>
      <c r="Z4489" s="8"/>
    </row>
    <row r="4490" spans="1:26" ht="12.75">
      <c r="A4490" s="11">
        <v>43747.115428240737</v>
      </c>
      <c r="B4490" s="12" t="str">
        <f>HYPERLINK("https://twitter.com/x1slay","@x1slay")</f>
        <v>@x1slay</v>
      </c>
      <c r="C4490" s="7" t="s">
        <v>22441</v>
      </c>
      <c r="D4490" s="7" t="s">
        <v>160</v>
      </c>
      <c r="E4490" s="12" t="str">
        <f>HYPERLINK("https://twitter.com/x1slay/status/1181868459954540544","1181868459954540544")</f>
        <v>1181868459954540544</v>
      </c>
      <c r="F4490" s="8"/>
      <c r="G4490" s="14" t="s">
        <v>22442</v>
      </c>
      <c r="H4490" s="8"/>
      <c r="I4490" s="15">
        <v>0</v>
      </c>
      <c r="J4490" s="15">
        <v>0</v>
      </c>
      <c r="K4490" s="12" t="str">
        <f>HYPERLINK("http://twitter.com/download/iphone","Twitter for iPhone")</f>
        <v>Twitter for iPhone</v>
      </c>
      <c r="L4490" s="16">
        <v>1</v>
      </c>
      <c r="M4490" s="16">
        <v>5</v>
      </c>
      <c r="N4490" s="16">
        <v>0</v>
      </c>
      <c r="O4490" s="17"/>
      <c r="P4490" s="18">
        <v>40266.082731481481</v>
      </c>
      <c r="Q4490" s="7"/>
      <c r="R4490" s="7" t="s">
        <v>22443</v>
      </c>
      <c r="S4490" s="8"/>
      <c r="T4490" s="8"/>
      <c r="U4490" s="19" t="str">
        <f>HYPERLINK("https://pbs.twimg.com/profile_images/1131836457222467584/f33rmvE8.jpg","View")</f>
        <v>View</v>
      </c>
      <c r="V4490" s="8"/>
      <c r="W4490" s="8"/>
      <c r="X4490" s="8"/>
      <c r="Y4490" s="8"/>
      <c r="Z4490" s="8"/>
    </row>
    <row r="4491" spans="1:26" ht="12.75">
      <c r="A4491" s="11">
        <v>43747.115416666667</v>
      </c>
      <c r="B4491" s="12" t="str">
        <f>HYPERLINK("https://twitter.com/EmreOzkutlu","@EmreOzkutlu")</f>
        <v>@EmreOzkutlu</v>
      </c>
      <c r="C4491" s="7" t="s">
        <v>22444</v>
      </c>
      <c r="D4491" s="7" t="s">
        <v>1313</v>
      </c>
      <c r="E4491" s="12" t="str">
        <f>HYPERLINK("https://twitter.com/EmreOzkutlu/status/1181868457136144384","1181868457136144384")</f>
        <v>1181868457136144384</v>
      </c>
      <c r="F4491" s="8"/>
      <c r="G4491" s="14" t="s">
        <v>22445</v>
      </c>
      <c r="H4491" s="8"/>
      <c r="I4491" s="15">
        <v>0</v>
      </c>
      <c r="J4491" s="15">
        <v>0</v>
      </c>
      <c r="K4491" s="12" t="str">
        <f>HYPERLINK("http://twitter.com/download/android","Twitter for Android")</f>
        <v>Twitter for Android</v>
      </c>
      <c r="L4491" s="16">
        <v>18</v>
      </c>
      <c r="M4491" s="16">
        <v>98</v>
      </c>
      <c r="N4491" s="16">
        <v>0</v>
      </c>
      <c r="O4491" s="17"/>
      <c r="P4491" s="18">
        <v>42993.233854166669</v>
      </c>
      <c r="Q4491" s="7" t="s">
        <v>80</v>
      </c>
      <c r="R4491" s="7"/>
      <c r="S4491" s="8"/>
      <c r="T4491" s="8"/>
      <c r="U4491" s="19" t="str">
        <f>HYPERLINK("https://pbs.twimg.com/profile_images/1181868693359382529/OA0vcuI6.jpg","View")</f>
        <v>View</v>
      </c>
      <c r="V4491" s="8"/>
      <c r="W4491" s="8"/>
      <c r="X4491" s="8"/>
      <c r="Y4491" s="8"/>
      <c r="Z4491" s="8"/>
    </row>
    <row r="4492" spans="1:26" ht="12.75">
      <c r="A4492" s="11">
        <v>43747.115416666667</v>
      </c>
      <c r="B4492" s="12" t="str">
        <f>HYPERLINK("https://twitter.com/MetehanCoskun_","@MetehanCoskun_")</f>
        <v>@MetehanCoskun_</v>
      </c>
      <c r="C4492" s="7" t="s">
        <v>22446</v>
      </c>
      <c r="D4492" s="7" t="s">
        <v>22447</v>
      </c>
      <c r="E4492" s="12" t="str">
        <f>HYPERLINK("https://twitter.com/MetehanCoskun_/status/1181868455924027392","1181868455924027392")</f>
        <v>1181868455924027392</v>
      </c>
      <c r="F4492" s="15"/>
      <c r="G4492" s="7"/>
      <c r="H4492" s="8"/>
      <c r="I4492" s="15">
        <v>0</v>
      </c>
      <c r="J4492" s="15">
        <v>0</v>
      </c>
      <c r="K4492" s="12" t="str">
        <f>HYPERLINK("http://twitter.com/download/android","Twitter for Android")</f>
        <v>Twitter for Android</v>
      </c>
      <c r="L4492" s="16">
        <v>31</v>
      </c>
      <c r="M4492" s="16">
        <v>35</v>
      </c>
      <c r="N4492" s="16">
        <v>0</v>
      </c>
      <c r="O4492" s="17"/>
      <c r="P4492" s="18">
        <v>42762.586608796293</v>
      </c>
      <c r="Q4492" s="7" t="s">
        <v>13551</v>
      </c>
      <c r="R4492" s="7" t="s">
        <v>22448</v>
      </c>
      <c r="S4492" s="8"/>
      <c r="T4492" s="8"/>
      <c r="U4492" s="19" t="str">
        <f>HYPERLINK("https://pbs.twimg.com/profile_images/1167550632041033729/JIr8dyi9.jpg","View")</f>
        <v>View</v>
      </c>
      <c r="V4492" s="8"/>
      <c r="W4492" s="8"/>
      <c r="X4492" s="8"/>
      <c r="Y4492" s="8"/>
      <c r="Z4492" s="8"/>
    </row>
    <row r="4493" spans="1:26" ht="12.75">
      <c r="A4493" s="11">
        <v>43747.115358796298</v>
      </c>
      <c r="B4493" s="12" t="str">
        <f>HYPERLINK("https://twitter.com/IT_Uzmani","@IT_Uzmani")</f>
        <v>@IT_Uzmani</v>
      </c>
      <c r="C4493" s="7" t="s">
        <v>22449</v>
      </c>
      <c r="D4493" s="7" t="s">
        <v>22450</v>
      </c>
      <c r="E4493" s="12" t="str">
        <f>HYPERLINK("https://twitter.com/IT_Uzmani/status/1181868433677471744","1181868433677471744")</f>
        <v>1181868433677471744</v>
      </c>
      <c r="F4493" s="7"/>
      <c r="G4493" s="15"/>
      <c r="H4493" s="8"/>
      <c r="I4493" s="15">
        <v>0</v>
      </c>
      <c r="J4493" s="15">
        <v>1</v>
      </c>
      <c r="K4493" s="12" t="str">
        <f>HYPERLINK("http://twitter.com","Twitter Web Client")</f>
        <v>Twitter Web Client</v>
      </c>
      <c r="L4493" s="16">
        <v>532</v>
      </c>
      <c r="M4493" s="16">
        <v>319</v>
      </c>
      <c r="N4493" s="16">
        <v>11</v>
      </c>
      <c r="O4493" s="17"/>
      <c r="P4493" s="18">
        <v>40311.49</v>
      </c>
      <c r="Q4493" s="7" t="s">
        <v>200</v>
      </c>
      <c r="R4493" s="7" t="s">
        <v>22451</v>
      </c>
      <c r="S4493" s="8"/>
      <c r="T4493" s="8"/>
      <c r="U4493" s="19" t="str">
        <f>HYPERLINK("https://pbs.twimg.com/profile_images/1156472128520314880/8tndahWO.jpg","View")</f>
        <v>View</v>
      </c>
      <c r="V4493" s="8"/>
      <c r="W4493" s="8"/>
      <c r="X4493" s="8"/>
      <c r="Y4493" s="8"/>
      <c r="Z4493" s="8"/>
    </row>
    <row r="4494" spans="1:26" ht="12.75">
      <c r="A4494" s="11">
        <v>43747.115324074075</v>
      </c>
      <c r="B4494" s="12" t="str">
        <f>HYPERLINK("https://twitter.com/yazarsamolurmu","@yazarsamolurmu")</f>
        <v>@yazarsamolurmu</v>
      </c>
      <c r="C4494" s="7" t="s">
        <v>22452</v>
      </c>
      <c r="D4494" s="7" t="s">
        <v>22453</v>
      </c>
      <c r="E4494" s="12" t="str">
        <f>HYPERLINK("https://twitter.com/yazarsamolurmu/status/1181868419869741056","1181868419869741056")</f>
        <v>1181868419869741056</v>
      </c>
      <c r="F4494" s="7"/>
      <c r="G4494" s="15"/>
      <c r="H4494" s="8"/>
      <c r="I4494" s="15">
        <v>0</v>
      </c>
      <c r="J4494" s="15">
        <v>1</v>
      </c>
      <c r="K4494" s="12" t="str">
        <f>HYPERLINK("http://twitter.com/download/android","Twitter for Android")</f>
        <v>Twitter for Android</v>
      </c>
      <c r="L4494" s="16">
        <v>79</v>
      </c>
      <c r="M4494" s="16">
        <v>232</v>
      </c>
      <c r="N4494" s="16">
        <v>0</v>
      </c>
      <c r="O4494" s="17"/>
      <c r="P4494" s="18">
        <v>40168.955335648148</v>
      </c>
      <c r="Q4494" s="7"/>
      <c r="R4494" s="7"/>
      <c r="S4494" s="15"/>
      <c r="T4494" s="8"/>
      <c r="U4494" s="19" t="str">
        <f>HYPERLINK("https://pbs.twimg.com/profile_images/490417090273107968/GMDw1jdZ.jpeg","View")</f>
        <v>View</v>
      </c>
      <c r="V4494" s="8"/>
      <c r="W4494" s="8"/>
      <c r="X4494" s="8"/>
      <c r="Y4494" s="8"/>
      <c r="Z4494" s="8"/>
    </row>
    <row r="4495" spans="1:26" ht="12.75">
      <c r="A4495" s="11">
        <v>43747.115289351852</v>
      </c>
      <c r="B4495" s="12" t="str">
        <f>HYPERLINK("https://twitter.com/Fenerlist1907x","@Fenerlist1907x")</f>
        <v>@Fenerlist1907x</v>
      </c>
      <c r="C4495" s="7" t="s">
        <v>22454</v>
      </c>
      <c r="D4495" s="7" t="s">
        <v>15742</v>
      </c>
      <c r="E4495" s="12" t="str">
        <f>HYPERLINK("https://twitter.com/Fenerlist1907x/status/1181868409895739392","1181868409895739392")</f>
        <v>1181868409895739392</v>
      </c>
      <c r="F4495" s="8"/>
      <c r="G4495" s="14" t="s">
        <v>22455</v>
      </c>
      <c r="H4495" s="8"/>
      <c r="I4495" s="15">
        <v>0</v>
      </c>
      <c r="J4495" s="15">
        <v>1</v>
      </c>
      <c r="K4495" s="12" t="str">
        <f>HYPERLINK("http://twitter.com/download/android","Twitter for Android")</f>
        <v>Twitter for Android</v>
      </c>
      <c r="L4495" s="16">
        <v>764</v>
      </c>
      <c r="M4495" s="16">
        <v>7</v>
      </c>
      <c r="N4495" s="16">
        <v>5</v>
      </c>
      <c r="O4495" s="17"/>
      <c r="P4495" s="18">
        <v>41281.160150462965</v>
      </c>
      <c r="Q4495" s="7" t="s">
        <v>200</v>
      </c>
      <c r="R4495" s="7" t="s">
        <v>22456</v>
      </c>
      <c r="S4495" s="15"/>
      <c r="T4495" s="8"/>
      <c r="U4495" s="19" t="str">
        <f>HYPERLINK("https://pbs.twimg.com/profile_images/1181506940003852288/rbi8lTve.jpg","View")</f>
        <v>View</v>
      </c>
      <c r="V4495" s="8"/>
      <c r="W4495" s="8"/>
      <c r="X4495" s="8"/>
      <c r="Y4495" s="8"/>
      <c r="Z4495" s="8"/>
    </row>
    <row r="4496" spans="1:26" ht="12.75">
      <c r="A4496" s="11">
        <v>43747.115243055552</v>
      </c>
      <c r="B4496" s="12" t="str">
        <f>HYPERLINK("https://twitter.com/Turkcu1944","@Turkcu1944")</f>
        <v>@Turkcu1944</v>
      </c>
      <c r="C4496" s="7" t="s">
        <v>22457</v>
      </c>
      <c r="D4496" s="7" t="s">
        <v>22458</v>
      </c>
      <c r="E4496" s="12" t="str">
        <f>HYPERLINK("https://twitter.com/Turkcu1944/status/1181868394100006913","1181868394100006913")</f>
        <v>1181868394100006913</v>
      </c>
      <c r="F4496" s="8"/>
      <c r="G4496" s="14" t="s">
        <v>22459</v>
      </c>
      <c r="H4496" s="8"/>
      <c r="I4496" s="15">
        <v>2</v>
      </c>
      <c r="J4496" s="15">
        <v>15</v>
      </c>
      <c r="K4496" s="12" t="str">
        <f>HYPERLINK("http://twitter.com/download/android","Twitter for Android")</f>
        <v>Twitter for Android</v>
      </c>
      <c r="L4496" s="16">
        <v>873</v>
      </c>
      <c r="M4496" s="16">
        <v>759</v>
      </c>
      <c r="N4496" s="16">
        <v>0</v>
      </c>
      <c r="O4496" s="17"/>
      <c r="P4496" s="18">
        <v>43301.573969907404</v>
      </c>
      <c r="Q4496" s="7"/>
      <c r="R4496" s="7" t="s">
        <v>22460</v>
      </c>
      <c r="S4496" s="15"/>
      <c r="T4496" s="8"/>
      <c r="U4496" s="19" t="str">
        <f>HYPERLINK("https://pbs.twimg.com/profile_images/1179736864409948160/2x9fa65D.jpg","View")</f>
        <v>View</v>
      </c>
      <c r="V4496" s="8"/>
      <c r="W4496" s="8"/>
      <c r="X4496" s="8"/>
      <c r="Y4496" s="8"/>
      <c r="Z4496" s="8"/>
    </row>
    <row r="4497" spans="1:26" ht="12.75">
      <c r="A4497" s="11">
        <v>43747.115243055552</v>
      </c>
      <c r="B4497" s="12" t="str">
        <f>HYPERLINK("https://twitter.com/gececekti","@gececekti")</f>
        <v>@gececekti</v>
      </c>
      <c r="C4497" s="7" t="s">
        <v>22461</v>
      </c>
      <c r="D4497" s="7" t="s">
        <v>160</v>
      </c>
      <c r="E4497" s="12" t="str">
        <f>HYPERLINK("https://twitter.com/gececekti/status/1181868393714110465","1181868393714110465")</f>
        <v>1181868393714110465</v>
      </c>
      <c r="F4497" s="8"/>
      <c r="G4497" s="14" t="s">
        <v>22462</v>
      </c>
      <c r="H4497" s="8"/>
      <c r="I4497" s="15">
        <v>0</v>
      </c>
      <c r="J4497" s="15">
        <v>3</v>
      </c>
      <c r="K4497" s="12" t="str">
        <f>HYPERLINK("http://twitter.com/download/android","Twitter for Android")</f>
        <v>Twitter for Android</v>
      </c>
      <c r="L4497" s="16">
        <v>2707</v>
      </c>
      <c r="M4497" s="16">
        <v>4207</v>
      </c>
      <c r="N4497" s="16">
        <v>0</v>
      </c>
      <c r="O4497" s="17"/>
      <c r="P4497" s="18">
        <v>43400.64844907407</v>
      </c>
      <c r="Q4497" s="7"/>
      <c r="R4497" s="7" t="s">
        <v>22463</v>
      </c>
      <c r="S4497" s="14" t="s">
        <v>22464</v>
      </c>
      <c r="T4497" s="8"/>
      <c r="U4497" s="19" t="str">
        <f>HYPERLINK("https://pbs.twimg.com/profile_images/1180602946507046912/fmAeWgUG.jpg","View")</f>
        <v>View</v>
      </c>
      <c r="V4497" s="8"/>
      <c r="W4497" s="8"/>
      <c r="X4497" s="8"/>
      <c r="Y4497" s="8"/>
      <c r="Z4497" s="8"/>
    </row>
    <row r="4498" spans="1:26" ht="12.75">
      <c r="A4498" s="11">
        <v>43747.115243055552</v>
      </c>
      <c r="B4498" s="12" t="str">
        <f>HYPERLINK("https://twitter.com/CeddinB","@CeddinB")</f>
        <v>@CeddinB</v>
      </c>
      <c r="C4498" s="7" t="s">
        <v>22465</v>
      </c>
      <c r="D4498" s="7" t="s">
        <v>22466</v>
      </c>
      <c r="E4498" s="12" t="str">
        <f>HYPERLINK("https://twitter.com/CeddinB/status/1181868391575015424","1181868391575015424")</f>
        <v>1181868391575015424</v>
      </c>
      <c r="F4498" s="8"/>
      <c r="G4498" s="7"/>
      <c r="H4498" s="8"/>
      <c r="I4498" s="15">
        <v>0</v>
      </c>
      <c r="J4498" s="15">
        <v>0</v>
      </c>
      <c r="K4498" s="12" t="str">
        <f>HYPERLINK("http://twitter.com/download/android","Twitter for Android")</f>
        <v>Twitter for Android</v>
      </c>
      <c r="L4498" s="16">
        <v>13</v>
      </c>
      <c r="M4498" s="16">
        <v>92</v>
      </c>
      <c r="N4498" s="16">
        <v>0</v>
      </c>
      <c r="O4498" s="17"/>
      <c r="P4498" s="18">
        <v>43718.319155092591</v>
      </c>
      <c r="Q4498" s="7"/>
      <c r="R4498" s="7" t="s">
        <v>22467</v>
      </c>
      <c r="S4498" s="8"/>
      <c r="T4498" s="8"/>
      <c r="U4498" s="19" t="str">
        <f>HYPERLINK("https://pbs.twimg.com/profile_images/1171433353548980226/955pseKb.jpg","View")</f>
        <v>View</v>
      </c>
      <c r="V4498" s="8"/>
      <c r="W4498" s="8"/>
      <c r="X4498" s="8"/>
      <c r="Y4498" s="8"/>
      <c r="Z4498" s="8"/>
    </row>
    <row r="4499" spans="1:26" ht="12.75">
      <c r="A4499" s="11">
        <v>43747.115231481483</v>
      </c>
      <c r="B4499" s="12" t="str">
        <f>HYPERLINK("https://twitter.com/kninl5","@kninl5")</f>
        <v>@kninl5</v>
      </c>
      <c r="C4499" s="7" t="s">
        <v>22468</v>
      </c>
      <c r="D4499" s="7" t="s">
        <v>22469</v>
      </c>
      <c r="E4499" s="12" t="str">
        <f>HYPERLINK("https://twitter.com/kninl5/status/1181868387363934208","1181868387363934208")</f>
        <v>1181868387363934208</v>
      </c>
      <c r="F4499" s="8"/>
      <c r="G4499" s="14" t="s">
        <v>22470</v>
      </c>
      <c r="H4499" s="8"/>
      <c r="I4499" s="15">
        <v>5</v>
      </c>
      <c r="J4499" s="15">
        <v>22</v>
      </c>
      <c r="K4499" s="12" t="str">
        <f>HYPERLINK("http://twitter.com/download/android","Twitter for Android")</f>
        <v>Twitter for Android</v>
      </c>
      <c r="L4499" s="16">
        <v>2607</v>
      </c>
      <c r="M4499" s="16">
        <v>2042</v>
      </c>
      <c r="N4499" s="16">
        <v>3</v>
      </c>
      <c r="O4499" s="17"/>
      <c r="P4499" s="18">
        <v>43058.277615740742</v>
      </c>
      <c r="Q4499" s="7"/>
      <c r="R4499" s="7" t="s">
        <v>22471</v>
      </c>
      <c r="S4499" s="15"/>
      <c r="T4499" s="8"/>
      <c r="U4499" s="19" t="str">
        <f>HYPERLINK("https://pbs.twimg.com/profile_images/1177550166041223168/rOxVurUd.jpg","View")</f>
        <v>View</v>
      </c>
      <c r="V4499" s="8"/>
      <c r="W4499" s="8"/>
      <c r="X4499" s="8"/>
      <c r="Y4499" s="8"/>
      <c r="Z4499" s="8"/>
    </row>
    <row r="4500" spans="1:26" ht="12.75">
      <c r="A4500" s="11">
        <v>43747.115150462967</v>
      </c>
      <c r="B4500" s="12" t="str">
        <f>HYPERLINK("https://twitter.com/necikdmr","@necikdmr")</f>
        <v>@necikdmr</v>
      </c>
      <c r="C4500" s="7" t="s">
        <v>22472</v>
      </c>
      <c r="D4500" s="7" t="s">
        <v>22473</v>
      </c>
      <c r="E4500" s="12" t="str">
        <f>HYPERLINK("https://twitter.com/necikdmr/status/1181868360604225536","1181868360604225536")</f>
        <v>1181868360604225536</v>
      </c>
      <c r="F4500" s="8"/>
      <c r="G4500" s="14" t="s">
        <v>22474</v>
      </c>
      <c r="H4500" s="8"/>
      <c r="I4500" s="15">
        <v>0</v>
      </c>
      <c r="J4500" s="15">
        <v>21</v>
      </c>
      <c r="K4500" s="12" t="str">
        <f>HYPERLINK("http://twitter.com/download/android","Twitter for Android")</f>
        <v>Twitter for Android</v>
      </c>
      <c r="L4500" s="16">
        <v>15888</v>
      </c>
      <c r="M4500" s="16">
        <v>16197</v>
      </c>
      <c r="N4500" s="16">
        <v>17</v>
      </c>
      <c r="O4500" s="17"/>
      <c r="P4500" s="18">
        <v>41597.481724537036</v>
      </c>
      <c r="Q4500" s="7" t="s">
        <v>287</v>
      </c>
      <c r="R4500" s="7" t="s">
        <v>22475</v>
      </c>
      <c r="S4500" s="15"/>
      <c r="T4500" s="8"/>
      <c r="U4500" s="19" t="str">
        <f>HYPERLINK("https://pbs.twimg.com/profile_images/1174717662833926144/seugC1Tw.jpg","View")</f>
        <v>View</v>
      </c>
      <c r="V4500" s="8"/>
      <c r="W4500" s="8"/>
      <c r="X4500" s="8"/>
      <c r="Y4500" s="8"/>
      <c r="Z4500" s="8"/>
    </row>
    <row r="4501" spans="1:26" ht="12.75">
      <c r="A4501" s="11">
        <v>43747.11513888889</v>
      </c>
      <c r="B4501" s="12" t="str">
        <f>HYPERLINK("https://twitter.com/muratmatgeo","@muratmatgeo")</f>
        <v>@muratmatgeo</v>
      </c>
      <c r="C4501" s="7" t="s">
        <v>22476</v>
      </c>
      <c r="D4501" s="7" t="s">
        <v>22477</v>
      </c>
      <c r="E4501" s="12" t="str">
        <f>HYPERLINK("https://twitter.com/muratmatgeo/status/1181868355751469056","1181868355751469056")</f>
        <v>1181868355751469056</v>
      </c>
      <c r="F4501" s="8"/>
      <c r="G4501" s="15"/>
      <c r="H4501" s="8"/>
      <c r="I4501" s="15">
        <v>0</v>
      </c>
      <c r="J4501" s="15">
        <v>1</v>
      </c>
      <c r="K4501" s="12" t="str">
        <f>HYPERLINK("http://twitter.com/download/android","Twitter for Android")</f>
        <v>Twitter for Android</v>
      </c>
      <c r="L4501" s="16">
        <v>209</v>
      </c>
      <c r="M4501" s="16">
        <v>382</v>
      </c>
      <c r="N4501" s="16">
        <v>0</v>
      </c>
      <c r="O4501" s="17"/>
      <c r="P4501" s="18">
        <v>40692.155138888891</v>
      </c>
      <c r="Q4501" s="7" t="s">
        <v>287</v>
      </c>
      <c r="R4501" s="7"/>
      <c r="S4501" s="8"/>
      <c r="T4501" s="8"/>
      <c r="U4501" s="19" t="str">
        <f>HYPERLINK("https://pbs.twimg.com/profile_images/1149738766891962370/6e7v7T7w.jpg","View")</f>
        <v>View</v>
      </c>
      <c r="V4501" s="8"/>
      <c r="W4501" s="8"/>
      <c r="X4501" s="8"/>
      <c r="Y4501" s="8"/>
      <c r="Z4501" s="8"/>
    </row>
    <row r="4502" spans="1:26" ht="12.75">
      <c r="A4502" s="11">
        <v>43747.115081018521</v>
      </c>
      <c r="B4502" s="12" t="str">
        <f>HYPERLINK("https://twitter.com/Nusretbascifci","@Nusretbascifci")</f>
        <v>@Nusretbascifci</v>
      </c>
      <c r="C4502" s="7" t="s">
        <v>22478</v>
      </c>
      <c r="D4502" s="7" t="s">
        <v>22479</v>
      </c>
      <c r="E4502" s="12" t="str">
        <f>HYPERLINK("https://twitter.com/Nusretbascifci/status/1181868332871491585","1181868332871491585")</f>
        <v>1181868332871491585</v>
      </c>
      <c r="F4502" s="8"/>
      <c r="G4502" s="15"/>
      <c r="H4502" s="8"/>
      <c r="I4502" s="15">
        <v>0</v>
      </c>
      <c r="J4502" s="15">
        <v>1</v>
      </c>
      <c r="K4502" s="12" t="str">
        <f>HYPERLINK("http://twitter.com/download/android","Twitter for Android")</f>
        <v>Twitter for Android</v>
      </c>
      <c r="L4502" s="16">
        <v>44</v>
      </c>
      <c r="M4502" s="16">
        <v>74</v>
      </c>
      <c r="N4502" s="16">
        <v>0</v>
      </c>
      <c r="O4502" s="17"/>
      <c r="P4502" s="18">
        <v>40613.601550925923</v>
      </c>
      <c r="Q4502" s="7"/>
      <c r="R4502" s="7"/>
      <c r="S4502" s="8"/>
      <c r="T4502" s="8"/>
      <c r="U4502" s="19" t="str">
        <f>HYPERLINK("https://pbs.twimg.com/profile_images/847938427496656896/bonGFRX4.jpg","View")</f>
        <v>View</v>
      </c>
      <c r="V4502" s="8"/>
      <c r="W4502" s="8"/>
      <c r="X4502" s="8"/>
      <c r="Y4502" s="8"/>
      <c r="Z4502" s="8"/>
    </row>
    <row r="4503" spans="1:26" ht="12.75">
      <c r="A4503" s="11">
        <v>43747.114907407406</v>
      </c>
      <c r="B4503" s="12" t="str">
        <f>HYPERLINK("https://twitter.com/cakmawitter","@cakmawitter")</f>
        <v>@cakmawitter</v>
      </c>
      <c r="C4503" s="7" t="s">
        <v>22480</v>
      </c>
      <c r="D4503" s="7" t="s">
        <v>16825</v>
      </c>
      <c r="E4503" s="12" t="str">
        <f>HYPERLINK("https://twitter.com/cakmawitter/status/1181868269180981248","1181868269180981248")</f>
        <v>1181868269180981248</v>
      </c>
      <c r="F4503" s="8"/>
      <c r="G4503" s="14" t="s">
        <v>22481</v>
      </c>
      <c r="H4503" s="8"/>
      <c r="I4503" s="15">
        <v>0</v>
      </c>
      <c r="J4503" s="15">
        <v>2</v>
      </c>
      <c r="K4503" s="12" t="str">
        <f>HYPERLINK("http://twitter.com/download/android","Twitter for Android")</f>
        <v>Twitter for Android</v>
      </c>
      <c r="L4503" s="16">
        <v>1244</v>
      </c>
      <c r="M4503" s="16">
        <v>2100</v>
      </c>
      <c r="N4503" s="16">
        <v>0</v>
      </c>
      <c r="O4503" s="17"/>
      <c r="P4503" s="18">
        <v>43455.14880787037</v>
      </c>
      <c r="Q4503" s="7"/>
      <c r="R4503" s="7"/>
      <c r="S4503" s="15"/>
      <c r="T4503" s="8"/>
      <c r="U4503" s="19" t="str">
        <f>HYPERLINK("https://pbs.twimg.com/profile_images/1099279259888218117/BEt-LwXu.jpg","View")</f>
        <v>View</v>
      </c>
      <c r="V4503" s="8"/>
      <c r="W4503" s="8"/>
      <c r="X4503" s="8"/>
      <c r="Y4503" s="8"/>
      <c r="Z4503" s="8"/>
    </row>
    <row r="4504" spans="1:26" ht="12.75">
      <c r="A4504" s="11">
        <v>43747.114884259259</v>
      </c>
      <c r="B4504" s="12" t="str">
        <f>HYPERLINK("https://twitter.com/EfnanOzetci","@EfnanOzetci")</f>
        <v>@EfnanOzetci</v>
      </c>
      <c r="C4504" s="7" t="s">
        <v>22482</v>
      </c>
      <c r="D4504" s="7" t="s">
        <v>21771</v>
      </c>
      <c r="E4504" s="12" t="str">
        <f>HYPERLINK("https://twitter.com/EfnanOzetci/status/1181868264252755969","1181868264252755969")</f>
        <v>1181868264252755969</v>
      </c>
      <c r="F4504" s="8"/>
      <c r="G4504" s="14" t="s">
        <v>21772</v>
      </c>
      <c r="H4504" s="8"/>
      <c r="I4504" s="15">
        <v>0</v>
      </c>
      <c r="J4504" s="15">
        <v>0</v>
      </c>
      <c r="K4504" s="12" t="str">
        <f>HYPERLINK("http://twitter.com","Twitter Web Client")</f>
        <v>Twitter Web Client</v>
      </c>
      <c r="L4504" s="16">
        <v>4</v>
      </c>
      <c r="M4504" s="16">
        <v>0</v>
      </c>
      <c r="N4504" s="16">
        <v>0</v>
      </c>
      <c r="O4504" s="17"/>
      <c r="P4504" s="18">
        <v>43668.955682870372</v>
      </c>
      <c r="Q4504" s="7" t="s">
        <v>1343</v>
      </c>
      <c r="R4504" s="7" t="s">
        <v>22483</v>
      </c>
      <c r="S4504" s="8"/>
      <c r="T4504" s="8"/>
      <c r="U4504" s="19" t="str">
        <f>HYPERLINK("https://pbs.twimg.com/profile_images/1154291074506133504/B8kGngPw.jpg","View")</f>
        <v>View</v>
      </c>
      <c r="V4504" s="8"/>
      <c r="W4504" s="8"/>
      <c r="X4504" s="8"/>
      <c r="Y4504" s="8"/>
      <c r="Z4504" s="8"/>
    </row>
    <row r="4505" spans="1:26" ht="12.75">
      <c r="A4505" s="11">
        <v>43747.114884259259</v>
      </c>
      <c r="B4505" s="12" t="str">
        <f>HYPERLINK("https://twitter.com/burakthesultan","@burakthesultan")</f>
        <v>@burakthesultan</v>
      </c>
      <c r="C4505" s="7" t="s">
        <v>22484</v>
      </c>
      <c r="D4505" s="7" t="s">
        <v>22485</v>
      </c>
      <c r="E4505" s="12" t="str">
        <f>HYPERLINK("https://twitter.com/burakthesultan/status/1181868263363485696","1181868263363485696")</f>
        <v>1181868263363485696</v>
      </c>
      <c r="F4505" s="8"/>
      <c r="G4505" s="15"/>
      <c r="H4505" s="8"/>
      <c r="I4505" s="15">
        <v>0</v>
      </c>
      <c r="J4505" s="15">
        <v>2</v>
      </c>
      <c r="K4505" s="12" t="str">
        <f>HYPERLINK("http://twitter.com/download/iphone","Twitter for iPhone")</f>
        <v>Twitter for iPhone</v>
      </c>
      <c r="L4505" s="16">
        <v>29</v>
      </c>
      <c r="M4505" s="16">
        <v>186</v>
      </c>
      <c r="N4505" s="16">
        <v>0</v>
      </c>
      <c r="O4505" s="17"/>
      <c r="P4505" s="18">
        <v>43405.605196759258</v>
      </c>
      <c r="Q4505" s="7" t="s">
        <v>22486</v>
      </c>
      <c r="R4505" s="7" t="s">
        <v>22487</v>
      </c>
      <c r="S4505" s="8"/>
      <c r="T4505" s="8"/>
      <c r="U4505" s="19" t="str">
        <f>HYPERLINK("https://pbs.twimg.com/profile_images/1167115824311787523/13XnSN3N.jpg","View")</f>
        <v>View</v>
      </c>
      <c r="V4505" s="8"/>
      <c r="W4505" s="8"/>
      <c r="X4505" s="8"/>
      <c r="Y4505" s="8"/>
      <c r="Z4505" s="8"/>
    </row>
    <row r="4506" spans="1:26" ht="12.75">
      <c r="A4506" s="11">
        <v>43747.114837962959</v>
      </c>
      <c r="B4506" s="12" t="str">
        <f>HYPERLINK("https://twitter.com/hll_guney","@hll_guney")</f>
        <v>@hll_guney</v>
      </c>
      <c r="C4506" s="7" t="s">
        <v>22488</v>
      </c>
      <c r="D4506" s="7" t="s">
        <v>22489</v>
      </c>
      <c r="E4506" s="12" t="str">
        <f>HYPERLINK("https://twitter.com/hll_guney/status/1181868244753408000","1181868244753408000")</f>
        <v>1181868244753408000</v>
      </c>
      <c r="F4506" s="8"/>
      <c r="G4506" s="14" t="s">
        <v>22490</v>
      </c>
      <c r="H4506" s="8"/>
      <c r="I4506" s="15">
        <v>0</v>
      </c>
      <c r="J4506" s="15">
        <v>2</v>
      </c>
      <c r="K4506" s="12" t="str">
        <f>HYPERLINK("http://twitter.com/download/iphone","Twitter for iPhone")</f>
        <v>Twitter for iPhone</v>
      </c>
      <c r="L4506" s="16">
        <v>63</v>
      </c>
      <c r="M4506" s="16">
        <v>107</v>
      </c>
      <c r="N4506" s="16">
        <v>0</v>
      </c>
      <c r="O4506" s="17"/>
      <c r="P4506" s="18">
        <v>43424.190196759257</v>
      </c>
      <c r="Q4506" s="7" t="s">
        <v>2277</v>
      </c>
      <c r="R4506" s="7" t="s">
        <v>22491</v>
      </c>
      <c r="S4506" s="8"/>
      <c r="T4506" s="8"/>
      <c r="U4506" s="19" t="str">
        <f>HYPERLINK("https://pbs.twimg.com/profile_images/1157734449271980032/ExaEpFcN.jpg","View")</f>
        <v>View</v>
      </c>
      <c r="V4506" s="8"/>
      <c r="W4506" s="8"/>
      <c r="X4506" s="8"/>
      <c r="Y4506" s="8"/>
      <c r="Z4506" s="8"/>
    </row>
    <row r="4507" spans="1:26" ht="12.75">
      <c r="A4507" s="11">
        <v>43747.114837962959</v>
      </c>
      <c r="B4507" s="12" t="str">
        <f>HYPERLINK("https://twitter.com/adogukandogan","@adogukandogan")</f>
        <v>@adogukandogan</v>
      </c>
      <c r="C4507" s="7" t="s">
        <v>22492</v>
      </c>
      <c r="D4507" s="7" t="s">
        <v>22493</v>
      </c>
      <c r="E4507" s="12" t="str">
        <f>HYPERLINK("https://twitter.com/adogukandogan/status/1181868244141051904","1181868244141051904")</f>
        <v>1181868244141051904</v>
      </c>
      <c r="F4507" s="8"/>
      <c r="G4507" s="14" t="s">
        <v>22494</v>
      </c>
      <c r="H4507" s="8"/>
      <c r="I4507" s="15">
        <v>0</v>
      </c>
      <c r="J4507" s="15">
        <v>4</v>
      </c>
      <c r="K4507" s="12" t="str">
        <f>HYPERLINK("https://mobile.twitter.com","Twitter Web App")</f>
        <v>Twitter Web App</v>
      </c>
      <c r="L4507" s="16">
        <v>0</v>
      </c>
      <c r="M4507" s="16">
        <v>5</v>
      </c>
      <c r="N4507" s="16">
        <v>0</v>
      </c>
      <c r="O4507" s="17"/>
      <c r="P4507" s="18">
        <v>42120.474293981482</v>
      </c>
      <c r="Q4507" s="7" t="s">
        <v>287</v>
      </c>
      <c r="R4507" s="7"/>
      <c r="S4507" s="8"/>
      <c r="T4507" s="8"/>
      <c r="U4507" s="19" t="str">
        <f>HYPERLINK("https://pbs.twimg.com/profile_images/1125575989717807104/gqbZ7NDW.jpg","View")</f>
        <v>View</v>
      </c>
      <c r="V4507" s="8"/>
      <c r="W4507" s="8"/>
      <c r="X4507" s="8"/>
      <c r="Y4507" s="8"/>
      <c r="Z4507" s="8"/>
    </row>
    <row r="4508" spans="1:26" ht="12.75">
      <c r="A4508" s="11">
        <v>43747.11482638889</v>
      </c>
      <c r="B4508" s="12" t="str">
        <f>HYPERLINK("https://twitter.com/eczalicolak","@eczalicolak")</f>
        <v>@eczalicolak</v>
      </c>
      <c r="C4508" s="7" t="s">
        <v>22495</v>
      </c>
      <c r="D4508" s="7" t="s">
        <v>22496</v>
      </c>
      <c r="E4508" s="12" t="str">
        <f>HYPERLINK("https://twitter.com/eczalicolak/status/1181868239795757056","1181868239795757056")</f>
        <v>1181868239795757056</v>
      </c>
      <c r="F4508" s="8"/>
      <c r="G4508" s="7"/>
      <c r="H4508" s="8"/>
      <c r="I4508" s="15">
        <v>0</v>
      </c>
      <c r="J4508" s="15">
        <v>1</v>
      </c>
      <c r="K4508" s="12" t="str">
        <f>HYPERLINK("http://twitter.com/download/android","Twitter for Android")</f>
        <v>Twitter for Android</v>
      </c>
      <c r="L4508" s="16">
        <v>205</v>
      </c>
      <c r="M4508" s="16">
        <v>79</v>
      </c>
      <c r="N4508" s="16">
        <v>0</v>
      </c>
      <c r="O4508" s="17"/>
      <c r="P4508" s="18">
        <v>42819.954675925925</v>
      </c>
      <c r="Q4508" s="7" t="s">
        <v>22497</v>
      </c>
      <c r="R4508" s="7" t="s">
        <v>22498</v>
      </c>
      <c r="S4508" s="14" t="s">
        <v>22499</v>
      </c>
      <c r="T4508" s="8"/>
      <c r="U4508" s="19" t="str">
        <f>HYPERLINK("https://pbs.twimg.com/profile_images/1147470990588469248/W7RjEkDJ.jpg","View")</f>
        <v>View</v>
      </c>
      <c r="V4508" s="8"/>
      <c r="W4508" s="8"/>
      <c r="X4508" s="8"/>
      <c r="Y4508" s="8"/>
      <c r="Z4508" s="8"/>
    </row>
    <row r="4509" spans="1:26" ht="12.75">
      <c r="A4509" s="11">
        <v>43747.114814814813</v>
      </c>
      <c r="B4509" s="12" t="str">
        <f>HYPERLINK("https://twitter.com/mehmettcetiin","@mehmettcetiin")</f>
        <v>@mehmettcetiin</v>
      </c>
      <c r="C4509" s="7" t="s">
        <v>22500</v>
      </c>
      <c r="D4509" s="7" t="s">
        <v>160</v>
      </c>
      <c r="E4509" s="12" t="str">
        <f>HYPERLINK("https://twitter.com/mehmettcetiin/status/1181868238319362048","1181868238319362048")</f>
        <v>1181868238319362048</v>
      </c>
      <c r="F4509" s="8"/>
      <c r="G4509" s="14" t="s">
        <v>22501</v>
      </c>
      <c r="H4509" s="8"/>
      <c r="I4509" s="15">
        <v>0</v>
      </c>
      <c r="J4509" s="15">
        <v>2</v>
      </c>
      <c r="K4509" s="12" t="str">
        <f>HYPERLINK("http://twitter.com/download/iphone","Twitter for iPhone")</f>
        <v>Twitter for iPhone</v>
      </c>
      <c r="L4509" s="16">
        <v>96</v>
      </c>
      <c r="M4509" s="16">
        <v>281</v>
      </c>
      <c r="N4509" s="16">
        <v>0</v>
      </c>
      <c r="O4509" s="17"/>
      <c r="P4509" s="18">
        <v>43229.106874999998</v>
      </c>
      <c r="Q4509" s="7"/>
      <c r="R4509" s="7" t="s">
        <v>22500</v>
      </c>
      <c r="S4509" s="8"/>
      <c r="T4509" s="8"/>
      <c r="U4509" s="19" t="str">
        <f>HYPERLINK("https://pbs.twimg.com/profile_images/1181366691386802176/XmsCLSzp.jpg","View")</f>
        <v>View</v>
      </c>
      <c r="V4509" s="8"/>
      <c r="W4509" s="8"/>
      <c r="X4509" s="8"/>
      <c r="Y4509" s="8"/>
      <c r="Z4509" s="8"/>
    </row>
    <row r="4510" spans="1:26" ht="12.75">
      <c r="A4510" s="11">
        <v>43747.114791666667</v>
      </c>
      <c r="B4510" s="12" t="str">
        <f>HYPERLINK("https://twitter.com/derya_tatlii","@derya_tatlii")</f>
        <v>@derya_tatlii</v>
      </c>
      <c r="C4510" s="7" t="s">
        <v>22502</v>
      </c>
      <c r="D4510" s="7" t="s">
        <v>22503</v>
      </c>
      <c r="E4510" s="12" t="str">
        <f>HYPERLINK("https://twitter.com/derya_tatlii/status/1181868230027161600","1181868230027161600")</f>
        <v>1181868230027161600</v>
      </c>
      <c r="F4510" s="8"/>
      <c r="G4510" s="14" t="s">
        <v>22504</v>
      </c>
      <c r="H4510" s="8"/>
      <c r="I4510" s="15">
        <v>0</v>
      </c>
      <c r="J4510" s="15">
        <v>1</v>
      </c>
      <c r="K4510" s="12" t="str">
        <f>HYPERLINK("http://twitter.com/download/iphone","Twitter for iPhone")</f>
        <v>Twitter for iPhone</v>
      </c>
      <c r="L4510" s="16">
        <v>1310</v>
      </c>
      <c r="M4510" s="16">
        <v>767</v>
      </c>
      <c r="N4510" s="16">
        <v>2</v>
      </c>
      <c r="O4510" s="17"/>
      <c r="P4510" s="18">
        <v>40127.277905092589</v>
      </c>
      <c r="Q4510" s="7" t="s">
        <v>80</v>
      </c>
      <c r="R4510" s="7"/>
      <c r="S4510" s="8"/>
      <c r="T4510" s="8"/>
      <c r="U4510" s="19" t="str">
        <f>HYPERLINK("https://pbs.twimg.com/profile_images/1115979483528486913/aWTtWv8y.jpg","View")</f>
        <v>View</v>
      </c>
      <c r="V4510" s="8"/>
      <c r="W4510" s="8"/>
      <c r="X4510" s="8"/>
      <c r="Y4510" s="8"/>
      <c r="Z4510" s="8"/>
    </row>
    <row r="4511" spans="1:26" ht="12.75">
      <c r="A4511" s="11">
        <v>43747.114780092597</v>
      </c>
      <c r="B4511" s="12" t="str">
        <f>HYPERLINK("https://twitter.com/bayanyazaroloji","@bayanyazaroloji")</f>
        <v>@bayanyazaroloji</v>
      </c>
      <c r="C4511" s="7" t="s">
        <v>22505</v>
      </c>
      <c r="D4511" s="7" t="s">
        <v>22506</v>
      </c>
      <c r="E4511" s="12" t="str">
        <f>HYPERLINK("https://twitter.com/bayanyazaroloji/status/1181868223626649600","1181868223626649600")</f>
        <v>1181868223626649600</v>
      </c>
      <c r="F4511" s="8"/>
      <c r="G4511" s="7"/>
      <c r="H4511" s="8"/>
      <c r="I4511" s="15">
        <v>0</v>
      </c>
      <c r="J4511" s="15">
        <v>2</v>
      </c>
      <c r="K4511" s="12" t="str">
        <f>HYPERLINK("http://twitter.com/download/iphone","Twitter for iPhone")</f>
        <v>Twitter for iPhone</v>
      </c>
      <c r="L4511" s="16">
        <v>59</v>
      </c>
      <c r="M4511" s="16">
        <v>35</v>
      </c>
      <c r="N4511" s="16">
        <v>0</v>
      </c>
      <c r="O4511" s="17"/>
      <c r="P4511" s="18">
        <v>42955.135949074072</v>
      </c>
      <c r="Q4511" s="7" t="s">
        <v>6218</v>
      </c>
      <c r="R4511" s="7" t="s">
        <v>22507</v>
      </c>
      <c r="S4511" s="8"/>
      <c r="T4511" s="8"/>
      <c r="U4511" s="19" t="str">
        <f>HYPERLINK("https://pbs.twimg.com/profile_images/1163918684269797377/cNLcBJMU.jpg","View")</f>
        <v>View</v>
      </c>
      <c r="V4511" s="8"/>
      <c r="W4511" s="8"/>
      <c r="X4511" s="8"/>
      <c r="Y4511" s="8"/>
      <c r="Z4511" s="8"/>
    </row>
    <row r="4512" spans="1:26" ht="12.75">
      <c r="A4512" s="11">
        <v>43747.114768518513</v>
      </c>
      <c r="B4512" s="12" t="str">
        <f>HYPERLINK("https://twitter.com/abdulmaguid86","@abdulmaguid86")</f>
        <v>@abdulmaguid86</v>
      </c>
      <c r="C4512" s="7" t="s">
        <v>22508</v>
      </c>
      <c r="D4512" s="7" t="s">
        <v>22509</v>
      </c>
      <c r="E4512" s="12" t="str">
        <f>HYPERLINK("https://twitter.com/abdulmaguid86/status/1181868219675664384","1181868219675664384")</f>
        <v>1181868219675664384</v>
      </c>
      <c r="F4512" s="8"/>
      <c r="G4512" s="14" t="s">
        <v>22510</v>
      </c>
      <c r="H4512" s="8"/>
      <c r="I4512" s="15">
        <v>0</v>
      </c>
      <c r="J4512" s="15">
        <v>2</v>
      </c>
      <c r="K4512" s="12" t="str">
        <f>HYPERLINK("http://twitter.com/download/android","Twitter for Android")</f>
        <v>Twitter for Android</v>
      </c>
      <c r="L4512" s="16">
        <v>479</v>
      </c>
      <c r="M4512" s="16">
        <v>4999</v>
      </c>
      <c r="N4512" s="16">
        <v>2</v>
      </c>
      <c r="O4512" s="17"/>
      <c r="P4512" s="18">
        <v>43113.215405092589</v>
      </c>
      <c r="Q4512" s="7" t="s">
        <v>22511</v>
      </c>
      <c r="R4512" s="7" t="s">
        <v>22512</v>
      </c>
      <c r="S4512" s="8"/>
      <c r="T4512" s="8"/>
      <c r="U4512" s="19" t="str">
        <f>HYPERLINK("https://pbs.twimg.com/profile_images/1175029565242167296/7lv6FX6o.jpg","View")</f>
        <v>View</v>
      </c>
      <c r="V4512" s="8"/>
      <c r="W4512" s="8"/>
      <c r="X4512" s="8"/>
      <c r="Y4512" s="8"/>
      <c r="Z4512" s="8"/>
    </row>
    <row r="4513" spans="1:26" ht="12.75">
      <c r="A4513" s="11">
        <v>43747.114733796298</v>
      </c>
      <c r="B4513" s="12" t="str">
        <f>HYPERLINK("https://twitter.com/AaGokyuzu","@AaGokyuzu")</f>
        <v>@AaGokyuzu</v>
      </c>
      <c r="C4513" s="7" t="s">
        <v>22513</v>
      </c>
      <c r="D4513" s="7" t="s">
        <v>160</v>
      </c>
      <c r="E4513" s="12" t="str">
        <f>HYPERLINK("https://twitter.com/AaGokyuzu/status/1181868208007122945","1181868208007122945")</f>
        <v>1181868208007122945</v>
      </c>
      <c r="F4513" s="8"/>
      <c r="G4513" s="15"/>
      <c r="H4513" s="8"/>
      <c r="I4513" s="15">
        <v>0</v>
      </c>
      <c r="J4513" s="15">
        <v>1</v>
      </c>
      <c r="K4513" s="12" t="str">
        <f>HYPERLINK("https://mobile.twitter.com","Twitter Web App")</f>
        <v>Twitter Web App</v>
      </c>
      <c r="L4513" s="16">
        <v>105</v>
      </c>
      <c r="M4513" s="16">
        <v>213</v>
      </c>
      <c r="N4513" s="16">
        <v>0</v>
      </c>
      <c r="O4513" s="17"/>
      <c r="P4513" s="18">
        <v>43706.374618055561</v>
      </c>
      <c r="Q4513" s="7"/>
      <c r="R4513" s="7" t="s">
        <v>22514</v>
      </c>
      <c r="S4513" s="8"/>
      <c r="T4513" s="8"/>
      <c r="U4513" s="19" t="str">
        <f>HYPERLINK("https://pbs.twimg.com/profile_images/1180190786421510148/VjAqKalr.jpg","View")</f>
        <v>View</v>
      </c>
      <c r="V4513" s="8"/>
      <c r="W4513" s="8"/>
      <c r="X4513" s="8"/>
      <c r="Y4513" s="8"/>
      <c r="Z4513" s="8"/>
    </row>
    <row r="4514" spans="1:26" ht="12.75">
      <c r="A4514" s="11">
        <v>43747.114733796298</v>
      </c>
      <c r="B4514" s="12" t="str">
        <f>HYPERLINK("https://twitter.com/MiratHaber","@MiratHaber")</f>
        <v>@MiratHaber</v>
      </c>
      <c r="C4514" s="7" t="s">
        <v>22515</v>
      </c>
      <c r="D4514" s="7" t="s">
        <v>22516</v>
      </c>
      <c r="E4514" s="12" t="str">
        <f>HYPERLINK("https://twitter.com/MiratHaber/status/1181868206157373441","1181868206157373441")</f>
        <v>1181868206157373441</v>
      </c>
      <c r="F4514" s="14" t="s">
        <v>22517</v>
      </c>
      <c r="G4514" s="14" t="s">
        <v>22518</v>
      </c>
      <c r="H4514" s="8"/>
      <c r="I4514" s="15">
        <v>0</v>
      </c>
      <c r="J4514" s="15">
        <v>2</v>
      </c>
      <c r="K4514" s="12" t="str">
        <f>HYPERLINK("https://mobile.twitter.com","Twitter Web App")</f>
        <v>Twitter Web App</v>
      </c>
      <c r="L4514" s="16">
        <v>480</v>
      </c>
      <c r="M4514" s="16">
        <v>4</v>
      </c>
      <c r="N4514" s="16">
        <v>2</v>
      </c>
      <c r="O4514" s="17"/>
      <c r="P4514" s="18">
        <v>42772.151076388887</v>
      </c>
      <c r="Q4514" s="7"/>
      <c r="R4514" s="7"/>
      <c r="S4514" s="8"/>
      <c r="T4514" s="8"/>
      <c r="U4514" s="19" t="str">
        <f>HYPERLINK("https://pbs.twimg.com/profile_images/828572051690618880/9ehAKSQ4.jpg","View")</f>
        <v>View</v>
      </c>
      <c r="V4514" s="8"/>
      <c r="W4514" s="8"/>
      <c r="X4514" s="8"/>
      <c r="Y4514" s="8"/>
      <c r="Z4514" s="8"/>
    </row>
    <row r="4515" spans="1:26" ht="12.75">
      <c r="A4515" s="11">
        <v>43747.114687499998</v>
      </c>
      <c r="B4515" s="12" t="str">
        <f>HYPERLINK("https://twitter.com/SemihYumurtaci","@SemihYumurtaci")</f>
        <v>@SemihYumurtaci</v>
      </c>
      <c r="C4515" s="7" t="s">
        <v>22519</v>
      </c>
      <c r="D4515" s="7" t="s">
        <v>22520</v>
      </c>
      <c r="E4515" s="12" t="str">
        <f>HYPERLINK("https://twitter.com/SemihYumurtaci/status/1181868193104748544","1181868193104748544")</f>
        <v>1181868193104748544</v>
      </c>
      <c r="F4515" s="8"/>
      <c r="G4515" s="14" t="s">
        <v>22521</v>
      </c>
      <c r="H4515" s="8"/>
      <c r="I4515" s="15">
        <v>0</v>
      </c>
      <c r="J4515" s="15">
        <v>4</v>
      </c>
      <c r="K4515" s="12" t="str">
        <f>HYPERLINK("http://twitter.com/download/android","Twitter for Android")</f>
        <v>Twitter for Android</v>
      </c>
      <c r="L4515" s="16">
        <v>2080</v>
      </c>
      <c r="M4515" s="16">
        <v>2138</v>
      </c>
      <c r="N4515" s="16">
        <v>1</v>
      </c>
      <c r="O4515" s="17"/>
      <c r="P4515" s="18">
        <v>42708.030798611115</v>
      </c>
      <c r="Q4515" s="7" t="s">
        <v>22522</v>
      </c>
      <c r="R4515" s="7" t="s">
        <v>22523</v>
      </c>
      <c r="S4515" s="8"/>
      <c r="T4515" s="8"/>
      <c r="U4515" s="19" t="str">
        <f>HYPERLINK("https://pbs.twimg.com/profile_images/1167743088854482945/a9ht3bpj.jpg","View")</f>
        <v>View</v>
      </c>
      <c r="V4515" s="8"/>
      <c r="W4515" s="8"/>
      <c r="X4515" s="8"/>
      <c r="Y4515" s="8"/>
      <c r="Z4515" s="8"/>
    </row>
    <row r="4516" spans="1:26" ht="12.75">
      <c r="A4516" s="11">
        <v>43747.114652777775</v>
      </c>
      <c r="B4516" s="12" t="str">
        <f>HYPERLINK("https://twitter.com/EcemYucecay","@EcemYucecay")</f>
        <v>@EcemYucecay</v>
      </c>
      <c r="C4516" s="7" t="s">
        <v>22524</v>
      </c>
      <c r="D4516" s="7" t="s">
        <v>22525</v>
      </c>
      <c r="E4516" s="12" t="str">
        <f>HYPERLINK("https://twitter.com/EcemYucecay/status/1181868178013671424","1181868178013671424")</f>
        <v>1181868178013671424</v>
      </c>
      <c r="F4516" s="8"/>
      <c r="G4516" s="15"/>
      <c r="H4516" s="8"/>
      <c r="I4516" s="15">
        <v>0</v>
      </c>
      <c r="J4516" s="15">
        <v>1</v>
      </c>
      <c r="K4516" s="12" t="str">
        <f>HYPERLINK("http://twitter.com","Twitter Web Client")</f>
        <v>Twitter Web Client</v>
      </c>
      <c r="L4516" s="16">
        <v>8</v>
      </c>
      <c r="M4516" s="16">
        <v>0</v>
      </c>
      <c r="N4516" s="16">
        <v>0</v>
      </c>
      <c r="O4516" s="17"/>
      <c r="P4516" s="18">
        <v>43683.865787037037</v>
      </c>
      <c r="Q4516" s="7" t="s">
        <v>2277</v>
      </c>
      <c r="R4516" s="7" t="s">
        <v>22526</v>
      </c>
      <c r="S4516" s="15"/>
      <c r="T4516" s="8"/>
      <c r="U4516" s="19" t="str">
        <f>HYPERLINK("https://pbs.twimg.com/profile_images/1167222121610829829/FXj9c7Vx.jpg","View")</f>
        <v>View</v>
      </c>
      <c r="V4516" s="8"/>
      <c r="W4516" s="8"/>
      <c r="X4516" s="8"/>
      <c r="Y4516" s="8"/>
      <c r="Z4516" s="8"/>
    </row>
    <row r="4517" spans="1:26" ht="12.75">
      <c r="A4517" s="11">
        <v>43747.114641203705</v>
      </c>
      <c r="B4517" s="12" t="str">
        <f>HYPERLINK("https://twitter.com/turkeymy","@turkeymy")</f>
        <v>@turkeymy</v>
      </c>
      <c r="C4517" s="7" t="s">
        <v>22527</v>
      </c>
      <c r="D4517" s="7" t="s">
        <v>22528</v>
      </c>
      <c r="E4517" s="12" t="str">
        <f>HYPERLINK("https://twitter.com/turkeymy/status/1181868175199293440","1181868175199293440")</f>
        <v>1181868175199293440</v>
      </c>
      <c r="F4517" s="8"/>
      <c r="G4517" s="14" t="s">
        <v>22529</v>
      </c>
      <c r="H4517" s="8"/>
      <c r="I4517" s="15">
        <v>0</v>
      </c>
      <c r="J4517" s="15">
        <v>1</v>
      </c>
      <c r="K4517" s="12" t="str">
        <f>HYPERLINK("https://mobile.twitter.com","Twitter Web App")</f>
        <v>Twitter Web App</v>
      </c>
      <c r="L4517" s="16">
        <v>122</v>
      </c>
      <c r="M4517" s="16">
        <v>3</v>
      </c>
      <c r="N4517" s="16">
        <v>0</v>
      </c>
      <c r="O4517" s="17"/>
      <c r="P4517" s="18">
        <v>40192.493483796294</v>
      </c>
      <c r="Q4517" s="7" t="s">
        <v>6539</v>
      </c>
      <c r="R4517" s="7" t="s">
        <v>22530</v>
      </c>
      <c r="S4517" s="8"/>
      <c r="T4517" s="8"/>
      <c r="U4517" s="19" t="str">
        <f>HYPERLINK("https://pbs.twimg.com/profile_images/676059961546416130/20Ll7pV8.jpg","View")</f>
        <v>View</v>
      </c>
      <c r="V4517" s="8"/>
      <c r="W4517" s="8"/>
      <c r="X4517" s="8"/>
      <c r="Y4517" s="8"/>
      <c r="Z4517" s="8"/>
    </row>
    <row r="4518" spans="1:26" ht="12.75">
      <c r="A4518" s="11">
        <v>43747.114606481482</v>
      </c>
      <c r="B4518" s="12" t="str">
        <f>HYPERLINK("https://twitter.com/Yikikadaam","@Yikikadaam")</f>
        <v>@Yikikadaam</v>
      </c>
      <c r="C4518" s="15" t="s">
        <v>22531</v>
      </c>
      <c r="D4518" s="7" t="s">
        <v>22532</v>
      </c>
      <c r="E4518" s="12" t="str">
        <f>HYPERLINK("https://twitter.com/Yikikadaam/status/1181868161085431808","1181868161085431808")</f>
        <v>1181868161085431808</v>
      </c>
      <c r="F4518" s="15"/>
      <c r="G4518" s="7"/>
      <c r="H4518" s="8"/>
      <c r="I4518" s="15">
        <v>0</v>
      </c>
      <c r="J4518" s="15">
        <v>1</v>
      </c>
      <c r="K4518" s="12" t="str">
        <f>HYPERLINK("https://mobile.twitter.com","Twitter Web App")</f>
        <v>Twitter Web App</v>
      </c>
      <c r="L4518" s="16">
        <v>6</v>
      </c>
      <c r="M4518" s="16">
        <v>11</v>
      </c>
      <c r="N4518" s="16">
        <v>0</v>
      </c>
      <c r="O4518" s="17"/>
      <c r="P4518" s="18">
        <v>41684.661365740743</v>
      </c>
      <c r="Q4518" s="7"/>
      <c r="R4518" s="7"/>
      <c r="S4518" s="15"/>
      <c r="T4518" s="8"/>
      <c r="U4518" s="19" t="str">
        <f>HYPERLINK("https://pbs.twimg.com/profile_images/1059179735786422273/qtkXpzxJ.jpg","View")</f>
        <v>View</v>
      </c>
      <c r="V4518" s="8"/>
      <c r="W4518" s="8"/>
      <c r="X4518" s="8"/>
      <c r="Y4518" s="8"/>
      <c r="Z4518" s="8"/>
    </row>
    <row r="4519" spans="1:26" ht="12.75">
      <c r="A4519" s="11">
        <v>43747.114571759259</v>
      </c>
      <c r="B4519" s="12" t="str">
        <f>HYPERLINK("https://twitter.com/MuratKASALI","@MuratKASALI")</f>
        <v>@MuratKASALI</v>
      </c>
      <c r="C4519" s="7" t="s">
        <v>22533</v>
      </c>
      <c r="D4519" s="7" t="s">
        <v>22534</v>
      </c>
      <c r="E4519" s="12" t="str">
        <f>HYPERLINK("https://twitter.com/MuratKASALI/status/1181868149857247237","1181868149857247237")</f>
        <v>1181868149857247237</v>
      </c>
      <c r="F4519" s="8"/>
      <c r="G4519" s="14" t="s">
        <v>22535</v>
      </c>
      <c r="H4519" s="8"/>
      <c r="I4519" s="15">
        <v>3</v>
      </c>
      <c r="J4519" s="15">
        <v>18</v>
      </c>
      <c r="K4519" s="12" t="str">
        <f>HYPERLINK("http://twitter.com/download/iphone","Twitter for iPhone")</f>
        <v>Twitter for iPhone</v>
      </c>
      <c r="L4519" s="16">
        <v>35</v>
      </c>
      <c r="M4519" s="16">
        <v>92</v>
      </c>
      <c r="N4519" s="16">
        <v>0</v>
      </c>
      <c r="O4519" s="17"/>
      <c r="P4519" s="18">
        <v>40929.640682870369</v>
      </c>
      <c r="Q4519" s="7"/>
      <c r="R4519" s="7"/>
      <c r="S4519" s="8"/>
      <c r="T4519" s="8"/>
      <c r="U4519" s="19" t="str">
        <f>HYPERLINK("https://pbs.twimg.com/profile_images/1176526797502111745/FLoO4QA2.jpg","View")</f>
        <v>View</v>
      </c>
      <c r="V4519" s="8"/>
      <c r="W4519" s="8"/>
      <c r="X4519" s="8"/>
      <c r="Y4519" s="8"/>
      <c r="Z4519" s="8"/>
    </row>
    <row r="4520" spans="1:26" ht="12.75">
      <c r="A4520" s="11">
        <v>43747.114571759259</v>
      </c>
      <c r="B4520" s="12" t="str">
        <f>HYPERLINK("https://twitter.com/ezmagaak","@ezmagaak")</f>
        <v>@ezmagaak</v>
      </c>
      <c r="C4520" s="7" t="s">
        <v>22536</v>
      </c>
      <c r="D4520" s="7" t="s">
        <v>22537</v>
      </c>
      <c r="E4520" s="12" t="str">
        <f>HYPERLINK("https://twitter.com/ezmagaak/status/1181868148674482176","1181868148674482176")</f>
        <v>1181868148674482176</v>
      </c>
      <c r="F4520" s="8"/>
      <c r="G4520" s="14" t="s">
        <v>22538</v>
      </c>
      <c r="H4520" s="8"/>
      <c r="I4520" s="15">
        <v>2</v>
      </c>
      <c r="J4520" s="15">
        <v>16</v>
      </c>
      <c r="K4520" s="12" t="str">
        <f>HYPERLINK("http://twitter.com/download/iphone","Twitter for iPhone")</f>
        <v>Twitter for iPhone</v>
      </c>
      <c r="L4520" s="16">
        <v>682</v>
      </c>
      <c r="M4520" s="16">
        <v>468</v>
      </c>
      <c r="N4520" s="16">
        <v>1</v>
      </c>
      <c r="O4520" s="17"/>
      <c r="P4520" s="18">
        <v>43629.197824074072</v>
      </c>
      <c r="Q4520" s="7" t="s">
        <v>22539</v>
      </c>
      <c r="R4520" s="7" t="s">
        <v>22540</v>
      </c>
      <c r="S4520" s="8"/>
      <c r="T4520" s="8"/>
      <c r="U4520" s="19" t="str">
        <f>HYPERLINK("https://pbs.twimg.com/profile_images/1177259182845833216/61m4Vp_s.jpg","View")</f>
        <v>View</v>
      </c>
      <c r="V4520" s="8"/>
      <c r="W4520" s="8"/>
      <c r="X4520" s="8"/>
      <c r="Y4520" s="8"/>
      <c r="Z4520" s="8"/>
    </row>
    <row r="4521" spans="1:26" ht="12.75">
      <c r="A4521" s="11">
        <v>43747.114548611113</v>
      </c>
      <c r="B4521" s="12" t="str">
        <f>HYPERLINK("https://twitter.com/hilalturkx","@hilalturkx")</f>
        <v>@hilalturkx</v>
      </c>
      <c r="C4521" s="7" t="s">
        <v>22541</v>
      </c>
      <c r="D4521" s="7" t="s">
        <v>22542</v>
      </c>
      <c r="E4521" s="12" t="str">
        <f>HYPERLINK("https://twitter.com/hilalturkx/status/1181868141569286144","1181868141569286144")</f>
        <v>1181868141569286144</v>
      </c>
      <c r="F4521" s="8"/>
      <c r="G4521" s="7"/>
      <c r="H4521" s="8"/>
      <c r="I4521" s="15">
        <v>0</v>
      </c>
      <c r="J4521" s="15">
        <v>8</v>
      </c>
      <c r="K4521" s="12" t="str">
        <f>HYPERLINK("http://twitter.com/download/android","Twitter for Android")</f>
        <v>Twitter for Android</v>
      </c>
      <c r="L4521" s="16">
        <v>97</v>
      </c>
      <c r="M4521" s="16">
        <v>105</v>
      </c>
      <c r="N4521" s="16">
        <v>0</v>
      </c>
      <c r="O4521" s="17"/>
      <c r="P4521" s="18">
        <v>42821.515902777777</v>
      </c>
      <c r="Q4521" s="7" t="s">
        <v>10762</v>
      </c>
      <c r="R4521" s="7" t="s">
        <v>22543</v>
      </c>
      <c r="S4521" s="8"/>
      <c r="T4521" s="8"/>
      <c r="U4521" s="19" t="str">
        <f>HYPERLINK("https://pbs.twimg.com/profile_images/1148697966011670528/tBhWt7kV.png","View")</f>
        <v>View</v>
      </c>
      <c r="V4521" s="8"/>
      <c r="W4521" s="8"/>
      <c r="X4521" s="8"/>
      <c r="Y4521" s="8"/>
      <c r="Z4521" s="8"/>
    </row>
    <row r="4522" spans="1:26" ht="12.75">
      <c r="A4522" s="11">
        <v>43747.11446759259</v>
      </c>
      <c r="B4522" s="12" t="str">
        <f>HYPERLINK("https://twitter.com/anambab34962595","@anambab34962595")</f>
        <v>@anambab34962595</v>
      </c>
      <c r="C4522" s="7" t="s">
        <v>22544</v>
      </c>
      <c r="D4522" s="7" t="s">
        <v>160</v>
      </c>
      <c r="E4522" s="12" t="str">
        <f>HYPERLINK("https://twitter.com/anambab34962595/status/1181868110397227014","1181868110397227014")</f>
        <v>1181868110397227014</v>
      </c>
      <c r="F4522" s="8"/>
      <c r="G4522" s="7"/>
      <c r="H4522" s="8"/>
      <c r="I4522" s="15">
        <v>0</v>
      </c>
      <c r="J4522" s="15">
        <v>0</v>
      </c>
      <c r="K4522" s="12" t="str">
        <f>HYPERLINK("http://twitter.com/download/iphone","Twitter for iPhone")</f>
        <v>Twitter for iPhone</v>
      </c>
      <c r="L4522" s="16">
        <v>99</v>
      </c>
      <c r="M4522" s="16">
        <v>178</v>
      </c>
      <c r="N4522" s="16">
        <v>0</v>
      </c>
      <c r="O4522" s="17"/>
      <c r="P4522" s="18">
        <v>43624.331701388888</v>
      </c>
      <c r="Q4522" s="7"/>
      <c r="R4522" s="7" t="s">
        <v>22545</v>
      </c>
      <c r="S4522" s="8"/>
      <c r="T4522" s="8"/>
      <c r="U4522" s="19" t="str">
        <f>HYPERLINK("https://pbs.twimg.com/profile_images/1174379724677767168/F6kTLLcT.jpg","View")</f>
        <v>View</v>
      </c>
      <c r="V4522" s="8"/>
      <c r="W4522" s="8"/>
      <c r="X4522" s="8"/>
      <c r="Y4522" s="8"/>
      <c r="Z4522" s="8"/>
    </row>
    <row r="4523" spans="1:26" ht="12.75">
      <c r="A4523" s="11">
        <v>43747.11446759259</v>
      </c>
      <c r="B4523" s="12" t="str">
        <f>HYPERLINK("https://twitter.com/id0bey","@id0bey")</f>
        <v>@id0bey</v>
      </c>
      <c r="C4523" s="7" t="s">
        <v>22546</v>
      </c>
      <c r="D4523" s="7" t="s">
        <v>13999</v>
      </c>
      <c r="E4523" s="12" t="str">
        <f>HYPERLINK("https://twitter.com/id0bey/status/1181868110007226373","1181868110007226373")</f>
        <v>1181868110007226373</v>
      </c>
      <c r="F4523" s="8"/>
      <c r="G4523" s="14" t="s">
        <v>22547</v>
      </c>
      <c r="H4523" s="8"/>
      <c r="I4523" s="15">
        <v>0</v>
      </c>
      <c r="J4523" s="15">
        <v>3</v>
      </c>
      <c r="K4523" s="12" t="str">
        <f>HYPERLINK("http://twitter.com/download/iphone","Twitter for iPhone")</f>
        <v>Twitter for iPhone</v>
      </c>
      <c r="L4523" s="16">
        <v>378</v>
      </c>
      <c r="M4523" s="16">
        <v>214</v>
      </c>
      <c r="N4523" s="16">
        <v>0</v>
      </c>
      <c r="O4523" s="17"/>
      <c r="P4523" s="18">
        <v>42733.590902777782</v>
      </c>
      <c r="Q4523" s="7" t="s">
        <v>22548</v>
      </c>
      <c r="R4523" s="7" t="s">
        <v>22549</v>
      </c>
      <c r="S4523" s="14" t="s">
        <v>22550</v>
      </c>
      <c r="T4523" s="8"/>
      <c r="U4523" s="19" t="str">
        <f>HYPERLINK("https://pbs.twimg.com/profile_images/1175510021997830145/quKGVuqb.jpg","View")</f>
        <v>View</v>
      </c>
      <c r="V4523" s="8"/>
      <c r="W4523" s="8"/>
      <c r="X4523" s="8"/>
      <c r="Y4523" s="8"/>
      <c r="Z4523" s="8"/>
    </row>
    <row r="4524" spans="1:26" ht="12.75">
      <c r="A4524" s="11">
        <v>43747.11446759259</v>
      </c>
      <c r="B4524" s="12" t="str">
        <f>HYPERLINK("https://twitter.com/caferakkaya14","@caferakkaya14")</f>
        <v>@caferakkaya14</v>
      </c>
      <c r="C4524" s="7" t="s">
        <v>22551</v>
      </c>
      <c r="D4524" s="7" t="s">
        <v>22552</v>
      </c>
      <c r="E4524" s="12" t="str">
        <f>HYPERLINK("https://twitter.com/caferakkaya14/status/1181868109994643456","1181868109994643456")</f>
        <v>1181868109994643456</v>
      </c>
      <c r="F4524" s="8"/>
      <c r="G4524" s="15"/>
      <c r="H4524" s="8"/>
      <c r="I4524" s="15">
        <v>0</v>
      </c>
      <c r="J4524" s="15">
        <v>2</v>
      </c>
      <c r="K4524" s="12" t="str">
        <f>HYPERLINK("https://mobile.twitter.com","Twitter Web App")</f>
        <v>Twitter Web App</v>
      </c>
      <c r="L4524" s="16">
        <v>819</v>
      </c>
      <c r="M4524" s="16">
        <v>154</v>
      </c>
      <c r="N4524" s="16">
        <v>0</v>
      </c>
      <c r="O4524" s="17"/>
      <c r="P4524" s="18">
        <v>43520.359085648146</v>
      </c>
      <c r="Q4524" s="7"/>
      <c r="R4524" s="7"/>
      <c r="S4524" s="8"/>
      <c r="T4524" s="8"/>
      <c r="U4524" s="19" t="str">
        <f>HYPERLINK("https://pbs.twimg.com/profile_images/1100658584860409856/vnlxDrse.png","View")</f>
        <v>View</v>
      </c>
      <c r="V4524" s="8"/>
      <c r="W4524" s="8"/>
      <c r="X4524" s="8"/>
      <c r="Y4524" s="8"/>
      <c r="Z4524" s="8"/>
    </row>
    <row r="4525" spans="1:26" ht="12.75">
      <c r="A4525" s="11">
        <v>43747.114432870367</v>
      </c>
      <c r="B4525" s="12" t="str">
        <f>HYPERLINK("https://twitter.com/Muratbeesnilii","@Muratbeesnilii")</f>
        <v>@Muratbeesnilii</v>
      </c>
      <c r="C4525" s="7" t="s">
        <v>10288</v>
      </c>
      <c r="D4525" s="7" t="s">
        <v>22553</v>
      </c>
      <c r="E4525" s="12" t="str">
        <f>HYPERLINK("https://twitter.com/Muratbeesnilii/status/1181868099315916801","1181868099315916801")</f>
        <v>1181868099315916801</v>
      </c>
      <c r="F4525" s="8"/>
      <c r="G4525" s="7"/>
      <c r="H4525" s="8"/>
      <c r="I4525" s="15">
        <v>0</v>
      </c>
      <c r="J4525" s="15">
        <v>1</v>
      </c>
      <c r="K4525" s="12" t="str">
        <f>HYPERLINK("http://twitter.com/download/android","Twitter for Android")</f>
        <v>Twitter for Android</v>
      </c>
      <c r="L4525" s="16">
        <v>92</v>
      </c>
      <c r="M4525" s="16">
        <v>282</v>
      </c>
      <c r="N4525" s="16">
        <v>0</v>
      </c>
      <c r="O4525" s="17"/>
      <c r="P4525" s="18">
        <v>43214.089745370366</v>
      </c>
      <c r="Q4525" s="7" t="s">
        <v>313</v>
      </c>
      <c r="R4525" s="7" t="s">
        <v>22554</v>
      </c>
      <c r="S4525" s="8"/>
      <c r="T4525" s="8"/>
      <c r="U4525" s="19" t="str">
        <f>HYPERLINK("https://pbs.twimg.com/profile_images/1125131071698407425/4XAOA7Ab.jpg","View")</f>
        <v>View</v>
      </c>
      <c r="V4525" s="8"/>
      <c r="W4525" s="8"/>
      <c r="X4525" s="8"/>
      <c r="Y4525" s="8"/>
      <c r="Z4525" s="8"/>
    </row>
    <row r="4526" spans="1:26" ht="12.75">
      <c r="A4526" s="11">
        <v>43747.11440972222</v>
      </c>
      <c r="B4526" s="12" t="str">
        <f>HYPERLINK("https://twitter.com/Topalsivrisinek","@Topalsivrisinek")</f>
        <v>@Topalsivrisinek</v>
      </c>
      <c r="C4526" s="7" t="s">
        <v>22555</v>
      </c>
      <c r="D4526" s="7" t="s">
        <v>22556</v>
      </c>
      <c r="E4526" s="12" t="str">
        <f>HYPERLINK("https://twitter.com/Topalsivrisinek/status/1181868091829096448","1181868091829096448")</f>
        <v>1181868091829096448</v>
      </c>
      <c r="F4526" s="8"/>
      <c r="G4526" s="7"/>
      <c r="H4526" s="8"/>
      <c r="I4526" s="15">
        <v>0</v>
      </c>
      <c r="J4526" s="15">
        <v>0</v>
      </c>
      <c r="K4526" s="12" t="str">
        <f>HYPERLINK("http://twitter.com/download/android","Twitter for Android")</f>
        <v>Twitter for Android</v>
      </c>
      <c r="L4526" s="16">
        <v>543</v>
      </c>
      <c r="M4526" s="16">
        <v>753</v>
      </c>
      <c r="N4526" s="16">
        <v>3</v>
      </c>
      <c r="O4526" s="17"/>
      <c r="P4526" s="18">
        <v>42505.179895833338</v>
      </c>
      <c r="Q4526" s="7"/>
      <c r="R4526" s="7" t="s">
        <v>22557</v>
      </c>
      <c r="S4526" s="8"/>
      <c r="T4526" s="8"/>
      <c r="U4526" s="19" t="str">
        <f>HYPERLINK("https://pbs.twimg.com/profile_images/731896309322514432/W-_VRNMf.jpg","View")</f>
        <v>View</v>
      </c>
      <c r="V4526" s="8"/>
      <c r="W4526" s="8"/>
      <c r="X4526" s="8"/>
      <c r="Y4526" s="8"/>
      <c r="Z4526" s="8"/>
    </row>
    <row r="4527" spans="1:26" ht="12.75">
      <c r="A4527" s="11">
        <v>43747.114247685182</v>
      </c>
      <c r="B4527" s="12" t="str">
        <f>HYPERLINK("https://twitter.com/yusuferkul41","@yusuferkul41")</f>
        <v>@yusuferkul41</v>
      </c>
      <c r="C4527" s="7" t="s">
        <v>22558</v>
      </c>
      <c r="D4527" s="7" t="s">
        <v>160</v>
      </c>
      <c r="E4527" s="12" t="str">
        <f>HYPERLINK("https://twitter.com/yusuferkul41/status/1181868031191998470","1181868031191998470")</f>
        <v>1181868031191998470</v>
      </c>
      <c r="F4527" s="8"/>
      <c r="G4527" s="7"/>
      <c r="H4527" s="8"/>
      <c r="I4527" s="15">
        <v>0</v>
      </c>
      <c r="J4527" s="15">
        <v>0</v>
      </c>
      <c r="K4527" s="12" t="str">
        <f>HYPERLINK("http://twitter.com/download/android","Twitter for Android")</f>
        <v>Twitter for Android</v>
      </c>
      <c r="L4527" s="16">
        <v>42</v>
      </c>
      <c r="M4527" s="16">
        <v>271</v>
      </c>
      <c r="N4527" s="16">
        <v>0</v>
      </c>
      <c r="O4527" s="17"/>
      <c r="P4527" s="18">
        <v>40689.249212962961</v>
      </c>
      <c r="Q4527" s="7" t="s">
        <v>6218</v>
      </c>
      <c r="R4527" s="7" t="s">
        <v>22559</v>
      </c>
      <c r="S4527" s="8"/>
      <c r="T4527" s="8"/>
      <c r="U4527" s="19" t="str">
        <f>HYPERLINK("https://pbs.twimg.com/profile_images/1072553007999520768/qZNpeliU.jpg","View")</f>
        <v>View</v>
      </c>
      <c r="V4527" s="8"/>
      <c r="W4527" s="8"/>
      <c r="X4527" s="8"/>
      <c r="Y4527" s="8"/>
      <c r="Z4527" s="8"/>
    </row>
    <row r="4528" spans="1:26" ht="12.75">
      <c r="A4528" s="11">
        <v>43747.114236111112</v>
      </c>
      <c r="B4528" s="12" t="str">
        <f>HYPERLINK("https://twitter.com/arBEY80296816","@arBEY80296816")</f>
        <v>@arBEY80296816</v>
      </c>
      <c r="C4528" s="7" t="s">
        <v>22560</v>
      </c>
      <c r="D4528" s="7" t="s">
        <v>22561</v>
      </c>
      <c r="E4528" s="12" t="str">
        <f>HYPERLINK("https://twitter.com/arBEY80296816/status/1181868026649595905","1181868026649595905")</f>
        <v>1181868026649595905</v>
      </c>
      <c r="F4528" s="8"/>
      <c r="G4528" s="14" t="s">
        <v>22562</v>
      </c>
      <c r="H4528" s="8"/>
      <c r="I4528" s="15">
        <v>0</v>
      </c>
      <c r="J4528" s="15">
        <v>2</v>
      </c>
      <c r="K4528" s="12" t="str">
        <f>HYPERLINK("http://twitter.com/download/android","Twitter for Android")</f>
        <v>Twitter for Android</v>
      </c>
      <c r="L4528" s="16">
        <v>0</v>
      </c>
      <c r="M4528" s="16">
        <v>0</v>
      </c>
      <c r="N4528" s="16">
        <v>0</v>
      </c>
      <c r="O4528" s="17"/>
      <c r="P4528" s="18">
        <v>43747.108240740738</v>
      </c>
      <c r="Q4528" s="7"/>
      <c r="R4528" s="7"/>
      <c r="S4528" s="8"/>
      <c r="T4528" s="8"/>
      <c r="U4528" s="19" t="str">
        <f>HYPERLINK("https://pbs.twimg.com/profile_images/1181868082295390208/M7rRODWc.jpg","View")</f>
        <v>View</v>
      </c>
      <c r="V4528" s="8"/>
      <c r="W4528" s="8"/>
      <c r="X4528" s="8"/>
      <c r="Y4528" s="8"/>
      <c r="Z4528" s="8"/>
    </row>
    <row r="4529" spans="1:26" ht="12.75">
      <c r="A4529" s="11">
        <v>43747.114224537036</v>
      </c>
      <c r="B4529" s="12" t="str">
        <f>HYPERLINK("https://twitter.com/sebebim2334","@sebebim2334")</f>
        <v>@sebebim2334</v>
      </c>
      <c r="C4529" s="7" t="s">
        <v>22563</v>
      </c>
      <c r="D4529" s="7" t="s">
        <v>22564</v>
      </c>
      <c r="E4529" s="12" t="str">
        <f>HYPERLINK("https://twitter.com/sebebim2334/status/1181868025399652353","1181868025399652353")</f>
        <v>1181868025399652353</v>
      </c>
      <c r="F4529" s="8"/>
      <c r="G4529" s="15"/>
      <c r="H4529" s="8"/>
      <c r="I4529" s="15">
        <v>0</v>
      </c>
      <c r="J4529" s="15">
        <v>0</v>
      </c>
      <c r="K4529" s="12" t="str">
        <f>HYPERLINK("http://twitter.com/download/iphone","Twitter for iPhone")</f>
        <v>Twitter for iPhone</v>
      </c>
      <c r="L4529" s="16">
        <v>68</v>
      </c>
      <c r="M4529" s="16">
        <v>113</v>
      </c>
      <c r="N4529" s="16">
        <v>0</v>
      </c>
      <c r="O4529" s="17"/>
      <c r="P4529" s="18">
        <v>42975.581539351857</v>
      </c>
      <c r="Q4529" s="7" t="s">
        <v>576</v>
      </c>
      <c r="R4529" s="7" t="s">
        <v>22565</v>
      </c>
      <c r="S4529" s="15"/>
      <c r="T4529" s="8"/>
      <c r="U4529" s="19" t="str">
        <f>HYPERLINK("https://pbs.twimg.com/profile_images/1178978128343027712/d5qRQIwg.jpg","View")</f>
        <v>View</v>
      </c>
      <c r="V4529" s="8"/>
      <c r="W4529" s="8"/>
      <c r="X4529" s="8"/>
      <c r="Y4529" s="8"/>
      <c r="Z4529" s="8"/>
    </row>
    <row r="4530" spans="1:26" ht="12.75">
      <c r="A4530" s="11">
        <v>43747.114155092597</v>
      </c>
      <c r="B4530" s="12" t="str">
        <f>HYPERLINK("https://twitter.com/HalukRaufoglu","@HalukRaufoglu")</f>
        <v>@HalukRaufoglu</v>
      </c>
      <c r="C4530" s="7" t="s">
        <v>22566</v>
      </c>
      <c r="D4530" s="7" t="s">
        <v>22567</v>
      </c>
      <c r="E4530" s="12" t="str">
        <f>HYPERLINK("https://twitter.com/HalukRaufoglu/status/1181867997029376001","1181867997029376001")</f>
        <v>1181867997029376001</v>
      </c>
      <c r="F4530" s="8"/>
      <c r="G4530" s="15"/>
      <c r="H4530" s="8"/>
      <c r="I4530" s="15">
        <v>0</v>
      </c>
      <c r="J4530" s="15">
        <v>0</v>
      </c>
      <c r="K4530" s="12" t="str">
        <f>HYPERLINK("http://twitter.com/download/android","Twitter for Android")</f>
        <v>Twitter for Android</v>
      </c>
      <c r="L4530" s="16">
        <v>800</v>
      </c>
      <c r="M4530" s="16">
        <v>851</v>
      </c>
      <c r="N4530" s="16">
        <v>1</v>
      </c>
      <c r="O4530" s="17"/>
      <c r="P4530" s="18">
        <v>40642.509699074071</v>
      </c>
      <c r="Q4530" s="7"/>
      <c r="R4530" s="7"/>
      <c r="S4530" s="15"/>
      <c r="T4530" s="8"/>
      <c r="U4530" s="19" t="str">
        <f>HYPERLINK("https://pbs.twimg.com/profile_images/1102598618563969024/GZX1UfoK.jpg","View")</f>
        <v>View</v>
      </c>
      <c r="V4530" s="8"/>
      <c r="W4530" s="8"/>
      <c r="X4530" s="8"/>
      <c r="Y4530" s="8"/>
      <c r="Z4530" s="8"/>
    </row>
    <row r="4531" spans="1:26" ht="12.75">
      <c r="A4531" s="11">
        <v>43747.114131944443</v>
      </c>
      <c r="B4531" s="12" t="str">
        <f>HYPERLINK("https://twitter.com/gokhanaksel858","@gokhanaksel858")</f>
        <v>@gokhanaksel858</v>
      </c>
      <c r="C4531" s="7" t="s">
        <v>22568</v>
      </c>
      <c r="D4531" s="7" t="s">
        <v>22569</v>
      </c>
      <c r="E4531" s="12" t="str">
        <f>HYPERLINK("https://twitter.com/gokhanaksel858/status/1181867991362936832","1181867991362936832")</f>
        <v>1181867991362936832</v>
      </c>
      <c r="F4531" s="8"/>
      <c r="G4531" s="7"/>
      <c r="H4531" s="8"/>
      <c r="I4531" s="15">
        <v>0</v>
      </c>
      <c r="J4531" s="15">
        <v>1</v>
      </c>
      <c r="K4531" s="12" t="str">
        <f>HYPERLINK("http://twitter.com","Twitter Web Client")</f>
        <v>Twitter Web Client</v>
      </c>
      <c r="L4531" s="16">
        <v>19</v>
      </c>
      <c r="M4531" s="16">
        <v>0</v>
      </c>
      <c r="N4531" s="16">
        <v>0</v>
      </c>
      <c r="O4531" s="17"/>
      <c r="P4531" s="18">
        <v>43595.257986111115</v>
      </c>
      <c r="Q4531" s="7" t="s">
        <v>1489</v>
      </c>
      <c r="R4531" s="7" t="s">
        <v>22570</v>
      </c>
      <c r="S4531" s="8"/>
      <c r="T4531" s="8"/>
      <c r="U4531" s="19" t="str">
        <f>HYPERLINK("https://pbs.twimg.com/profile_images/1130843905992216576/mZamLsav.png","View")</f>
        <v>View</v>
      </c>
      <c r="V4531" s="8"/>
      <c r="W4531" s="8"/>
      <c r="X4531" s="8"/>
      <c r="Y4531" s="8"/>
      <c r="Z4531" s="8"/>
    </row>
    <row r="4532" spans="1:26" ht="12.75">
      <c r="A4532" s="11">
        <v>43747.11409722222</v>
      </c>
      <c r="B4532" s="12" t="str">
        <f>HYPERLINK("https://twitter.com/marzipanoglu","@marzipanoglu")</f>
        <v>@marzipanoglu</v>
      </c>
      <c r="C4532" s="7" t="s">
        <v>22571</v>
      </c>
      <c r="D4532" s="7" t="s">
        <v>20575</v>
      </c>
      <c r="E4532" s="12" t="str">
        <f>HYPERLINK("https://twitter.com/marzipanoglu/status/1181867979379789824","1181867979379789824")</f>
        <v>1181867979379789824</v>
      </c>
      <c r="F4532" s="8"/>
      <c r="G4532" s="15"/>
      <c r="H4532" s="8"/>
      <c r="I4532" s="15">
        <v>0</v>
      </c>
      <c r="J4532" s="15">
        <v>0</v>
      </c>
      <c r="K4532" s="12" t="str">
        <f>HYPERLINK("http://twitter.com/download/iphone","Twitter for iPhone")</f>
        <v>Twitter for iPhone</v>
      </c>
      <c r="L4532" s="16">
        <v>622</v>
      </c>
      <c r="M4532" s="16">
        <v>395</v>
      </c>
      <c r="N4532" s="16">
        <v>2</v>
      </c>
      <c r="O4532" s="17"/>
      <c r="P4532" s="18">
        <v>41149.854629629626</v>
      </c>
      <c r="Q4532" s="7"/>
      <c r="R4532" s="7" t="s">
        <v>22572</v>
      </c>
      <c r="S4532" s="8"/>
      <c r="T4532" s="8"/>
      <c r="U4532" s="19" t="str">
        <f>HYPERLINK("https://pbs.twimg.com/profile_images/1181318362313265152/c97BWsrD.jpg","View")</f>
        <v>View</v>
      </c>
      <c r="V4532" s="8"/>
      <c r="W4532" s="8"/>
      <c r="X4532" s="8"/>
      <c r="Y4532" s="8"/>
      <c r="Z4532" s="8"/>
    </row>
    <row r="4533" spans="1:26" ht="12.75">
      <c r="A4533" s="11">
        <v>43747.114074074074</v>
      </c>
      <c r="B4533" s="12" t="str">
        <f>HYPERLINK("https://twitter.com/KerimTurn3","@KerimTurn3")</f>
        <v>@KerimTurn3</v>
      </c>
      <c r="C4533" s="7" t="s">
        <v>22573</v>
      </c>
      <c r="D4533" s="7" t="s">
        <v>21824</v>
      </c>
      <c r="E4533" s="12" t="str">
        <f>HYPERLINK("https://twitter.com/KerimTurn3/status/1181867969636421632","1181867969636421632")</f>
        <v>1181867969636421632</v>
      </c>
      <c r="F4533" s="15"/>
      <c r="G4533" s="14" t="s">
        <v>22574</v>
      </c>
      <c r="H4533" s="8"/>
      <c r="I4533" s="15">
        <v>0</v>
      </c>
      <c r="J4533" s="15">
        <v>6</v>
      </c>
      <c r="K4533" s="12" t="str">
        <f>HYPERLINK("http://twitter.com/download/android","Twitter for Android")</f>
        <v>Twitter for Android</v>
      </c>
      <c r="L4533" s="16">
        <v>17</v>
      </c>
      <c r="M4533" s="16">
        <v>9</v>
      </c>
      <c r="N4533" s="16">
        <v>0</v>
      </c>
      <c r="O4533" s="17"/>
      <c r="P4533" s="18">
        <v>42209.305763888886</v>
      </c>
      <c r="Q4533" s="7" t="s">
        <v>22575</v>
      </c>
      <c r="R4533" s="7"/>
      <c r="S4533" s="8"/>
      <c r="T4533" s="8"/>
      <c r="U4533" s="19" t="str">
        <f>HYPERLINK("https://pbs.twimg.com/profile_images/1151963695670550528/6VaiNAk7.jpg","View")</f>
        <v>View</v>
      </c>
      <c r="V4533" s="8"/>
      <c r="W4533" s="8"/>
      <c r="X4533" s="8"/>
      <c r="Y4533" s="8"/>
      <c r="Z4533" s="8"/>
    </row>
    <row r="4534" spans="1:26" ht="12.75">
      <c r="A4534" s="11">
        <v>43747.113969907412</v>
      </c>
      <c r="B4534" s="12" t="str">
        <f>HYPERLINK("https://twitter.com/Blackhawkist","@Blackhawkist")</f>
        <v>@Blackhawkist</v>
      </c>
      <c r="C4534" s="7" t="s">
        <v>22576</v>
      </c>
      <c r="D4534" s="7" t="s">
        <v>22577</v>
      </c>
      <c r="E4534" s="12" t="str">
        <f>HYPERLINK("https://twitter.com/Blackhawkist/status/1181867932042895360","1181867932042895360")</f>
        <v>1181867932042895360</v>
      </c>
      <c r="F4534" s="8"/>
      <c r="G4534" s="14" t="s">
        <v>22578</v>
      </c>
      <c r="H4534" s="8"/>
      <c r="I4534" s="15">
        <v>0</v>
      </c>
      <c r="J4534" s="15">
        <v>0</v>
      </c>
      <c r="K4534" s="12" t="str">
        <f>HYPERLINK("http://twitter.com/download/iphone","Twitter for iPhone")</f>
        <v>Twitter for iPhone</v>
      </c>
      <c r="L4534" s="16">
        <v>69</v>
      </c>
      <c r="M4534" s="16">
        <v>146</v>
      </c>
      <c r="N4534" s="16">
        <v>0</v>
      </c>
      <c r="O4534" s="17"/>
      <c r="P4534" s="18">
        <v>41427.617939814816</v>
      </c>
      <c r="Q4534" s="7"/>
      <c r="R4534" s="7"/>
      <c r="S4534" s="8"/>
      <c r="T4534" s="8"/>
      <c r="U4534" s="19" t="str">
        <f>HYPERLINK("https://pbs.twimg.com/profile_images/1030528908989480960/Fy1L6be8.jpg","View")</f>
        <v>View</v>
      </c>
      <c r="V4534" s="8"/>
      <c r="W4534" s="8"/>
      <c r="X4534" s="8"/>
      <c r="Y4534" s="8"/>
      <c r="Z4534" s="8"/>
    </row>
    <row r="4535" spans="1:26" ht="12.75">
      <c r="A4535" s="11">
        <v>43747.113958333328</v>
      </c>
      <c r="B4535" s="12" t="str">
        <f>HYPERLINK("https://twitter.com/unsalhatip","@unsalhatip")</f>
        <v>@unsalhatip</v>
      </c>
      <c r="C4535" s="7" t="s">
        <v>22579</v>
      </c>
      <c r="D4535" s="7" t="s">
        <v>22580</v>
      </c>
      <c r="E4535" s="12" t="str">
        <f>HYPERLINK("https://twitter.com/unsalhatip/status/1181867928947482625","1181867928947482625")</f>
        <v>1181867928947482625</v>
      </c>
      <c r="F4535" s="8"/>
      <c r="G4535" s="15"/>
      <c r="H4535" s="8"/>
      <c r="I4535" s="15">
        <v>1</v>
      </c>
      <c r="J4535" s="15">
        <v>2</v>
      </c>
      <c r="K4535" s="12" t="str">
        <f>HYPERLINK("http://twitter.com/download/android","Twitter for Android")</f>
        <v>Twitter for Android</v>
      </c>
      <c r="L4535" s="16">
        <v>6567</v>
      </c>
      <c r="M4535" s="16">
        <v>6132</v>
      </c>
      <c r="N4535" s="16">
        <v>4</v>
      </c>
      <c r="O4535" s="17"/>
      <c r="P4535" s="18">
        <v>42600.159421296295</v>
      </c>
      <c r="Q4535" s="7" t="s">
        <v>22581</v>
      </c>
      <c r="R4535" s="7" t="s">
        <v>22582</v>
      </c>
      <c r="S4535" s="8"/>
      <c r="T4535" s="8"/>
      <c r="U4535" s="19" t="str">
        <f>HYPERLINK("https://pbs.twimg.com/profile_images/1153271458157780992/84O54f8V.jpg","View")</f>
        <v>View</v>
      </c>
      <c r="V4535" s="8"/>
      <c r="W4535" s="8"/>
      <c r="X4535" s="8"/>
      <c r="Y4535" s="8"/>
      <c r="Z4535" s="8"/>
    </row>
    <row r="4536" spans="1:26" ht="12.75">
      <c r="A4536" s="11">
        <v>43747.113912037035</v>
      </c>
      <c r="B4536" s="12" t="str">
        <f>HYPERLINK("https://twitter.com/OsmanDu18281831","@OsmanDu18281831")</f>
        <v>@OsmanDu18281831</v>
      </c>
      <c r="C4536" s="7" t="s">
        <v>22583</v>
      </c>
      <c r="D4536" s="7" t="s">
        <v>22584</v>
      </c>
      <c r="E4536" s="12" t="str">
        <f>HYPERLINK("https://twitter.com/OsmanDu18281831/status/1181867910358339585","1181867910358339585")</f>
        <v>1181867910358339585</v>
      </c>
      <c r="F4536" s="8"/>
      <c r="G4536" s="14" t="s">
        <v>22585</v>
      </c>
      <c r="H4536" s="8"/>
      <c r="I4536" s="15">
        <v>0</v>
      </c>
      <c r="J4536" s="15">
        <v>3</v>
      </c>
      <c r="K4536" s="12" t="str">
        <f>HYPERLINK("http://twitter.com/download/android","Twitter for Android")</f>
        <v>Twitter for Android</v>
      </c>
      <c r="L4536" s="16">
        <v>114</v>
      </c>
      <c r="M4536" s="16">
        <v>466</v>
      </c>
      <c r="N4536" s="16">
        <v>0</v>
      </c>
      <c r="O4536" s="17"/>
      <c r="P4536" s="18">
        <v>43426.600578703699</v>
      </c>
      <c r="Q4536" s="7" t="s">
        <v>1639</v>
      </c>
      <c r="R4536" s="7" t="s">
        <v>22586</v>
      </c>
      <c r="S4536" s="8"/>
      <c r="T4536" s="8"/>
      <c r="U4536" s="19" t="str">
        <f>HYPERLINK("https://pbs.twimg.com/profile_images/1140888328025387008/aEU-sVp1.jpg","View")</f>
        <v>View</v>
      </c>
      <c r="V4536" s="8"/>
      <c r="W4536" s="8"/>
      <c r="X4536" s="8"/>
      <c r="Y4536" s="8"/>
      <c r="Z4536" s="8"/>
    </row>
    <row r="4537" spans="1:26" ht="12.75">
      <c r="A4537" s="11">
        <v>43747.11383101852</v>
      </c>
      <c r="B4537" s="12" t="str">
        <f>HYPERLINK("https://twitter.com/OmHcu","@OmHcu")</f>
        <v>@OmHcu</v>
      </c>
      <c r="C4537" s="7" t="s">
        <v>22587</v>
      </c>
      <c r="D4537" s="7" t="s">
        <v>22588</v>
      </c>
      <c r="E4537" s="12" t="str">
        <f>HYPERLINK("https://twitter.com/OmHcu/status/1181867881417576448","1181867881417576448")</f>
        <v>1181867881417576448</v>
      </c>
      <c r="F4537" s="8"/>
      <c r="G4537" s="15"/>
      <c r="H4537" s="8"/>
      <c r="I4537" s="15">
        <v>0</v>
      </c>
      <c r="J4537" s="15">
        <v>0</v>
      </c>
      <c r="K4537" s="12" t="str">
        <f>HYPERLINK("http://twitter.com/download/android","Twitter for Android")</f>
        <v>Twitter for Android</v>
      </c>
      <c r="L4537" s="16">
        <v>568</v>
      </c>
      <c r="M4537" s="16">
        <v>741</v>
      </c>
      <c r="N4537" s="16">
        <v>0</v>
      </c>
      <c r="O4537" s="17"/>
      <c r="P4537" s="18">
        <v>40778.15788194444</v>
      </c>
      <c r="Q4537" s="7" t="s">
        <v>22589</v>
      </c>
      <c r="R4537" s="7" t="s">
        <v>22590</v>
      </c>
      <c r="S4537" s="8"/>
      <c r="T4537" s="8"/>
      <c r="U4537" s="19" t="str">
        <f>HYPERLINK("https://pbs.twimg.com/profile_images/958782201881092097/b7rlwwuj.jpg","View")</f>
        <v>View</v>
      </c>
      <c r="V4537" s="8"/>
      <c r="W4537" s="8"/>
      <c r="X4537" s="8"/>
      <c r="Y4537" s="8"/>
      <c r="Z4537" s="8"/>
    </row>
    <row r="4538" spans="1:26" ht="12.75">
      <c r="A4538" s="11">
        <v>43747.113807870366</v>
      </c>
      <c r="B4538" s="12" t="str">
        <f>HYPERLINK("https://twitter.com/mubinyigit","@mubinyigit")</f>
        <v>@mubinyigit</v>
      </c>
      <c r="C4538" s="7" t="s">
        <v>22591</v>
      </c>
      <c r="D4538" s="7" t="s">
        <v>22592</v>
      </c>
      <c r="E4538" s="12" t="str">
        <f>HYPERLINK("https://twitter.com/mubinyigit/status/1181867873192595457","1181867873192595457")</f>
        <v>1181867873192595457</v>
      </c>
      <c r="F4538" s="14" t="s">
        <v>22593</v>
      </c>
      <c r="G4538" s="14" t="s">
        <v>14745</v>
      </c>
      <c r="H4538" s="8"/>
      <c r="I4538" s="15">
        <v>0</v>
      </c>
      <c r="J4538" s="15">
        <v>1</v>
      </c>
      <c r="K4538" s="12" t="str">
        <f>HYPERLINK("http://twitter.com/download/android","Twitter for Android")</f>
        <v>Twitter for Android</v>
      </c>
      <c r="L4538" s="16">
        <v>155</v>
      </c>
      <c r="M4538" s="16">
        <v>466</v>
      </c>
      <c r="N4538" s="16">
        <v>0</v>
      </c>
      <c r="O4538" s="17"/>
      <c r="P4538" s="18">
        <v>40595.612673611111</v>
      </c>
      <c r="Q4538" s="7"/>
      <c r="R4538" s="7"/>
      <c r="S4538" s="8"/>
      <c r="T4538" s="8"/>
      <c r="U4538" s="19" t="str">
        <f>HYPERLINK("https://pbs.twimg.com/profile_images/546454966198870017/cqNtcNOH.jpeg","View")</f>
        <v>View</v>
      </c>
      <c r="V4538" s="8"/>
      <c r="W4538" s="8"/>
      <c r="X4538" s="8"/>
      <c r="Y4538" s="8"/>
      <c r="Z4538" s="8"/>
    </row>
    <row r="4539" spans="1:26" ht="12.75">
      <c r="A4539" s="11">
        <v>43747.113807870366</v>
      </c>
      <c r="B4539" s="12" t="str">
        <f>HYPERLINK("https://twitter.com/Fedai0234","@Fedai0234")</f>
        <v>@Fedai0234</v>
      </c>
      <c r="C4539" s="7" t="s">
        <v>22594</v>
      </c>
      <c r="D4539" s="7" t="s">
        <v>22595</v>
      </c>
      <c r="E4539" s="12" t="str">
        <f>HYPERLINK("https://twitter.com/Fedai0234/status/1181867871938453504","1181867871938453504")</f>
        <v>1181867871938453504</v>
      </c>
      <c r="F4539" s="8"/>
      <c r="G4539" s="14" t="s">
        <v>22596</v>
      </c>
      <c r="H4539" s="8"/>
      <c r="I4539" s="15">
        <v>0</v>
      </c>
      <c r="J4539" s="15">
        <v>2</v>
      </c>
      <c r="K4539" s="12" t="str">
        <f>HYPERLINK("http://twitter.com/download/android","Twitter for Android")</f>
        <v>Twitter for Android</v>
      </c>
      <c r="L4539" s="16">
        <v>24</v>
      </c>
      <c r="M4539" s="16">
        <v>44</v>
      </c>
      <c r="N4539" s="16">
        <v>0</v>
      </c>
      <c r="O4539" s="17"/>
      <c r="P4539" s="18">
        <v>43027.233449074076</v>
      </c>
      <c r="Q4539" s="7"/>
      <c r="R4539" s="7"/>
      <c r="S4539" s="8"/>
      <c r="T4539" s="8"/>
      <c r="U4539" s="19" t="str">
        <f>HYPERLINK("https://pbs.twimg.com/profile_images/950840441708085249/QQFeFpd9.jpg","View")</f>
        <v>View</v>
      </c>
      <c r="V4539" s="8"/>
      <c r="W4539" s="8"/>
      <c r="X4539" s="8"/>
      <c r="Y4539" s="8"/>
      <c r="Z4539" s="8"/>
    </row>
    <row r="4540" spans="1:26" ht="12.75">
      <c r="A4540" s="11">
        <v>43747.113796296297</v>
      </c>
      <c r="B4540" s="12" t="str">
        <f>HYPERLINK("https://twitter.com/mermaididyle","@mermaididyle")</f>
        <v>@mermaididyle</v>
      </c>
      <c r="C4540" s="7" t="s">
        <v>22597</v>
      </c>
      <c r="D4540" s="7" t="s">
        <v>22598</v>
      </c>
      <c r="E4540" s="12" t="str">
        <f>HYPERLINK("https://twitter.com/mermaididyle/status/1181867868985712641","1181867868985712641")</f>
        <v>1181867868985712641</v>
      </c>
      <c r="F4540" s="8"/>
      <c r="G4540" s="15"/>
      <c r="H4540" s="8"/>
      <c r="I4540" s="15">
        <v>0</v>
      </c>
      <c r="J4540" s="15">
        <v>1</v>
      </c>
      <c r="K4540" s="12" t="str">
        <f>HYPERLINK("http://twitter.com/download/android","Twitter for Android")</f>
        <v>Twitter for Android</v>
      </c>
      <c r="L4540" s="16">
        <v>78</v>
      </c>
      <c r="M4540" s="16">
        <v>51</v>
      </c>
      <c r="N4540" s="16">
        <v>0</v>
      </c>
      <c r="O4540" s="17"/>
      <c r="P4540" s="18">
        <v>43682.471979166672</v>
      </c>
      <c r="Q4540" s="7" t="s">
        <v>80</v>
      </c>
      <c r="R4540" s="7" t="s">
        <v>22599</v>
      </c>
      <c r="S4540" s="8"/>
      <c r="T4540" s="8"/>
      <c r="U4540" s="19" t="str">
        <f>HYPERLINK("https://pbs.twimg.com/profile_images/1171804835412422656/mWRmL71I.jpg","View")</f>
        <v>View</v>
      </c>
      <c r="V4540" s="8"/>
      <c r="W4540" s="8"/>
      <c r="X4540" s="8"/>
      <c r="Y4540" s="8"/>
      <c r="Z4540" s="8"/>
    </row>
    <row r="4541" spans="1:26" ht="12.75">
      <c r="A4541" s="11">
        <v>43747.113738425927</v>
      </c>
      <c r="B4541" s="12" t="str">
        <f>HYPERLINK("https://twitter.com/NurkayaEcrin","@NurkayaEcrin")</f>
        <v>@NurkayaEcrin</v>
      </c>
      <c r="C4541" s="7" t="s">
        <v>22600</v>
      </c>
      <c r="D4541" s="7" t="s">
        <v>22601</v>
      </c>
      <c r="E4541" s="12" t="str">
        <f>HYPERLINK("https://twitter.com/NurkayaEcrin/status/1181867848798556160","1181867848798556160")</f>
        <v>1181867848798556160</v>
      </c>
      <c r="F4541" s="8"/>
      <c r="G4541" s="14" t="s">
        <v>22602</v>
      </c>
      <c r="H4541" s="8"/>
      <c r="I4541" s="15">
        <v>0</v>
      </c>
      <c r="J4541" s="15">
        <v>0</v>
      </c>
      <c r="K4541" s="12" t="str">
        <f>HYPERLINK("http://twitter.com","Twitter Web Client")</f>
        <v>Twitter Web Client</v>
      </c>
      <c r="L4541" s="16">
        <v>1</v>
      </c>
      <c r="M4541" s="16">
        <v>0</v>
      </c>
      <c r="N4541" s="16">
        <v>0</v>
      </c>
      <c r="O4541" s="17"/>
      <c r="P4541" s="18">
        <v>43683.81</v>
      </c>
      <c r="Q4541" s="7" t="s">
        <v>6929</v>
      </c>
      <c r="R4541" s="7" t="s">
        <v>22603</v>
      </c>
      <c r="S4541" s="8"/>
      <c r="T4541" s="8"/>
      <c r="U4541" s="19" t="str">
        <f>HYPERLINK("https://pbs.twimg.com/profile_images/1167217500125302784/xBQbs3s1.jpg","View")</f>
        <v>View</v>
      </c>
      <c r="V4541" s="8"/>
      <c r="W4541" s="8"/>
      <c r="X4541" s="8"/>
      <c r="Y4541" s="8"/>
      <c r="Z4541" s="8"/>
    </row>
    <row r="4542" spans="1:26" ht="12.75">
      <c r="A4542" s="11">
        <v>43747.113715277781</v>
      </c>
      <c r="B4542" s="12" t="str">
        <f>HYPERLINK("https://twitter.com/dasda84807641","@dasda84807641")</f>
        <v>@dasda84807641</v>
      </c>
      <c r="C4542" s="7" t="s">
        <v>22604</v>
      </c>
      <c r="D4542" s="7" t="s">
        <v>22605</v>
      </c>
      <c r="E4542" s="12" t="str">
        <f>HYPERLINK("https://twitter.com/dasda84807641/status/1181867837977251840","1181867837977251840")</f>
        <v>1181867837977251840</v>
      </c>
      <c r="F4542" s="8"/>
      <c r="G4542" s="7"/>
      <c r="H4542" s="8"/>
      <c r="I4542" s="15">
        <v>0</v>
      </c>
      <c r="J4542" s="15">
        <v>0</v>
      </c>
      <c r="K4542" s="12" t="str">
        <f>HYPERLINK("http://twitter.com/download/android","Twitter for Android")</f>
        <v>Twitter for Android</v>
      </c>
      <c r="L4542" s="16">
        <v>0</v>
      </c>
      <c r="M4542" s="16">
        <v>6</v>
      </c>
      <c r="N4542" s="16">
        <v>0</v>
      </c>
      <c r="O4542" s="17"/>
      <c r="P4542" s="18">
        <v>43744.911377314813</v>
      </c>
      <c r="Q4542" s="7"/>
      <c r="R4542" s="7"/>
      <c r="S4542" s="8"/>
      <c r="T4542" s="8"/>
      <c r="U4542" s="20" t="s">
        <v>354</v>
      </c>
      <c r="V4542" s="8"/>
      <c r="W4542" s="8"/>
      <c r="X4542" s="8"/>
      <c r="Y4542" s="8"/>
      <c r="Z4542" s="8"/>
    </row>
    <row r="4543" spans="1:26" ht="12.75">
      <c r="A4543" s="11">
        <v>43747.113657407404</v>
      </c>
      <c r="B4543" s="12" t="str">
        <f>HYPERLINK("https://twitter.com/yavuzhanmetehan","@yavuzhanmetehan")</f>
        <v>@yavuzhanmetehan</v>
      </c>
      <c r="C4543" s="7" t="s">
        <v>22606</v>
      </c>
      <c r="D4543" s="7" t="s">
        <v>22607</v>
      </c>
      <c r="E4543" s="12" t="str">
        <f>HYPERLINK("https://twitter.com/yavuzhanmetehan/status/1181867818054275072","1181867818054275072")</f>
        <v>1181867818054275072</v>
      </c>
      <c r="F4543" s="8"/>
      <c r="G4543" s="14" t="s">
        <v>22608</v>
      </c>
      <c r="H4543" s="8"/>
      <c r="I4543" s="15">
        <v>0</v>
      </c>
      <c r="J4543" s="15">
        <v>0</v>
      </c>
      <c r="K4543" s="12" t="str">
        <f>HYPERLINK("http://twitter.com/download/iphone","Twitter for iPhone")</f>
        <v>Twitter for iPhone</v>
      </c>
      <c r="L4543" s="16">
        <v>33</v>
      </c>
      <c r="M4543" s="16">
        <v>133</v>
      </c>
      <c r="N4543" s="16">
        <v>0</v>
      </c>
      <c r="O4543" s="17"/>
      <c r="P4543" s="18">
        <v>43012.470578703702</v>
      </c>
      <c r="Q4543" s="7" t="s">
        <v>22609</v>
      </c>
      <c r="R4543" s="7" t="s">
        <v>22610</v>
      </c>
      <c r="S4543" s="8"/>
      <c r="T4543" s="8"/>
      <c r="U4543" s="19" t="str">
        <f>HYPERLINK("https://pbs.twimg.com/profile_images/1181825684605415425/PSOSZpsk.jpg","View")</f>
        <v>View</v>
      </c>
      <c r="V4543" s="8"/>
      <c r="W4543" s="8"/>
      <c r="X4543" s="8"/>
      <c r="Y4543" s="8"/>
      <c r="Z4543" s="8"/>
    </row>
    <row r="4544" spans="1:26" ht="12.75">
      <c r="A4544" s="11">
        <v>43747.113622685181</v>
      </c>
      <c r="B4544" s="12" t="str">
        <f>HYPERLINK("https://twitter.com/biimczb","@biimczb")</f>
        <v>@biimczb</v>
      </c>
      <c r="C4544" s="7" t="s">
        <v>22611</v>
      </c>
      <c r="D4544" s="7" t="s">
        <v>22612</v>
      </c>
      <c r="E4544" s="12" t="str">
        <f>HYPERLINK("https://twitter.com/biimczb/status/1181867804552773632","1181867804552773632")</f>
        <v>1181867804552773632</v>
      </c>
      <c r="F4544" s="8"/>
      <c r="G4544" s="14" t="s">
        <v>22613</v>
      </c>
      <c r="H4544" s="8"/>
      <c r="I4544" s="15">
        <v>0</v>
      </c>
      <c r="J4544" s="15">
        <v>4</v>
      </c>
      <c r="K4544" s="12" t="str">
        <f>HYPERLINK("http://twitter.com/download/android","Twitter for Android")</f>
        <v>Twitter for Android</v>
      </c>
      <c r="L4544" s="16">
        <v>179</v>
      </c>
      <c r="M4544" s="16">
        <v>221</v>
      </c>
      <c r="N4544" s="16">
        <v>0</v>
      </c>
      <c r="O4544" s="17"/>
      <c r="P4544" s="18">
        <v>43695.233124999999</v>
      </c>
      <c r="Q4544" s="7" t="s">
        <v>22614</v>
      </c>
      <c r="R4544" s="7" t="s">
        <v>22615</v>
      </c>
      <c r="S4544" s="8"/>
      <c r="T4544" s="8"/>
      <c r="U4544" s="19" t="str">
        <f>HYPERLINK("https://pbs.twimg.com/profile_images/1167283567224938496/Akjz8FHP.jpg","View")</f>
        <v>View</v>
      </c>
      <c r="V4544" s="8"/>
      <c r="W4544" s="8"/>
      <c r="X4544" s="8"/>
      <c r="Y4544" s="8"/>
      <c r="Z4544" s="8"/>
    </row>
    <row r="4545" spans="1:26" ht="12.75">
      <c r="A4545" s="11">
        <v>43747.113611111112</v>
      </c>
      <c r="B4545" s="12" t="str">
        <f>HYPERLINK("https://twitter.com/biancahsotova","@biancahsotova")</f>
        <v>@biancahsotova</v>
      </c>
      <c r="C4545" s="7" t="s">
        <v>22616</v>
      </c>
      <c r="D4545" s="7" t="s">
        <v>22617</v>
      </c>
      <c r="E4545" s="12" t="str">
        <f>HYPERLINK("https://twitter.com/biancahsotova/status/1181867800081469440","1181867800081469440")</f>
        <v>1181867800081469440</v>
      </c>
      <c r="F4545" s="8"/>
      <c r="G4545" s="7"/>
      <c r="H4545" s="8"/>
      <c r="I4545" s="15">
        <v>0</v>
      </c>
      <c r="J4545" s="15">
        <v>1</v>
      </c>
      <c r="K4545" s="12" t="str">
        <f>HYPERLINK("https://mobile.twitter.com","Twitter Web App")</f>
        <v>Twitter Web App</v>
      </c>
      <c r="L4545" s="16">
        <v>36</v>
      </c>
      <c r="M4545" s="16">
        <v>187</v>
      </c>
      <c r="N4545" s="16">
        <v>1</v>
      </c>
      <c r="O4545" s="17"/>
      <c r="P4545" s="18">
        <v>42859.700300925921</v>
      </c>
      <c r="Q4545" s="7"/>
      <c r="R4545" s="7"/>
      <c r="S4545" s="8"/>
      <c r="T4545" s="8"/>
      <c r="U4545" s="19" t="str">
        <f>HYPERLINK("https://pbs.twimg.com/profile_images/865093590195642372/O5IAPtCG.jpg","View")</f>
        <v>View</v>
      </c>
      <c r="V4545" s="8"/>
      <c r="W4545" s="8"/>
      <c r="X4545" s="8"/>
      <c r="Y4545" s="8"/>
      <c r="Z4545" s="8"/>
    </row>
    <row r="4546" spans="1:26" ht="12.75">
      <c r="A4546" s="11">
        <v>43747.113495370373</v>
      </c>
      <c r="B4546" s="12" t="str">
        <f>HYPERLINK("https://twitter.com/cimGSbom1905","@cimGSbom1905")</f>
        <v>@cimGSbom1905</v>
      </c>
      <c r="C4546" s="7" t="s">
        <v>22618</v>
      </c>
      <c r="D4546" s="7" t="s">
        <v>22619</v>
      </c>
      <c r="E4546" s="12" t="str">
        <f>HYPERLINK("https://twitter.com/cimGSbom1905/status/1181867760667762688","1181867760667762688")</f>
        <v>1181867760667762688</v>
      </c>
      <c r="F4546" s="8"/>
      <c r="G4546" s="15"/>
      <c r="H4546" s="8"/>
      <c r="I4546" s="15">
        <v>0</v>
      </c>
      <c r="J4546" s="15">
        <v>0</v>
      </c>
      <c r="K4546" s="12" t="str">
        <f>HYPERLINK("http://twitter.com/download/android","Twitter for Android")</f>
        <v>Twitter for Android</v>
      </c>
      <c r="L4546" s="16">
        <v>1335</v>
      </c>
      <c r="M4546" s="16">
        <v>1371</v>
      </c>
      <c r="N4546" s="16">
        <v>0</v>
      </c>
      <c r="O4546" s="17"/>
      <c r="P4546" s="18">
        <v>41388.940011574072</v>
      </c>
      <c r="Q4546" s="7" t="s">
        <v>576</v>
      </c>
      <c r="R4546" s="7" t="s">
        <v>22620</v>
      </c>
      <c r="S4546" s="8"/>
      <c r="T4546" s="8"/>
      <c r="U4546" s="19" t="str">
        <f>HYPERLINK("https://pbs.twimg.com/profile_images/1161876713728610304/x9EIsPws.jpg","View")</f>
        <v>View</v>
      </c>
      <c r="V4546" s="8"/>
      <c r="W4546" s="8"/>
      <c r="X4546" s="8"/>
      <c r="Y4546" s="8"/>
      <c r="Z4546" s="8"/>
    </row>
    <row r="4547" spans="1:26" ht="12.75">
      <c r="A4547" s="11">
        <v>43747.113495370373</v>
      </c>
      <c r="B4547" s="12" t="str">
        <f>HYPERLINK("https://twitter.com/vatandelisi016","@vatandelisi016")</f>
        <v>@vatandelisi016</v>
      </c>
      <c r="C4547" s="7" t="s">
        <v>22621</v>
      </c>
      <c r="D4547" s="7" t="s">
        <v>22622</v>
      </c>
      <c r="E4547" s="12" t="str">
        <f>HYPERLINK("https://twitter.com/vatandelisi016/status/1181867758688100352","1181867758688100352")</f>
        <v>1181867758688100352</v>
      </c>
      <c r="F4547" s="15"/>
      <c r="G4547" s="14" t="s">
        <v>22623</v>
      </c>
      <c r="H4547" s="8"/>
      <c r="I4547" s="15">
        <v>0</v>
      </c>
      <c r="J4547" s="15">
        <v>1</v>
      </c>
      <c r="K4547" s="12" t="str">
        <f>HYPERLINK("http://twitter.com/download/iphone","Twitter for iPhone")</f>
        <v>Twitter for iPhone</v>
      </c>
      <c r="L4547" s="16">
        <v>16</v>
      </c>
      <c r="M4547" s="16">
        <v>102</v>
      </c>
      <c r="N4547" s="16">
        <v>0</v>
      </c>
      <c r="O4547" s="17"/>
      <c r="P4547" s="18">
        <v>43122.122465277775</v>
      </c>
      <c r="Q4547" s="7"/>
      <c r="R4547" s="7"/>
      <c r="S4547" s="8"/>
      <c r="T4547" s="8"/>
      <c r="U4547" s="19" t="str">
        <f>HYPERLINK("https://pbs.twimg.com/profile_images/957601920826388480/mKFoRaeE.jpg","View")</f>
        <v>View</v>
      </c>
      <c r="V4547" s="8"/>
      <c r="W4547" s="8"/>
      <c r="X4547" s="8"/>
      <c r="Y4547" s="8"/>
      <c r="Z4547" s="8"/>
    </row>
    <row r="4548" spans="1:26" ht="12.75">
      <c r="A4548" s="11">
        <v>43747.11347222222</v>
      </c>
      <c r="B4548" s="12" t="str">
        <f>HYPERLINK("https://twitter.com/dereliland","@dereliland")</f>
        <v>@dereliland</v>
      </c>
      <c r="C4548" s="7" t="s">
        <v>22624</v>
      </c>
      <c r="D4548" s="7" t="s">
        <v>22625</v>
      </c>
      <c r="E4548" s="12" t="str">
        <f>HYPERLINK("https://twitter.com/dereliland/status/1181867749649403904","1181867749649403904")</f>
        <v>1181867749649403904</v>
      </c>
      <c r="F4548" s="8"/>
      <c r="G4548" s="14" t="s">
        <v>22626</v>
      </c>
      <c r="H4548" s="8"/>
      <c r="I4548" s="15">
        <v>0</v>
      </c>
      <c r="J4548" s="15">
        <v>2</v>
      </c>
      <c r="K4548" s="12" t="str">
        <f>HYPERLINK("http://twitter.com/download/android","Twitter for Android")</f>
        <v>Twitter for Android</v>
      </c>
      <c r="L4548" s="16">
        <v>3</v>
      </c>
      <c r="M4548" s="16">
        <v>19</v>
      </c>
      <c r="N4548" s="16">
        <v>0</v>
      </c>
      <c r="O4548" s="17"/>
      <c r="P4548" s="18">
        <v>43682.272789351853</v>
      </c>
      <c r="Q4548" s="7"/>
      <c r="R4548" s="7" t="s">
        <v>22627</v>
      </c>
      <c r="S4548" s="8"/>
      <c r="T4548" s="8"/>
      <c r="U4548" s="19" t="str">
        <f>HYPERLINK("https://pbs.twimg.com/profile_images/1177503848379797505/3BiJF4Qb.jpg","View")</f>
        <v>View</v>
      </c>
      <c r="V4548" s="8"/>
      <c r="W4548" s="8"/>
      <c r="X4548" s="8"/>
      <c r="Y4548" s="8"/>
      <c r="Z4548" s="8"/>
    </row>
    <row r="4549" spans="1:26" ht="12.75">
      <c r="A4549" s="11">
        <v>43747.11347222222</v>
      </c>
      <c r="B4549" s="12" t="str">
        <f>HYPERLINK("https://twitter.com/Gkbr47381180","@Gkbr47381180")</f>
        <v>@Gkbr47381180</v>
      </c>
      <c r="C4549" s="7" t="s">
        <v>22628</v>
      </c>
      <c r="D4549" s="7" t="s">
        <v>22629</v>
      </c>
      <c r="E4549" s="12" t="str">
        <f>HYPERLINK("https://twitter.com/Gkbr47381180/status/1181867749200601088","1181867749200601088")</f>
        <v>1181867749200601088</v>
      </c>
      <c r="F4549" s="8"/>
      <c r="G4549" s="15"/>
      <c r="H4549" s="8"/>
      <c r="I4549" s="15">
        <v>0</v>
      </c>
      <c r="J4549" s="15">
        <v>1</v>
      </c>
      <c r="K4549" s="12" t="str">
        <f>HYPERLINK("http://twitter.com/download/android","Twitter for Android")</f>
        <v>Twitter for Android</v>
      </c>
      <c r="L4549" s="16">
        <v>1</v>
      </c>
      <c r="M4549" s="16">
        <v>12</v>
      </c>
      <c r="N4549" s="16">
        <v>0</v>
      </c>
      <c r="O4549" s="17"/>
      <c r="P4549" s="18">
        <v>43734.967175925922</v>
      </c>
      <c r="Q4549" s="7"/>
      <c r="R4549" s="7" t="s">
        <v>22630</v>
      </c>
      <c r="S4549" s="8"/>
      <c r="T4549" s="8"/>
      <c r="U4549" s="19" t="str">
        <f>HYPERLINK("https://pbs.twimg.com/profile_images/1177466259853627393/8O4eSSt1.jpg","View")</f>
        <v>View</v>
      </c>
      <c r="V4549" s="8"/>
      <c r="W4549" s="8"/>
      <c r="X4549" s="8"/>
      <c r="Y4549" s="8"/>
      <c r="Z4549" s="8"/>
    </row>
    <row r="4550" spans="1:26" ht="12.75">
      <c r="A4550" s="11">
        <v>43747.113425925927</v>
      </c>
      <c r="B4550" s="12" t="str">
        <f>HYPERLINK("https://twitter.com/medine_gundiler","@medine_gundiler")</f>
        <v>@medine_gundiler</v>
      </c>
      <c r="C4550" s="7" t="s">
        <v>22631</v>
      </c>
      <c r="D4550" s="7" t="s">
        <v>22632</v>
      </c>
      <c r="E4550" s="12" t="str">
        <f>HYPERLINK("https://twitter.com/medine_gundiler/status/1181867734898008070","1181867734898008070")</f>
        <v>1181867734898008070</v>
      </c>
      <c r="F4550" s="8"/>
      <c r="G4550" s="14" t="s">
        <v>22633</v>
      </c>
      <c r="H4550" s="8"/>
      <c r="I4550" s="15">
        <v>0</v>
      </c>
      <c r="J4550" s="15">
        <v>0</v>
      </c>
      <c r="K4550" s="12" t="str">
        <f>HYPERLINK("http://twitter.com","Twitter Web Client")</f>
        <v>Twitter Web Client</v>
      </c>
      <c r="L4550" s="16">
        <v>11</v>
      </c>
      <c r="M4550" s="16">
        <v>0</v>
      </c>
      <c r="N4550" s="16">
        <v>0</v>
      </c>
      <c r="O4550" s="17"/>
      <c r="P4550" s="18">
        <v>43683.813831018517</v>
      </c>
      <c r="Q4550" s="7" t="s">
        <v>13892</v>
      </c>
      <c r="R4550" s="7" t="s">
        <v>22634</v>
      </c>
      <c r="S4550" s="8"/>
      <c r="T4550" s="8"/>
      <c r="U4550" s="19" t="str">
        <f>HYPERLINK("https://pbs.twimg.com/profile_images/1167217801561563138/abFZuU__.jpg","View")</f>
        <v>View</v>
      </c>
      <c r="V4550" s="8"/>
      <c r="W4550" s="8"/>
      <c r="X4550" s="8"/>
      <c r="Y4550" s="8"/>
      <c r="Z4550" s="8"/>
    </row>
    <row r="4551" spans="1:26" ht="12.75">
      <c r="A4551" s="11">
        <v>43747.113402777773</v>
      </c>
      <c r="B4551" s="12" t="str">
        <f>HYPERLINK("https://twitter.com/sgma1203","@sgma1203")</f>
        <v>@sgma1203</v>
      </c>
      <c r="C4551" s="7" t="s">
        <v>22635</v>
      </c>
      <c r="D4551" s="7" t="s">
        <v>22636</v>
      </c>
      <c r="E4551" s="12" t="str">
        <f>HYPERLINK("https://twitter.com/sgma1203/status/1181867727763492864","1181867727763492864")</f>
        <v>1181867727763492864</v>
      </c>
      <c r="F4551" s="8"/>
      <c r="G4551" s="14" t="s">
        <v>22637</v>
      </c>
      <c r="H4551" s="8"/>
      <c r="I4551" s="15">
        <v>1</v>
      </c>
      <c r="J4551" s="15">
        <v>3</v>
      </c>
      <c r="K4551" s="12" t="str">
        <f>HYPERLINK("http://twitter.com/download/iphone","Twitter for iPhone")</f>
        <v>Twitter for iPhone</v>
      </c>
      <c r="L4551" s="16">
        <v>1895</v>
      </c>
      <c r="M4551" s="16">
        <v>3702</v>
      </c>
      <c r="N4551" s="16">
        <v>0</v>
      </c>
      <c r="O4551" s="17"/>
      <c r="P4551" s="18">
        <v>41489.299398148149</v>
      </c>
      <c r="Q4551" s="7" t="s">
        <v>80</v>
      </c>
      <c r="R4551" s="7" t="s">
        <v>22638</v>
      </c>
      <c r="S4551" s="8"/>
      <c r="T4551" s="8"/>
      <c r="U4551" s="19" t="str">
        <f>HYPERLINK("https://pbs.twimg.com/profile_images/1156079751238471680/ksxvMkbf.jpg","View")</f>
        <v>View</v>
      </c>
      <c r="V4551" s="8"/>
      <c r="W4551" s="8"/>
      <c r="X4551" s="8"/>
      <c r="Y4551" s="8"/>
      <c r="Z4551" s="8"/>
    </row>
    <row r="4552" spans="1:26" ht="12.75">
      <c r="A4552" s="11">
        <v>43747.113356481481</v>
      </c>
      <c r="B4552" s="12" t="str">
        <f>HYPERLINK("https://twitter.com/seokjinsatans","@seokjinsatans")</f>
        <v>@seokjinsatans</v>
      </c>
      <c r="C4552" s="7" t="s">
        <v>22639</v>
      </c>
      <c r="D4552" s="7" t="s">
        <v>22640</v>
      </c>
      <c r="E4552" s="12" t="str">
        <f>HYPERLINK("https://twitter.com/seokjinsatans/status/1181867709555970048","1181867709555970048")</f>
        <v>1181867709555970048</v>
      </c>
      <c r="F4552" s="8"/>
      <c r="G4552" s="7"/>
      <c r="H4552" s="8"/>
      <c r="I4552" s="15">
        <v>0</v>
      </c>
      <c r="J4552" s="15">
        <v>0</v>
      </c>
      <c r="K4552" s="12" t="str">
        <f>HYPERLINK("https://mobile.twitter.com","Twitter Web App")</f>
        <v>Twitter Web App</v>
      </c>
      <c r="L4552" s="16">
        <v>300</v>
      </c>
      <c r="M4552" s="16">
        <v>375</v>
      </c>
      <c r="N4552" s="16">
        <v>1</v>
      </c>
      <c r="O4552" s="17"/>
      <c r="P4552" s="18">
        <v>43313.867708333331</v>
      </c>
      <c r="Q4552" s="7"/>
      <c r="R4552" s="7" t="s">
        <v>22641</v>
      </c>
      <c r="S4552" s="14" t="s">
        <v>22642</v>
      </c>
      <c r="T4552" s="8"/>
      <c r="U4552" s="19" t="str">
        <f>HYPERLINK("https://pbs.twimg.com/profile_images/1149698245414785025/WqoKazer.jpg","View")</f>
        <v>View</v>
      </c>
      <c r="V4552" s="8"/>
      <c r="W4552" s="8"/>
      <c r="X4552" s="8"/>
      <c r="Y4552" s="8"/>
      <c r="Z4552" s="8"/>
    </row>
    <row r="4553" spans="1:26" ht="12.75">
      <c r="A4553" s="11">
        <v>43747.113321759258</v>
      </c>
      <c r="B4553" s="12" t="str">
        <f>HYPERLINK("https://twitter.com/HarpSanati","@HarpSanati")</f>
        <v>@HarpSanati</v>
      </c>
      <c r="C4553" s="7" t="s">
        <v>22643</v>
      </c>
      <c r="D4553" s="7" t="s">
        <v>22644</v>
      </c>
      <c r="E4553" s="12" t="str">
        <f>HYPERLINK("https://twitter.com/HarpSanati/status/1181867695240814593","1181867695240814593")</f>
        <v>1181867695240814593</v>
      </c>
      <c r="F4553" s="8"/>
      <c r="G4553" s="7"/>
      <c r="H4553" s="8"/>
      <c r="I4553" s="15">
        <v>1</v>
      </c>
      <c r="J4553" s="15">
        <v>0</v>
      </c>
      <c r="K4553" s="12" t="str">
        <f>HYPERLINK("http://twitter.com/download/android","Twitter for Android")</f>
        <v>Twitter for Android</v>
      </c>
      <c r="L4553" s="16">
        <v>9175</v>
      </c>
      <c r="M4553" s="16">
        <v>334</v>
      </c>
      <c r="N4553" s="16">
        <v>7</v>
      </c>
      <c r="O4553" s="17"/>
      <c r="P4553" s="18">
        <v>42773.418530092589</v>
      </c>
      <c r="Q4553" s="7" t="s">
        <v>10265</v>
      </c>
      <c r="R4553" s="7" t="s">
        <v>22645</v>
      </c>
      <c r="S4553" s="8"/>
      <c r="T4553" s="8"/>
      <c r="U4553" s="19" t="str">
        <f>HYPERLINK("https://pbs.twimg.com/profile_images/1054738883995492352/gJO6KtOV.jpg","View")</f>
        <v>View</v>
      </c>
      <c r="V4553" s="8"/>
      <c r="W4553" s="8"/>
      <c r="X4553" s="8"/>
      <c r="Y4553" s="8"/>
      <c r="Z4553" s="8"/>
    </row>
    <row r="4554" spans="1:26" ht="12.75">
      <c r="A4554" s="11">
        <v>43747.113310185188</v>
      </c>
      <c r="B4554" s="12" t="str">
        <f>HYPERLINK("https://twitter.com/senerkoseoglu","@senerkoseoglu")</f>
        <v>@senerkoseoglu</v>
      </c>
      <c r="C4554" s="7" t="s">
        <v>22646</v>
      </c>
      <c r="D4554" s="7" t="s">
        <v>22647</v>
      </c>
      <c r="E4554" s="12" t="str">
        <f>HYPERLINK("https://twitter.com/senerkoseoglu/status/1181867693609291777","1181867693609291777")</f>
        <v>1181867693609291777</v>
      </c>
      <c r="F4554" s="15"/>
      <c r="G4554" s="15"/>
      <c r="H4554" s="8"/>
      <c r="I4554" s="15">
        <v>0</v>
      </c>
      <c r="J4554" s="15">
        <v>1</v>
      </c>
      <c r="K4554" s="12" t="str">
        <f>HYPERLINK("http://twitter.com/download/android","Twitter for Android")</f>
        <v>Twitter for Android</v>
      </c>
      <c r="L4554" s="16">
        <v>422</v>
      </c>
      <c r="M4554" s="16">
        <v>477</v>
      </c>
      <c r="N4554" s="16">
        <v>0</v>
      </c>
      <c r="O4554" s="17"/>
      <c r="P4554" s="18">
        <v>40739.443194444444</v>
      </c>
      <c r="Q4554" s="7" t="s">
        <v>6808</v>
      </c>
      <c r="R4554" s="7"/>
      <c r="S4554" s="15"/>
      <c r="T4554" s="8"/>
      <c r="U4554" s="19" t="str">
        <f>HYPERLINK("https://pbs.twimg.com/profile_images/1151066375013720065/3yVOQpTM.jpg","View")</f>
        <v>View</v>
      </c>
      <c r="V4554" s="8"/>
      <c r="W4554" s="8"/>
      <c r="X4554" s="8"/>
      <c r="Y4554" s="8"/>
      <c r="Z4554" s="8"/>
    </row>
    <row r="4555" spans="1:26" ht="12.75">
      <c r="A4555" s="11">
        <v>43747.113275462965</v>
      </c>
      <c r="B4555" s="12" t="str">
        <f>HYPERLINK("https://twitter.com/Salimavci15","@Salimavci15")</f>
        <v>@Salimavci15</v>
      </c>
      <c r="C4555" s="7" t="s">
        <v>22648</v>
      </c>
      <c r="D4555" s="7" t="s">
        <v>22649</v>
      </c>
      <c r="E4555" s="12" t="str">
        <f>HYPERLINK("https://twitter.com/Salimavci15/status/1181867679684136960","1181867679684136960")</f>
        <v>1181867679684136960</v>
      </c>
      <c r="F4555" s="8"/>
      <c r="G4555" s="15"/>
      <c r="H4555" s="8"/>
      <c r="I4555" s="15">
        <v>0</v>
      </c>
      <c r="J4555" s="15">
        <v>0</v>
      </c>
      <c r="K4555" s="12" t="str">
        <f>HYPERLINK("https://mobile.twitter.com","Twitter Web App")</f>
        <v>Twitter Web App</v>
      </c>
      <c r="L4555" s="16">
        <v>1855</v>
      </c>
      <c r="M4555" s="16">
        <v>1700</v>
      </c>
      <c r="N4555" s="16">
        <v>1</v>
      </c>
      <c r="O4555" s="17"/>
      <c r="P4555" s="18">
        <v>42235.544039351851</v>
      </c>
      <c r="Q4555" s="7" t="s">
        <v>22650</v>
      </c>
      <c r="R4555" s="7" t="s">
        <v>22651</v>
      </c>
      <c r="S4555" s="15"/>
      <c r="T4555" s="8"/>
      <c r="U4555" s="19" t="str">
        <f>HYPERLINK("https://pbs.twimg.com/profile_images/1157624225055805442/sFz0Rure.jpg","View")</f>
        <v>View</v>
      </c>
      <c r="V4555" s="8"/>
      <c r="W4555" s="8"/>
      <c r="X4555" s="8"/>
      <c r="Y4555" s="8"/>
      <c r="Z4555" s="8"/>
    </row>
    <row r="4556" spans="1:26" ht="12.75">
      <c r="A4556" s="11">
        <v>43747.113252314812</v>
      </c>
      <c r="B4556" s="12" t="str">
        <f>HYPERLINK("https://twitter.com/osmanagaoglu53","@osmanagaoglu53")</f>
        <v>@osmanagaoglu53</v>
      </c>
      <c r="C4556" s="7" t="s">
        <v>22652</v>
      </c>
      <c r="D4556" s="7" t="s">
        <v>22653</v>
      </c>
      <c r="E4556" s="12" t="str">
        <f>HYPERLINK("https://twitter.com/osmanagaoglu53/status/1181867672604172288","1181867672604172288")</f>
        <v>1181867672604172288</v>
      </c>
      <c r="F4556" s="8"/>
      <c r="G4556" s="14" t="s">
        <v>22654</v>
      </c>
      <c r="H4556" s="8"/>
      <c r="I4556" s="15">
        <v>0</v>
      </c>
      <c r="J4556" s="15">
        <v>2</v>
      </c>
      <c r="K4556" s="12" t="str">
        <f>HYPERLINK("http://twitter.com/download/android","Twitter for Android")</f>
        <v>Twitter for Android</v>
      </c>
      <c r="L4556" s="16">
        <v>589</v>
      </c>
      <c r="M4556" s="16">
        <v>494</v>
      </c>
      <c r="N4556" s="16">
        <v>1</v>
      </c>
      <c r="O4556" s="17"/>
      <c r="P4556" s="18">
        <v>41066.573993055557</v>
      </c>
      <c r="Q4556" s="7" t="s">
        <v>22655</v>
      </c>
      <c r="R4556" s="7" t="s">
        <v>22656</v>
      </c>
      <c r="S4556" s="14" t="s">
        <v>22657</v>
      </c>
      <c r="T4556" s="8"/>
      <c r="U4556" s="19" t="str">
        <f>HYPERLINK("https://pbs.twimg.com/profile_images/1170025431220854786/pUrievyY.jpg","View")</f>
        <v>View</v>
      </c>
      <c r="V4556" s="8"/>
      <c r="W4556" s="8"/>
      <c r="X4556" s="8"/>
      <c r="Y4556" s="8"/>
      <c r="Z4556" s="8"/>
    </row>
    <row r="4557" spans="1:26" ht="12.75">
      <c r="A4557" s="11">
        <v>43747.113182870366</v>
      </c>
      <c r="B4557" s="12" t="str">
        <f>HYPERLINK("https://twitter.com/ogrenciyesat","@ogrenciyesat")</f>
        <v>@ogrenciyesat</v>
      </c>
      <c r="C4557" s="7" t="s">
        <v>22658</v>
      </c>
      <c r="D4557" s="7" t="s">
        <v>160</v>
      </c>
      <c r="E4557" s="12" t="str">
        <f>HYPERLINK("https://twitter.com/ogrenciyesat/status/1181867644141686784","1181867644141686784")</f>
        <v>1181867644141686784</v>
      </c>
      <c r="F4557" s="8"/>
      <c r="G4557" s="14" t="s">
        <v>22659</v>
      </c>
      <c r="H4557" s="8"/>
      <c r="I4557" s="15">
        <v>0</v>
      </c>
      <c r="J4557" s="15">
        <v>0</v>
      </c>
      <c r="K4557" s="12" t="str">
        <f>HYPERLINK("https://mobile.twitter.com","Twitter Web App")</f>
        <v>Twitter Web App</v>
      </c>
      <c r="L4557" s="16">
        <v>4</v>
      </c>
      <c r="M4557" s="16">
        <v>35</v>
      </c>
      <c r="N4557" s="16">
        <v>0</v>
      </c>
      <c r="O4557" s="17"/>
      <c r="P4557" s="18">
        <v>43693.326932870375</v>
      </c>
      <c r="Q4557" s="7" t="s">
        <v>200</v>
      </c>
      <c r="R4557" s="7" t="s">
        <v>22660</v>
      </c>
      <c r="S4557" s="14" t="s">
        <v>22661</v>
      </c>
      <c r="T4557" s="8"/>
      <c r="U4557" s="19" t="str">
        <f>HYPERLINK("https://pbs.twimg.com/profile_images/1171450183105671169/m_VtfW1p.jpg","View")</f>
        <v>View</v>
      </c>
      <c r="V4557" s="8"/>
      <c r="W4557" s="8"/>
      <c r="X4557" s="8"/>
      <c r="Y4557" s="8"/>
      <c r="Z4557" s="8"/>
    </row>
    <row r="4558" spans="1:26" ht="12.75">
      <c r="A4558" s="11">
        <v>43747.113136574073</v>
      </c>
      <c r="B4558" s="12" t="str">
        <f>HYPERLINK("https://twitter.com/B05233","@B05233")</f>
        <v>@B05233</v>
      </c>
      <c r="C4558" s="7" t="s">
        <v>22662</v>
      </c>
      <c r="D4558" s="7" t="s">
        <v>22663</v>
      </c>
      <c r="E4558" s="12" t="str">
        <f>HYPERLINK("https://twitter.com/B05233/status/1181867629574787072","1181867629574787072")</f>
        <v>1181867629574787072</v>
      </c>
      <c r="F4558" s="8"/>
      <c r="G4558" s="14" t="s">
        <v>22664</v>
      </c>
      <c r="H4558" s="8"/>
      <c r="I4558" s="15">
        <v>2</v>
      </c>
      <c r="J4558" s="15">
        <v>11</v>
      </c>
      <c r="K4558" s="12" t="str">
        <f>HYPERLINK("https://mobile.twitter.com","Twitter Web App")</f>
        <v>Twitter Web App</v>
      </c>
      <c r="L4558" s="16">
        <v>75</v>
      </c>
      <c r="M4558" s="16">
        <v>235</v>
      </c>
      <c r="N4558" s="16">
        <v>0</v>
      </c>
      <c r="O4558" s="17"/>
      <c r="P4558" s="18">
        <v>43440.995324074072</v>
      </c>
      <c r="Q4558" s="7"/>
      <c r="R4558" s="7" t="s">
        <v>22665</v>
      </c>
      <c r="S4558" s="8"/>
      <c r="T4558" s="8"/>
      <c r="U4558" s="19" t="str">
        <f>HYPERLINK("https://pbs.twimg.com/profile_images/1166432468360159234/o4QbNyVY.jpg","View")</f>
        <v>View</v>
      </c>
      <c r="V4558" s="8"/>
      <c r="W4558" s="8"/>
      <c r="X4558" s="8"/>
      <c r="Y4558" s="8"/>
      <c r="Z4558" s="8"/>
    </row>
    <row r="4559" spans="1:26" ht="12.75">
      <c r="A4559" s="11">
        <v>43747.113125000003</v>
      </c>
      <c r="B4559" s="12" t="str">
        <f>HYPERLINK("https://twitter.com/basrisepik","@basrisepik")</f>
        <v>@basrisepik</v>
      </c>
      <c r="C4559" s="7" t="s">
        <v>22666</v>
      </c>
      <c r="D4559" s="7" t="s">
        <v>22667</v>
      </c>
      <c r="E4559" s="12" t="str">
        <f>HYPERLINK("https://twitter.com/basrisepik/status/1181867624243826688","1181867624243826688")</f>
        <v>1181867624243826688</v>
      </c>
      <c r="F4559" s="8"/>
      <c r="G4559" s="7"/>
      <c r="H4559" s="8"/>
      <c r="I4559" s="15">
        <v>0</v>
      </c>
      <c r="J4559" s="15">
        <v>1</v>
      </c>
      <c r="K4559" s="12" t="str">
        <f>HYPERLINK("https://mobile.twitter.com","Twitter Web App")</f>
        <v>Twitter Web App</v>
      </c>
      <c r="L4559" s="16">
        <v>11</v>
      </c>
      <c r="M4559" s="16">
        <v>13</v>
      </c>
      <c r="N4559" s="16">
        <v>0</v>
      </c>
      <c r="O4559" s="17"/>
      <c r="P4559" s="18">
        <v>40156.141967592594</v>
      </c>
      <c r="Q4559" s="7" t="s">
        <v>1461</v>
      </c>
      <c r="R4559" s="7"/>
      <c r="S4559" s="15"/>
      <c r="T4559" s="8"/>
      <c r="U4559" s="19" t="str">
        <f>HYPERLINK("https://pbs.twimg.com/profile_images/1175332151002304512/y8oQ6a7-.jpg","View")</f>
        <v>View</v>
      </c>
      <c r="V4559" s="8"/>
      <c r="W4559" s="8"/>
      <c r="X4559" s="8"/>
      <c r="Y4559" s="8"/>
      <c r="Z4559" s="8"/>
    </row>
    <row r="4560" spans="1:26" ht="12.75">
      <c r="A4560" s="11">
        <v>43747.113078703704</v>
      </c>
      <c r="B4560" s="12" t="str">
        <f>HYPERLINK("https://twitter.com/kiray_akmangul","@kiray_akmangul")</f>
        <v>@kiray_akmangul</v>
      </c>
      <c r="C4560" s="7" t="s">
        <v>22668</v>
      </c>
      <c r="D4560" s="7" t="s">
        <v>22669</v>
      </c>
      <c r="E4560" s="12" t="str">
        <f>HYPERLINK("https://twitter.com/kiray_akmangul/status/1181867606741065731","1181867606741065731")</f>
        <v>1181867606741065731</v>
      </c>
      <c r="F4560" s="8"/>
      <c r="G4560" s="15"/>
      <c r="H4560" s="8"/>
      <c r="I4560" s="15">
        <v>0</v>
      </c>
      <c r="J4560" s="15">
        <v>0</v>
      </c>
      <c r="K4560" s="12" t="str">
        <f>HYPERLINK("http://twitter.com","Twitter Web Client")</f>
        <v>Twitter Web Client</v>
      </c>
      <c r="L4560" s="16">
        <v>2</v>
      </c>
      <c r="M4560" s="16">
        <v>0</v>
      </c>
      <c r="N4560" s="16">
        <v>0</v>
      </c>
      <c r="O4560" s="17"/>
      <c r="P4560" s="18">
        <v>43668.860648148147</v>
      </c>
      <c r="Q4560" s="7" t="s">
        <v>1150</v>
      </c>
      <c r="R4560" s="7" t="s">
        <v>22670</v>
      </c>
      <c r="S4560" s="15"/>
      <c r="T4560" s="8"/>
      <c r="U4560" s="19" t="str">
        <f>HYPERLINK("https://pbs.twimg.com/profile_images/1153752198695784449/wmJkTb9Z.jpg","View")</f>
        <v>View</v>
      </c>
      <c r="V4560" s="8"/>
      <c r="W4560" s="8"/>
      <c r="X4560" s="8"/>
      <c r="Y4560" s="8"/>
      <c r="Z4560" s="8"/>
    </row>
    <row r="4561" spans="1:26" ht="12.75">
      <c r="A4561" s="11">
        <v>43747.113067129627</v>
      </c>
      <c r="B4561" s="12" t="str">
        <f>HYPERLINK("https://twitter.com/eyupkanat","@eyupkanat")</f>
        <v>@eyupkanat</v>
      </c>
      <c r="C4561" s="7" t="s">
        <v>22671</v>
      </c>
      <c r="D4561" s="7" t="s">
        <v>22672</v>
      </c>
      <c r="E4561" s="12" t="str">
        <f>HYPERLINK("https://twitter.com/eyupkanat/status/1181867604727783425","1181867604727783425")</f>
        <v>1181867604727783425</v>
      </c>
      <c r="F4561" s="8"/>
      <c r="G4561" s="7"/>
      <c r="H4561" s="8"/>
      <c r="I4561" s="15">
        <v>0</v>
      </c>
      <c r="J4561" s="15">
        <v>1</v>
      </c>
      <c r="K4561" s="12" t="str">
        <f>HYPERLINK("http://twitter.com/download/iphone","Twitter for iPhone")</f>
        <v>Twitter for iPhone</v>
      </c>
      <c r="L4561" s="16">
        <v>1</v>
      </c>
      <c r="M4561" s="16">
        <v>13</v>
      </c>
      <c r="N4561" s="16">
        <v>0</v>
      </c>
      <c r="O4561" s="17"/>
      <c r="P4561" s="18">
        <v>40600.185439814813</v>
      </c>
      <c r="Q4561" s="7" t="s">
        <v>313</v>
      </c>
      <c r="R4561" s="7" t="s">
        <v>22673</v>
      </c>
      <c r="S4561" s="15"/>
      <c r="T4561" s="8"/>
      <c r="U4561" s="19" t="str">
        <f>HYPERLINK("https://pbs.twimg.com/profile_images/1059700959826329600/ofY_3LrG.jpg","View")</f>
        <v>View</v>
      </c>
      <c r="V4561" s="8"/>
      <c r="W4561" s="8"/>
      <c r="X4561" s="8"/>
      <c r="Y4561" s="8"/>
      <c r="Z4561" s="8"/>
    </row>
    <row r="4562" spans="1:26" ht="12.75">
      <c r="A4562" s="11">
        <v>43747.113055555557</v>
      </c>
      <c r="B4562" s="12" t="str">
        <f>HYPERLINK("https://twitter.com/fearlssman","@fearlssman")</f>
        <v>@fearlssman</v>
      </c>
      <c r="C4562" s="7" t="s">
        <v>22674</v>
      </c>
      <c r="D4562" s="7" t="s">
        <v>22675</v>
      </c>
      <c r="E4562" s="12" t="str">
        <f>HYPERLINK("https://twitter.com/fearlssman/status/1181867599426195456","1181867599426195456")</f>
        <v>1181867599426195456</v>
      </c>
      <c r="F4562" s="8"/>
      <c r="G4562" s="7"/>
      <c r="H4562" s="8"/>
      <c r="I4562" s="15">
        <v>0</v>
      </c>
      <c r="J4562" s="15">
        <v>3</v>
      </c>
      <c r="K4562" s="12" t="str">
        <f>HYPERLINK("http://twitter.com/download/android","Twitter for Android")</f>
        <v>Twitter for Android</v>
      </c>
      <c r="L4562" s="16">
        <v>16176</v>
      </c>
      <c r="M4562" s="16">
        <v>17835</v>
      </c>
      <c r="N4562" s="16">
        <v>2</v>
      </c>
      <c r="O4562" s="17"/>
      <c r="P4562" s="18">
        <v>43182.378460648149</v>
      </c>
      <c r="Q4562" s="7" t="s">
        <v>313</v>
      </c>
      <c r="R4562" s="7" t="s">
        <v>22676</v>
      </c>
      <c r="S4562" s="8"/>
      <c r="T4562" s="8"/>
      <c r="U4562" s="19" t="str">
        <f>HYPERLINK("https://pbs.twimg.com/profile_images/1168496104671010816/lEf3oGzm.jpg","View")</f>
        <v>View</v>
      </c>
      <c r="V4562" s="8"/>
      <c r="W4562" s="8"/>
      <c r="X4562" s="8"/>
      <c r="Y4562" s="8"/>
      <c r="Z4562" s="8"/>
    </row>
    <row r="4563" spans="1:26" ht="12.75">
      <c r="A4563" s="11">
        <v>43747.113043981481</v>
      </c>
      <c r="B4563" s="12" t="str">
        <f>HYPERLINK("https://twitter.com/Serkan17861397","@Serkan17861397")</f>
        <v>@Serkan17861397</v>
      </c>
      <c r="C4563" s="7" t="s">
        <v>22677</v>
      </c>
      <c r="D4563" s="7" t="s">
        <v>160</v>
      </c>
      <c r="E4563" s="12" t="str">
        <f>HYPERLINK("https://twitter.com/Serkan17861397/status/1181867597127704578","1181867597127704578")</f>
        <v>1181867597127704578</v>
      </c>
      <c r="F4563" s="8"/>
      <c r="G4563" s="14" t="s">
        <v>22678</v>
      </c>
      <c r="H4563" s="8"/>
      <c r="I4563" s="15">
        <v>0</v>
      </c>
      <c r="J4563" s="15">
        <v>1</v>
      </c>
      <c r="K4563" s="12" t="str">
        <f>HYPERLINK("http://twitter.com/download/iphone","Twitter for iPhone")</f>
        <v>Twitter for iPhone</v>
      </c>
      <c r="L4563" s="16">
        <v>90</v>
      </c>
      <c r="M4563" s="16">
        <v>883</v>
      </c>
      <c r="N4563" s="16">
        <v>0</v>
      </c>
      <c r="O4563" s="17"/>
      <c r="P4563" s="18">
        <v>43091.366793981477</v>
      </c>
      <c r="Q4563" s="7"/>
      <c r="R4563" s="7" t="s">
        <v>22679</v>
      </c>
      <c r="S4563" s="8"/>
      <c r="T4563" s="8"/>
      <c r="U4563" s="19" t="str">
        <f>HYPERLINK("https://pbs.twimg.com/profile_images/1154766316139679744/CklehF-W.jpg","View")</f>
        <v>View</v>
      </c>
      <c r="V4563" s="8"/>
      <c r="W4563" s="8"/>
      <c r="X4563" s="8"/>
      <c r="Y4563" s="8"/>
      <c r="Z4563" s="8"/>
    </row>
    <row r="4564" spans="1:26" ht="12.75">
      <c r="A4564" s="11">
        <v>43747.113043981481</v>
      </c>
      <c r="B4564" s="12" t="str">
        <f>HYPERLINK("https://twitter.com/kurt28sk","@kurt28sk")</f>
        <v>@kurt28sk</v>
      </c>
      <c r="C4564" s="7" t="s">
        <v>22680</v>
      </c>
      <c r="D4564" s="7" t="s">
        <v>22681</v>
      </c>
      <c r="E4564" s="12" t="str">
        <f>HYPERLINK("https://twitter.com/kurt28sk/status/1181867595345084417","1181867595345084417")</f>
        <v>1181867595345084417</v>
      </c>
      <c r="F4564" s="8"/>
      <c r="G4564" s="7"/>
      <c r="H4564" s="8"/>
      <c r="I4564" s="15">
        <v>0</v>
      </c>
      <c r="J4564" s="15">
        <v>1</v>
      </c>
      <c r="K4564" s="12" t="str">
        <f>HYPERLINK("http://twitter.com/download/android","Twitter for Android")</f>
        <v>Twitter for Android</v>
      </c>
      <c r="L4564" s="16">
        <v>9</v>
      </c>
      <c r="M4564" s="16">
        <v>59</v>
      </c>
      <c r="N4564" s="16">
        <v>0</v>
      </c>
      <c r="O4564" s="17"/>
      <c r="P4564" s="18">
        <v>43058.496053240742</v>
      </c>
      <c r="Q4564" s="7"/>
      <c r="R4564" s="7" t="s">
        <v>22682</v>
      </c>
      <c r="S4564" s="8"/>
      <c r="T4564" s="8"/>
      <c r="U4564" s="19" t="str">
        <f>HYPERLINK("https://pbs.twimg.com/profile_images/1106654634767204352/GHa_Ygtg.jpg","View")</f>
        <v>View</v>
      </c>
      <c r="V4564" s="8"/>
      <c r="W4564" s="8"/>
      <c r="X4564" s="8"/>
      <c r="Y4564" s="8"/>
      <c r="Z4564" s="8"/>
    </row>
    <row r="4565" spans="1:26" ht="12.75">
      <c r="A4565" s="11">
        <v>43747.113032407404</v>
      </c>
      <c r="B4565" s="12" t="str">
        <f>HYPERLINK("https://twitter.com/mehdi02946438","@mehdi02946438")</f>
        <v>@mehdi02946438</v>
      </c>
      <c r="C4565" s="7" t="s">
        <v>22683</v>
      </c>
      <c r="D4565" s="7" t="s">
        <v>22684</v>
      </c>
      <c r="E4565" s="12" t="str">
        <f>HYPERLINK("https://twitter.com/mehdi02946438/status/1181867593281556480","1181867593281556480")</f>
        <v>1181867593281556480</v>
      </c>
      <c r="F4565" s="8"/>
      <c r="G4565" s="7"/>
      <c r="H4565" s="8"/>
      <c r="I4565" s="15">
        <v>0</v>
      </c>
      <c r="J4565" s="15">
        <v>1</v>
      </c>
      <c r="K4565" s="12" t="str">
        <f>HYPERLINK("http://twitter.com/download/iphone","Twitter for iPhone")</f>
        <v>Twitter for iPhone</v>
      </c>
      <c r="L4565" s="16">
        <v>0</v>
      </c>
      <c r="M4565" s="16">
        <v>8</v>
      </c>
      <c r="N4565" s="16">
        <v>0</v>
      </c>
      <c r="O4565" s="17"/>
      <c r="P4565" s="18">
        <v>43705.675081018519</v>
      </c>
      <c r="Q4565" s="7"/>
      <c r="R4565" s="7" t="s">
        <v>22685</v>
      </c>
      <c r="S4565" s="15"/>
      <c r="T4565" s="8"/>
      <c r="U4565" s="19" t="str">
        <f>HYPERLINK("https://pbs.twimg.com/profile_images/1166851186076594176/0rjaUWFw.jpg","View")</f>
        <v>View</v>
      </c>
      <c r="V4565" s="8"/>
      <c r="W4565" s="8"/>
      <c r="X4565" s="8"/>
      <c r="Y4565" s="8"/>
      <c r="Z4565" s="8"/>
    </row>
    <row r="4566" spans="1:26" ht="12.75">
      <c r="A4566" s="11">
        <v>43747.113020833334</v>
      </c>
      <c r="B4566" s="12" t="str">
        <f>HYPERLINK("https://twitter.com/55EREN","@55EREN")</f>
        <v>@55EREN</v>
      </c>
      <c r="C4566" s="7" t="s">
        <v>22686</v>
      </c>
      <c r="D4566" s="7" t="s">
        <v>22687</v>
      </c>
      <c r="E4566" s="12" t="str">
        <f>HYPERLINK("https://twitter.com/55EREN/status/1181867588818788352","1181867588818788352")</f>
        <v>1181867588818788352</v>
      </c>
      <c r="F4566" s="8"/>
      <c r="G4566" s="15"/>
      <c r="H4566" s="8"/>
      <c r="I4566" s="15">
        <v>0</v>
      </c>
      <c r="J4566" s="15">
        <v>1</v>
      </c>
      <c r="K4566" s="12" t="str">
        <f>HYPERLINK("http://twitter.com/download/android","Twitter for Android")</f>
        <v>Twitter for Android</v>
      </c>
      <c r="L4566" s="16">
        <v>130</v>
      </c>
      <c r="M4566" s="16">
        <v>330</v>
      </c>
      <c r="N4566" s="16">
        <v>0</v>
      </c>
      <c r="O4566" s="17"/>
      <c r="P4566" s="18">
        <v>40724.14534722222</v>
      </c>
      <c r="Q4566" s="7" t="s">
        <v>22688</v>
      </c>
      <c r="R4566" s="7"/>
      <c r="S4566" s="8"/>
      <c r="T4566" s="8"/>
      <c r="U4566" s="19" t="str">
        <f>HYPERLINK("https://pbs.twimg.com/profile_images/1166774390031302657/zDUCbHUG.jpg","View")</f>
        <v>View</v>
      </c>
      <c r="V4566" s="8"/>
      <c r="W4566" s="8"/>
      <c r="X4566" s="8"/>
      <c r="Y4566" s="8"/>
      <c r="Z4566" s="8"/>
    </row>
    <row r="4567" spans="1:26" ht="12.75">
      <c r="A4567" s="11">
        <v>43747.112962962958</v>
      </c>
      <c r="B4567" s="12" t="str">
        <f>HYPERLINK("https://twitter.com/KlZILELMA","@KlZILELMA")</f>
        <v>@KlZILELMA</v>
      </c>
      <c r="C4567" s="7" t="s">
        <v>22689</v>
      </c>
      <c r="D4567" s="7" t="s">
        <v>22690</v>
      </c>
      <c r="E4567" s="12" t="str">
        <f>HYPERLINK("https://twitter.com/KlZILELMA/status/1181867566937051136","1181867566937051136")</f>
        <v>1181867566937051136</v>
      </c>
      <c r="F4567" s="8"/>
      <c r="G4567" s="15"/>
      <c r="H4567" s="8"/>
      <c r="I4567" s="15">
        <v>0</v>
      </c>
      <c r="J4567" s="15">
        <v>1</v>
      </c>
      <c r="K4567" s="12" t="str">
        <f>HYPERLINK("http://twitter.com/download/android","Twitter for Android")</f>
        <v>Twitter for Android</v>
      </c>
      <c r="L4567" s="16">
        <v>8</v>
      </c>
      <c r="M4567" s="16">
        <v>7</v>
      </c>
      <c r="N4567" s="16">
        <v>0</v>
      </c>
      <c r="O4567" s="17"/>
      <c r="P4567" s="18">
        <v>43442.643854166672</v>
      </c>
      <c r="Q4567" s="7" t="s">
        <v>14024</v>
      </c>
      <c r="R4567" s="7" t="s">
        <v>22691</v>
      </c>
      <c r="S4567" s="8"/>
      <c r="T4567" s="8"/>
      <c r="U4567" s="19" t="str">
        <f>HYPERLINK("https://pbs.twimg.com/profile_images/1071556352940625921/sTEMpyng.jpg","View")</f>
        <v>View</v>
      </c>
      <c r="V4567" s="8"/>
      <c r="W4567" s="8"/>
      <c r="X4567" s="8"/>
      <c r="Y4567" s="8"/>
      <c r="Z4567" s="8"/>
    </row>
    <row r="4568" spans="1:26" ht="12.75">
      <c r="A4568" s="11">
        <v>43747.112939814819</v>
      </c>
      <c r="B4568" s="12" t="str">
        <f>HYPERLINK("https://twitter.com/vatbayeza","@vatbayeza")</f>
        <v>@vatbayeza</v>
      </c>
      <c r="C4568" s="7" t="s">
        <v>22692</v>
      </c>
      <c r="D4568" s="7" t="s">
        <v>160</v>
      </c>
      <c r="E4568" s="12" t="str">
        <f>HYPERLINK("https://twitter.com/vatbayeza/status/1181867557118197760","1181867557118197760")</f>
        <v>1181867557118197760</v>
      </c>
      <c r="F4568" s="8"/>
      <c r="G4568" s="7"/>
      <c r="H4568" s="8"/>
      <c r="I4568" s="15">
        <v>0</v>
      </c>
      <c r="J4568" s="15">
        <v>0</v>
      </c>
      <c r="K4568" s="12" t="str">
        <f>HYPERLINK("https://mobile.twitter.com","Twitter Web App")</f>
        <v>Twitter Web App</v>
      </c>
      <c r="L4568" s="16">
        <v>21</v>
      </c>
      <c r="M4568" s="16">
        <v>132</v>
      </c>
      <c r="N4568" s="16">
        <v>0</v>
      </c>
      <c r="O4568" s="17"/>
      <c r="P4568" s="18">
        <v>42997.137523148151</v>
      </c>
      <c r="Q4568" s="7" t="s">
        <v>313</v>
      </c>
      <c r="R4568" s="7"/>
      <c r="S4568" s="8"/>
      <c r="T4568" s="8"/>
      <c r="U4568" s="19" t="str">
        <f>HYPERLINK("https://pbs.twimg.com/profile_images/910096538713632768/DmBKqFNr.jpg","View")</f>
        <v>View</v>
      </c>
      <c r="V4568" s="8"/>
      <c r="W4568" s="8"/>
      <c r="X4568" s="8"/>
      <c r="Y4568" s="8"/>
      <c r="Z4568" s="8"/>
    </row>
    <row r="4569" spans="1:26" ht="12.75">
      <c r="A4569" s="11">
        <v>43747.112928240742</v>
      </c>
      <c r="B4569" s="12" t="str">
        <f>HYPERLINK("https://twitter.com/MeczupunBiriO","@MeczupunBiriO")</f>
        <v>@MeczupunBiriO</v>
      </c>
      <c r="C4569" s="7" t="s">
        <v>22693</v>
      </c>
      <c r="D4569" s="7" t="s">
        <v>22694</v>
      </c>
      <c r="E4569" s="12" t="str">
        <f>HYPERLINK("https://twitter.com/MeczupunBiriO/status/1181867553930518528","1181867553930518528")</f>
        <v>1181867553930518528</v>
      </c>
      <c r="F4569" s="8"/>
      <c r="G4569" s="14" t="s">
        <v>22695</v>
      </c>
      <c r="H4569" s="8"/>
      <c r="I4569" s="15">
        <v>4</v>
      </c>
      <c r="J4569" s="15">
        <v>10</v>
      </c>
      <c r="K4569" s="12" t="str">
        <f>HYPERLINK("https://mobile.twitter.com","Twitter Web App")</f>
        <v>Twitter Web App</v>
      </c>
      <c r="L4569" s="16">
        <v>749</v>
      </c>
      <c r="M4569" s="16">
        <v>578</v>
      </c>
      <c r="N4569" s="16">
        <v>1</v>
      </c>
      <c r="O4569" s="17"/>
      <c r="P4569" s="18">
        <v>40976.670995370368</v>
      </c>
      <c r="Q4569" s="7" t="s">
        <v>80</v>
      </c>
      <c r="R4569" s="7" t="s">
        <v>22696</v>
      </c>
      <c r="S4569" s="8"/>
      <c r="T4569" s="8"/>
      <c r="U4569" s="19" t="str">
        <f>HYPERLINK("https://pbs.twimg.com/profile_images/893388552561713153/CPJQ1KiL.jpg","View")</f>
        <v>View</v>
      </c>
      <c r="V4569" s="8"/>
      <c r="W4569" s="8"/>
      <c r="X4569" s="8"/>
      <c r="Y4569" s="8"/>
      <c r="Z4569" s="8"/>
    </row>
    <row r="4570" spans="1:26" ht="12.75">
      <c r="A4570" s="11">
        <v>43747.112916666665</v>
      </c>
      <c r="B4570" s="12" t="str">
        <f>HYPERLINK("https://twitter.com/korayaydin27","@korayaydin27")</f>
        <v>@korayaydin27</v>
      </c>
      <c r="C4570" s="7" t="s">
        <v>22697</v>
      </c>
      <c r="D4570" s="7" t="s">
        <v>22698</v>
      </c>
      <c r="E4570" s="12" t="str">
        <f>HYPERLINK("https://twitter.com/korayaydin27/status/1181867548289179650","1181867548289179650")</f>
        <v>1181867548289179650</v>
      </c>
      <c r="F4570" s="8"/>
      <c r="G4570" s="15"/>
      <c r="H4570" s="8"/>
      <c r="I4570" s="15">
        <v>0</v>
      </c>
      <c r="J4570" s="15">
        <v>2</v>
      </c>
      <c r="K4570" s="12" t="str">
        <f>HYPERLINK("http://twitter.com/download/android","Twitter for Android")</f>
        <v>Twitter for Android</v>
      </c>
      <c r="L4570" s="16">
        <v>558</v>
      </c>
      <c r="M4570" s="16">
        <v>1932</v>
      </c>
      <c r="N4570" s="16">
        <v>2</v>
      </c>
      <c r="O4570" s="17"/>
      <c r="P4570" s="18">
        <v>40750.394583333335</v>
      </c>
      <c r="Q4570" s="7" t="s">
        <v>2843</v>
      </c>
      <c r="R4570" s="7"/>
      <c r="S4570" s="8"/>
      <c r="T4570" s="8"/>
      <c r="U4570" s="19" t="str">
        <f>HYPERLINK("https://pbs.twimg.com/profile_images/1121473151630757888/epuOgwZB.jpg","View")</f>
        <v>View</v>
      </c>
      <c r="V4570" s="8"/>
      <c r="W4570" s="8"/>
      <c r="X4570" s="8"/>
      <c r="Y4570" s="8"/>
      <c r="Z4570" s="8"/>
    </row>
    <row r="4571" spans="1:26" ht="12.75">
      <c r="A4571" s="11">
        <v>43747.112893518519</v>
      </c>
      <c r="B4571" s="12" t="str">
        <f>HYPERLINK("https://twitter.com/samet3434343412","@samet3434343412")</f>
        <v>@samet3434343412</v>
      </c>
      <c r="C4571" s="7" t="s">
        <v>22699</v>
      </c>
      <c r="D4571" s="7" t="s">
        <v>160</v>
      </c>
      <c r="E4571" s="12" t="str">
        <f>HYPERLINK("https://twitter.com/samet3434343412/status/1181867541926416384","1181867541926416384")</f>
        <v>1181867541926416384</v>
      </c>
      <c r="F4571" s="8"/>
      <c r="G4571" s="7"/>
      <c r="H4571" s="8"/>
      <c r="I4571" s="15">
        <v>0</v>
      </c>
      <c r="J4571" s="15">
        <v>0</v>
      </c>
      <c r="K4571" s="12" t="str">
        <f>HYPERLINK("https://mobile.twitter.com","Twitter Web App")</f>
        <v>Twitter Web App</v>
      </c>
      <c r="L4571" s="16">
        <v>443</v>
      </c>
      <c r="M4571" s="16">
        <v>1057</v>
      </c>
      <c r="N4571" s="16">
        <v>0</v>
      </c>
      <c r="O4571" s="17"/>
      <c r="P4571" s="18">
        <v>43102.209687499999</v>
      </c>
      <c r="Q4571" s="7"/>
      <c r="R4571" s="7" t="s">
        <v>22700</v>
      </c>
      <c r="S4571" s="8"/>
      <c r="T4571" s="8"/>
      <c r="U4571" s="20" t="s">
        <v>354</v>
      </c>
      <c r="V4571" s="8"/>
      <c r="W4571" s="8"/>
      <c r="X4571" s="8"/>
      <c r="Y4571" s="8"/>
      <c r="Z4571" s="8"/>
    </row>
    <row r="4572" spans="1:26" ht="12.75">
      <c r="A4572" s="11">
        <v>43747.112870370373</v>
      </c>
      <c r="B4572" s="12" t="str">
        <f>HYPERLINK("https://twitter.com/Valibeyimiz","@Valibeyimiz")</f>
        <v>@Valibeyimiz</v>
      </c>
      <c r="C4572" s="7" t="s">
        <v>22701</v>
      </c>
      <c r="D4572" s="7" t="s">
        <v>22702</v>
      </c>
      <c r="E4572" s="12" t="str">
        <f>HYPERLINK("https://twitter.com/Valibeyimiz/status/1181867532703223809","1181867532703223809")</f>
        <v>1181867532703223809</v>
      </c>
      <c r="F4572" s="15"/>
      <c r="G4572" s="14" t="s">
        <v>22703</v>
      </c>
      <c r="H4572" s="8"/>
      <c r="I4572" s="15">
        <v>2</v>
      </c>
      <c r="J4572" s="15">
        <v>15</v>
      </c>
      <c r="K4572" s="12" t="str">
        <f>HYPERLINK("http://twitter.com/download/android","Twitter for Android")</f>
        <v>Twitter for Android</v>
      </c>
      <c r="L4572" s="16">
        <v>6000</v>
      </c>
      <c r="M4572" s="16">
        <v>3225</v>
      </c>
      <c r="N4572" s="16">
        <v>7</v>
      </c>
      <c r="O4572" s="17"/>
      <c r="P4572" s="18">
        <v>42347.723506944443</v>
      </c>
      <c r="Q4572" s="7" t="s">
        <v>1748</v>
      </c>
      <c r="R4572" s="7" t="s">
        <v>22704</v>
      </c>
      <c r="S4572" s="8"/>
      <c r="T4572" s="8"/>
      <c r="U4572" s="19" t="str">
        <f>HYPERLINK("https://pbs.twimg.com/profile_images/1148940184966356992/KuYuskO7.jpg","View")</f>
        <v>View</v>
      </c>
      <c r="V4572" s="8"/>
      <c r="W4572" s="8"/>
      <c r="X4572" s="8"/>
      <c r="Y4572" s="8"/>
      <c r="Z4572" s="8"/>
    </row>
    <row r="4573" spans="1:26" ht="12.75">
      <c r="A4573" s="11">
        <v>43747.112870370373</v>
      </c>
      <c r="B4573" s="12" t="str">
        <f>HYPERLINK("https://twitter.com/auseliksoy","@auseliksoy")</f>
        <v>@auseliksoy</v>
      </c>
      <c r="C4573" s="7" t="s">
        <v>22705</v>
      </c>
      <c r="D4573" s="7" t="s">
        <v>22706</v>
      </c>
      <c r="E4573" s="12" t="str">
        <f>HYPERLINK("https://twitter.com/auseliksoy/status/1181867532048883712","1181867532048883712")</f>
        <v>1181867532048883712</v>
      </c>
      <c r="F4573" s="8"/>
      <c r="G4573" s="7"/>
      <c r="H4573" s="8"/>
      <c r="I4573" s="15">
        <v>0</v>
      </c>
      <c r="J4573" s="15">
        <v>1</v>
      </c>
      <c r="K4573" s="12" t="str">
        <f>HYPERLINK("https://mobile.twitter.com","Twitter Web App")</f>
        <v>Twitter Web App</v>
      </c>
      <c r="L4573" s="16">
        <v>3</v>
      </c>
      <c r="M4573" s="16">
        <v>22</v>
      </c>
      <c r="N4573" s="16">
        <v>0</v>
      </c>
      <c r="O4573" s="17"/>
      <c r="P4573" s="18">
        <v>42201.699317129634</v>
      </c>
      <c r="Q4573" s="7"/>
      <c r="R4573" s="7"/>
      <c r="S4573" s="8"/>
      <c r="T4573" s="8"/>
      <c r="U4573" s="20" t="s">
        <v>354</v>
      </c>
      <c r="V4573" s="8"/>
      <c r="W4573" s="8"/>
      <c r="X4573" s="8"/>
      <c r="Y4573" s="8"/>
      <c r="Z4573" s="8"/>
    </row>
    <row r="4574" spans="1:26" ht="12.75">
      <c r="A4574" s="11">
        <v>43747.112858796296</v>
      </c>
      <c r="B4574" s="12" t="str">
        <f>HYPERLINK("https://twitter.com/24_mehmet_24","@24_mehmet_24")</f>
        <v>@24_mehmet_24</v>
      </c>
      <c r="C4574" s="7" t="s">
        <v>22707</v>
      </c>
      <c r="D4574" s="7" t="s">
        <v>160</v>
      </c>
      <c r="E4574" s="12" t="str">
        <f>HYPERLINK("https://twitter.com/24_mehmet_24/status/1181867526730465283","1181867526730465283")</f>
        <v>1181867526730465283</v>
      </c>
      <c r="F4574" s="8"/>
      <c r="G4574" s="14" t="s">
        <v>22708</v>
      </c>
      <c r="H4574" s="8"/>
      <c r="I4574" s="15">
        <v>0</v>
      </c>
      <c r="J4574" s="15">
        <v>0</v>
      </c>
      <c r="K4574" s="12" t="str">
        <f>HYPERLINK("http://twitter.com/download/android","Twitter for Android")</f>
        <v>Twitter for Android</v>
      </c>
      <c r="L4574" s="16">
        <v>6</v>
      </c>
      <c r="M4574" s="16">
        <v>38</v>
      </c>
      <c r="N4574" s="16">
        <v>0</v>
      </c>
      <c r="O4574" s="17"/>
      <c r="P4574" s="18">
        <v>42295.331666666665</v>
      </c>
      <c r="Q4574" s="7"/>
      <c r="R4574" s="7"/>
      <c r="S4574" s="8"/>
      <c r="T4574" s="8"/>
      <c r="U4574" s="19" t="str">
        <f>HYPERLINK("https://pbs.twimg.com/profile_images/658984721645457408/fukB_w2w.jpg","View")</f>
        <v>View</v>
      </c>
      <c r="V4574" s="8"/>
      <c r="W4574" s="8"/>
      <c r="X4574" s="8"/>
      <c r="Y4574" s="8"/>
      <c r="Z4574" s="8"/>
    </row>
    <row r="4575" spans="1:26" ht="12.75">
      <c r="A4575" s="11">
        <v>43747.112824074073</v>
      </c>
      <c r="B4575" s="12" t="str">
        <f>HYPERLINK("https://twitter.com/hseyinbas01","@hseyinbas01")</f>
        <v>@hseyinbas01</v>
      </c>
      <c r="C4575" s="7" t="s">
        <v>22709</v>
      </c>
      <c r="D4575" s="7" t="s">
        <v>160</v>
      </c>
      <c r="E4575" s="12" t="str">
        <f>HYPERLINK("https://twitter.com/hseyinbas01/status/1181867516190248960","1181867516190248960")</f>
        <v>1181867516190248960</v>
      </c>
      <c r="F4575" s="8"/>
      <c r="G4575" s="7"/>
      <c r="H4575" s="8"/>
      <c r="I4575" s="15">
        <v>0</v>
      </c>
      <c r="J4575" s="15">
        <v>0</v>
      </c>
      <c r="K4575" s="12" t="str">
        <f>HYPERLINK("http://twitter.com/download/iphone","Twitter for iPhone")</f>
        <v>Twitter for iPhone</v>
      </c>
      <c r="L4575" s="16">
        <v>63</v>
      </c>
      <c r="M4575" s="16">
        <v>63</v>
      </c>
      <c r="N4575" s="16">
        <v>0</v>
      </c>
      <c r="O4575" s="17"/>
      <c r="P4575" s="18">
        <v>43395.39979166667</v>
      </c>
      <c r="Q4575" s="7" t="s">
        <v>2201</v>
      </c>
      <c r="R4575" s="7"/>
      <c r="S4575" s="14" t="s">
        <v>22710</v>
      </c>
      <c r="T4575" s="8"/>
      <c r="U4575" s="19" t="str">
        <f>HYPERLINK("https://pbs.twimg.com/profile_images/1121611847554224128/5falEDu4.jpg","View")</f>
        <v>View</v>
      </c>
      <c r="V4575" s="8"/>
      <c r="W4575" s="8"/>
      <c r="X4575" s="8"/>
      <c r="Y4575" s="8"/>
      <c r="Z4575" s="8"/>
    </row>
    <row r="4576" spans="1:26" ht="12.75">
      <c r="A4576" s="11">
        <v>43747.112777777773</v>
      </c>
      <c r="B4576" s="12" t="str">
        <f>HYPERLINK("https://twitter.com/enesduran25","@enesduran25")</f>
        <v>@enesduran25</v>
      </c>
      <c r="C4576" s="7" t="s">
        <v>22711</v>
      </c>
      <c r="D4576" s="7" t="s">
        <v>22712</v>
      </c>
      <c r="E4576" s="12" t="str">
        <f>HYPERLINK("https://twitter.com/enesduran25/status/1181867501283659776","1181867501283659776")</f>
        <v>1181867501283659776</v>
      </c>
      <c r="F4576" s="8"/>
      <c r="G4576" s="15"/>
      <c r="H4576" s="8"/>
      <c r="I4576" s="15">
        <v>0</v>
      </c>
      <c r="J4576" s="15">
        <v>0</v>
      </c>
      <c r="K4576" s="12" t="str">
        <f>HYPERLINK("http://twitter.com/download/iphone","Twitter for iPhone")</f>
        <v>Twitter for iPhone</v>
      </c>
      <c r="L4576" s="16">
        <v>55</v>
      </c>
      <c r="M4576" s="16">
        <v>87</v>
      </c>
      <c r="N4576" s="16">
        <v>0</v>
      </c>
      <c r="O4576" s="17"/>
      <c r="P4576" s="18">
        <v>41899.51153935185</v>
      </c>
      <c r="Q4576" s="7" t="s">
        <v>1748</v>
      </c>
      <c r="R4576" s="7" t="s">
        <v>22713</v>
      </c>
      <c r="S4576" s="8"/>
      <c r="T4576" s="8"/>
      <c r="U4576" s="19" t="str">
        <f>HYPERLINK("https://pbs.twimg.com/profile_images/974753615020724225/MkQMB3Fa.jpg","View")</f>
        <v>View</v>
      </c>
      <c r="V4576" s="8"/>
      <c r="W4576" s="8"/>
      <c r="X4576" s="8"/>
      <c r="Y4576" s="8"/>
      <c r="Z4576" s="8"/>
    </row>
    <row r="4577" spans="1:26" ht="12.75">
      <c r="A4577" s="11">
        <v>43747.112754629634</v>
      </c>
      <c r="B4577" s="12" t="str">
        <f>HYPERLINK("https://twitter.com/birsarapsevdasi","@birsarapsevdasi")</f>
        <v>@birsarapsevdasi</v>
      </c>
      <c r="C4577" s="7" t="s">
        <v>22714</v>
      </c>
      <c r="D4577" s="7" t="s">
        <v>22715</v>
      </c>
      <c r="E4577" s="12" t="str">
        <f>HYPERLINK("https://twitter.com/birsarapsevdasi/status/1181867492806991872","1181867492806991872")</f>
        <v>1181867492806991872</v>
      </c>
      <c r="F4577" s="15"/>
      <c r="G4577" s="15"/>
      <c r="H4577" s="8"/>
      <c r="I4577" s="15">
        <v>0</v>
      </c>
      <c r="J4577" s="15">
        <v>2</v>
      </c>
      <c r="K4577" s="12" t="str">
        <f>HYPERLINK("http://twitter.com/download/android","Twitter for Android")</f>
        <v>Twitter for Android</v>
      </c>
      <c r="L4577" s="16">
        <v>3323</v>
      </c>
      <c r="M4577" s="16">
        <v>3916</v>
      </c>
      <c r="N4577" s="16">
        <v>1</v>
      </c>
      <c r="O4577" s="17"/>
      <c r="P4577" s="18">
        <v>43118.318599537037</v>
      </c>
      <c r="Q4577" s="7"/>
      <c r="R4577" s="7" t="s">
        <v>22716</v>
      </c>
      <c r="S4577" s="15"/>
      <c r="T4577" s="8"/>
      <c r="U4577" s="19" t="str">
        <f>HYPERLINK("https://pbs.twimg.com/profile_images/1181566331121999874/A-UuRO_s.jpg","View")</f>
        <v>View</v>
      </c>
      <c r="V4577" s="8"/>
      <c r="W4577" s="8"/>
      <c r="X4577" s="8"/>
      <c r="Y4577" s="8"/>
      <c r="Z4577" s="8"/>
    </row>
    <row r="4578" spans="1:26" ht="12.75">
      <c r="A4578" s="11">
        <v>43747.112719907411</v>
      </c>
      <c r="B4578" s="12" t="str">
        <f>HYPERLINK("https://twitter.com/kepezsifa","@kepezsifa")</f>
        <v>@kepezsifa</v>
      </c>
      <c r="C4578" s="7" t="s">
        <v>22717</v>
      </c>
      <c r="D4578" s="7" t="s">
        <v>22718</v>
      </c>
      <c r="E4578" s="12" t="str">
        <f>HYPERLINK("https://twitter.com/kepezsifa/status/1181867477057331201","1181867477057331201")</f>
        <v>1181867477057331201</v>
      </c>
      <c r="F4578" s="8"/>
      <c r="G4578" s="14" t="s">
        <v>22719</v>
      </c>
      <c r="H4578" s="8"/>
      <c r="I4578" s="15">
        <v>0</v>
      </c>
      <c r="J4578" s="15">
        <v>1</v>
      </c>
      <c r="K4578" s="12" t="str">
        <f>HYPERLINK("http://twitter.com/download/iphone","Twitter for iPhone")</f>
        <v>Twitter for iPhone</v>
      </c>
      <c r="L4578" s="16">
        <v>1</v>
      </c>
      <c r="M4578" s="16">
        <v>5</v>
      </c>
      <c r="N4578" s="16">
        <v>0</v>
      </c>
      <c r="O4578" s="17"/>
      <c r="P4578" s="18">
        <v>43746.029652777783</v>
      </c>
      <c r="Q4578" s="7" t="s">
        <v>252</v>
      </c>
      <c r="R4578" s="7" t="s">
        <v>22720</v>
      </c>
      <c r="S4578" s="14" t="s">
        <v>22721</v>
      </c>
      <c r="T4578" s="8"/>
      <c r="U4578" s="19" t="str">
        <f>HYPERLINK("https://pbs.twimg.com/profile_images/1181475192381624322/8dUNMp2X.jpg","View")</f>
        <v>View</v>
      </c>
      <c r="V4578" s="8"/>
      <c r="W4578" s="8"/>
      <c r="X4578" s="8"/>
      <c r="Y4578" s="8"/>
      <c r="Z4578" s="8"/>
    </row>
    <row r="4579" spans="1:26" ht="12.75">
      <c r="A4579" s="11">
        <v>43747.112708333334</v>
      </c>
      <c r="B4579" s="12" t="str">
        <f>HYPERLINK("https://twitter.com/cr0waz","@cr0waz")</f>
        <v>@cr0waz</v>
      </c>
      <c r="C4579" s="7" t="s">
        <v>22722</v>
      </c>
      <c r="D4579" s="7" t="s">
        <v>22723</v>
      </c>
      <c r="E4579" s="12" t="str">
        <f>HYPERLINK("https://twitter.com/cr0waz/status/1181867475409018880","1181867475409018880")</f>
        <v>1181867475409018880</v>
      </c>
      <c r="F4579" s="8"/>
      <c r="G4579" s="7"/>
      <c r="H4579" s="8"/>
      <c r="I4579" s="15">
        <v>0</v>
      </c>
      <c r="J4579" s="15">
        <v>0</v>
      </c>
      <c r="K4579" s="12" t="str">
        <f>HYPERLINK("http://twitter.com/download/iphone","Twitter for iPhone")</f>
        <v>Twitter for iPhone</v>
      </c>
      <c r="L4579" s="16">
        <v>33</v>
      </c>
      <c r="M4579" s="16">
        <v>172</v>
      </c>
      <c r="N4579" s="16">
        <v>0</v>
      </c>
      <c r="O4579" s="17"/>
      <c r="P4579" s="18">
        <v>41802.2730787037</v>
      </c>
      <c r="Q4579" s="7"/>
      <c r="R4579" s="7" t="s">
        <v>22724</v>
      </c>
      <c r="S4579" s="8"/>
      <c r="T4579" s="8"/>
      <c r="U4579" s="19" t="str">
        <f>HYPERLINK("https://pbs.twimg.com/profile_images/711136132726198272/2TaTSXC4.jpg","View")</f>
        <v>View</v>
      </c>
      <c r="V4579" s="8"/>
      <c r="W4579" s="8"/>
      <c r="X4579" s="8"/>
      <c r="Y4579" s="8"/>
      <c r="Z4579" s="8"/>
    </row>
    <row r="4580" spans="1:26" ht="12.75">
      <c r="A4580" s="11">
        <v>43747.112685185188</v>
      </c>
      <c r="B4580" s="12" t="str">
        <f>HYPERLINK("https://twitter.com/AydinlarIcten","@AydinlarIcten")</f>
        <v>@AydinlarIcten</v>
      </c>
      <c r="C4580" s="7" t="s">
        <v>22725</v>
      </c>
      <c r="D4580" s="7" t="s">
        <v>22726</v>
      </c>
      <c r="E4580" s="12" t="str">
        <f>HYPERLINK("https://twitter.com/AydinlarIcten/status/1181867465556582401","1181867465556582401")</f>
        <v>1181867465556582401</v>
      </c>
      <c r="F4580" s="8"/>
      <c r="G4580" s="14" t="s">
        <v>22727</v>
      </c>
      <c r="H4580" s="8"/>
      <c r="I4580" s="15">
        <v>0</v>
      </c>
      <c r="J4580" s="15">
        <v>0</v>
      </c>
      <c r="K4580" s="12" t="str">
        <f>HYPERLINK("http://twitter.com","Twitter Web Client")</f>
        <v>Twitter Web Client</v>
      </c>
      <c r="L4580" s="16">
        <v>8</v>
      </c>
      <c r="M4580" s="16">
        <v>0</v>
      </c>
      <c r="N4580" s="16">
        <v>0</v>
      </c>
      <c r="O4580" s="17"/>
      <c r="P4580" s="18">
        <v>43683.8746875</v>
      </c>
      <c r="Q4580" s="7" t="s">
        <v>13727</v>
      </c>
      <c r="R4580" s="7" t="s">
        <v>22728</v>
      </c>
      <c r="S4580" s="8"/>
      <c r="T4580" s="8"/>
      <c r="U4580" s="19" t="str">
        <f>HYPERLINK("https://pbs.twimg.com/profile_images/1167223008773234689/ScIlMv9t.jpg","View")</f>
        <v>View</v>
      </c>
      <c r="V4580" s="8"/>
      <c r="W4580" s="8"/>
      <c r="X4580" s="8"/>
      <c r="Y4580" s="8"/>
      <c r="Z4580" s="8"/>
    </row>
    <row r="4581" spans="1:26" ht="12.75">
      <c r="A4581" s="11">
        <v>43747.112673611111</v>
      </c>
      <c r="B4581" s="12" t="str">
        <f>HYPERLINK("https://twitter.com/ahmtakdgn","@ahmtakdgn")</f>
        <v>@ahmtakdgn</v>
      </c>
      <c r="C4581" s="7" t="s">
        <v>22729</v>
      </c>
      <c r="D4581" s="7" t="s">
        <v>22730</v>
      </c>
      <c r="E4581" s="12" t="str">
        <f>HYPERLINK("https://twitter.com/ahmtakdgn/status/1181867459776847872","1181867459776847872")</f>
        <v>1181867459776847872</v>
      </c>
      <c r="F4581" s="8"/>
      <c r="G4581" s="14" t="s">
        <v>22731</v>
      </c>
      <c r="H4581" s="8"/>
      <c r="I4581" s="15">
        <v>0</v>
      </c>
      <c r="J4581" s="15">
        <v>0</v>
      </c>
      <c r="K4581" s="12" t="str">
        <f>HYPERLINK("http://twitter.com/download/iphone","Twitter for iPhone")</f>
        <v>Twitter for iPhone</v>
      </c>
      <c r="L4581" s="16">
        <v>99</v>
      </c>
      <c r="M4581" s="16">
        <v>193</v>
      </c>
      <c r="N4581" s="16">
        <v>0</v>
      </c>
      <c r="O4581" s="17"/>
      <c r="P4581" s="18">
        <v>41632.584108796298</v>
      </c>
      <c r="Q4581" s="7" t="s">
        <v>22732</v>
      </c>
      <c r="R4581" s="7" t="s">
        <v>22733</v>
      </c>
      <c r="S4581" s="14" t="s">
        <v>22734</v>
      </c>
      <c r="T4581" s="8"/>
      <c r="U4581" s="19" t="str">
        <f>HYPERLINK("https://pbs.twimg.com/profile_images/1177133853909180416/pAsoLz_M.jpg","View")</f>
        <v>View</v>
      </c>
      <c r="V4581" s="8"/>
      <c r="W4581" s="8"/>
      <c r="X4581" s="8"/>
      <c r="Y4581" s="8"/>
      <c r="Z4581" s="8"/>
    </row>
    <row r="4582" spans="1:26" ht="12.75">
      <c r="A4582" s="11">
        <v>43747.112604166672</v>
      </c>
      <c r="B4582" s="12" t="str">
        <f>HYPERLINK("https://twitter.com/hmdincer","@hmdincer")</f>
        <v>@hmdincer</v>
      </c>
      <c r="C4582" s="7" t="s">
        <v>22735</v>
      </c>
      <c r="D4582" s="7" t="s">
        <v>160</v>
      </c>
      <c r="E4582" s="12" t="str">
        <f>HYPERLINK("https://twitter.com/hmdincer/status/1181867434422231040","1181867434422231040")</f>
        <v>1181867434422231040</v>
      </c>
      <c r="F4582" s="8"/>
      <c r="G4582" s="14" t="s">
        <v>22736</v>
      </c>
      <c r="H4582" s="8"/>
      <c r="I4582" s="15">
        <v>2</v>
      </c>
      <c r="J4582" s="15">
        <v>20</v>
      </c>
      <c r="K4582" s="12" t="str">
        <f>HYPERLINK("http://twitter.com/download/iphone","Twitter for iPhone")</f>
        <v>Twitter for iPhone</v>
      </c>
      <c r="L4582" s="16">
        <v>923</v>
      </c>
      <c r="M4582" s="16">
        <v>714</v>
      </c>
      <c r="N4582" s="16">
        <v>1</v>
      </c>
      <c r="O4582" s="17"/>
      <c r="P4582" s="18">
        <v>43410.533692129626</v>
      </c>
      <c r="Q4582" s="7" t="s">
        <v>200</v>
      </c>
      <c r="R4582" s="7"/>
      <c r="S4582" s="15"/>
      <c r="T4582" s="8"/>
      <c r="U4582" s="19" t="str">
        <f>HYPERLINK("https://pbs.twimg.com/profile_images/1059910981558636548/zYH7N29h.jpg","View")</f>
        <v>View</v>
      </c>
      <c r="V4582" s="8"/>
      <c r="W4582" s="8"/>
      <c r="X4582" s="8"/>
      <c r="Y4582" s="8"/>
      <c r="Z4582" s="8"/>
    </row>
    <row r="4583" spans="1:26" ht="12.75">
      <c r="A4583" s="11">
        <v>43747.112581018519</v>
      </c>
      <c r="B4583" s="12" t="str">
        <f>HYPERLINK("https://twitter.com/erenc911","@erenc911")</f>
        <v>@erenc911</v>
      </c>
      <c r="C4583" s="7" t="s">
        <v>22737</v>
      </c>
      <c r="D4583" s="7" t="s">
        <v>22738</v>
      </c>
      <c r="E4583" s="12" t="str">
        <f>HYPERLINK("https://twitter.com/erenc911/status/1181867426985721856","1181867426985721856")</f>
        <v>1181867426985721856</v>
      </c>
      <c r="F4583" s="8"/>
      <c r="G4583" s="7"/>
      <c r="H4583" s="8"/>
      <c r="I4583" s="15">
        <v>0</v>
      </c>
      <c r="J4583" s="15">
        <v>1</v>
      </c>
      <c r="K4583" s="12" t="str">
        <f>HYPERLINK("http://twitter.com/download/iphone","Twitter for iPhone")</f>
        <v>Twitter for iPhone</v>
      </c>
      <c r="L4583" s="16">
        <v>20</v>
      </c>
      <c r="M4583" s="16">
        <v>21</v>
      </c>
      <c r="N4583" s="16">
        <v>0</v>
      </c>
      <c r="O4583" s="17"/>
      <c r="P4583" s="18">
        <v>42596.36818287037</v>
      </c>
      <c r="Q4583" s="7"/>
      <c r="R4583" s="7" t="s">
        <v>22739</v>
      </c>
      <c r="S4583" s="8"/>
      <c r="T4583" s="8"/>
      <c r="U4583" s="19" t="str">
        <f>HYPERLINK("https://pbs.twimg.com/profile_images/1170085483940122624/sXaVWDLB.jpg","View")</f>
        <v>View</v>
      </c>
      <c r="V4583" s="8"/>
      <c r="W4583" s="8"/>
      <c r="X4583" s="8"/>
      <c r="Y4583" s="8"/>
      <c r="Z4583" s="8"/>
    </row>
    <row r="4584" spans="1:26" ht="12.75">
      <c r="A4584" s="11">
        <v>43747.112581018519</v>
      </c>
      <c r="B4584" s="12" t="str">
        <f>HYPERLINK("https://twitter.com/murat_aydogduu","@murat_aydogduu")</f>
        <v>@murat_aydogduu</v>
      </c>
      <c r="C4584" s="7" t="s">
        <v>22740</v>
      </c>
      <c r="D4584" s="7" t="s">
        <v>160</v>
      </c>
      <c r="E4584" s="12" t="str">
        <f>HYPERLINK("https://twitter.com/murat_aydogduu/status/1181867426155249664","1181867426155249664")</f>
        <v>1181867426155249664</v>
      </c>
      <c r="F4584" s="8"/>
      <c r="G4584" s="14" t="s">
        <v>22741</v>
      </c>
      <c r="H4584" s="8"/>
      <c r="I4584" s="15">
        <v>0</v>
      </c>
      <c r="J4584" s="15">
        <v>0</v>
      </c>
      <c r="K4584" s="12" t="str">
        <f>HYPERLINK("http://twitter.com/download/iphone","Twitter for iPhone")</f>
        <v>Twitter for iPhone</v>
      </c>
      <c r="L4584" s="16">
        <v>1049</v>
      </c>
      <c r="M4584" s="16">
        <v>407</v>
      </c>
      <c r="N4584" s="16">
        <v>3</v>
      </c>
      <c r="O4584" s="17"/>
      <c r="P4584" s="18">
        <v>41124.374212962961</v>
      </c>
      <c r="Q4584" s="7" t="s">
        <v>2225</v>
      </c>
      <c r="R4584" s="7" t="s">
        <v>22742</v>
      </c>
      <c r="S4584" s="8"/>
      <c r="T4584" s="8"/>
      <c r="U4584" s="19" t="str">
        <f>HYPERLINK("https://pbs.twimg.com/profile_images/1146169825837879296/aKNgUx66.jpg","View")</f>
        <v>View</v>
      </c>
      <c r="V4584" s="8"/>
      <c r="W4584" s="8"/>
      <c r="X4584" s="8"/>
      <c r="Y4584" s="8"/>
      <c r="Z4584" s="8"/>
    </row>
    <row r="4585" spans="1:26" ht="12.75">
      <c r="A4585" s="11">
        <v>43747.112546296295</v>
      </c>
      <c r="B4585" s="12" t="str">
        <f>HYPERLINK("https://twitter.com/sofilicegn","@sofilicegn")</f>
        <v>@sofilicegn</v>
      </c>
      <c r="C4585" s="7" t="s">
        <v>22743</v>
      </c>
      <c r="D4585" s="7" t="s">
        <v>22744</v>
      </c>
      <c r="E4585" s="12" t="str">
        <f>HYPERLINK("https://twitter.com/sofilicegn/status/1181867416445431808","1181867416445431808")</f>
        <v>1181867416445431808</v>
      </c>
      <c r="F4585" s="8"/>
      <c r="G4585" s="15"/>
      <c r="H4585" s="8"/>
      <c r="I4585" s="15">
        <v>0</v>
      </c>
      <c r="J4585" s="15">
        <v>17</v>
      </c>
      <c r="K4585" s="12" t="str">
        <f>HYPERLINK("https://mobile.twitter.com","Twitter Web App")</f>
        <v>Twitter Web App</v>
      </c>
      <c r="L4585" s="16">
        <v>352</v>
      </c>
      <c r="M4585" s="16">
        <v>497</v>
      </c>
      <c r="N4585" s="16">
        <v>0</v>
      </c>
      <c r="O4585" s="17"/>
      <c r="P4585" s="18">
        <v>43734.329594907409</v>
      </c>
      <c r="Q4585" s="7"/>
      <c r="R4585" s="7" t="s">
        <v>22745</v>
      </c>
      <c r="S4585" s="8"/>
      <c r="T4585" s="8"/>
      <c r="U4585" s="19" t="str">
        <f>HYPERLINK("https://pbs.twimg.com/profile_images/1181559668524699649/eRvIkEZl.jpg","View")</f>
        <v>View</v>
      </c>
      <c r="V4585" s="8"/>
      <c r="W4585" s="8"/>
      <c r="X4585" s="8"/>
      <c r="Y4585" s="8"/>
      <c r="Z4585" s="8"/>
    </row>
    <row r="4586" spans="1:26" ht="12.75">
      <c r="A4586" s="11">
        <v>43747.112523148149</v>
      </c>
      <c r="B4586" s="12" t="str">
        <f>HYPERLINK("https://twitter.com/callofcuchu","@callofcuchu")</f>
        <v>@callofcuchu</v>
      </c>
      <c r="C4586" s="7" t="s">
        <v>22746</v>
      </c>
      <c r="D4586" s="7" t="s">
        <v>22747</v>
      </c>
      <c r="E4586" s="12" t="str">
        <f>HYPERLINK("https://twitter.com/callofcuchu/status/1181867407377420288","1181867407377420288")</f>
        <v>1181867407377420288</v>
      </c>
      <c r="F4586" s="8"/>
      <c r="G4586" s="7"/>
      <c r="H4586" s="8"/>
      <c r="I4586" s="15">
        <v>0</v>
      </c>
      <c r="J4586" s="15">
        <v>0</v>
      </c>
      <c r="K4586" s="12" t="str">
        <f>HYPERLINK("https://mobile.twitter.com","Twitter Web App")</f>
        <v>Twitter Web App</v>
      </c>
      <c r="L4586" s="16">
        <v>399</v>
      </c>
      <c r="M4586" s="16">
        <v>46</v>
      </c>
      <c r="N4586" s="16">
        <v>4</v>
      </c>
      <c r="O4586" s="17"/>
      <c r="P4586" s="18">
        <v>43572.737164351856</v>
      </c>
      <c r="Q4586" s="7"/>
      <c r="R4586" s="7" t="s">
        <v>22748</v>
      </c>
      <c r="S4586" s="8"/>
      <c r="T4586" s="8"/>
      <c r="U4586" s="19" t="str">
        <f>HYPERLINK("https://pbs.twimg.com/profile_images/1118677575570735105/XrXMHuqr.jpg","View")</f>
        <v>View</v>
      </c>
      <c r="V4586" s="8"/>
      <c r="W4586" s="8"/>
      <c r="X4586" s="8"/>
      <c r="Y4586" s="8"/>
      <c r="Z4586" s="8"/>
    </row>
    <row r="4587" spans="1:26" ht="12.75">
      <c r="A4587" s="11">
        <v>43747.112523148149</v>
      </c>
      <c r="B4587" s="12" t="str">
        <f>HYPERLINK("https://twitter.com/siyahbeyaz341","@siyahbeyaz341")</f>
        <v>@siyahbeyaz341</v>
      </c>
      <c r="C4587" s="7" t="s">
        <v>22749</v>
      </c>
      <c r="D4587" s="7" t="s">
        <v>22750</v>
      </c>
      <c r="E4587" s="12" t="str">
        <f>HYPERLINK("https://twitter.com/siyahbeyaz341/status/1181867406962167808","1181867406962167808")</f>
        <v>1181867406962167808</v>
      </c>
      <c r="F4587" s="15"/>
      <c r="G4587" s="14" t="s">
        <v>22751</v>
      </c>
      <c r="H4587" s="8"/>
      <c r="I4587" s="15">
        <v>1</v>
      </c>
      <c r="J4587" s="15">
        <v>7</v>
      </c>
      <c r="K4587" s="12" t="str">
        <f>HYPERLINK("http://twitter.com/download/android","Twitter for Android")</f>
        <v>Twitter for Android</v>
      </c>
      <c r="L4587" s="16">
        <v>7522</v>
      </c>
      <c r="M4587" s="16">
        <v>5145</v>
      </c>
      <c r="N4587" s="16">
        <v>14</v>
      </c>
      <c r="O4587" s="17"/>
      <c r="P4587" s="18">
        <v>41484.467662037037</v>
      </c>
      <c r="Q4587" s="7" t="s">
        <v>313</v>
      </c>
      <c r="R4587" s="7" t="s">
        <v>22752</v>
      </c>
      <c r="S4587" s="15"/>
      <c r="T4587" s="8"/>
      <c r="U4587" s="19" t="str">
        <f>HYPERLINK("https://pbs.twimg.com/profile_images/1180745009647280128/gT6k-nZB.jpg","View")</f>
        <v>View</v>
      </c>
      <c r="V4587" s="8"/>
      <c r="W4587" s="8"/>
      <c r="X4587" s="8"/>
      <c r="Y4587" s="8"/>
      <c r="Z4587" s="8"/>
    </row>
    <row r="4588" spans="1:26" ht="12.75">
      <c r="A4588" s="11">
        <v>43747.112430555557</v>
      </c>
      <c r="B4588" s="12" t="str">
        <f>HYPERLINK("https://twitter.com/ulgenTURKIYE","@ulgenTURKIYE")</f>
        <v>@ulgenTURKIYE</v>
      </c>
      <c r="C4588" s="7" t="s">
        <v>22753</v>
      </c>
      <c r="D4588" s="7" t="s">
        <v>22754</v>
      </c>
      <c r="E4588" s="12" t="str">
        <f>HYPERLINK("https://twitter.com/ulgenTURKIYE/status/1181867373890068482","1181867373890068482")</f>
        <v>1181867373890068482</v>
      </c>
      <c r="F4588" s="8"/>
      <c r="G4588" s="14" t="s">
        <v>22755</v>
      </c>
      <c r="H4588" s="8"/>
      <c r="I4588" s="15">
        <v>0</v>
      </c>
      <c r="J4588" s="15">
        <v>1</v>
      </c>
      <c r="K4588" s="12" t="str">
        <f>HYPERLINK("http://twitter.com/download/iphone","Twitter for iPhone")</f>
        <v>Twitter for iPhone</v>
      </c>
      <c r="L4588" s="16">
        <v>912</v>
      </c>
      <c r="M4588" s="16">
        <v>1154</v>
      </c>
      <c r="N4588" s="16">
        <v>0</v>
      </c>
      <c r="O4588" s="17"/>
      <c r="P4588" s="18">
        <v>40639.235914351855</v>
      </c>
      <c r="Q4588" s="7" t="s">
        <v>22756</v>
      </c>
      <c r="R4588" s="7" t="s">
        <v>22757</v>
      </c>
      <c r="S4588" s="8"/>
      <c r="T4588" s="8"/>
      <c r="U4588" s="19" t="str">
        <f>HYPERLINK("https://pbs.twimg.com/profile_images/849584971266351104/08y6wWtm.jpg","View")</f>
        <v>View</v>
      </c>
      <c r="V4588" s="8"/>
      <c r="W4588" s="8"/>
      <c r="X4588" s="8"/>
      <c r="Y4588" s="8"/>
      <c r="Z4588" s="8"/>
    </row>
    <row r="4589" spans="1:26" ht="12.75">
      <c r="A4589" s="11">
        <v>43747.112430555557</v>
      </c>
      <c r="B4589" s="12" t="str">
        <f>HYPERLINK("https://twitter.com/fathcelik61","@fathcelik61")</f>
        <v>@fathcelik61</v>
      </c>
      <c r="C4589" s="7" t="s">
        <v>22758</v>
      </c>
      <c r="D4589" s="7" t="s">
        <v>22759</v>
      </c>
      <c r="E4589" s="12" t="str">
        <f>HYPERLINK("https://twitter.com/fathcelik61/status/1181867373869125632","1181867373869125632")</f>
        <v>1181867373869125632</v>
      </c>
      <c r="F4589" s="8"/>
      <c r="G4589" s="14" t="s">
        <v>22760</v>
      </c>
      <c r="H4589" s="8"/>
      <c r="I4589" s="15">
        <v>1</v>
      </c>
      <c r="J4589" s="15">
        <v>6</v>
      </c>
      <c r="K4589" s="12" t="str">
        <f>HYPERLINK("http://twitter.com/download/android","Twitter for Android")</f>
        <v>Twitter for Android</v>
      </c>
      <c r="L4589" s="16">
        <v>476</v>
      </c>
      <c r="M4589" s="16">
        <v>208</v>
      </c>
      <c r="N4589" s="16">
        <v>0</v>
      </c>
      <c r="O4589" s="17"/>
      <c r="P4589" s="18">
        <v>42576.487581018519</v>
      </c>
      <c r="Q4589" s="7" t="s">
        <v>7843</v>
      </c>
      <c r="R4589" s="7" t="s">
        <v>22761</v>
      </c>
      <c r="S4589" s="8"/>
      <c r="T4589" s="8"/>
      <c r="U4589" s="19" t="str">
        <f>HYPERLINK("https://pbs.twimg.com/profile_images/1158134469628440576/oUrDh9gG.jpg","View")</f>
        <v>View</v>
      </c>
      <c r="V4589" s="8"/>
      <c r="W4589" s="8"/>
      <c r="X4589" s="8"/>
      <c r="Y4589" s="8"/>
      <c r="Z4589" s="8"/>
    </row>
    <row r="4590" spans="1:26" ht="12.75">
      <c r="A4590" s="11">
        <v>43747.112395833334</v>
      </c>
      <c r="B4590" s="12" t="str">
        <f>HYPERLINK("https://twitter.com/berkin_durgut","@berkin_durgut")</f>
        <v>@berkin_durgut</v>
      </c>
      <c r="C4590" s="7" t="s">
        <v>22762</v>
      </c>
      <c r="D4590" s="7" t="s">
        <v>22763</v>
      </c>
      <c r="E4590" s="12" t="str">
        <f>HYPERLINK("https://twitter.com/berkin_durgut/status/1181867361013583872","1181867361013583872")</f>
        <v>1181867361013583872</v>
      </c>
      <c r="F4590" s="8"/>
      <c r="G4590" s="7"/>
      <c r="H4590" s="8"/>
      <c r="I4590" s="15">
        <v>0</v>
      </c>
      <c r="J4590" s="15">
        <v>4</v>
      </c>
      <c r="K4590" s="12" t="str">
        <f>HYPERLINK("http://twitter.com/download/iphone","Twitter for iPhone")</f>
        <v>Twitter for iPhone</v>
      </c>
      <c r="L4590" s="16">
        <v>2579</v>
      </c>
      <c r="M4590" s="16">
        <v>2285</v>
      </c>
      <c r="N4590" s="16">
        <v>0</v>
      </c>
      <c r="O4590" s="17"/>
      <c r="P4590" s="18">
        <v>43027.636747685188</v>
      </c>
      <c r="Q4590" s="7" t="s">
        <v>69</v>
      </c>
      <c r="R4590" s="7" t="s">
        <v>22764</v>
      </c>
      <c r="S4590" s="14" t="s">
        <v>22765</v>
      </c>
      <c r="T4590" s="8"/>
      <c r="U4590" s="19" t="str">
        <f>HYPERLINK("https://pbs.twimg.com/profile_images/1136747875310981120/E-OVdD3u.jpg","View")</f>
        <v>View</v>
      </c>
      <c r="V4590" s="8"/>
      <c r="W4590" s="8"/>
      <c r="X4590" s="8"/>
      <c r="Y4590" s="8"/>
      <c r="Z4590" s="8"/>
    </row>
    <row r="4591" spans="1:26" ht="12.75">
      <c r="A4591" s="11">
        <v>43747.112314814818</v>
      </c>
      <c r="B4591" s="12" t="str">
        <f>HYPERLINK("https://twitter.com/grudaniels","@grudaniels")</f>
        <v>@grudaniels</v>
      </c>
      <c r="C4591" s="7" t="s">
        <v>22766</v>
      </c>
      <c r="D4591" s="7" t="s">
        <v>22767</v>
      </c>
      <c r="E4591" s="12" t="str">
        <f>HYPERLINK("https://twitter.com/grudaniels/status/1181867332962078721","1181867332962078721")</f>
        <v>1181867332962078721</v>
      </c>
      <c r="F4591" s="8"/>
      <c r="G4591" s="15"/>
      <c r="H4591" s="8"/>
      <c r="I4591" s="15">
        <v>0</v>
      </c>
      <c r="J4591" s="15">
        <v>0</v>
      </c>
      <c r="K4591" s="12" t="str">
        <f>HYPERLINK("http://twitter.com/download/iphone","Twitter for iPhone")</f>
        <v>Twitter for iPhone</v>
      </c>
      <c r="L4591" s="16">
        <v>567</v>
      </c>
      <c r="M4591" s="16">
        <v>398</v>
      </c>
      <c r="N4591" s="16">
        <v>1</v>
      </c>
      <c r="O4591" s="17"/>
      <c r="P4591" s="18">
        <v>41467.331111111111</v>
      </c>
      <c r="Q4591" s="7" t="s">
        <v>22768</v>
      </c>
      <c r="R4591" s="7"/>
      <c r="S4591" s="8"/>
      <c r="T4591" s="8"/>
      <c r="U4591" s="19" t="str">
        <f>HYPERLINK("https://pbs.twimg.com/profile_images/1168504116131356672/Qhg6U0qC.jpg","View")</f>
        <v>View</v>
      </c>
      <c r="V4591" s="8"/>
      <c r="W4591" s="8"/>
      <c r="X4591" s="8"/>
      <c r="Y4591" s="8"/>
      <c r="Z4591" s="8"/>
    </row>
    <row r="4592" spans="1:26" ht="12.75">
      <c r="A4592" s="11">
        <v>43747.112303240741</v>
      </c>
      <c r="B4592" s="12" t="str">
        <f>HYPERLINK("https://twitter.com/xecusefa","@xecusefa")</f>
        <v>@xecusefa</v>
      </c>
      <c r="C4592" s="7" t="s">
        <v>22769</v>
      </c>
      <c r="D4592" s="7" t="s">
        <v>160</v>
      </c>
      <c r="E4592" s="12" t="str">
        <f>HYPERLINK("https://twitter.com/xecusefa/status/1181867326020476934","1181867326020476934")</f>
        <v>1181867326020476934</v>
      </c>
      <c r="F4592" s="15"/>
      <c r="G4592" s="14" t="s">
        <v>22770</v>
      </c>
      <c r="H4592" s="8"/>
      <c r="I4592" s="15">
        <v>0</v>
      </c>
      <c r="J4592" s="15">
        <v>1</v>
      </c>
      <c r="K4592" s="12" t="str">
        <f>HYPERLINK("http://twitter.com/download/android","Twitter for Android")</f>
        <v>Twitter for Android</v>
      </c>
      <c r="L4592" s="16">
        <v>13</v>
      </c>
      <c r="M4592" s="16">
        <v>10</v>
      </c>
      <c r="N4592" s="16">
        <v>0</v>
      </c>
      <c r="O4592" s="17"/>
      <c r="P4592" s="18">
        <v>42633.294699074075</v>
      </c>
      <c r="Q4592" s="7" t="s">
        <v>200</v>
      </c>
      <c r="R4592" s="7" t="s">
        <v>22771</v>
      </c>
      <c r="S4592" s="14" t="s">
        <v>22772</v>
      </c>
      <c r="T4592" s="8"/>
      <c r="U4592" s="19" t="str">
        <f>HYPERLINK("https://pbs.twimg.com/profile_images/1173302709589614594/8mEeuK7b.jpg","View")</f>
        <v>View</v>
      </c>
      <c r="V4592" s="8"/>
      <c r="W4592" s="8"/>
      <c r="X4592" s="8"/>
      <c r="Y4592" s="8"/>
      <c r="Z4592" s="8"/>
    </row>
    <row r="4593" spans="1:26" ht="12.75">
      <c r="A4593" s="11">
        <v>43747.112291666665</v>
      </c>
      <c r="B4593" s="12" t="str">
        <f>HYPERLINK("https://twitter.com/Muhammed_Cemrek","@Muhammed_Cemrek")</f>
        <v>@Muhammed_Cemrek</v>
      </c>
      <c r="C4593" s="7" t="s">
        <v>22773</v>
      </c>
      <c r="D4593" s="7" t="s">
        <v>22774</v>
      </c>
      <c r="E4593" s="12" t="str">
        <f>HYPERLINK("https://twitter.com/Muhammed_Cemrek/status/1181867321851285504","1181867321851285504")</f>
        <v>1181867321851285504</v>
      </c>
      <c r="F4593" s="14" t="s">
        <v>22775</v>
      </c>
      <c r="G4593" s="7"/>
      <c r="H4593" s="8"/>
      <c r="I4593" s="15">
        <v>0</v>
      </c>
      <c r="J4593" s="15">
        <v>0</v>
      </c>
      <c r="K4593" s="12" t="str">
        <f>HYPERLINK("http://twitter.com/download/android","Twitter for Android")</f>
        <v>Twitter for Android</v>
      </c>
      <c r="L4593" s="16">
        <v>44</v>
      </c>
      <c r="M4593" s="16">
        <v>103</v>
      </c>
      <c r="N4593" s="16">
        <v>0</v>
      </c>
      <c r="O4593" s="17"/>
      <c r="P4593" s="18">
        <v>43006.141770833332</v>
      </c>
      <c r="Q4593" s="7" t="s">
        <v>313</v>
      </c>
      <c r="R4593" s="7" t="s">
        <v>22776</v>
      </c>
      <c r="S4593" s="14" t="s">
        <v>22777</v>
      </c>
      <c r="T4593" s="8"/>
      <c r="U4593" s="19" t="str">
        <f>HYPERLINK("https://pbs.twimg.com/profile_images/1168834526602256385/_q1uQtIg.jpg","View")</f>
        <v>View</v>
      </c>
      <c r="V4593" s="8"/>
      <c r="W4593" s="8"/>
      <c r="X4593" s="8"/>
      <c r="Y4593" s="8"/>
      <c r="Z4593" s="8"/>
    </row>
    <row r="4594" spans="1:26" ht="12.75">
      <c r="A4594" s="11">
        <v>43747.112268518518</v>
      </c>
      <c r="B4594" s="12" t="str">
        <f>HYPERLINK("https://twitter.com/miracozkpnr","@miracozkpnr")</f>
        <v>@miracozkpnr</v>
      </c>
      <c r="C4594" s="7" t="s">
        <v>22778</v>
      </c>
      <c r="D4594" s="7" t="s">
        <v>22779</v>
      </c>
      <c r="E4594" s="12" t="str">
        <f>HYPERLINK("https://twitter.com/miracozkpnr/status/1181867315597660160","1181867315597660160")</f>
        <v>1181867315597660160</v>
      </c>
      <c r="F4594" s="15"/>
      <c r="G4594" s="14" t="s">
        <v>22780</v>
      </c>
      <c r="H4594" s="8"/>
      <c r="I4594" s="15">
        <v>0</v>
      </c>
      <c r="J4594" s="15">
        <v>1</v>
      </c>
      <c r="K4594" s="12" t="str">
        <f>HYPERLINK("http://twitter.com/download/android","Twitter for Android")</f>
        <v>Twitter for Android</v>
      </c>
      <c r="L4594" s="16">
        <v>67</v>
      </c>
      <c r="M4594" s="16">
        <v>82</v>
      </c>
      <c r="N4594" s="16">
        <v>0</v>
      </c>
      <c r="O4594" s="17"/>
      <c r="P4594" s="18">
        <v>42362.105636574073</v>
      </c>
      <c r="Q4594" s="7"/>
      <c r="R4594" s="7" t="s">
        <v>22781</v>
      </c>
      <c r="S4594" s="15"/>
      <c r="T4594" s="8"/>
      <c r="U4594" s="19" t="str">
        <f>HYPERLINK("https://pbs.twimg.com/profile_images/1137854191295172614/Kkj7sU8z.jpg","View")</f>
        <v>View</v>
      </c>
      <c r="V4594" s="8"/>
      <c r="W4594" s="8"/>
      <c r="X4594" s="8"/>
      <c r="Y4594" s="8"/>
      <c r="Z4594" s="8"/>
    </row>
    <row r="4595" spans="1:26" ht="12.75">
      <c r="A4595" s="11">
        <v>43747.112245370372</v>
      </c>
      <c r="B4595" s="12" t="str">
        <f>HYPERLINK("https://twitter.com/dervisankara","@dervisankara")</f>
        <v>@dervisankara</v>
      </c>
      <c r="C4595" s="7" t="s">
        <v>22782</v>
      </c>
      <c r="D4595" s="7" t="s">
        <v>16825</v>
      </c>
      <c r="E4595" s="12" t="str">
        <f>HYPERLINK("https://twitter.com/dervisankara/status/1181867307448098816","1181867307448098816")</f>
        <v>1181867307448098816</v>
      </c>
      <c r="F4595" s="8"/>
      <c r="G4595" s="14" t="s">
        <v>22783</v>
      </c>
      <c r="H4595" s="8"/>
      <c r="I4595" s="15">
        <v>0</v>
      </c>
      <c r="J4595" s="15">
        <v>0</v>
      </c>
      <c r="K4595" s="12" t="str">
        <f>HYPERLINK("http://twitter.com/download/iphone","Twitter for iPhone")</f>
        <v>Twitter for iPhone</v>
      </c>
      <c r="L4595" s="16">
        <v>266</v>
      </c>
      <c r="M4595" s="16">
        <v>491</v>
      </c>
      <c r="N4595" s="16">
        <v>0</v>
      </c>
      <c r="O4595" s="17"/>
      <c r="P4595" s="18">
        <v>43020.407280092593</v>
      </c>
      <c r="Q4595" s="7" t="s">
        <v>287</v>
      </c>
      <c r="R4595" s="7"/>
      <c r="S4595" s="8"/>
      <c r="T4595" s="8"/>
      <c r="U4595" s="19" t="str">
        <f>HYPERLINK("https://pbs.twimg.com/profile_images/1072524731344130050/2JpzSvLD.jpg","View")</f>
        <v>View</v>
      </c>
      <c r="V4595" s="8"/>
      <c r="W4595" s="8"/>
      <c r="X4595" s="8"/>
      <c r="Y4595" s="8"/>
      <c r="Z4595" s="8"/>
    </row>
    <row r="4596" spans="1:26" ht="12.75">
      <c r="A4596" s="11">
        <v>43747.112233796295</v>
      </c>
      <c r="B4596" s="12" t="str">
        <f>HYPERLINK("https://twitter.com/LisanHal06","@LisanHal06")</f>
        <v>@LisanHal06</v>
      </c>
      <c r="C4596" s="7" t="s">
        <v>22784</v>
      </c>
      <c r="D4596" s="7" t="s">
        <v>15830</v>
      </c>
      <c r="E4596" s="12" t="str">
        <f>HYPERLINK("https://twitter.com/LisanHal06/status/1181867301286633472","1181867301286633472")</f>
        <v>1181867301286633472</v>
      </c>
      <c r="F4596" s="8"/>
      <c r="G4596" s="14" t="s">
        <v>16822</v>
      </c>
      <c r="H4596" s="8"/>
      <c r="I4596" s="15">
        <v>44</v>
      </c>
      <c r="J4596" s="15">
        <v>348</v>
      </c>
      <c r="K4596" s="12" t="str">
        <f>HYPERLINK("http://twitter.com/download/android","Twitter for Android")</f>
        <v>Twitter for Android</v>
      </c>
      <c r="L4596" s="16">
        <v>23645</v>
      </c>
      <c r="M4596" s="16">
        <v>17078</v>
      </c>
      <c r="N4596" s="16">
        <v>31</v>
      </c>
      <c r="O4596" s="17"/>
      <c r="P4596" s="18">
        <v>41982.606539351851</v>
      </c>
      <c r="Q4596" s="7" t="s">
        <v>22785</v>
      </c>
      <c r="R4596" s="7" t="s">
        <v>22786</v>
      </c>
      <c r="S4596" s="8"/>
      <c r="T4596" s="8"/>
      <c r="U4596" s="19" t="str">
        <f>HYPERLINK("https://pbs.twimg.com/profile_images/1145680937230970884/jryAXIdh.jpg","View")</f>
        <v>View</v>
      </c>
      <c r="V4596" s="8"/>
      <c r="W4596" s="8"/>
      <c r="X4596" s="8"/>
      <c r="Y4596" s="8"/>
      <c r="Z4596" s="8"/>
    </row>
    <row r="4597" spans="1:26" ht="12.75">
      <c r="A4597" s="11">
        <v>43747.112233796295</v>
      </c>
      <c r="B4597" s="12" t="str">
        <f>HYPERLINK("https://twitter.com/OcalBAHADIR","@OcalBAHADIR")</f>
        <v>@OcalBAHADIR</v>
      </c>
      <c r="C4597" s="7" t="s">
        <v>22787</v>
      </c>
      <c r="D4597" s="7" t="s">
        <v>22788</v>
      </c>
      <c r="E4597" s="12" t="str">
        <f>HYPERLINK("https://twitter.com/OcalBAHADIR/status/1181867301198585856","1181867301198585856")</f>
        <v>1181867301198585856</v>
      </c>
      <c r="F4597" s="15"/>
      <c r="G4597" s="15"/>
      <c r="H4597" s="8"/>
      <c r="I4597" s="15">
        <v>0</v>
      </c>
      <c r="J4597" s="15">
        <v>0</v>
      </c>
      <c r="K4597" s="12" t="str">
        <f>HYPERLINK("http://twitter.com/download/android","Twitter for Android")</f>
        <v>Twitter for Android</v>
      </c>
      <c r="L4597" s="16">
        <v>446</v>
      </c>
      <c r="M4597" s="16">
        <v>449</v>
      </c>
      <c r="N4597" s="16">
        <v>0</v>
      </c>
      <c r="O4597" s="17"/>
      <c r="P4597" s="18">
        <v>41404.157581018517</v>
      </c>
      <c r="Q4597" s="7" t="s">
        <v>4442</v>
      </c>
      <c r="R4597" s="7" t="s">
        <v>22789</v>
      </c>
      <c r="S4597" s="15"/>
      <c r="T4597" s="8"/>
      <c r="U4597" s="19" t="str">
        <f>HYPERLINK("https://pbs.twimg.com/profile_images/1181867748500131840/gB8oGSvk.jpg","View")</f>
        <v>View</v>
      </c>
      <c r="V4597" s="8"/>
      <c r="W4597" s="8"/>
      <c r="X4597" s="8"/>
      <c r="Y4597" s="8"/>
      <c r="Z4597" s="8"/>
    </row>
    <row r="4598" spans="1:26" ht="12.75">
      <c r="A4598" s="11">
        <v>43747.112222222218</v>
      </c>
      <c r="B4598" s="12" t="str">
        <f>HYPERLINK("https://twitter.com/rasimyilmazTR","@rasimyilmazTR")</f>
        <v>@rasimyilmazTR</v>
      </c>
      <c r="C4598" s="7" t="s">
        <v>22790</v>
      </c>
      <c r="D4598" s="7" t="s">
        <v>22791</v>
      </c>
      <c r="E4598" s="12" t="str">
        <f>HYPERLINK("https://twitter.com/rasimyilmazTR/status/1181867298585550848","1181867298585550848")</f>
        <v>1181867298585550848</v>
      </c>
      <c r="F4598" s="15"/>
      <c r="G4598" s="14" t="s">
        <v>22792</v>
      </c>
      <c r="H4598" s="8"/>
      <c r="I4598" s="15">
        <v>0</v>
      </c>
      <c r="J4598" s="15">
        <v>1</v>
      </c>
      <c r="K4598" s="12" t="str">
        <f>HYPERLINK("http://twitter.com/download/iphone","Twitter for iPhone")</f>
        <v>Twitter for iPhone</v>
      </c>
      <c r="L4598" s="16">
        <v>6084</v>
      </c>
      <c r="M4598" s="16">
        <v>5546</v>
      </c>
      <c r="N4598" s="16">
        <v>6</v>
      </c>
      <c r="O4598" s="17"/>
      <c r="P4598" s="18">
        <v>41351.70590277778</v>
      </c>
      <c r="Q4598" s="7" t="s">
        <v>22793</v>
      </c>
      <c r="R4598" s="7" t="s">
        <v>22794</v>
      </c>
      <c r="S4598" s="14" t="s">
        <v>22795</v>
      </c>
      <c r="T4598" s="8"/>
      <c r="U4598" s="19" t="str">
        <f>HYPERLINK("https://pbs.twimg.com/profile_images/872197028922761216/UjiyXLrS.jpg","View")</f>
        <v>View</v>
      </c>
      <c r="V4598" s="8"/>
      <c r="W4598" s="8"/>
      <c r="X4598" s="8"/>
      <c r="Y4598" s="8"/>
      <c r="Z4598" s="8"/>
    </row>
    <row r="4599" spans="1:26" ht="12.75">
      <c r="A4599" s="11">
        <v>43747.112210648149</v>
      </c>
      <c r="B4599" s="12" t="str">
        <f>HYPERLINK("https://twitter.com/ErayEN36428591","@ErayEN36428591")</f>
        <v>@ErayEN36428591</v>
      </c>
      <c r="C4599" s="7" t="s">
        <v>22796</v>
      </c>
      <c r="D4599" s="7" t="s">
        <v>160</v>
      </c>
      <c r="E4599" s="12" t="str">
        <f>HYPERLINK("https://twitter.com/ErayEN36428591/status/1181867293661388800","1181867293661388800")</f>
        <v>1181867293661388800</v>
      </c>
      <c r="F4599" s="8"/>
      <c r="G4599" s="7"/>
      <c r="H4599" s="8"/>
      <c r="I4599" s="15">
        <v>0</v>
      </c>
      <c r="J4599" s="15">
        <v>0</v>
      </c>
      <c r="K4599" s="12" t="str">
        <f>HYPERLINK("http://twitter.com/download/iphone","Twitter for iPhone")</f>
        <v>Twitter for iPhone</v>
      </c>
      <c r="L4599" s="16">
        <v>25</v>
      </c>
      <c r="M4599" s="16">
        <v>139</v>
      </c>
      <c r="N4599" s="16">
        <v>0</v>
      </c>
      <c r="O4599" s="17"/>
      <c r="P4599" s="18">
        <v>43169.082511574074</v>
      </c>
      <c r="Q4599" s="7" t="s">
        <v>313</v>
      </c>
      <c r="R4599" s="7"/>
      <c r="S4599" s="8"/>
      <c r="T4599" s="8"/>
      <c r="U4599" s="19" t="str">
        <f>HYPERLINK("https://pbs.twimg.com/profile_images/1081856256233652224/V76XC1u_.jpg","View")</f>
        <v>View</v>
      </c>
      <c r="V4599" s="8"/>
      <c r="W4599" s="8"/>
      <c r="X4599" s="8"/>
      <c r="Y4599" s="8"/>
      <c r="Z4599" s="8"/>
    </row>
    <row r="4600" spans="1:26" ht="12.75">
      <c r="A4600" s="11">
        <v>43747.112175925926</v>
      </c>
      <c r="B4600" s="12" t="str">
        <f>HYPERLINK("https://twitter.com/once2002sonra","@once2002sonra")</f>
        <v>@once2002sonra</v>
      </c>
      <c r="C4600" s="7" t="s">
        <v>22797</v>
      </c>
      <c r="D4600" s="7" t="s">
        <v>22798</v>
      </c>
      <c r="E4600" s="12" t="str">
        <f>HYPERLINK("https://twitter.com/once2002sonra/status/1181867280331939841","1181867280331939841")</f>
        <v>1181867280331939841</v>
      </c>
      <c r="F4600" s="15"/>
      <c r="G4600" s="15"/>
      <c r="H4600" s="8"/>
      <c r="I4600" s="15">
        <v>0</v>
      </c>
      <c r="J4600" s="15">
        <v>0</v>
      </c>
      <c r="K4600" s="12" t="str">
        <f>HYPERLINK("http://twitter.com/download/android","Twitter for Android")</f>
        <v>Twitter for Android</v>
      </c>
      <c r="L4600" s="16">
        <v>9</v>
      </c>
      <c r="M4600" s="16">
        <v>77</v>
      </c>
      <c r="N4600" s="16">
        <v>0</v>
      </c>
      <c r="O4600" s="17"/>
      <c r="P4600" s="18">
        <v>43653.076678240745</v>
      </c>
      <c r="Q4600" s="7"/>
      <c r="R4600" s="7" t="s">
        <v>22799</v>
      </c>
      <c r="S4600" s="8"/>
      <c r="T4600" s="8"/>
      <c r="U4600" s="19" t="str">
        <f>HYPERLINK("https://pbs.twimg.com/profile_images/1147861299197612033/uQPDQcIW.jpg","View")</f>
        <v>View</v>
      </c>
      <c r="V4600" s="8"/>
      <c r="W4600" s="8"/>
      <c r="X4600" s="8"/>
      <c r="Y4600" s="8"/>
      <c r="Z4600" s="8"/>
    </row>
    <row r="4601" spans="1:26" ht="12.75">
      <c r="A4601" s="11">
        <v>43747.112175925926</v>
      </c>
      <c r="B4601" s="12" t="str">
        <f>HYPERLINK("https://twitter.com/SuhaBltc","@SuhaBltc")</f>
        <v>@SuhaBltc</v>
      </c>
      <c r="C4601" s="7" t="s">
        <v>22800</v>
      </c>
      <c r="D4601" s="7" t="s">
        <v>22801</v>
      </c>
      <c r="E4601" s="12" t="str">
        <f>HYPERLINK("https://twitter.com/SuhaBltc/status/1181867279094620162","1181867279094620162")</f>
        <v>1181867279094620162</v>
      </c>
      <c r="F4601" s="8"/>
      <c r="G4601" s="15"/>
      <c r="H4601" s="8"/>
      <c r="I4601" s="15">
        <v>0</v>
      </c>
      <c r="J4601" s="15">
        <v>0</v>
      </c>
      <c r="K4601" s="12" t="str">
        <f>HYPERLINK("http://twitter.com/download/android","Twitter for Android")</f>
        <v>Twitter for Android</v>
      </c>
      <c r="L4601" s="16">
        <v>95</v>
      </c>
      <c r="M4601" s="16">
        <v>248</v>
      </c>
      <c r="N4601" s="16">
        <v>0</v>
      </c>
      <c r="O4601" s="17"/>
      <c r="P4601" s="18">
        <v>41748.525914351849</v>
      </c>
      <c r="Q4601" s="7" t="s">
        <v>20410</v>
      </c>
      <c r="R4601" s="7" t="s">
        <v>22802</v>
      </c>
      <c r="S4601" s="8"/>
      <c r="T4601" s="8"/>
      <c r="U4601" s="19" t="str">
        <f>HYPERLINK("https://pbs.twimg.com/profile_images/1061019245910351873/Jh4LnXlQ.jpg","View")</f>
        <v>View</v>
      </c>
      <c r="V4601" s="8"/>
      <c r="W4601" s="8"/>
      <c r="X4601" s="8"/>
      <c r="Y4601" s="8"/>
      <c r="Z4601" s="8"/>
    </row>
    <row r="4602" spans="1:26" ht="12.75">
      <c r="A4602" s="11">
        <v>43747.112164351856</v>
      </c>
      <c r="B4602" s="12" t="str">
        <f>HYPERLINK("https://twitter.com/berin_kaan","@berin_kaan")</f>
        <v>@berin_kaan</v>
      </c>
      <c r="C4602" s="7" t="s">
        <v>22803</v>
      </c>
      <c r="D4602" s="7" t="s">
        <v>22804</v>
      </c>
      <c r="E4602" s="12" t="str">
        <f>HYPERLINK("https://twitter.com/berin_kaan/status/1181867277341396992","1181867277341396992")</f>
        <v>1181867277341396992</v>
      </c>
      <c r="F4602" s="8"/>
      <c r="G4602" s="14" t="s">
        <v>22805</v>
      </c>
      <c r="H4602" s="8"/>
      <c r="I4602" s="15">
        <v>0</v>
      </c>
      <c r="J4602" s="15">
        <v>0</v>
      </c>
      <c r="K4602" s="12" t="str">
        <f>HYPERLINK("http://twitter.com","Twitter Web Client")</f>
        <v>Twitter Web Client</v>
      </c>
      <c r="L4602" s="16">
        <v>0</v>
      </c>
      <c r="M4602" s="16">
        <v>0</v>
      </c>
      <c r="N4602" s="16">
        <v>0</v>
      </c>
      <c r="O4602" s="17"/>
      <c r="P4602" s="18">
        <v>43685.014594907407</v>
      </c>
      <c r="Q4602" s="7" t="s">
        <v>2050</v>
      </c>
      <c r="R4602" s="7" t="s">
        <v>22806</v>
      </c>
      <c r="S4602" s="8"/>
      <c r="T4602" s="8"/>
      <c r="U4602" s="19" t="str">
        <f>HYPERLINK("https://pbs.twimg.com/profile_images/1164259055520686080/gKpE88gy.jpg","View")</f>
        <v>View</v>
      </c>
      <c r="V4602" s="8"/>
      <c r="W4602" s="8"/>
      <c r="X4602" s="8"/>
      <c r="Y4602" s="8"/>
      <c r="Z4602" s="8"/>
    </row>
    <row r="4603" spans="1:26" ht="12.75">
      <c r="A4603" s="11">
        <v>43747.112164351856</v>
      </c>
      <c r="B4603" s="12" t="str">
        <f>HYPERLINK("https://twitter.com/1453GLTSRY","@1453GLTSRY")</f>
        <v>@1453GLTSRY</v>
      </c>
      <c r="C4603" s="7" t="s">
        <v>22807</v>
      </c>
      <c r="D4603" s="7" t="s">
        <v>160</v>
      </c>
      <c r="E4603" s="12" t="str">
        <f>HYPERLINK("https://twitter.com/1453GLTSRY/status/1181867276263399424","1181867276263399424")</f>
        <v>1181867276263399424</v>
      </c>
      <c r="F4603" s="8"/>
      <c r="G4603" s="14" t="s">
        <v>22808</v>
      </c>
      <c r="H4603" s="8"/>
      <c r="I4603" s="15">
        <v>0</v>
      </c>
      <c r="J4603" s="15">
        <v>0</v>
      </c>
      <c r="K4603" s="12" t="str">
        <f>HYPERLINK("http://twitter.com/download/android","Twitter for Android")</f>
        <v>Twitter for Android</v>
      </c>
      <c r="L4603" s="16">
        <v>56</v>
      </c>
      <c r="M4603" s="16">
        <v>294</v>
      </c>
      <c r="N4603" s="16">
        <v>0</v>
      </c>
      <c r="O4603" s="17"/>
      <c r="P4603" s="18">
        <v>42023.52553240741</v>
      </c>
      <c r="Q4603" s="7" t="s">
        <v>313</v>
      </c>
      <c r="R4603" s="7" t="s">
        <v>22809</v>
      </c>
      <c r="S4603" s="8"/>
      <c r="T4603" s="8"/>
      <c r="U4603" s="19" t="str">
        <f>HYPERLINK("https://pbs.twimg.com/profile_images/1180924356588912640/THdKxrOB.jpg","View")</f>
        <v>View</v>
      </c>
      <c r="V4603" s="8"/>
      <c r="W4603" s="8"/>
      <c r="X4603" s="8"/>
      <c r="Y4603" s="8"/>
      <c r="Z4603" s="8"/>
    </row>
    <row r="4604" spans="1:26" ht="12.75">
      <c r="A4604" s="11">
        <v>43747.112141203703</v>
      </c>
      <c r="B4604" s="12" t="str">
        <f>HYPERLINK("https://twitter.com/susancocuk","@susancocuk")</f>
        <v>@susancocuk</v>
      </c>
      <c r="C4604" s="7" t="s">
        <v>22810</v>
      </c>
      <c r="D4604" s="7" t="s">
        <v>22811</v>
      </c>
      <c r="E4604" s="12" t="str">
        <f>HYPERLINK("https://twitter.com/susancocuk/status/1181867269955231744","1181867269955231744")</f>
        <v>1181867269955231744</v>
      </c>
      <c r="F4604" s="8"/>
      <c r="G4604" s="7"/>
      <c r="H4604" s="8"/>
      <c r="I4604" s="15">
        <v>0</v>
      </c>
      <c r="J4604" s="15">
        <v>0</v>
      </c>
      <c r="K4604" s="12" t="str">
        <f>HYPERLINK("http://twitter.com/download/android","Twitter for Android")</f>
        <v>Twitter for Android</v>
      </c>
      <c r="L4604" s="16">
        <v>624</v>
      </c>
      <c r="M4604" s="16">
        <v>493</v>
      </c>
      <c r="N4604" s="16">
        <v>0</v>
      </c>
      <c r="O4604" s="17"/>
      <c r="P4604" s="18">
        <v>40290.52857638889</v>
      </c>
      <c r="Q4604" s="7"/>
      <c r="R4604" s="7" t="s">
        <v>22812</v>
      </c>
      <c r="S4604" s="14" t="s">
        <v>22813</v>
      </c>
      <c r="T4604" s="8"/>
      <c r="U4604" s="19" t="str">
        <f>HYPERLINK("https://pbs.twimg.com/profile_images/1181486980565217280/BpwdA_U7.jpg","View")</f>
        <v>View</v>
      </c>
      <c r="V4604" s="8"/>
      <c r="W4604" s="8"/>
      <c r="X4604" s="8"/>
      <c r="Y4604" s="8"/>
      <c r="Z4604" s="8"/>
    </row>
    <row r="4605" spans="1:26" ht="12.75">
      <c r="A4605" s="11">
        <v>43747.112141203703</v>
      </c>
      <c r="B4605" s="12" t="str">
        <f>HYPERLINK("https://twitter.com/Harunnwa","@Harunnwa")</f>
        <v>@Harunnwa</v>
      </c>
      <c r="C4605" s="7" t="s">
        <v>22814</v>
      </c>
      <c r="D4605" s="7" t="s">
        <v>160</v>
      </c>
      <c r="E4605" s="12" t="str">
        <f>HYPERLINK("https://twitter.com/Harunnwa/status/1181867266876624897","1181867266876624897")</f>
        <v>1181867266876624897</v>
      </c>
      <c r="F4605" s="8"/>
      <c r="G4605" s="14" t="s">
        <v>22815</v>
      </c>
      <c r="H4605" s="8"/>
      <c r="I4605" s="15">
        <v>0</v>
      </c>
      <c r="J4605" s="15">
        <v>0</v>
      </c>
      <c r="K4605" s="12" t="str">
        <f>HYPERLINK("http://twitter.com/download/android","Twitter for Android")</f>
        <v>Twitter for Android</v>
      </c>
      <c r="L4605" s="16">
        <v>52</v>
      </c>
      <c r="M4605" s="16">
        <v>32</v>
      </c>
      <c r="N4605" s="16">
        <v>0</v>
      </c>
      <c r="O4605" s="17"/>
      <c r="P4605" s="18">
        <v>42389.044259259259</v>
      </c>
      <c r="Q4605" s="7"/>
      <c r="R4605" s="7"/>
      <c r="S4605" s="8"/>
      <c r="T4605" s="8"/>
      <c r="U4605" s="19" t="str">
        <f>HYPERLINK("https://pbs.twimg.com/profile_images/748443865225531393/9cgeRJ0a.jpg","View")</f>
        <v>View</v>
      </c>
      <c r="V4605" s="8"/>
      <c r="W4605" s="8"/>
      <c r="X4605" s="8"/>
      <c r="Y4605" s="8"/>
      <c r="Z4605" s="8"/>
    </row>
    <row r="4606" spans="1:26" ht="12.75">
      <c r="A4606" s="11">
        <v>43747.112129629633</v>
      </c>
      <c r="B4606" s="12" t="str">
        <f>HYPERLINK("https://twitter.com/vedattan17","@vedattan17")</f>
        <v>@vedattan17</v>
      </c>
      <c r="C4606" s="7" t="s">
        <v>22816</v>
      </c>
      <c r="D4606" s="7" t="s">
        <v>22817</v>
      </c>
      <c r="E4606" s="12" t="str">
        <f>HYPERLINK("https://twitter.com/vedattan17/status/1181867264980725761","1181867264980725761")</f>
        <v>1181867264980725761</v>
      </c>
      <c r="F4606" s="8"/>
      <c r="G4606" s="15"/>
      <c r="H4606" s="8"/>
      <c r="I4606" s="15">
        <v>0</v>
      </c>
      <c r="J4606" s="15">
        <v>0</v>
      </c>
      <c r="K4606" s="12" t="str">
        <f>HYPERLINK("http://twitter.com/download/iphone","Twitter for iPhone")</f>
        <v>Twitter for iPhone</v>
      </c>
      <c r="L4606" s="16">
        <v>18</v>
      </c>
      <c r="M4606" s="16">
        <v>26</v>
      </c>
      <c r="N4606" s="16">
        <v>0</v>
      </c>
      <c r="O4606" s="17"/>
      <c r="P4606" s="18">
        <v>41755.623692129629</v>
      </c>
      <c r="Q4606" s="7"/>
      <c r="R4606" s="7"/>
      <c r="S4606" s="8"/>
      <c r="T4606" s="8"/>
      <c r="U4606" s="19" t="str">
        <f>HYPERLINK("https://pbs.twimg.com/profile_images/1035165265414316033/kBLGnqT8.jpg","View")</f>
        <v>View</v>
      </c>
      <c r="V4606" s="8"/>
      <c r="W4606" s="8"/>
      <c r="X4606" s="8"/>
      <c r="Y4606" s="8"/>
      <c r="Z4606" s="8"/>
    </row>
    <row r="4607" spans="1:26" ht="12.75">
      <c r="A4607" s="11">
        <v>43747.112129629633</v>
      </c>
      <c r="B4607" s="12" t="str">
        <f>HYPERLINK("https://twitter.com/emrahbbozkurt","@emrahbbozkurt")</f>
        <v>@emrahbbozkurt</v>
      </c>
      <c r="C4607" s="7" t="s">
        <v>22818</v>
      </c>
      <c r="D4607" s="7" t="s">
        <v>20249</v>
      </c>
      <c r="E4607" s="12" t="str">
        <f>HYPERLINK("https://twitter.com/emrahbbozkurt/status/1181867264221601792","1181867264221601792")</f>
        <v>1181867264221601792</v>
      </c>
      <c r="F4607" s="8"/>
      <c r="G4607" s="14" t="s">
        <v>22819</v>
      </c>
      <c r="H4607" s="8"/>
      <c r="I4607" s="15">
        <v>0</v>
      </c>
      <c r="J4607" s="15">
        <v>0</v>
      </c>
      <c r="K4607" s="12" t="str">
        <f>HYPERLINK("https://mobile.twitter.com","Twitter Web App")</f>
        <v>Twitter Web App</v>
      </c>
      <c r="L4607" s="16">
        <v>466</v>
      </c>
      <c r="M4607" s="16">
        <v>220</v>
      </c>
      <c r="N4607" s="16">
        <v>0</v>
      </c>
      <c r="O4607" s="17"/>
      <c r="P4607" s="18">
        <v>40366.451655092591</v>
      </c>
      <c r="Q4607" s="7" t="s">
        <v>8299</v>
      </c>
      <c r="R4607" s="7"/>
      <c r="S4607" s="8"/>
      <c r="T4607" s="8"/>
      <c r="U4607" s="19" t="str">
        <f>HYPERLINK("https://pbs.twimg.com/profile_images/1150912009149587456/QMZNPe9v.png","View")</f>
        <v>View</v>
      </c>
      <c r="V4607" s="8"/>
      <c r="W4607" s="8"/>
      <c r="X4607" s="8"/>
      <c r="Y4607" s="8"/>
      <c r="Z4607" s="8"/>
    </row>
    <row r="4608" spans="1:26" ht="12.75">
      <c r="A4608" s="11">
        <v>43747.112129629633</v>
      </c>
      <c r="B4608" s="12" t="str">
        <f>HYPERLINK("https://twitter.com/haalimmm7","@haalimmm7")</f>
        <v>@haalimmm7</v>
      </c>
      <c r="C4608" s="7" t="s">
        <v>22820</v>
      </c>
      <c r="D4608" s="7" t="s">
        <v>22821</v>
      </c>
      <c r="E4608" s="12" t="str">
        <f>HYPERLINK("https://twitter.com/haalimmm7/status/1181867264171266048","1181867264171266048")</f>
        <v>1181867264171266048</v>
      </c>
      <c r="F4608" s="8"/>
      <c r="G4608" s="15"/>
      <c r="H4608" s="8"/>
      <c r="I4608" s="15">
        <v>1</v>
      </c>
      <c r="J4608" s="15">
        <v>18</v>
      </c>
      <c r="K4608" s="12" t="str">
        <f>HYPERLINK("http://twitter.com/download/iphone","Twitter for iPhone")</f>
        <v>Twitter for iPhone</v>
      </c>
      <c r="L4608" s="16">
        <v>402</v>
      </c>
      <c r="M4608" s="16">
        <v>401</v>
      </c>
      <c r="N4608" s="16">
        <v>0</v>
      </c>
      <c r="O4608" s="17"/>
      <c r="P4608" s="18">
        <v>43691.349421296298</v>
      </c>
      <c r="Q4608" s="7" t="s">
        <v>1193</v>
      </c>
      <c r="R4608" s="7" t="s">
        <v>22822</v>
      </c>
      <c r="S4608" s="14" t="s">
        <v>22823</v>
      </c>
      <c r="T4608" s="8"/>
      <c r="U4608" s="19" t="str">
        <f>HYPERLINK("https://pbs.twimg.com/profile_images/1179337324473257987/Z-G_FhnH.jpg","View")</f>
        <v>View</v>
      </c>
      <c r="V4608" s="8"/>
      <c r="W4608" s="8"/>
      <c r="X4608" s="8"/>
      <c r="Y4608" s="8"/>
      <c r="Z4608" s="8"/>
    </row>
    <row r="4609" spans="1:26" ht="12.75">
      <c r="A4609" s="11">
        <v>43747.112071759257</v>
      </c>
      <c r="B4609" s="12" t="str">
        <f>HYPERLINK("https://twitter.com/racar3400","@racar3400")</f>
        <v>@racar3400</v>
      </c>
      <c r="C4609" s="7" t="s">
        <v>22824</v>
      </c>
      <c r="D4609" s="7" t="s">
        <v>22825</v>
      </c>
      <c r="E4609" s="12" t="str">
        <f>HYPERLINK("https://twitter.com/racar3400/status/1181867245292654592","1181867245292654592")</f>
        <v>1181867245292654592</v>
      </c>
      <c r="F4609" s="15"/>
      <c r="G4609" s="15"/>
      <c r="H4609" s="8"/>
      <c r="I4609" s="15">
        <v>0</v>
      </c>
      <c r="J4609" s="15">
        <v>0</v>
      </c>
      <c r="K4609" s="12" t="str">
        <f>HYPERLINK("http://twitter.com/download/iphone","Twitter for iPhone")</f>
        <v>Twitter for iPhone</v>
      </c>
      <c r="L4609" s="16">
        <v>330</v>
      </c>
      <c r="M4609" s="16">
        <v>502</v>
      </c>
      <c r="N4609" s="16">
        <v>0</v>
      </c>
      <c r="O4609" s="17"/>
      <c r="P4609" s="18">
        <v>42760.425567129627</v>
      </c>
      <c r="Q4609" s="7"/>
      <c r="R4609" s="7" t="s">
        <v>22826</v>
      </c>
      <c r="S4609" s="8"/>
      <c r="T4609" s="8"/>
      <c r="U4609" s="19" t="str">
        <f>HYPERLINK("https://pbs.twimg.com/profile_images/999982288472592384/Pjji9ZNh.jpg","View")</f>
        <v>View</v>
      </c>
      <c r="V4609" s="8"/>
      <c r="W4609" s="8"/>
      <c r="X4609" s="8"/>
      <c r="Y4609" s="8"/>
      <c r="Z4609" s="8"/>
    </row>
    <row r="4610" spans="1:26" ht="12.75">
      <c r="A4610" s="11">
        <v>43747.112071759257</v>
      </c>
      <c r="B4610" s="12" t="str">
        <f>HYPERLINK("https://twitter.com/cetorhun","@cetorhun")</f>
        <v>@cetorhun</v>
      </c>
      <c r="C4610" s="7" t="s">
        <v>22827</v>
      </c>
      <c r="D4610" s="7" t="s">
        <v>160</v>
      </c>
      <c r="E4610" s="12" t="str">
        <f>HYPERLINK("https://twitter.com/cetorhun/status/1181867244835557376","1181867244835557376")</f>
        <v>1181867244835557376</v>
      </c>
      <c r="F4610" s="8"/>
      <c r="G4610" s="7"/>
      <c r="H4610" s="8"/>
      <c r="I4610" s="15">
        <v>0</v>
      </c>
      <c r="J4610" s="15">
        <v>0</v>
      </c>
      <c r="K4610" s="12" t="str">
        <f>HYPERLINK("http://twitter.com/download/iphone","Twitter for iPhone")</f>
        <v>Twitter for iPhone</v>
      </c>
      <c r="L4610" s="16">
        <v>1264</v>
      </c>
      <c r="M4610" s="16">
        <v>103</v>
      </c>
      <c r="N4610" s="16">
        <v>4</v>
      </c>
      <c r="O4610" s="17"/>
      <c r="P4610" s="18">
        <v>40388.183240740742</v>
      </c>
      <c r="Q4610" s="7" t="s">
        <v>22828</v>
      </c>
      <c r="R4610" s="7" t="s">
        <v>22829</v>
      </c>
      <c r="S4610" s="14" t="s">
        <v>22830</v>
      </c>
      <c r="T4610" s="8"/>
      <c r="U4610" s="19" t="str">
        <f>HYPERLINK("https://pbs.twimg.com/profile_images/1168621374224703489/U-jh9WgC.jpg","View")</f>
        <v>View</v>
      </c>
      <c r="V4610" s="8"/>
      <c r="W4610" s="8"/>
      <c r="X4610" s="8"/>
      <c r="Y4610" s="8"/>
      <c r="Z4610" s="8"/>
    </row>
    <row r="4611" spans="1:26" ht="12.75">
      <c r="A4611" s="11">
        <v>43747.112002314811</v>
      </c>
      <c r="B4611" s="12" t="str">
        <f>HYPERLINK("https://twitter.com/AytekinGulacti","@AytekinGulacti")</f>
        <v>@AytekinGulacti</v>
      </c>
      <c r="C4611" s="7" t="s">
        <v>22831</v>
      </c>
      <c r="D4611" s="7" t="s">
        <v>22832</v>
      </c>
      <c r="E4611" s="12" t="str">
        <f>HYPERLINK("https://twitter.com/AytekinGulacti/status/1181867219241881600","1181867219241881600")</f>
        <v>1181867219241881600</v>
      </c>
      <c r="F4611" s="8"/>
      <c r="G4611" s="15"/>
      <c r="H4611" s="8"/>
      <c r="I4611" s="15">
        <v>0</v>
      </c>
      <c r="J4611" s="15">
        <v>1</v>
      </c>
      <c r="K4611" s="12" t="str">
        <f>HYPERLINK("http://twitter.com/download/android","Twitter for Android")</f>
        <v>Twitter for Android</v>
      </c>
      <c r="L4611" s="16">
        <v>52</v>
      </c>
      <c r="M4611" s="16">
        <v>180</v>
      </c>
      <c r="N4611" s="16">
        <v>0</v>
      </c>
      <c r="O4611" s="17"/>
      <c r="P4611" s="18">
        <v>40888.361585648148</v>
      </c>
      <c r="Q4611" s="7" t="s">
        <v>22833</v>
      </c>
      <c r="R4611" s="7" t="s">
        <v>22834</v>
      </c>
      <c r="S4611" s="8"/>
      <c r="T4611" s="8"/>
      <c r="U4611" s="19" t="str">
        <f>HYPERLINK("https://pbs.twimg.com/profile_images/893895398405922817/K_-EZSki.jpg","View")</f>
        <v>View</v>
      </c>
      <c r="V4611" s="8"/>
      <c r="W4611" s="8"/>
      <c r="X4611" s="8"/>
      <c r="Y4611" s="8"/>
      <c r="Z4611" s="8"/>
    </row>
    <row r="4612" spans="1:26" ht="12.75">
      <c r="A4612" s="11">
        <v>43747.111909722225</v>
      </c>
      <c r="B4612" s="12" t="str">
        <f>HYPERLINK("https://twitter.com/tayfunk63","@tayfunk63")</f>
        <v>@tayfunk63</v>
      </c>
      <c r="C4612" s="7" t="s">
        <v>22835</v>
      </c>
      <c r="D4612" s="7" t="s">
        <v>22836</v>
      </c>
      <c r="E4612" s="12" t="str">
        <f>HYPERLINK("https://twitter.com/tayfunk63/status/1181867185028915201","1181867185028915201")</f>
        <v>1181867185028915201</v>
      </c>
      <c r="F4612" s="8"/>
      <c r="G4612" s="14" t="s">
        <v>22837</v>
      </c>
      <c r="H4612" s="8"/>
      <c r="I4612" s="15">
        <v>1</v>
      </c>
      <c r="J4612" s="15">
        <v>0</v>
      </c>
      <c r="K4612" s="12" t="str">
        <f>HYPERLINK("https://mobile.twitter.com","Twitter Web App")</f>
        <v>Twitter Web App</v>
      </c>
      <c r="L4612" s="16">
        <v>34</v>
      </c>
      <c r="M4612" s="16">
        <v>88</v>
      </c>
      <c r="N4612" s="16">
        <v>1</v>
      </c>
      <c r="O4612" s="17"/>
      <c r="P4612" s="18">
        <v>41434.021793981483</v>
      </c>
      <c r="Q4612" s="7"/>
      <c r="R4612" s="7"/>
      <c r="S4612" s="8"/>
      <c r="T4612" s="8"/>
      <c r="U4612" s="19" t="str">
        <f>HYPERLINK("https://pbs.twimg.com/profile_images/1106605160313339906/zFZ_ybHx.jpg","View")</f>
        <v>View</v>
      </c>
      <c r="V4612" s="8"/>
      <c r="W4612" s="8"/>
      <c r="X4612" s="8"/>
      <c r="Y4612" s="8"/>
      <c r="Z4612" s="8"/>
    </row>
    <row r="4613" spans="1:26" ht="12.75">
      <c r="A4613" s="11">
        <v>43747.111898148149</v>
      </c>
      <c r="B4613" s="12" t="str">
        <f>HYPERLINK("https://twitter.com/en2uu","@en2uu")</f>
        <v>@en2uu</v>
      </c>
      <c r="C4613" s="7" t="s">
        <v>22838</v>
      </c>
      <c r="D4613" s="7" t="s">
        <v>160</v>
      </c>
      <c r="E4613" s="12" t="str">
        <f>HYPERLINK("https://twitter.com/en2uu/status/1181867180322934785","1181867180322934785")</f>
        <v>1181867180322934785</v>
      </c>
      <c r="F4613" s="8"/>
      <c r="G4613" s="7"/>
      <c r="H4613" s="8"/>
      <c r="I4613" s="15">
        <v>0</v>
      </c>
      <c r="J4613" s="15">
        <v>0</v>
      </c>
      <c r="K4613" s="12" t="str">
        <f>HYPERLINK("http://twitter.com/download/android","Twitter for Android")</f>
        <v>Twitter for Android</v>
      </c>
      <c r="L4613" s="16">
        <v>29</v>
      </c>
      <c r="M4613" s="16">
        <v>74</v>
      </c>
      <c r="N4613" s="16">
        <v>0</v>
      </c>
      <c r="O4613" s="17"/>
      <c r="P4613" s="18">
        <v>40931.074212962965</v>
      </c>
      <c r="Q4613" s="7"/>
      <c r="R4613" s="7" t="s">
        <v>22839</v>
      </c>
      <c r="S4613" s="8"/>
      <c r="T4613" s="8"/>
      <c r="U4613" s="19" t="str">
        <f>HYPERLINK("https://pbs.twimg.com/profile_images/1155941107341189120/hIe3eULl.jpg","View")</f>
        <v>View</v>
      </c>
      <c r="V4613" s="8"/>
      <c r="W4613" s="8"/>
      <c r="X4613" s="8"/>
      <c r="Y4613" s="8"/>
      <c r="Z4613" s="8"/>
    </row>
    <row r="4614" spans="1:26" ht="12.75">
      <c r="A4614" s="11">
        <v>43747.111886574072</v>
      </c>
      <c r="B4614" s="12" t="str">
        <f>HYPERLINK("https://twitter.com/maq1em","@maq1em")</f>
        <v>@maq1em</v>
      </c>
      <c r="C4614" s="7" t="s">
        <v>11801</v>
      </c>
      <c r="D4614" s="7" t="s">
        <v>22840</v>
      </c>
      <c r="E4614" s="12" t="str">
        <f>HYPERLINK("https://twitter.com/maq1em/status/1181867176703209472","1181867176703209472")</f>
        <v>1181867176703209472</v>
      </c>
      <c r="F4614" s="8"/>
      <c r="G4614" s="15"/>
      <c r="H4614" s="8"/>
      <c r="I4614" s="15">
        <v>0</v>
      </c>
      <c r="J4614" s="15">
        <v>3</v>
      </c>
      <c r="K4614" s="12" t="str">
        <f>HYPERLINK("http://twitter.com/download/android","Twitter for Android")</f>
        <v>Twitter for Android</v>
      </c>
      <c r="L4614" s="16">
        <v>928</v>
      </c>
      <c r="M4614" s="16">
        <v>902</v>
      </c>
      <c r="N4614" s="16">
        <v>0</v>
      </c>
      <c r="O4614" s="17"/>
      <c r="P4614" s="18">
        <v>43488.523784722223</v>
      </c>
      <c r="Q4614" s="7" t="s">
        <v>80</v>
      </c>
      <c r="R4614" s="7" t="s">
        <v>22841</v>
      </c>
      <c r="S4614" s="8"/>
      <c r="T4614" s="8"/>
      <c r="U4614" s="19" t="str">
        <f>HYPERLINK("https://pbs.twimg.com/profile_images/1177548258769625089/-1SAIBp7.jpg","View")</f>
        <v>View</v>
      </c>
      <c r="V4614" s="8"/>
      <c r="W4614" s="8"/>
      <c r="X4614" s="8"/>
      <c r="Y4614" s="8"/>
      <c r="Z4614" s="8"/>
    </row>
    <row r="4615" spans="1:26" ht="12.75">
      <c r="A4615" s="11">
        <v>43747.111863425926</v>
      </c>
      <c r="B4615" s="12" t="str">
        <f>HYPERLINK("https://twitter.com/gollcu","@gollcu")</f>
        <v>@gollcu</v>
      </c>
      <c r="C4615" s="7" t="s">
        <v>22842</v>
      </c>
      <c r="D4615" s="7" t="s">
        <v>22843</v>
      </c>
      <c r="E4615" s="12" t="str">
        <f>HYPERLINK("https://twitter.com/gollcu/status/1181867166439759872","1181867166439759872")</f>
        <v>1181867166439759872</v>
      </c>
      <c r="F4615" s="8"/>
      <c r="G4615" s="15"/>
      <c r="H4615" s="8"/>
      <c r="I4615" s="15">
        <v>0</v>
      </c>
      <c r="J4615" s="15">
        <v>0</v>
      </c>
      <c r="K4615" s="12" t="str">
        <f>HYPERLINK("http://twitter.com/download/iphone","Twitter for iPhone")</f>
        <v>Twitter for iPhone</v>
      </c>
      <c r="L4615" s="16">
        <v>1167</v>
      </c>
      <c r="M4615" s="16">
        <v>1340</v>
      </c>
      <c r="N4615" s="16">
        <v>0</v>
      </c>
      <c r="O4615" s="17"/>
      <c r="P4615" s="18">
        <v>41373.512395833335</v>
      </c>
      <c r="Q4615" s="7"/>
      <c r="R4615" s="7" t="s">
        <v>22844</v>
      </c>
      <c r="S4615" s="8"/>
      <c r="T4615" s="8"/>
      <c r="U4615" s="19" t="str">
        <f>HYPERLINK("https://pbs.twimg.com/profile_images/976560059089080325/EWjVovKW.jpg","View")</f>
        <v>View</v>
      </c>
      <c r="V4615" s="8"/>
      <c r="W4615" s="8"/>
      <c r="X4615" s="8"/>
      <c r="Y4615" s="8"/>
      <c r="Z4615" s="8"/>
    </row>
    <row r="4616" spans="1:26" ht="12.75">
      <c r="A4616" s="11">
        <v>43747.111851851849</v>
      </c>
      <c r="B4616" s="12" t="str">
        <f>HYPERLINK("https://twitter.com/cutedad_","@cutedad_")</f>
        <v>@cutedad_</v>
      </c>
      <c r="C4616" s="7" t="s">
        <v>2540</v>
      </c>
      <c r="D4616" s="7" t="s">
        <v>160</v>
      </c>
      <c r="E4616" s="12" t="str">
        <f>HYPERLINK("https://twitter.com/cutedad_/status/1181867163793199105","1181867163793199105")</f>
        <v>1181867163793199105</v>
      </c>
      <c r="F4616" s="8"/>
      <c r="G4616" s="14" t="s">
        <v>22845</v>
      </c>
      <c r="H4616" s="8"/>
      <c r="I4616" s="15">
        <v>0</v>
      </c>
      <c r="J4616" s="15">
        <v>0</v>
      </c>
      <c r="K4616" s="12" t="str">
        <f>HYPERLINK("http://twitter.com/download/iphone","Twitter for iPhone")</f>
        <v>Twitter for iPhone</v>
      </c>
      <c r="L4616" s="16">
        <v>0</v>
      </c>
      <c r="M4616" s="16">
        <v>22</v>
      </c>
      <c r="N4616" s="16">
        <v>0</v>
      </c>
      <c r="O4616" s="17"/>
      <c r="P4616" s="18">
        <v>42150.670740740738</v>
      </c>
      <c r="Q4616" s="7"/>
      <c r="R4616" s="7"/>
      <c r="S4616" s="8"/>
      <c r="T4616" s="8"/>
      <c r="U4616" s="19" t="str">
        <f>HYPERLINK("https://pbs.twimg.com/profile_images/1115008841580711937/IgY9QW_A.jpg","View")</f>
        <v>View</v>
      </c>
      <c r="V4616" s="8"/>
      <c r="W4616" s="8"/>
      <c r="X4616" s="8"/>
      <c r="Y4616" s="8"/>
      <c r="Z4616" s="8"/>
    </row>
    <row r="4617" spans="1:26" ht="12.75">
      <c r="A4617" s="11">
        <v>43747.111817129626</v>
      </c>
      <c r="B4617" s="12" t="str">
        <f>HYPERLINK("https://twitter.com/Karakopruak","@Karakopruak")</f>
        <v>@Karakopruak</v>
      </c>
      <c r="C4617" s="7" t="s">
        <v>22846</v>
      </c>
      <c r="D4617" s="7" t="s">
        <v>22847</v>
      </c>
      <c r="E4617" s="12" t="str">
        <f>HYPERLINK("https://twitter.com/Karakopruak/status/1181867152170729472","1181867152170729472")</f>
        <v>1181867152170729472</v>
      </c>
      <c r="F4617" s="8"/>
      <c r="G4617" s="14" t="s">
        <v>22848</v>
      </c>
      <c r="H4617" s="8"/>
      <c r="I4617" s="15">
        <v>5</v>
      </c>
      <c r="J4617" s="15">
        <v>13</v>
      </c>
      <c r="K4617" s="12" t="str">
        <f>HYPERLINK("http://twitter.com/download/android","Twitter for Android")</f>
        <v>Twitter for Android</v>
      </c>
      <c r="L4617" s="16">
        <v>9197</v>
      </c>
      <c r="M4617" s="16">
        <v>313</v>
      </c>
      <c r="N4617" s="16">
        <v>2</v>
      </c>
      <c r="O4617" s="17"/>
      <c r="P4617" s="18">
        <v>41649.065185185187</v>
      </c>
      <c r="Q4617" s="7" t="s">
        <v>22849</v>
      </c>
      <c r="R4617" s="7" t="s">
        <v>22850</v>
      </c>
      <c r="S4617" s="14" t="s">
        <v>22851</v>
      </c>
      <c r="T4617" s="8"/>
      <c r="U4617" s="19" t="str">
        <f>HYPERLINK("https://pbs.twimg.com/profile_images/1151012931326361600/vcJ4n7at.png","View")</f>
        <v>View</v>
      </c>
      <c r="V4617" s="8"/>
      <c r="W4617" s="8"/>
      <c r="X4617" s="8"/>
      <c r="Y4617" s="8"/>
      <c r="Z4617" s="8"/>
    </row>
    <row r="4618" spans="1:26" ht="12.75">
      <c r="A4618" s="11">
        <v>43747.111782407403</v>
      </c>
      <c r="B4618" s="12" t="str">
        <f>HYPERLINK("https://twitter.com/Arnorsoldier","@Arnorsoldier")</f>
        <v>@Arnorsoldier</v>
      </c>
      <c r="C4618" s="7" t="s">
        <v>8654</v>
      </c>
      <c r="D4618" s="7" t="s">
        <v>160</v>
      </c>
      <c r="E4618" s="12" t="str">
        <f>HYPERLINK("https://twitter.com/Arnorsoldier/status/1181867138241433600","1181867138241433600")</f>
        <v>1181867138241433600</v>
      </c>
      <c r="F4618" s="8"/>
      <c r="G4618" s="15"/>
      <c r="H4618" s="8"/>
      <c r="I4618" s="15">
        <v>0</v>
      </c>
      <c r="J4618" s="15">
        <v>0</v>
      </c>
      <c r="K4618" s="12" t="str">
        <f>HYPERLINK("http://twitter.com/download/android","Twitter for Android")</f>
        <v>Twitter for Android</v>
      </c>
      <c r="L4618" s="16">
        <v>6</v>
      </c>
      <c r="M4618" s="16">
        <v>26</v>
      </c>
      <c r="N4618" s="16">
        <v>0</v>
      </c>
      <c r="O4618" s="17"/>
      <c r="P4618" s="18">
        <v>43271.278333333335</v>
      </c>
      <c r="Q4618" s="7" t="s">
        <v>80</v>
      </c>
      <c r="R4618" s="7" t="s">
        <v>22852</v>
      </c>
      <c r="S4618" s="8"/>
      <c r="T4618" s="8"/>
      <c r="U4618" s="19" t="str">
        <f>HYPERLINK("https://pbs.twimg.com/profile_images/1009431845015052288/FhSb61mR.jpg","View")</f>
        <v>View</v>
      </c>
      <c r="V4618" s="8"/>
      <c r="W4618" s="8"/>
      <c r="X4618" s="8"/>
      <c r="Y4618" s="8"/>
      <c r="Z4618" s="8"/>
    </row>
    <row r="4619" spans="1:26" ht="12.75">
      <c r="A4619" s="11">
        <v>43747.111782407403</v>
      </c>
      <c r="B4619" s="12" t="str">
        <f>HYPERLINK("https://twitter.com/naneye_maydanoz","@naneye_maydanoz")</f>
        <v>@naneye_maydanoz</v>
      </c>
      <c r="C4619" s="7" t="s">
        <v>22853</v>
      </c>
      <c r="D4619" s="7" t="s">
        <v>22854</v>
      </c>
      <c r="E4619" s="12" t="str">
        <f>HYPERLINK("https://twitter.com/naneye_maydanoz/status/1181867136811184131","1181867136811184131")</f>
        <v>1181867136811184131</v>
      </c>
      <c r="F4619" s="8"/>
      <c r="G4619" s="15"/>
      <c r="H4619" s="8"/>
      <c r="I4619" s="15">
        <v>0</v>
      </c>
      <c r="J4619" s="15">
        <v>0</v>
      </c>
      <c r="K4619" s="12" t="str">
        <f>HYPERLINK("http://twitter.com/download/android","Twitter for Android")</f>
        <v>Twitter for Android</v>
      </c>
      <c r="L4619" s="16">
        <v>263</v>
      </c>
      <c r="M4619" s="16">
        <v>0</v>
      </c>
      <c r="N4619" s="16">
        <v>1</v>
      </c>
      <c r="O4619" s="17"/>
      <c r="P4619" s="18">
        <v>40890.42024305556</v>
      </c>
      <c r="Q4619" s="7" t="s">
        <v>860</v>
      </c>
      <c r="R4619" s="7" t="s">
        <v>22855</v>
      </c>
      <c r="S4619" s="8"/>
      <c r="T4619" s="8"/>
      <c r="U4619" s="19" t="str">
        <f>HYPERLINK("https://pbs.twimg.com/profile_images/692110918453481472/GaDPLVdO.jpg","View")</f>
        <v>View</v>
      </c>
      <c r="V4619" s="8"/>
      <c r="W4619" s="8"/>
      <c r="X4619" s="8"/>
      <c r="Y4619" s="8"/>
      <c r="Z4619" s="8"/>
    </row>
    <row r="4620" spans="1:26" ht="12.75">
      <c r="A4620" s="11">
        <v>43747.111712962964</v>
      </c>
      <c r="B4620" s="12" t="str">
        <f>HYPERLINK("https://twitter.com/fh26000","@fh26000")</f>
        <v>@fh26000</v>
      </c>
      <c r="C4620" s="7" t="s">
        <v>22856</v>
      </c>
      <c r="D4620" s="7" t="s">
        <v>22857</v>
      </c>
      <c r="E4620" s="12" t="str">
        <f>HYPERLINK("https://twitter.com/fh26000/status/1181867111918063616","1181867111918063616")</f>
        <v>1181867111918063616</v>
      </c>
      <c r="F4620" s="8"/>
      <c r="G4620" s="14" t="s">
        <v>22858</v>
      </c>
      <c r="H4620" s="8"/>
      <c r="I4620" s="15">
        <v>1</v>
      </c>
      <c r="J4620" s="15">
        <v>14</v>
      </c>
      <c r="K4620" s="12" t="str">
        <f>HYPERLINK("http://twitter.com/download/android","Twitter for Android")</f>
        <v>Twitter for Android</v>
      </c>
      <c r="L4620" s="16">
        <v>327</v>
      </c>
      <c r="M4620" s="16">
        <v>351</v>
      </c>
      <c r="N4620" s="16">
        <v>3</v>
      </c>
      <c r="O4620" s="17"/>
      <c r="P4620" s="18">
        <v>41498.271747685183</v>
      </c>
      <c r="Q4620" s="7" t="s">
        <v>22859</v>
      </c>
      <c r="R4620" s="7" t="s">
        <v>22860</v>
      </c>
      <c r="S4620" s="8"/>
      <c r="T4620" s="8"/>
      <c r="U4620" s="19" t="str">
        <f>HYPERLINK("https://pbs.twimg.com/profile_images/1153776643351220229/YzZW4BB_.jpg","View")</f>
        <v>View</v>
      </c>
      <c r="V4620" s="8"/>
      <c r="W4620" s="8"/>
      <c r="X4620" s="8"/>
      <c r="Y4620" s="8"/>
      <c r="Z4620" s="8"/>
    </row>
    <row r="4621" spans="1:26" ht="12.75">
      <c r="A4621" s="11">
        <v>43747.111678240741</v>
      </c>
      <c r="B4621" s="12" t="str">
        <f>HYPERLINK("https://twitter.com/genc1elif","@genc1elif")</f>
        <v>@genc1elif</v>
      </c>
      <c r="C4621" s="7" t="s">
        <v>22861</v>
      </c>
      <c r="D4621" s="7" t="s">
        <v>22862</v>
      </c>
      <c r="E4621" s="12" t="str">
        <f>HYPERLINK("https://twitter.com/genc1elif/status/1181867098886299648","1181867098886299648")</f>
        <v>1181867098886299648</v>
      </c>
      <c r="F4621" s="14" t="s">
        <v>22863</v>
      </c>
      <c r="G4621" s="14" t="s">
        <v>22864</v>
      </c>
      <c r="H4621" s="8"/>
      <c r="I4621" s="15">
        <v>0</v>
      </c>
      <c r="J4621" s="15">
        <v>0</v>
      </c>
      <c r="K4621" s="12" t="str">
        <f>HYPERLINK("http://twitter.com/download/android","Twitter for Android")</f>
        <v>Twitter for Android</v>
      </c>
      <c r="L4621" s="16">
        <v>75</v>
      </c>
      <c r="M4621" s="16">
        <v>166</v>
      </c>
      <c r="N4621" s="16">
        <v>0</v>
      </c>
      <c r="O4621" s="17"/>
      <c r="P4621" s="18">
        <v>43636.225150462968</v>
      </c>
      <c r="Q4621" s="7" t="s">
        <v>15850</v>
      </c>
      <c r="R4621" s="7" t="s">
        <v>22865</v>
      </c>
      <c r="S4621" s="8"/>
      <c r="T4621" s="8"/>
      <c r="U4621" s="19" t="str">
        <f>HYPERLINK("https://pbs.twimg.com/profile_images/1176565405235712000/L6deJKf0.jpg","View")</f>
        <v>View</v>
      </c>
      <c r="V4621" s="8"/>
      <c r="W4621" s="8"/>
      <c r="X4621" s="8"/>
      <c r="Y4621" s="8"/>
      <c r="Z4621" s="8"/>
    </row>
    <row r="4622" spans="1:26" ht="12.75">
      <c r="A4622" s="11">
        <v>43747.111620370371</v>
      </c>
      <c r="B4622" s="12" t="str">
        <f>HYPERLINK("https://twitter.com/olcaydgan","@olcaydgan")</f>
        <v>@olcaydgan</v>
      </c>
      <c r="C4622" s="7" t="s">
        <v>22866</v>
      </c>
      <c r="D4622" s="7" t="s">
        <v>22867</v>
      </c>
      <c r="E4622" s="12" t="str">
        <f>HYPERLINK("https://twitter.com/olcaydgan/status/1181867078816616449","1181867078816616449")</f>
        <v>1181867078816616449</v>
      </c>
      <c r="F4622" s="8"/>
      <c r="G4622" s="14" t="s">
        <v>22868</v>
      </c>
      <c r="H4622" s="8"/>
      <c r="I4622" s="15">
        <v>0</v>
      </c>
      <c r="J4622" s="15">
        <v>0</v>
      </c>
      <c r="K4622" s="12" t="str">
        <f>HYPERLINK("http://twitter.com/download/android","Twitter for Android")</f>
        <v>Twitter for Android</v>
      </c>
      <c r="L4622" s="16">
        <v>399</v>
      </c>
      <c r="M4622" s="16">
        <v>645</v>
      </c>
      <c r="N4622" s="16">
        <v>0</v>
      </c>
      <c r="O4622" s="17"/>
      <c r="P4622" s="18">
        <v>40952.219548611109</v>
      </c>
      <c r="Q4622" s="7"/>
      <c r="R4622" s="7" t="s">
        <v>22869</v>
      </c>
      <c r="S4622" s="8"/>
      <c r="T4622" s="8"/>
      <c r="U4622" s="19" t="str">
        <f>HYPERLINK("https://pbs.twimg.com/profile_images/1161243893070991360/uuwZTHZx.jpg","View")</f>
        <v>View</v>
      </c>
      <c r="V4622" s="8"/>
      <c r="W4622" s="8"/>
      <c r="X4622" s="8"/>
      <c r="Y4622" s="8"/>
      <c r="Z4622" s="8"/>
    </row>
    <row r="4623" spans="1:26" ht="12.75">
      <c r="A4623" s="11">
        <v>43747.111574074079</v>
      </c>
      <c r="B4623" s="12" t="str">
        <f>HYPERLINK("https://twitter.com/TgrlBozkurt","@TgrlBozkurt")</f>
        <v>@TgrlBozkurt</v>
      </c>
      <c r="C4623" s="7" t="s">
        <v>22870</v>
      </c>
      <c r="D4623" s="7" t="s">
        <v>22871</v>
      </c>
      <c r="E4623" s="12" t="str">
        <f>HYPERLINK("https://twitter.com/TgrlBozkurt/status/1181867064983789570","1181867064983789570")</f>
        <v>1181867064983789570</v>
      </c>
      <c r="F4623" s="8"/>
      <c r="G4623" s="14" t="s">
        <v>22872</v>
      </c>
      <c r="H4623" s="8"/>
      <c r="I4623" s="15">
        <v>0</v>
      </c>
      <c r="J4623" s="15">
        <v>0</v>
      </c>
      <c r="K4623" s="12" t="str">
        <f>HYPERLINK("http://twitter.com/download/iphone","Twitter for iPhone")</f>
        <v>Twitter for iPhone</v>
      </c>
      <c r="L4623" s="16">
        <v>387</v>
      </c>
      <c r="M4623" s="16">
        <v>217</v>
      </c>
      <c r="N4623" s="16">
        <v>5</v>
      </c>
      <c r="O4623" s="17"/>
      <c r="P4623" s="18">
        <v>40461.334409722222</v>
      </c>
      <c r="Q4623" s="7" t="s">
        <v>22873</v>
      </c>
      <c r="R4623" s="7" t="s">
        <v>22874</v>
      </c>
      <c r="S4623" s="15"/>
      <c r="T4623" s="8"/>
      <c r="U4623" s="19" t="str">
        <f>HYPERLINK("https://pbs.twimg.com/profile_images/965745535306084352/xhkMneOa.jpg","View")</f>
        <v>View</v>
      </c>
      <c r="V4623" s="8"/>
      <c r="W4623" s="8"/>
      <c r="X4623" s="8"/>
      <c r="Y4623" s="8"/>
      <c r="Z4623" s="8"/>
    </row>
    <row r="4624" spans="1:26" ht="12.75">
      <c r="A4624" s="11">
        <v>43747.111493055556</v>
      </c>
      <c r="B4624" s="12" t="str">
        <f>HYPERLINK("https://twitter.com/Chao_1907","@Chao_1907")</f>
        <v>@Chao_1907</v>
      </c>
      <c r="C4624" s="7" t="s">
        <v>22875</v>
      </c>
      <c r="D4624" s="7" t="s">
        <v>22876</v>
      </c>
      <c r="E4624" s="12" t="str">
        <f>HYPERLINK("https://twitter.com/Chao_1907/status/1181867032456941568","1181867032456941568")</f>
        <v>1181867032456941568</v>
      </c>
      <c r="F4624" s="8"/>
      <c r="G4624" s="7"/>
      <c r="H4624" s="8"/>
      <c r="I4624" s="15">
        <v>0</v>
      </c>
      <c r="J4624" s="15">
        <v>0</v>
      </c>
      <c r="K4624" s="12" t="str">
        <f>HYPERLINK("http://twitter.com/download/iphone","Twitter for iPhone")</f>
        <v>Twitter for iPhone</v>
      </c>
      <c r="L4624" s="16">
        <v>545</v>
      </c>
      <c r="M4624" s="16">
        <v>877</v>
      </c>
      <c r="N4624" s="16">
        <v>2</v>
      </c>
      <c r="O4624" s="17"/>
      <c r="P4624" s="18">
        <v>40238.352025462962</v>
      </c>
      <c r="Q4624" s="7" t="s">
        <v>8121</v>
      </c>
      <c r="R4624" s="7" t="s">
        <v>22877</v>
      </c>
      <c r="S4624" s="8"/>
      <c r="T4624" s="8"/>
      <c r="U4624" s="19" t="str">
        <f>HYPERLINK("https://pbs.twimg.com/profile_images/638028600713814017/VtZNNqiR.jpg","View")</f>
        <v>View</v>
      </c>
      <c r="V4624" s="8"/>
      <c r="W4624" s="8"/>
      <c r="X4624" s="8"/>
      <c r="Y4624" s="8"/>
      <c r="Z4624" s="8"/>
    </row>
    <row r="4625" spans="1:26" ht="12.75">
      <c r="A4625" s="11">
        <v>43747.111435185187</v>
      </c>
      <c r="B4625" s="12" t="str">
        <f>HYPERLINK("https://twitter.com/_Erturk_ERDOGAN","@_Erturk_ERDOGAN")</f>
        <v>@_Erturk_ERDOGAN</v>
      </c>
      <c r="C4625" s="7" t="s">
        <v>22878</v>
      </c>
      <c r="D4625" s="7" t="s">
        <v>22879</v>
      </c>
      <c r="E4625" s="12" t="str">
        <f>HYPERLINK("https://twitter.com/_Erturk_ERDOGAN/status/1181867012131303424","1181867012131303424")</f>
        <v>1181867012131303424</v>
      </c>
      <c r="F4625" s="15"/>
      <c r="G4625" s="14" t="s">
        <v>22880</v>
      </c>
      <c r="H4625" s="8"/>
      <c r="I4625" s="15">
        <v>1</v>
      </c>
      <c r="J4625" s="15">
        <v>5</v>
      </c>
      <c r="K4625" s="12" t="str">
        <f>HYPERLINK("http://twitter.com/download/android","Twitter for Android")</f>
        <v>Twitter for Android</v>
      </c>
      <c r="L4625" s="16">
        <v>1705</v>
      </c>
      <c r="M4625" s="16">
        <v>2043</v>
      </c>
      <c r="N4625" s="16">
        <v>0</v>
      </c>
      <c r="O4625" s="17"/>
      <c r="P4625" s="18">
        <v>43672.207453703704</v>
      </c>
      <c r="Q4625" s="7"/>
      <c r="R4625" s="7" t="s">
        <v>22881</v>
      </c>
      <c r="S4625" s="8"/>
      <c r="T4625" s="8"/>
      <c r="U4625" s="19" t="str">
        <f>HYPERLINK("https://pbs.twimg.com/profile_images/1178731657714655235/NB4NzBfx.jpg","View")</f>
        <v>View</v>
      </c>
      <c r="V4625" s="8"/>
      <c r="W4625" s="8"/>
      <c r="X4625" s="8"/>
      <c r="Y4625" s="8"/>
      <c r="Z4625" s="8"/>
    </row>
    <row r="4626" spans="1:26" ht="12.75">
      <c r="A4626" s="11">
        <v>43747.11142361111</v>
      </c>
      <c r="B4626" s="12" t="str">
        <f>HYPERLINK("https://twitter.com/essekdikeni","@essekdikeni")</f>
        <v>@essekdikeni</v>
      </c>
      <c r="C4626" s="7" t="s">
        <v>22882</v>
      </c>
      <c r="D4626" s="7" t="s">
        <v>22883</v>
      </c>
      <c r="E4626" s="12" t="str">
        <f>HYPERLINK("https://twitter.com/essekdikeni/status/1181867009803526145","1181867009803526145")</f>
        <v>1181867009803526145</v>
      </c>
      <c r="F4626" s="8"/>
      <c r="G4626" s="15"/>
      <c r="H4626" s="8"/>
      <c r="I4626" s="15">
        <v>0</v>
      </c>
      <c r="J4626" s="15">
        <v>0</v>
      </c>
      <c r="K4626" s="12" t="str">
        <f>HYPERLINK("http://twitter.com/download/android","Twitter for Android")</f>
        <v>Twitter for Android</v>
      </c>
      <c r="L4626" s="16">
        <v>22</v>
      </c>
      <c r="M4626" s="16">
        <v>133</v>
      </c>
      <c r="N4626" s="16">
        <v>0</v>
      </c>
      <c r="O4626" s="17"/>
      <c r="P4626" s="18">
        <v>43379.687893518523</v>
      </c>
      <c r="Q4626" s="7"/>
      <c r="R4626" s="7"/>
      <c r="S4626" s="8"/>
      <c r="T4626" s="8"/>
      <c r="U4626" s="19" t="str">
        <f>HYPERLINK("https://pbs.twimg.com/profile_images/1139172397049942016/HUrz5rn5.jpg","View")</f>
        <v>View</v>
      </c>
      <c r="V4626" s="8"/>
      <c r="W4626" s="8"/>
      <c r="X4626" s="8"/>
      <c r="Y4626" s="8"/>
      <c r="Z4626" s="8"/>
    </row>
    <row r="4627" spans="1:26" ht="12.75">
      <c r="A4627" s="11">
        <v>43747.11142361111</v>
      </c>
      <c r="B4627" s="12" t="str">
        <f>HYPERLINK("https://twitter.com/ugur_karip","@ugur_karip")</f>
        <v>@ugur_karip</v>
      </c>
      <c r="C4627" s="7" t="s">
        <v>22884</v>
      </c>
      <c r="D4627" s="7" t="s">
        <v>22885</v>
      </c>
      <c r="E4627" s="12" t="str">
        <f>HYPERLINK("https://twitter.com/ugur_karip/status/1181867008478060546","1181867008478060546")</f>
        <v>1181867008478060546</v>
      </c>
      <c r="F4627" s="8"/>
      <c r="G4627" s="15"/>
      <c r="H4627" s="8"/>
      <c r="I4627" s="15">
        <v>1</v>
      </c>
      <c r="J4627" s="15">
        <v>1</v>
      </c>
      <c r="K4627" s="12" t="str">
        <f>HYPERLINK("http://twitter.com/download/android","Twitter for Android")</f>
        <v>Twitter for Android</v>
      </c>
      <c r="L4627" s="16">
        <v>36</v>
      </c>
      <c r="M4627" s="16">
        <v>65</v>
      </c>
      <c r="N4627" s="16">
        <v>0</v>
      </c>
      <c r="O4627" s="17"/>
      <c r="P4627" s="18">
        <v>42024.293576388889</v>
      </c>
      <c r="Q4627" s="7"/>
      <c r="R4627" s="7" t="s">
        <v>22886</v>
      </c>
      <c r="S4627" s="15"/>
      <c r="T4627" s="8"/>
      <c r="U4627" s="19" t="str">
        <f>HYPERLINK("https://pbs.twimg.com/profile_images/1181867842985181185/2TyJh8Ri.jpg","View")</f>
        <v>View</v>
      </c>
      <c r="V4627" s="8"/>
      <c r="W4627" s="8"/>
      <c r="X4627" s="8"/>
      <c r="Y4627" s="8"/>
      <c r="Z4627" s="8"/>
    </row>
    <row r="4628" spans="1:26" ht="12.75">
      <c r="A4628" s="11">
        <v>43747.111400462964</v>
      </c>
      <c r="B4628" s="12" t="str">
        <f>HYPERLINK("https://twitter.com/Kripto_Star","@Kripto_Star")</f>
        <v>@Kripto_Star</v>
      </c>
      <c r="C4628" s="7" t="s">
        <v>22887</v>
      </c>
      <c r="D4628" s="7" t="s">
        <v>22888</v>
      </c>
      <c r="E4628" s="12" t="str">
        <f>HYPERLINK("https://twitter.com/Kripto_Star/status/1181866998306889728","1181866998306889728")</f>
        <v>1181866998306889728</v>
      </c>
      <c r="F4628" s="15"/>
      <c r="G4628" s="15"/>
      <c r="H4628" s="8"/>
      <c r="I4628" s="15">
        <v>0</v>
      </c>
      <c r="J4628" s="15">
        <v>0</v>
      </c>
      <c r="K4628" s="12" t="str">
        <f>HYPERLINK("http://twitter.com/download/android","Twitter for Android")</f>
        <v>Twitter for Android</v>
      </c>
      <c r="L4628" s="16">
        <v>30</v>
      </c>
      <c r="M4628" s="16">
        <v>96</v>
      </c>
      <c r="N4628" s="16">
        <v>0</v>
      </c>
      <c r="O4628" s="17"/>
      <c r="P4628" s="18">
        <v>43275.239733796298</v>
      </c>
      <c r="Q4628" s="7"/>
      <c r="R4628" s="7" t="s">
        <v>22889</v>
      </c>
      <c r="S4628" s="8"/>
      <c r="T4628" s="8"/>
      <c r="U4628" s="19" t="str">
        <f>HYPERLINK("https://pbs.twimg.com/profile_images/1043619064663429120/Neo7hKBT.jpg","View")</f>
        <v>View</v>
      </c>
      <c r="V4628" s="8"/>
      <c r="W4628" s="8"/>
      <c r="X4628" s="8"/>
      <c r="Y4628" s="8"/>
      <c r="Z4628" s="8"/>
    </row>
    <row r="4629" spans="1:26" ht="12.75">
      <c r="A4629" s="11">
        <v>43747.111388888894</v>
      </c>
      <c r="B4629" s="12" t="str">
        <f>HYPERLINK("https://twitter.com/Bartugcan_2018","@Bartugcan_2018")</f>
        <v>@Bartugcan_2018</v>
      </c>
      <c r="C4629" s="7" t="s">
        <v>22890</v>
      </c>
      <c r="D4629" s="7" t="s">
        <v>4284</v>
      </c>
      <c r="E4629" s="12" t="str">
        <f>HYPERLINK("https://twitter.com/Bartugcan_2018/status/1181866994959835136","1181866994959835136")</f>
        <v>1181866994959835136</v>
      </c>
      <c r="F4629" s="8"/>
      <c r="G4629" s="14" t="s">
        <v>22891</v>
      </c>
      <c r="H4629" s="8"/>
      <c r="I4629" s="15">
        <v>1</v>
      </c>
      <c r="J4629" s="15">
        <v>2</v>
      </c>
      <c r="K4629" s="12" t="str">
        <f>HYPERLINK("http://twitter.com/download/iphone","Twitter for iPhone")</f>
        <v>Twitter for iPhone</v>
      </c>
      <c r="L4629" s="16">
        <v>1110</v>
      </c>
      <c r="M4629" s="16">
        <v>608</v>
      </c>
      <c r="N4629" s="16">
        <v>0</v>
      </c>
      <c r="O4629" s="17"/>
      <c r="P4629" s="18">
        <v>43325.339884259258</v>
      </c>
      <c r="Q4629" s="7"/>
      <c r="R4629" s="7" t="s">
        <v>22892</v>
      </c>
      <c r="S4629" s="8"/>
      <c r="T4629" s="8"/>
      <c r="U4629" s="19" t="str">
        <f>HYPERLINK("https://pbs.twimg.com/profile_images/1153186056050753536/ZAHNg7eF.jpg","View")</f>
        <v>View</v>
      </c>
      <c r="V4629" s="8"/>
      <c r="W4629" s="8"/>
      <c r="X4629" s="8"/>
      <c r="Y4629" s="8"/>
      <c r="Z4629" s="8"/>
    </row>
    <row r="4630" spans="1:26" ht="12.75">
      <c r="A4630" s="11">
        <v>43747.11136574074</v>
      </c>
      <c r="B4630" s="12" t="str">
        <f>HYPERLINK("https://twitter.com/cafein66","@cafein66")</f>
        <v>@cafein66</v>
      </c>
      <c r="C4630" s="7" t="s">
        <v>22893</v>
      </c>
      <c r="D4630" s="7" t="s">
        <v>22894</v>
      </c>
      <c r="E4630" s="12" t="str">
        <f>HYPERLINK("https://twitter.com/cafein66/status/1181866986760003584","1181866986760003584")</f>
        <v>1181866986760003584</v>
      </c>
      <c r="F4630" s="8"/>
      <c r="G4630" s="15"/>
      <c r="H4630" s="8"/>
      <c r="I4630" s="15">
        <v>0</v>
      </c>
      <c r="J4630" s="15">
        <v>1</v>
      </c>
      <c r="K4630" s="12" t="str">
        <f>HYPERLINK("http://twitter.com/download/android","Twitter for Android")</f>
        <v>Twitter for Android</v>
      </c>
      <c r="L4630" s="16">
        <v>228</v>
      </c>
      <c r="M4630" s="16">
        <v>462</v>
      </c>
      <c r="N4630" s="16">
        <v>0</v>
      </c>
      <c r="O4630" s="17"/>
      <c r="P4630" s="18">
        <v>40343.091678240744</v>
      </c>
      <c r="Q4630" s="7"/>
      <c r="R4630" s="7"/>
      <c r="S4630" s="8"/>
      <c r="T4630" s="8"/>
      <c r="U4630" s="19" t="str">
        <f>HYPERLINK("https://pbs.twimg.com/profile_images/1146110201440997376/F8JvcMmZ.jpg","View")</f>
        <v>View</v>
      </c>
      <c r="V4630" s="8"/>
      <c r="W4630" s="8"/>
      <c r="X4630" s="8"/>
      <c r="Y4630" s="8"/>
      <c r="Z4630" s="8"/>
    </row>
    <row r="4631" spans="1:26" ht="12.75">
      <c r="A4631" s="11">
        <v>43747.11136574074</v>
      </c>
      <c r="B4631" s="12" t="str">
        <f>HYPERLINK("https://twitter.com/Erkanoffical26","@Erkanoffical26")</f>
        <v>@Erkanoffical26</v>
      </c>
      <c r="C4631" s="7" t="s">
        <v>22895</v>
      </c>
      <c r="D4631" s="7" t="s">
        <v>22896</v>
      </c>
      <c r="E4631" s="12" t="str">
        <f>HYPERLINK("https://twitter.com/Erkanoffical26/status/1181866986093068291","1181866986093068291")</f>
        <v>1181866986093068291</v>
      </c>
      <c r="F4631" s="8"/>
      <c r="G4631" s="14" t="s">
        <v>22897</v>
      </c>
      <c r="H4631" s="8"/>
      <c r="I4631" s="15">
        <v>0</v>
      </c>
      <c r="J4631" s="15">
        <v>3</v>
      </c>
      <c r="K4631" s="12" t="str">
        <f>HYPERLINK("http://twitter.com/download/iphone","Twitter for iPhone")</f>
        <v>Twitter for iPhone</v>
      </c>
      <c r="L4631" s="16">
        <v>10</v>
      </c>
      <c r="M4631" s="16">
        <v>17</v>
      </c>
      <c r="N4631" s="16">
        <v>0</v>
      </c>
      <c r="O4631" s="17"/>
      <c r="P4631" s="18">
        <v>43719.382581018523</v>
      </c>
      <c r="Q4631" s="7"/>
      <c r="R4631" s="7"/>
      <c r="S4631" s="8"/>
      <c r="T4631" s="8"/>
      <c r="U4631" s="19" t="str">
        <f>HYPERLINK("https://pbs.twimg.com/profile_images/1181138106751356928/F6XbOXzs.jpg","View")</f>
        <v>View</v>
      </c>
      <c r="V4631" s="8"/>
      <c r="W4631" s="8"/>
      <c r="X4631" s="8"/>
      <c r="Y4631" s="8"/>
      <c r="Z4631" s="8"/>
    </row>
    <row r="4632" spans="1:26" ht="12.75">
      <c r="A4632" s="11">
        <v>43747.111307870371</v>
      </c>
      <c r="B4632" s="12" t="str">
        <f>HYPERLINK("https://twitter.com/diyap_aga","@diyap_aga")</f>
        <v>@diyap_aga</v>
      </c>
      <c r="C4632" s="7" t="s">
        <v>22898</v>
      </c>
      <c r="D4632" s="7" t="s">
        <v>22899</v>
      </c>
      <c r="E4632" s="12" t="str">
        <f>HYPERLINK("https://twitter.com/diyap_aga/status/1181866964676939776","1181866964676939776")</f>
        <v>1181866964676939776</v>
      </c>
      <c r="F4632" s="8"/>
      <c r="G4632" s="14" t="s">
        <v>14894</v>
      </c>
      <c r="H4632" s="8"/>
      <c r="I4632" s="15">
        <v>11</v>
      </c>
      <c r="J4632" s="15">
        <v>40</v>
      </c>
      <c r="K4632" s="12" t="str">
        <f>HYPERLINK("http://twitter.com/download/android","Twitter for Android")</f>
        <v>Twitter for Android</v>
      </c>
      <c r="L4632" s="16">
        <v>5800</v>
      </c>
      <c r="M4632" s="16">
        <v>3299</v>
      </c>
      <c r="N4632" s="16">
        <v>4</v>
      </c>
      <c r="O4632" s="17"/>
      <c r="P4632" s="18">
        <v>41954.174687499995</v>
      </c>
      <c r="Q4632" s="7"/>
      <c r="R4632" s="7" t="s">
        <v>22900</v>
      </c>
      <c r="S4632" s="15"/>
      <c r="T4632" s="8"/>
      <c r="U4632" s="19" t="str">
        <f>HYPERLINK("https://pbs.twimg.com/profile_images/591162382715518976/hI0Kuv7I.jpg","View")</f>
        <v>View</v>
      </c>
      <c r="V4632" s="8"/>
      <c r="W4632" s="8"/>
      <c r="X4632" s="8"/>
      <c r="Y4632" s="8"/>
      <c r="Z4632" s="8"/>
    </row>
    <row r="4633" spans="1:26" ht="12.75">
      <c r="A4633" s="11">
        <v>43747.111296296294</v>
      </c>
      <c r="B4633" s="12" t="str">
        <f>HYPERLINK("https://twitter.com/Ahmed____Turki","@Ahmed____Turki")</f>
        <v>@Ahmed____Turki</v>
      </c>
      <c r="C4633" s="7" t="s">
        <v>22901</v>
      </c>
      <c r="D4633" s="7" t="s">
        <v>22902</v>
      </c>
      <c r="E4633" s="12" t="str">
        <f>HYPERLINK("https://twitter.com/Ahmed____Turki/status/1181866961774493696","1181866961774493696")</f>
        <v>1181866961774493696</v>
      </c>
      <c r="F4633" s="8"/>
      <c r="G4633" s="15"/>
      <c r="H4633" s="8"/>
      <c r="I4633" s="15">
        <v>1</v>
      </c>
      <c r="J4633" s="15">
        <v>1</v>
      </c>
      <c r="K4633" s="12" t="str">
        <f>HYPERLINK("https://mobile.twitter.com","Twitter Web App")</f>
        <v>Twitter Web App</v>
      </c>
      <c r="L4633" s="16">
        <v>206</v>
      </c>
      <c r="M4633" s="16">
        <v>191</v>
      </c>
      <c r="N4633" s="16">
        <v>0</v>
      </c>
      <c r="O4633" s="17"/>
      <c r="P4633" s="18">
        <v>43658.505902777775</v>
      </c>
      <c r="Q4633" s="7" t="s">
        <v>15318</v>
      </c>
      <c r="R4633" s="7" t="s">
        <v>22903</v>
      </c>
      <c r="S4633" s="8"/>
      <c r="T4633" s="8"/>
      <c r="U4633" s="19" t="str">
        <f>HYPERLINK("https://pbs.twimg.com/profile_images/1169941599079608321/2A4za3ry.jpg","View")</f>
        <v>View</v>
      </c>
      <c r="V4633" s="8"/>
      <c r="W4633" s="8"/>
      <c r="X4633" s="8"/>
      <c r="Y4633" s="8"/>
      <c r="Z4633" s="8"/>
    </row>
    <row r="4634" spans="1:26" ht="12.75">
      <c r="A4634" s="11">
        <v>43747.111273148148</v>
      </c>
      <c r="B4634" s="12" t="str">
        <f>HYPERLINK("https://twitter.com/weedandgun","@weedandgun")</f>
        <v>@weedandgun</v>
      </c>
      <c r="C4634" s="7" t="s">
        <v>22904</v>
      </c>
      <c r="D4634" s="7" t="s">
        <v>22905</v>
      </c>
      <c r="E4634" s="12" t="str">
        <f>HYPERLINK("https://twitter.com/weedandgun/status/1181866951943053312","1181866951943053312")</f>
        <v>1181866951943053312</v>
      </c>
      <c r="F4634" s="8"/>
      <c r="G4634" s="14" t="s">
        <v>22906</v>
      </c>
      <c r="H4634" s="8"/>
      <c r="I4634" s="15">
        <v>0</v>
      </c>
      <c r="J4634" s="15">
        <v>1</v>
      </c>
      <c r="K4634" s="12" t="str">
        <f>HYPERLINK("http://twitter.com/download/iphone","Twitter for iPhone")</f>
        <v>Twitter for iPhone</v>
      </c>
      <c r="L4634" s="16">
        <v>22</v>
      </c>
      <c r="M4634" s="16">
        <v>138</v>
      </c>
      <c r="N4634" s="16">
        <v>0</v>
      </c>
      <c r="O4634" s="17"/>
      <c r="P4634" s="18">
        <v>43299.577708333338</v>
      </c>
      <c r="Q4634" s="7" t="s">
        <v>11017</v>
      </c>
      <c r="R4634" s="7" t="s">
        <v>22907</v>
      </c>
      <c r="S4634" s="14" t="s">
        <v>22908</v>
      </c>
      <c r="T4634" s="8"/>
      <c r="U4634" s="19" t="str">
        <f>HYPERLINK("https://pbs.twimg.com/profile_images/1174806278352322560/yo6OE2e4.jpg","View")</f>
        <v>View</v>
      </c>
      <c r="V4634" s="8"/>
      <c r="W4634" s="8"/>
      <c r="X4634" s="8"/>
      <c r="Y4634" s="8"/>
      <c r="Z4634" s="8"/>
    </row>
    <row r="4635" spans="1:26" ht="12.75">
      <c r="A4635" s="11">
        <v>43747.111168981486</v>
      </c>
      <c r="B4635" s="12" t="str">
        <f>HYPERLINK("https://twitter.com/CldrErgn","@CldrErgn")</f>
        <v>@CldrErgn</v>
      </c>
      <c r="C4635" s="7" t="s">
        <v>22909</v>
      </c>
      <c r="D4635" s="7" t="s">
        <v>22910</v>
      </c>
      <c r="E4635" s="12" t="str">
        <f>HYPERLINK("https://twitter.com/CldrErgn/status/1181866917646229504","1181866917646229504")</f>
        <v>1181866917646229504</v>
      </c>
      <c r="F4635" s="8"/>
      <c r="G4635" s="7"/>
      <c r="H4635" s="8"/>
      <c r="I4635" s="15">
        <v>0</v>
      </c>
      <c r="J4635" s="15">
        <v>0</v>
      </c>
      <c r="K4635" s="12" t="str">
        <f>HYPERLINK("http://twitter.com","Twitter Web Client")</f>
        <v>Twitter Web Client</v>
      </c>
      <c r="L4635" s="16">
        <v>10</v>
      </c>
      <c r="M4635" s="16">
        <v>0</v>
      </c>
      <c r="N4635" s="16">
        <v>0</v>
      </c>
      <c r="O4635" s="17"/>
      <c r="P4635" s="18">
        <v>43595.338692129633</v>
      </c>
      <c r="Q4635" s="7" t="s">
        <v>2679</v>
      </c>
      <c r="R4635" s="7" t="s">
        <v>17884</v>
      </c>
      <c r="S4635" s="8"/>
      <c r="T4635" s="8"/>
      <c r="U4635" s="19" t="str">
        <f>HYPERLINK("https://pbs.twimg.com/profile_images/1130844211282997249/XZ2Sgen4.jpg","View")</f>
        <v>View</v>
      </c>
      <c r="V4635" s="8"/>
      <c r="W4635" s="8"/>
      <c r="X4635" s="8"/>
      <c r="Y4635" s="8"/>
      <c r="Z4635" s="8"/>
    </row>
    <row r="4636" spans="1:26" ht="12.75">
      <c r="A4636" s="11">
        <v>43747.111145833333</v>
      </c>
      <c r="B4636" s="12" t="str">
        <f>HYPERLINK("https://twitter.com/EvLadiye","@EvLadiye")</f>
        <v>@EvLadiye</v>
      </c>
      <c r="C4636" s="7" t="s">
        <v>22911</v>
      </c>
      <c r="D4636" s="7" t="s">
        <v>22912</v>
      </c>
      <c r="E4636" s="12" t="str">
        <f>HYPERLINK("https://twitter.com/EvLadiye/status/1181866906443231237","1181866906443231237")</f>
        <v>1181866906443231237</v>
      </c>
      <c r="F4636" s="8"/>
      <c r="G4636" s="7"/>
      <c r="H4636" s="8"/>
      <c r="I4636" s="15">
        <v>0</v>
      </c>
      <c r="J4636" s="15">
        <v>0</v>
      </c>
      <c r="K4636" s="12" t="str">
        <f>HYPERLINK("http://twitter.com/download/android","Twitter for Android")</f>
        <v>Twitter for Android</v>
      </c>
      <c r="L4636" s="16">
        <v>68</v>
      </c>
      <c r="M4636" s="16">
        <v>810</v>
      </c>
      <c r="N4636" s="16">
        <v>0</v>
      </c>
      <c r="O4636" s="17"/>
      <c r="P4636" s="18">
        <v>41581.613425925927</v>
      </c>
      <c r="Q4636" s="7" t="s">
        <v>200</v>
      </c>
      <c r="R4636" s="7"/>
      <c r="S4636" s="8"/>
      <c r="T4636" s="8"/>
      <c r="U4636" s="19" t="str">
        <f>HYPERLINK("https://pbs.twimg.com/profile_images/1160680165917306880/4ii0KF07.jpg","View")</f>
        <v>View</v>
      </c>
      <c r="V4636" s="8"/>
      <c r="W4636" s="8"/>
      <c r="X4636" s="8"/>
      <c r="Y4636" s="8"/>
      <c r="Z4636" s="8"/>
    </row>
    <row r="4637" spans="1:26" ht="12.75">
      <c r="A4637" s="11">
        <v>43747.111122685186</v>
      </c>
      <c r="B4637" s="12" t="str">
        <f>HYPERLINK("https://twitter.com/YazarGelecegin","@YazarGelecegin")</f>
        <v>@YazarGelecegin</v>
      </c>
      <c r="C4637" s="7" t="s">
        <v>22913</v>
      </c>
      <c r="D4637" s="7" t="s">
        <v>22914</v>
      </c>
      <c r="E4637" s="12" t="str">
        <f>HYPERLINK("https://twitter.com/YazarGelecegin/status/1181866900051173377","1181866900051173377")</f>
        <v>1181866900051173377</v>
      </c>
      <c r="F4637" s="8"/>
      <c r="G4637" s="14" t="s">
        <v>22915</v>
      </c>
      <c r="H4637" s="8"/>
      <c r="I4637" s="15">
        <v>0</v>
      </c>
      <c r="J4637" s="15">
        <v>2</v>
      </c>
      <c r="K4637" s="12" t="str">
        <f>HYPERLINK("http://twitter.com/download/iphone","Twitter for iPhone")</f>
        <v>Twitter for iPhone</v>
      </c>
      <c r="L4637" s="16">
        <v>1</v>
      </c>
      <c r="M4637" s="16">
        <v>1</v>
      </c>
      <c r="N4637" s="16">
        <v>0</v>
      </c>
      <c r="O4637" s="17"/>
      <c r="P4637" s="18">
        <v>42770.281793981485</v>
      </c>
      <c r="Q4637" s="7"/>
      <c r="R4637" s="7" t="s">
        <v>22916</v>
      </c>
      <c r="S4637" s="14" t="s">
        <v>22917</v>
      </c>
      <c r="T4637" s="8"/>
      <c r="U4637" s="19" t="str">
        <f>HYPERLINK("https://pbs.twimg.com/profile_images/1012990773703397376/WxbxAdHw.jpg","View")</f>
        <v>View</v>
      </c>
      <c r="V4637" s="8"/>
      <c r="W4637" s="8"/>
      <c r="X4637" s="8"/>
      <c r="Y4637" s="8"/>
      <c r="Z4637" s="8"/>
    </row>
    <row r="4638" spans="1:26" ht="12.75">
      <c r="A4638" s="11">
        <v>43747.111122685186</v>
      </c>
      <c r="B4638" s="12" t="str">
        <f>HYPERLINK("https://twitter.com/69halill","@69halill")</f>
        <v>@69halill</v>
      </c>
      <c r="C4638" s="7" t="s">
        <v>2100</v>
      </c>
      <c r="D4638" s="7" t="s">
        <v>3552</v>
      </c>
      <c r="E4638" s="12" t="str">
        <f>HYPERLINK("https://twitter.com/69halill/status/1181866899665235969","1181866899665235969")</f>
        <v>1181866899665235969</v>
      </c>
      <c r="F4638" s="8"/>
      <c r="G4638" s="7"/>
      <c r="H4638" s="8"/>
      <c r="I4638" s="15">
        <v>1</v>
      </c>
      <c r="J4638" s="15">
        <v>1</v>
      </c>
      <c r="K4638" s="12" t="str">
        <f>HYPERLINK("http://twitter.com/download/iphone","Twitter for iPhone")</f>
        <v>Twitter for iPhone</v>
      </c>
      <c r="L4638" s="16">
        <v>91</v>
      </c>
      <c r="M4638" s="16">
        <v>85</v>
      </c>
      <c r="N4638" s="16">
        <v>0</v>
      </c>
      <c r="O4638" s="17"/>
      <c r="P4638" s="18">
        <v>41289.685266203705</v>
      </c>
      <c r="Q4638" s="7"/>
      <c r="R4638" s="7" t="s">
        <v>22918</v>
      </c>
      <c r="S4638" s="14" t="s">
        <v>22919</v>
      </c>
      <c r="T4638" s="8"/>
      <c r="U4638" s="19" t="str">
        <f>HYPERLINK("https://pbs.twimg.com/profile_images/1107782178174312448/AgkwUkFV.jpg","View")</f>
        <v>View</v>
      </c>
      <c r="V4638" s="8"/>
      <c r="W4638" s="8"/>
      <c r="X4638" s="8"/>
      <c r="Y4638" s="8"/>
      <c r="Z4638" s="8"/>
    </row>
    <row r="4639" spans="1:26" ht="12.75">
      <c r="A4639" s="11">
        <v>43747.111111111109</v>
      </c>
      <c r="B4639" s="12" t="str">
        <f>HYPERLINK("https://twitter.com/emintek_","@emintek_")</f>
        <v>@emintek_</v>
      </c>
      <c r="C4639" s="7" t="s">
        <v>22920</v>
      </c>
      <c r="D4639" s="7" t="s">
        <v>22921</v>
      </c>
      <c r="E4639" s="12" t="str">
        <f>HYPERLINK("https://twitter.com/emintek_/status/1181866894380486656","1181866894380486656")</f>
        <v>1181866894380486656</v>
      </c>
      <c r="F4639" s="8"/>
      <c r="G4639" s="7"/>
      <c r="H4639" s="8"/>
      <c r="I4639" s="15">
        <v>0</v>
      </c>
      <c r="J4639" s="15">
        <v>0</v>
      </c>
      <c r="K4639" s="12" t="str">
        <f>HYPERLINK("http://twitter.com/download/android","Twitter for Android")</f>
        <v>Twitter for Android</v>
      </c>
      <c r="L4639" s="16">
        <v>380</v>
      </c>
      <c r="M4639" s="16">
        <v>560</v>
      </c>
      <c r="N4639" s="16">
        <v>0</v>
      </c>
      <c r="O4639" s="17"/>
      <c r="P4639" s="18">
        <v>42600.662951388891</v>
      </c>
      <c r="Q4639" s="7"/>
      <c r="R4639" s="7" t="s">
        <v>22922</v>
      </c>
      <c r="S4639" s="14" t="s">
        <v>21727</v>
      </c>
      <c r="T4639" s="8"/>
      <c r="U4639" s="19" t="str">
        <f>HYPERLINK("https://pbs.twimg.com/profile_images/1167586356555653122/HArnLZn_.jpg","View")</f>
        <v>View</v>
      </c>
      <c r="V4639" s="8"/>
      <c r="W4639" s="8"/>
      <c r="X4639" s="8"/>
      <c r="Y4639" s="8"/>
      <c r="Z4639" s="8"/>
    </row>
    <row r="4640" spans="1:26" ht="12.75">
      <c r="A4640" s="11">
        <v>43747.111087962963</v>
      </c>
      <c r="B4640" s="12" t="str">
        <f>HYPERLINK("https://twitter.com/gurcu61","@gurcu61")</f>
        <v>@gurcu61</v>
      </c>
      <c r="C4640" s="7" t="s">
        <v>22923</v>
      </c>
      <c r="D4640" s="7" t="s">
        <v>22924</v>
      </c>
      <c r="E4640" s="12" t="str">
        <f>HYPERLINK("https://twitter.com/gurcu61/status/1181866885341687808","1181866885341687808")</f>
        <v>1181866885341687808</v>
      </c>
      <c r="F4640" s="8"/>
      <c r="G4640" s="15"/>
      <c r="H4640" s="8"/>
      <c r="I4640" s="15">
        <v>3</v>
      </c>
      <c r="J4640" s="15">
        <v>7</v>
      </c>
      <c r="K4640" s="12" t="str">
        <f>HYPERLINK("http://twitter.com/download/android","Twitter for Android")</f>
        <v>Twitter for Android</v>
      </c>
      <c r="L4640" s="16">
        <v>20026</v>
      </c>
      <c r="M4640" s="16">
        <v>18883</v>
      </c>
      <c r="N4640" s="16">
        <v>11</v>
      </c>
      <c r="O4640" s="17"/>
      <c r="P4640" s="18">
        <v>42802.149247685185</v>
      </c>
      <c r="Q4640" s="7" t="s">
        <v>313</v>
      </c>
      <c r="R4640" s="7" t="s">
        <v>22925</v>
      </c>
      <c r="S4640" s="8"/>
      <c r="T4640" s="8"/>
      <c r="U4640" s="19" t="str">
        <f>HYPERLINK("https://pbs.twimg.com/profile_images/1174603500094984197/wNWHbx-Z.jpg","View")</f>
        <v>View</v>
      </c>
      <c r="V4640" s="8"/>
      <c r="W4640" s="8"/>
      <c r="X4640" s="8"/>
      <c r="Y4640" s="8"/>
      <c r="Z4640" s="8"/>
    </row>
    <row r="4641" spans="1:26" ht="12.75">
      <c r="A4641" s="11">
        <v>43747.111030092594</v>
      </c>
      <c r="B4641" s="12" t="str">
        <f>HYPERLINK("https://twitter.com/HenryCh23124775","@HenryCh23124775")</f>
        <v>@HenryCh23124775</v>
      </c>
      <c r="C4641" s="7" t="s">
        <v>22926</v>
      </c>
      <c r="D4641" s="7" t="s">
        <v>22927</v>
      </c>
      <c r="E4641" s="12" t="str">
        <f>HYPERLINK("https://twitter.com/HenryCh23124775/status/1181866867373289472","1181866867373289472")</f>
        <v>1181866867373289472</v>
      </c>
      <c r="F4641" s="8"/>
      <c r="G4641" s="15"/>
      <c r="H4641" s="8"/>
      <c r="I4641" s="15">
        <v>0</v>
      </c>
      <c r="J4641" s="15">
        <v>0</v>
      </c>
      <c r="K4641" s="12" t="str">
        <f>HYPERLINK("http://twitter.com/download/android","Twitter for Android")</f>
        <v>Twitter for Android</v>
      </c>
      <c r="L4641" s="16">
        <v>32</v>
      </c>
      <c r="M4641" s="16">
        <v>68</v>
      </c>
      <c r="N4641" s="16">
        <v>0</v>
      </c>
      <c r="O4641" s="17"/>
      <c r="P4641" s="18">
        <v>43493.24055555556</v>
      </c>
      <c r="Q4641" s="7" t="s">
        <v>313</v>
      </c>
      <c r="R4641" s="7" t="s">
        <v>22928</v>
      </c>
      <c r="S4641" s="8"/>
      <c r="T4641" s="8"/>
      <c r="U4641" s="19" t="str">
        <f>HYPERLINK("https://pbs.twimg.com/profile_images/1089882560061210624/FKvpSj_8.jpg","View")</f>
        <v>View</v>
      </c>
      <c r="V4641" s="8"/>
      <c r="W4641" s="8"/>
      <c r="X4641" s="8"/>
      <c r="Y4641" s="8"/>
      <c r="Z4641" s="8"/>
    </row>
    <row r="4642" spans="1:26" ht="12.75">
      <c r="A4642" s="11">
        <v>43747.11100694444</v>
      </c>
      <c r="B4642" s="12" t="str">
        <f>HYPERLINK("https://twitter.com/ifadeozgurlgu28","@ifadeozgurlgu28")</f>
        <v>@ifadeozgurlgu28</v>
      </c>
      <c r="C4642" s="7" t="s">
        <v>15313</v>
      </c>
      <c r="D4642" s="7" t="s">
        <v>160</v>
      </c>
      <c r="E4642" s="12" t="str">
        <f>HYPERLINK("https://twitter.com/ifadeozgurlgu28/status/1181866857449570304","1181866857449570304")</f>
        <v>1181866857449570304</v>
      </c>
      <c r="F4642" s="8"/>
      <c r="G4642" s="15"/>
      <c r="H4642" s="8"/>
      <c r="I4642" s="15">
        <v>0</v>
      </c>
      <c r="J4642" s="15">
        <v>0</v>
      </c>
      <c r="K4642" s="12" t="str">
        <f>HYPERLINK("http://twitter.com/download/iphone","Twitter for iPhone")</f>
        <v>Twitter for iPhone</v>
      </c>
      <c r="L4642" s="16">
        <v>43</v>
      </c>
      <c r="M4642" s="16">
        <v>88</v>
      </c>
      <c r="N4642" s="16">
        <v>0</v>
      </c>
      <c r="O4642" s="17"/>
      <c r="P4642" s="18">
        <v>41337.516932870371</v>
      </c>
      <c r="Q4642" s="7"/>
      <c r="R4642" s="7" t="s">
        <v>22929</v>
      </c>
      <c r="S4642" s="8"/>
      <c r="T4642" s="8"/>
      <c r="U4642" s="19" t="str">
        <f>HYPERLINK("https://pbs.twimg.com/profile_images/993389968881053696/R5t85pcW.jpg","View")</f>
        <v>View</v>
      </c>
      <c r="V4642" s="8"/>
      <c r="W4642" s="8"/>
      <c r="X4642" s="8"/>
      <c r="Y4642" s="8"/>
      <c r="Z4642" s="8"/>
    </row>
    <row r="4643" spans="1:26" ht="12.75">
      <c r="A4643" s="11">
        <v>43747.110972222217</v>
      </c>
      <c r="B4643" s="12" t="str">
        <f>HYPERLINK("https://twitter.com/hsynbngltp","@hsynbngltp")</f>
        <v>@hsynbngltp</v>
      </c>
      <c r="C4643" s="7" t="s">
        <v>19747</v>
      </c>
      <c r="D4643" s="7" t="s">
        <v>160</v>
      </c>
      <c r="E4643" s="12" t="str">
        <f>HYPERLINK("https://twitter.com/hsynbngltp/status/1181866843750981632","1181866843750981632")</f>
        <v>1181866843750981632</v>
      </c>
      <c r="F4643" s="8"/>
      <c r="G4643" s="7"/>
      <c r="H4643" s="8"/>
      <c r="I4643" s="15">
        <v>0</v>
      </c>
      <c r="J4643" s="15">
        <v>0</v>
      </c>
      <c r="K4643" s="12" t="str">
        <f>HYPERLINK("http://twitter.com/download/android","Twitter for Android")</f>
        <v>Twitter for Android</v>
      </c>
      <c r="L4643" s="16">
        <v>233</v>
      </c>
      <c r="M4643" s="16">
        <v>311</v>
      </c>
      <c r="N4643" s="16">
        <v>0</v>
      </c>
      <c r="O4643" s="17"/>
      <c r="P4643" s="18">
        <v>42839.161099537036</v>
      </c>
      <c r="Q4643" s="7"/>
      <c r="R4643" s="7" t="s">
        <v>22930</v>
      </c>
      <c r="S4643" s="8"/>
      <c r="T4643" s="8"/>
      <c r="U4643" s="19" t="str">
        <f>HYPERLINK("https://pbs.twimg.com/profile_images/1177299049097105408/U_RwOlzr.jpg","View")</f>
        <v>View</v>
      </c>
      <c r="V4643" s="8"/>
      <c r="W4643" s="8"/>
      <c r="X4643" s="8"/>
      <c r="Y4643" s="8"/>
      <c r="Z4643" s="8"/>
    </row>
    <row r="4644" spans="1:26" ht="12.75">
      <c r="A4644" s="11">
        <v>43747.110914351855</v>
      </c>
      <c r="B4644" s="12" t="str">
        <f>HYPERLINK("https://twitter.com/tugcankavass","@tugcankavass")</f>
        <v>@tugcankavass</v>
      </c>
      <c r="C4644" s="7" t="s">
        <v>22931</v>
      </c>
      <c r="D4644" s="7" t="s">
        <v>160</v>
      </c>
      <c r="E4644" s="12" t="str">
        <f>HYPERLINK("https://twitter.com/tugcankavass/status/1181866821961551872","1181866821961551872")</f>
        <v>1181866821961551872</v>
      </c>
      <c r="F4644" s="8"/>
      <c r="G4644" s="14" t="s">
        <v>22932</v>
      </c>
      <c r="H4644" s="8"/>
      <c r="I4644" s="15">
        <v>0</v>
      </c>
      <c r="J4644" s="15">
        <v>1</v>
      </c>
      <c r="K4644" s="12" t="str">
        <f>HYPERLINK("http://twitter.com/download/android","Twitter for Android")</f>
        <v>Twitter for Android</v>
      </c>
      <c r="L4644" s="16">
        <v>197</v>
      </c>
      <c r="M4644" s="16">
        <v>88</v>
      </c>
      <c r="N4644" s="16">
        <v>0</v>
      </c>
      <c r="O4644" s="17"/>
      <c r="P4644" s="18">
        <v>43445.407222222224</v>
      </c>
      <c r="Q4644" s="7"/>
      <c r="R4644" s="7"/>
      <c r="S4644" s="8"/>
      <c r="T4644" s="8"/>
      <c r="U4644" s="19" t="str">
        <f>HYPERLINK("https://pbs.twimg.com/profile_images/1127703707137839104/s3UVL_CU.jpg","View")</f>
        <v>View</v>
      </c>
      <c r="V4644" s="8"/>
      <c r="W4644" s="8"/>
      <c r="X4644" s="8"/>
      <c r="Y4644" s="8"/>
      <c r="Z4644" s="8"/>
    </row>
    <row r="4645" spans="1:26" ht="12.75">
      <c r="A4645" s="11">
        <v>43747.110902777778</v>
      </c>
      <c r="B4645" s="12" t="str">
        <f>HYPERLINK("https://twitter.com/BugseTinay","@BugseTinay")</f>
        <v>@BugseTinay</v>
      </c>
      <c r="C4645" s="7" t="s">
        <v>22933</v>
      </c>
      <c r="D4645" s="7" t="s">
        <v>22934</v>
      </c>
      <c r="E4645" s="12" t="str">
        <f>HYPERLINK("https://twitter.com/BugseTinay/status/1181866817847005185","1181866817847005185")</f>
        <v>1181866817847005185</v>
      </c>
      <c r="F4645" s="8"/>
      <c r="G4645" s="14" t="s">
        <v>22935</v>
      </c>
      <c r="H4645" s="8"/>
      <c r="I4645" s="15">
        <v>0</v>
      </c>
      <c r="J4645" s="15">
        <v>1</v>
      </c>
      <c r="K4645" s="12" t="str">
        <f>HYPERLINK("http://twitter.com","Twitter Web Client")</f>
        <v>Twitter Web Client</v>
      </c>
      <c r="L4645" s="16">
        <v>3</v>
      </c>
      <c r="M4645" s="16">
        <v>0</v>
      </c>
      <c r="N4645" s="16">
        <v>0</v>
      </c>
      <c r="O4645" s="17"/>
      <c r="P4645" s="18">
        <v>43703.29755787037</v>
      </c>
      <c r="Q4645" s="7" t="s">
        <v>9272</v>
      </c>
      <c r="R4645" s="7" t="s">
        <v>22936</v>
      </c>
      <c r="S4645" s="8"/>
      <c r="T4645" s="8"/>
      <c r="U4645" s="19" t="str">
        <f>HYPERLINK("https://pbs.twimg.com/profile_images/1166787171359047680/xLmQLVWu.jpg","View")</f>
        <v>View</v>
      </c>
      <c r="V4645" s="8"/>
      <c r="W4645" s="8"/>
      <c r="X4645" s="8"/>
      <c r="Y4645" s="8"/>
      <c r="Z4645" s="8"/>
    </row>
    <row r="4646" spans="1:26" ht="12.75">
      <c r="A4646" s="11">
        <v>43747.110891203702</v>
      </c>
      <c r="B4646" s="12" t="str">
        <f>HYPERLINK("https://twitter.com/mehmedddddddddm","@mehmedddddddddm")</f>
        <v>@mehmedddddddddm</v>
      </c>
      <c r="C4646" s="7" t="s">
        <v>22937</v>
      </c>
      <c r="D4646" s="7" t="s">
        <v>22938</v>
      </c>
      <c r="E4646" s="12" t="str">
        <f>HYPERLINK("https://twitter.com/mehmedddddddddm/status/1181866816894832640","1181866816894832640")</f>
        <v>1181866816894832640</v>
      </c>
      <c r="F4646" s="8"/>
      <c r="G4646" s="7"/>
      <c r="H4646" s="8"/>
      <c r="I4646" s="15">
        <v>0</v>
      </c>
      <c r="J4646" s="15">
        <v>1</v>
      </c>
      <c r="K4646" s="12" t="str">
        <f>HYPERLINK("https://mobile.twitter.com","Twitter Web App")</f>
        <v>Twitter Web App</v>
      </c>
      <c r="L4646" s="16">
        <v>817</v>
      </c>
      <c r="M4646" s="16">
        <v>896</v>
      </c>
      <c r="N4646" s="16">
        <v>0</v>
      </c>
      <c r="O4646" s="17"/>
      <c r="P4646" s="18">
        <v>41586.087418981479</v>
      </c>
      <c r="Q4646" s="7"/>
      <c r="R4646" s="7" t="s">
        <v>22939</v>
      </c>
      <c r="S4646" s="8"/>
      <c r="T4646" s="8"/>
      <c r="U4646" s="19" t="str">
        <f>HYPERLINK("https://pbs.twimg.com/profile_images/1181051962286051328/6H_-s0wi.jpg","View")</f>
        <v>View</v>
      </c>
      <c r="V4646" s="8"/>
      <c r="W4646" s="8"/>
      <c r="X4646" s="8"/>
      <c r="Y4646" s="8"/>
      <c r="Z4646" s="8"/>
    </row>
    <row r="4647" spans="1:26" ht="12.75">
      <c r="A4647" s="11">
        <v>43747.110891203702</v>
      </c>
      <c r="B4647" s="12" t="str">
        <f>HYPERLINK("https://twitter.com/kuzimata","@kuzimata")</f>
        <v>@kuzimata</v>
      </c>
      <c r="C4647" s="7" t="s">
        <v>22940</v>
      </c>
      <c r="D4647" s="7" t="s">
        <v>22941</v>
      </c>
      <c r="E4647" s="12" t="str">
        <f>HYPERLINK("https://twitter.com/kuzimata/status/1181866816412487680","1181866816412487680")</f>
        <v>1181866816412487680</v>
      </c>
      <c r="F4647" s="8"/>
      <c r="G4647" s="15"/>
      <c r="H4647" s="8"/>
      <c r="I4647" s="15">
        <v>0</v>
      </c>
      <c r="J4647" s="15">
        <v>0</v>
      </c>
      <c r="K4647" s="12" t="str">
        <f>HYPERLINK("https://mobile.twitter.com","Twitter Web App")</f>
        <v>Twitter Web App</v>
      </c>
      <c r="L4647" s="16">
        <v>1</v>
      </c>
      <c r="M4647" s="16">
        <v>15</v>
      </c>
      <c r="N4647" s="16">
        <v>0</v>
      </c>
      <c r="O4647" s="17"/>
      <c r="P4647" s="18">
        <v>43740.538437499999</v>
      </c>
      <c r="Q4647" s="7"/>
      <c r="R4647" s="7" t="s">
        <v>22942</v>
      </c>
      <c r="S4647" s="8"/>
      <c r="T4647" s="8"/>
      <c r="U4647" s="19" t="str">
        <f>HYPERLINK("https://pbs.twimg.com/profile_images/1181074937030815744/WwO-YZzQ.jpg","View")</f>
        <v>View</v>
      </c>
      <c r="V4647" s="8"/>
      <c r="W4647" s="8"/>
      <c r="X4647" s="8"/>
      <c r="Y4647" s="8"/>
      <c r="Z4647" s="8"/>
    </row>
    <row r="4648" spans="1:26" ht="12.75">
      <c r="A4648" s="11">
        <v>43747.110879629632</v>
      </c>
      <c r="B4648" s="12" t="str">
        <f>HYPERLINK("https://twitter.com/Hasan86581528","@Hasan86581528")</f>
        <v>@Hasan86581528</v>
      </c>
      <c r="C4648" s="7" t="s">
        <v>10992</v>
      </c>
      <c r="D4648" s="7" t="s">
        <v>160</v>
      </c>
      <c r="E4648" s="12" t="str">
        <f>HYPERLINK("https://twitter.com/Hasan86581528/status/1181866809479323648","1181866809479323648")</f>
        <v>1181866809479323648</v>
      </c>
      <c r="F4648" s="8"/>
      <c r="G4648" s="14" t="s">
        <v>22943</v>
      </c>
      <c r="H4648" s="8"/>
      <c r="I4648" s="15">
        <v>0</v>
      </c>
      <c r="J4648" s="15">
        <v>0</v>
      </c>
      <c r="K4648" s="12" t="str">
        <f>HYPERLINK("http://twitter.com/download/android","Twitter for Android")</f>
        <v>Twitter for Android</v>
      </c>
      <c r="L4648" s="16">
        <v>11</v>
      </c>
      <c r="M4648" s="16">
        <v>132</v>
      </c>
      <c r="N4648" s="16">
        <v>0</v>
      </c>
      <c r="O4648" s="17"/>
      <c r="P4648" s="18">
        <v>43409.147141203706</v>
      </c>
      <c r="Q4648" s="7" t="s">
        <v>200</v>
      </c>
      <c r="R4648" s="7" t="s">
        <v>22944</v>
      </c>
      <c r="S4648" s="8"/>
      <c r="T4648" s="8"/>
      <c r="U4648" s="19" t="str">
        <f>HYPERLINK("https://pbs.twimg.com/profile_images/1145693638523019264/q2F1YcSO.jpg","View")</f>
        <v>View</v>
      </c>
      <c r="V4648" s="8"/>
      <c r="W4648" s="8"/>
      <c r="X4648" s="8"/>
      <c r="Y4648" s="8"/>
      <c r="Z4648" s="8"/>
    </row>
    <row r="4649" spans="1:26" ht="12.75">
      <c r="A4649" s="11">
        <v>43747.110856481479</v>
      </c>
      <c r="B4649" s="12" t="str">
        <f>HYPERLINK("https://twitter.com/MehmetGuness63","@MehmetGuness63")</f>
        <v>@MehmetGuness63</v>
      </c>
      <c r="C4649" s="7" t="s">
        <v>22945</v>
      </c>
      <c r="D4649" s="7" t="s">
        <v>22946</v>
      </c>
      <c r="E4649" s="12" t="str">
        <f>HYPERLINK("https://twitter.com/MehmetGuness63/status/1181866802948820992","1181866802948820992")</f>
        <v>1181866802948820992</v>
      </c>
      <c r="F4649" s="8"/>
      <c r="G4649" s="14" t="s">
        <v>22947</v>
      </c>
      <c r="H4649" s="8"/>
      <c r="I4649" s="15">
        <v>0</v>
      </c>
      <c r="J4649" s="15">
        <v>6</v>
      </c>
      <c r="K4649" s="12" t="str">
        <f>HYPERLINK("http://twitter.com/download/iphone","Twitter for iPhone")</f>
        <v>Twitter for iPhone</v>
      </c>
      <c r="L4649" s="16">
        <v>754</v>
      </c>
      <c r="M4649" s="16">
        <v>685</v>
      </c>
      <c r="N4649" s="16">
        <v>1</v>
      </c>
      <c r="O4649" s="17"/>
      <c r="P4649" s="18">
        <v>41596.476782407408</v>
      </c>
      <c r="Q4649" s="7" t="s">
        <v>22948</v>
      </c>
      <c r="R4649" s="7" t="s">
        <v>22949</v>
      </c>
      <c r="S4649" s="8"/>
      <c r="T4649" s="8"/>
      <c r="U4649" s="19" t="str">
        <f>HYPERLINK("https://pbs.twimg.com/profile_images/1128123015428964353/egkzJyHT.jpg","View")</f>
        <v>View</v>
      </c>
      <c r="V4649" s="8"/>
      <c r="W4649" s="8"/>
      <c r="X4649" s="8"/>
      <c r="Y4649" s="8"/>
      <c r="Z4649" s="8"/>
    </row>
    <row r="4650" spans="1:26" ht="12.75">
      <c r="A4650" s="11">
        <v>43747.110833333332</v>
      </c>
      <c r="B4650" s="12" t="str">
        <f>HYPERLINK("https://twitter.com/Firatcinici","@Firatcinici")</f>
        <v>@Firatcinici</v>
      </c>
      <c r="C4650" s="7" t="s">
        <v>22950</v>
      </c>
      <c r="D4650" s="7" t="s">
        <v>22951</v>
      </c>
      <c r="E4650" s="12" t="str">
        <f>HYPERLINK("https://twitter.com/Firatcinici/status/1181866795105488896","1181866795105488896")</f>
        <v>1181866795105488896</v>
      </c>
      <c r="F4650" s="8"/>
      <c r="G4650" s="14" t="s">
        <v>22952</v>
      </c>
      <c r="H4650" s="8"/>
      <c r="I4650" s="15">
        <v>0</v>
      </c>
      <c r="J4650" s="15">
        <v>1</v>
      </c>
      <c r="K4650" s="12" t="str">
        <f>HYPERLINK("http://twitter.com/download/android","Twitter for Android")</f>
        <v>Twitter for Android</v>
      </c>
      <c r="L4650" s="16">
        <v>142</v>
      </c>
      <c r="M4650" s="16">
        <v>422</v>
      </c>
      <c r="N4650" s="16">
        <v>0</v>
      </c>
      <c r="O4650" s="17"/>
      <c r="P4650" s="18">
        <v>41136.195289351854</v>
      </c>
      <c r="Q4650" s="7" t="s">
        <v>22953</v>
      </c>
      <c r="R4650" s="7" t="s">
        <v>22954</v>
      </c>
      <c r="S4650" s="15"/>
      <c r="T4650" s="8"/>
      <c r="U4650" s="19" t="str">
        <f>HYPERLINK("https://pbs.twimg.com/profile_images/1155184232924360704/up8MB2JE.jpg","View")</f>
        <v>View</v>
      </c>
      <c r="V4650" s="8"/>
      <c r="W4650" s="8"/>
      <c r="X4650" s="8"/>
      <c r="Y4650" s="8"/>
      <c r="Z4650" s="8"/>
    </row>
    <row r="4651" spans="1:26" ht="12.75">
      <c r="A4651" s="11">
        <v>43747.110821759255</v>
      </c>
      <c r="B4651" s="12" t="str">
        <f>HYPERLINK("https://twitter.com/CydonianTR","@CydonianTR")</f>
        <v>@CydonianTR</v>
      </c>
      <c r="C4651" s="15" t="s">
        <v>22955</v>
      </c>
      <c r="D4651" s="7" t="s">
        <v>22956</v>
      </c>
      <c r="E4651" s="12" t="str">
        <f>HYPERLINK("https://twitter.com/CydonianTR/status/1181866790361669632","1181866790361669632")</f>
        <v>1181866790361669632</v>
      </c>
      <c r="F4651" s="14" t="s">
        <v>22957</v>
      </c>
      <c r="G4651" s="7"/>
      <c r="H4651" s="8"/>
      <c r="I4651" s="15">
        <v>0</v>
      </c>
      <c r="J4651" s="15">
        <v>0</v>
      </c>
      <c r="K4651" s="12" t="str">
        <f>HYPERLINK("https://mobile.twitter.com","Twitter Web App")</f>
        <v>Twitter Web App</v>
      </c>
      <c r="L4651" s="16">
        <v>704</v>
      </c>
      <c r="M4651" s="16">
        <v>4278</v>
      </c>
      <c r="N4651" s="16">
        <v>1</v>
      </c>
      <c r="O4651" s="17"/>
      <c r="P4651" s="18">
        <v>41005.091354166667</v>
      </c>
      <c r="Q4651" s="7" t="s">
        <v>22958</v>
      </c>
      <c r="R4651" s="7" t="s">
        <v>22959</v>
      </c>
      <c r="S4651" s="15"/>
      <c r="T4651" s="8"/>
      <c r="U4651" s="19" t="str">
        <f>HYPERLINK("https://pbs.twimg.com/profile_images/2049269670/alien_ascii_code.jpg","View")</f>
        <v>View</v>
      </c>
      <c r="V4651" s="8"/>
      <c r="W4651" s="8"/>
      <c r="X4651" s="8"/>
      <c r="Y4651" s="8"/>
      <c r="Z4651" s="8"/>
    </row>
    <row r="4652" spans="1:26" ht="12.75">
      <c r="A4652" s="11">
        <v>43747.110821759255</v>
      </c>
      <c r="B4652" s="12" t="str">
        <f>HYPERLINK("https://twitter.com/Byoasiss1","@Byoasiss1")</f>
        <v>@Byoasiss1</v>
      </c>
      <c r="C4652" s="7" t="s">
        <v>22960</v>
      </c>
      <c r="D4652" s="7" t="s">
        <v>22961</v>
      </c>
      <c r="E4652" s="12" t="str">
        <f>HYPERLINK("https://twitter.com/Byoasiss1/status/1181866790001037312","1181866790001037312")</f>
        <v>1181866790001037312</v>
      </c>
      <c r="F4652" s="8"/>
      <c r="G4652" s="14" t="s">
        <v>22962</v>
      </c>
      <c r="H4652" s="8"/>
      <c r="I4652" s="15">
        <v>0</v>
      </c>
      <c r="J4652" s="15">
        <v>1</v>
      </c>
      <c r="K4652" s="12" t="str">
        <f>HYPERLINK("https://mobile.twitter.com","Twitter Web App")</f>
        <v>Twitter Web App</v>
      </c>
      <c r="L4652" s="16">
        <v>347</v>
      </c>
      <c r="M4652" s="16">
        <v>709</v>
      </c>
      <c r="N4652" s="16">
        <v>0</v>
      </c>
      <c r="O4652" s="17"/>
      <c r="P4652" s="18">
        <v>43650.029930555553</v>
      </c>
      <c r="Q4652" s="7" t="s">
        <v>200</v>
      </c>
      <c r="R4652" s="7" t="s">
        <v>22963</v>
      </c>
      <c r="S4652" s="14" t="s">
        <v>22964</v>
      </c>
      <c r="T4652" s="8"/>
      <c r="U4652" s="19" t="str">
        <f>HYPERLINK("https://pbs.twimg.com/profile_images/1164536683683094528/xZFK0zKQ.jpg","View")</f>
        <v>View</v>
      </c>
      <c r="V4652" s="8"/>
      <c r="W4652" s="8"/>
      <c r="X4652" s="8"/>
      <c r="Y4652" s="8"/>
      <c r="Z4652" s="8"/>
    </row>
    <row r="4653" spans="1:26" ht="12.75">
      <c r="A4653" s="11">
        <v>43747.110752314809</v>
      </c>
      <c r="B4653" s="12" t="str">
        <f>HYPERLINK("https://twitter.com/ktamerr","@ktamerr")</f>
        <v>@ktamerr</v>
      </c>
      <c r="C4653" s="7" t="s">
        <v>22965</v>
      </c>
      <c r="D4653" s="7" t="s">
        <v>22966</v>
      </c>
      <c r="E4653" s="12" t="str">
        <f>HYPERLINK("https://twitter.com/ktamerr/status/1181866766584225792","1181866766584225792")</f>
        <v>1181866766584225792</v>
      </c>
      <c r="F4653" s="8"/>
      <c r="G4653" s="14" t="s">
        <v>22967</v>
      </c>
      <c r="H4653" s="8"/>
      <c r="I4653" s="15">
        <v>1</v>
      </c>
      <c r="J4653" s="15">
        <v>4</v>
      </c>
      <c r="K4653" s="12" t="str">
        <f>HYPERLINK("http://twitter.com/download/android","Twitter for Android")</f>
        <v>Twitter for Android</v>
      </c>
      <c r="L4653" s="16">
        <v>30</v>
      </c>
      <c r="M4653" s="16">
        <v>27</v>
      </c>
      <c r="N4653" s="16">
        <v>0</v>
      </c>
      <c r="O4653" s="17"/>
      <c r="P4653" s="18">
        <v>42863.511701388888</v>
      </c>
      <c r="Q4653" s="7"/>
      <c r="R4653" s="7" t="s">
        <v>22968</v>
      </c>
      <c r="S4653" s="8"/>
      <c r="T4653" s="8"/>
      <c r="U4653" s="19" t="str">
        <f>HYPERLINK("https://pbs.twimg.com/profile_images/1146713623001206785/NCl3puGE.jpg","View")</f>
        <v>View</v>
      </c>
      <c r="V4653" s="8"/>
      <c r="W4653" s="8"/>
      <c r="X4653" s="8"/>
      <c r="Y4653" s="8"/>
      <c r="Z4653" s="8"/>
    </row>
    <row r="4654" spans="1:26" ht="12.75">
      <c r="A4654" s="11">
        <v>43747.110752314809</v>
      </c>
      <c r="B4654" s="12" t="str">
        <f>HYPERLINK("https://twitter.com/NUMANOZBEK","@NUMANOZBEK")</f>
        <v>@NUMANOZBEK</v>
      </c>
      <c r="C4654" s="21" t="s">
        <v>22969</v>
      </c>
      <c r="D4654" s="7" t="s">
        <v>22970</v>
      </c>
      <c r="E4654" s="12" t="str">
        <f>HYPERLINK("https://twitter.com/NUMANOZBEK/status/1181866764717711360","1181866764717711360")</f>
        <v>1181866764717711360</v>
      </c>
      <c r="F4654" s="8"/>
      <c r="G4654" s="14" t="s">
        <v>22971</v>
      </c>
      <c r="H4654" s="8"/>
      <c r="I4654" s="15">
        <v>0</v>
      </c>
      <c r="J4654" s="15">
        <v>0</v>
      </c>
      <c r="K4654" s="12" t="str">
        <f>HYPERLINK("http://twitter.com/download/android","Twitter for Android")</f>
        <v>Twitter for Android</v>
      </c>
      <c r="L4654" s="16">
        <v>611</v>
      </c>
      <c r="M4654" s="16">
        <v>727</v>
      </c>
      <c r="N4654" s="16">
        <v>2</v>
      </c>
      <c r="O4654" s="17"/>
      <c r="P4654" s="18">
        <v>40796.2502662037</v>
      </c>
      <c r="Q4654" s="7" t="s">
        <v>860</v>
      </c>
      <c r="R4654" s="21" t="s">
        <v>22972</v>
      </c>
      <c r="S4654" s="8"/>
      <c r="T4654" s="8"/>
      <c r="U4654" s="19" t="str">
        <f>HYPERLINK("https://pbs.twimg.com/profile_images/378800000408771178/09de92735f9677ec111c9d0131773167.jpeg","View")</f>
        <v>View</v>
      </c>
      <c r="V4654" s="8"/>
      <c r="W4654" s="8"/>
      <c r="X4654" s="8"/>
      <c r="Y4654" s="8"/>
      <c r="Z4654" s="8"/>
    </row>
    <row r="4655" spans="1:26" ht="12.75">
      <c r="A4655" s="11">
        <v>43747.110706018517</v>
      </c>
      <c r="B4655" s="12" t="str">
        <f>HYPERLINK("https://twitter.com/agimbek","@agimbek")</f>
        <v>@agimbek</v>
      </c>
      <c r="C4655" s="7" t="s">
        <v>22973</v>
      </c>
      <c r="D4655" s="7" t="s">
        <v>22974</v>
      </c>
      <c r="E4655" s="12" t="str">
        <f>HYPERLINK("https://twitter.com/agimbek/status/1181866746627710979","1181866746627710979")</f>
        <v>1181866746627710979</v>
      </c>
      <c r="F4655" s="8"/>
      <c r="G4655" s="14" t="s">
        <v>22975</v>
      </c>
      <c r="H4655" s="8"/>
      <c r="I4655" s="15">
        <v>0</v>
      </c>
      <c r="J4655" s="15">
        <v>1</v>
      </c>
      <c r="K4655" s="12" t="str">
        <f>HYPERLINK("http://twitter.com/download/android","Twitter for Android")</f>
        <v>Twitter for Android</v>
      </c>
      <c r="L4655" s="16">
        <v>1347</v>
      </c>
      <c r="M4655" s="16">
        <v>1343</v>
      </c>
      <c r="N4655" s="16">
        <v>0</v>
      </c>
      <c r="O4655" s="17"/>
      <c r="P4655" s="18">
        <v>42580.357002314813</v>
      </c>
      <c r="Q4655" s="7" t="s">
        <v>80</v>
      </c>
      <c r="R4655" s="7" t="s">
        <v>22976</v>
      </c>
      <c r="S4655" s="8"/>
      <c r="T4655" s="8"/>
      <c r="U4655" s="19" t="str">
        <f>HYPERLINK("https://pbs.twimg.com/profile_images/1149635171898912769/-1oaYLTU.jpg","View")</f>
        <v>View</v>
      </c>
      <c r="V4655" s="8"/>
      <c r="W4655" s="8"/>
      <c r="X4655" s="8"/>
      <c r="Y4655" s="8"/>
      <c r="Z4655" s="8"/>
    </row>
    <row r="4656" spans="1:26" ht="12.75">
      <c r="A4656" s="11">
        <v>43747.110682870371</v>
      </c>
      <c r="B4656" s="12" t="str">
        <f>HYPERLINK("https://twitter.com/dogukanburada","@dogukanburada")</f>
        <v>@dogukanburada</v>
      </c>
      <c r="C4656" s="7" t="s">
        <v>22977</v>
      </c>
      <c r="D4656" s="7" t="s">
        <v>22978</v>
      </c>
      <c r="E4656" s="12" t="str">
        <f>HYPERLINK("https://twitter.com/dogukanburada/status/1181866741737107456","1181866741737107456")</f>
        <v>1181866741737107456</v>
      </c>
      <c r="F4656" s="8"/>
      <c r="G4656" s="15"/>
      <c r="H4656" s="8"/>
      <c r="I4656" s="15">
        <v>0</v>
      </c>
      <c r="J4656" s="15">
        <v>0</v>
      </c>
      <c r="K4656" s="12" t="str">
        <f>HYPERLINK("http://twitter.com/download/iphone","Twitter for iPhone")</f>
        <v>Twitter for iPhone</v>
      </c>
      <c r="L4656" s="16">
        <v>87</v>
      </c>
      <c r="M4656" s="16">
        <v>576</v>
      </c>
      <c r="N4656" s="16">
        <v>0</v>
      </c>
      <c r="O4656" s="17"/>
      <c r="P4656" s="18">
        <v>43482.159166666665</v>
      </c>
      <c r="Q4656" s="7"/>
      <c r="R4656" s="7" t="s">
        <v>22979</v>
      </c>
      <c r="S4656" s="14" t="s">
        <v>22980</v>
      </c>
      <c r="T4656" s="8"/>
      <c r="U4656" s="19" t="str">
        <f>HYPERLINK("https://pbs.twimg.com/profile_images/1181704850280718336/cfhT_I-k.jpg","View")</f>
        <v>View</v>
      </c>
      <c r="V4656" s="8"/>
      <c r="W4656" s="8"/>
      <c r="X4656" s="8"/>
      <c r="Y4656" s="8"/>
      <c r="Z4656" s="8"/>
    </row>
    <row r="4657" spans="1:26" ht="12.75">
      <c r="A4657" s="11">
        <v>43747.110671296294</v>
      </c>
      <c r="B4657" s="12" t="str">
        <f>HYPERLINK("https://twitter.com/cumhur__34","@cumhur__34")</f>
        <v>@cumhur__34</v>
      </c>
      <c r="C4657" s="7" t="s">
        <v>22981</v>
      </c>
      <c r="D4657" s="7" t="s">
        <v>22982</v>
      </c>
      <c r="E4657" s="12" t="str">
        <f>HYPERLINK("https://twitter.com/cumhur__34/status/1181866734090887168","1181866734090887168")</f>
        <v>1181866734090887168</v>
      </c>
      <c r="F4657" s="8"/>
      <c r="G4657" s="14" t="s">
        <v>22983</v>
      </c>
      <c r="H4657" s="8"/>
      <c r="I4657" s="15">
        <v>0</v>
      </c>
      <c r="J4657" s="15">
        <v>3</v>
      </c>
      <c r="K4657" s="12" t="str">
        <f>HYPERLINK("http://twitter.com/download/android","Twitter for Android")</f>
        <v>Twitter for Android</v>
      </c>
      <c r="L4657" s="16">
        <v>1950</v>
      </c>
      <c r="M4657" s="16">
        <v>2161</v>
      </c>
      <c r="N4657" s="16">
        <v>3</v>
      </c>
      <c r="O4657" s="17"/>
      <c r="P4657" s="18">
        <v>41511.507766203707</v>
      </c>
      <c r="Q4657" s="7" t="s">
        <v>313</v>
      </c>
      <c r="R4657" s="7" t="s">
        <v>22984</v>
      </c>
      <c r="S4657" s="8"/>
      <c r="T4657" s="8"/>
      <c r="U4657" s="19" t="str">
        <f>HYPERLINK("https://pbs.twimg.com/profile_images/1179455518810750976/4GDxn8rH.jpg","View")</f>
        <v>View</v>
      </c>
      <c r="V4657" s="8"/>
      <c r="W4657" s="8"/>
      <c r="X4657" s="8"/>
      <c r="Y4657" s="8"/>
      <c r="Z4657" s="8"/>
    </row>
    <row r="4658" spans="1:26" ht="12.75">
      <c r="A4658" s="11">
        <v>43747.110671296294</v>
      </c>
      <c r="B4658" s="12" t="str">
        <f>HYPERLINK("https://twitter.com/HDPKKteroru56","@HDPKKteroru56")</f>
        <v>@HDPKKteroru56</v>
      </c>
      <c r="C4658" s="7" t="s">
        <v>22985</v>
      </c>
      <c r="D4658" s="7" t="s">
        <v>22986</v>
      </c>
      <c r="E4658" s="12" t="str">
        <f>HYPERLINK("https://twitter.com/HDPKKteroru56/status/1181866733767929856","1181866733767929856")</f>
        <v>1181866733767929856</v>
      </c>
      <c r="F4658" s="8"/>
      <c r="G4658" s="14" t="s">
        <v>22987</v>
      </c>
      <c r="H4658" s="8"/>
      <c r="I4658" s="15">
        <v>21</v>
      </c>
      <c r="J4658" s="15">
        <v>46</v>
      </c>
      <c r="K4658" s="12" t="str">
        <f>HYPERLINK("http://twitter.com/download/android","Twitter for Android")</f>
        <v>Twitter for Android</v>
      </c>
      <c r="L4658" s="16">
        <v>3804</v>
      </c>
      <c r="M4658" s="16">
        <v>180</v>
      </c>
      <c r="N4658" s="16">
        <v>7</v>
      </c>
      <c r="O4658" s="17"/>
      <c r="P4658" s="18">
        <v>41872.543449074074</v>
      </c>
      <c r="Q4658" s="7"/>
      <c r="R4658" s="7" t="s">
        <v>22988</v>
      </c>
      <c r="S4658" s="14" t="s">
        <v>22989</v>
      </c>
      <c r="T4658" s="8"/>
      <c r="U4658" s="19" t="str">
        <f>HYPERLINK("https://pbs.twimg.com/profile_images/1167095730911240192/metxL_dR.jpg","View")</f>
        <v>View</v>
      </c>
      <c r="V4658" s="8"/>
      <c r="W4658" s="8"/>
      <c r="X4658" s="8"/>
      <c r="Y4658" s="8"/>
      <c r="Z4658" s="8"/>
    </row>
    <row r="4659" spans="1:26" ht="12.75">
      <c r="A4659" s="11">
        <v>43747.110567129625</v>
      </c>
      <c r="B4659" s="12" t="str">
        <f>HYPERLINK("https://twitter.com/hosmankayseri","@hosmankayseri")</f>
        <v>@hosmankayseri</v>
      </c>
      <c r="C4659" s="7" t="s">
        <v>22990</v>
      </c>
      <c r="D4659" s="7" t="s">
        <v>22991</v>
      </c>
      <c r="E4659" s="12" t="str">
        <f>HYPERLINK("https://twitter.com/hosmankayseri/status/1181866696094703618","1181866696094703618")</f>
        <v>1181866696094703618</v>
      </c>
      <c r="F4659" s="8"/>
      <c r="G4659" s="14" t="s">
        <v>22992</v>
      </c>
      <c r="H4659" s="8"/>
      <c r="I4659" s="15">
        <v>0</v>
      </c>
      <c r="J4659" s="15">
        <v>1</v>
      </c>
      <c r="K4659" s="12" t="str">
        <f>HYPERLINK("https://mobile.twitter.com","Twitter Web App")</f>
        <v>Twitter Web App</v>
      </c>
      <c r="L4659" s="16">
        <v>1489</v>
      </c>
      <c r="M4659" s="16">
        <v>1999</v>
      </c>
      <c r="N4659" s="16">
        <v>3</v>
      </c>
      <c r="O4659" s="17"/>
      <c r="P4659" s="18">
        <v>40617.28496527778</v>
      </c>
      <c r="Q4659" s="7" t="s">
        <v>22993</v>
      </c>
      <c r="R4659" s="7" t="s">
        <v>22994</v>
      </c>
      <c r="S4659" s="8"/>
      <c r="T4659" s="8"/>
      <c r="U4659" s="19" t="str">
        <f>HYPERLINK("https://pbs.twimg.com/profile_images/1178046294998343680/TOqb-uGB.jpg","View")</f>
        <v>View</v>
      </c>
      <c r="V4659" s="8"/>
      <c r="W4659" s="8"/>
      <c r="X4659" s="8"/>
      <c r="Y4659" s="8"/>
      <c r="Z4659" s="8"/>
    </row>
    <row r="4660" spans="1:26" ht="12.75">
      <c r="A4660" s="11">
        <v>43747.110555555555</v>
      </c>
      <c r="B4660" s="12" t="str">
        <f>HYPERLINK("https://twitter.com/TemellBurak","@TemellBurak")</f>
        <v>@TemellBurak</v>
      </c>
      <c r="C4660" s="7" t="s">
        <v>22995</v>
      </c>
      <c r="D4660" s="7" t="s">
        <v>22996</v>
      </c>
      <c r="E4660" s="12" t="str">
        <f>HYPERLINK("https://twitter.com/TemellBurak/status/1181866692764413952","1181866692764413952")</f>
        <v>1181866692764413952</v>
      </c>
      <c r="F4660" s="8"/>
      <c r="G4660" s="15"/>
      <c r="H4660" s="8"/>
      <c r="I4660" s="15">
        <v>0</v>
      </c>
      <c r="J4660" s="15">
        <v>0</v>
      </c>
      <c r="K4660" s="12" t="str">
        <f>HYPERLINK("http://twitter.com/download/android","Twitter for Android")</f>
        <v>Twitter for Android</v>
      </c>
      <c r="L4660" s="16">
        <v>386</v>
      </c>
      <c r="M4660" s="16">
        <v>440</v>
      </c>
      <c r="N4660" s="16">
        <v>0</v>
      </c>
      <c r="O4660" s="17"/>
      <c r="P4660" s="18">
        <v>40873.523935185185</v>
      </c>
      <c r="Q4660" s="7" t="s">
        <v>200</v>
      </c>
      <c r="R4660" s="7" t="s">
        <v>22997</v>
      </c>
      <c r="S4660" s="14" t="s">
        <v>22998</v>
      </c>
      <c r="T4660" s="8"/>
      <c r="U4660" s="19" t="str">
        <f>HYPERLINK("https://pbs.twimg.com/profile_images/783239352553996288/tN5dcT1G.jpg","View")</f>
        <v>View</v>
      </c>
      <c r="V4660" s="8"/>
      <c r="W4660" s="8"/>
      <c r="X4660" s="8"/>
      <c r="Y4660" s="8"/>
      <c r="Z4660" s="8"/>
    </row>
    <row r="4661" spans="1:26" ht="12.75">
      <c r="A4661" s="11">
        <v>43747.110509259262</v>
      </c>
      <c r="B4661" s="12" t="str">
        <f>HYPERLINK("https://twitter.com/buluttovic","@buluttovic")</f>
        <v>@buluttovic</v>
      </c>
      <c r="C4661" s="7" t="s">
        <v>4124</v>
      </c>
      <c r="D4661" s="7" t="s">
        <v>22999</v>
      </c>
      <c r="E4661" s="12" t="str">
        <f>HYPERLINK("https://twitter.com/buluttovic/status/1181866675362308098","1181866675362308098")</f>
        <v>1181866675362308098</v>
      </c>
      <c r="F4661" s="8"/>
      <c r="G4661" s="14" t="s">
        <v>23000</v>
      </c>
      <c r="H4661" s="8"/>
      <c r="I4661" s="15">
        <v>0</v>
      </c>
      <c r="J4661" s="15">
        <v>2</v>
      </c>
      <c r="K4661" s="12" t="str">
        <f>HYPERLINK("http://twitter.com/download/iphone","Twitter for iPhone")</f>
        <v>Twitter for iPhone</v>
      </c>
      <c r="L4661" s="16">
        <v>32</v>
      </c>
      <c r="M4661" s="16">
        <v>163</v>
      </c>
      <c r="N4661" s="16">
        <v>0</v>
      </c>
      <c r="O4661" s="17"/>
      <c r="P4661" s="18">
        <v>43409.548148148147</v>
      </c>
      <c r="Q4661" s="7"/>
      <c r="R4661" s="7" t="s">
        <v>23001</v>
      </c>
      <c r="S4661" s="8"/>
      <c r="T4661" s="8"/>
      <c r="U4661" s="19" t="str">
        <f>HYPERLINK("https://pbs.twimg.com/profile_images/1165697466580250626/5MhQ0JFm.jpg","View")</f>
        <v>View</v>
      </c>
      <c r="V4661" s="8"/>
      <c r="W4661" s="8"/>
      <c r="X4661" s="8"/>
      <c r="Y4661" s="8"/>
      <c r="Z4661" s="8"/>
    </row>
    <row r="4662" spans="1:26" ht="12.75">
      <c r="A4662" s="11">
        <v>43747.110393518524</v>
      </c>
      <c r="B4662" s="12" t="str">
        <f>HYPERLINK("https://twitter.com/veryansinnnnn","@veryansinnnnn")</f>
        <v>@veryansinnnnn</v>
      </c>
      <c r="C4662" s="7" t="s">
        <v>23002</v>
      </c>
      <c r="D4662" s="7" t="s">
        <v>23003</v>
      </c>
      <c r="E4662" s="12" t="str">
        <f>HYPERLINK("https://twitter.com/veryansinnnnn/status/1181866636506226688","1181866636506226688")</f>
        <v>1181866636506226688</v>
      </c>
      <c r="F4662" s="8"/>
      <c r="G4662" s="15"/>
      <c r="H4662" s="8"/>
      <c r="I4662" s="15">
        <v>0</v>
      </c>
      <c r="J4662" s="15">
        <v>1</v>
      </c>
      <c r="K4662" s="12" t="str">
        <f>HYPERLINK("http://twitter.com/download/iphone","Twitter for iPhone")</f>
        <v>Twitter for iPhone</v>
      </c>
      <c r="L4662" s="16">
        <v>61</v>
      </c>
      <c r="M4662" s="16">
        <v>197</v>
      </c>
      <c r="N4662" s="16">
        <v>0</v>
      </c>
      <c r="O4662" s="17"/>
      <c r="P4662" s="18">
        <v>43712.451678240745</v>
      </c>
      <c r="Q4662" s="8"/>
      <c r="R4662" s="8" t="s">
        <v>23004</v>
      </c>
      <c r="S4662" s="8"/>
      <c r="T4662" s="8"/>
      <c r="U4662" s="19" t="str">
        <f>HYPERLINK("https://pbs.twimg.com/profile_images/1180255411057786881/3-lCoV8Z.jpg","View")</f>
        <v>View</v>
      </c>
      <c r="V4662" s="8"/>
      <c r="W4662" s="8"/>
      <c r="X4662" s="8"/>
      <c r="Y4662" s="8"/>
      <c r="Z4662" s="8"/>
    </row>
    <row r="4663" spans="1:26" ht="12.75">
      <c r="A4663" s="11">
        <v>43747.110347222224</v>
      </c>
      <c r="B4663" s="12" t="str">
        <f>HYPERLINK("https://twitter.com/Erbknvakfinizip","@Erbknvakfinizip")</f>
        <v>@Erbknvakfinizip</v>
      </c>
      <c r="C4663" s="7" t="s">
        <v>23005</v>
      </c>
      <c r="D4663" s="7" t="s">
        <v>23006</v>
      </c>
      <c r="E4663" s="12" t="str">
        <f>HYPERLINK("https://twitter.com/Erbknvakfinizip/status/1181866619380875264","1181866619380875264")</f>
        <v>1181866619380875264</v>
      </c>
      <c r="F4663" s="8"/>
      <c r="G4663" s="14" t="s">
        <v>23007</v>
      </c>
      <c r="H4663" s="8"/>
      <c r="I4663" s="15">
        <v>0</v>
      </c>
      <c r="J4663" s="15">
        <v>1</v>
      </c>
      <c r="K4663" s="12" t="str">
        <f>HYPERLINK("http://twitter.com/download/iphone","Twitter for iPhone")</f>
        <v>Twitter for iPhone</v>
      </c>
      <c r="L4663" s="16">
        <v>115</v>
      </c>
      <c r="M4663" s="16">
        <v>545</v>
      </c>
      <c r="N4663" s="16">
        <v>0</v>
      </c>
      <c r="O4663" s="17"/>
      <c r="P4663" s="18">
        <v>43043.50209490741</v>
      </c>
      <c r="Q4663" s="8" t="s">
        <v>23008</v>
      </c>
      <c r="R4663" s="8" t="s">
        <v>23009</v>
      </c>
      <c r="S4663" s="8"/>
      <c r="T4663" s="8"/>
      <c r="U4663" s="19" t="str">
        <f>HYPERLINK("https://pbs.twimg.com/profile_images/1178766019990609927/f6VNGa_q.jpg","View")</f>
        <v>View</v>
      </c>
      <c r="V4663" s="8"/>
      <c r="W4663" s="8"/>
      <c r="X4663" s="8"/>
      <c r="Y4663" s="8"/>
      <c r="Z4663" s="8"/>
    </row>
    <row r="4664" spans="1:26" ht="12.75">
      <c r="A4664" s="11">
        <v>43747.110335648147</v>
      </c>
      <c r="B4664" s="12" t="str">
        <f>HYPERLINK("https://twitter.com/KureciEmirhan","@KureciEmirhan")</f>
        <v>@KureciEmirhan</v>
      </c>
      <c r="C4664" s="7" t="s">
        <v>23010</v>
      </c>
      <c r="D4664" s="7" t="s">
        <v>23011</v>
      </c>
      <c r="E4664" s="12" t="str">
        <f>HYPERLINK("https://twitter.com/KureciEmirhan/status/1181866612401545216","1181866612401545216")</f>
        <v>1181866612401545216</v>
      </c>
      <c r="F4664" s="8"/>
      <c r="G4664" s="14" t="s">
        <v>23012</v>
      </c>
      <c r="H4664" s="8"/>
      <c r="I4664" s="15">
        <v>0</v>
      </c>
      <c r="J4664" s="15">
        <v>0</v>
      </c>
      <c r="K4664" s="12" t="str">
        <f>HYPERLINK("http://twitter.com/download/iphone","Twitter for iPhone")</f>
        <v>Twitter for iPhone</v>
      </c>
      <c r="L4664" s="16">
        <v>21</v>
      </c>
      <c r="M4664" s="16">
        <v>26</v>
      </c>
      <c r="N4664" s="16">
        <v>0</v>
      </c>
      <c r="O4664" s="17"/>
      <c r="P4664" s="18">
        <v>43353.31653935185</v>
      </c>
      <c r="Q4664" s="7" t="s">
        <v>23013</v>
      </c>
      <c r="R4664" s="7"/>
      <c r="S4664" s="8"/>
      <c r="T4664" s="8"/>
      <c r="U4664" s="19" t="str">
        <f>HYPERLINK("https://pbs.twimg.com/profile_images/1158687257693437952/Tos6ZsIW.jpg","View")</f>
        <v>View</v>
      </c>
      <c r="V4664" s="8"/>
      <c r="W4664" s="8"/>
      <c r="X4664" s="8"/>
      <c r="Y4664" s="8"/>
      <c r="Z4664" s="8"/>
    </row>
    <row r="4665" spans="1:26" ht="12.75">
      <c r="A4665" s="11">
        <v>43747.110289351855</v>
      </c>
      <c r="B4665" s="12" t="str">
        <f>HYPERLINK("https://twitter.com/Bcrmehmet1","@Bcrmehmet1")</f>
        <v>@Bcrmehmet1</v>
      </c>
      <c r="C4665" s="7" t="s">
        <v>23014</v>
      </c>
      <c r="D4665" s="7" t="s">
        <v>16411</v>
      </c>
      <c r="E4665" s="12" t="str">
        <f>HYPERLINK("https://twitter.com/Bcrmehmet1/status/1181866599273369600","1181866599273369600")</f>
        <v>1181866599273369600</v>
      </c>
      <c r="F4665" s="8"/>
      <c r="G4665" s="14" t="s">
        <v>23015</v>
      </c>
      <c r="H4665" s="8"/>
      <c r="I4665" s="15">
        <v>0</v>
      </c>
      <c r="J4665" s="15">
        <v>3</v>
      </c>
      <c r="K4665" s="12" t="str">
        <f>HYPERLINK("http://twitter.com/download/iphone","Twitter for iPhone")</f>
        <v>Twitter for iPhone</v>
      </c>
      <c r="L4665" s="16">
        <v>1218</v>
      </c>
      <c r="M4665" s="16">
        <v>1953</v>
      </c>
      <c r="N4665" s="16">
        <v>0</v>
      </c>
      <c r="O4665" s="17"/>
      <c r="P4665" s="18">
        <v>43319.712812500002</v>
      </c>
      <c r="Q4665" s="8" t="s">
        <v>11017</v>
      </c>
      <c r="R4665" s="7" t="s">
        <v>23016</v>
      </c>
      <c r="S4665" s="8"/>
      <c r="T4665" s="8"/>
      <c r="U4665" s="19" t="str">
        <f>HYPERLINK("https://pbs.twimg.com/profile_images/1127690912174346242/MH92yOPm.jpg","View")</f>
        <v>View</v>
      </c>
      <c r="V4665" s="8"/>
      <c r="W4665" s="8"/>
      <c r="X4665" s="8"/>
      <c r="Y4665" s="8"/>
      <c r="Z4665" s="8"/>
    </row>
    <row r="4666" spans="1:26" ht="12.75">
      <c r="A4666" s="11">
        <v>43747.110196759255</v>
      </c>
      <c r="B4666" s="12" t="str">
        <f>HYPERLINK("https://twitter.com/naile_pelit","@naile_pelit")</f>
        <v>@naile_pelit</v>
      </c>
      <c r="C4666" s="7" t="s">
        <v>23017</v>
      </c>
      <c r="D4666" s="7" t="s">
        <v>23018</v>
      </c>
      <c r="E4666" s="12" t="str">
        <f>HYPERLINK("https://twitter.com/naile_pelit/status/1181866564854976512","1181866564854976512")</f>
        <v>1181866564854976512</v>
      </c>
      <c r="F4666" s="8"/>
      <c r="G4666" s="14" t="s">
        <v>23019</v>
      </c>
      <c r="H4666" s="8"/>
      <c r="I4666" s="15">
        <v>0</v>
      </c>
      <c r="J4666" s="15">
        <v>0</v>
      </c>
      <c r="K4666" s="12" t="str">
        <f>HYPERLINK("http://twitter.com","Twitter Web Client")</f>
        <v>Twitter Web Client</v>
      </c>
      <c r="L4666" s="16">
        <v>13</v>
      </c>
      <c r="M4666" s="16">
        <v>0</v>
      </c>
      <c r="N4666" s="16">
        <v>0</v>
      </c>
      <c r="O4666" s="17"/>
      <c r="P4666" s="18">
        <v>43683.837442129632</v>
      </c>
      <c r="Q4666" s="7" t="s">
        <v>7005</v>
      </c>
      <c r="R4666" s="7" t="s">
        <v>23020</v>
      </c>
      <c r="S4666" s="15"/>
      <c r="T4666" s="8"/>
      <c r="U4666" s="19" t="str">
        <f>HYPERLINK("https://pbs.twimg.com/profile_images/1167219662666588161/M0OjYnRt.jpg","View")</f>
        <v>View</v>
      </c>
      <c r="V4666" s="8"/>
      <c r="W4666" s="8"/>
      <c r="X4666" s="8"/>
      <c r="Y4666" s="8"/>
      <c r="Z4666" s="8"/>
    </row>
    <row r="4667" spans="1:26" ht="12.75">
      <c r="A4667" s="11">
        <v>43747.110173611116</v>
      </c>
      <c r="B4667" s="12" t="str">
        <f>HYPERLINK("https://twitter.com/osman_urll","@osman_urll")</f>
        <v>@osman_urll</v>
      </c>
      <c r="C4667" s="7" t="s">
        <v>23021</v>
      </c>
      <c r="D4667" s="7" t="s">
        <v>20786</v>
      </c>
      <c r="E4667" s="12" t="str">
        <f>HYPERLINK("https://twitter.com/osman_urll/status/1181866557040988160","1181866557040988160")</f>
        <v>1181866557040988160</v>
      </c>
      <c r="F4667" s="15"/>
      <c r="G4667" s="14" t="s">
        <v>23022</v>
      </c>
      <c r="H4667" s="8"/>
      <c r="I4667" s="15">
        <v>0</v>
      </c>
      <c r="J4667" s="15">
        <v>0</v>
      </c>
      <c r="K4667" s="12" t="str">
        <f>HYPERLINK("http://twitter.com/download/android","Twitter for Android")</f>
        <v>Twitter for Android</v>
      </c>
      <c r="L4667" s="16">
        <v>131</v>
      </c>
      <c r="M4667" s="16">
        <v>45</v>
      </c>
      <c r="N4667" s="16">
        <v>0</v>
      </c>
      <c r="O4667" s="17"/>
      <c r="P4667" s="18">
        <v>42980.352476851855</v>
      </c>
      <c r="Q4667" s="7" t="s">
        <v>23023</v>
      </c>
      <c r="R4667" s="7" t="s">
        <v>23024</v>
      </c>
      <c r="S4667" s="8"/>
      <c r="T4667" s="8"/>
      <c r="U4667" s="19" t="str">
        <f>HYPERLINK("https://pbs.twimg.com/profile_images/1050337414219255808/DKG7cnk_.jpg","View")</f>
        <v>View</v>
      </c>
      <c r="V4667" s="8"/>
      <c r="W4667" s="8"/>
      <c r="X4667" s="8"/>
      <c r="Y4667" s="8"/>
      <c r="Z4667" s="8"/>
    </row>
    <row r="4668" spans="1:26" ht="12.75">
      <c r="A4668" s="11">
        <v>43747.110162037032</v>
      </c>
      <c r="B4668" s="12" t="str">
        <f>HYPERLINK("https://twitter.com/HalilKync0","@HalilKync0")</f>
        <v>@HalilKync0</v>
      </c>
      <c r="C4668" s="7" t="s">
        <v>23025</v>
      </c>
      <c r="D4668" s="7" t="s">
        <v>23026</v>
      </c>
      <c r="E4668" s="12" t="str">
        <f>HYPERLINK("https://twitter.com/HalilKync0/status/1181866552490184704","1181866552490184704")</f>
        <v>1181866552490184704</v>
      </c>
      <c r="F4668" s="8"/>
      <c r="G4668" s="14" t="s">
        <v>23027</v>
      </c>
      <c r="H4668" s="8"/>
      <c r="I4668" s="15">
        <v>0</v>
      </c>
      <c r="J4668" s="15">
        <v>1</v>
      </c>
      <c r="K4668" s="12" t="str">
        <f>HYPERLINK("http://twitter.com/download/android","Twitter for Android")</f>
        <v>Twitter for Android</v>
      </c>
      <c r="L4668" s="16">
        <v>1</v>
      </c>
      <c r="M4668" s="16">
        <v>4</v>
      </c>
      <c r="N4668" s="16">
        <v>0</v>
      </c>
      <c r="O4668" s="17"/>
      <c r="P4668" s="18">
        <v>43664.047164351854</v>
      </c>
      <c r="Q4668" s="8"/>
      <c r="R4668" s="7" t="s">
        <v>23028</v>
      </c>
      <c r="S4668" s="8"/>
      <c r="T4668" s="8"/>
      <c r="U4668" s="19" t="str">
        <f>HYPERLINK("https://pbs.twimg.com/profile_images/1181864987813437440/WbNbj6ft.jpg","View")</f>
        <v>View</v>
      </c>
      <c r="V4668" s="8"/>
      <c r="W4668" s="8"/>
      <c r="X4668" s="8"/>
      <c r="Y4668" s="8"/>
      <c r="Z4668" s="8"/>
    </row>
    <row r="4669" spans="1:26" ht="12.75">
      <c r="A4669" s="11">
        <v>43747.110162037032</v>
      </c>
      <c r="B4669" s="12" t="str">
        <f>HYPERLINK("https://twitter.com/PaEvet","@PaEvet")</f>
        <v>@PaEvet</v>
      </c>
      <c r="C4669" s="7" t="s">
        <v>23029</v>
      </c>
      <c r="D4669" s="7" t="s">
        <v>23030</v>
      </c>
      <c r="E4669" s="12" t="str">
        <f>HYPERLINK("https://twitter.com/PaEvet/status/1181866551022100480","1181866551022100480")</f>
        <v>1181866551022100480</v>
      </c>
      <c r="F4669" s="8"/>
      <c r="G4669" s="14" t="s">
        <v>23031</v>
      </c>
      <c r="H4669" s="8"/>
      <c r="I4669" s="15">
        <v>0</v>
      </c>
      <c r="J4669" s="15">
        <v>2</v>
      </c>
      <c r="K4669" s="12" t="str">
        <f>HYPERLINK("http://twitter.com/download/android","Twitter for Android")</f>
        <v>Twitter for Android</v>
      </c>
      <c r="L4669" s="16">
        <v>201</v>
      </c>
      <c r="M4669" s="16">
        <v>173</v>
      </c>
      <c r="N4669" s="16">
        <v>1</v>
      </c>
      <c r="O4669" s="17"/>
      <c r="P4669" s="18">
        <v>43163.068101851852</v>
      </c>
      <c r="Q4669" s="7" t="s">
        <v>313</v>
      </c>
      <c r="R4669" s="7"/>
      <c r="S4669" s="8"/>
      <c r="T4669" s="8"/>
      <c r="U4669" s="19" t="str">
        <f>HYPERLINK("https://pbs.twimg.com/profile_images/1171420023585460224/O81IzanB.jpg","View")</f>
        <v>View</v>
      </c>
      <c r="V4669" s="8"/>
      <c r="W4669" s="8"/>
      <c r="X4669" s="8"/>
      <c r="Y4669" s="8"/>
      <c r="Z4669" s="8"/>
    </row>
    <row r="4670" spans="1:26" ht="12.75">
      <c r="A4670" s="11">
        <v>43747.110138888893</v>
      </c>
      <c r="B4670" s="12" t="str">
        <f>HYPERLINK("https://twitter.com/GizliOperasyon7","@GizliOperasyon7")</f>
        <v>@GizliOperasyon7</v>
      </c>
      <c r="C4670" s="7" t="s">
        <v>23032</v>
      </c>
      <c r="D4670" s="7" t="s">
        <v>23033</v>
      </c>
      <c r="E4670" s="12" t="str">
        <f>HYPERLINK("https://twitter.com/GizliOperasyon7/status/1181866542268592128","1181866542268592128")</f>
        <v>1181866542268592128</v>
      </c>
      <c r="F4670" s="8"/>
      <c r="G4670" s="15"/>
      <c r="H4670" s="8"/>
      <c r="I4670" s="15">
        <v>21</v>
      </c>
      <c r="J4670" s="15">
        <v>69</v>
      </c>
      <c r="K4670" s="12" t="str">
        <f>HYPERLINK("http://twitter.com/download/iphone","Twitter for iPhone")</f>
        <v>Twitter for iPhone</v>
      </c>
      <c r="L4670" s="16">
        <v>27803</v>
      </c>
      <c r="M4670" s="16">
        <v>26</v>
      </c>
      <c r="N4670" s="16">
        <v>77</v>
      </c>
      <c r="O4670" s="17"/>
      <c r="P4670" s="18">
        <v>42650.33388888889</v>
      </c>
      <c r="Q4670" s="8" t="s">
        <v>576</v>
      </c>
      <c r="R4670" s="7" t="s">
        <v>23034</v>
      </c>
      <c r="S4670" s="8"/>
      <c r="T4670" s="8"/>
      <c r="U4670" s="19" t="str">
        <f>HYPERLINK("https://pbs.twimg.com/profile_images/823910122925817857/j-ix1X-2.jpg","View")</f>
        <v>View</v>
      </c>
      <c r="V4670" s="8"/>
      <c r="W4670" s="8"/>
      <c r="X4670" s="8"/>
      <c r="Y4670" s="8"/>
      <c r="Z4670" s="8"/>
    </row>
    <row r="4671" spans="1:26" ht="12.75">
      <c r="A4671" s="11">
        <v>43747.110138888893</v>
      </c>
      <c r="B4671" s="12" t="str">
        <f>HYPERLINK("https://twitter.com/mkosemek","@mkosemek")</f>
        <v>@mkosemek</v>
      </c>
      <c r="C4671" s="7" t="s">
        <v>23035</v>
      </c>
      <c r="D4671" s="7" t="s">
        <v>14086</v>
      </c>
      <c r="E4671" s="12" t="str">
        <f>HYPERLINK("https://twitter.com/mkosemek/status/1181866540913827840","1181866540913827840")</f>
        <v>1181866540913827840</v>
      </c>
      <c r="F4671" s="8"/>
      <c r="G4671" s="15"/>
      <c r="H4671" s="8"/>
      <c r="I4671" s="15">
        <v>0</v>
      </c>
      <c r="J4671" s="15">
        <v>2</v>
      </c>
      <c r="K4671" s="12" t="str">
        <f>HYPERLINK("https://mobile.twitter.com","Twitter Web App")</f>
        <v>Twitter Web App</v>
      </c>
      <c r="L4671" s="16">
        <v>1518</v>
      </c>
      <c r="M4671" s="16">
        <v>2018</v>
      </c>
      <c r="N4671" s="16">
        <v>1</v>
      </c>
      <c r="O4671" s="17"/>
      <c r="P4671" s="18">
        <v>40781.196701388893</v>
      </c>
      <c r="Q4671" s="8" t="s">
        <v>23036</v>
      </c>
      <c r="R4671" s="8" t="s">
        <v>23037</v>
      </c>
      <c r="S4671" s="8"/>
      <c r="T4671" s="8"/>
      <c r="U4671" s="19" t="str">
        <f>HYPERLINK("https://pbs.twimg.com/profile_images/491762086855598080/Ps5KlOGz.jpeg","View")</f>
        <v>View</v>
      </c>
      <c r="V4671" s="8"/>
      <c r="W4671" s="8"/>
      <c r="X4671" s="8"/>
      <c r="Y4671" s="8"/>
      <c r="Z4671" s="8"/>
    </row>
    <row r="4672" spans="1:26" ht="12.75">
      <c r="A4672" s="11">
        <v>43747.110127314816</v>
      </c>
      <c r="B4672" s="12" t="str">
        <f>HYPERLINK("https://twitter.com/gulhan2323","@gulhan2323")</f>
        <v>@gulhan2323</v>
      </c>
      <c r="C4672" s="7" t="s">
        <v>23038</v>
      </c>
      <c r="D4672" s="7" t="s">
        <v>23039</v>
      </c>
      <c r="E4672" s="12" t="str">
        <f>HYPERLINK("https://twitter.com/gulhan2323/status/1181866537868771328","1181866537868771328")</f>
        <v>1181866537868771328</v>
      </c>
      <c r="F4672" s="8"/>
      <c r="G4672" s="15"/>
      <c r="H4672" s="8"/>
      <c r="I4672" s="15">
        <v>0</v>
      </c>
      <c r="J4672" s="15">
        <v>0</v>
      </c>
      <c r="K4672" s="12" t="str">
        <f>HYPERLINK("http://twitter.com/download/iphone","Twitter for iPhone")</f>
        <v>Twitter for iPhone</v>
      </c>
      <c r="L4672" s="16">
        <v>41</v>
      </c>
      <c r="M4672" s="16">
        <v>64</v>
      </c>
      <c r="N4672" s="16">
        <v>0</v>
      </c>
      <c r="O4672" s="17"/>
      <c r="P4672" s="18">
        <v>42187.741631944446</v>
      </c>
      <c r="Q4672" s="8"/>
      <c r="R4672" s="7"/>
      <c r="S4672" s="8"/>
      <c r="T4672" s="8"/>
      <c r="U4672" s="19" t="str">
        <f>HYPERLINK("https://pbs.twimg.com/profile_images/1142844387120025601/4IgJax0c.jpg","View")</f>
        <v>View</v>
      </c>
      <c r="V4672" s="8"/>
      <c r="W4672" s="8"/>
      <c r="X4672" s="8"/>
      <c r="Y4672" s="8"/>
      <c r="Z4672" s="8"/>
    </row>
    <row r="4673" spans="1:26" ht="12.75">
      <c r="A4673" s="11">
        <v>43747.110115740739</v>
      </c>
      <c r="B4673" s="12" t="str">
        <f>HYPERLINK("https://twitter.com/TRGovsu","@TRGovsu")</f>
        <v>@TRGovsu</v>
      </c>
      <c r="C4673" s="7" t="s">
        <v>23040</v>
      </c>
      <c r="D4673" s="7" t="s">
        <v>23041</v>
      </c>
      <c r="E4673" s="12" t="str">
        <f>HYPERLINK("https://twitter.com/TRGovsu/status/1181866534597267456","1181866534597267456")</f>
        <v>1181866534597267456</v>
      </c>
      <c r="F4673" s="8"/>
      <c r="G4673" s="14" t="s">
        <v>23042</v>
      </c>
      <c r="H4673" s="8"/>
      <c r="I4673" s="15">
        <v>0</v>
      </c>
      <c r="J4673" s="15">
        <v>0</v>
      </c>
      <c r="K4673" s="12" t="str">
        <f>HYPERLINK("http://twitter.com/download/android","Twitter for Android")</f>
        <v>Twitter for Android</v>
      </c>
      <c r="L4673" s="16">
        <v>116</v>
      </c>
      <c r="M4673" s="16">
        <v>518</v>
      </c>
      <c r="N4673" s="16">
        <v>1</v>
      </c>
      <c r="O4673" s="17"/>
      <c r="P4673" s="18">
        <v>40723.194687499999</v>
      </c>
      <c r="Q4673" s="8"/>
      <c r="R4673" s="7" t="s">
        <v>23043</v>
      </c>
      <c r="S4673" s="8"/>
      <c r="T4673" s="8"/>
      <c r="U4673" s="19" t="str">
        <f>HYPERLINK("https://pbs.twimg.com/profile_images/1083854866907312128/mw268u9p.jpg","View")</f>
        <v>View</v>
      </c>
      <c r="V4673" s="8"/>
      <c r="W4673" s="8"/>
      <c r="X4673" s="8"/>
      <c r="Y4673" s="8"/>
      <c r="Z4673" s="8"/>
    </row>
    <row r="4674" spans="1:26" ht="12.75">
      <c r="A4674" s="11">
        <v>43747.110092592593</v>
      </c>
      <c r="B4674" s="12" t="str">
        <f>HYPERLINK("https://twitter.com/fxfinans","@fxfinans")</f>
        <v>@fxfinans</v>
      </c>
      <c r="C4674" s="7" t="s">
        <v>23044</v>
      </c>
      <c r="D4674" s="7" t="s">
        <v>23045</v>
      </c>
      <c r="E4674" s="12" t="str">
        <f>HYPERLINK("https://twitter.com/fxfinans/status/1181866526015737857","1181866526015737857")</f>
        <v>1181866526015737857</v>
      </c>
      <c r="F4674" s="8"/>
      <c r="G4674" s="15"/>
      <c r="H4674" s="8"/>
      <c r="I4674" s="15">
        <v>0</v>
      </c>
      <c r="J4674" s="15">
        <v>1</v>
      </c>
      <c r="K4674" s="12" t="str">
        <f>HYPERLINK("http://twitter.com/download/android","Twitter for Android")</f>
        <v>Twitter for Android</v>
      </c>
      <c r="L4674" s="16">
        <v>1093</v>
      </c>
      <c r="M4674" s="16">
        <v>172</v>
      </c>
      <c r="N4674" s="16">
        <v>11</v>
      </c>
      <c r="O4674" s="17"/>
      <c r="P4674" s="18">
        <v>41032.51153935185</v>
      </c>
      <c r="Q4674" s="7" t="s">
        <v>23046</v>
      </c>
      <c r="R4674" s="8" t="s">
        <v>23047</v>
      </c>
      <c r="S4674" s="8"/>
      <c r="T4674" s="8"/>
      <c r="U4674" s="19" t="str">
        <f>HYPERLINK("https://pbs.twimg.com/profile_images/1130926631588126720/WBzyL0r3.jpg","View")</f>
        <v>View</v>
      </c>
      <c r="V4674" s="8"/>
      <c r="W4674" s="8"/>
      <c r="X4674" s="8"/>
      <c r="Y4674" s="8"/>
      <c r="Z4674" s="8"/>
    </row>
    <row r="4675" spans="1:26" ht="12.75">
      <c r="A4675" s="11">
        <v>43747.110081018516</v>
      </c>
      <c r="B4675" s="12" t="str">
        <f>HYPERLINK("https://twitter.com/guleryuz_irem","@guleryuz_irem")</f>
        <v>@guleryuz_irem</v>
      </c>
      <c r="C4675" s="7" t="s">
        <v>23048</v>
      </c>
      <c r="D4675" s="7" t="s">
        <v>23049</v>
      </c>
      <c r="E4675" s="12" t="str">
        <f>HYPERLINK("https://twitter.com/guleryuz_irem/status/1181866523599806470","1181866523599806470")</f>
        <v>1181866523599806470</v>
      </c>
      <c r="F4675" s="14" t="s">
        <v>18763</v>
      </c>
      <c r="G4675" s="7"/>
      <c r="H4675" s="8"/>
      <c r="I4675" s="15">
        <v>0</v>
      </c>
      <c r="J4675" s="15">
        <v>2</v>
      </c>
      <c r="K4675" s="12" t="str">
        <f>HYPERLINK("http://twitter.com/download/iphone","Twitter for iPhone")</f>
        <v>Twitter for iPhone</v>
      </c>
      <c r="L4675" s="16">
        <v>1401</v>
      </c>
      <c r="M4675" s="16">
        <v>1530</v>
      </c>
      <c r="N4675" s="16">
        <v>0</v>
      </c>
      <c r="O4675" s="17"/>
      <c r="P4675" s="18">
        <v>43420.733831018515</v>
      </c>
      <c r="Q4675" s="7" t="s">
        <v>313</v>
      </c>
      <c r="R4675" s="7" t="s">
        <v>23050</v>
      </c>
      <c r="S4675" s="8"/>
      <c r="T4675" s="8"/>
      <c r="U4675" s="19" t="str">
        <f>HYPERLINK("https://pbs.twimg.com/profile_images/1064680540345901056/1zRV9r-g.jpg","View")</f>
        <v>View</v>
      </c>
      <c r="V4675" s="8"/>
      <c r="W4675" s="8"/>
      <c r="X4675" s="8"/>
      <c r="Y4675" s="8"/>
      <c r="Z4675" s="8"/>
    </row>
    <row r="4676" spans="1:26" ht="12.75">
      <c r="A4676" s="11">
        <v>43747.109988425931</v>
      </c>
      <c r="B4676" s="12" t="str">
        <f>HYPERLINK("https://twitter.com/mylisa74356679","@mylisa74356679")</f>
        <v>@mylisa74356679</v>
      </c>
      <c r="C4676" s="7" t="s">
        <v>23051</v>
      </c>
      <c r="D4676" s="7" t="s">
        <v>23052</v>
      </c>
      <c r="E4676" s="12" t="str">
        <f>HYPERLINK("https://twitter.com/mylisa74356679/status/1181866488216641536","1181866488216641536")</f>
        <v>1181866488216641536</v>
      </c>
      <c r="F4676" s="8"/>
      <c r="G4676" s="14" t="s">
        <v>23053</v>
      </c>
      <c r="H4676" s="8"/>
      <c r="I4676" s="15">
        <v>0</v>
      </c>
      <c r="J4676" s="15">
        <v>7</v>
      </c>
      <c r="K4676" s="12" t="str">
        <f>HYPERLINK("https://mobile.twitter.com","Twitter Web App")</f>
        <v>Twitter Web App</v>
      </c>
      <c r="L4676" s="16">
        <v>0</v>
      </c>
      <c r="M4676" s="16">
        <v>12</v>
      </c>
      <c r="N4676" s="16">
        <v>0</v>
      </c>
      <c r="O4676" s="17"/>
      <c r="P4676" s="18">
        <v>43668.258240740739</v>
      </c>
      <c r="Q4676" s="7"/>
      <c r="R4676" s="7"/>
      <c r="S4676" s="8"/>
      <c r="T4676" s="8"/>
      <c r="U4676" s="20" t="s">
        <v>354</v>
      </c>
      <c r="V4676" s="8"/>
      <c r="W4676" s="8"/>
      <c r="X4676" s="8"/>
      <c r="Y4676" s="8"/>
      <c r="Z4676" s="8"/>
    </row>
    <row r="4677" spans="1:26" ht="12.75">
      <c r="A4677" s="11">
        <v>43747.109965277778</v>
      </c>
      <c r="B4677" s="12" t="str">
        <f>HYPERLINK("https://twitter.com/emre6ull61","@emre6ull61")</f>
        <v>@emre6ull61</v>
      </c>
      <c r="C4677" s="7" t="s">
        <v>23054</v>
      </c>
      <c r="D4677" s="7" t="s">
        <v>14166</v>
      </c>
      <c r="E4677" s="12" t="str">
        <f>HYPERLINK("https://twitter.com/emre6ull61/status/1181866480268464128","1181866480268464128")</f>
        <v>1181866480268464128</v>
      </c>
      <c r="F4677" s="8"/>
      <c r="G4677" s="14" t="s">
        <v>23055</v>
      </c>
      <c r="H4677" s="8"/>
      <c r="I4677" s="15">
        <v>1</v>
      </c>
      <c r="J4677" s="15">
        <v>1</v>
      </c>
      <c r="K4677" s="12" t="str">
        <f>HYPERLINK("http://twitter.com/download/iphone","Twitter for iPhone")</f>
        <v>Twitter for iPhone</v>
      </c>
      <c r="L4677" s="16">
        <v>111</v>
      </c>
      <c r="M4677" s="16">
        <v>64</v>
      </c>
      <c r="N4677" s="16">
        <v>0</v>
      </c>
      <c r="O4677" s="17"/>
      <c r="P4677" s="18">
        <v>42036.582372685181</v>
      </c>
      <c r="Q4677" s="8"/>
      <c r="R4677" s="7" t="s">
        <v>23056</v>
      </c>
      <c r="S4677" s="8"/>
      <c r="T4677" s="8"/>
      <c r="U4677" s="19" t="str">
        <f>HYPERLINK("https://pbs.twimg.com/profile_images/1168520869536260096/0hnPzofw.jpg","View")</f>
        <v>View</v>
      </c>
      <c r="V4677" s="8"/>
      <c r="W4677" s="8"/>
      <c r="X4677" s="8"/>
      <c r="Y4677" s="8"/>
      <c r="Z4677" s="8"/>
    </row>
    <row r="4678" spans="1:26" ht="12.75">
      <c r="A4678" s="11">
        <v>43747.109965277778</v>
      </c>
      <c r="B4678" s="12" t="str">
        <f>HYPERLINK("https://twitter.com/AnlKlcc","@AnlKlcc")</f>
        <v>@AnlKlcc</v>
      </c>
      <c r="C4678" s="7" t="s">
        <v>23057</v>
      </c>
      <c r="D4678" s="7" t="s">
        <v>23058</v>
      </c>
      <c r="E4678" s="12" t="str">
        <f>HYPERLINK("https://twitter.com/AnlKlcc/status/1181866479601487872","1181866479601487872")</f>
        <v>1181866479601487872</v>
      </c>
      <c r="F4678" s="14" t="s">
        <v>16531</v>
      </c>
      <c r="G4678" s="14" t="s">
        <v>14430</v>
      </c>
      <c r="H4678" s="8"/>
      <c r="I4678" s="15">
        <v>0</v>
      </c>
      <c r="J4678" s="15">
        <v>3</v>
      </c>
      <c r="K4678" s="12" t="str">
        <f>HYPERLINK("http://twitter.com/download/iphone","Twitter for iPhone")</f>
        <v>Twitter for iPhone</v>
      </c>
      <c r="L4678" s="16">
        <v>558</v>
      </c>
      <c r="M4678" s="16">
        <v>557</v>
      </c>
      <c r="N4678" s="16">
        <v>0</v>
      </c>
      <c r="O4678" s="17"/>
      <c r="P4678" s="18">
        <v>40925.31621527778</v>
      </c>
      <c r="Q4678" s="7" t="s">
        <v>918</v>
      </c>
      <c r="R4678" s="7" t="s">
        <v>23059</v>
      </c>
      <c r="S4678" s="14" t="s">
        <v>23060</v>
      </c>
      <c r="T4678" s="8"/>
      <c r="U4678" s="19" t="str">
        <f>HYPERLINK("https://pbs.twimg.com/profile_images/1169593935926136832/d_b4tzov.jpg","View")</f>
        <v>View</v>
      </c>
      <c r="V4678" s="8"/>
      <c r="W4678" s="8"/>
      <c r="X4678" s="8"/>
      <c r="Y4678" s="8"/>
      <c r="Z4678" s="8"/>
    </row>
    <row r="4679" spans="1:26" ht="12.75">
      <c r="A4679" s="11">
        <v>43747.109918981485</v>
      </c>
      <c r="B4679" s="12" t="str">
        <f>HYPERLINK("https://twitter.com/AmaniKomuryakan","@AmaniKomuryakan")</f>
        <v>@AmaniKomuryakan</v>
      </c>
      <c r="C4679" s="13" t="s">
        <v>23061</v>
      </c>
      <c r="D4679" s="7" t="s">
        <v>18426</v>
      </c>
      <c r="E4679" s="12" t="str">
        <f>HYPERLINK("https://twitter.com/AmaniKomuryakan/status/1181866464451670017","1181866464451670017")</f>
        <v>1181866464451670017</v>
      </c>
      <c r="F4679" s="15"/>
      <c r="G4679" s="7"/>
      <c r="H4679" s="8"/>
      <c r="I4679" s="15">
        <v>0</v>
      </c>
      <c r="J4679" s="15">
        <v>0</v>
      </c>
      <c r="K4679" s="12" t="str">
        <f>HYPERLINK("http://twitter.com","Twitter Web Client")</f>
        <v>Twitter Web Client</v>
      </c>
      <c r="L4679" s="16">
        <v>5</v>
      </c>
      <c r="M4679" s="16">
        <v>0</v>
      </c>
      <c r="N4679" s="16">
        <v>0</v>
      </c>
      <c r="O4679" s="17"/>
      <c r="P4679" s="18">
        <v>43704.499895833331</v>
      </c>
      <c r="Q4679" s="8" t="s">
        <v>498</v>
      </c>
      <c r="R4679" s="13" t="s">
        <v>23062</v>
      </c>
      <c r="S4679" s="8"/>
      <c r="T4679" s="8"/>
      <c r="U4679" s="19" t="str">
        <f>HYPERLINK("https://pbs.twimg.com/profile_images/1167224181186019334/Z7PAAuFb.jpg","View")</f>
        <v>View</v>
      </c>
      <c r="V4679" s="8"/>
      <c r="W4679" s="8"/>
      <c r="X4679" s="8"/>
      <c r="Y4679" s="8"/>
      <c r="Z4679" s="8"/>
    </row>
    <row r="4680" spans="1:26" ht="12.75">
      <c r="A4680" s="11">
        <v>43747.109918981485</v>
      </c>
      <c r="B4680" s="12" t="str">
        <f>HYPERLINK("https://twitter.com/eygtolr","@eygtolr")</f>
        <v>@eygtolr</v>
      </c>
      <c r="C4680" s="7" t="s">
        <v>23063</v>
      </c>
      <c r="D4680" s="7" t="s">
        <v>23064</v>
      </c>
      <c r="E4680" s="12" t="str">
        <f>HYPERLINK("https://twitter.com/eygtolr/status/1181866461897351174","1181866461897351174")</f>
        <v>1181866461897351174</v>
      </c>
      <c r="F4680" s="8"/>
      <c r="G4680" s="7"/>
      <c r="H4680" s="8"/>
      <c r="I4680" s="15">
        <v>0</v>
      </c>
      <c r="J4680" s="15">
        <v>1</v>
      </c>
      <c r="K4680" s="12" t="str">
        <f>HYPERLINK("http://twitter.com/download/android","Twitter for Android")</f>
        <v>Twitter for Android</v>
      </c>
      <c r="L4680" s="16">
        <v>207</v>
      </c>
      <c r="M4680" s="16">
        <v>97</v>
      </c>
      <c r="N4680" s="16">
        <v>0</v>
      </c>
      <c r="O4680" s="17"/>
      <c r="P4680" s="18">
        <v>43407.659375000003</v>
      </c>
      <c r="Q4680" s="8" t="s">
        <v>80</v>
      </c>
      <c r="R4680" s="7" t="s">
        <v>23065</v>
      </c>
      <c r="S4680" s="8"/>
      <c r="T4680" s="8"/>
      <c r="U4680" s="19" t="str">
        <f>HYPERLINK("https://pbs.twimg.com/profile_images/1171176384024252416/Iv4yVKQ9.jpg","View")</f>
        <v>View</v>
      </c>
      <c r="V4680" s="8"/>
      <c r="W4680" s="8"/>
      <c r="X4680" s="8"/>
      <c r="Y4680" s="8"/>
      <c r="Z4680" s="8"/>
    </row>
    <row r="4681" spans="1:26" ht="12.75">
      <c r="A4681" s="11">
        <v>43747.109907407408</v>
      </c>
      <c r="B4681" s="12" t="str">
        <f>HYPERLINK("https://twitter.com/baha_tekin","@baha_tekin")</f>
        <v>@baha_tekin</v>
      </c>
      <c r="C4681" s="7" t="s">
        <v>23066</v>
      </c>
      <c r="D4681" s="7" t="s">
        <v>23067</v>
      </c>
      <c r="E4681" s="12" t="str">
        <f>HYPERLINK("https://twitter.com/baha_tekin/status/1181866460836184064","1181866460836184064")</f>
        <v>1181866460836184064</v>
      </c>
      <c r="F4681" s="8"/>
      <c r="G4681" s="7"/>
      <c r="H4681" s="8"/>
      <c r="I4681" s="15">
        <v>1</v>
      </c>
      <c r="J4681" s="15">
        <v>5</v>
      </c>
      <c r="K4681" s="12" t="str">
        <f>HYPERLINK("http://twitter.com/download/android","Twitter for Android")</f>
        <v>Twitter for Android</v>
      </c>
      <c r="L4681" s="16">
        <v>12244</v>
      </c>
      <c r="M4681" s="16">
        <v>11679</v>
      </c>
      <c r="N4681" s="16">
        <v>12</v>
      </c>
      <c r="O4681" s="17"/>
      <c r="P4681" s="18">
        <v>41419.2894212963</v>
      </c>
      <c r="Q4681" s="7"/>
      <c r="R4681" s="15" t="s">
        <v>23068</v>
      </c>
      <c r="S4681" s="14" t="s">
        <v>23069</v>
      </c>
      <c r="T4681" s="8"/>
      <c r="U4681" s="19" t="str">
        <f>HYPERLINK("https://pbs.twimg.com/profile_images/998693274930987009/j0lOzOKR.jpg","View")</f>
        <v>View</v>
      </c>
      <c r="V4681" s="8"/>
      <c r="W4681" s="8"/>
      <c r="X4681" s="8"/>
      <c r="Y4681" s="8"/>
      <c r="Z4681" s="8"/>
    </row>
    <row r="4682" spans="1:26" ht="12.75">
      <c r="A4682" s="11">
        <v>43747.109895833331</v>
      </c>
      <c r="B4682" s="12" t="str">
        <f>HYPERLINK("https://twitter.com/serdarsoylu1907","@serdarsoylu1907")</f>
        <v>@serdarsoylu1907</v>
      </c>
      <c r="C4682" s="7" t="s">
        <v>23070</v>
      </c>
      <c r="D4682" s="7" t="s">
        <v>23071</v>
      </c>
      <c r="E4682" s="12" t="str">
        <f>HYPERLINK("https://twitter.com/serdarsoylu1907/status/1181866454234419202","1181866454234419202")</f>
        <v>1181866454234419202</v>
      </c>
      <c r="F4682" s="8"/>
      <c r="G4682" s="7"/>
      <c r="H4682" s="8"/>
      <c r="I4682" s="15">
        <v>0</v>
      </c>
      <c r="J4682" s="15">
        <v>0</v>
      </c>
      <c r="K4682" s="12" t="str">
        <f>HYPERLINK("http://twitter.com/download/android","Twitter for Android")</f>
        <v>Twitter for Android</v>
      </c>
      <c r="L4682" s="16">
        <v>155</v>
      </c>
      <c r="M4682" s="16">
        <v>136</v>
      </c>
      <c r="N4682" s="16">
        <v>0</v>
      </c>
      <c r="O4682" s="17"/>
      <c r="P4682" s="18">
        <v>40819.989884259259</v>
      </c>
      <c r="Q4682" s="8" t="s">
        <v>287</v>
      </c>
      <c r="R4682" s="7" t="s">
        <v>14403</v>
      </c>
      <c r="S4682" s="8"/>
      <c r="T4682" s="8"/>
      <c r="U4682" s="19" t="str">
        <f>HYPERLINK("https://pbs.twimg.com/profile_images/1003296375730327552/G9evKvPv.jpg","View")</f>
        <v>View</v>
      </c>
      <c r="V4682" s="8"/>
      <c r="W4682" s="8"/>
      <c r="X4682" s="8"/>
      <c r="Y4682" s="8"/>
      <c r="Z4682" s="8"/>
    </row>
    <row r="4683" spans="1:26" ht="12.75">
      <c r="A4683" s="11">
        <v>43747.109837962962</v>
      </c>
      <c r="B4683" s="12" t="str">
        <f>HYPERLINK("https://twitter.com/ozcanarabaci3","@ozcanarabaci3")</f>
        <v>@ozcanarabaci3</v>
      </c>
      <c r="C4683" s="7" t="s">
        <v>23072</v>
      </c>
      <c r="D4683" s="7" t="s">
        <v>23073</v>
      </c>
      <c r="E4683" s="12" t="str">
        <f>HYPERLINK("https://twitter.com/ozcanarabaci3/status/1181866433011228673","1181866433011228673")</f>
        <v>1181866433011228673</v>
      </c>
      <c r="F4683" s="8"/>
      <c r="G4683" s="14" t="s">
        <v>23074</v>
      </c>
      <c r="H4683" s="8"/>
      <c r="I4683" s="15">
        <v>0</v>
      </c>
      <c r="J4683" s="15">
        <v>2</v>
      </c>
      <c r="K4683" s="12" t="str">
        <f>HYPERLINK("http://twitter.com/download/iphone","Twitter for iPhone")</f>
        <v>Twitter for iPhone</v>
      </c>
      <c r="L4683" s="16">
        <v>13</v>
      </c>
      <c r="M4683" s="16">
        <v>7</v>
      </c>
      <c r="N4683" s="16">
        <v>0</v>
      </c>
      <c r="O4683" s="17"/>
      <c r="P4683" s="18">
        <v>41549.159270833334</v>
      </c>
      <c r="Q4683" s="7" t="s">
        <v>313</v>
      </c>
      <c r="R4683" s="7" t="s">
        <v>23075</v>
      </c>
      <c r="S4683" s="14" t="s">
        <v>23076</v>
      </c>
      <c r="T4683" s="8"/>
      <c r="U4683" s="19" t="str">
        <f>HYPERLINK("https://pbs.twimg.com/profile_images/835509044546764800/P3hGNTbn.jpg","View")</f>
        <v>View</v>
      </c>
      <c r="V4683" s="8"/>
      <c r="W4683" s="8"/>
      <c r="X4683" s="8"/>
      <c r="Y4683" s="8"/>
      <c r="Z4683" s="8"/>
    </row>
    <row r="4684" spans="1:26" ht="12.75">
      <c r="A4684" s="11">
        <v>43747.109768518523</v>
      </c>
      <c r="B4684" s="12" t="str">
        <f>HYPERLINK("https://twitter.com/yalcnsnel","@yalcnsnel")</f>
        <v>@yalcnsnel</v>
      </c>
      <c r="C4684" s="7" t="s">
        <v>23077</v>
      </c>
      <c r="D4684" s="7" t="s">
        <v>23078</v>
      </c>
      <c r="E4684" s="12" t="str">
        <f>HYPERLINK("https://twitter.com/yalcnsnel/status/1181866410403864578","1181866410403864578")</f>
        <v>1181866410403864578</v>
      </c>
      <c r="F4684" s="8"/>
      <c r="G4684" s="15"/>
      <c r="H4684" s="8"/>
      <c r="I4684" s="15">
        <v>0</v>
      </c>
      <c r="J4684" s="15">
        <v>0</v>
      </c>
      <c r="K4684" s="12" t="str">
        <f>HYPERLINK("https://mobile.twitter.com","Twitter Web App")</f>
        <v>Twitter Web App</v>
      </c>
      <c r="L4684" s="16">
        <v>11</v>
      </c>
      <c r="M4684" s="16">
        <v>58</v>
      </c>
      <c r="N4684" s="16">
        <v>0</v>
      </c>
      <c r="O4684" s="17"/>
      <c r="P4684" s="18">
        <v>42533.157650462963</v>
      </c>
      <c r="Q4684" s="8"/>
      <c r="R4684" s="7" t="s">
        <v>23079</v>
      </c>
      <c r="S4684" s="8" t="s">
        <v>23080</v>
      </c>
      <c r="T4684" s="8"/>
      <c r="U4684" s="19" t="str">
        <f>HYPERLINK("https://pbs.twimg.com/profile_images/1020421899309015040/wqmVQoG2.jpg","View")</f>
        <v>View</v>
      </c>
      <c r="V4684" s="8"/>
      <c r="W4684" s="8"/>
      <c r="X4684" s="8"/>
      <c r="Y4684" s="8"/>
      <c r="Z4684" s="8"/>
    </row>
    <row r="4685" spans="1:26" ht="12.75">
      <c r="A4685" s="11">
        <v>43747.109768518523</v>
      </c>
      <c r="B4685" s="12" t="str">
        <f>HYPERLINK("https://twitter.com/ayberktorunoglu","@ayberktorunoglu")</f>
        <v>@ayberktorunoglu</v>
      </c>
      <c r="C4685" s="7" t="s">
        <v>23081</v>
      </c>
      <c r="D4685" s="7" t="s">
        <v>23082</v>
      </c>
      <c r="E4685" s="12" t="str">
        <f>HYPERLINK("https://twitter.com/ayberktorunoglu/status/1181866410261274624","1181866410261274624")</f>
        <v>1181866410261274624</v>
      </c>
      <c r="F4685" s="8"/>
      <c r="G4685" s="14" t="s">
        <v>23083</v>
      </c>
      <c r="H4685" s="8"/>
      <c r="I4685" s="15">
        <v>0</v>
      </c>
      <c r="J4685" s="15">
        <v>0</v>
      </c>
      <c r="K4685" s="12" t="str">
        <f>HYPERLINK("http://twitter.com/download/iphone","Twitter for iPhone")</f>
        <v>Twitter for iPhone</v>
      </c>
      <c r="L4685" s="16">
        <v>1</v>
      </c>
      <c r="M4685" s="16">
        <v>70</v>
      </c>
      <c r="N4685" s="16">
        <v>0</v>
      </c>
      <c r="O4685" s="17"/>
      <c r="P4685" s="18">
        <v>43453.385428240741</v>
      </c>
      <c r="Q4685" s="7"/>
      <c r="R4685" s="7"/>
      <c r="S4685" s="8"/>
      <c r="T4685" s="8"/>
      <c r="U4685" s="19" t="str">
        <f>HYPERLINK("https://pbs.twimg.com/profile_images/1166271207907483648/8QgbU40t.jpg","View")</f>
        <v>View</v>
      </c>
      <c r="V4685" s="8"/>
      <c r="W4685" s="8"/>
      <c r="X4685" s="8"/>
      <c r="Y4685" s="8"/>
      <c r="Z4685" s="8"/>
    </row>
    <row r="4686" spans="1:26" ht="12.75">
      <c r="A4686" s="11">
        <v>43747.109768518523</v>
      </c>
      <c r="B4686" s="12" t="str">
        <f>HYPERLINK("https://twitter.com/Bnyamin96417255","@Bnyamin96417255")</f>
        <v>@Bnyamin96417255</v>
      </c>
      <c r="C4686" s="7" t="s">
        <v>23084</v>
      </c>
      <c r="D4686" s="7" t="s">
        <v>23085</v>
      </c>
      <c r="E4686" s="12" t="str">
        <f>HYPERLINK("https://twitter.com/Bnyamin96417255/status/1181866410223558657","1181866410223558657")</f>
        <v>1181866410223558657</v>
      </c>
      <c r="F4686" s="8"/>
      <c r="G4686" s="15"/>
      <c r="H4686" s="8"/>
      <c r="I4686" s="15">
        <v>0</v>
      </c>
      <c r="J4686" s="15">
        <v>0</v>
      </c>
      <c r="K4686" s="12" t="str">
        <f>HYPERLINK("http://twitter.com/download/android","Twitter for Android")</f>
        <v>Twitter for Android</v>
      </c>
      <c r="L4686" s="16">
        <v>9</v>
      </c>
      <c r="M4686" s="16">
        <v>6</v>
      </c>
      <c r="N4686" s="16">
        <v>0</v>
      </c>
      <c r="O4686" s="17"/>
      <c r="P4686" s="18">
        <v>43320.582280092596</v>
      </c>
      <c r="Q4686" s="8"/>
      <c r="R4686" s="8"/>
      <c r="S4686" s="8"/>
      <c r="T4686" s="8"/>
      <c r="U4686" s="19" t="str">
        <f>HYPERLINK("https://pbs.twimg.com/profile_images/1121831235007938560/TKFa6Yzv.jpg","View")</f>
        <v>View</v>
      </c>
      <c r="V4686" s="8"/>
      <c r="W4686" s="8"/>
      <c r="X4686" s="8"/>
      <c r="Y4686" s="8"/>
      <c r="Z4686" s="8"/>
    </row>
    <row r="4687" spans="1:26" ht="12.75">
      <c r="A4687" s="11">
        <v>43747.109768518523</v>
      </c>
      <c r="B4687" s="12" t="str">
        <f>HYPERLINK("https://twitter.com/pekacarmnuri","@pekacarmnuri")</f>
        <v>@pekacarmnuri</v>
      </c>
      <c r="C4687" s="7" t="s">
        <v>23086</v>
      </c>
      <c r="D4687" s="7" t="s">
        <v>23087</v>
      </c>
      <c r="E4687" s="12" t="str">
        <f>HYPERLINK("https://twitter.com/pekacarmnuri/status/1181866406930984960","1181866406930984960")</f>
        <v>1181866406930984960</v>
      </c>
      <c r="F4687" s="8"/>
      <c r="G4687" s="14" t="s">
        <v>23088</v>
      </c>
      <c r="H4687" s="8"/>
      <c r="I4687" s="15">
        <v>2</v>
      </c>
      <c r="J4687" s="15">
        <v>6</v>
      </c>
      <c r="K4687" s="12" t="str">
        <f>HYPERLINK("http://twitter.com/download/android","Twitter for Android")</f>
        <v>Twitter for Android</v>
      </c>
      <c r="L4687" s="16">
        <v>96</v>
      </c>
      <c r="M4687" s="16">
        <v>93</v>
      </c>
      <c r="N4687" s="16">
        <v>0</v>
      </c>
      <c r="O4687" s="17"/>
      <c r="P4687" s="18">
        <v>43290.129375000004</v>
      </c>
      <c r="Q4687" s="7" t="s">
        <v>4645</v>
      </c>
      <c r="R4687" s="7" t="s">
        <v>23089</v>
      </c>
      <c r="S4687" s="8"/>
      <c r="T4687" s="8"/>
      <c r="U4687" s="19" t="str">
        <f>HYPERLINK("https://pbs.twimg.com/profile_images/1079164750368595968/9X8QELr-.jpg","View")</f>
        <v>View</v>
      </c>
      <c r="V4687" s="8"/>
      <c r="W4687" s="8"/>
      <c r="X4687" s="8"/>
      <c r="Y4687" s="8"/>
      <c r="Z4687" s="8"/>
    </row>
    <row r="4688" spans="1:26" ht="12.75">
      <c r="A4688" s="11">
        <v>43747.109756944439</v>
      </c>
      <c r="B4688" s="12" t="str">
        <f>HYPERLINK("https://twitter.com/novagroupglobal","@novagroupglobal")</f>
        <v>@novagroupglobal</v>
      </c>
      <c r="C4688" s="7" t="s">
        <v>23090</v>
      </c>
      <c r="D4688" s="7" t="s">
        <v>23091</v>
      </c>
      <c r="E4688" s="12" t="str">
        <f>HYPERLINK("https://twitter.com/novagroupglobal/status/1181866405341335553","1181866405341335553")</f>
        <v>1181866405341335553</v>
      </c>
      <c r="F4688" s="14" t="s">
        <v>23092</v>
      </c>
      <c r="G4688" s="14" t="s">
        <v>23093</v>
      </c>
      <c r="H4688" s="8"/>
      <c r="I4688" s="15">
        <v>0</v>
      </c>
      <c r="J4688" s="15">
        <v>0</v>
      </c>
      <c r="K4688" s="12" t="str">
        <f>HYPERLINK("https://mobile.twitter.com","Twitter Web App")</f>
        <v>Twitter Web App</v>
      </c>
      <c r="L4688" s="16">
        <v>1726</v>
      </c>
      <c r="M4688" s="16">
        <v>2565</v>
      </c>
      <c r="N4688" s="16">
        <v>18</v>
      </c>
      <c r="O4688" s="17"/>
      <c r="P4688" s="18">
        <v>39924.731886574074</v>
      </c>
      <c r="Q4688" s="8" t="s">
        <v>313</v>
      </c>
      <c r="R4688" s="8" t="s">
        <v>23094</v>
      </c>
      <c r="S4688" s="14" t="s">
        <v>23095</v>
      </c>
      <c r="T4688" s="8"/>
      <c r="U4688" s="19" t="str">
        <f>HYPERLINK("https://pbs.twimg.com/profile_images/674248079625687040/DDz1p9bW.jpg","View")</f>
        <v>View</v>
      </c>
      <c r="V4688" s="8"/>
      <c r="W4688" s="8"/>
      <c r="X4688" s="8"/>
      <c r="Y4688" s="8"/>
      <c r="Z4688" s="8"/>
    </row>
    <row r="4689" spans="1:26" ht="12.75">
      <c r="A4689" s="11">
        <v>43747.10974537037</v>
      </c>
      <c r="B4689" s="12" t="str">
        <f>HYPERLINK("https://twitter.com/kutalmiskgn","@kutalmiskgn")</f>
        <v>@kutalmiskgn</v>
      </c>
      <c r="C4689" s="7" t="s">
        <v>23096</v>
      </c>
      <c r="D4689" s="7" t="s">
        <v>23097</v>
      </c>
      <c r="E4689" s="12" t="str">
        <f>HYPERLINK("https://twitter.com/kutalmiskgn/status/1181866398534029312","1181866398534029312")</f>
        <v>1181866398534029312</v>
      </c>
      <c r="F4689" s="8"/>
      <c r="G4689" s="7"/>
      <c r="H4689" s="8"/>
      <c r="I4689" s="15">
        <v>3</v>
      </c>
      <c r="J4689" s="15">
        <v>20</v>
      </c>
      <c r="K4689" s="12" t="str">
        <f>HYPERLINK("http://twitter.com/download/android","Twitter for Android")</f>
        <v>Twitter for Android</v>
      </c>
      <c r="L4689" s="16">
        <v>1001</v>
      </c>
      <c r="M4689" s="16">
        <v>998</v>
      </c>
      <c r="N4689" s="16">
        <v>0</v>
      </c>
      <c r="O4689" s="17"/>
      <c r="P4689" s="18">
        <v>43643.311412037037</v>
      </c>
      <c r="Q4689" s="7"/>
      <c r="R4689" s="7" t="s">
        <v>23098</v>
      </c>
      <c r="S4689" s="8"/>
      <c r="T4689" s="8"/>
      <c r="U4689" s="19" t="str">
        <f>HYPERLINK("https://pbs.twimg.com/profile_images/1169613496255991809/QafBnwjd.jpg","View")</f>
        <v>View</v>
      </c>
      <c r="V4689" s="8"/>
      <c r="W4689" s="8"/>
      <c r="X4689" s="8"/>
      <c r="Y4689" s="8"/>
      <c r="Z4689" s="8"/>
    </row>
    <row r="4690" spans="1:26" ht="12.75">
      <c r="A4690" s="11">
        <v>43747.109710648147</v>
      </c>
      <c r="B4690" s="12" t="str">
        <f>HYPERLINK("https://twitter.com/baykanksss","@baykanksss")</f>
        <v>@baykanksss</v>
      </c>
      <c r="C4690" s="7" t="s">
        <v>23099</v>
      </c>
      <c r="D4690" s="7" t="s">
        <v>23100</v>
      </c>
      <c r="E4690" s="12" t="str">
        <f>HYPERLINK("https://twitter.com/baykanksss/status/1181866389151391744","1181866389151391744")</f>
        <v>1181866389151391744</v>
      </c>
      <c r="F4690" s="8"/>
      <c r="G4690" s="7"/>
      <c r="H4690" s="8"/>
      <c r="I4690" s="15">
        <v>0</v>
      </c>
      <c r="J4690" s="15">
        <v>0</v>
      </c>
      <c r="K4690" s="12" t="str">
        <f>HYPERLINK("http://twitter.com/download/iphone","Twitter for iPhone")</f>
        <v>Twitter for iPhone</v>
      </c>
      <c r="L4690" s="16">
        <v>256</v>
      </c>
      <c r="M4690" s="16">
        <v>427</v>
      </c>
      <c r="N4690" s="16">
        <v>2</v>
      </c>
      <c r="O4690" s="17"/>
      <c r="P4690" s="18">
        <v>43519.251284722224</v>
      </c>
      <c r="Q4690" s="8" t="s">
        <v>23101</v>
      </c>
      <c r="R4690" s="8" t="s">
        <v>23102</v>
      </c>
      <c r="S4690" s="8"/>
      <c r="T4690" s="8"/>
      <c r="U4690" s="19" t="str">
        <f>HYPERLINK("https://pbs.twimg.com/profile_images/1177192985886449665/ajdEpXM2.jpg","View")</f>
        <v>View</v>
      </c>
      <c r="V4690" s="8"/>
      <c r="W4690" s="8"/>
      <c r="X4690" s="8"/>
      <c r="Y4690" s="8"/>
      <c r="Z4690" s="8"/>
    </row>
    <row r="4691" spans="1:26" ht="12.75">
      <c r="A4691" s="11">
        <v>43747.109710648147</v>
      </c>
      <c r="B4691" s="12" t="str">
        <f>HYPERLINK("https://twitter.com/Kaan_Sakinol","@Kaan_Sakinol")</f>
        <v>@Kaan_Sakinol</v>
      </c>
      <c r="C4691" s="7" t="s">
        <v>4862</v>
      </c>
      <c r="D4691" s="7" t="s">
        <v>23103</v>
      </c>
      <c r="E4691" s="12" t="str">
        <f>HYPERLINK("https://twitter.com/Kaan_Sakinol/status/1181866388991950848","1181866388991950848")</f>
        <v>1181866388991950848</v>
      </c>
      <c r="F4691" s="8"/>
      <c r="G4691" s="7"/>
      <c r="H4691" s="8"/>
      <c r="I4691" s="15">
        <v>0</v>
      </c>
      <c r="J4691" s="15">
        <v>0</v>
      </c>
      <c r="K4691" s="12" t="str">
        <f>HYPERLINK("https://mobile.twitter.com","Twitter Web App")</f>
        <v>Twitter Web App</v>
      </c>
      <c r="L4691" s="16">
        <v>218</v>
      </c>
      <c r="M4691" s="16">
        <v>188</v>
      </c>
      <c r="N4691" s="16">
        <v>0</v>
      </c>
      <c r="O4691" s="17"/>
      <c r="P4691" s="18">
        <v>43533.498831018514</v>
      </c>
      <c r="Q4691" s="7"/>
      <c r="R4691" s="8" t="s">
        <v>23104</v>
      </c>
      <c r="S4691" s="8"/>
      <c r="T4691" s="8"/>
      <c r="U4691" s="19" t="str">
        <f>HYPERLINK("https://pbs.twimg.com/profile_images/1130214534944382977/ok7K6drj.jpg","View")</f>
        <v>View</v>
      </c>
      <c r="V4691" s="8"/>
      <c r="W4691" s="8"/>
      <c r="X4691" s="8"/>
      <c r="Y4691" s="8"/>
      <c r="Z4691" s="8"/>
    </row>
    <row r="4692" spans="1:26" ht="12.75">
      <c r="A4692" s="11">
        <v>43747.1096875</v>
      </c>
      <c r="B4692" s="12" t="str">
        <f>HYPERLINK("https://twitter.com/sedasayim","@sedasayim")</f>
        <v>@sedasayim</v>
      </c>
      <c r="C4692" s="7" t="s">
        <v>23105</v>
      </c>
      <c r="D4692" s="7" t="s">
        <v>23106</v>
      </c>
      <c r="E4692" s="12" t="str">
        <f>HYPERLINK("https://twitter.com/sedasayim/status/1181866379181481986","1181866379181481986")</f>
        <v>1181866379181481986</v>
      </c>
      <c r="F4692" s="8"/>
      <c r="G4692" s="14" t="s">
        <v>23107</v>
      </c>
      <c r="H4692" s="8"/>
      <c r="I4692" s="15">
        <v>0</v>
      </c>
      <c r="J4692" s="15">
        <v>2</v>
      </c>
      <c r="K4692" s="12" t="str">
        <f>HYPERLINK("http://twitter.com/download/android","Twitter for Android")</f>
        <v>Twitter for Android</v>
      </c>
      <c r="L4692" s="16">
        <v>377</v>
      </c>
      <c r="M4692" s="16">
        <v>408</v>
      </c>
      <c r="N4692" s="16">
        <v>0</v>
      </c>
      <c r="O4692" s="17"/>
      <c r="P4692" s="18">
        <v>43128.747523148151</v>
      </c>
      <c r="Q4692" s="8"/>
      <c r="R4692" s="7" t="s">
        <v>23108</v>
      </c>
      <c r="S4692" s="8"/>
      <c r="T4692" s="8"/>
      <c r="U4692" s="19" t="str">
        <f>HYPERLINK("https://pbs.twimg.com/profile_images/1175396690867761155/VXvauTLk.jpg","View")</f>
        <v>View</v>
      </c>
      <c r="V4692" s="8"/>
      <c r="W4692" s="8"/>
      <c r="X4692" s="8"/>
      <c r="Y4692" s="8"/>
      <c r="Z4692" s="8"/>
    </row>
    <row r="4693" spans="1:26" ht="12.75">
      <c r="A4693" s="11">
        <v>43747.109675925924</v>
      </c>
      <c r="B4693" s="12" t="str">
        <f>HYPERLINK("https://twitter.com/AbaciogluHimmet","@AbaciogluHimmet")</f>
        <v>@AbaciogluHimmet</v>
      </c>
      <c r="C4693" s="7" t="s">
        <v>23109</v>
      </c>
      <c r="D4693" s="7" t="s">
        <v>18400</v>
      </c>
      <c r="E4693" s="12" t="str">
        <f>HYPERLINK("https://twitter.com/AbaciogluHimmet/status/1181866376618795008","1181866376618795008")</f>
        <v>1181866376618795008</v>
      </c>
      <c r="F4693" s="8"/>
      <c r="G4693" s="14" t="s">
        <v>18401</v>
      </c>
      <c r="H4693" s="8"/>
      <c r="I4693" s="15">
        <v>0</v>
      </c>
      <c r="J4693" s="15">
        <v>0</v>
      </c>
      <c r="K4693" s="12" t="str">
        <f>HYPERLINK("http://twitter.com","Twitter Web Client")</f>
        <v>Twitter Web Client</v>
      </c>
      <c r="L4693" s="16">
        <v>12</v>
      </c>
      <c r="M4693" s="16">
        <v>0</v>
      </c>
      <c r="N4693" s="16">
        <v>0</v>
      </c>
      <c r="O4693" s="17"/>
      <c r="P4693" s="18">
        <v>43639.702187499999</v>
      </c>
      <c r="Q4693" s="8" t="s">
        <v>14529</v>
      </c>
      <c r="R4693" s="8" t="s">
        <v>23110</v>
      </c>
      <c r="S4693" s="8"/>
      <c r="T4693" s="8"/>
      <c r="U4693" s="19" t="str">
        <f>HYPERLINK("https://pbs.twimg.com/profile_images/1143823553227309056/J-7yO5Ua.jpg","View")</f>
        <v>View</v>
      </c>
      <c r="V4693" s="8"/>
      <c r="W4693" s="8"/>
      <c r="X4693" s="8"/>
      <c r="Y4693" s="8"/>
      <c r="Z4693" s="8"/>
    </row>
    <row r="4694" spans="1:26" ht="12.75">
      <c r="A4694" s="11">
        <v>43747.109594907408</v>
      </c>
      <c r="B4694" s="12" t="str">
        <f>HYPERLINK("https://twitter.com/ByNaramsin","@ByNaramsin")</f>
        <v>@ByNaramsin</v>
      </c>
      <c r="C4694" s="7" t="s">
        <v>23111</v>
      </c>
      <c r="D4694" s="7" t="s">
        <v>18043</v>
      </c>
      <c r="E4694" s="12" t="str">
        <f>HYPERLINK("https://twitter.com/ByNaramsin/status/1181866345312505857","1181866345312505857")</f>
        <v>1181866345312505857</v>
      </c>
      <c r="F4694" s="14" t="s">
        <v>23112</v>
      </c>
      <c r="G4694" s="7"/>
      <c r="H4694" s="8"/>
      <c r="I4694" s="15">
        <v>0</v>
      </c>
      <c r="J4694" s="15">
        <v>0</v>
      </c>
      <c r="K4694" s="12" t="str">
        <f>HYPERLINK("http://twitter.com/download/iphone","Twitter for iPhone")</f>
        <v>Twitter for iPhone</v>
      </c>
      <c r="L4694" s="16">
        <v>121</v>
      </c>
      <c r="M4694" s="16">
        <v>383</v>
      </c>
      <c r="N4694" s="16">
        <v>0</v>
      </c>
      <c r="O4694" s="17"/>
      <c r="P4694" s="18">
        <v>42705.436331018514</v>
      </c>
      <c r="Q4694" s="7"/>
      <c r="R4694" s="7"/>
      <c r="S4694" s="8"/>
      <c r="T4694" s="8"/>
      <c r="U4694" s="19" t="str">
        <f>HYPERLINK("https://pbs.twimg.com/profile_images/804393842069950464/Z6kruyWL.jpg","View")</f>
        <v>View</v>
      </c>
      <c r="V4694" s="8"/>
      <c r="W4694" s="8"/>
      <c r="X4694" s="8"/>
      <c r="Y4694" s="8"/>
      <c r="Z4694" s="8"/>
    </row>
    <row r="4695" spans="1:26" ht="12.75">
      <c r="A4695" s="11">
        <v>43747.109571759254</v>
      </c>
      <c r="B4695" s="12" t="str">
        <f>HYPERLINK("https://twitter.com/ahmetungur","@ahmetungur")</f>
        <v>@ahmetungur</v>
      </c>
      <c r="C4695" s="7" t="s">
        <v>23113</v>
      </c>
      <c r="D4695" s="7" t="s">
        <v>160</v>
      </c>
      <c r="E4695" s="12" t="str">
        <f>HYPERLINK("https://twitter.com/ahmetungur/status/1181866336407961600","1181866336407961600")</f>
        <v>1181866336407961600</v>
      </c>
      <c r="F4695" s="8"/>
      <c r="G4695" s="15"/>
      <c r="H4695" s="8"/>
      <c r="I4695" s="15">
        <v>0</v>
      </c>
      <c r="J4695" s="15">
        <v>0</v>
      </c>
      <c r="K4695" s="12" t="str">
        <f>HYPERLINK("http://twitter.com/download/android","Twitter for Android")</f>
        <v>Twitter for Android</v>
      </c>
      <c r="L4695" s="16">
        <v>61</v>
      </c>
      <c r="M4695" s="16">
        <v>55</v>
      </c>
      <c r="N4695" s="16">
        <v>0</v>
      </c>
      <c r="O4695" s="17"/>
      <c r="P4695" s="18">
        <v>41280.431493055556</v>
      </c>
      <c r="Q4695" s="7" t="s">
        <v>23114</v>
      </c>
      <c r="R4695" s="7"/>
      <c r="S4695" s="14" t="s">
        <v>23115</v>
      </c>
      <c r="T4695" s="8"/>
      <c r="U4695" s="19" t="str">
        <f>HYPERLINK("https://pbs.twimg.com/profile_images/764555880159383553/H8jIfrjW.jpg","View")</f>
        <v>View</v>
      </c>
      <c r="V4695" s="8"/>
      <c r="W4695" s="8"/>
      <c r="X4695" s="8"/>
      <c r="Y4695" s="8"/>
      <c r="Z4695" s="8"/>
    </row>
    <row r="4696" spans="1:26" ht="12.75">
      <c r="A4696" s="11">
        <v>43747.109548611115</v>
      </c>
      <c r="B4696" s="12" t="str">
        <f>HYPERLINK("https://twitter.com/DerinD_","@DerinD_")</f>
        <v>@DerinD_</v>
      </c>
      <c r="C4696" s="7" t="s">
        <v>23116</v>
      </c>
      <c r="D4696" s="7" t="s">
        <v>23117</v>
      </c>
      <c r="E4696" s="12" t="str">
        <f>HYPERLINK("https://twitter.com/DerinD_/status/1181866328312963072","1181866328312963072")</f>
        <v>1181866328312963072</v>
      </c>
      <c r="F4696" s="8"/>
      <c r="G4696" s="14" t="s">
        <v>23118</v>
      </c>
      <c r="H4696" s="8"/>
      <c r="I4696" s="15">
        <v>0</v>
      </c>
      <c r="J4696" s="15">
        <v>2</v>
      </c>
      <c r="K4696" s="12" t="str">
        <f>HYPERLINK("http://twitter.com/download/iphone","Twitter for iPhone")</f>
        <v>Twitter for iPhone</v>
      </c>
      <c r="L4696" s="16">
        <v>1587</v>
      </c>
      <c r="M4696" s="16">
        <v>40</v>
      </c>
      <c r="N4696" s="16">
        <v>2</v>
      </c>
      <c r="O4696" s="17"/>
      <c r="P4696" s="18">
        <v>41737.352546296301</v>
      </c>
      <c r="Q4696" s="7" t="s">
        <v>23119</v>
      </c>
      <c r="R4696" s="7" t="s">
        <v>23120</v>
      </c>
      <c r="S4696" s="15"/>
      <c r="T4696" s="8"/>
      <c r="U4696" s="19" t="str">
        <f>HYPERLINK("https://pbs.twimg.com/profile_images/1110220307351199745/Tsy8f0EP.jpg","View")</f>
        <v>View</v>
      </c>
      <c r="V4696" s="8"/>
      <c r="W4696" s="8"/>
      <c r="X4696" s="8"/>
      <c r="Y4696" s="8"/>
      <c r="Z4696" s="8"/>
    </row>
    <row r="4697" spans="1:26" ht="12.75">
      <c r="A4697" s="11">
        <v>43747.109525462962</v>
      </c>
      <c r="B4697" s="12" t="str">
        <f>HYPERLINK("https://twitter.com/suurveyan","@suurveyan")</f>
        <v>@suurveyan</v>
      </c>
      <c r="C4697" s="7" t="s">
        <v>23121</v>
      </c>
      <c r="D4697" s="7" t="s">
        <v>23122</v>
      </c>
      <c r="E4697" s="12" t="str">
        <f>HYPERLINK("https://twitter.com/suurveyan/status/1181866319228080129","1181866319228080129")</f>
        <v>1181866319228080129</v>
      </c>
      <c r="F4697" s="8"/>
      <c r="G4697" s="14" t="s">
        <v>23123</v>
      </c>
      <c r="H4697" s="8"/>
      <c r="I4697" s="15">
        <v>0</v>
      </c>
      <c r="J4697" s="15">
        <v>0</v>
      </c>
      <c r="K4697" s="12" t="str">
        <f>HYPERLINK("http://twitter.com/download/android","Twitter for Android")</f>
        <v>Twitter for Android</v>
      </c>
      <c r="L4697" s="16">
        <v>64</v>
      </c>
      <c r="M4697" s="16">
        <v>252</v>
      </c>
      <c r="N4697" s="16">
        <v>0</v>
      </c>
      <c r="O4697" s="17"/>
      <c r="P4697" s="18">
        <v>41013.38113425926</v>
      </c>
      <c r="Q4697" s="7" t="s">
        <v>23124</v>
      </c>
      <c r="R4697" s="8" t="s">
        <v>23125</v>
      </c>
      <c r="S4697" s="8"/>
      <c r="T4697" s="8"/>
      <c r="U4697" s="19" t="str">
        <f>HYPERLINK("https://pbs.twimg.com/profile_images/1181638196595175425/Znvfc6NB.jpg","View")</f>
        <v>View</v>
      </c>
      <c r="V4697" s="8"/>
      <c r="W4697" s="8"/>
      <c r="X4697" s="8"/>
      <c r="Y4697" s="8"/>
      <c r="Z4697" s="8"/>
    </row>
    <row r="4698" spans="1:26" ht="12.75">
      <c r="A4698" s="11">
        <v>43747.109513888892</v>
      </c>
      <c r="B4698" s="12" t="str">
        <f>HYPERLINK("https://twitter.com/KolcanSevgi","@KolcanSevgi")</f>
        <v>@KolcanSevgi</v>
      </c>
      <c r="C4698" s="7" t="s">
        <v>23126</v>
      </c>
      <c r="D4698" s="7" t="s">
        <v>23127</v>
      </c>
      <c r="E4698" s="12" t="str">
        <f>HYPERLINK("https://twitter.com/KolcanSevgi/status/1181866315960799234","1181866315960799234")</f>
        <v>1181866315960799234</v>
      </c>
      <c r="F4698" s="8"/>
      <c r="G4698" s="14" t="s">
        <v>23128</v>
      </c>
      <c r="H4698" s="8"/>
      <c r="I4698" s="15">
        <v>0</v>
      </c>
      <c r="J4698" s="15">
        <v>0</v>
      </c>
      <c r="K4698" s="12" t="str">
        <f>HYPERLINK("http://twitter.com/download/android","Twitter for Android")</f>
        <v>Twitter for Android</v>
      </c>
      <c r="L4698" s="16">
        <v>266</v>
      </c>
      <c r="M4698" s="16">
        <v>81</v>
      </c>
      <c r="N4698" s="16">
        <v>0</v>
      </c>
      <c r="O4698" s="17"/>
      <c r="P4698" s="18">
        <v>43330.357129629629</v>
      </c>
      <c r="Q4698" s="7"/>
      <c r="R4698" s="7"/>
      <c r="S4698" s="15"/>
      <c r="T4698" s="8"/>
      <c r="U4698" s="19" t="str">
        <f>HYPERLINK("https://pbs.twimg.com/profile_images/1030842458236768256/rPGgM385.jpg","View")</f>
        <v>View</v>
      </c>
      <c r="V4698" s="8"/>
      <c r="W4698" s="8"/>
      <c r="X4698" s="8"/>
      <c r="Y4698" s="8"/>
      <c r="Z4698" s="8"/>
    </row>
    <row r="4699" spans="1:26" ht="12.75">
      <c r="A4699" s="11">
        <v>43747.109513888892</v>
      </c>
      <c r="B4699" s="12" t="str">
        <f>HYPERLINK("https://twitter.com/pandman35","@pandman35")</f>
        <v>@pandman35</v>
      </c>
      <c r="C4699" s="7" t="s">
        <v>23129</v>
      </c>
      <c r="D4699" s="7" t="s">
        <v>23130</v>
      </c>
      <c r="E4699" s="12" t="str">
        <f>HYPERLINK("https://twitter.com/pandman35/status/1181866315851714560","1181866315851714560")</f>
        <v>1181866315851714560</v>
      </c>
      <c r="F4699" s="15"/>
      <c r="G4699" s="7"/>
      <c r="H4699" s="8"/>
      <c r="I4699" s="15">
        <v>0</v>
      </c>
      <c r="J4699" s="15">
        <v>1</v>
      </c>
      <c r="K4699" s="12" t="str">
        <f>HYPERLINK("http://twitter.com/download/android","Twitter for Android")</f>
        <v>Twitter for Android</v>
      </c>
      <c r="L4699" s="16">
        <v>231</v>
      </c>
      <c r="M4699" s="16">
        <v>966</v>
      </c>
      <c r="N4699" s="16">
        <v>0</v>
      </c>
      <c r="O4699" s="17"/>
      <c r="P4699" s="18">
        <v>43664.93549768519</v>
      </c>
      <c r="Q4699" s="7" t="s">
        <v>23131</v>
      </c>
      <c r="R4699" s="7" t="s">
        <v>23132</v>
      </c>
      <c r="S4699" s="8"/>
      <c r="T4699" s="8"/>
      <c r="U4699" s="19" t="str">
        <f>HYPERLINK("https://pbs.twimg.com/profile_images/1176936433141129216/_1SDIMBl.jpg","View")</f>
        <v>View</v>
      </c>
      <c r="V4699" s="8"/>
      <c r="W4699" s="8"/>
      <c r="X4699" s="8"/>
      <c r="Y4699" s="8"/>
      <c r="Z4699" s="8"/>
    </row>
    <row r="4700" spans="1:26" ht="12.75">
      <c r="A4700" s="11">
        <v>43747.109467592592</v>
      </c>
      <c r="B4700" s="12" t="str">
        <f>HYPERLINK("https://twitter.com/Mehdi1907","@Mehdi1907")</f>
        <v>@Mehdi1907</v>
      </c>
      <c r="C4700" s="7" t="s">
        <v>23133</v>
      </c>
      <c r="D4700" s="7" t="s">
        <v>23134</v>
      </c>
      <c r="E4700" s="12" t="str">
        <f>HYPERLINK("https://twitter.com/Mehdi1907/status/1181866299154194432","1181866299154194432")</f>
        <v>1181866299154194432</v>
      </c>
      <c r="F4700" s="8"/>
      <c r="G4700" s="14" t="s">
        <v>23135</v>
      </c>
      <c r="H4700" s="8"/>
      <c r="I4700" s="15">
        <v>0</v>
      </c>
      <c r="J4700" s="15">
        <v>0</v>
      </c>
      <c r="K4700" s="12" t="str">
        <f>HYPERLINK("http://twitter.com/download/iphone","Twitter for iPhone")</f>
        <v>Twitter for iPhone</v>
      </c>
      <c r="L4700" s="16">
        <v>686</v>
      </c>
      <c r="M4700" s="16">
        <v>552</v>
      </c>
      <c r="N4700" s="16">
        <v>1</v>
      </c>
      <c r="O4700" s="17"/>
      <c r="P4700" s="18">
        <v>40528.791180555556</v>
      </c>
      <c r="Q4700" s="8" t="s">
        <v>17629</v>
      </c>
      <c r="R4700" s="8" t="s">
        <v>23136</v>
      </c>
      <c r="S4700" s="8"/>
      <c r="T4700" s="8"/>
      <c r="U4700" s="19" t="str">
        <f>HYPERLINK("https://pbs.twimg.com/profile_images/1156261074448072707/QQ17kzOD.jpg","View")</f>
        <v>View</v>
      </c>
      <c r="V4700" s="8"/>
      <c r="W4700" s="8"/>
      <c r="X4700" s="8"/>
      <c r="Y4700" s="8"/>
      <c r="Z4700" s="8"/>
    </row>
    <row r="4701" spans="1:26" ht="12.75">
      <c r="A4701" s="11">
        <v>43747.109444444446</v>
      </c>
      <c r="B4701" s="12" t="str">
        <f>HYPERLINK("https://twitter.com/TCeylul","@TCeylul")</f>
        <v>@TCeylul</v>
      </c>
      <c r="C4701" s="7" t="s">
        <v>23137</v>
      </c>
      <c r="D4701" s="7" t="s">
        <v>23138</v>
      </c>
      <c r="E4701" s="12" t="str">
        <f>HYPERLINK("https://twitter.com/TCeylul/status/1181866290266460160","1181866290266460160")</f>
        <v>1181866290266460160</v>
      </c>
      <c r="F4701" s="8"/>
      <c r="G4701" s="15"/>
      <c r="H4701" s="8"/>
      <c r="I4701" s="15">
        <v>4</v>
      </c>
      <c r="J4701" s="15">
        <v>13</v>
      </c>
      <c r="K4701" s="12" t="str">
        <f>HYPERLINK("https://mobile.twitter.com","Twitter Web App")</f>
        <v>Twitter Web App</v>
      </c>
      <c r="L4701" s="16">
        <v>19593</v>
      </c>
      <c r="M4701" s="16">
        <v>6719</v>
      </c>
      <c r="N4701" s="16">
        <v>26</v>
      </c>
      <c r="O4701" s="17"/>
      <c r="P4701" s="18">
        <v>40865.388368055559</v>
      </c>
      <c r="Q4701" s="7"/>
      <c r="R4701" s="7" t="s">
        <v>23139</v>
      </c>
      <c r="S4701" s="8"/>
      <c r="T4701" s="8"/>
      <c r="U4701" s="19" t="str">
        <f>HYPERLINK("https://pbs.twimg.com/profile_images/1107655486944542720/KWekDQoZ.jpg","View")</f>
        <v>View</v>
      </c>
      <c r="V4701" s="8"/>
      <c r="W4701" s="8"/>
      <c r="X4701" s="8"/>
      <c r="Y4701" s="8"/>
      <c r="Z4701" s="8"/>
    </row>
    <row r="4702" spans="1:26" ht="12.75">
      <c r="A4702" s="11">
        <v>43747.109375</v>
      </c>
      <c r="B4702" s="12" t="str">
        <f>HYPERLINK("https://twitter.com/erkan2505","@erkan2505")</f>
        <v>@erkan2505</v>
      </c>
      <c r="C4702" s="7" t="s">
        <v>23140</v>
      </c>
      <c r="D4702" s="7" t="s">
        <v>23141</v>
      </c>
      <c r="E4702" s="12" t="str">
        <f>HYPERLINK("https://twitter.com/erkan2505/status/1181866266941894656","1181866266941894656")</f>
        <v>1181866266941894656</v>
      </c>
      <c r="F4702" s="8"/>
      <c r="G4702" s="14" t="s">
        <v>23142</v>
      </c>
      <c r="H4702" s="8"/>
      <c r="I4702" s="15">
        <v>0</v>
      </c>
      <c r="J4702" s="15">
        <v>0</v>
      </c>
      <c r="K4702" s="12" t="str">
        <f>HYPERLINK("http://twitter.com/download/iphone","Twitter for iPhone")</f>
        <v>Twitter for iPhone</v>
      </c>
      <c r="L4702" s="16">
        <v>2</v>
      </c>
      <c r="M4702" s="16">
        <v>215</v>
      </c>
      <c r="N4702" s="16">
        <v>0</v>
      </c>
      <c r="O4702" s="17"/>
      <c r="P4702" s="18">
        <v>42572.688171296293</v>
      </c>
      <c r="Q4702" s="8" t="s">
        <v>970</v>
      </c>
      <c r="R4702" s="7"/>
      <c r="S4702" s="8"/>
      <c r="T4702" s="8"/>
      <c r="U4702" s="19" t="str">
        <f>HYPERLINK("https://pbs.twimg.com/profile_images/1149986340777410561/OS69584p.jpg","View")</f>
        <v>View</v>
      </c>
      <c r="V4702" s="8"/>
      <c r="W4702" s="8"/>
      <c r="X4702" s="8"/>
      <c r="Y4702" s="8"/>
      <c r="Z4702" s="8"/>
    </row>
    <row r="4703" spans="1:26" ht="12.75">
      <c r="A4703" s="11">
        <v>43747.109282407408</v>
      </c>
      <c r="B4703" s="12" t="str">
        <f>HYPERLINK("https://twitter.com/ilayda_benim","@ilayda_benim")</f>
        <v>@ilayda_benim</v>
      </c>
      <c r="C4703" s="7" t="s">
        <v>23143</v>
      </c>
      <c r="D4703" s="7" t="s">
        <v>23144</v>
      </c>
      <c r="E4703" s="12" t="str">
        <f>HYPERLINK("https://twitter.com/ilayda_benim/status/1181866233278455808","1181866233278455808")</f>
        <v>1181866233278455808</v>
      </c>
      <c r="F4703" s="8"/>
      <c r="G4703" s="14" t="s">
        <v>23145</v>
      </c>
      <c r="H4703" s="8"/>
      <c r="I4703" s="15">
        <v>0</v>
      </c>
      <c r="J4703" s="15">
        <v>2</v>
      </c>
      <c r="K4703" s="12" t="str">
        <f>HYPERLINK("http://twitter.com/download/android","Twitter for Android")</f>
        <v>Twitter for Android</v>
      </c>
      <c r="L4703" s="16">
        <v>61</v>
      </c>
      <c r="M4703" s="16">
        <v>16</v>
      </c>
      <c r="N4703" s="16">
        <v>0</v>
      </c>
      <c r="O4703" s="17"/>
      <c r="P4703" s="18">
        <v>43743.545648148152</v>
      </c>
      <c r="Q4703" s="8"/>
      <c r="R4703" s="8"/>
      <c r="S4703" s="8"/>
      <c r="T4703" s="8"/>
      <c r="U4703" s="19" t="str">
        <f>HYPERLINK("https://pbs.twimg.com/profile_images/1180592922820931584/lyIXoMBy.jpg","View")</f>
        <v>View</v>
      </c>
      <c r="V4703" s="8"/>
      <c r="W4703" s="8"/>
      <c r="X4703" s="8"/>
      <c r="Y4703" s="8"/>
      <c r="Z4703" s="8"/>
    </row>
    <row r="4704" spans="1:26" ht="12.75">
      <c r="A4704" s="11">
        <v>43747.109236111108</v>
      </c>
      <c r="B4704" s="12" t="str">
        <f>HYPERLINK("https://twitter.com/EfeKaanAras3","@EfeKaanAras3")</f>
        <v>@EfeKaanAras3</v>
      </c>
      <c r="C4704" s="7" t="s">
        <v>23146</v>
      </c>
      <c r="D4704" s="7" t="s">
        <v>22763</v>
      </c>
      <c r="E4704" s="12" t="str">
        <f>HYPERLINK("https://twitter.com/EfeKaanAras3/status/1181866215880441856","1181866215880441856")</f>
        <v>1181866215880441856</v>
      </c>
      <c r="F4704" s="8"/>
      <c r="G4704" s="7"/>
      <c r="H4704" s="8"/>
      <c r="I4704" s="15">
        <v>0</v>
      </c>
      <c r="J4704" s="15">
        <v>1</v>
      </c>
      <c r="K4704" s="12" t="str">
        <f>HYPERLINK("http://twitter.com/download/android","Twitter for Android")</f>
        <v>Twitter for Android</v>
      </c>
      <c r="L4704" s="16">
        <v>11</v>
      </c>
      <c r="M4704" s="16">
        <v>20</v>
      </c>
      <c r="N4704" s="16">
        <v>0</v>
      </c>
      <c r="O4704" s="17"/>
      <c r="P4704" s="18">
        <v>43679.791770833333</v>
      </c>
      <c r="Q4704" s="7"/>
      <c r="R4704" s="7" t="s">
        <v>23147</v>
      </c>
      <c r="S4704" s="15"/>
      <c r="T4704" s="8"/>
      <c r="U4704" s="19" t="str">
        <f>HYPERLINK("https://pbs.twimg.com/profile_images/1179878984630329344/MfQU2tBU.jpg","View")</f>
        <v>View</v>
      </c>
      <c r="V4704" s="8"/>
      <c r="W4704" s="8"/>
      <c r="X4704" s="8"/>
      <c r="Y4704" s="8"/>
      <c r="Z4704" s="8"/>
    </row>
    <row r="4705" spans="1:26" ht="12.75">
      <c r="A4705" s="11">
        <v>43747.109201388885</v>
      </c>
      <c r="B4705" s="12" t="str">
        <f>HYPERLINK("https://twitter.com/ay_emin_","@ay_emin_")</f>
        <v>@ay_emin_</v>
      </c>
      <c r="C4705" s="7" t="s">
        <v>23148</v>
      </c>
      <c r="D4705" s="7" t="s">
        <v>23149</v>
      </c>
      <c r="E4705" s="12" t="str">
        <f>HYPERLINK("https://twitter.com/ay_emin_/status/1181866203507281924","1181866203507281924")</f>
        <v>1181866203507281924</v>
      </c>
      <c r="F4705" s="8"/>
      <c r="G4705" s="14" t="s">
        <v>23150</v>
      </c>
      <c r="H4705" s="8"/>
      <c r="I4705" s="15">
        <v>0</v>
      </c>
      <c r="J4705" s="15">
        <v>2</v>
      </c>
      <c r="K4705" s="12" t="str">
        <f>HYPERLINK("http://twitter.com/download/android","Twitter for Android")</f>
        <v>Twitter for Android</v>
      </c>
      <c r="L4705" s="16">
        <v>149</v>
      </c>
      <c r="M4705" s="16">
        <v>207</v>
      </c>
      <c r="N4705" s="16">
        <v>0</v>
      </c>
      <c r="O4705" s="17"/>
      <c r="P4705" s="18">
        <v>42967.622847222221</v>
      </c>
      <c r="Q4705" s="7" t="s">
        <v>252</v>
      </c>
      <c r="R4705" s="7" t="s">
        <v>23151</v>
      </c>
      <c r="S4705" s="8"/>
      <c r="T4705" s="8"/>
      <c r="U4705" s="19" t="str">
        <f>HYPERLINK("https://pbs.twimg.com/profile_images/1174739996378574850/x9J63jAm.jpg","View")</f>
        <v>View</v>
      </c>
      <c r="V4705" s="8"/>
      <c r="W4705" s="8"/>
      <c r="X4705" s="8"/>
      <c r="Y4705" s="8"/>
      <c r="Z4705" s="8"/>
    </row>
    <row r="4706" spans="1:26" ht="12.75">
      <c r="A4706" s="11">
        <v>43747.109178240746</v>
      </c>
      <c r="B4706" s="12" t="str">
        <f>HYPERLINK("https://twitter.com/AslinazR","@AslinazR")</f>
        <v>@AslinazR</v>
      </c>
      <c r="C4706" s="7" t="s">
        <v>23152</v>
      </c>
      <c r="D4706" s="7" t="s">
        <v>23153</v>
      </c>
      <c r="E4706" s="12" t="str">
        <f>HYPERLINK("https://twitter.com/AslinazR/status/1181866192895651840","1181866192895651840")</f>
        <v>1181866192895651840</v>
      </c>
      <c r="F4706" s="8"/>
      <c r="G4706" s="14" t="s">
        <v>23154</v>
      </c>
      <c r="H4706" s="8"/>
      <c r="I4706" s="15">
        <v>1</v>
      </c>
      <c r="J4706" s="15">
        <v>1</v>
      </c>
      <c r="K4706" s="12" t="str">
        <f>HYPERLINK("http://twitter.com","Twitter Web Client")</f>
        <v>Twitter Web Client</v>
      </c>
      <c r="L4706" s="16">
        <v>5</v>
      </c>
      <c r="M4706" s="16">
        <v>0</v>
      </c>
      <c r="N4706" s="16">
        <v>0</v>
      </c>
      <c r="O4706" s="17"/>
      <c r="P4706" s="18">
        <v>43683.821851851855</v>
      </c>
      <c r="Q4706" s="7" t="s">
        <v>4987</v>
      </c>
      <c r="R4706" s="7" t="s">
        <v>23155</v>
      </c>
      <c r="S4706" s="8"/>
      <c r="T4706" s="8"/>
      <c r="U4706" s="19" t="str">
        <f>HYPERLINK("https://pbs.twimg.com/profile_images/1167218323043602432/gVjgRr60.jpg","View")</f>
        <v>View</v>
      </c>
      <c r="V4706" s="8"/>
      <c r="W4706" s="8"/>
      <c r="X4706" s="8"/>
      <c r="Y4706" s="8"/>
      <c r="Z4706" s="8"/>
    </row>
    <row r="4707" spans="1:26" ht="12.75">
      <c r="A4707" s="11">
        <v>43747.109155092592</v>
      </c>
      <c r="B4707" s="12" t="str">
        <f>HYPERLINK("https://twitter.com/Mr_Nobody3535","@Mr_Nobody3535")</f>
        <v>@Mr_Nobody3535</v>
      </c>
      <c r="C4707" s="7" t="s">
        <v>23156</v>
      </c>
      <c r="D4707" s="7" t="s">
        <v>23157</v>
      </c>
      <c r="E4707" s="12" t="str">
        <f>HYPERLINK("https://twitter.com/Mr_Nobody3535/status/1181866184314105857","1181866184314105857")</f>
        <v>1181866184314105857</v>
      </c>
      <c r="F4707" s="15"/>
      <c r="G4707" s="7"/>
      <c r="H4707" s="8"/>
      <c r="I4707" s="15">
        <v>0</v>
      </c>
      <c r="J4707" s="15">
        <v>3</v>
      </c>
      <c r="K4707" s="12" t="str">
        <f>HYPERLINK("http://twitter.com/download/iphone","Twitter for iPhone")</f>
        <v>Twitter for iPhone</v>
      </c>
      <c r="L4707" s="16">
        <v>1667</v>
      </c>
      <c r="M4707" s="16">
        <v>1433</v>
      </c>
      <c r="N4707" s="16">
        <v>0</v>
      </c>
      <c r="O4707" s="17"/>
      <c r="P4707" s="18">
        <v>42915.59275462963</v>
      </c>
      <c r="Q4707" s="7" t="s">
        <v>80</v>
      </c>
      <c r="R4707" s="7" t="s">
        <v>23158</v>
      </c>
      <c r="S4707" s="8"/>
      <c r="T4707" s="8"/>
      <c r="U4707" s="19" t="str">
        <f>HYPERLINK("https://pbs.twimg.com/profile_images/1141975979147112449/5r1icTGf.jpg","View")</f>
        <v>View</v>
      </c>
      <c r="V4707" s="8"/>
      <c r="W4707" s="8"/>
      <c r="X4707" s="8"/>
      <c r="Y4707" s="8"/>
      <c r="Z4707" s="8"/>
    </row>
    <row r="4708" spans="1:26" ht="12.75">
      <c r="A4708" s="11">
        <v>43747.1090625</v>
      </c>
      <c r="B4708" s="12" t="str">
        <f>HYPERLINK("https://twitter.com/onurgiderr","@onurgiderr")</f>
        <v>@onurgiderr</v>
      </c>
      <c r="C4708" s="7" t="s">
        <v>10813</v>
      </c>
      <c r="D4708" s="7" t="s">
        <v>23159</v>
      </c>
      <c r="E4708" s="12" t="str">
        <f>HYPERLINK("https://twitter.com/onurgiderr/status/1181866152370343937","1181866152370343937")</f>
        <v>1181866152370343937</v>
      </c>
      <c r="F4708" s="8"/>
      <c r="G4708" s="7"/>
      <c r="H4708" s="8"/>
      <c r="I4708" s="15">
        <v>0</v>
      </c>
      <c r="J4708" s="15">
        <v>1</v>
      </c>
      <c r="K4708" s="12" t="str">
        <f>HYPERLINK("http://twitter.com/download/android","Twitter for Android")</f>
        <v>Twitter for Android</v>
      </c>
      <c r="L4708" s="16">
        <v>45</v>
      </c>
      <c r="M4708" s="16">
        <v>29</v>
      </c>
      <c r="N4708" s="16">
        <v>0</v>
      </c>
      <c r="O4708" s="17"/>
      <c r="P4708" s="18">
        <v>43457.450949074075</v>
      </c>
      <c r="Q4708" s="8"/>
      <c r="R4708" s="8"/>
      <c r="S4708" s="8"/>
      <c r="T4708" s="8"/>
      <c r="U4708" s="19" t="str">
        <f>HYPERLINK("https://pbs.twimg.com/profile_images/1170118184571199493/YFJRkAyU.jpg","View")</f>
        <v>View</v>
      </c>
      <c r="V4708" s="8"/>
      <c r="W4708" s="8"/>
      <c r="X4708" s="8"/>
      <c r="Y4708" s="8"/>
      <c r="Z4708" s="8"/>
    </row>
    <row r="4709" spans="1:26" ht="12.75">
      <c r="A4709" s="11">
        <v>43747.109039351853</v>
      </c>
      <c r="B4709" s="12" t="str">
        <f>HYPERLINK("https://twitter.com/mhmtcrbg","@mhmtcrbg")</f>
        <v>@mhmtcrbg</v>
      </c>
      <c r="C4709" s="7" t="s">
        <v>23160</v>
      </c>
      <c r="D4709" s="7" t="s">
        <v>23161</v>
      </c>
      <c r="E4709" s="12" t="str">
        <f>HYPERLINK("https://twitter.com/mhmtcrbg/status/1181866146393460737","1181866146393460737")</f>
        <v>1181866146393460737</v>
      </c>
      <c r="F4709" s="8"/>
      <c r="G4709" s="14" t="s">
        <v>23162</v>
      </c>
      <c r="H4709" s="8"/>
      <c r="I4709" s="15">
        <v>0</v>
      </c>
      <c r="J4709" s="15">
        <v>3</v>
      </c>
      <c r="K4709" s="12" t="str">
        <f>HYPERLINK("http://twitter.com/download/iphone","Twitter for iPhone")</f>
        <v>Twitter for iPhone</v>
      </c>
      <c r="L4709" s="16">
        <v>1094</v>
      </c>
      <c r="M4709" s="16">
        <v>2964</v>
      </c>
      <c r="N4709" s="16">
        <v>0</v>
      </c>
      <c r="O4709" s="17"/>
      <c r="P4709" s="18">
        <v>43105.308935185181</v>
      </c>
      <c r="Q4709" s="7" t="s">
        <v>313</v>
      </c>
      <c r="R4709" s="7"/>
      <c r="S4709" s="14" t="s">
        <v>23163</v>
      </c>
      <c r="T4709" s="8"/>
      <c r="U4709" s="19" t="str">
        <f>HYPERLINK("https://pbs.twimg.com/profile_images/1173599498448396289/uCHOfZWH.jpg","View")</f>
        <v>View</v>
      </c>
      <c r="V4709" s="8"/>
      <c r="W4709" s="8"/>
      <c r="X4709" s="8"/>
      <c r="Y4709" s="8"/>
      <c r="Z4709" s="8"/>
    </row>
    <row r="4710" spans="1:26" ht="12.75">
      <c r="A4710" s="11">
        <v>43747.108993055561</v>
      </c>
      <c r="B4710" s="12" t="str">
        <f>HYPERLINK("https://twitter.com/Bier44","@Bier44")</f>
        <v>@Bier44</v>
      </c>
      <c r="C4710" s="7" t="s">
        <v>23164</v>
      </c>
      <c r="D4710" s="7" t="s">
        <v>23165</v>
      </c>
      <c r="E4710" s="12" t="str">
        <f>HYPERLINK("https://twitter.com/Bier44/status/1181866126776717317","1181866126776717317")</f>
        <v>1181866126776717317</v>
      </c>
      <c r="F4710" s="8"/>
      <c r="G4710" s="14" t="s">
        <v>23166</v>
      </c>
      <c r="H4710" s="8"/>
      <c r="I4710" s="15">
        <v>0</v>
      </c>
      <c r="J4710" s="15">
        <v>1</v>
      </c>
      <c r="K4710" s="12" t="str">
        <f>HYPERLINK("http://twitter.com/download/android","Twitter for Android")</f>
        <v>Twitter for Android</v>
      </c>
      <c r="L4710" s="16">
        <v>77</v>
      </c>
      <c r="M4710" s="16">
        <v>629</v>
      </c>
      <c r="N4710" s="16">
        <v>0</v>
      </c>
      <c r="O4710" s="17"/>
      <c r="P4710" s="18">
        <v>41474.571909722225</v>
      </c>
      <c r="Q4710" s="7"/>
      <c r="R4710" s="8" t="s">
        <v>23167</v>
      </c>
      <c r="S4710" s="8"/>
      <c r="T4710" s="8"/>
      <c r="U4710" s="19" t="str">
        <f>HYPERLINK("https://pbs.twimg.com/profile_images/1181338866223063041/m3ELrK2e.jpg","View")</f>
        <v>View</v>
      </c>
      <c r="V4710" s="8"/>
      <c r="W4710" s="8"/>
      <c r="X4710" s="8"/>
      <c r="Y4710" s="8"/>
      <c r="Z4710" s="8"/>
    </row>
    <row r="4711" spans="1:26" ht="12.75">
      <c r="A4711" s="11">
        <v>43747.108969907407</v>
      </c>
      <c r="B4711" s="12" t="str">
        <f>HYPERLINK("https://twitter.com/scofieldsuse","@scofieldsuse")</f>
        <v>@scofieldsuse</v>
      </c>
      <c r="C4711" s="7" t="s">
        <v>23168</v>
      </c>
      <c r="D4711" s="7" t="s">
        <v>23169</v>
      </c>
      <c r="E4711" s="12" t="str">
        <f>HYPERLINK("https://twitter.com/scofieldsuse/status/1181866119885393920","1181866119885393920")</f>
        <v>1181866119885393920</v>
      </c>
      <c r="F4711" s="8"/>
      <c r="G4711" s="14" t="s">
        <v>23170</v>
      </c>
      <c r="H4711" s="8"/>
      <c r="I4711" s="15">
        <v>0</v>
      </c>
      <c r="J4711" s="15">
        <v>4</v>
      </c>
      <c r="K4711" s="12" t="str">
        <f>HYPERLINK("http://twitter.com/download/android","Twitter for Android")</f>
        <v>Twitter for Android</v>
      </c>
      <c r="L4711" s="16">
        <v>0</v>
      </c>
      <c r="M4711" s="16">
        <v>33</v>
      </c>
      <c r="N4711" s="16">
        <v>0</v>
      </c>
      <c r="O4711" s="17"/>
      <c r="P4711" s="18">
        <v>43584.219513888893</v>
      </c>
      <c r="Q4711" s="7" t="s">
        <v>6551</v>
      </c>
      <c r="R4711" s="7" t="s">
        <v>23171</v>
      </c>
      <c r="S4711" s="15"/>
      <c r="T4711" s="8"/>
      <c r="U4711" s="19" t="str">
        <f>HYPERLINK("https://pbs.twimg.com/profile_images/1147170171938885635/WJmVEMUj.jpg","View")</f>
        <v>View</v>
      </c>
      <c r="V4711" s="8"/>
      <c r="W4711" s="8"/>
      <c r="X4711" s="8"/>
      <c r="Y4711" s="8"/>
      <c r="Z4711" s="8"/>
    </row>
    <row r="4712" spans="1:26" ht="12.75">
      <c r="A4712" s="11">
        <v>43747.108946759261</v>
      </c>
      <c r="B4712" s="12" t="str">
        <f>HYPERLINK("https://twitter.com/Erol69528234","@Erol69528234")</f>
        <v>@Erol69528234</v>
      </c>
      <c r="C4712" s="7" t="s">
        <v>23172</v>
      </c>
      <c r="D4712" s="7" t="s">
        <v>160</v>
      </c>
      <c r="E4712" s="12" t="str">
        <f>HYPERLINK("https://twitter.com/Erol69528234/status/1181866110213382146","1181866110213382146")</f>
        <v>1181866110213382146</v>
      </c>
      <c r="F4712" s="8"/>
      <c r="G4712" s="14" t="s">
        <v>23173</v>
      </c>
      <c r="H4712" s="8"/>
      <c r="I4712" s="15">
        <v>0</v>
      </c>
      <c r="J4712" s="15">
        <v>0</v>
      </c>
      <c r="K4712" s="12" t="str">
        <f>HYPERLINK("http://twitter.com/download/android","Twitter for Android")</f>
        <v>Twitter for Android</v>
      </c>
      <c r="L4712" s="16">
        <v>123</v>
      </c>
      <c r="M4712" s="16">
        <v>246</v>
      </c>
      <c r="N4712" s="16">
        <v>0</v>
      </c>
      <c r="O4712" s="17"/>
      <c r="P4712" s="18">
        <v>43586.357824074075</v>
      </c>
      <c r="Q4712" s="8" t="s">
        <v>69</v>
      </c>
      <c r="R4712" s="7" t="s">
        <v>23174</v>
      </c>
      <c r="S4712" s="8"/>
      <c r="T4712" s="8"/>
      <c r="U4712" s="19" t="str">
        <f>HYPERLINK("https://pbs.twimg.com/profile_images/1181312864688017408/j6W5jMDE.jpg","View")</f>
        <v>View</v>
      </c>
      <c r="V4712" s="8"/>
      <c r="W4712" s="8"/>
      <c r="X4712" s="8"/>
      <c r="Y4712" s="8"/>
      <c r="Z4712" s="8"/>
    </row>
    <row r="4713" spans="1:26" ht="12.75">
      <c r="A4713" s="11">
        <v>43747.108923611115</v>
      </c>
      <c r="B4713" s="12" t="str">
        <f>HYPERLINK("https://twitter.com/eyupguneysu","@eyupguneysu")</f>
        <v>@eyupguneysu</v>
      </c>
      <c r="C4713" s="7" t="s">
        <v>2062</v>
      </c>
      <c r="D4713" s="7" t="s">
        <v>23175</v>
      </c>
      <c r="E4713" s="12" t="str">
        <f>HYPERLINK("https://twitter.com/eyupguneysu/status/1181866100637798400","1181866100637798400")</f>
        <v>1181866100637798400</v>
      </c>
      <c r="F4713" s="8"/>
      <c r="G4713" s="7"/>
      <c r="H4713" s="8"/>
      <c r="I4713" s="15">
        <v>0</v>
      </c>
      <c r="J4713" s="15">
        <v>0</v>
      </c>
      <c r="K4713" s="12" t="str">
        <f>HYPERLINK("https://mobile.twitter.com","Twitter Web App")</f>
        <v>Twitter Web App</v>
      </c>
      <c r="L4713" s="16">
        <v>111</v>
      </c>
      <c r="M4713" s="16">
        <v>175</v>
      </c>
      <c r="N4713" s="16">
        <v>0</v>
      </c>
      <c r="O4713" s="17"/>
      <c r="P4713" s="18">
        <v>40224.174791666665</v>
      </c>
      <c r="Q4713" s="8" t="s">
        <v>860</v>
      </c>
      <c r="R4713" s="7"/>
      <c r="S4713" s="8"/>
      <c r="T4713" s="8"/>
      <c r="U4713" s="19" t="str">
        <f>HYPERLINK("https://pbs.twimg.com/profile_images/1181315374463119360/Aq0s2JZq.jpg","View")</f>
        <v>View</v>
      </c>
      <c r="V4713" s="8"/>
      <c r="W4713" s="8"/>
      <c r="X4713" s="8"/>
      <c r="Y4713" s="8"/>
      <c r="Z4713" s="8"/>
    </row>
    <row r="4714" spans="1:26" ht="12.75">
      <c r="A4714" s="11">
        <v>43747.108877314815</v>
      </c>
      <c r="B4714" s="12" t="str">
        <f>HYPERLINK("https://twitter.com/EmreGkt34320017","@EmreGkt34320017")</f>
        <v>@EmreGkt34320017</v>
      </c>
      <c r="C4714" s="7" t="s">
        <v>23176</v>
      </c>
      <c r="D4714" s="7" t="s">
        <v>23177</v>
      </c>
      <c r="E4714" s="12" t="str">
        <f>HYPERLINK("https://twitter.com/EmreGkt34320017/status/1181866086859513857","1181866086859513857")</f>
        <v>1181866086859513857</v>
      </c>
      <c r="F4714" s="8"/>
      <c r="G4714" s="14" t="s">
        <v>23178</v>
      </c>
      <c r="H4714" s="8"/>
      <c r="I4714" s="15">
        <v>0</v>
      </c>
      <c r="J4714" s="15">
        <v>2</v>
      </c>
      <c r="K4714" s="12" t="str">
        <f>HYPERLINK("http://twitter.com/download/android","Twitter for Android")</f>
        <v>Twitter for Android</v>
      </c>
      <c r="L4714" s="16">
        <v>0</v>
      </c>
      <c r="M4714" s="16">
        <v>43</v>
      </c>
      <c r="N4714" s="16">
        <v>0</v>
      </c>
      <c r="O4714" s="17"/>
      <c r="P4714" s="18">
        <v>43273.880381944444</v>
      </c>
      <c r="Q4714" s="7"/>
      <c r="R4714" s="7"/>
      <c r="S4714" s="8"/>
      <c r="T4714" s="8"/>
      <c r="U4714" s="19" t="str">
        <f>HYPERLINK("https://pbs.twimg.com/profile_images/1060275117966721032/Q7IPGGHr.jpg","View")</f>
        <v>View</v>
      </c>
      <c r="V4714" s="8"/>
      <c r="W4714" s="8"/>
      <c r="X4714" s="8"/>
      <c r="Y4714" s="8"/>
      <c r="Z4714" s="8"/>
    </row>
    <row r="4715" spans="1:26" ht="12.75">
      <c r="A4715" s="11">
        <v>43747.108854166669</v>
      </c>
      <c r="B4715" s="12" t="str">
        <f>HYPERLINK("https://twitter.com/mrc_morning","@mrc_morning")</f>
        <v>@mrc_morning</v>
      </c>
      <c r="C4715" s="7" t="s">
        <v>23179</v>
      </c>
      <c r="D4715" s="7" t="s">
        <v>23180</v>
      </c>
      <c r="E4715" s="12" t="str">
        <f>HYPERLINK("https://twitter.com/mrc_morning/status/1181866078470856704","1181866078470856704")</f>
        <v>1181866078470856704</v>
      </c>
      <c r="F4715" s="8"/>
      <c r="G4715" s="14" t="s">
        <v>23181</v>
      </c>
      <c r="H4715" s="8"/>
      <c r="I4715" s="15">
        <v>0</v>
      </c>
      <c r="J4715" s="15">
        <v>3</v>
      </c>
      <c r="K4715" s="12" t="str">
        <f>HYPERLINK("http://twitter.com/download/android","Twitter for Android")</f>
        <v>Twitter for Android</v>
      </c>
      <c r="L4715" s="16">
        <v>255</v>
      </c>
      <c r="M4715" s="16">
        <v>252</v>
      </c>
      <c r="N4715" s="16">
        <v>0</v>
      </c>
      <c r="O4715" s="17"/>
      <c r="P4715" s="18">
        <v>42780.356631944444</v>
      </c>
      <c r="Q4715" s="8" t="s">
        <v>2576</v>
      </c>
      <c r="R4715" s="7" t="s">
        <v>23182</v>
      </c>
      <c r="S4715" s="8"/>
      <c r="T4715" s="8"/>
      <c r="U4715" s="19" t="str">
        <f>HYPERLINK("https://pbs.twimg.com/profile_images/1141294070091931648/i-p4HY3R.jpg","View")</f>
        <v>View</v>
      </c>
      <c r="V4715" s="8"/>
      <c r="W4715" s="8"/>
      <c r="X4715" s="8"/>
      <c r="Y4715" s="8"/>
      <c r="Z4715" s="8"/>
    </row>
    <row r="4716" spans="1:26" ht="12.75">
      <c r="A4716" s="11">
        <v>43747.108831018515</v>
      </c>
      <c r="B4716" s="12" t="str">
        <f>HYPERLINK("https://twitter.com/1_TekMillet","@1_TekMillet")</f>
        <v>@1_TekMillet</v>
      </c>
      <c r="C4716" s="7" t="s">
        <v>23183</v>
      </c>
      <c r="D4716" s="7" t="s">
        <v>23184</v>
      </c>
      <c r="E4716" s="12" t="str">
        <f>HYPERLINK("https://twitter.com/1_TekMillet/status/1181866070367490050","1181866070367490050")</f>
        <v>1181866070367490050</v>
      </c>
      <c r="F4716" s="14" t="s">
        <v>23185</v>
      </c>
      <c r="G4716" s="14" t="s">
        <v>23186</v>
      </c>
      <c r="H4716" s="8"/>
      <c r="I4716" s="15">
        <v>1</v>
      </c>
      <c r="J4716" s="15">
        <v>2</v>
      </c>
      <c r="K4716" s="12" t="str">
        <f>HYPERLINK("http://twitter.com/download/android","Twitter for Android")</f>
        <v>Twitter for Android</v>
      </c>
      <c r="L4716" s="16">
        <v>26298</v>
      </c>
      <c r="M4716" s="16">
        <v>23937</v>
      </c>
      <c r="N4716" s="16">
        <v>22</v>
      </c>
      <c r="O4716" s="17"/>
      <c r="P4716" s="18">
        <v>42079.443553240737</v>
      </c>
      <c r="Q4716" s="7" t="s">
        <v>576</v>
      </c>
      <c r="R4716" s="7" t="s">
        <v>23187</v>
      </c>
      <c r="S4716" s="15"/>
      <c r="T4716" s="8"/>
      <c r="U4716" s="19" t="str">
        <f>HYPERLINK("https://pbs.twimg.com/profile_images/1158406188268216321/c6777cdj.jpg","View")</f>
        <v>View</v>
      </c>
      <c r="V4716" s="8"/>
      <c r="W4716" s="8"/>
      <c r="X4716" s="8"/>
      <c r="Y4716" s="8"/>
      <c r="Z4716" s="8"/>
    </row>
    <row r="4717" spans="1:26" ht="12.75">
      <c r="A4717" s="11">
        <v>43747.108831018515</v>
      </c>
      <c r="B4717" s="12" t="str">
        <f>HYPERLINK("https://twitter.com/__HABERCI_","@__HABERCI_")</f>
        <v>@__HABERCI_</v>
      </c>
      <c r="C4717" s="7" t="s">
        <v>23188</v>
      </c>
      <c r="D4717" s="7" t="s">
        <v>23189</v>
      </c>
      <c r="E4717" s="12" t="str">
        <f>HYPERLINK("https://twitter.com/__HABERCI_/status/1181866069696364544","1181866069696364544")</f>
        <v>1181866069696364544</v>
      </c>
      <c r="F4717" s="8"/>
      <c r="G4717" s="14" t="s">
        <v>23190</v>
      </c>
      <c r="H4717" s="8"/>
      <c r="I4717" s="15">
        <v>0</v>
      </c>
      <c r="J4717" s="15">
        <v>2</v>
      </c>
      <c r="K4717" s="12" t="str">
        <f>HYPERLINK("https://mobile.twitter.com","Twitter Web App")</f>
        <v>Twitter Web App</v>
      </c>
      <c r="L4717" s="16">
        <v>12</v>
      </c>
      <c r="M4717" s="16">
        <v>110</v>
      </c>
      <c r="N4717" s="16">
        <v>0</v>
      </c>
      <c r="O4717" s="17"/>
      <c r="P4717" s="18">
        <v>43682.928182870368</v>
      </c>
      <c r="Q4717" s="8"/>
      <c r="R4717" s="7" t="s">
        <v>807</v>
      </c>
      <c r="S4717" s="8"/>
      <c r="T4717" s="8"/>
      <c r="U4717" s="19" t="str">
        <f>HYPERLINK("https://pbs.twimg.com/profile_images/1158608005409202176/pvr-Dgiy.jpg","View")</f>
        <v>View</v>
      </c>
      <c r="V4717" s="8"/>
      <c r="W4717" s="8"/>
      <c r="X4717" s="8"/>
      <c r="Y4717" s="8"/>
      <c r="Z4717" s="8"/>
    </row>
    <row r="4718" spans="1:26" ht="12.75">
      <c r="A4718" s="11">
        <v>43747.108796296292</v>
      </c>
      <c r="B4718" s="12" t="str">
        <f>HYPERLINK("https://twitter.com/Glhn_Almila","@Glhn_Almila")</f>
        <v>@Glhn_Almila</v>
      </c>
      <c r="C4718" s="7" t="s">
        <v>23191</v>
      </c>
      <c r="D4718" s="7" t="s">
        <v>23192</v>
      </c>
      <c r="E4718" s="12" t="str">
        <f>HYPERLINK("https://twitter.com/Glhn_Almila/status/1181866058036236288","1181866058036236288")</f>
        <v>1181866058036236288</v>
      </c>
      <c r="F4718" s="8"/>
      <c r="G4718" s="15"/>
      <c r="H4718" s="8"/>
      <c r="I4718" s="15">
        <v>0</v>
      </c>
      <c r="J4718" s="15">
        <v>1</v>
      </c>
      <c r="K4718" s="12" t="str">
        <f>HYPERLINK("http://twitter.com/download/android","Twitter for Android")</f>
        <v>Twitter for Android</v>
      </c>
      <c r="L4718" s="16">
        <v>58</v>
      </c>
      <c r="M4718" s="16">
        <v>142</v>
      </c>
      <c r="N4718" s="16">
        <v>0</v>
      </c>
      <c r="O4718" s="17"/>
      <c r="P4718" s="18">
        <v>40820.154606481483</v>
      </c>
      <c r="Q4718" s="8" t="s">
        <v>23193</v>
      </c>
      <c r="R4718" s="7" t="s">
        <v>23194</v>
      </c>
      <c r="S4718" s="8"/>
      <c r="T4718" s="8"/>
      <c r="U4718" s="19" t="str">
        <f>HYPERLINK("https://pbs.twimg.com/profile_images/887540897986031619/XZLJ_I3o.jpg","View")</f>
        <v>View</v>
      </c>
      <c r="V4718" s="8"/>
      <c r="W4718" s="8"/>
      <c r="X4718" s="8"/>
      <c r="Y4718" s="8"/>
      <c r="Z4718" s="8"/>
    </row>
    <row r="4719" spans="1:26" ht="12.75">
      <c r="A4719" s="11">
        <v>43747.108784722222</v>
      </c>
      <c r="B4719" s="12" t="str">
        <f>HYPERLINK("https://twitter.com/ramonnmulaa","@ramonnmulaa")</f>
        <v>@ramonnmulaa</v>
      </c>
      <c r="C4719" s="7" t="s">
        <v>23195</v>
      </c>
      <c r="D4719" s="7" t="s">
        <v>160</v>
      </c>
      <c r="E4719" s="12" t="str">
        <f>HYPERLINK("https://twitter.com/ramonnmulaa/status/1181866052273283073","1181866052273283073")</f>
        <v>1181866052273283073</v>
      </c>
      <c r="F4719" s="8"/>
      <c r="G4719" s="15"/>
      <c r="H4719" s="8"/>
      <c r="I4719" s="15">
        <v>0</v>
      </c>
      <c r="J4719" s="15">
        <v>0</v>
      </c>
      <c r="K4719" s="12" t="str">
        <f>HYPERLINK("http://twitter.com/download/iphone","Twitter for iPhone")</f>
        <v>Twitter for iPhone</v>
      </c>
      <c r="L4719" s="16">
        <v>2</v>
      </c>
      <c r="M4719" s="16">
        <v>13</v>
      </c>
      <c r="N4719" s="16">
        <v>0</v>
      </c>
      <c r="O4719" s="17"/>
      <c r="P4719" s="18">
        <v>40740.29488425926</v>
      </c>
      <c r="Q4719" s="8"/>
      <c r="R4719" s="7"/>
      <c r="S4719" s="8"/>
      <c r="T4719" s="8"/>
      <c r="U4719" s="19" t="str">
        <f>HYPERLINK("https://pbs.twimg.com/profile_images/1166751143550160897/MuNQ6pKy.jpg","View")</f>
        <v>View</v>
      </c>
      <c r="V4719" s="8"/>
      <c r="W4719" s="8"/>
      <c r="X4719" s="8"/>
      <c r="Y4719" s="8"/>
      <c r="Z4719" s="8"/>
    </row>
    <row r="4720" spans="1:26" ht="12.75">
      <c r="A4720" s="11">
        <v>43747.108749999999</v>
      </c>
      <c r="B4720" s="12" t="str">
        <f>HYPERLINK("https://twitter.com/eminapaa","@eminapaa")</f>
        <v>@eminapaa</v>
      </c>
      <c r="C4720" s="7" t="s">
        <v>23196</v>
      </c>
      <c r="D4720" s="7" t="s">
        <v>23197</v>
      </c>
      <c r="E4720" s="12" t="str">
        <f>HYPERLINK("https://twitter.com/eminapaa/status/1181866039019261953","1181866039019261953")</f>
        <v>1181866039019261953</v>
      </c>
      <c r="F4720" s="8"/>
      <c r="G4720" s="14" t="s">
        <v>23198</v>
      </c>
      <c r="H4720" s="8"/>
      <c r="I4720" s="15">
        <v>0</v>
      </c>
      <c r="J4720" s="15">
        <v>3</v>
      </c>
      <c r="K4720" s="12" t="str">
        <f>HYPERLINK("http://twitter.com/download/iphone","Twitter for iPhone")</f>
        <v>Twitter for iPhone</v>
      </c>
      <c r="L4720" s="16">
        <v>179</v>
      </c>
      <c r="M4720" s="16">
        <v>196</v>
      </c>
      <c r="N4720" s="16">
        <v>0</v>
      </c>
      <c r="O4720" s="17"/>
      <c r="P4720" s="18">
        <v>40198.120185185187</v>
      </c>
      <c r="Q4720" s="8" t="s">
        <v>23199</v>
      </c>
      <c r="R4720" s="7" t="s">
        <v>23200</v>
      </c>
      <c r="S4720" s="8"/>
      <c r="T4720" s="8"/>
      <c r="U4720" s="19" t="str">
        <f>HYPERLINK("https://pbs.twimg.com/profile_images/1180926996039262208/75HshATO.jpg","View")</f>
        <v>View</v>
      </c>
      <c r="V4720" s="8"/>
      <c r="W4720" s="8"/>
      <c r="X4720" s="8"/>
      <c r="Y4720" s="8"/>
      <c r="Z4720" s="8"/>
    </row>
    <row r="4721" spans="1:26" ht="12.75">
      <c r="A4721" s="11">
        <v>43747.10873842593</v>
      </c>
      <c r="B4721" s="12" t="str">
        <f>HYPERLINK("https://twitter.com/mustafagredr","@mustafagredr")</f>
        <v>@mustafagredr</v>
      </c>
      <c r="C4721" s="7" t="s">
        <v>23201</v>
      </c>
      <c r="D4721" s="7" t="s">
        <v>160</v>
      </c>
      <c r="E4721" s="12" t="str">
        <f>HYPERLINK("https://twitter.com/mustafagredr/status/1181866035982540800","1181866035982540800")</f>
        <v>1181866035982540800</v>
      </c>
      <c r="F4721" s="8"/>
      <c r="G4721" s="14" t="s">
        <v>23202</v>
      </c>
      <c r="H4721" s="8"/>
      <c r="I4721" s="15">
        <v>0</v>
      </c>
      <c r="J4721" s="15">
        <v>1</v>
      </c>
      <c r="K4721" s="12" t="str">
        <f>HYPERLINK("http://twitter.com/download/android","Twitter for Android")</f>
        <v>Twitter for Android</v>
      </c>
      <c r="L4721" s="16">
        <v>375</v>
      </c>
      <c r="M4721" s="16">
        <v>98</v>
      </c>
      <c r="N4721" s="16">
        <v>0</v>
      </c>
      <c r="O4721" s="17"/>
      <c r="P4721" s="18">
        <v>40842.483263888891</v>
      </c>
      <c r="Q4721" s="8"/>
      <c r="R4721" s="7" t="s">
        <v>23203</v>
      </c>
      <c r="S4721" s="8"/>
      <c r="T4721" s="8"/>
      <c r="U4721" s="19" t="str">
        <f>HYPERLINK("https://pbs.twimg.com/profile_images/1152912256809787392/4VVwYg4U.jpg","View")</f>
        <v>View</v>
      </c>
      <c r="V4721" s="8"/>
      <c r="W4721" s="8"/>
      <c r="X4721" s="8"/>
      <c r="Y4721" s="8"/>
      <c r="Z4721" s="8"/>
    </row>
    <row r="4722" spans="1:26" ht="12.75">
      <c r="A4722" s="11">
        <v>43747.108715277776</v>
      </c>
      <c r="B4722" s="12" t="str">
        <f>HYPERLINK("https://twitter.com/keysersoze_x","@keysersoze_x")</f>
        <v>@keysersoze_x</v>
      </c>
      <c r="C4722" s="7" t="s">
        <v>23204</v>
      </c>
      <c r="D4722" s="7" t="s">
        <v>23205</v>
      </c>
      <c r="E4722" s="12" t="str">
        <f>HYPERLINK("https://twitter.com/keysersoze_x/status/1181866026541228033","1181866026541228033")</f>
        <v>1181866026541228033</v>
      </c>
      <c r="F4722" s="8"/>
      <c r="G4722" s="15"/>
      <c r="H4722" s="8"/>
      <c r="I4722" s="15">
        <v>0</v>
      </c>
      <c r="J4722" s="15">
        <v>1</v>
      </c>
      <c r="K4722" s="12" t="str">
        <f>HYPERLINK("http://twitter.com/download/iphone","Twitter for iPhone")</f>
        <v>Twitter for iPhone</v>
      </c>
      <c r="L4722" s="16">
        <v>258</v>
      </c>
      <c r="M4722" s="16">
        <v>149</v>
      </c>
      <c r="N4722" s="16">
        <v>0</v>
      </c>
      <c r="O4722" s="17"/>
      <c r="P4722" s="18">
        <v>40621.234456018516</v>
      </c>
      <c r="Q4722" s="8"/>
      <c r="R4722" s="7" t="s">
        <v>23206</v>
      </c>
      <c r="S4722" s="8"/>
      <c r="T4722" s="8"/>
      <c r="U4722" s="19" t="str">
        <f>HYPERLINK("https://pbs.twimg.com/profile_images/1127220411631058944/_7dLBS7i.jpg","View")</f>
        <v>View</v>
      </c>
      <c r="V4722" s="8"/>
      <c r="W4722" s="8"/>
      <c r="X4722" s="8"/>
      <c r="Y4722" s="8"/>
      <c r="Z4722" s="8"/>
    </row>
    <row r="4723" spans="1:26" ht="12.75">
      <c r="A4723" s="11">
        <v>43747.108703703707</v>
      </c>
      <c r="B4723" s="12" t="str">
        <f>HYPERLINK("https://twitter.com/dostlar19052005","@dostlar19052005")</f>
        <v>@dostlar19052005</v>
      </c>
      <c r="C4723" s="7" t="s">
        <v>23207</v>
      </c>
      <c r="D4723" s="7" t="s">
        <v>23208</v>
      </c>
      <c r="E4723" s="12" t="str">
        <f>HYPERLINK("https://twitter.com/dostlar19052005/status/1181866021805842433","1181866021805842433")</f>
        <v>1181866021805842433</v>
      </c>
      <c r="F4723" s="8"/>
      <c r="G4723" s="14" t="s">
        <v>23209</v>
      </c>
      <c r="H4723" s="8"/>
      <c r="I4723" s="15">
        <v>0</v>
      </c>
      <c r="J4723" s="15">
        <v>8</v>
      </c>
      <c r="K4723" s="12" t="str">
        <f>HYPERLINK("http://twitter.com/download/android","Twitter for Android")</f>
        <v>Twitter for Android</v>
      </c>
      <c r="L4723" s="16">
        <v>55</v>
      </c>
      <c r="M4723" s="16">
        <v>37</v>
      </c>
      <c r="N4723" s="16">
        <v>0</v>
      </c>
      <c r="O4723" s="17"/>
      <c r="P4723" s="18">
        <v>42231.195868055554</v>
      </c>
      <c r="Q4723" s="8"/>
      <c r="R4723" s="8"/>
      <c r="S4723" s="8"/>
      <c r="T4723" s="8"/>
      <c r="U4723" s="19" t="str">
        <f>HYPERLINK("https://pbs.twimg.com/profile_images/1127804384103010304/UaK3Wezc.jpg","View")</f>
        <v>View</v>
      </c>
      <c r="V4723" s="8"/>
      <c r="W4723" s="8"/>
      <c r="X4723" s="8"/>
      <c r="Y4723" s="8"/>
      <c r="Z4723" s="8"/>
    </row>
    <row r="4724" spans="1:26" ht="12.75">
      <c r="A4724" s="11">
        <v>43747.108680555553</v>
      </c>
      <c r="B4724" s="12" t="str">
        <f>HYPERLINK("https://twitter.com/AtillaDis","@AtillaDis")</f>
        <v>@AtillaDis</v>
      </c>
      <c r="C4724" s="7" t="s">
        <v>23210</v>
      </c>
      <c r="D4724" s="7" t="s">
        <v>23211</v>
      </c>
      <c r="E4724" s="12" t="str">
        <f>HYPERLINK("https://twitter.com/AtillaDis/status/1181866015631826950","1181866015631826950")</f>
        <v>1181866015631826950</v>
      </c>
      <c r="F4724" s="8"/>
      <c r="G4724" s="14" t="s">
        <v>23212</v>
      </c>
      <c r="H4724" s="8"/>
      <c r="I4724" s="15">
        <v>0</v>
      </c>
      <c r="J4724" s="15">
        <v>0</v>
      </c>
      <c r="K4724" s="12" t="str">
        <f>HYPERLINK("https://about.twitter.com/products/tweetdeck","TweetDeck")</f>
        <v>TweetDeck</v>
      </c>
      <c r="L4724" s="16">
        <v>1446</v>
      </c>
      <c r="M4724" s="16">
        <v>713</v>
      </c>
      <c r="N4724" s="16">
        <v>13</v>
      </c>
      <c r="O4724" s="17"/>
      <c r="P4724" s="18">
        <v>40481.097395833334</v>
      </c>
      <c r="Q4724" s="7" t="s">
        <v>1827</v>
      </c>
      <c r="R4724" s="7" t="s">
        <v>23213</v>
      </c>
      <c r="S4724" s="8"/>
      <c r="T4724" s="8"/>
      <c r="U4724" s="19" t="str">
        <f>HYPERLINK("https://pbs.twimg.com/profile_images/1123978832313311233/KZg22yHV.jpg","View")</f>
        <v>View</v>
      </c>
      <c r="V4724" s="8"/>
      <c r="W4724" s="8"/>
      <c r="X4724" s="8"/>
      <c r="Y4724" s="8"/>
      <c r="Z4724" s="8"/>
    </row>
    <row r="4725" spans="1:26" ht="12.75">
      <c r="A4725" s="11">
        <v>43747.108680555553</v>
      </c>
      <c r="B4725" s="12" t="str">
        <f>HYPERLINK("https://twitter.com/Dilanur_gumus","@Dilanur_gumus")</f>
        <v>@Dilanur_gumus</v>
      </c>
      <c r="C4725" s="7" t="s">
        <v>23214</v>
      </c>
      <c r="D4725" s="7" t="s">
        <v>23215</v>
      </c>
      <c r="E4725" s="12" t="str">
        <f>HYPERLINK("https://twitter.com/Dilanur_gumus/status/1181866013798932485","1181866013798932485")</f>
        <v>1181866013798932485</v>
      </c>
      <c r="F4725" s="15"/>
      <c r="G4725" s="15"/>
      <c r="H4725" s="8"/>
      <c r="I4725" s="15">
        <v>0</v>
      </c>
      <c r="J4725" s="15">
        <v>0</v>
      </c>
      <c r="K4725" s="12" t="str">
        <f>HYPERLINK("http://twitter.com/download/android","Twitter for Android")</f>
        <v>Twitter for Android</v>
      </c>
      <c r="L4725" s="16">
        <v>159</v>
      </c>
      <c r="M4725" s="16">
        <v>155</v>
      </c>
      <c r="N4725" s="16">
        <v>0</v>
      </c>
      <c r="O4725" s="17"/>
      <c r="P4725" s="18">
        <v>41572.181666666671</v>
      </c>
      <c r="Q4725" s="7" t="s">
        <v>23216</v>
      </c>
      <c r="R4725" s="7" t="s">
        <v>23217</v>
      </c>
      <c r="S4725" s="8"/>
      <c r="T4725" s="8"/>
      <c r="U4725" s="19" t="str">
        <f>HYPERLINK("https://pbs.twimg.com/profile_images/1148193113799909376/JdJ1rO8h.jpg","View")</f>
        <v>View</v>
      </c>
      <c r="V4725" s="8"/>
      <c r="W4725" s="8"/>
      <c r="X4725" s="8"/>
      <c r="Y4725" s="8"/>
      <c r="Z4725" s="8"/>
    </row>
    <row r="4726" spans="1:26" ht="12.75">
      <c r="A4726" s="11">
        <v>43747.108680555553</v>
      </c>
      <c r="B4726" s="12" t="str">
        <f>HYPERLINK("https://twitter.com/hakankarakc","@hakankarakc")</f>
        <v>@hakankarakc</v>
      </c>
      <c r="C4726" s="7" t="s">
        <v>23218</v>
      </c>
      <c r="D4726" s="7" t="s">
        <v>16316</v>
      </c>
      <c r="E4726" s="12" t="str">
        <f>HYPERLINK("https://twitter.com/hakankarakc/status/1181866013215903745","1181866013215903745")</f>
        <v>1181866013215903745</v>
      </c>
      <c r="F4726" s="8"/>
      <c r="G4726" s="14" t="s">
        <v>23219</v>
      </c>
      <c r="H4726" s="8"/>
      <c r="I4726" s="15">
        <v>0</v>
      </c>
      <c r="J4726" s="15">
        <v>0</v>
      </c>
      <c r="K4726" s="12" t="str">
        <f>HYPERLINK("http://twitter.com/download/iphone","Twitter for iPhone")</f>
        <v>Twitter for iPhone</v>
      </c>
      <c r="L4726" s="16">
        <v>329</v>
      </c>
      <c r="M4726" s="16">
        <v>329</v>
      </c>
      <c r="N4726" s="16">
        <v>0</v>
      </c>
      <c r="O4726" s="17"/>
      <c r="P4726" s="18">
        <v>41370.35328703704</v>
      </c>
      <c r="Q4726" s="7" t="s">
        <v>13705</v>
      </c>
      <c r="R4726" s="7" t="s">
        <v>17817</v>
      </c>
      <c r="S4726" s="14" t="s">
        <v>23220</v>
      </c>
      <c r="T4726" s="8"/>
      <c r="U4726" s="19" t="str">
        <f>HYPERLINK("https://pbs.twimg.com/profile_images/1181048792675692545/3-1RqEl6.jpg","View")</f>
        <v>View</v>
      </c>
      <c r="V4726" s="8"/>
      <c r="W4726" s="8"/>
      <c r="X4726" s="8"/>
      <c r="Y4726" s="8"/>
      <c r="Z4726" s="8"/>
    </row>
    <row r="4727" spans="1:26" ht="12.75">
      <c r="A4727" s="11">
        <v>43747.108622685184</v>
      </c>
      <c r="B4727" s="12" t="str">
        <f>HYPERLINK("https://twitter.com/laciverttime","@laciverttime")</f>
        <v>@laciverttime</v>
      </c>
      <c r="C4727" s="7" t="s">
        <v>23221</v>
      </c>
      <c r="D4727" s="7" t="s">
        <v>23222</v>
      </c>
      <c r="E4727" s="12" t="str">
        <f>HYPERLINK("https://twitter.com/laciverttime/status/1181865994442170371","1181865994442170371")</f>
        <v>1181865994442170371</v>
      </c>
      <c r="F4727" s="8"/>
      <c r="G4727" s="15"/>
      <c r="H4727" s="8"/>
      <c r="I4727" s="15">
        <v>0</v>
      </c>
      <c r="J4727" s="15">
        <v>1</v>
      </c>
      <c r="K4727" s="12" t="str">
        <f>HYPERLINK("http://twitter.com/download/iphone","Twitter for iPhone")</f>
        <v>Twitter for iPhone</v>
      </c>
      <c r="L4727" s="16">
        <v>1</v>
      </c>
      <c r="M4727" s="16">
        <v>1053</v>
      </c>
      <c r="N4727" s="16">
        <v>0</v>
      </c>
      <c r="O4727" s="20"/>
      <c r="P4727" s="18">
        <v>40692.484467592592</v>
      </c>
      <c r="Q4727" s="8" t="s">
        <v>200</v>
      </c>
      <c r="R4727" s="7"/>
      <c r="S4727" s="14" t="s">
        <v>1569</v>
      </c>
      <c r="T4727" s="8"/>
      <c r="U4727" s="19" t="str">
        <f>HYPERLINK("https://pbs.twimg.com/profile_images/625663226424987648/EetOrDh-.jpg","View")</f>
        <v>View</v>
      </c>
      <c r="V4727" s="8"/>
      <c r="W4727" s="8"/>
      <c r="X4727" s="8"/>
      <c r="Y4727" s="8"/>
      <c r="Z4727" s="8"/>
    </row>
    <row r="4728" spans="1:26" ht="12.75">
      <c r="A4728" s="11">
        <v>43747.108564814815</v>
      </c>
      <c r="B4728" s="12" t="str">
        <f>HYPERLINK("https://twitter.com/sonsuz_hikaye","@sonsuz_hikaye")</f>
        <v>@sonsuz_hikaye</v>
      </c>
      <c r="C4728" s="7" t="s">
        <v>23223</v>
      </c>
      <c r="D4728" s="7" t="s">
        <v>23224</v>
      </c>
      <c r="E4728" s="12" t="str">
        <f>HYPERLINK("https://twitter.com/sonsuz_hikaye/status/1181865971176349696","1181865971176349696")</f>
        <v>1181865971176349696</v>
      </c>
      <c r="F4728" s="8"/>
      <c r="G4728" s="15"/>
      <c r="H4728" s="8"/>
      <c r="I4728" s="15">
        <v>0</v>
      </c>
      <c r="J4728" s="15">
        <v>1</v>
      </c>
      <c r="K4728" s="12" t="str">
        <f>HYPERLINK("http://twitter.com/download/android","Twitter for Android")</f>
        <v>Twitter for Android</v>
      </c>
      <c r="L4728" s="16">
        <v>50</v>
      </c>
      <c r="M4728" s="16">
        <v>34</v>
      </c>
      <c r="N4728" s="16">
        <v>0</v>
      </c>
      <c r="O4728" s="17"/>
      <c r="P4728" s="18">
        <v>43487.319212962961</v>
      </c>
      <c r="Q4728" s="8"/>
      <c r="R4728" s="8" t="s">
        <v>19072</v>
      </c>
      <c r="S4728" s="8"/>
      <c r="T4728" s="8"/>
      <c r="U4728" s="19" t="str">
        <f>HYPERLINK("https://pbs.twimg.com/profile_images/1176946832376762368/e3YxQtF3.jpg","View")</f>
        <v>View</v>
      </c>
      <c r="V4728" s="8"/>
      <c r="W4728" s="8"/>
      <c r="X4728" s="8"/>
      <c r="Y4728" s="8"/>
      <c r="Z4728" s="8"/>
    </row>
    <row r="4729" spans="1:26" ht="12.75">
      <c r="A4729" s="11">
        <v>43747.108564814815</v>
      </c>
      <c r="B4729" s="12" t="str">
        <f>HYPERLINK("https://twitter.com/ThyGuidedOne","@ThyGuidedOne")</f>
        <v>@ThyGuidedOne</v>
      </c>
      <c r="C4729" s="7" t="s">
        <v>23225</v>
      </c>
      <c r="D4729" s="7" t="s">
        <v>23226</v>
      </c>
      <c r="E4729" s="12" t="str">
        <f>HYPERLINK("https://twitter.com/ThyGuidedOne/status/1181865970932957185","1181865970932957185")</f>
        <v>1181865970932957185</v>
      </c>
      <c r="F4729" s="8"/>
      <c r="G4729" s="15"/>
      <c r="H4729" s="8"/>
      <c r="I4729" s="15">
        <v>0</v>
      </c>
      <c r="J4729" s="15">
        <v>0</v>
      </c>
      <c r="K4729" s="12" t="str">
        <f>HYPERLINK("https://mobile.twitter.com","Twitter Web App")</f>
        <v>Twitter Web App</v>
      </c>
      <c r="L4729" s="16">
        <v>75</v>
      </c>
      <c r="M4729" s="16">
        <v>32</v>
      </c>
      <c r="N4729" s="16">
        <v>1</v>
      </c>
      <c r="O4729" s="17"/>
      <c r="P4729" s="18">
        <v>43106.908113425925</v>
      </c>
      <c r="Q4729" s="8" t="s">
        <v>23227</v>
      </c>
      <c r="R4729" s="7" t="s">
        <v>23228</v>
      </c>
      <c r="S4729" s="14" t="s">
        <v>23229</v>
      </c>
      <c r="T4729" s="8"/>
      <c r="U4729" s="19" t="str">
        <f>HYPERLINK("https://pbs.twimg.com/profile_images/1071630271227748352/BgN0EibX.jpg","View")</f>
        <v>View</v>
      </c>
      <c r="V4729" s="8"/>
      <c r="W4729" s="8"/>
      <c r="X4729" s="8"/>
      <c r="Y4729" s="8"/>
      <c r="Z4729" s="8"/>
    </row>
    <row r="4730" spans="1:26" ht="12.75">
      <c r="A4730" s="11">
        <v>43747.108553240745</v>
      </c>
      <c r="B4730" s="12" t="str">
        <f>HYPERLINK("https://twitter.com/BiraGezgini","@BiraGezgini")</f>
        <v>@BiraGezgini</v>
      </c>
      <c r="C4730" s="7" t="s">
        <v>23230</v>
      </c>
      <c r="D4730" s="7" t="s">
        <v>23231</v>
      </c>
      <c r="E4730" s="12" t="str">
        <f>HYPERLINK("https://twitter.com/BiraGezgini/status/1181865969767141376","1181865969767141376")</f>
        <v>1181865969767141376</v>
      </c>
      <c r="F4730" s="8"/>
      <c r="G4730" s="15"/>
      <c r="H4730" s="8"/>
      <c r="I4730" s="15">
        <v>0</v>
      </c>
      <c r="J4730" s="15">
        <v>2</v>
      </c>
      <c r="K4730" s="12" t="str">
        <f>HYPERLINK("http://twitter.com/download/iphone","Twitter for iPhone")</f>
        <v>Twitter for iPhone</v>
      </c>
      <c r="L4730" s="16">
        <v>130</v>
      </c>
      <c r="M4730" s="16">
        <v>360</v>
      </c>
      <c r="N4730" s="16">
        <v>0</v>
      </c>
      <c r="O4730" s="17"/>
      <c r="P4730" s="18">
        <v>42674.486597222218</v>
      </c>
      <c r="Q4730" s="8" t="s">
        <v>313</v>
      </c>
      <c r="R4730" s="7" t="s">
        <v>23232</v>
      </c>
      <c r="S4730" s="15"/>
      <c r="T4730" s="8"/>
      <c r="U4730" s="19" t="str">
        <f>HYPERLINK("https://pbs.twimg.com/profile_images/801132721309450240/on27yTkf.jpg","View")</f>
        <v>View</v>
      </c>
      <c r="V4730" s="8"/>
      <c r="W4730" s="8"/>
      <c r="X4730" s="8"/>
      <c r="Y4730" s="8"/>
      <c r="Z4730" s="8"/>
    </row>
    <row r="4731" spans="1:26" ht="12.75">
      <c r="A4731" s="11">
        <v>43747.108518518522</v>
      </c>
      <c r="B4731" s="12" t="str">
        <f>HYPERLINK("https://twitter.com/Loserandtired","@Loserandtired")</f>
        <v>@Loserandtired</v>
      </c>
      <c r="C4731" s="7" t="s">
        <v>23233</v>
      </c>
      <c r="D4731" s="7" t="s">
        <v>160</v>
      </c>
      <c r="E4731" s="12" t="str">
        <f>HYPERLINK("https://twitter.com/Loserandtired/status/1181865955246428160","1181865955246428160")</f>
        <v>1181865955246428160</v>
      </c>
      <c r="F4731" s="8"/>
      <c r="G4731" s="15"/>
      <c r="H4731" s="8"/>
      <c r="I4731" s="15">
        <v>0</v>
      </c>
      <c r="J4731" s="15">
        <v>1</v>
      </c>
      <c r="K4731" s="12" t="str">
        <f>HYPERLINK("http://twitter.com/download/android","Twitter for Android")</f>
        <v>Twitter for Android</v>
      </c>
      <c r="L4731" s="16">
        <v>3408</v>
      </c>
      <c r="M4731" s="16">
        <v>1350</v>
      </c>
      <c r="N4731" s="16">
        <v>2</v>
      </c>
      <c r="O4731" s="17"/>
      <c r="P4731" s="18">
        <v>41062.484166666669</v>
      </c>
      <c r="Q4731" s="8"/>
      <c r="R4731" s="7" t="s">
        <v>23234</v>
      </c>
      <c r="S4731" s="8"/>
      <c r="T4731" s="8"/>
      <c r="U4731" s="19" t="str">
        <f>HYPERLINK("https://pbs.twimg.com/profile_images/1157244305259601925/StGvCpWM.jpg","View")</f>
        <v>View</v>
      </c>
      <c r="V4731" s="8"/>
      <c r="W4731" s="8"/>
      <c r="X4731" s="8"/>
      <c r="Y4731" s="8"/>
      <c r="Z4731" s="8"/>
    </row>
    <row r="4732" spans="1:26" ht="12.75">
      <c r="A4732" s="11">
        <v>43747.108518518522</v>
      </c>
      <c r="B4732" s="12" t="str">
        <f>HYPERLINK("https://twitter.com/semih0738","@semih0738")</f>
        <v>@semih0738</v>
      </c>
      <c r="C4732" s="7" t="s">
        <v>14832</v>
      </c>
      <c r="D4732" s="7" t="s">
        <v>23235</v>
      </c>
      <c r="E4732" s="12" t="str">
        <f>HYPERLINK("https://twitter.com/semih0738/status/1181865953967116290","1181865953967116290")</f>
        <v>1181865953967116290</v>
      </c>
      <c r="F4732" s="14" t="s">
        <v>23236</v>
      </c>
      <c r="G4732" s="15"/>
      <c r="H4732" s="8"/>
      <c r="I4732" s="15">
        <v>1</v>
      </c>
      <c r="J4732" s="15">
        <v>0</v>
      </c>
      <c r="K4732" s="12" t="str">
        <f>HYPERLINK("https://mobile.twitter.com","Twitter Web App")</f>
        <v>Twitter Web App</v>
      </c>
      <c r="L4732" s="16">
        <v>171</v>
      </c>
      <c r="M4732" s="16">
        <v>492</v>
      </c>
      <c r="N4732" s="16">
        <v>1</v>
      </c>
      <c r="O4732" s="17"/>
      <c r="P4732" s="18">
        <v>41401.061539351853</v>
      </c>
      <c r="Q4732" s="7" t="s">
        <v>860</v>
      </c>
      <c r="R4732" s="7"/>
      <c r="S4732" s="15"/>
      <c r="T4732" s="8"/>
      <c r="U4732" s="19" t="str">
        <f>HYPERLINK("https://pbs.twimg.com/profile_images/1056308341692084230/AV3pd3sF.jpg","View")</f>
        <v>View</v>
      </c>
      <c r="V4732" s="8"/>
      <c r="W4732" s="8"/>
      <c r="X4732" s="8"/>
      <c r="Y4732" s="8"/>
      <c r="Z4732" s="8"/>
    </row>
    <row r="4733" spans="1:26" ht="12.75">
      <c r="A4733" s="11">
        <v>43747.108506944445</v>
      </c>
      <c r="B4733" s="12" t="str">
        <f>HYPERLINK("https://twitter.com/yildizalii","@yildizalii")</f>
        <v>@yildizalii</v>
      </c>
      <c r="C4733" s="7" t="s">
        <v>23237</v>
      </c>
      <c r="D4733" s="7" t="s">
        <v>23238</v>
      </c>
      <c r="E4733" s="12" t="str">
        <f>HYPERLINK("https://twitter.com/yildizalii/status/1181865951777771521","1181865951777771521")</f>
        <v>1181865951777771521</v>
      </c>
      <c r="F4733" s="8"/>
      <c r="G4733" s="7"/>
      <c r="H4733" s="8"/>
      <c r="I4733" s="15">
        <v>0</v>
      </c>
      <c r="J4733" s="15">
        <v>1</v>
      </c>
      <c r="K4733" s="12" t="str">
        <f>HYPERLINK("https://mobile.twitter.com","Twitter Web App")</f>
        <v>Twitter Web App</v>
      </c>
      <c r="L4733" s="16">
        <v>264</v>
      </c>
      <c r="M4733" s="16">
        <v>162</v>
      </c>
      <c r="N4733" s="16">
        <v>0</v>
      </c>
      <c r="O4733" s="17"/>
      <c r="P4733" s="18">
        <v>40243.074988425928</v>
      </c>
      <c r="Q4733" s="7" t="s">
        <v>23239</v>
      </c>
      <c r="R4733" s="7" t="s">
        <v>23240</v>
      </c>
      <c r="S4733" s="8"/>
      <c r="T4733" s="8"/>
      <c r="U4733" s="19" t="str">
        <f>HYPERLINK("https://pbs.twimg.com/profile_images/1364412017/191715_463482494650_637414650_5372791_5042973_o.jpg","View")</f>
        <v>View</v>
      </c>
      <c r="V4733" s="8"/>
      <c r="W4733" s="8"/>
      <c r="X4733" s="8"/>
      <c r="Y4733" s="8"/>
      <c r="Z4733" s="8"/>
    </row>
    <row r="4734" spans="1:26" ht="12.75">
      <c r="A4734" s="11">
        <v>43747.108495370368</v>
      </c>
      <c r="B4734" s="12" t="str">
        <f>HYPERLINK("https://twitter.com/dr_uveys","@dr_uveys")</f>
        <v>@dr_uveys</v>
      </c>
      <c r="C4734" s="7" t="s">
        <v>23241</v>
      </c>
      <c r="D4734" s="7" t="s">
        <v>23242</v>
      </c>
      <c r="E4734" s="12" t="str">
        <f>HYPERLINK("https://twitter.com/dr_uveys/status/1181865947247861760","1181865947247861760")</f>
        <v>1181865947247861760</v>
      </c>
      <c r="F4734" s="8"/>
      <c r="G4734" s="7"/>
      <c r="H4734" s="8"/>
      <c r="I4734" s="15">
        <v>35</v>
      </c>
      <c r="J4734" s="15">
        <v>81</v>
      </c>
      <c r="K4734" s="12" t="str">
        <f>HYPERLINK("http://twitter.com/download/android","Twitter for Android")</f>
        <v>Twitter for Android</v>
      </c>
      <c r="L4734" s="16">
        <v>10544</v>
      </c>
      <c r="M4734" s="16">
        <v>535</v>
      </c>
      <c r="N4734" s="16">
        <v>74</v>
      </c>
      <c r="O4734" s="17"/>
      <c r="P4734" s="18">
        <v>42532.572847222225</v>
      </c>
      <c r="Q4734" s="7">
        <v>34</v>
      </c>
      <c r="R4734" s="8" t="s">
        <v>23243</v>
      </c>
      <c r="S4734" s="8"/>
      <c r="T4734" s="8"/>
      <c r="U4734" s="19" t="str">
        <f>HYPERLINK("https://pbs.twimg.com/profile_images/1172934377619316737/zxjj1dLC.jpg","View")</f>
        <v>View</v>
      </c>
      <c r="V4734" s="8"/>
      <c r="W4734" s="8"/>
      <c r="X4734" s="8"/>
      <c r="Y4734" s="8"/>
      <c r="Z4734" s="8"/>
    </row>
    <row r="4735" spans="1:26" ht="12.75">
      <c r="A4735" s="11">
        <v>43747.108425925922</v>
      </c>
      <c r="B4735" s="12" t="str">
        <f>HYPERLINK("https://twitter.com/Ramazan82861710","@Ramazan82861710")</f>
        <v>@Ramazan82861710</v>
      </c>
      <c r="C4735" s="7" t="s">
        <v>7352</v>
      </c>
      <c r="D4735" s="7" t="s">
        <v>23244</v>
      </c>
      <c r="E4735" s="12" t="str">
        <f>HYPERLINK("https://twitter.com/Ramazan82861710/status/1181865920630796289","1181865920630796289")</f>
        <v>1181865920630796289</v>
      </c>
      <c r="F4735" s="8"/>
      <c r="G4735" s="14" t="s">
        <v>23245</v>
      </c>
      <c r="H4735" s="8"/>
      <c r="I4735" s="15">
        <v>0</v>
      </c>
      <c r="J4735" s="15">
        <v>2</v>
      </c>
      <c r="K4735" s="12" t="str">
        <f>HYPERLINK("http://twitter.com/download/android","Twitter for Android")</f>
        <v>Twitter for Android</v>
      </c>
      <c r="L4735" s="16">
        <v>0</v>
      </c>
      <c r="M4735" s="16">
        <v>0</v>
      </c>
      <c r="N4735" s="16">
        <v>0</v>
      </c>
      <c r="O4735" s="17"/>
      <c r="P4735" s="18">
        <v>43708.245150462964</v>
      </c>
      <c r="Q4735" s="7"/>
      <c r="R4735" s="7"/>
      <c r="S4735" s="8"/>
      <c r="T4735" s="8"/>
      <c r="U4735" s="19" t="str">
        <f>HYPERLINK("https://pbs.twimg.com/profile_images/1167789781708918784/5j-KpGAR.jpg","View")</f>
        <v>View</v>
      </c>
      <c r="V4735" s="8"/>
      <c r="W4735" s="8"/>
      <c r="X4735" s="8"/>
      <c r="Y4735" s="8"/>
      <c r="Z4735" s="8"/>
    </row>
    <row r="4736" spans="1:26" ht="12.75">
      <c r="A4736" s="11">
        <v>43747.10837962963</v>
      </c>
      <c r="B4736" s="12" t="str">
        <f>HYPERLINK("https://twitter.com/mamiekmekci61","@mamiekmekci61")</f>
        <v>@mamiekmekci61</v>
      </c>
      <c r="C4736" s="7" t="s">
        <v>23246</v>
      </c>
      <c r="D4736" s="7" t="s">
        <v>22092</v>
      </c>
      <c r="E4736" s="12" t="str">
        <f>HYPERLINK("https://twitter.com/mamiekmekci61/status/1181865906936467456","1181865906936467456")</f>
        <v>1181865906936467456</v>
      </c>
      <c r="F4736" s="8"/>
      <c r="G4736" s="14" t="s">
        <v>23247</v>
      </c>
      <c r="H4736" s="8"/>
      <c r="I4736" s="15">
        <v>0</v>
      </c>
      <c r="J4736" s="15">
        <v>1</v>
      </c>
      <c r="K4736" s="12" t="str">
        <f>HYPERLINK("http://twitter.com/download/iphone","Twitter for iPhone")</f>
        <v>Twitter for iPhone</v>
      </c>
      <c r="L4736" s="16">
        <v>142</v>
      </c>
      <c r="M4736" s="16">
        <v>94</v>
      </c>
      <c r="N4736" s="16">
        <v>0</v>
      </c>
      <c r="O4736" s="17"/>
      <c r="P4736" s="18">
        <v>43248.40053240741</v>
      </c>
      <c r="Q4736" s="7" t="s">
        <v>1066</v>
      </c>
      <c r="R4736" s="7" t="s">
        <v>23248</v>
      </c>
      <c r="S4736" s="14" t="s">
        <v>23249</v>
      </c>
      <c r="T4736" s="8"/>
      <c r="U4736" s="19" t="str">
        <f>HYPERLINK("https://pbs.twimg.com/profile_images/1172791128720052224/WRtZgEpf.jpg","View")</f>
        <v>View</v>
      </c>
      <c r="V4736" s="8"/>
      <c r="W4736" s="8"/>
      <c r="X4736" s="8"/>
      <c r="Y4736" s="8"/>
      <c r="Z4736" s="8"/>
    </row>
    <row r="4737" spans="1:26" ht="12.75">
      <c r="A4737" s="11">
        <v>43747.10836805556</v>
      </c>
      <c r="B4737" s="12" t="str">
        <f>HYPERLINK("https://twitter.com/kisaca_yay","@kisaca_yay")</f>
        <v>@kisaca_yay</v>
      </c>
      <c r="C4737" s="7" t="s">
        <v>23250</v>
      </c>
      <c r="D4737" s="7" t="s">
        <v>23251</v>
      </c>
      <c r="E4737" s="12" t="str">
        <f>HYPERLINK("https://twitter.com/kisaca_yay/status/1181865899353104384","1181865899353104384")</f>
        <v>1181865899353104384</v>
      </c>
      <c r="F4737" s="8"/>
      <c r="G4737" s="14" t="s">
        <v>23252</v>
      </c>
      <c r="H4737" s="8"/>
      <c r="I4737" s="15">
        <v>0</v>
      </c>
      <c r="J4737" s="15">
        <v>1</v>
      </c>
      <c r="K4737" s="12" t="str">
        <f>HYPERLINK("http://twitter.com/download/iphone","Twitter for iPhone")</f>
        <v>Twitter for iPhone</v>
      </c>
      <c r="L4737" s="16">
        <v>26</v>
      </c>
      <c r="M4737" s="16">
        <v>206</v>
      </c>
      <c r="N4737" s="16">
        <v>0</v>
      </c>
      <c r="O4737" s="17"/>
      <c r="P4737" s="18">
        <v>43671.887789351851</v>
      </c>
      <c r="Q4737" s="8"/>
      <c r="R4737" s="8" t="s">
        <v>807</v>
      </c>
      <c r="S4737" s="8"/>
      <c r="T4737" s="8"/>
      <c r="U4737" s="19" t="str">
        <f>HYPERLINK("https://pbs.twimg.com/profile_images/1179110817486249986/8CIEc3Xe.jpg","View")</f>
        <v>View</v>
      </c>
      <c r="V4737" s="8"/>
      <c r="W4737" s="8"/>
      <c r="X4737" s="8"/>
      <c r="Y4737" s="8"/>
      <c r="Z4737" s="8"/>
    </row>
    <row r="4738" spans="1:26" ht="12.75">
      <c r="A4738" s="11">
        <v>43747.108344907407</v>
      </c>
      <c r="B4738" s="12" t="str">
        <f>HYPERLINK("https://twitter.com/erdem_yedibela","@erdem_yedibela")</f>
        <v>@erdem_yedibela</v>
      </c>
      <c r="C4738" s="7" t="s">
        <v>23253</v>
      </c>
      <c r="D4738" s="7" t="s">
        <v>23254</v>
      </c>
      <c r="E4738" s="12" t="str">
        <f>HYPERLINK("https://twitter.com/erdem_yedibela/status/1181865890775814145","1181865890775814145")</f>
        <v>1181865890775814145</v>
      </c>
      <c r="F4738" s="8"/>
      <c r="G4738" s="7"/>
      <c r="H4738" s="8"/>
      <c r="I4738" s="15">
        <v>0</v>
      </c>
      <c r="J4738" s="15">
        <v>1</v>
      </c>
      <c r="K4738" s="12" t="str">
        <f>HYPERLINK("http://twitter.com/download/iphone","Twitter for iPhone")</f>
        <v>Twitter for iPhone</v>
      </c>
      <c r="L4738" s="16">
        <v>5</v>
      </c>
      <c r="M4738" s="16">
        <v>33</v>
      </c>
      <c r="N4738" s="16">
        <v>0</v>
      </c>
      <c r="O4738" s="17"/>
      <c r="P4738" s="18">
        <v>42752.121331018519</v>
      </c>
      <c r="Q4738" s="7" t="s">
        <v>313</v>
      </c>
      <c r="R4738" s="7" t="s">
        <v>23255</v>
      </c>
      <c r="S4738" s="8"/>
      <c r="T4738" s="8"/>
      <c r="U4738" s="19" t="str">
        <f>HYPERLINK("https://pbs.twimg.com/profile_images/1090127016903561216/AF_yckJf.jpg","View")</f>
        <v>View</v>
      </c>
      <c r="V4738" s="8"/>
      <c r="W4738" s="8"/>
      <c r="X4738" s="8"/>
      <c r="Y4738" s="8"/>
      <c r="Z4738" s="8"/>
    </row>
    <row r="4739" spans="1:26" ht="12.75">
      <c r="A4739" s="11">
        <v>43747.108310185184</v>
      </c>
      <c r="B4739" s="12" t="str">
        <f>HYPERLINK("https://twitter.com/REIS_SEVER01","@REIS_SEVER01")</f>
        <v>@REIS_SEVER01</v>
      </c>
      <c r="C4739" s="7" t="s">
        <v>23256</v>
      </c>
      <c r="D4739" s="7" t="s">
        <v>23257</v>
      </c>
      <c r="E4739" s="12" t="str">
        <f>HYPERLINK("https://twitter.com/REIS_SEVER01/status/1181865881934209024","1181865881934209024")</f>
        <v>1181865881934209024</v>
      </c>
      <c r="F4739" s="15"/>
      <c r="G4739" s="14" t="s">
        <v>23258</v>
      </c>
      <c r="H4739" s="8"/>
      <c r="I4739" s="15">
        <v>0</v>
      </c>
      <c r="J4739" s="15">
        <v>0</v>
      </c>
      <c r="K4739" s="12" t="str">
        <f>HYPERLINK("http://twitter.com/download/android","Twitter for Android")</f>
        <v>Twitter for Android</v>
      </c>
      <c r="L4739" s="16">
        <v>32</v>
      </c>
      <c r="M4739" s="16">
        <v>78</v>
      </c>
      <c r="N4739" s="16">
        <v>0</v>
      </c>
      <c r="O4739" s="17"/>
      <c r="P4739" s="18">
        <v>43676.383252314816</v>
      </c>
      <c r="Q4739" s="8"/>
      <c r="R4739" s="7" t="s">
        <v>23259</v>
      </c>
      <c r="S4739" s="8"/>
      <c r="T4739" s="8"/>
      <c r="U4739" s="19" t="str">
        <f>HYPERLINK("https://pbs.twimg.com/profile_images/1166063187919347712/1cnZ9jKb.jpg","View")</f>
        <v>View</v>
      </c>
      <c r="V4739" s="8"/>
      <c r="W4739" s="8"/>
      <c r="X4739" s="8"/>
      <c r="Y4739" s="8"/>
      <c r="Z4739" s="8"/>
    </row>
    <row r="4740" spans="1:26" ht="12.75">
      <c r="A4740" s="11">
        <v>43747.108263888891</v>
      </c>
      <c r="B4740" s="12" t="str">
        <f>HYPERLINK("https://twitter.com/alidemir_2019","@alidemir_2019")</f>
        <v>@alidemir_2019</v>
      </c>
      <c r="C4740" s="7" t="s">
        <v>23260</v>
      </c>
      <c r="D4740" s="7" t="s">
        <v>23261</v>
      </c>
      <c r="E4740" s="12" t="str">
        <f>HYPERLINK("https://twitter.com/alidemir_2019/status/1181865864624328706","1181865864624328706")</f>
        <v>1181865864624328706</v>
      </c>
      <c r="F4740" s="8"/>
      <c r="G4740" s="15"/>
      <c r="H4740" s="8"/>
      <c r="I4740" s="15">
        <v>0</v>
      </c>
      <c r="J4740" s="15">
        <v>1</v>
      </c>
      <c r="K4740" s="12" t="str">
        <f>HYPERLINK("http://twitter.com","Twitter Web Client")</f>
        <v>Twitter Web Client</v>
      </c>
      <c r="L4740" s="16">
        <v>18</v>
      </c>
      <c r="M4740" s="16">
        <v>28</v>
      </c>
      <c r="N4740" s="16">
        <v>0</v>
      </c>
      <c r="O4740" s="17"/>
      <c r="P4740" s="18">
        <v>43659.299259259264</v>
      </c>
      <c r="Q4740" s="8"/>
      <c r="R4740" s="7" t="s">
        <v>23262</v>
      </c>
      <c r="S4740" s="15"/>
      <c r="T4740" s="8"/>
      <c r="U4740" s="19" t="str">
        <f>HYPERLINK("https://pbs.twimg.com/profile_images/1150047078476931077/1ypRJ8cs.jpg","View")</f>
        <v>View</v>
      </c>
      <c r="V4740" s="8"/>
      <c r="W4740" s="8"/>
      <c r="X4740" s="8"/>
      <c r="Y4740" s="8"/>
      <c r="Z4740" s="8"/>
    </row>
    <row r="4741" spans="1:26" ht="12.75">
      <c r="A4741" s="11">
        <v>43747.108229166668</v>
      </c>
      <c r="B4741" s="12" t="str">
        <f>HYPERLINK("https://twitter.com/bsrshin03","@bsrshin03")</f>
        <v>@bsrshin03</v>
      </c>
      <c r="C4741" s="7" t="s">
        <v>7563</v>
      </c>
      <c r="D4741" s="7" t="s">
        <v>23263</v>
      </c>
      <c r="E4741" s="12" t="str">
        <f>HYPERLINK("https://twitter.com/bsrshin03/status/1181865851508662272","1181865851508662272")</f>
        <v>1181865851508662272</v>
      </c>
      <c r="F4741" s="8"/>
      <c r="G4741" s="7"/>
      <c r="H4741" s="8"/>
      <c r="I4741" s="15">
        <v>0</v>
      </c>
      <c r="J4741" s="15">
        <v>1</v>
      </c>
      <c r="K4741" s="12" t="str">
        <f>HYPERLINK("http://twitter.com/download/android","Twitter for Android")</f>
        <v>Twitter for Android</v>
      </c>
      <c r="L4741" s="16">
        <v>142</v>
      </c>
      <c r="M4741" s="16">
        <v>65</v>
      </c>
      <c r="N4741" s="16">
        <v>0</v>
      </c>
      <c r="O4741" s="17"/>
      <c r="P4741" s="18">
        <v>42339.491863425923</v>
      </c>
      <c r="Q4741" s="8" t="s">
        <v>200</v>
      </c>
      <c r="R4741" s="8" t="s">
        <v>23264</v>
      </c>
      <c r="S4741" s="8"/>
      <c r="T4741" s="8"/>
      <c r="U4741" s="19" t="str">
        <f>HYPERLINK("https://pbs.twimg.com/profile_images/1176224993451139072/3G7U1O5N.jpg","View")</f>
        <v>View</v>
      </c>
      <c r="V4741" s="8"/>
      <c r="W4741" s="8"/>
      <c r="X4741" s="8"/>
      <c r="Y4741" s="8"/>
      <c r="Z4741" s="8"/>
    </row>
    <row r="4742" spans="1:26" ht="12.75">
      <c r="A4742" s="11">
        <v>43747.108194444445</v>
      </c>
      <c r="B4742" s="12" t="str">
        <f>HYPERLINK("https://twitter.com/furkanmelek4255","@furkanmelek4255")</f>
        <v>@furkanmelek4255</v>
      </c>
      <c r="C4742" s="7" t="s">
        <v>23265</v>
      </c>
      <c r="D4742" s="7" t="s">
        <v>23266</v>
      </c>
      <c r="E4742" s="12" t="str">
        <f>HYPERLINK("https://twitter.com/furkanmelek4255/status/1181865840242757632","1181865840242757632")</f>
        <v>1181865840242757632</v>
      </c>
      <c r="F4742" s="8"/>
      <c r="G4742" s="14" t="s">
        <v>23267</v>
      </c>
      <c r="H4742" s="8"/>
      <c r="I4742" s="15">
        <v>0</v>
      </c>
      <c r="J4742" s="15">
        <v>0</v>
      </c>
      <c r="K4742" s="12" t="str">
        <f>HYPERLINK("http://twitter.com/download/android","Twitter for Android")</f>
        <v>Twitter for Android</v>
      </c>
      <c r="L4742" s="16">
        <v>24</v>
      </c>
      <c r="M4742" s="16">
        <v>97</v>
      </c>
      <c r="N4742" s="16">
        <v>0</v>
      </c>
      <c r="O4742" s="17"/>
      <c r="P4742" s="18">
        <v>43519.457453703704</v>
      </c>
      <c r="Q4742" s="8" t="s">
        <v>1850</v>
      </c>
      <c r="R4742" s="7" t="s">
        <v>23268</v>
      </c>
      <c r="S4742" s="8"/>
      <c r="T4742" s="8"/>
      <c r="U4742" s="19" t="str">
        <f>HYPERLINK("https://pbs.twimg.com/profile_images/1168987432794099712/8V-o8Q4q.jpg","View")</f>
        <v>View</v>
      </c>
      <c r="V4742" s="8"/>
      <c r="W4742" s="8"/>
      <c r="X4742" s="8"/>
      <c r="Y4742" s="8"/>
      <c r="Z4742" s="8"/>
    </row>
    <row r="4743" spans="1:26" ht="12.75">
      <c r="A4743" s="11">
        <v>43747.108171296291</v>
      </c>
      <c r="B4743" s="12" t="str">
        <f>HYPERLINK("https://twitter.com/Rizadevon","@Rizadevon")</f>
        <v>@Rizadevon</v>
      </c>
      <c r="C4743" s="7" t="s">
        <v>23269</v>
      </c>
      <c r="D4743" s="7" t="s">
        <v>23270</v>
      </c>
      <c r="E4743" s="12" t="str">
        <f>HYPERLINK("https://twitter.com/Rizadevon/status/1181865828813344769","1181865828813344769")</f>
        <v>1181865828813344769</v>
      </c>
      <c r="F4743" s="8"/>
      <c r="G4743" s="14" t="s">
        <v>23271</v>
      </c>
      <c r="H4743" s="8"/>
      <c r="I4743" s="15">
        <v>0</v>
      </c>
      <c r="J4743" s="15">
        <v>1</v>
      </c>
      <c r="K4743" s="12" t="str">
        <f>HYPERLINK("http://twitter.com/download/iphone","Twitter for iPhone")</f>
        <v>Twitter for iPhone</v>
      </c>
      <c r="L4743" s="16">
        <v>10</v>
      </c>
      <c r="M4743" s="16">
        <v>490</v>
      </c>
      <c r="N4743" s="16">
        <v>0</v>
      </c>
      <c r="O4743" s="17"/>
      <c r="P4743" s="18">
        <v>43599.913576388892</v>
      </c>
      <c r="Q4743" s="8" t="s">
        <v>23272</v>
      </c>
      <c r="R4743" s="8"/>
      <c r="S4743" s="8"/>
      <c r="T4743" s="8"/>
      <c r="U4743" s="19" t="str">
        <f>HYPERLINK("https://pbs.twimg.com/profile_images/1178798391452672006/oE3x8OoM.jpg","View")</f>
        <v>View</v>
      </c>
      <c r="V4743" s="8"/>
      <c r="W4743" s="8"/>
      <c r="X4743" s="8"/>
      <c r="Y4743" s="8"/>
      <c r="Z4743" s="8"/>
    </row>
    <row r="4744" spans="1:26" ht="12.75">
      <c r="A4744" s="11">
        <v>43747.108136574076</v>
      </c>
      <c r="B4744" s="12" t="str">
        <f>HYPERLINK("https://twitter.com/gunduzgezenn","@gunduzgezenn")</f>
        <v>@gunduzgezenn</v>
      </c>
      <c r="C4744" s="7" t="s">
        <v>23273</v>
      </c>
      <c r="D4744" s="7" t="s">
        <v>23274</v>
      </c>
      <c r="E4744" s="12" t="str">
        <f>HYPERLINK("https://twitter.com/gunduzgezenn/status/1181865818277257218","1181865818277257218")</f>
        <v>1181865818277257218</v>
      </c>
      <c r="F4744" s="8"/>
      <c r="G4744" s="14" t="s">
        <v>23275</v>
      </c>
      <c r="H4744" s="8"/>
      <c r="I4744" s="15">
        <v>0</v>
      </c>
      <c r="J4744" s="15">
        <v>2</v>
      </c>
      <c r="K4744" s="12" t="str">
        <f>HYPERLINK("http://twitter.com/download/iphone","Twitter for iPhone")</f>
        <v>Twitter for iPhone</v>
      </c>
      <c r="L4744" s="16">
        <v>1387</v>
      </c>
      <c r="M4744" s="16">
        <v>1450</v>
      </c>
      <c r="N4744" s="16">
        <v>1</v>
      </c>
      <c r="O4744" s="17"/>
      <c r="P4744" s="18">
        <v>40997.404953703706</v>
      </c>
      <c r="Q4744" s="8"/>
      <c r="R4744" s="7" t="s">
        <v>23276</v>
      </c>
      <c r="S4744" s="8"/>
      <c r="T4744" s="8"/>
      <c r="U4744" s="19" t="str">
        <f>HYPERLINK("https://pbs.twimg.com/profile_images/1166817556663087104/GyI2RoMV.jpg","View")</f>
        <v>View</v>
      </c>
      <c r="V4744" s="8"/>
      <c r="W4744" s="8"/>
      <c r="X4744" s="8"/>
      <c r="Y4744" s="8"/>
      <c r="Z4744" s="8"/>
    </row>
    <row r="4745" spans="1:26" ht="12.75">
      <c r="A4745" s="11">
        <v>43747.108124999999</v>
      </c>
      <c r="B4745" s="12" t="str">
        <f>HYPERLINK("https://twitter.com/BLNT_KRN","@BLNT_KRN")</f>
        <v>@BLNT_KRN</v>
      </c>
      <c r="C4745" s="7" t="s">
        <v>23277</v>
      </c>
      <c r="D4745" s="7" t="s">
        <v>23278</v>
      </c>
      <c r="E4745" s="12" t="str">
        <f>HYPERLINK("https://twitter.com/BLNT_KRN/status/1181865814326222849","1181865814326222849")</f>
        <v>1181865814326222849</v>
      </c>
      <c r="F4745" s="8"/>
      <c r="G4745" s="15"/>
      <c r="H4745" s="8"/>
      <c r="I4745" s="15">
        <v>0</v>
      </c>
      <c r="J4745" s="15">
        <v>9</v>
      </c>
      <c r="K4745" s="12" t="str">
        <f>HYPERLINK("http://twitter.com/download/android","Twitter for Android")</f>
        <v>Twitter for Android</v>
      </c>
      <c r="L4745" s="16">
        <v>6401</v>
      </c>
      <c r="M4745" s="16">
        <v>6485</v>
      </c>
      <c r="N4745" s="16">
        <v>2</v>
      </c>
      <c r="O4745" s="17"/>
      <c r="P4745" s="18">
        <v>43039.492326388892</v>
      </c>
      <c r="Q4745" s="8" t="s">
        <v>6867</v>
      </c>
      <c r="R4745" s="7" t="s">
        <v>23279</v>
      </c>
      <c r="S4745" s="8"/>
      <c r="T4745" s="8"/>
      <c r="U4745" s="19" t="str">
        <f>HYPERLINK("https://pbs.twimg.com/profile_images/1163821114268590081/pX2P7URb.jpg","View")</f>
        <v>View</v>
      </c>
      <c r="V4745" s="8"/>
      <c r="W4745" s="8"/>
      <c r="X4745" s="8"/>
      <c r="Y4745" s="8"/>
      <c r="Z4745" s="8"/>
    </row>
    <row r="4746" spans="1:26" ht="12.75">
      <c r="A4746" s="11">
        <v>43747.108043981483</v>
      </c>
      <c r="B4746" s="12" t="str">
        <f>HYPERLINK("https://twitter.com/Alicantkts","@Alicantkts")</f>
        <v>@Alicantkts</v>
      </c>
      <c r="C4746" s="7" t="s">
        <v>23280</v>
      </c>
      <c r="D4746" s="7" t="s">
        <v>23281</v>
      </c>
      <c r="E4746" s="12" t="str">
        <f>HYPERLINK("https://twitter.com/Alicantkts/status/1181865784232030209","1181865784232030209")</f>
        <v>1181865784232030209</v>
      </c>
      <c r="F4746" s="15"/>
      <c r="G4746" s="15"/>
      <c r="H4746" s="8"/>
      <c r="I4746" s="15">
        <v>0</v>
      </c>
      <c r="J4746" s="15">
        <v>0</v>
      </c>
      <c r="K4746" s="12" t="str">
        <f>HYPERLINK("http://twitter.com/download/iphone","Twitter for iPhone")</f>
        <v>Twitter for iPhone</v>
      </c>
      <c r="L4746" s="16">
        <v>2</v>
      </c>
      <c r="M4746" s="16">
        <v>83</v>
      </c>
      <c r="N4746" s="16">
        <v>0</v>
      </c>
      <c r="O4746" s="17"/>
      <c r="P4746" s="18">
        <v>43704.313576388886</v>
      </c>
      <c r="Q4746" s="7"/>
      <c r="R4746" s="7"/>
      <c r="S4746" s="8"/>
      <c r="T4746" s="8"/>
      <c r="U4746" s="19" t="str">
        <f>HYPERLINK("https://pbs.twimg.com/profile_images/1172791160215134210/qeGjyD0H.jpg","View")</f>
        <v>View</v>
      </c>
      <c r="V4746" s="8"/>
      <c r="W4746" s="8"/>
      <c r="X4746" s="8"/>
      <c r="Y4746" s="8"/>
      <c r="Z4746" s="8"/>
    </row>
    <row r="4747" spans="1:26" ht="12.75">
      <c r="A4747" s="11">
        <v>43747.107997685191</v>
      </c>
      <c r="B4747" s="12" t="str">
        <f>HYPERLINK("https://twitter.com/xxmanxx40","@xxmanxx40")</f>
        <v>@xxmanxx40</v>
      </c>
      <c r="C4747" s="7" t="s">
        <v>23282</v>
      </c>
      <c r="D4747" s="7" t="s">
        <v>23283</v>
      </c>
      <c r="E4747" s="12" t="str">
        <f>HYPERLINK("https://twitter.com/xxmanxx40/status/1181865767333179392","1181865767333179392")</f>
        <v>1181865767333179392</v>
      </c>
      <c r="F4747" s="8" t="s">
        <v>23284</v>
      </c>
      <c r="G4747" s="14" t="s">
        <v>23285</v>
      </c>
      <c r="H4747" s="8"/>
      <c r="I4747" s="15">
        <v>0</v>
      </c>
      <c r="J4747" s="15">
        <v>0</v>
      </c>
      <c r="K4747" s="12" t="str">
        <f>HYPERLINK("http://twitter.com/download/iphone","Twitter for iPhone")</f>
        <v>Twitter for iPhone</v>
      </c>
      <c r="L4747" s="16">
        <v>143</v>
      </c>
      <c r="M4747" s="16">
        <v>74</v>
      </c>
      <c r="N4747" s="16">
        <v>0</v>
      </c>
      <c r="O4747" s="17"/>
      <c r="P4747" s="18">
        <v>41128.768009259264</v>
      </c>
      <c r="Q4747" s="7" t="s">
        <v>23286</v>
      </c>
      <c r="R4747" s="8"/>
      <c r="S4747" s="8"/>
      <c r="T4747" s="8"/>
      <c r="U4747" s="19" t="str">
        <f>HYPERLINK("https://pbs.twimg.com/profile_images/1154033686372728833/sWROwKk6.jpg","View")</f>
        <v>View</v>
      </c>
      <c r="V4747" s="8"/>
      <c r="W4747" s="8"/>
      <c r="X4747" s="8"/>
      <c r="Y4747" s="8"/>
      <c r="Z4747" s="8"/>
    </row>
    <row r="4748" spans="1:26" ht="12.75">
      <c r="A4748" s="11">
        <v>43747.107986111107</v>
      </c>
      <c r="B4748" s="12" t="str">
        <f>HYPERLINK("https://twitter.com/19fidel40","@19fidel40")</f>
        <v>@19fidel40</v>
      </c>
      <c r="C4748" s="7" t="s">
        <v>23287</v>
      </c>
      <c r="D4748" s="7" t="s">
        <v>23288</v>
      </c>
      <c r="E4748" s="12" t="str">
        <f>HYPERLINK("https://twitter.com/19fidel40/status/1181865764107759616","1181865764107759616")</f>
        <v>1181865764107759616</v>
      </c>
      <c r="F4748" s="8"/>
      <c r="G4748" s="15"/>
      <c r="H4748" s="8"/>
      <c r="I4748" s="15">
        <v>0</v>
      </c>
      <c r="J4748" s="15">
        <v>1</v>
      </c>
      <c r="K4748" s="12" t="str">
        <f>HYPERLINK("http://twitter.com/download/iphone","Twitter for iPhone")</f>
        <v>Twitter for iPhone</v>
      </c>
      <c r="L4748" s="16">
        <v>278</v>
      </c>
      <c r="M4748" s="16">
        <v>341</v>
      </c>
      <c r="N4748" s="16">
        <v>1</v>
      </c>
      <c r="O4748" s="17"/>
      <c r="P4748" s="18">
        <v>40137.127256944441</v>
      </c>
      <c r="Q4748" s="8" t="s">
        <v>23289</v>
      </c>
      <c r="R4748" s="8"/>
      <c r="S4748" s="8"/>
      <c r="T4748" s="8"/>
      <c r="U4748" s="19" t="str">
        <f>HYPERLINK("https://pbs.twimg.com/profile_images/825818580927250433/u7sd9aod.jpg","View")</f>
        <v>View</v>
      </c>
      <c r="V4748" s="8"/>
      <c r="W4748" s="8"/>
      <c r="X4748" s="8"/>
      <c r="Y4748" s="8"/>
      <c r="Z4748" s="8"/>
    </row>
    <row r="4749" spans="1:26" ht="12.75">
      <c r="A4749" s="11">
        <v>43747.107962962968</v>
      </c>
      <c r="B4749" s="12" t="str">
        <f>HYPERLINK("https://twitter.com/melihesatacil","@melihesatacil")</f>
        <v>@melihesatacil</v>
      </c>
      <c r="C4749" s="7" t="s">
        <v>23290</v>
      </c>
      <c r="D4749" s="7" t="s">
        <v>21397</v>
      </c>
      <c r="E4749" s="12" t="str">
        <f>HYPERLINK("https://twitter.com/melihesatacil/status/1181865753760456704","1181865753760456704")</f>
        <v>1181865753760456704</v>
      </c>
      <c r="F4749" s="8"/>
      <c r="G4749" s="15"/>
      <c r="H4749" s="8"/>
      <c r="I4749" s="15">
        <v>77</v>
      </c>
      <c r="J4749" s="15">
        <v>335</v>
      </c>
      <c r="K4749" s="12" t="str">
        <f>HYPERLINK("http://twitter.com/download/iphone","Twitter for iPhone")</f>
        <v>Twitter for iPhone</v>
      </c>
      <c r="L4749" s="16">
        <v>193173</v>
      </c>
      <c r="M4749" s="16">
        <v>9998</v>
      </c>
      <c r="N4749" s="16">
        <v>131</v>
      </c>
      <c r="O4749" s="17" t="s">
        <v>984</v>
      </c>
      <c r="P4749" s="18">
        <v>42011.271053240736</v>
      </c>
      <c r="Q4749" s="7" t="s">
        <v>313</v>
      </c>
      <c r="R4749" s="7" t="s">
        <v>23291</v>
      </c>
      <c r="S4749" s="14" t="s">
        <v>23292</v>
      </c>
      <c r="T4749" s="8"/>
      <c r="U4749" s="19" t="str">
        <f>HYPERLINK("https://pbs.twimg.com/profile_images/1148255140522209282/WFHGKvtB.jpg","View")</f>
        <v>View</v>
      </c>
      <c r="V4749" s="8"/>
      <c r="W4749" s="8"/>
      <c r="X4749" s="8"/>
      <c r="Y4749" s="8"/>
      <c r="Z4749" s="8"/>
    </row>
    <row r="4750" spans="1:26" ht="12.75">
      <c r="A4750" s="11">
        <v>43747.107951388884</v>
      </c>
      <c r="B4750" s="12" t="str">
        <f>HYPERLINK("https://twitter.com/RidvanBasbug","@RidvanBasbug")</f>
        <v>@RidvanBasbug</v>
      </c>
      <c r="C4750" s="7" t="s">
        <v>23293</v>
      </c>
      <c r="D4750" s="7" t="s">
        <v>23294</v>
      </c>
      <c r="E4750" s="12" t="str">
        <f>HYPERLINK("https://twitter.com/RidvanBasbug/status/1181865752246341633","1181865752246341633")</f>
        <v>1181865752246341633</v>
      </c>
      <c r="F4750" s="8"/>
      <c r="G4750" s="14" t="s">
        <v>23295</v>
      </c>
      <c r="H4750" s="8"/>
      <c r="I4750" s="15">
        <v>0</v>
      </c>
      <c r="J4750" s="15">
        <v>0</v>
      </c>
      <c r="K4750" s="12" t="str">
        <f>HYPERLINK("http://twitter.com/download/iphone","Twitter for iPhone")</f>
        <v>Twitter for iPhone</v>
      </c>
      <c r="L4750" s="16">
        <v>74</v>
      </c>
      <c r="M4750" s="16">
        <v>348</v>
      </c>
      <c r="N4750" s="16">
        <v>0</v>
      </c>
      <c r="O4750" s="17"/>
      <c r="P4750" s="18">
        <v>41564.018414351856</v>
      </c>
      <c r="Q4750" s="8" t="s">
        <v>23296</v>
      </c>
      <c r="R4750" s="8"/>
      <c r="S4750" s="8"/>
      <c r="T4750" s="8"/>
      <c r="U4750" s="19" t="str">
        <f>HYPERLINK("https://pbs.twimg.com/profile_images/1139898356778635265/B1_iA-qi.jpg","View")</f>
        <v>View</v>
      </c>
      <c r="V4750" s="8"/>
      <c r="W4750" s="8"/>
      <c r="X4750" s="8"/>
      <c r="Y4750" s="8"/>
      <c r="Z4750" s="8"/>
    </row>
    <row r="4751" spans="1:26" ht="12.75">
      <c r="A4751" s="11">
        <v>43747.107928240745</v>
      </c>
      <c r="B4751" s="12" t="str">
        <f>HYPERLINK("https://twitter.com/DilhunGundogdu","@DilhunGundogdu")</f>
        <v>@DilhunGundogdu</v>
      </c>
      <c r="C4751" s="7" t="s">
        <v>23297</v>
      </c>
      <c r="D4751" s="7" t="s">
        <v>23298</v>
      </c>
      <c r="E4751" s="12" t="str">
        <f>HYPERLINK("https://twitter.com/DilhunGundogdu/status/1181865742872043520","1181865742872043520")</f>
        <v>1181865742872043520</v>
      </c>
      <c r="F4751" s="8"/>
      <c r="G4751" s="14" t="s">
        <v>23299</v>
      </c>
      <c r="H4751" s="8"/>
      <c r="I4751" s="15">
        <v>0</v>
      </c>
      <c r="J4751" s="15">
        <v>2</v>
      </c>
      <c r="K4751" s="12" t="str">
        <f>HYPERLINK("http://twitter.com/download/android","Twitter for Android")</f>
        <v>Twitter for Android</v>
      </c>
      <c r="L4751" s="16">
        <v>559</v>
      </c>
      <c r="M4751" s="16">
        <v>242</v>
      </c>
      <c r="N4751" s="16">
        <v>2</v>
      </c>
      <c r="O4751" s="17"/>
      <c r="P4751" s="18">
        <v>41073.298750000002</v>
      </c>
      <c r="Q4751" s="7" t="s">
        <v>313</v>
      </c>
      <c r="R4751" s="7" t="s">
        <v>23300</v>
      </c>
      <c r="S4751" s="8"/>
      <c r="T4751" s="8"/>
      <c r="U4751" s="19" t="str">
        <f>HYPERLINK("https://pbs.twimg.com/profile_images/1157301404261896193/etIL5Qk4.jpg","View")</f>
        <v>View</v>
      </c>
      <c r="V4751" s="8"/>
      <c r="W4751" s="8"/>
      <c r="X4751" s="8"/>
      <c r="Y4751" s="8"/>
      <c r="Z4751" s="8"/>
    </row>
    <row r="4752" spans="1:26" ht="12.75">
      <c r="A4752" s="11">
        <v>43747.107905092591</v>
      </c>
      <c r="B4752" s="12" t="str">
        <f>HYPERLINK("https://twitter.com/aytenokumus","@aytenokumus")</f>
        <v>@aytenokumus</v>
      </c>
      <c r="C4752" s="7" t="s">
        <v>23301</v>
      </c>
      <c r="D4752" s="7" t="s">
        <v>23302</v>
      </c>
      <c r="E4752" s="12" t="str">
        <f>HYPERLINK("https://twitter.com/aytenokumus/status/1181865734206611456","1181865734206611456")</f>
        <v>1181865734206611456</v>
      </c>
      <c r="F4752" s="8"/>
      <c r="G4752" s="14" t="s">
        <v>23303</v>
      </c>
      <c r="H4752" s="8"/>
      <c r="I4752" s="15">
        <v>1</v>
      </c>
      <c r="J4752" s="15">
        <v>10</v>
      </c>
      <c r="K4752" s="12" t="str">
        <f>HYPERLINK("http://twitter.com/download/android","Twitter for Android")</f>
        <v>Twitter for Android</v>
      </c>
      <c r="L4752" s="16">
        <v>969</v>
      </c>
      <c r="M4752" s="16">
        <v>611</v>
      </c>
      <c r="N4752" s="16">
        <v>1</v>
      </c>
      <c r="O4752" s="17"/>
      <c r="P4752" s="18">
        <v>40939.688587962963</v>
      </c>
      <c r="Q4752" s="7" t="s">
        <v>23304</v>
      </c>
      <c r="R4752" s="7"/>
      <c r="S4752" s="15"/>
      <c r="T4752" s="8"/>
      <c r="U4752" s="19" t="str">
        <f>HYPERLINK("https://pbs.twimg.com/profile_images/1181585507458924544/UBuYlUlX.jpg","View")</f>
        <v>View</v>
      </c>
      <c r="V4752" s="8"/>
      <c r="W4752" s="8"/>
      <c r="X4752" s="8"/>
      <c r="Y4752" s="8"/>
      <c r="Z4752" s="8"/>
    </row>
    <row r="4753" spans="1:26" ht="12.75">
      <c r="A4753" s="11">
        <v>43747.107905092591</v>
      </c>
      <c r="B4753" s="12" t="str">
        <f>HYPERLINK("https://twitter.com/unluomer9","@unluomer9")</f>
        <v>@unluomer9</v>
      </c>
      <c r="C4753" s="7" t="s">
        <v>23305</v>
      </c>
      <c r="D4753" s="7" t="s">
        <v>23306</v>
      </c>
      <c r="E4753" s="12" t="str">
        <f>HYPERLINK("https://twitter.com/unluomer9/status/1181865733376135168","1181865733376135168")</f>
        <v>1181865733376135168</v>
      </c>
      <c r="F4753" s="8"/>
      <c r="G4753" s="14" t="s">
        <v>23307</v>
      </c>
      <c r="H4753" s="8"/>
      <c r="I4753" s="15">
        <v>0</v>
      </c>
      <c r="J4753" s="15">
        <v>1</v>
      </c>
      <c r="K4753" s="12" t="str">
        <f>HYPERLINK("http://twitter.com/download/android","Twitter for Android")</f>
        <v>Twitter for Android</v>
      </c>
      <c r="L4753" s="16">
        <v>215</v>
      </c>
      <c r="M4753" s="16">
        <v>172</v>
      </c>
      <c r="N4753" s="16">
        <v>0</v>
      </c>
      <c r="O4753" s="17"/>
      <c r="P4753" s="18">
        <v>42159.068831018521</v>
      </c>
      <c r="Q4753" s="7"/>
      <c r="R4753" s="7" t="s">
        <v>23308</v>
      </c>
      <c r="S4753" s="15"/>
      <c r="T4753" s="8"/>
      <c r="U4753" s="19" t="str">
        <f>HYPERLINK("https://pbs.twimg.com/profile_images/1061697975783735297/zFy400uw.jpg","View")</f>
        <v>View</v>
      </c>
      <c r="V4753" s="8"/>
      <c r="W4753" s="8"/>
      <c r="X4753" s="8"/>
      <c r="Y4753" s="8"/>
      <c r="Z4753" s="8"/>
    </row>
    <row r="4754" spans="1:26" ht="12.75">
      <c r="A4754" s="11">
        <v>43747.107858796298</v>
      </c>
      <c r="B4754" s="12" t="str">
        <f>HYPERLINK("https://twitter.com/yesiiiim","@yesiiiim")</f>
        <v>@yesiiiim</v>
      </c>
      <c r="C4754" s="7" t="s">
        <v>23309</v>
      </c>
      <c r="D4754" s="7" t="s">
        <v>23310</v>
      </c>
      <c r="E4754" s="12" t="str">
        <f>HYPERLINK("https://twitter.com/yesiiiim/status/1181865718612189184","1181865718612189184")</f>
        <v>1181865718612189184</v>
      </c>
      <c r="F4754" s="8"/>
      <c r="G4754" s="14" t="s">
        <v>23311</v>
      </c>
      <c r="H4754" s="8"/>
      <c r="I4754" s="15">
        <v>2</v>
      </c>
      <c r="J4754" s="15">
        <v>5</v>
      </c>
      <c r="K4754" s="12" t="str">
        <f>HYPERLINK("http://twitter.com/download/android","Twitter for Android")</f>
        <v>Twitter for Android</v>
      </c>
      <c r="L4754" s="16">
        <v>2024</v>
      </c>
      <c r="M4754" s="16">
        <v>982</v>
      </c>
      <c r="N4754" s="16">
        <v>5</v>
      </c>
      <c r="O4754" s="17"/>
      <c r="P4754" s="18">
        <v>41188.585416666669</v>
      </c>
      <c r="Q4754" s="7" t="s">
        <v>1150</v>
      </c>
      <c r="R4754" s="8" t="s">
        <v>23312</v>
      </c>
      <c r="S4754" s="8"/>
      <c r="T4754" s="8"/>
      <c r="U4754" s="19" t="str">
        <f>HYPERLINK("https://pbs.twimg.com/profile_images/1168264840118439936/77aGojhf.jpg","View")</f>
        <v>View</v>
      </c>
      <c r="V4754" s="8"/>
      <c r="W4754" s="8"/>
      <c r="X4754" s="8"/>
      <c r="Y4754" s="8"/>
      <c r="Z4754" s="8"/>
    </row>
    <row r="4755" spans="1:26" ht="12.75">
      <c r="A4755" s="11">
        <v>43747.107824074075</v>
      </c>
      <c r="B4755" s="12" t="str">
        <f>HYPERLINK("https://twitter.com/UgrErgn97","@UgrErgn97")</f>
        <v>@UgrErgn97</v>
      </c>
      <c r="C4755" s="7" t="s">
        <v>23313</v>
      </c>
      <c r="D4755" s="7" t="s">
        <v>23314</v>
      </c>
      <c r="E4755" s="12" t="str">
        <f>HYPERLINK("https://twitter.com/UgrErgn97/status/1181865703852449793","1181865703852449793")</f>
        <v>1181865703852449793</v>
      </c>
      <c r="F4755" s="8"/>
      <c r="G4755" s="7"/>
      <c r="H4755" s="8"/>
      <c r="I4755" s="15">
        <v>0</v>
      </c>
      <c r="J4755" s="15">
        <v>1</v>
      </c>
      <c r="K4755" s="12" t="str">
        <f>HYPERLINK("https://mobile.twitter.com","Twitter Web App")</f>
        <v>Twitter Web App</v>
      </c>
      <c r="L4755" s="16">
        <v>45</v>
      </c>
      <c r="M4755" s="16">
        <v>67</v>
      </c>
      <c r="N4755" s="16">
        <v>0</v>
      </c>
      <c r="O4755" s="17"/>
      <c r="P4755" s="18">
        <v>42610.133009259254</v>
      </c>
      <c r="Q4755" s="7" t="s">
        <v>4442</v>
      </c>
      <c r="R4755" s="7" t="s">
        <v>23315</v>
      </c>
      <c r="S4755" s="8"/>
      <c r="T4755" s="8"/>
      <c r="U4755" s="19" t="str">
        <f>HYPERLINK("https://pbs.twimg.com/profile_images/1164254794594291712/mnO_Ndz9.jpg","View")</f>
        <v>View</v>
      </c>
      <c r="V4755" s="8"/>
      <c r="W4755" s="8"/>
      <c r="X4755" s="8"/>
      <c r="Y4755" s="8"/>
      <c r="Z4755" s="8"/>
    </row>
    <row r="4756" spans="1:26" ht="12.75">
      <c r="A4756" s="11">
        <v>43747.107777777783</v>
      </c>
      <c r="B4756" s="12" t="str">
        <f>HYPERLINK("https://twitter.com/luenis3","@luenis3")</f>
        <v>@luenis3</v>
      </c>
      <c r="C4756" s="7" t="s">
        <v>23316</v>
      </c>
      <c r="D4756" s="7" t="s">
        <v>160</v>
      </c>
      <c r="E4756" s="12" t="str">
        <f>HYPERLINK("https://twitter.com/luenis3/status/1181865688631332864","1181865688631332864")</f>
        <v>1181865688631332864</v>
      </c>
      <c r="F4756" s="8"/>
      <c r="G4756" s="14" t="s">
        <v>23317</v>
      </c>
      <c r="H4756" s="8"/>
      <c r="I4756" s="15">
        <v>0</v>
      </c>
      <c r="J4756" s="15">
        <v>0</v>
      </c>
      <c r="K4756" s="12" t="str">
        <f>HYPERLINK("http://twitter.com/download/iphone","Twitter for iPhone")</f>
        <v>Twitter for iPhone</v>
      </c>
      <c r="L4756" s="16">
        <v>41</v>
      </c>
      <c r="M4756" s="16">
        <v>61</v>
      </c>
      <c r="N4756" s="16">
        <v>0</v>
      </c>
      <c r="O4756" s="17"/>
      <c r="P4756" s="18">
        <v>43450.077743055561</v>
      </c>
      <c r="Q4756" s="8"/>
      <c r="R4756" s="7" t="s">
        <v>23318</v>
      </c>
      <c r="S4756" s="8"/>
      <c r="T4756" s="8"/>
      <c r="U4756" s="19" t="str">
        <f>HYPERLINK("https://pbs.twimg.com/profile_images/1181510670669496326/ByFNG0DC.jpg","View")</f>
        <v>View</v>
      </c>
      <c r="V4756" s="8"/>
      <c r="W4756" s="8"/>
      <c r="X4756" s="8"/>
      <c r="Y4756" s="8"/>
      <c r="Z4756" s="8"/>
    </row>
    <row r="4757" spans="1:26" ht="12.75">
      <c r="A4757" s="11">
        <v>43747.107777777783</v>
      </c>
      <c r="B4757" s="12" t="str">
        <f>HYPERLINK("https://twitter.com/mamidino","@mamidino")</f>
        <v>@mamidino</v>
      </c>
      <c r="C4757" s="7" t="s">
        <v>23319</v>
      </c>
      <c r="D4757" s="7" t="s">
        <v>23320</v>
      </c>
      <c r="E4757" s="12" t="str">
        <f>HYPERLINK("https://twitter.com/mamidino/status/1181865685426802688","1181865685426802688")</f>
        <v>1181865685426802688</v>
      </c>
      <c r="F4757" s="8"/>
      <c r="G4757" s="15"/>
      <c r="H4757" s="8"/>
      <c r="I4757" s="15">
        <v>0</v>
      </c>
      <c r="J4757" s="15">
        <v>0</v>
      </c>
      <c r="K4757" s="12" t="str">
        <f>HYPERLINK("http://twitter.com/download/iphone","Twitter for iPhone")</f>
        <v>Twitter for iPhone</v>
      </c>
      <c r="L4757" s="16">
        <v>776</v>
      </c>
      <c r="M4757" s="16">
        <v>749</v>
      </c>
      <c r="N4757" s="16">
        <v>0</v>
      </c>
      <c r="O4757" s="17"/>
      <c r="P4757" s="18">
        <v>40441.247673611113</v>
      </c>
      <c r="Q4757" s="7" t="s">
        <v>200</v>
      </c>
      <c r="R4757" s="7"/>
      <c r="S4757" s="14" t="s">
        <v>23321</v>
      </c>
      <c r="T4757" s="8"/>
      <c r="U4757" s="19" t="str">
        <f>HYPERLINK("https://pbs.twimg.com/profile_images/1131294237629325312/0T4O57kM.jpg","View")</f>
        <v>View</v>
      </c>
      <c r="V4757" s="8"/>
      <c r="W4757" s="8"/>
      <c r="X4757" s="8"/>
      <c r="Y4757" s="8"/>
      <c r="Z4757" s="8"/>
    </row>
    <row r="4758" spans="1:26" ht="12.75">
      <c r="A4758" s="11">
        <v>43747.10774305556</v>
      </c>
      <c r="B4758" s="12" t="str">
        <f>HYPERLINK("https://twitter.com/SultanMest","@SultanMest")</f>
        <v>@SultanMest</v>
      </c>
      <c r="C4758" s="7" t="s">
        <v>23322</v>
      </c>
      <c r="D4758" s="7" t="s">
        <v>23323</v>
      </c>
      <c r="E4758" s="12" t="str">
        <f>HYPERLINK("https://twitter.com/SultanMest/status/1181865672793640960","1181865672793640960")</f>
        <v>1181865672793640960</v>
      </c>
      <c r="F4758" s="8"/>
      <c r="G4758" s="14" t="s">
        <v>23324</v>
      </c>
      <c r="H4758" s="8"/>
      <c r="I4758" s="15">
        <v>0</v>
      </c>
      <c r="J4758" s="15">
        <v>7</v>
      </c>
      <c r="K4758" s="12" t="str">
        <f>HYPERLINK("http://twitter.com/download/iphone","Twitter for iPhone")</f>
        <v>Twitter for iPhone</v>
      </c>
      <c r="L4758" s="16">
        <v>387</v>
      </c>
      <c r="M4758" s="16">
        <v>232</v>
      </c>
      <c r="N4758" s="16">
        <v>3</v>
      </c>
      <c r="O4758" s="17"/>
      <c r="P4758" s="18">
        <v>40916.509212962963</v>
      </c>
      <c r="Q4758" s="7" t="s">
        <v>23325</v>
      </c>
      <c r="R4758" s="7" t="s">
        <v>23326</v>
      </c>
      <c r="S4758" s="14" t="s">
        <v>23327</v>
      </c>
      <c r="T4758" s="8"/>
      <c r="U4758" s="19" t="str">
        <f>HYPERLINK("https://pbs.twimg.com/profile_images/1175639502016143360/gf2_lJSU.jpg","View")</f>
        <v>View</v>
      </c>
      <c r="V4758" s="8"/>
      <c r="W4758" s="8"/>
      <c r="X4758" s="8"/>
      <c r="Y4758" s="8"/>
      <c r="Z4758" s="8"/>
    </row>
    <row r="4759" spans="1:26" ht="12.75">
      <c r="A4759" s="11">
        <v>43747.107731481483</v>
      </c>
      <c r="B4759" s="12" t="str">
        <f>HYPERLINK("https://twitter.com/EmirhanA18","@EmirhanA18")</f>
        <v>@EmirhanA18</v>
      </c>
      <c r="C4759" s="7" t="s">
        <v>23328</v>
      </c>
      <c r="D4759" s="7" t="s">
        <v>23329</v>
      </c>
      <c r="E4759" s="12" t="str">
        <f>HYPERLINK("https://twitter.com/EmirhanA18/status/1181865669794684928","1181865669794684928")</f>
        <v>1181865669794684928</v>
      </c>
      <c r="F4759" s="8"/>
      <c r="G4759" s="15"/>
      <c r="H4759" s="8"/>
      <c r="I4759" s="15">
        <v>0</v>
      </c>
      <c r="J4759" s="15">
        <v>0</v>
      </c>
      <c r="K4759" s="12" t="str">
        <f>HYPERLINK("https://mobile.twitter.com","Twitter Web App")</f>
        <v>Twitter Web App</v>
      </c>
      <c r="L4759" s="16">
        <v>15</v>
      </c>
      <c r="M4759" s="16">
        <v>25</v>
      </c>
      <c r="N4759" s="16">
        <v>0</v>
      </c>
      <c r="O4759" s="17"/>
      <c r="P4759" s="18">
        <v>42574.205023148148</v>
      </c>
      <c r="Q4759" s="7"/>
      <c r="R4759" s="7"/>
      <c r="S4759" s="15"/>
      <c r="T4759" s="8"/>
      <c r="U4759" s="19" t="str">
        <f>HYPERLINK("https://pbs.twimg.com/profile_images/896324590305259522/8Oa1LDp_.jpg","View")</f>
        <v>View</v>
      </c>
      <c r="V4759" s="8"/>
      <c r="W4759" s="8"/>
      <c r="X4759" s="8"/>
      <c r="Y4759" s="8"/>
      <c r="Z4759" s="8"/>
    </row>
    <row r="4760" spans="1:26" ht="12.75">
      <c r="A4760" s="11">
        <v>43747.107719907406</v>
      </c>
      <c r="B4760" s="12" t="str">
        <f>HYPERLINK("https://twitter.com/T_Meral_45","@T_Meral_45")</f>
        <v>@T_Meral_45</v>
      </c>
      <c r="C4760" s="7" t="s">
        <v>23330</v>
      </c>
      <c r="D4760" s="7" t="s">
        <v>23331</v>
      </c>
      <c r="E4760" s="12" t="str">
        <f>HYPERLINK("https://twitter.com/T_Meral_45/status/1181865665763958784","1181865665763958784")</f>
        <v>1181865665763958784</v>
      </c>
      <c r="F4760" s="8"/>
      <c r="G4760" s="14" t="s">
        <v>23332</v>
      </c>
      <c r="H4760" s="8"/>
      <c r="I4760" s="15">
        <v>0</v>
      </c>
      <c r="J4760" s="15">
        <v>5</v>
      </c>
      <c r="K4760" s="12" t="str">
        <f>HYPERLINK("http://twitter.com/download/android","Twitter for Android")</f>
        <v>Twitter for Android</v>
      </c>
      <c r="L4760" s="16">
        <v>0</v>
      </c>
      <c r="M4760" s="16">
        <v>0</v>
      </c>
      <c r="N4760" s="16">
        <v>0</v>
      </c>
      <c r="O4760" s="17"/>
      <c r="P4760" s="18">
        <v>43741.564907407403</v>
      </c>
      <c r="Q4760" s="8"/>
      <c r="R4760" s="7" t="s">
        <v>23333</v>
      </c>
      <c r="S4760" s="8"/>
      <c r="T4760" s="8"/>
      <c r="U4760" s="19" t="str">
        <f>HYPERLINK("https://pbs.twimg.com/profile_images/1179859616576016385/g1OGec4E.jpg","View")</f>
        <v>View</v>
      </c>
      <c r="V4760" s="8"/>
      <c r="W4760" s="8"/>
      <c r="X4760" s="8"/>
      <c r="Y4760" s="8"/>
      <c r="Z4760" s="8"/>
    </row>
    <row r="4761" spans="1:26" ht="12.75">
      <c r="A4761" s="11">
        <v>43747.107673611114</v>
      </c>
      <c r="B4761" s="12" t="str">
        <f>HYPERLINK("https://twitter.com/mesutluluklarr","@mesutluluklarr")</f>
        <v>@mesutluluklarr</v>
      </c>
      <c r="C4761" s="7" t="s">
        <v>23334</v>
      </c>
      <c r="D4761" s="7" t="s">
        <v>23335</v>
      </c>
      <c r="E4761" s="12" t="str">
        <f>HYPERLINK("https://twitter.com/mesutluluklarr/status/1181865649066463232","1181865649066463232")</f>
        <v>1181865649066463232</v>
      </c>
      <c r="F4761" s="8"/>
      <c r="G4761" s="15"/>
      <c r="H4761" s="8"/>
      <c r="I4761" s="15">
        <v>0</v>
      </c>
      <c r="J4761" s="15">
        <v>0</v>
      </c>
      <c r="K4761" s="12" t="str">
        <f>HYPERLINK("http://twitter.com/download/iphone","Twitter for iPhone")</f>
        <v>Twitter for iPhone</v>
      </c>
      <c r="L4761" s="16">
        <v>541</v>
      </c>
      <c r="M4761" s="16">
        <v>1028</v>
      </c>
      <c r="N4761" s="16">
        <v>1</v>
      </c>
      <c r="O4761" s="17"/>
      <c r="P4761" s="18">
        <v>41673.996238425927</v>
      </c>
      <c r="Q4761" s="7"/>
      <c r="R4761" s="7" t="s">
        <v>23336</v>
      </c>
      <c r="S4761" s="8"/>
      <c r="T4761" s="8"/>
      <c r="U4761" s="19" t="str">
        <f>HYPERLINK("https://pbs.twimg.com/profile_images/1112636564369223680/3r8vBM69.jpg","View")</f>
        <v>View</v>
      </c>
      <c r="V4761" s="8"/>
      <c r="W4761" s="8"/>
      <c r="X4761" s="8"/>
      <c r="Y4761" s="8"/>
      <c r="Z4761" s="8"/>
    </row>
    <row r="4762" spans="1:26" ht="12.75">
      <c r="A4762" s="11">
        <v>43747.107662037037</v>
      </c>
      <c r="B4762" s="12" t="str">
        <f>HYPERLINK("https://twitter.com/Alperenbbgln","@Alperenbbgln")</f>
        <v>@Alperenbbgln</v>
      </c>
      <c r="C4762" s="7" t="s">
        <v>23337</v>
      </c>
      <c r="D4762" s="7" t="s">
        <v>13999</v>
      </c>
      <c r="E4762" s="12" t="str">
        <f>HYPERLINK("https://twitter.com/Alperenbbgln/status/1181865646784700416","1181865646784700416")</f>
        <v>1181865646784700416</v>
      </c>
      <c r="F4762" s="8"/>
      <c r="G4762" s="14" t="s">
        <v>23338</v>
      </c>
      <c r="H4762" s="8"/>
      <c r="I4762" s="15">
        <v>0</v>
      </c>
      <c r="J4762" s="15">
        <v>1</v>
      </c>
      <c r="K4762" s="12" t="str">
        <f>HYPERLINK("http://twitter.com/download/android","Twitter for Android")</f>
        <v>Twitter for Android</v>
      </c>
      <c r="L4762" s="16">
        <v>312</v>
      </c>
      <c r="M4762" s="16">
        <v>542</v>
      </c>
      <c r="N4762" s="16">
        <v>0</v>
      </c>
      <c r="O4762" s="17"/>
      <c r="P4762" s="18">
        <v>42927.131909722222</v>
      </c>
      <c r="Q4762" s="7"/>
      <c r="R4762" s="8" t="s">
        <v>23339</v>
      </c>
      <c r="S4762" s="8"/>
      <c r="T4762" s="8"/>
      <c r="U4762" s="19" t="str">
        <f>HYPERLINK("https://pbs.twimg.com/profile_images/1142824129978126336/a4dKhOdH.jpg","View")</f>
        <v>View</v>
      </c>
      <c r="V4762" s="8"/>
      <c r="W4762" s="8"/>
      <c r="X4762" s="8"/>
      <c r="Y4762" s="8"/>
      <c r="Z4762" s="8"/>
    </row>
    <row r="4763" spans="1:26" ht="12.75">
      <c r="A4763" s="11">
        <v>43747.107627314814</v>
      </c>
      <c r="B4763" s="12" t="str">
        <f>HYPERLINK("https://twitter.com/ErdinBalk","@ErdinBalk")</f>
        <v>@ErdinBalk</v>
      </c>
      <c r="C4763" s="7" t="s">
        <v>23340</v>
      </c>
      <c r="D4763" s="7" t="s">
        <v>160</v>
      </c>
      <c r="E4763" s="12" t="str">
        <f>HYPERLINK("https://twitter.com/ErdinBalk/status/1181865632897339392","1181865632897339392")</f>
        <v>1181865632897339392</v>
      </c>
      <c r="F4763" s="8"/>
      <c r="G4763" s="14" t="s">
        <v>23341</v>
      </c>
      <c r="H4763" s="8"/>
      <c r="I4763" s="15">
        <v>0</v>
      </c>
      <c r="J4763" s="15">
        <v>0</v>
      </c>
      <c r="K4763" s="12" t="str">
        <f>HYPERLINK("http://twitter.com/download/android","Twitter for Android")</f>
        <v>Twitter for Android</v>
      </c>
      <c r="L4763" s="16">
        <v>126</v>
      </c>
      <c r="M4763" s="16">
        <v>209</v>
      </c>
      <c r="N4763" s="16">
        <v>0</v>
      </c>
      <c r="O4763" s="17"/>
      <c r="P4763" s="18">
        <v>40750.100069444445</v>
      </c>
      <c r="Q4763" s="7"/>
      <c r="R4763" s="7"/>
      <c r="S4763" s="8"/>
      <c r="T4763" s="8"/>
      <c r="U4763" s="19" t="str">
        <f>HYPERLINK("https://pbs.twimg.com/profile_images/1082461519848398849/mXSL0qmU.jpg","View")</f>
        <v>View</v>
      </c>
      <c r="V4763" s="8"/>
      <c r="W4763" s="8"/>
      <c r="X4763" s="8"/>
      <c r="Y4763" s="8"/>
      <c r="Z4763" s="8"/>
    </row>
    <row r="4764" spans="1:26" ht="12.75">
      <c r="A4764" s="11">
        <v>43747.107534722221</v>
      </c>
      <c r="B4764" s="12" t="str">
        <f>HYPERLINK("https://twitter.com/fikribass34","@fikribass34")</f>
        <v>@fikribass34</v>
      </c>
      <c r="C4764" s="7" t="s">
        <v>23342</v>
      </c>
      <c r="D4764" s="7" t="s">
        <v>23343</v>
      </c>
      <c r="E4764" s="12" t="str">
        <f>HYPERLINK("https://twitter.com/fikribass34/status/1181865598864822278","1181865598864822278")</f>
        <v>1181865598864822278</v>
      </c>
      <c r="F4764" s="8"/>
      <c r="G4764" s="14" t="s">
        <v>23344</v>
      </c>
      <c r="H4764" s="8"/>
      <c r="I4764" s="15">
        <v>0</v>
      </c>
      <c r="J4764" s="15">
        <v>1</v>
      </c>
      <c r="K4764" s="12" t="str">
        <f>HYPERLINK("http://twitter.com/download/iphone","Twitter for iPhone")</f>
        <v>Twitter for iPhone</v>
      </c>
      <c r="L4764" s="16">
        <v>43</v>
      </c>
      <c r="M4764" s="16">
        <v>191</v>
      </c>
      <c r="N4764" s="16">
        <v>0</v>
      </c>
      <c r="O4764" s="17"/>
      <c r="P4764" s="18">
        <v>43592.337164351848</v>
      </c>
      <c r="Q4764" s="7" t="s">
        <v>313</v>
      </c>
      <c r="R4764" s="7" t="s">
        <v>23345</v>
      </c>
      <c r="S4764" s="8"/>
      <c r="T4764" s="8"/>
      <c r="U4764" s="19" t="str">
        <f>HYPERLINK("https://pbs.twimg.com/profile_images/1179481983967285248/bclzPiAX.jpg","View")</f>
        <v>View</v>
      </c>
      <c r="V4764" s="8"/>
      <c r="W4764" s="8"/>
      <c r="X4764" s="8"/>
      <c r="Y4764" s="8"/>
      <c r="Z4764" s="8"/>
    </row>
    <row r="4765" spans="1:26" ht="12.75">
      <c r="A4765" s="11">
        <v>43747.107476851852</v>
      </c>
      <c r="B4765" s="12" t="str">
        <f>HYPERLINK("https://twitter.com/stowaway04","@stowaway04")</f>
        <v>@stowaway04</v>
      </c>
      <c r="C4765" s="7" t="s">
        <v>23346</v>
      </c>
      <c r="D4765" s="7" t="s">
        <v>23347</v>
      </c>
      <c r="E4765" s="12" t="str">
        <f>HYPERLINK("https://twitter.com/stowaway04/status/1181865580011368448","1181865580011368448")</f>
        <v>1181865580011368448</v>
      </c>
      <c r="F4765" s="8"/>
      <c r="G4765" s="7"/>
      <c r="H4765" s="8"/>
      <c r="I4765" s="15">
        <v>0</v>
      </c>
      <c r="J4765" s="15">
        <v>0</v>
      </c>
      <c r="K4765" s="12" t="str">
        <f>HYPERLINK("http://twitter.com/download/iphone","Twitter for iPhone")</f>
        <v>Twitter for iPhone</v>
      </c>
      <c r="L4765" s="16">
        <v>35</v>
      </c>
      <c r="M4765" s="16">
        <v>13</v>
      </c>
      <c r="N4765" s="16">
        <v>0</v>
      </c>
      <c r="O4765" s="17"/>
      <c r="P4765" s="18">
        <v>42388.48819444445</v>
      </c>
      <c r="Q4765" s="7"/>
      <c r="R4765" s="7" t="s">
        <v>23348</v>
      </c>
      <c r="S4765" s="8"/>
      <c r="T4765" s="8"/>
      <c r="U4765" s="19" t="str">
        <f>HYPERLINK("https://pbs.twimg.com/profile_images/1180595368506974210/P0UeAtQ9.jpg","View")</f>
        <v>View</v>
      </c>
      <c r="V4765" s="8"/>
      <c r="W4765" s="8"/>
      <c r="X4765" s="8"/>
      <c r="Y4765" s="8"/>
      <c r="Z4765" s="8"/>
    </row>
    <row r="4766" spans="1:26" ht="12.75">
      <c r="A4766" s="11">
        <v>43747.107465277775</v>
      </c>
      <c r="B4766" s="12" t="str">
        <f>HYPERLINK("https://twitter.com/Atabey1923","@Atabey1923")</f>
        <v>@Atabey1923</v>
      </c>
      <c r="C4766" s="7" t="s">
        <v>23349</v>
      </c>
      <c r="D4766" s="7" t="s">
        <v>23350</v>
      </c>
      <c r="E4766" s="12" t="str">
        <f>HYPERLINK("https://twitter.com/Atabey1923/status/1181865575854886913","1181865575854886913")</f>
        <v>1181865575854886913</v>
      </c>
      <c r="F4766" s="8"/>
      <c r="G4766" s="14" t="s">
        <v>23351</v>
      </c>
      <c r="H4766" s="8"/>
      <c r="I4766" s="15">
        <v>4</v>
      </c>
      <c r="J4766" s="15">
        <v>24</v>
      </c>
      <c r="K4766" s="12" t="str">
        <f>HYPERLINK("https://mobile.twitter.com","Twitter Web App")</f>
        <v>Twitter Web App</v>
      </c>
      <c r="L4766" s="16">
        <v>1807</v>
      </c>
      <c r="M4766" s="16">
        <v>1725</v>
      </c>
      <c r="N4766" s="16">
        <v>1</v>
      </c>
      <c r="O4766" s="17"/>
      <c r="P4766" s="18">
        <v>43678.551319444443</v>
      </c>
      <c r="Q4766" s="7"/>
      <c r="R4766" s="7" t="s">
        <v>23352</v>
      </c>
      <c r="S4766" s="8"/>
      <c r="T4766" s="8"/>
      <c r="U4766" s="19" t="str">
        <f>HYPERLINK("https://pbs.twimg.com/profile_images/1177529515834257409/H4z1wLBR.jpg","View")</f>
        <v>View</v>
      </c>
      <c r="V4766" s="8"/>
      <c r="W4766" s="8"/>
      <c r="X4766" s="8"/>
      <c r="Y4766" s="8"/>
      <c r="Z4766" s="8"/>
    </row>
    <row r="4767" spans="1:26" ht="12.75">
      <c r="A4767" s="11">
        <v>43747.107418981483</v>
      </c>
      <c r="B4767" s="12" t="str">
        <f>HYPERLINK("https://twitter.com/atilla81872570","@atilla81872570")</f>
        <v>@atilla81872570</v>
      </c>
      <c r="C4767" s="7" t="s">
        <v>23353</v>
      </c>
      <c r="D4767" s="7" t="s">
        <v>160</v>
      </c>
      <c r="E4767" s="12" t="str">
        <f>HYPERLINK("https://twitter.com/atilla81872570/status/1181865558612074498","1181865558612074498")</f>
        <v>1181865558612074498</v>
      </c>
      <c r="F4767" s="8"/>
      <c r="G4767" s="14" t="s">
        <v>23354</v>
      </c>
      <c r="H4767" s="8"/>
      <c r="I4767" s="15">
        <v>0</v>
      </c>
      <c r="J4767" s="15">
        <v>1</v>
      </c>
      <c r="K4767" s="12" t="str">
        <f>HYPERLINK("https://mobile.twitter.com","Twitter Web App")</f>
        <v>Twitter Web App</v>
      </c>
      <c r="L4767" s="16">
        <v>68</v>
      </c>
      <c r="M4767" s="16">
        <v>77</v>
      </c>
      <c r="N4767" s="16">
        <v>0</v>
      </c>
      <c r="O4767" s="17"/>
      <c r="P4767" s="18">
        <v>43536.456516203703</v>
      </c>
      <c r="Q4767" s="8"/>
      <c r="R4767" s="8" t="s">
        <v>23355</v>
      </c>
      <c r="S4767" s="8"/>
      <c r="T4767" s="8"/>
      <c r="U4767" s="19" t="str">
        <f>HYPERLINK("https://pbs.twimg.com/profile_images/1105529260750635014/QwpJXAY4.png","View")</f>
        <v>View</v>
      </c>
      <c r="V4767" s="8"/>
      <c r="W4767" s="8"/>
      <c r="X4767" s="8"/>
      <c r="Y4767" s="8"/>
      <c r="Z4767" s="8"/>
    </row>
    <row r="4768" spans="1:26" ht="12.75">
      <c r="A4768" s="11">
        <v>43747.107395833329</v>
      </c>
      <c r="B4768" s="12" t="str">
        <f>HYPERLINK("https://twitter.com/fhosalay","@fhosalay")</f>
        <v>@fhosalay</v>
      </c>
      <c r="C4768" s="7" t="s">
        <v>23356</v>
      </c>
      <c r="D4768" s="7" t="s">
        <v>23357</v>
      </c>
      <c r="E4768" s="12" t="str">
        <f>HYPERLINK("https://twitter.com/fhosalay/status/1181865549497819136","1181865549497819136")</f>
        <v>1181865549497819136</v>
      </c>
      <c r="F4768" s="15"/>
      <c r="G4768" s="14" t="s">
        <v>23358</v>
      </c>
      <c r="H4768" s="8"/>
      <c r="I4768" s="15">
        <v>0</v>
      </c>
      <c r="J4768" s="15">
        <v>1</v>
      </c>
      <c r="K4768" s="12" t="str">
        <f>HYPERLINK("http://twitter.com/download/android","Twitter for Android")</f>
        <v>Twitter for Android</v>
      </c>
      <c r="L4768" s="16">
        <v>334</v>
      </c>
      <c r="M4768" s="16">
        <v>598</v>
      </c>
      <c r="N4768" s="16">
        <v>1</v>
      </c>
      <c r="O4768" s="17"/>
      <c r="P4768" s="18">
        <v>40729.857557870375</v>
      </c>
      <c r="Q4768" s="7" t="s">
        <v>23359</v>
      </c>
      <c r="R4768" s="7" t="s">
        <v>23360</v>
      </c>
      <c r="S4768" s="14" t="s">
        <v>23361</v>
      </c>
      <c r="T4768" s="8"/>
      <c r="U4768" s="19" t="str">
        <f>HYPERLINK("https://pbs.twimg.com/profile_images/1107939181437816833/kDCafD2s.jpg","View")</f>
        <v>View</v>
      </c>
      <c r="V4768" s="8"/>
      <c r="W4768" s="8"/>
      <c r="X4768" s="8"/>
      <c r="Y4768" s="8"/>
      <c r="Z4768" s="8"/>
    </row>
    <row r="4769" spans="1:26" ht="12.75">
      <c r="A4769" s="11">
        <v>43747.107337962967</v>
      </c>
      <c r="B4769" s="12" t="str">
        <f>HYPERLINK("https://twitter.com/transporter3552","@transporter3552")</f>
        <v>@transporter3552</v>
      </c>
      <c r="C4769" s="7" t="s">
        <v>23362</v>
      </c>
      <c r="D4769" s="7" t="s">
        <v>23363</v>
      </c>
      <c r="E4769" s="12" t="str">
        <f>HYPERLINK("https://twitter.com/transporter3552/status/1181865529730043904","1181865529730043904")</f>
        <v>1181865529730043904</v>
      </c>
      <c r="F4769" s="14" t="s">
        <v>16846</v>
      </c>
      <c r="G4769" s="14" t="s">
        <v>14234</v>
      </c>
      <c r="H4769" s="8"/>
      <c r="I4769" s="15">
        <v>0</v>
      </c>
      <c r="J4769" s="15">
        <v>1</v>
      </c>
      <c r="K4769" s="12" t="str">
        <f>HYPERLINK("http://twitter.com/download/iphone","Twitter for iPhone")</f>
        <v>Twitter for iPhone</v>
      </c>
      <c r="L4769" s="16">
        <v>70</v>
      </c>
      <c r="M4769" s="16">
        <v>246</v>
      </c>
      <c r="N4769" s="16">
        <v>0</v>
      </c>
      <c r="O4769" s="17"/>
      <c r="P4769" s="18">
        <v>41123.252256944441</v>
      </c>
      <c r="Q4769" s="8" t="s">
        <v>23364</v>
      </c>
      <c r="R4769" s="7" t="s">
        <v>23365</v>
      </c>
      <c r="S4769" s="8"/>
      <c r="T4769" s="8"/>
      <c r="U4769" s="19" t="str">
        <f>HYPERLINK("https://pbs.twimg.com/profile_images/1170330866981249024/N2oA6R3I.jpg","View")</f>
        <v>View</v>
      </c>
      <c r="V4769" s="8"/>
      <c r="W4769" s="8"/>
      <c r="X4769" s="8"/>
      <c r="Y4769" s="8"/>
      <c r="Z4769" s="8"/>
    </row>
    <row r="4770" spans="1:26" ht="12.75">
      <c r="A4770" s="11">
        <v>43747.107337962967</v>
      </c>
      <c r="B4770" s="12" t="str">
        <f>HYPERLINK("https://twitter.com/escumhurbakani","@escumhurbakani")</f>
        <v>@escumhurbakani</v>
      </c>
      <c r="C4770" s="7" t="s">
        <v>23366</v>
      </c>
      <c r="D4770" s="7" t="s">
        <v>23367</v>
      </c>
      <c r="E4770" s="12" t="str">
        <f>HYPERLINK("https://twitter.com/escumhurbakani/status/1181865526684979200","1181865526684979200")</f>
        <v>1181865526684979200</v>
      </c>
      <c r="F4770" s="8"/>
      <c r="G4770" s="14" t="s">
        <v>23368</v>
      </c>
      <c r="H4770" s="8"/>
      <c r="I4770" s="15">
        <v>0</v>
      </c>
      <c r="J4770" s="15">
        <v>1</v>
      </c>
      <c r="K4770" s="12" t="str">
        <f>HYPERLINK("https://mobile.twitter.com","Twitter Web App")</f>
        <v>Twitter Web App</v>
      </c>
      <c r="L4770" s="16">
        <v>2607</v>
      </c>
      <c r="M4770" s="16">
        <v>4778</v>
      </c>
      <c r="N4770" s="16">
        <v>15</v>
      </c>
      <c r="O4770" s="17"/>
      <c r="P4770" s="18">
        <v>41811.357465277775</v>
      </c>
      <c r="Q4770" s="8" t="s">
        <v>860</v>
      </c>
      <c r="R4770" s="7" t="s">
        <v>23369</v>
      </c>
      <c r="S4770" s="8"/>
      <c r="T4770" s="8"/>
      <c r="U4770" s="19" t="str">
        <f>HYPERLINK("https://pbs.twimg.com/profile_images/766275702937284608/GPuhf_8X.jpg","View")</f>
        <v>View</v>
      </c>
      <c r="V4770" s="8"/>
      <c r="W4770" s="8"/>
      <c r="X4770" s="8"/>
      <c r="Y4770" s="8"/>
      <c r="Z4770" s="8"/>
    </row>
    <row r="4771" spans="1:26" ht="12.75">
      <c r="A4771" s="11">
        <v>43747.107291666667</v>
      </c>
      <c r="B4771" s="12" t="str">
        <f>HYPERLINK("https://twitter.com/tantunibreak","@tantunibreak")</f>
        <v>@tantunibreak</v>
      </c>
      <c r="C4771" s="7" t="s">
        <v>23370</v>
      </c>
      <c r="D4771" s="7" t="s">
        <v>23371</v>
      </c>
      <c r="E4771" s="12" t="str">
        <f>HYPERLINK("https://twitter.com/tantunibreak/status/1181865510184595456","1181865510184595456")</f>
        <v>1181865510184595456</v>
      </c>
      <c r="F4771" s="8"/>
      <c r="G4771" s="14" t="s">
        <v>23372</v>
      </c>
      <c r="H4771" s="8"/>
      <c r="I4771" s="15">
        <v>11</v>
      </c>
      <c r="J4771" s="15">
        <v>56</v>
      </c>
      <c r="K4771" s="12" t="str">
        <f>HYPERLINK("http://twitter.com/download/android","Twitter for Android")</f>
        <v>Twitter for Android</v>
      </c>
      <c r="L4771" s="16">
        <v>6026</v>
      </c>
      <c r="M4771" s="16">
        <v>5854</v>
      </c>
      <c r="N4771" s="16">
        <v>1</v>
      </c>
      <c r="O4771" s="17"/>
      <c r="P4771" s="18">
        <v>43244.535555555558</v>
      </c>
      <c r="Q4771" s="8"/>
      <c r="R4771" s="8"/>
      <c r="S4771" s="8"/>
      <c r="T4771" s="8"/>
      <c r="U4771" s="19" t="str">
        <f>HYPERLINK("https://pbs.twimg.com/profile_images/1166424928800923648/0EObU2Vp.jpg","View")</f>
        <v>View</v>
      </c>
      <c r="V4771" s="8"/>
      <c r="W4771" s="8"/>
      <c r="X4771" s="8"/>
      <c r="Y4771" s="8"/>
      <c r="Z4771" s="8"/>
    </row>
    <row r="4772" spans="1:26" ht="12.75">
      <c r="A4772" s="11">
        <v>43747.107291666667</v>
      </c>
      <c r="B4772" s="12" t="str">
        <f>HYPERLINK("https://twitter.com/MAkifMAKOCOGLU","@MAkifMAKOCOGLU")</f>
        <v>@MAkifMAKOCOGLU</v>
      </c>
      <c r="C4772" s="7" t="s">
        <v>23373</v>
      </c>
      <c r="D4772" s="7" t="s">
        <v>160</v>
      </c>
      <c r="E4772" s="12" t="str">
        <f>HYPERLINK("https://twitter.com/MAkifMAKOCOGLU/status/1181865509211561984","1181865509211561984")</f>
        <v>1181865509211561984</v>
      </c>
      <c r="F4772" s="15"/>
      <c r="G4772" s="14" t="s">
        <v>23374</v>
      </c>
      <c r="H4772" s="8"/>
      <c r="I4772" s="15">
        <v>0</v>
      </c>
      <c r="J4772" s="15">
        <v>0</v>
      </c>
      <c r="K4772" s="12" t="str">
        <f>HYPERLINK("http://twitter.com/download/android","Twitter for Android")</f>
        <v>Twitter for Android</v>
      </c>
      <c r="L4772" s="16">
        <v>11</v>
      </c>
      <c r="M4772" s="16">
        <v>8</v>
      </c>
      <c r="N4772" s="16">
        <v>0</v>
      </c>
      <c r="O4772" s="17"/>
      <c r="P4772" s="18">
        <v>41550.384872685187</v>
      </c>
      <c r="Q4772" s="8"/>
      <c r="R4772" s="8"/>
      <c r="S4772" s="8"/>
      <c r="T4772" s="8"/>
      <c r="U4772" s="19" t="str">
        <f>HYPERLINK("https://pbs.twimg.com/profile_images/1077999800002449408/kMp-zt1b.jpg","View")</f>
        <v>View</v>
      </c>
      <c r="V4772" s="8"/>
      <c r="W4772" s="8"/>
      <c r="X4772" s="8"/>
      <c r="Y4772" s="8"/>
      <c r="Z4772" s="8"/>
    </row>
    <row r="4773" spans="1:26" ht="12.75">
      <c r="A4773" s="11">
        <v>43747.107245370367</v>
      </c>
      <c r="B4773" s="12" t="str">
        <f>HYPERLINK("https://twitter.com/Yakamozneferi","@Yakamozneferi")</f>
        <v>@Yakamozneferi</v>
      </c>
      <c r="C4773" s="7" t="s">
        <v>23375</v>
      </c>
      <c r="D4773" s="7" t="s">
        <v>23376</v>
      </c>
      <c r="E4773" s="12" t="str">
        <f>HYPERLINK("https://twitter.com/Yakamozneferi/status/1181865492362989568","1181865492362989568")</f>
        <v>1181865492362989568</v>
      </c>
      <c r="F4773" s="8"/>
      <c r="G4773" s="15"/>
      <c r="H4773" s="8"/>
      <c r="I4773" s="15">
        <v>0</v>
      </c>
      <c r="J4773" s="15">
        <v>0</v>
      </c>
      <c r="K4773" s="12" t="str">
        <f>HYPERLINK("http://twitter.com/download/iphone","Twitter for iPhone")</f>
        <v>Twitter for iPhone</v>
      </c>
      <c r="L4773" s="16">
        <v>1</v>
      </c>
      <c r="M4773" s="16">
        <v>1</v>
      </c>
      <c r="N4773" s="16">
        <v>0</v>
      </c>
      <c r="O4773" s="17"/>
      <c r="P4773" s="18">
        <v>43681.547384259262</v>
      </c>
      <c r="Q4773" s="8"/>
      <c r="R4773" s="7"/>
      <c r="S4773" s="8"/>
      <c r="T4773" s="8"/>
      <c r="U4773" s="19" t="str">
        <f>HYPERLINK("https://pbs.twimg.com/profile_images/1158110052579991552/eHEWp6Wq.jpg","View")</f>
        <v>View</v>
      </c>
      <c r="V4773" s="8"/>
      <c r="W4773" s="8"/>
      <c r="X4773" s="8"/>
      <c r="Y4773" s="8"/>
      <c r="Z4773" s="8"/>
    </row>
    <row r="4774" spans="1:26" ht="12.75">
      <c r="A4774" s="11">
        <v>43747.107233796298</v>
      </c>
      <c r="B4774" s="12" t="str">
        <f>HYPERLINK("https://twitter.com/AgciSedatcan","@AgciSedatcan")</f>
        <v>@AgciSedatcan</v>
      </c>
      <c r="C4774" s="7" t="s">
        <v>23377</v>
      </c>
      <c r="D4774" s="7" t="s">
        <v>23378</v>
      </c>
      <c r="E4774" s="12" t="str">
        <f>HYPERLINK("https://twitter.com/AgciSedatcan/status/1181865489280180225","1181865489280180225")</f>
        <v>1181865489280180225</v>
      </c>
      <c r="F4774" s="8"/>
      <c r="G4774" s="14" t="s">
        <v>23379</v>
      </c>
      <c r="H4774" s="8"/>
      <c r="I4774" s="15">
        <v>0</v>
      </c>
      <c r="J4774" s="15">
        <v>0</v>
      </c>
      <c r="K4774" s="12" t="str">
        <f>HYPERLINK("http://twitter.com","Twitter Web Client")</f>
        <v>Twitter Web Client</v>
      </c>
      <c r="L4774" s="16">
        <v>4</v>
      </c>
      <c r="M4774" s="16">
        <v>0</v>
      </c>
      <c r="N4774" s="16">
        <v>0</v>
      </c>
      <c r="O4774" s="17"/>
      <c r="P4774" s="18">
        <v>43668.871585648143</v>
      </c>
      <c r="Q4774" s="8" t="s">
        <v>2350</v>
      </c>
      <c r="R4774" s="8" t="s">
        <v>23380</v>
      </c>
      <c r="S4774" s="8"/>
      <c r="T4774" s="8"/>
      <c r="U4774" s="19" t="str">
        <f>HYPERLINK("https://pbs.twimg.com/profile_images/1153753165319278597/_alwn1qS.jpg","View")</f>
        <v>View</v>
      </c>
      <c r="V4774" s="8"/>
      <c r="W4774" s="8"/>
      <c r="X4774" s="8"/>
      <c r="Y4774" s="8"/>
      <c r="Z4774" s="8"/>
    </row>
    <row r="4775" spans="1:26" ht="12.75">
      <c r="A4775" s="11">
        <v>43747.107094907406</v>
      </c>
      <c r="B4775" s="12" t="str">
        <f>HYPERLINK("https://twitter.com/hsanverdi","@hsanverdi")</f>
        <v>@hsanverdi</v>
      </c>
      <c r="C4775" s="7" t="s">
        <v>23381</v>
      </c>
      <c r="D4775" s="7" t="s">
        <v>23382</v>
      </c>
      <c r="E4775" s="12" t="str">
        <f>HYPERLINK("https://twitter.com/hsanverdi/status/1181865437988032512","1181865437988032512")</f>
        <v>1181865437988032512</v>
      </c>
      <c r="F4775" s="8"/>
      <c r="G4775" s="14" t="s">
        <v>23383</v>
      </c>
      <c r="H4775" s="8"/>
      <c r="I4775" s="15">
        <v>4</v>
      </c>
      <c r="J4775" s="15">
        <v>11</v>
      </c>
      <c r="K4775" s="12" t="str">
        <f>HYPERLINK("http://twitter.com/download/iphone","Twitter for iPhone")</f>
        <v>Twitter for iPhone</v>
      </c>
      <c r="L4775" s="16">
        <v>7768</v>
      </c>
      <c r="M4775" s="16">
        <v>237</v>
      </c>
      <c r="N4775" s="16">
        <v>20</v>
      </c>
      <c r="O4775" s="17" t="s">
        <v>984</v>
      </c>
      <c r="P4775" s="18">
        <v>41131.47861111111</v>
      </c>
      <c r="Q4775" s="8" t="s">
        <v>23384</v>
      </c>
      <c r="R4775" s="8" t="s">
        <v>23385</v>
      </c>
      <c r="S4775" s="14" t="s">
        <v>23386</v>
      </c>
      <c r="T4775" s="8"/>
      <c r="U4775" s="19" t="str">
        <f>HYPERLINK("https://pbs.twimg.com/profile_images/1181195208916111360/rLhI1MAh.jpg","View")</f>
        <v>View</v>
      </c>
      <c r="V4775" s="8"/>
      <c r="W4775" s="8"/>
      <c r="X4775" s="8"/>
      <c r="Y4775" s="8"/>
      <c r="Z4775" s="8"/>
    </row>
    <row r="4776" spans="1:26" ht="12.75">
      <c r="A4776" s="11">
        <v>43747.107083333336</v>
      </c>
      <c r="B4776" s="12" t="str">
        <f>HYPERLINK("https://twitter.com/Nurullah_uryan","@Nurullah_uryan")</f>
        <v>@Nurullah_uryan</v>
      </c>
      <c r="C4776" s="7" t="s">
        <v>23387</v>
      </c>
      <c r="D4776" s="7" t="s">
        <v>23388</v>
      </c>
      <c r="E4776" s="12" t="str">
        <f>HYPERLINK("https://twitter.com/Nurullah_uryan/status/1181865434674552832","1181865434674552832")</f>
        <v>1181865434674552832</v>
      </c>
      <c r="F4776" s="8"/>
      <c r="G4776" s="7"/>
      <c r="H4776" s="8"/>
      <c r="I4776" s="15">
        <v>0</v>
      </c>
      <c r="J4776" s="15">
        <v>1</v>
      </c>
      <c r="K4776" s="12" t="str">
        <f>HYPERLINK("http://twitter.com/download/android","Twitter for Android")</f>
        <v>Twitter for Android</v>
      </c>
      <c r="L4776" s="16">
        <v>860</v>
      </c>
      <c r="M4776" s="16">
        <v>877</v>
      </c>
      <c r="N4776" s="16">
        <v>0</v>
      </c>
      <c r="O4776" s="17"/>
      <c r="P4776" s="18">
        <v>41557.293055555558</v>
      </c>
      <c r="Q4776" s="8" t="s">
        <v>17778</v>
      </c>
      <c r="R4776" s="8" t="s">
        <v>23389</v>
      </c>
      <c r="S4776" s="14" t="s">
        <v>23390</v>
      </c>
      <c r="T4776" s="8"/>
      <c r="U4776" s="19" t="str">
        <f>HYPERLINK("https://pbs.twimg.com/profile_images/1170425147972620293/lgyIsaHl.jpg","View")</f>
        <v>View</v>
      </c>
      <c r="V4776" s="8"/>
      <c r="W4776" s="8"/>
      <c r="X4776" s="8"/>
      <c r="Y4776" s="8"/>
      <c r="Z4776" s="8"/>
    </row>
    <row r="4777" spans="1:26" ht="12.75">
      <c r="A4777" s="11">
        <v>43747.107060185182</v>
      </c>
      <c r="B4777" s="12" t="str">
        <f>HYPERLINK("https://twitter.com/capakardes","@capakardes")</f>
        <v>@capakardes</v>
      </c>
      <c r="C4777" s="7" t="s">
        <v>23391</v>
      </c>
      <c r="D4777" s="7" t="s">
        <v>14166</v>
      </c>
      <c r="E4777" s="12" t="str">
        <f>HYPERLINK("https://twitter.com/capakardes/status/1181865427309387776","1181865427309387776")</f>
        <v>1181865427309387776</v>
      </c>
      <c r="F4777" s="8"/>
      <c r="G4777" s="15"/>
      <c r="H4777" s="8"/>
      <c r="I4777" s="15">
        <v>0</v>
      </c>
      <c r="J4777" s="15">
        <v>0</v>
      </c>
      <c r="K4777" s="12" t="str">
        <f>HYPERLINK("http://twitter.com/download/android","Twitter for Android")</f>
        <v>Twitter for Android</v>
      </c>
      <c r="L4777" s="16">
        <v>190</v>
      </c>
      <c r="M4777" s="16">
        <v>346</v>
      </c>
      <c r="N4777" s="16">
        <v>0</v>
      </c>
      <c r="O4777" s="17"/>
      <c r="P4777" s="18">
        <v>42421.432488425926</v>
      </c>
      <c r="Q4777" s="7" t="s">
        <v>313</v>
      </c>
      <c r="R4777" s="15" t="s">
        <v>23392</v>
      </c>
      <c r="S4777" s="14" t="s">
        <v>23393</v>
      </c>
      <c r="T4777" s="8"/>
      <c r="U4777" s="19" t="str">
        <f>HYPERLINK("https://pbs.twimg.com/profile_images/1077680929169125378/fTnyA8-8.jpg","View")</f>
        <v>View</v>
      </c>
      <c r="V4777" s="8"/>
      <c r="W4777" s="8"/>
      <c r="X4777" s="8"/>
      <c r="Y4777" s="8"/>
      <c r="Z4777" s="8"/>
    </row>
    <row r="4778" spans="1:26" ht="12.75">
      <c r="A4778" s="11">
        <v>43747.107002314813</v>
      </c>
      <c r="B4778" s="12" t="str">
        <f>HYPERLINK("https://twitter.com/Mehmet_28300","@Mehmet_28300")</f>
        <v>@Mehmet_28300</v>
      </c>
      <c r="C4778" s="7" t="s">
        <v>23394</v>
      </c>
      <c r="D4778" s="7" t="s">
        <v>23395</v>
      </c>
      <c r="E4778" s="12" t="str">
        <f>HYPERLINK("https://twitter.com/Mehmet_28300/status/1181865407134785541","1181865407134785541")</f>
        <v>1181865407134785541</v>
      </c>
      <c r="F4778" s="8"/>
      <c r="G4778" s="14" t="s">
        <v>23396</v>
      </c>
      <c r="H4778" s="8"/>
      <c r="I4778" s="15">
        <v>0</v>
      </c>
      <c r="J4778" s="15">
        <v>1</v>
      </c>
      <c r="K4778" s="12" t="str">
        <f>HYPERLINK("http://twitter.com/download/android","Twitter for Android")</f>
        <v>Twitter for Android</v>
      </c>
      <c r="L4778" s="16">
        <v>58</v>
      </c>
      <c r="M4778" s="16">
        <v>125</v>
      </c>
      <c r="N4778" s="16">
        <v>0</v>
      </c>
      <c r="O4778" s="17"/>
      <c r="P4778" s="18">
        <v>43212.280428240745</v>
      </c>
      <c r="Q4778" s="7"/>
      <c r="R4778" s="7"/>
      <c r="S4778" s="8"/>
      <c r="T4778" s="8"/>
      <c r="U4778" s="19" t="str">
        <f>HYPERLINK("https://pbs.twimg.com/profile_images/988054933974011905/gnAfKd2P.jpg","View")</f>
        <v>View</v>
      </c>
      <c r="V4778" s="8"/>
      <c r="W4778" s="8"/>
      <c r="X4778" s="8"/>
      <c r="Y4778" s="8"/>
      <c r="Z4778" s="8"/>
    </row>
    <row r="4779" spans="1:26" ht="12.75">
      <c r="A4779" s="11">
        <v>43747.107002314813</v>
      </c>
      <c r="B4779" s="12" t="str">
        <f>HYPERLINK("https://twitter.com/VolkanBeysir","@VolkanBeysir")</f>
        <v>@VolkanBeysir</v>
      </c>
      <c r="C4779" s="7" t="s">
        <v>23397</v>
      </c>
      <c r="D4779" s="7" t="s">
        <v>23398</v>
      </c>
      <c r="E4779" s="12" t="str">
        <f>HYPERLINK("https://twitter.com/VolkanBeysir/status/1181865405645824000","1181865405645824000")</f>
        <v>1181865405645824000</v>
      </c>
      <c r="F4779" s="8"/>
      <c r="G4779" s="14" t="s">
        <v>23399</v>
      </c>
      <c r="H4779" s="12" t="str">
        <f>HYPERLINK("https://ctrlq.org/maps/address/#41.037989,28.968866","Map")</f>
        <v>Map</v>
      </c>
      <c r="I4779" s="15">
        <v>0</v>
      </c>
      <c r="J4779" s="15">
        <v>1</v>
      </c>
      <c r="K4779" s="12" t="str">
        <f>HYPERLINK("http://twitter.com/download/iphone","Twitter for iPhone")</f>
        <v>Twitter for iPhone</v>
      </c>
      <c r="L4779" s="16">
        <v>0</v>
      </c>
      <c r="M4779" s="16">
        <v>0</v>
      </c>
      <c r="N4779" s="16">
        <v>0</v>
      </c>
      <c r="O4779" s="17"/>
      <c r="P4779" s="18">
        <v>43704.591296296298</v>
      </c>
      <c r="Q4779" s="8" t="s">
        <v>6543</v>
      </c>
      <c r="R4779" s="8" t="s">
        <v>23400</v>
      </c>
      <c r="S4779" s="14" t="s">
        <v>23401</v>
      </c>
      <c r="T4779" s="8"/>
      <c r="U4779" s="19" t="str">
        <f>HYPERLINK("https://pbs.twimg.com/profile_images/1167798384016728065/aY5QMxss.jpg","View")</f>
        <v>View</v>
      </c>
      <c r="V4779" s="8"/>
      <c r="W4779" s="8"/>
      <c r="X4779" s="8"/>
      <c r="Y4779" s="8"/>
      <c r="Z4779" s="8"/>
    </row>
    <row r="4780" spans="1:26" ht="12.75">
      <c r="A4780" s="11">
        <v>43747.107002314813</v>
      </c>
      <c r="B4780" s="12" t="str">
        <f>HYPERLINK("https://twitter.com/onurylmz1453","@onurylmz1453")</f>
        <v>@onurylmz1453</v>
      </c>
      <c r="C4780" s="7" t="s">
        <v>23402</v>
      </c>
      <c r="D4780" s="7" t="s">
        <v>23403</v>
      </c>
      <c r="E4780" s="12" t="str">
        <f>HYPERLINK("https://twitter.com/onurylmz1453/status/1181865404492320769","1181865404492320769")</f>
        <v>1181865404492320769</v>
      </c>
      <c r="F4780" s="8"/>
      <c r="G4780" s="7"/>
      <c r="H4780" s="8"/>
      <c r="I4780" s="15">
        <v>0</v>
      </c>
      <c r="J4780" s="15">
        <v>9</v>
      </c>
      <c r="K4780" s="12" t="str">
        <f>HYPERLINK("http://twitter.com/download/iphone","Twitter for iPhone")</f>
        <v>Twitter for iPhone</v>
      </c>
      <c r="L4780" s="16">
        <v>631</v>
      </c>
      <c r="M4780" s="16">
        <v>61</v>
      </c>
      <c r="N4780" s="16">
        <v>2</v>
      </c>
      <c r="O4780" s="17"/>
      <c r="P4780" s="18">
        <v>43708.834016203706</v>
      </c>
      <c r="Q4780" s="8" t="s">
        <v>23404</v>
      </c>
      <c r="R4780" s="7" t="s">
        <v>23405</v>
      </c>
      <c r="S4780" s="14" t="s">
        <v>23406</v>
      </c>
      <c r="T4780" s="8"/>
      <c r="U4780" s="19" t="str">
        <f>HYPERLINK("https://pbs.twimg.com/profile_images/1167995820202872833/kQyW286I.jpg","View")</f>
        <v>View</v>
      </c>
      <c r="V4780" s="8"/>
      <c r="W4780" s="8"/>
      <c r="X4780" s="8"/>
      <c r="Y4780" s="8"/>
      <c r="Z4780" s="8"/>
    </row>
    <row r="4781" spans="1:26" ht="12.75">
      <c r="A4781" s="11">
        <v>43747.106944444444</v>
      </c>
      <c r="B4781" s="12" t="str">
        <f>HYPERLINK("https://twitter.com/JoakimLob","@JoakimLob")</f>
        <v>@JoakimLob</v>
      </c>
      <c r="C4781" s="7" t="s">
        <v>23407</v>
      </c>
      <c r="D4781" s="7" t="s">
        <v>23408</v>
      </c>
      <c r="E4781" s="12" t="str">
        <f>HYPERLINK("https://twitter.com/JoakimLob/status/1181865386637217792","1181865386637217792")</f>
        <v>1181865386637217792</v>
      </c>
      <c r="F4781" s="15"/>
      <c r="G4781" s="15"/>
      <c r="H4781" s="8"/>
      <c r="I4781" s="15">
        <v>0</v>
      </c>
      <c r="J4781" s="15">
        <v>0</v>
      </c>
      <c r="K4781" s="12" t="str">
        <f>HYPERLINK("https://mobile.twitter.com","Twitter Web App")</f>
        <v>Twitter Web App</v>
      </c>
      <c r="L4781" s="16">
        <v>770</v>
      </c>
      <c r="M4781" s="16">
        <v>1778</v>
      </c>
      <c r="N4781" s="16">
        <v>56</v>
      </c>
      <c r="O4781" s="17"/>
      <c r="P4781" s="18">
        <v>39828.176446759258</v>
      </c>
      <c r="Q4781" s="7" t="s">
        <v>23409</v>
      </c>
      <c r="R4781" s="7" t="s">
        <v>23410</v>
      </c>
      <c r="S4781" s="14" t="s">
        <v>23411</v>
      </c>
      <c r="T4781" s="8"/>
      <c r="U4781" s="19" t="str">
        <f>HYPERLINK("https://pbs.twimg.com/profile_images/1071060634954067968/FUcYm35x.jpg","View")</f>
        <v>View</v>
      </c>
      <c r="V4781" s="8"/>
      <c r="W4781" s="8"/>
      <c r="X4781" s="8"/>
      <c r="Y4781" s="8"/>
      <c r="Z4781" s="8"/>
    </row>
    <row r="4782" spans="1:26" ht="12.75">
      <c r="A4782" s="11">
        <v>43747.106874999998</v>
      </c>
      <c r="B4782" s="12" t="str">
        <f>HYPERLINK("https://twitter.com/2celikKanat","@2celikKanat")</f>
        <v>@2celikKanat</v>
      </c>
      <c r="C4782" s="7" t="s">
        <v>23412</v>
      </c>
      <c r="D4782" s="7" t="s">
        <v>23413</v>
      </c>
      <c r="E4782" s="12" t="str">
        <f>HYPERLINK("https://twitter.com/2celikKanat/status/1181865361785970688","1181865361785970688")</f>
        <v>1181865361785970688</v>
      </c>
      <c r="F4782" s="8"/>
      <c r="G4782" s="14" t="s">
        <v>23414</v>
      </c>
      <c r="H4782" s="8"/>
      <c r="I4782" s="15">
        <v>0</v>
      </c>
      <c r="J4782" s="15">
        <v>2</v>
      </c>
      <c r="K4782" s="12" t="str">
        <f>HYPERLINK("http://twitter.com/download/android","Twitter for Android")</f>
        <v>Twitter for Android</v>
      </c>
      <c r="L4782" s="16">
        <v>10</v>
      </c>
      <c r="M4782" s="16">
        <v>171</v>
      </c>
      <c r="N4782" s="16">
        <v>0</v>
      </c>
      <c r="O4782" s="17"/>
      <c r="P4782" s="18">
        <v>43731.710428240738</v>
      </c>
      <c r="Q4782" s="8"/>
      <c r="R4782" s="8"/>
      <c r="S4782" s="8"/>
      <c r="T4782" s="8"/>
      <c r="U4782" s="19" t="str">
        <f>HYPERLINK("https://pbs.twimg.com/profile_images/1181338719036555264/TS1gLp1c.jpg","View")</f>
        <v>View</v>
      </c>
      <c r="V4782" s="8"/>
      <c r="W4782" s="8"/>
      <c r="X4782" s="8"/>
      <c r="Y4782" s="8"/>
      <c r="Z4782" s="8"/>
    </row>
    <row r="4783" spans="1:26" ht="12.75">
      <c r="A4783" s="11">
        <v>43747.106874999998</v>
      </c>
      <c r="B4783" s="12" t="str">
        <f>HYPERLINK("https://twitter.com/BRKnMCR","@BRKnMCR")</f>
        <v>@BRKnMCR</v>
      </c>
      <c r="C4783" s="7" t="s">
        <v>23415</v>
      </c>
      <c r="D4783" s="7" t="s">
        <v>23416</v>
      </c>
      <c r="E4783" s="12" t="str">
        <f>HYPERLINK("https://twitter.com/BRKnMCR/status/1181865359957204993","1181865359957204993")</f>
        <v>1181865359957204993</v>
      </c>
      <c r="F4783" s="8"/>
      <c r="G4783" s="14" t="s">
        <v>23417</v>
      </c>
      <c r="H4783" s="8"/>
      <c r="I4783" s="15">
        <v>0</v>
      </c>
      <c r="J4783" s="15">
        <v>0</v>
      </c>
      <c r="K4783" s="12" t="str">
        <f>HYPERLINK("http://twitter.com/download/iphone","Twitter for iPhone")</f>
        <v>Twitter for iPhone</v>
      </c>
      <c r="L4783" s="16">
        <v>50</v>
      </c>
      <c r="M4783" s="16">
        <v>84</v>
      </c>
      <c r="N4783" s="16">
        <v>0</v>
      </c>
      <c r="O4783" s="17"/>
      <c r="P4783" s="18">
        <v>40470.221435185187</v>
      </c>
      <c r="Q4783" s="7" t="s">
        <v>200</v>
      </c>
      <c r="R4783" s="7"/>
      <c r="S4783" s="14" t="s">
        <v>23418</v>
      </c>
      <c r="T4783" s="8"/>
      <c r="U4783" s="19" t="str">
        <f>HYPERLINK("https://pbs.twimg.com/profile_images/1125827564206002176/wKyuJHY9.jpg","View")</f>
        <v>View</v>
      </c>
      <c r="V4783" s="8"/>
      <c r="W4783" s="8"/>
      <c r="X4783" s="8"/>
      <c r="Y4783" s="8"/>
      <c r="Z4783" s="8"/>
    </row>
    <row r="4784" spans="1:26" ht="12.75">
      <c r="A4784" s="11">
        <v>43747.106747685189</v>
      </c>
      <c r="B4784" s="12" t="str">
        <f>HYPERLINK("https://twitter.com/yengede","@yengede")</f>
        <v>@yengede</v>
      </c>
      <c r="C4784" s="7" t="s">
        <v>23419</v>
      </c>
      <c r="D4784" s="7" t="s">
        <v>160</v>
      </c>
      <c r="E4784" s="12" t="str">
        <f>HYPERLINK("https://twitter.com/yengede/status/1181865314973339649","1181865314973339649")</f>
        <v>1181865314973339649</v>
      </c>
      <c r="F4784" s="8"/>
      <c r="G4784" s="15"/>
      <c r="H4784" s="8"/>
      <c r="I4784" s="15">
        <v>0</v>
      </c>
      <c r="J4784" s="15">
        <v>0</v>
      </c>
      <c r="K4784" s="12" t="str">
        <f>HYPERLINK("http://twitter.com/download/android","Twitter for Android")</f>
        <v>Twitter for Android</v>
      </c>
      <c r="L4784" s="16">
        <v>23</v>
      </c>
      <c r="M4784" s="16">
        <v>153</v>
      </c>
      <c r="N4784" s="16">
        <v>0</v>
      </c>
      <c r="O4784" s="17"/>
      <c r="P4784" s="18">
        <v>41158.65792824074</v>
      </c>
      <c r="Q4784" s="8" t="s">
        <v>19117</v>
      </c>
      <c r="R4784" s="8" t="s">
        <v>23420</v>
      </c>
      <c r="S4784" s="8"/>
      <c r="T4784" s="8"/>
      <c r="U4784" s="19" t="str">
        <f>HYPERLINK("https://pbs.twimg.com/profile_images/898264629444476928/7ko59qf8.jpg","View")</f>
        <v>View</v>
      </c>
      <c r="V4784" s="8"/>
      <c r="W4784" s="8"/>
      <c r="X4784" s="8"/>
      <c r="Y4784" s="8"/>
      <c r="Z4784" s="8"/>
    </row>
    <row r="4785" spans="1:26" ht="12.75">
      <c r="A4785" s="11">
        <v>43747.106736111113</v>
      </c>
      <c r="B4785" s="12" t="str">
        <f>HYPERLINK("https://twitter.com/yigitt3458","@yigitt3458")</f>
        <v>@yigitt3458</v>
      </c>
      <c r="C4785" s="7" t="s">
        <v>23421</v>
      </c>
      <c r="D4785" s="7" t="s">
        <v>23422</v>
      </c>
      <c r="E4785" s="12" t="str">
        <f>HYPERLINK("https://twitter.com/yigitt3458/status/1181865311492087808","1181865311492087808")</f>
        <v>1181865311492087808</v>
      </c>
      <c r="F4785" s="8"/>
      <c r="G4785" s="15"/>
      <c r="H4785" s="8"/>
      <c r="I4785" s="15">
        <v>0</v>
      </c>
      <c r="J4785" s="15">
        <v>6</v>
      </c>
      <c r="K4785" s="12" t="str">
        <f>HYPERLINK("http://twitter.com/download/iphone","Twitter for iPhone")</f>
        <v>Twitter for iPhone</v>
      </c>
      <c r="L4785" s="16">
        <v>12651</v>
      </c>
      <c r="M4785" s="16">
        <v>10656</v>
      </c>
      <c r="N4785" s="16">
        <v>16</v>
      </c>
      <c r="O4785" s="17"/>
      <c r="P4785" s="18">
        <v>40980.141215277778</v>
      </c>
      <c r="Q4785" s="8" t="s">
        <v>23423</v>
      </c>
      <c r="R4785" s="7" t="s">
        <v>23424</v>
      </c>
      <c r="S4785" s="8"/>
      <c r="T4785" s="8"/>
      <c r="U4785" s="19" t="str">
        <f>HYPERLINK("https://pbs.twimg.com/profile_images/1082369291771613184/6HDmCKWf.jpg","View")</f>
        <v>View</v>
      </c>
      <c r="V4785" s="8"/>
      <c r="W4785" s="8"/>
      <c r="X4785" s="8"/>
      <c r="Y4785" s="8"/>
      <c r="Z4785" s="8"/>
    </row>
    <row r="4786" spans="1:26" ht="12.75">
      <c r="A4786" s="11">
        <v>43747.106666666667</v>
      </c>
      <c r="B4786" s="12" t="str">
        <f>HYPERLINK("https://twitter.com/enes__koksal","@enes__koksal")</f>
        <v>@enes__koksal</v>
      </c>
      <c r="C4786" s="7" t="s">
        <v>23425</v>
      </c>
      <c r="D4786" s="7" t="s">
        <v>23426</v>
      </c>
      <c r="E4786" s="12" t="str">
        <f>HYPERLINK("https://twitter.com/enes__koksal/status/1181865286422732802","1181865286422732802")</f>
        <v>1181865286422732802</v>
      </c>
      <c r="F4786" s="15"/>
      <c r="G4786" s="14" t="s">
        <v>23427</v>
      </c>
      <c r="H4786" s="8"/>
      <c r="I4786" s="15">
        <v>0</v>
      </c>
      <c r="J4786" s="15">
        <v>6</v>
      </c>
      <c r="K4786" s="12" t="str">
        <f>HYPERLINK("http://twitter.com/download/android","Twitter for Android")</f>
        <v>Twitter for Android</v>
      </c>
      <c r="L4786" s="16">
        <v>330</v>
      </c>
      <c r="M4786" s="16">
        <v>152</v>
      </c>
      <c r="N4786" s="16">
        <v>1</v>
      </c>
      <c r="O4786" s="17"/>
      <c r="P4786" s="18">
        <v>41782.091851851852</v>
      </c>
      <c r="Q4786" s="7" t="s">
        <v>23428</v>
      </c>
      <c r="R4786" s="7" t="s">
        <v>23429</v>
      </c>
      <c r="S4786" s="8"/>
      <c r="T4786" s="8"/>
      <c r="U4786" s="19" t="str">
        <f>HYPERLINK("https://pbs.twimg.com/profile_images/1181507984066830338/bY0pbU7F.jpg","View")</f>
        <v>View</v>
      </c>
      <c r="V4786" s="8"/>
      <c r="W4786" s="8"/>
      <c r="X4786" s="8"/>
      <c r="Y4786" s="8"/>
      <c r="Z4786" s="8"/>
    </row>
    <row r="4787" spans="1:26" ht="12.75">
      <c r="A4787" s="11">
        <v>43747.106666666667</v>
      </c>
      <c r="B4787" s="12" t="str">
        <f>HYPERLINK("https://twitter.com/izpasa","@izpasa")</f>
        <v>@izpasa</v>
      </c>
      <c r="C4787" s="7" t="s">
        <v>23430</v>
      </c>
      <c r="D4787" s="7" t="s">
        <v>23431</v>
      </c>
      <c r="E4787" s="12" t="str">
        <f>HYPERLINK("https://twitter.com/izpasa/status/1181865284119994368","1181865284119994368")</f>
        <v>1181865284119994368</v>
      </c>
      <c r="F4787" s="8"/>
      <c r="G4787" s="15"/>
      <c r="H4787" s="8"/>
      <c r="I4787" s="15">
        <v>0</v>
      </c>
      <c r="J4787" s="15">
        <v>1</v>
      </c>
      <c r="K4787" s="12" t="str">
        <f>HYPERLINK("http://twitter.com/download/android","Twitter for Android")</f>
        <v>Twitter for Android</v>
      </c>
      <c r="L4787" s="16">
        <v>328</v>
      </c>
      <c r="M4787" s="16">
        <v>165</v>
      </c>
      <c r="N4787" s="16">
        <v>0</v>
      </c>
      <c r="O4787" s="17"/>
      <c r="P4787" s="18">
        <v>42567.586458333331</v>
      </c>
      <c r="Q4787" s="7" t="s">
        <v>918</v>
      </c>
      <c r="R4787" s="7" t="s">
        <v>23432</v>
      </c>
      <c r="S4787" s="8"/>
      <c r="T4787" s="8"/>
      <c r="U4787" s="19" t="str">
        <f>HYPERLINK("https://pbs.twimg.com/profile_images/1063910476550156288/Od-sYITq.jpg","View")</f>
        <v>View</v>
      </c>
      <c r="V4787" s="8"/>
      <c r="W4787" s="8"/>
      <c r="X4787" s="8"/>
      <c r="Y4787" s="8"/>
      <c r="Z4787" s="8"/>
    </row>
    <row r="4788" spans="1:26" ht="12.75">
      <c r="A4788" s="11">
        <v>43747.10664351852</v>
      </c>
      <c r="B4788" s="12" t="str">
        <f>HYPERLINK("https://twitter.com/Abdulkadir1910","@Abdulkadir1910")</f>
        <v>@Abdulkadir1910</v>
      </c>
      <c r="C4788" s="7" t="s">
        <v>23433</v>
      </c>
      <c r="D4788" s="7" t="s">
        <v>23434</v>
      </c>
      <c r="E4788" s="12" t="str">
        <f>HYPERLINK("https://twitter.com/Abdulkadir1910/status/1181865275936952320","1181865275936952320")</f>
        <v>1181865275936952320</v>
      </c>
      <c r="F4788" s="8"/>
      <c r="G4788" s="15"/>
      <c r="H4788" s="8"/>
      <c r="I4788" s="15">
        <v>0</v>
      </c>
      <c r="J4788" s="15">
        <v>4</v>
      </c>
      <c r="K4788" s="12" t="str">
        <f>HYPERLINK("http://twitter.com/download/iphone","Twitter for iPhone")</f>
        <v>Twitter for iPhone</v>
      </c>
      <c r="L4788" s="16">
        <v>363</v>
      </c>
      <c r="M4788" s="16">
        <v>151</v>
      </c>
      <c r="N4788" s="16">
        <v>0</v>
      </c>
      <c r="O4788" s="17"/>
      <c r="P4788" s="18">
        <v>41182.400000000001</v>
      </c>
      <c r="Q4788" s="7"/>
      <c r="R4788" s="7" t="s">
        <v>23435</v>
      </c>
      <c r="S4788" s="8"/>
      <c r="T4788" s="8"/>
      <c r="U4788" s="19" t="str">
        <f>HYPERLINK("https://pbs.twimg.com/profile_images/1159741913932664833/--msJmiT.jpg","View")</f>
        <v>View</v>
      </c>
      <c r="V4788" s="8"/>
      <c r="W4788" s="8"/>
      <c r="X4788" s="8"/>
      <c r="Y4788" s="8"/>
      <c r="Z4788" s="8"/>
    </row>
    <row r="4789" spans="1:26" ht="12.75">
      <c r="A4789" s="11">
        <v>43747.106574074074</v>
      </c>
      <c r="B4789" s="12" t="str">
        <f>HYPERLINK("https://twitter.com/TanerYI02228666","@TanerYI02228666")</f>
        <v>@TanerYI02228666</v>
      </c>
      <c r="C4789" s="7" t="s">
        <v>23436</v>
      </c>
      <c r="D4789" s="7" t="s">
        <v>23437</v>
      </c>
      <c r="E4789" s="12" t="str">
        <f>HYPERLINK("https://twitter.com/TanerYI02228666/status/1181865252121665537","1181865252121665537")</f>
        <v>1181865252121665537</v>
      </c>
      <c r="F4789" s="8"/>
      <c r="G4789" s="7"/>
      <c r="H4789" s="8"/>
      <c r="I4789" s="15">
        <v>0</v>
      </c>
      <c r="J4789" s="15">
        <v>0</v>
      </c>
      <c r="K4789" s="12" t="str">
        <f>HYPERLINK("http://twitter.com/download/iphone","Twitter for iPhone")</f>
        <v>Twitter for iPhone</v>
      </c>
      <c r="L4789" s="16">
        <v>37</v>
      </c>
      <c r="M4789" s="16">
        <v>183</v>
      </c>
      <c r="N4789" s="16">
        <v>0</v>
      </c>
      <c r="O4789" s="17"/>
      <c r="P4789" s="18">
        <v>43622.047708333332</v>
      </c>
      <c r="Q4789" s="8"/>
      <c r="R4789" s="8" t="s">
        <v>23438</v>
      </c>
      <c r="S4789" s="8"/>
      <c r="T4789" s="8"/>
      <c r="U4789" s="19" t="str">
        <f>HYPERLINK("https://pbs.twimg.com/profile_images/1171708442433769474/XEPniTRd.jpg","View")</f>
        <v>View</v>
      </c>
      <c r="V4789" s="8"/>
      <c r="W4789" s="8"/>
      <c r="X4789" s="8"/>
      <c r="Y4789" s="8"/>
      <c r="Z4789" s="8"/>
    </row>
    <row r="4790" spans="1:26" ht="12.75">
      <c r="A4790" s="11">
        <v>43747.106562500005</v>
      </c>
      <c r="B4790" s="12" t="str">
        <f>HYPERLINK("https://twitter.com/gocmenkizi61","@gocmenkizi61")</f>
        <v>@gocmenkizi61</v>
      </c>
      <c r="C4790" s="7" t="s">
        <v>23439</v>
      </c>
      <c r="D4790" s="7" t="s">
        <v>23440</v>
      </c>
      <c r="E4790" s="12" t="str">
        <f>HYPERLINK("https://twitter.com/gocmenkizi61/status/1181865246396473346","1181865246396473346")</f>
        <v>1181865246396473346</v>
      </c>
      <c r="F4790" s="8"/>
      <c r="G4790" s="14" t="s">
        <v>23441</v>
      </c>
      <c r="H4790" s="8"/>
      <c r="I4790" s="15">
        <v>0</v>
      </c>
      <c r="J4790" s="15">
        <v>12</v>
      </c>
      <c r="K4790" s="12" t="str">
        <f>HYPERLINK("http://twitter.com/download/android","Twitter for Android")</f>
        <v>Twitter for Android</v>
      </c>
      <c r="L4790" s="16">
        <v>1557</v>
      </c>
      <c r="M4790" s="16">
        <v>2790</v>
      </c>
      <c r="N4790" s="16">
        <v>0</v>
      </c>
      <c r="O4790" s="17"/>
      <c r="P4790" s="18">
        <v>43486.921666666662</v>
      </c>
      <c r="Q4790" s="7"/>
      <c r="R4790" s="7" t="s">
        <v>23442</v>
      </c>
      <c r="S4790" s="15"/>
      <c r="T4790" s="8"/>
      <c r="U4790" s="19" t="str">
        <f>HYPERLINK("https://pbs.twimg.com/profile_images/1181642815811526662/df2PahUa.jpg","View")</f>
        <v>View</v>
      </c>
      <c r="V4790" s="8"/>
      <c r="W4790" s="8"/>
      <c r="X4790" s="8"/>
      <c r="Y4790" s="8"/>
      <c r="Z4790" s="8"/>
    </row>
    <row r="4791" spans="1:26" ht="12.75">
      <c r="A4791" s="11">
        <v>43747.106481481482</v>
      </c>
      <c r="B4791" s="12" t="str">
        <f>HYPERLINK("https://twitter.com/feyzi_dlr","@feyzi_dlr")</f>
        <v>@feyzi_dlr</v>
      </c>
      <c r="C4791" s="13" t="s">
        <v>23443</v>
      </c>
      <c r="D4791" s="7" t="s">
        <v>23444</v>
      </c>
      <c r="E4791" s="12" t="str">
        <f>HYPERLINK("https://twitter.com/feyzi_dlr/status/1181865215782264832","1181865215782264832")</f>
        <v>1181865215782264832</v>
      </c>
      <c r="F4791" s="15"/>
      <c r="G4791" s="7"/>
      <c r="H4791" s="8"/>
      <c r="I4791" s="15">
        <v>0</v>
      </c>
      <c r="J4791" s="15">
        <v>1</v>
      </c>
      <c r="K4791" s="12" t="str">
        <f>HYPERLINK("http://twitter.com/download/android","Twitter for Android")</f>
        <v>Twitter for Android</v>
      </c>
      <c r="L4791" s="16">
        <v>99</v>
      </c>
      <c r="M4791" s="16">
        <v>191</v>
      </c>
      <c r="N4791" s="16">
        <v>1</v>
      </c>
      <c r="O4791" s="17"/>
      <c r="P4791" s="18">
        <v>41350.217175925922</v>
      </c>
      <c r="Q4791" s="7"/>
      <c r="R4791" s="13" t="s">
        <v>23445</v>
      </c>
      <c r="S4791" s="8"/>
      <c r="T4791" s="8"/>
      <c r="U4791" s="19" t="str">
        <f>HYPERLINK("https://pbs.twimg.com/profile_images/1163182015589560325/N1GPwZ85.jpg","View")</f>
        <v>View</v>
      </c>
      <c r="V4791" s="8"/>
      <c r="W4791" s="8"/>
      <c r="X4791" s="8"/>
      <c r="Y4791" s="8"/>
      <c r="Z4791" s="8"/>
    </row>
    <row r="4792" spans="1:26" ht="12.75">
      <c r="A4792" s="11">
        <v>43747.106446759259</v>
      </c>
      <c r="B4792" s="12" t="str">
        <f>HYPERLINK("https://twitter.com/DkmnEns","@DkmnEns")</f>
        <v>@DkmnEns</v>
      </c>
      <c r="C4792" s="7" t="s">
        <v>23446</v>
      </c>
      <c r="D4792" s="7" t="s">
        <v>160</v>
      </c>
      <c r="E4792" s="12" t="str">
        <f>HYPERLINK("https://twitter.com/DkmnEns/status/1181865204939927554","1181865204939927554")</f>
        <v>1181865204939927554</v>
      </c>
      <c r="F4792" s="8"/>
      <c r="G4792" s="15"/>
      <c r="H4792" s="8"/>
      <c r="I4792" s="15">
        <v>0</v>
      </c>
      <c r="J4792" s="15">
        <v>1</v>
      </c>
      <c r="K4792" s="12" t="str">
        <f>HYPERLINK("https://mobile.twitter.com","Twitter Web App")</f>
        <v>Twitter Web App</v>
      </c>
      <c r="L4792" s="16">
        <v>15</v>
      </c>
      <c r="M4792" s="16">
        <v>64</v>
      </c>
      <c r="N4792" s="16">
        <v>0</v>
      </c>
      <c r="O4792" s="17"/>
      <c r="P4792" s="18">
        <v>42423.500451388885</v>
      </c>
      <c r="Q4792" s="8"/>
      <c r="R4792" s="8" t="s">
        <v>23447</v>
      </c>
      <c r="S4792" s="8"/>
      <c r="T4792" s="8"/>
      <c r="U4792" s="19" t="str">
        <f>HYPERLINK("https://pbs.twimg.com/profile_images/1078927301532938241/JkbKASmH.jpg","View")</f>
        <v>View</v>
      </c>
      <c r="V4792" s="8"/>
      <c r="W4792" s="8"/>
      <c r="X4792" s="8"/>
      <c r="Y4792" s="8"/>
      <c r="Z4792" s="8"/>
    </row>
    <row r="4793" spans="1:26" ht="12.75">
      <c r="A4793" s="11">
        <v>43747.106400462959</v>
      </c>
      <c r="B4793" s="12" t="str">
        <f>HYPERLINK("https://twitter.com/scorpion_1299","@scorpion_1299")</f>
        <v>@scorpion_1299</v>
      </c>
      <c r="C4793" s="7" t="s">
        <v>23448</v>
      </c>
      <c r="D4793" s="7" t="s">
        <v>160</v>
      </c>
      <c r="E4793" s="12" t="str">
        <f>HYPERLINK("https://twitter.com/scorpion_1299/status/1181865186464092160","1181865186464092160")</f>
        <v>1181865186464092160</v>
      </c>
      <c r="F4793" s="8"/>
      <c r="G4793" s="7"/>
      <c r="H4793" s="8"/>
      <c r="I4793" s="15">
        <v>0</v>
      </c>
      <c r="J4793" s="15">
        <v>0</v>
      </c>
      <c r="K4793" s="12" t="str">
        <f>HYPERLINK("https://mobile.twitter.com","Twitter Web App")</f>
        <v>Twitter Web App</v>
      </c>
      <c r="L4793" s="16">
        <v>26</v>
      </c>
      <c r="M4793" s="16">
        <v>93</v>
      </c>
      <c r="N4793" s="16">
        <v>0</v>
      </c>
      <c r="O4793" s="17"/>
      <c r="P4793" s="18">
        <v>42693.340057870373</v>
      </c>
      <c r="Q4793" s="7" t="s">
        <v>4987</v>
      </c>
      <c r="R4793" s="7"/>
      <c r="S4793" s="8"/>
      <c r="T4793" s="8"/>
      <c r="U4793" s="19" t="str">
        <f>HYPERLINK("https://pbs.twimg.com/profile_images/1063507827707310080/lYIjPjB-.jpg","View")</f>
        <v>View</v>
      </c>
      <c r="V4793" s="8"/>
      <c r="W4793" s="8"/>
      <c r="X4793" s="8"/>
      <c r="Y4793" s="8"/>
      <c r="Z4793" s="8"/>
    </row>
    <row r="4794" spans="1:26" ht="12.75">
      <c r="A4794" s="11">
        <v>43747.106354166666</v>
      </c>
      <c r="B4794" s="12" t="str">
        <f>HYPERLINK("https://twitter.com/dilekakinci_53","@dilekakinci_53")</f>
        <v>@dilekakinci_53</v>
      </c>
      <c r="C4794" s="7" t="s">
        <v>23449</v>
      </c>
      <c r="D4794" s="7" t="s">
        <v>23450</v>
      </c>
      <c r="E4794" s="12" t="str">
        <f>HYPERLINK("https://twitter.com/dilekakinci_53/status/1181865171490344960","1181865171490344960")</f>
        <v>1181865171490344960</v>
      </c>
      <c r="F4794" s="8"/>
      <c r="G4794" s="14" t="s">
        <v>23451</v>
      </c>
      <c r="H4794" s="8"/>
      <c r="I4794" s="15">
        <v>0</v>
      </c>
      <c r="J4794" s="15">
        <v>3</v>
      </c>
      <c r="K4794" s="12" t="str">
        <f>HYPERLINK("http://twitter.com/download/iphone","Twitter for iPhone")</f>
        <v>Twitter for iPhone</v>
      </c>
      <c r="L4794" s="16">
        <v>1955</v>
      </c>
      <c r="M4794" s="16">
        <v>1946</v>
      </c>
      <c r="N4794" s="16">
        <v>0</v>
      </c>
      <c r="O4794" s="17"/>
      <c r="P4794" s="18">
        <v>42682.187442129631</v>
      </c>
      <c r="Q4794" s="7" t="s">
        <v>287</v>
      </c>
      <c r="R4794" s="7" t="s">
        <v>23452</v>
      </c>
      <c r="S4794" s="8"/>
      <c r="T4794" s="8"/>
      <c r="U4794" s="19" t="str">
        <f>HYPERLINK("https://pbs.twimg.com/profile_images/1174632351260925958/KGJfw3se.jpg","View")</f>
        <v>View</v>
      </c>
      <c r="V4794" s="8"/>
      <c r="W4794" s="8"/>
      <c r="X4794" s="8"/>
      <c r="Y4794" s="8"/>
      <c r="Z4794" s="8"/>
    </row>
    <row r="4795" spans="1:26" ht="12.75">
      <c r="A4795" s="11">
        <v>43747.106319444443</v>
      </c>
      <c r="B4795" s="12" t="str">
        <f>HYPERLINK("https://twitter.com/coral_bjk","@coral_bjk")</f>
        <v>@coral_bjk</v>
      </c>
      <c r="C4795" s="7" t="s">
        <v>23453</v>
      </c>
      <c r="D4795" s="7" t="s">
        <v>23454</v>
      </c>
      <c r="E4795" s="12" t="str">
        <f>HYPERLINK("https://twitter.com/coral_bjk/status/1181865156982267905","1181865156982267905")</f>
        <v>1181865156982267905</v>
      </c>
      <c r="F4795" s="8"/>
      <c r="G4795" s="15"/>
      <c r="H4795" s="8"/>
      <c r="I4795" s="15">
        <v>0</v>
      </c>
      <c r="J4795" s="15">
        <v>0</v>
      </c>
      <c r="K4795" s="12" t="str">
        <f>HYPERLINK("http://twitter.com/download/iphone","Twitter for iPhone")</f>
        <v>Twitter for iPhone</v>
      </c>
      <c r="L4795" s="16">
        <v>13</v>
      </c>
      <c r="M4795" s="16">
        <v>48</v>
      </c>
      <c r="N4795" s="16">
        <v>0</v>
      </c>
      <c r="O4795" s="17"/>
      <c r="P4795" s="18">
        <v>40215.274756944447</v>
      </c>
      <c r="Q4795" s="7"/>
      <c r="R4795" s="7"/>
      <c r="S4795" s="8"/>
      <c r="T4795" s="8"/>
      <c r="U4795" s="19" t="str">
        <f>HYPERLINK("https://pbs.twimg.com/profile_images/790965563824730113/4YFCK-4o.jpg","View")</f>
        <v>View</v>
      </c>
      <c r="V4795" s="8"/>
      <c r="W4795" s="8"/>
      <c r="X4795" s="8"/>
      <c r="Y4795" s="8"/>
      <c r="Z4795" s="8"/>
    </row>
    <row r="4796" spans="1:26" ht="12.75">
      <c r="A4796" s="11">
        <v>43747.106226851851</v>
      </c>
      <c r="B4796" s="12" t="str">
        <f>HYPERLINK("https://twitter.com/yilmazercelikk","@yilmazercelikk")</f>
        <v>@yilmazercelikk</v>
      </c>
      <c r="C4796" s="7" t="s">
        <v>23455</v>
      </c>
      <c r="D4796" s="7" t="s">
        <v>160</v>
      </c>
      <c r="E4796" s="12" t="str">
        <f>HYPERLINK("https://twitter.com/yilmazercelikk/status/1181865124187033600","1181865124187033600")</f>
        <v>1181865124187033600</v>
      </c>
      <c r="F4796" s="14" t="s">
        <v>14051</v>
      </c>
      <c r="G4796" s="15"/>
      <c r="H4796" s="8"/>
      <c r="I4796" s="15">
        <v>0</v>
      </c>
      <c r="J4796" s="15">
        <v>0</v>
      </c>
      <c r="K4796" s="12" t="str">
        <f>HYPERLINK("https://mobile.twitter.com","Twitter Web App")</f>
        <v>Twitter Web App</v>
      </c>
      <c r="L4796" s="16">
        <v>175</v>
      </c>
      <c r="M4796" s="16">
        <v>150</v>
      </c>
      <c r="N4796" s="16">
        <v>0</v>
      </c>
      <c r="O4796" s="17"/>
      <c r="P4796" s="18">
        <v>40771.657418981486</v>
      </c>
      <c r="Q4796" s="7" t="s">
        <v>313</v>
      </c>
      <c r="R4796" s="7" t="s">
        <v>23456</v>
      </c>
      <c r="S4796" s="8"/>
      <c r="T4796" s="8"/>
      <c r="U4796" s="19" t="str">
        <f>HYPERLINK("https://pbs.twimg.com/profile_images/1171717308043149312/uyDWkqBj.jpg","View")</f>
        <v>View</v>
      </c>
      <c r="V4796" s="8"/>
      <c r="W4796" s="8"/>
      <c r="X4796" s="8"/>
      <c r="Y4796" s="8"/>
      <c r="Z4796" s="8"/>
    </row>
    <row r="4797" spans="1:26" ht="12.75">
      <c r="A4797" s="11">
        <v>43747.106203703705</v>
      </c>
      <c r="B4797" s="12" t="str">
        <f>HYPERLINK("https://twitter.com/Ademirkurt","@Ademirkurt")</f>
        <v>@Ademirkurt</v>
      </c>
      <c r="C4797" s="7" t="s">
        <v>23457</v>
      </c>
      <c r="D4797" s="7" t="s">
        <v>23458</v>
      </c>
      <c r="E4797" s="12" t="str">
        <f>HYPERLINK("https://twitter.com/Ademirkurt/status/1181865117367111681","1181865117367111681")</f>
        <v>1181865117367111681</v>
      </c>
      <c r="F4797" s="8"/>
      <c r="G4797" s="14" t="s">
        <v>23459</v>
      </c>
      <c r="H4797" s="8"/>
      <c r="I4797" s="15">
        <v>0</v>
      </c>
      <c r="J4797" s="15">
        <v>2</v>
      </c>
      <c r="K4797" s="12" t="str">
        <f>HYPERLINK("http://twitter.com/download/android","Twitter for Android")</f>
        <v>Twitter for Android</v>
      </c>
      <c r="L4797" s="16">
        <v>943</v>
      </c>
      <c r="M4797" s="16">
        <v>140</v>
      </c>
      <c r="N4797" s="16">
        <v>1</v>
      </c>
      <c r="O4797" s="17"/>
      <c r="P4797" s="18">
        <v>41552.441099537034</v>
      </c>
      <c r="Q4797" s="8" t="s">
        <v>23460</v>
      </c>
      <c r="R4797" s="8" t="s">
        <v>23461</v>
      </c>
      <c r="S4797" s="8"/>
      <c r="T4797" s="8"/>
      <c r="U4797" s="19" t="str">
        <f>HYPERLINK("https://pbs.twimg.com/profile_images/1027317814275784705/gRY2VKfi.jpg","View")</f>
        <v>View</v>
      </c>
      <c r="V4797" s="8"/>
      <c r="W4797" s="8"/>
      <c r="X4797" s="8"/>
      <c r="Y4797" s="8"/>
      <c r="Z4797" s="8"/>
    </row>
    <row r="4798" spans="1:26" ht="12.75">
      <c r="A4798" s="11">
        <v>43747.106145833328</v>
      </c>
      <c r="B4798" s="12" t="str">
        <f>HYPERLINK("https://twitter.com/Mr__Who","@Mr__Who")</f>
        <v>@Mr__Who</v>
      </c>
      <c r="C4798" s="7" t="s">
        <v>23462</v>
      </c>
      <c r="D4798" s="7" t="s">
        <v>160</v>
      </c>
      <c r="E4798" s="12" t="str">
        <f>HYPERLINK("https://twitter.com/Mr__Who/status/1181865096391401472","1181865096391401472")</f>
        <v>1181865096391401472</v>
      </c>
      <c r="F4798" s="8"/>
      <c r="G4798" s="14" t="s">
        <v>23463</v>
      </c>
      <c r="H4798" s="8"/>
      <c r="I4798" s="15">
        <v>0</v>
      </c>
      <c r="J4798" s="15">
        <v>0</v>
      </c>
      <c r="K4798" s="12" t="str">
        <f>HYPERLINK("http://twitter.com/download/iphone","Twitter for iPhone")</f>
        <v>Twitter for iPhone</v>
      </c>
      <c r="L4798" s="16">
        <v>821</v>
      </c>
      <c r="M4798" s="16">
        <v>803</v>
      </c>
      <c r="N4798" s="16">
        <v>0</v>
      </c>
      <c r="O4798" s="17"/>
      <c r="P4798" s="18">
        <v>43616.728946759264</v>
      </c>
      <c r="Q4798" s="8"/>
      <c r="R4798" s="7" t="s">
        <v>23464</v>
      </c>
      <c r="S4798" s="8"/>
      <c r="T4798" s="8"/>
      <c r="U4798" s="19" t="str">
        <f>HYPERLINK("https://pbs.twimg.com/profile_images/1179700207958802432/gFrFoB97.jpg","View")</f>
        <v>View</v>
      </c>
      <c r="V4798" s="8"/>
      <c r="W4798" s="8"/>
      <c r="X4798" s="8"/>
      <c r="Y4798" s="8"/>
      <c r="Z4798" s="8"/>
    </row>
    <row r="4799" spans="1:26" ht="12.75">
      <c r="A4799" s="11">
        <v>43747.106111111112</v>
      </c>
      <c r="B4799" s="12" t="str">
        <f>HYPERLINK("https://twitter.com/Sananeleyn8","@Sananeleyn8")</f>
        <v>@Sananeleyn8</v>
      </c>
      <c r="C4799" s="7" t="s">
        <v>23465</v>
      </c>
      <c r="D4799" s="7" t="s">
        <v>23466</v>
      </c>
      <c r="E4799" s="12" t="str">
        <f>HYPERLINK("https://twitter.com/Sananeleyn8/status/1181865083665866752","1181865083665866752")</f>
        <v>1181865083665866752</v>
      </c>
      <c r="F4799" s="8"/>
      <c r="G4799" s="15"/>
      <c r="H4799" s="8"/>
      <c r="I4799" s="15">
        <v>0</v>
      </c>
      <c r="J4799" s="15">
        <v>0</v>
      </c>
      <c r="K4799" s="12" t="str">
        <f>HYPERLINK("http://twitter.com/download/android","Twitter for Android")</f>
        <v>Twitter for Android</v>
      </c>
      <c r="L4799" s="16">
        <v>0</v>
      </c>
      <c r="M4799" s="16">
        <v>79</v>
      </c>
      <c r="N4799" s="16">
        <v>0</v>
      </c>
      <c r="O4799" s="17"/>
      <c r="P4799" s="18">
        <v>43628.48064814815</v>
      </c>
      <c r="Q4799" s="8"/>
      <c r="R4799" s="8" t="s">
        <v>23467</v>
      </c>
      <c r="S4799" s="8"/>
      <c r="T4799" s="8"/>
      <c r="U4799" s="19" t="str">
        <f>HYPERLINK("https://pbs.twimg.com/profile_images/1148695721564135425/bUADBnkk.jpg","View")</f>
        <v>View</v>
      </c>
      <c r="V4799" s="8"/>
      <c r="W4799" s="8"/>
      <c r="X4799" s="8"/>
      <c r="Y4799" s="8"/>
      <c r="Z4799" s="8"/>
    </row>
    <row r="4800" spans="1:26" ht="12.75">
      <c r="A4800" s="11">
        <v>43747.106087962966</v>
      </c>
      <c r="B4800" s="12" t="str">
        <f>HYPERLINK("https://twitter.com/arti_haber27","@arti_haber27")</f>
        <v>@arti_haber27</v>
      </c>
      <c r="C4800" s="7" t="s">
        <v>23468</v>
      </c>
      <c r="D4800" s="7" t="s">
        <v>23469</v>
      </c>
      <c r="E4800" s="12" t="str">
        <f>HYPERLINK("https://twitter.com/arti_haber27/status/1181865075436597248","1181865075436597248")</f>
        <v>1181865075436597248</v>
      </c>
      <c r="F4800" s="14" t="s">
        <v>23470</v>
      </c>
      <c r="G4800" s="7"/>
      <c r="H4800" s="8"/>
      <c r="I4800" s="15">
        <v>0</v>
      </c>
      <c r="J4800" s="15">
        <v>0</v>
      </c>
      <c r="K4800" s="12" t="str">
        <f>HYPERLINK("https://mobile.twitter.com","Twitter Web App")</f>
        <v>Twitter Web App</v>
      </c>
      <c r="L4800" s="16">
        <v>522</v>
      </c>
      <c r="M4800" s="16">
        <v>610</v>
      </c>
      <c r="N4800" s="16">
        <v>1</v>
      </c>
      <c r="O4800" s="17"/>
      <c r="P4800" s="18">
        <v>42682.116168981476</v>
      </c>
      <c r="Q4800" s="8" t="s">
        <v>23471</v>
      </c>
      <c r="R4800" s="8" t="s">
        <v>23472</v>
      </c>
      <c r="S4800" s="14" t="s">
        <v>23473</v>
      </c>
      <c r="T4800" s="8"/>
      <c r="U4800" s="19" t="str">
        <f>HYPERLINK("https://pbs.twimg.com/profile_images/1113043268986703872/HNzV3Jpe.png","View")</f>
        <v>View</v>
      </c>
      <c r="V4800" s="8"/>
      <c r="W4800" s="8"/>
      <c r="X4800" s="8"/>
      <c r="Y4800" s="8"/>
      <c r="Z4800" s="8"/>
    </row>
    <row r="4801" spans="1:26" ht="12.75">
      <c r="A4801" s="11">
        <v>43747.106087962966</v>
      </c>
      <c r="B4801" s="12" t="str">
        <f>HYPERLINK("https://twitter.com/asim_turgut","@asim_turgut")</f>
        <v>@asim_turgut</v>
      </c>
      <c r="C4801" s="7" t="s">
        <v>23474</v>
      </c>
      <c r="D4801" s="7" t="s">
        <v>160</v>
      </c>
      <c r="E4801" s="12" t="str">
        <f>HYPERLINK("https://twitter.com/asim_turgut/status/1181865074572582913","1181865074572582913")</f>
        <v>1181865074572582913</v>
      </c>
      <c r="F4801" s="8"/>
      <c r="G4801" s="7"/>
      <c r="H4801" s="8"/>
      <c r="I4801" s="15">
        <v>0</v>
      </c>
      <c r="J4801" s="15">
        <v>0</v>
      </c>
      <c r="K4801" s="12" t="str">
        <f>HYPERLINK("http://twitter.com/download/android","Twitter for Android")</f>
        <v>Twitter for Android</v>
      </c>
      <c r="L4801" s="16">
        <v>236</v>
      </c>
      <c r="M4801" s="16">
        <v>354</v>
      </c>
      <c r="N4801" s="16">
        <v>0</v>
      </c>
      <c r="O4801" s="17"/>
      <c r="P4801" s="18">
        <v>41131.953900462962</v>
      </c>
      <c r="Q4801" s="7"/>
      <c r="R4801" s="8"/>
      <c r="S4801" s="15"/>
      <c r="T4801" s="8"/>
      <c r="U4801" s="19" t="str">
        <f>HYPERLINK("https://pbs.twimg.com/profile_images/2491260760/scan.JPG","View")</f>
        <v>View</v>
      </c>
      <c r="V4801" s="8"/>
      <c r="W4801" s="8"/>
      <c r="X4801" s="8"/>
      <c r="Y4801" s="8"/>
      <c r="Z4801" s="8"/>
    </row>
    <row r="4802" spans="1:26" ht="12.75">
      <c r="A4802" s="11">
        <v>43747.10601851852</v>
      </c>
      <c r="B4802" s="12" t="str">
        <f>HYPERLINK("https://twitter.com/ardahanli_ilhan","@ardahanli_ilhan")</f>
        <v>@ardahanli_ilhan</v>
      </c>
      <c r="C4802" s="7" t="s">
        <v>23475</v>
      </c>
      <c r="D4802" s="7" t="s">
        <v>23476</v>
      </c>
      <c r="E4802" s="12" t="str">
        <f>HYPERLINK("https://twitter.com/ardahanli_ilhan/status/1181865048542777344","1181865048542777344")</f>
        <v>1181865048542777344</v>
      </c>
      <c r="F4802" s="8"/>
      <c r="G4802" s="14" t="s">
        <v>23477</v>
      </c>
      <c r="H4802" s="8"/>
      <c r="I4802" s="15">
        <v>0</v>
      </c>
      <c r="J4802" s="15">
        <v>0</v>
      </c>
      <c r="K4802" s="12" t="str">
        <f>HYPERLINK("http://twitter.com/download/android","Twitter for Android")</f>
        <v>Twitter for Android</v>
      </c>
      <c r="L4802" s="16">
        <v>5</v>
      </c>
      <c r="M4802" s="16">
        <v>31</v>
      </c>
      <c r="N4802" s="16">
        <v>0</v>
      </c>
      <c r="O4802" s="17"/>
      <c r="P4802" s="18">
        <v>43650.425740740742</v>
      </c>
      <c r="Q4802" s="8"/>
      <c r="R4802" s="7"/>
      <c r="S4802" s="8"/>
      <c r="T4802" s="8"/>
      <c r="U4802" s="19" t="str">
        <f>HYPERLINK("https://pbs.twimg.com/profile_images/1171800163389779973/4wnad33o.jpg","View")</f>
        <v>View</v>
      </c>
      <c r="V4802" s="8"/>
      <c r="W4802" s="8"/>
      <c r="X4802" s="8"/>
      <c r="Y4802" s="8"/>
      <c r="Z4802" s="8"/>
    </row>
    <row r="4803" spans="1:26" ht="12.75">
      <c r="A4803" s="11">
        <v>43747.106006944443</v>
      </c>
      <c r="B4803" s="12" t="str">
        <f>HYPERLINK("https://twitter.com/PokerAspirant","@PokerAspirant")</f>
        <v>@PokerAspirant</v>
      </c>
      <c r="C4803" s="7" t="s">
        <v>23478</v>
      </c>
      <c r="D4803" s="7" t="s">
        <v>23479</v>
      </c>
      <c r="E4803" s="12" t="str">
        <f>HYPERLINK("https://twitter.com/PokerAspirant/status/1181865043480199169","1181865043480199169")</f>
        <v>1181865043480199169</v>
      </c>
      <c r="F4803" s="8"/>
      <c r="G4803" s="15"/>
      <c r="H4803" s="8"/>
      <c r="I4803" s="15">
        <v>0</v>
      </c>
      <c r="J4803" s="15">
        <v>1</v>
      </c>
      <c r="K4803" s="12" t="str">
        <f>HYPERLINK("http://twitter.com/download/iphone","Twitter for iPhone")</f>
        <v>Twitter for iPhone</v>
      </c>
      <c r="L4803" s="16">
        <v>6</v>
      </c>
      <c r="M4803" s="16">
        <v>42</v>
      </c>
      <c r="N4803" s="16">
        <v>0</v>
      </c>
      <c r="O4803" s="17"/>
      <c r="P4803" s="18">
        <v>43703.286076388889</v>
      </c>
      <c r="Q4803" s="8" t="s">
        <v>668</v>
      </c>
      <c r="R4803" s="7" t="s">
        <v>23480</v>
      </c>
      <c r="S4803" s="8"/>
      <c r="T4803" s="8"/>
      <c r="U4803" s="19" t="str">
        <f>HYPERLINK("https://pbs.twimg.com/profile_images/1165993066249019399/xuoE0pth.jpg","View")</f>
        <v>View</v>
      </c>
      <c r="V4803" s="8"/>
      <c r="W4803" s="8"/>
      <c r="X4803" s="8"/>
      <c r="Y4803" s="8"/>
      <c r="Z4803" s="8"/>
    </row>
    <row r="4804" spans="1:26" ht="12.75">
      <c r="A4804" s="11">
        <v>43747.105972222227</v>
      </c>
      <c r="B4804" s="12" t="str">
        <f>HYPERLINK("https://twitter.com/arsln_alparslan","@arsln_alparslan")</f>
        <v>@arsln_alparslan</v>
      </c>
      <c r="C4804" s="7" t="s">
        <v>23481</v>
      </c>
      <c r="D4804" s="7" t="s">
        <v>23482</v>
      </c>
      <c r="E4804" s="12" t="str">
        <f>HYPERLINK("https://twitter.com/arsln_alparslan/status/1181865033699090432","1181865033699090432")</f>
        <v>1181865033699090432</v>
      </c>
      <c r="F4804" s="8"/>
      <c r="G4804" s="15"/>
      <c r="H4804" s="8"/>
      <c r="I4804" s="15">
        <v>0</v>
      </c>
      <c r="J4804" s="15">
        <v>0</v>
      </c>
      <c r="K4804" s="12" t="str">
        <f>HYPERLINK("http://twitter.com/download/android","Twitter for Android")</f>
        <v>Twitter for Android</v>
      </c>
      <c r="L4804" s="16">
        <v>58</v>
      </c>
      <c r="M4804" s="16">
        <v>96</v>
      </c>
      <c r="N4804" s="16">
        <v>0</v>
      </c>
      <c r="O4804" s="17"/>
      <c r="P4804" s="18">
        <v>43398.425173611111</v>
      </c>
      <c r="Q4804" s="8" t="s">
        <v>12326</v>
      </c>
      <c r="R4804" s="7" t="s">
        <v>15796</v>
      </c>
      <c r="S4804" s="14" t="s">
        <v>23483</v>
      </c>
      <c r="T4804" s="8"/>
      <c r="U4804" s="19" t="str">
        <f>HYPERLINK("https://pbs.twimg.com/profile_images/1055508753670434816/KvNTk636.jpg","View")</f>
        <v>View</v>
      </c>
      <c r="V4804" s="8"/>
      <c r="W4804" s="8"/>
      <c r="X4804" s="8"/>
      <c r="Y4804" s="8"/>
      <c r="Z4804" s="8"/>
    </row>
    <row r="4805" spans="1:26" ht="12.75">
      <c r="A4805" s="11">
        <v>43747.105902777781</v>
      </c>
      <c r="B4805" s="12" t="str">
        <f>HYPERLINK("https://twitter.com/bilgead78949279","@bilgead78949279")</f>
        <v>@bilgead78949279</v>
      </c>
      <c r="C4805" s="7" t="s">
        <v>23484</v>
      </c>
      <c r="D4805" s="7" t="s">
        <v>160</v>
      </c>
      <c r="E4805" s="12" t="str">
        <f>HYPERLINK("https://twitter.com/bilgead78949279/status/1181865009204346881","1181865009204346881")</f>
        <v>1181865009204346881</v>
      </c>
      <c r="F4805" s="8"/>
      <c r="G4805" s="14" t="s">
        <v>23485</v>
      </c>
      <c r="H4805" s="8"/>
      <c r="I4805" s="15">
        <v>0</v>
      </c>
      <c r="J4805" s="15">
        <v>0</v>
      </c>
      <c r="K4805" s="12" t="str">
        <f>HYPERLINK("http://twitter.com/download/android","Twitter for Android")</f>
        <v>Twitter for Android</v>
      </c>
      <c r="L4805" s="16">
        <v>5</v>
      </c>
      <c r="M4805" s="16">
        <v>33</v>
      </c>
      <c r="N4805" s="16">
        <v>0</v>
      </c>
      <c r="O4805" s="17"/>
      <c r="P4805" s="18">
        <v>43742.922997685186</v>
      </c>
      <c r="Q4805" s="7"/>
      <c r="R4805" s="7" t="s">
        <v>23486</v>
      </c>
      <c r="S4805" s="15"/>
      <c r="T4805" s="8"/>
      <c r="U4805" s="19" t="str">
        <f>HYPERLINK("https://pbs.twimg.com/profile_images/1180476829196570624/t2ot4BJx.jpg","View")</f>
        <v>View</v>
      </c>
      <c r="V4805" s="8"/>
      <c r="W4805" s="8"/>
      <c r="X4805" s="8"/>
      <c r="Y4805" s="8"/>
      <c r="Z4805" s="8"/>
    </row>
    <row r="4806" spans="1:26" ht="12.75">
      <c r="A4806" s="11">
        <v>43747.105844907404</v>
      </c>
      <c r="B4806" s="12" t="str">
        <f>HYPERLINK("https://twitter.com/arslanibrahim73","@arslanibrahim73")</f>
        <v>@arslanibrahim73</v>
      </c>
      <c r="C4806" s="7" t="s">
        <v>23487</v>
      </c>
      <c r="D4806" s="7" t="s">
        <v>23310</v>
      </c>
      <c r="E4806" s="12" t="str">
        <f>HYPERLINK("https://twitter.com/arslanibrahim73/status/1181864986806800384","1181864986806800384")</f>
        <v>1181864986806800384</v>
      </c>
      <c r="F4806" s="8"/>
      <c r="G4806" s="14" t="s">
        <v>23311</v>
      </c>
      <c r="H4806" s="8"/>
      <c r="I4806" s="15">
        <v>7</v>
      </c>
      <c r="J4806" s="15">
        <v>13</v>
      </c>
      <c r="K4806" s="12" t="str">
        <f>HYPERLINK("http://twitter.com/download/android","Twitter for Android")</f>
        <v>Twitter for Android</v>
      </c>
      <c r="L4806" s="16">
        <v>1330</v>
      </c>
      <c r="M4806" s="16">
        <v>2134</v>
      </c>
      <c r="N4806" s="16">
        <v>2</v>
      </c>
      <c r="O4806" s="17"/>
      <c r="P4806" s="18">
        <v>41962.238784722227</v>
      </c>
      <c r="Q4806" s="7" t="s">
        <v>2050</v>
      </c>
      <c r="R4806" s="7" t="s">
        <v>23488</v>
      </c>
      <c r="S4806" s="8"/>
      <c r="T4806" s="8"/>
      <c r="U4806" s="19" t="str">
        <f>HYPERLINK("https://pbs.twimg.com/profile_images/1173634940510113792/oTFup-og.jpg","View")</f>
        <v>View</v>
      </c>
      <c r="V4806" s="8"/>
      <c r="W4806" s="8"/>
      <c r="X4806" s="8"/>
      <c r="Y4806" s="8"/>
      <c r="Z4806" s="8"/>
    </row>
    <row r="4807" spans="1:26" ht="12.75">
      <c r="A4807" s="11">
        <v>43747.105833333335</v>
      </c>
      <c r="B4807" s="12" t="str">
        <f>HYPERLINK("https://twitter.com/BaskanYapacagiz","@BaskanYapacagiz")</f>
        <v>@BaskanYapacagiz</v>
      </c>
      <c r="C4807" s="7" t="s">
        <v>23489</v>
      </c>
      <c r="D4807" s="7" t="s">
        <v>23490</v>
      </c>
      <c r="E4807" s="12" t="str">
        <f>HYPERLINK("https://twitter.com/BaskanYapacagiz/status/1181864982469910528","1181864982469910528")</f>
        <v>1181864982469910528</v>
      </c>
      <c r="F4807" s="14" t="s">
        <v>23491</v>
      </c>
      <c r="G4807" s="14" t="s">
        <v>23492</v>
      </c>
      <c r="H4807" s="8"/>
      <c r="I4807" s="15">
        <v>0</v>
      </c>
      <c r="J4807" s="15">
        <v>1</v>
      </c>
      <c r="K4807" s="12" t="str">
        <f>HYPERLINK("https://mobile.twitter.com","Twitter Web App")</f>
        <v>Twitter Web App</v>
      </c>
      <c r="L4807" s="16">
        <v>122950</v>
      </c>
      <c r="M4807" s="16">
        <v>57</v>
      </c>
      <c r="N4807" s="16">
        <v>82</v>
      </c>
      <c r="O4807" s="17"/>
      <c r="P4807" s="18">
        <v>40598.558912037035</v>
      </c>
      <c r="Q4807" s="14" t="s">
        <v>23493</v>
      </c>
      <c r="R4807" s="7" t="s">
        <v>23494</v>
      </c>
      <c r="S4807" s="14" t="s">
        <v>23495</v>
      </c>
      <c r="T4807" s="8"/>
      <c r="U4807" s="19" t="str">
        <f>HYPERLINK("https://pbs.twimg.com/profile_images/869583776015413248/RKbog1MG.jpg","View")</f>
        <v>View</v>
      </c>
      <c r="V4807" s="8"/>
      <c r="W4807" s="8"/>
      <c r="X4807" s="8"/>
      <c r="Y4807" s="8"/>
      <c r="Z4807" s="8"/>
    </row>
    <row r="4808" spans="1:26" ht="12.75">
      <c r="A4808" s="11">
        <v>43747.105821759258</v>
      </c>
      <c r="B4808" s="12" t="str">
        <f>HYPERLINK("https://twitter.com/Esmer53931965","@Esmer53931965")</f>
        <v>@Esmer53931965</v>
      </c>
      <c r="C4808" s="7" t="s">
        <v>23496</v>
      </c>
      <c r="D4808" s="7" t="s">
        <v>23497</v>
      </c>
      <c r="E4808" s="12" t="str">
        <f>HYPERLINK("https://twitter.com/Esmer53931965/status/1181864978359472128","1181864978359472128")</f>
        <v>1181864978359472128</v>
      </c>
      <c r="F4808" s="8"/>
      <c r="G4808" s="14" t="s">
        <v>23498</v>
      </c>
      <c r="H4808" s="8"/>
      <c r="I4808" s="15">
        <v>0</v>
      </c>
      <c r="J4808" s="15">
        <v>2</v>
      </c>
      <c r="K4808" s="12" t="str">
        <f>HYPERLINK("http://twitter.com/download/android","Twitter for Android")</f>
        <v>Twitter for Android</v>
      </c>
      <c r="L4808" s="16">
        <v>82</v>
      </c>
      <c r="M4808" s="16">
        <v>283</v>
      </c>
      <c r="N4808" s="16">
        <v>0</v>
      </c>
      <c r="O4808" s="17"/>
      <c r="P4808" s="18">
        <v>43250.613055555557</v>
      </c>
      <c r="Q4808" s="8"/>
      <c r="R4808" s="7"/>
      <c r="S4808" s="8"/>
      <c r="T4808" s="8"/>
      <c r="U4808" s="19" t="str">
        <f>HYPERLINK("https://pbs.twimg.com/profile_images/1029688600617799681/rlb6M37X.jpg","View")</f>
        <v>View</v>
      </c>
      <c r="V4808" s="8"/>
      <c r="W4808" s="8"/>
      <c r="X4808" s="8"/>
      <c r="Y4808" s="8"/>
      <c r="Z4808" s="8"/>
    </row>
    <row r="4809" spans="1:26" ht="12.75">
      <c r="A4809" s="11">
        <v>43747.105810185181</v>
      </c>
      <c r="B4809" s="12" t="str">
        <f>HYPERLINK("https://twitter.com/apyaarpulell","@apyaarpulell")</f>
        <v>@apyaarpulell</v>
      </c>
      <c r="C4809" s="7" t="s">
        <v>23499</v>
      </c>
      <c r="D4809" s="7" t="s">
        <v>23500</v>
      </c>
      <c r="E4809" s="12" t="str">
        <f>HYPERLINK("https://twitter.com/apyaarpulell/status/1181864975540920320","1181864975540920320")</f>
        <v>1181864975540920320</v>
      </c>
      <c r="F4809" s="14" t="s">
        <v>23501</v>
      </c>
      <c r="G4809" s="15"/>
      <c r="H4809" s="8"/>
      <c r="I4809" s="15">
        <v>0</v>
      </c>
      <c r="J4809" s="15">
        <v>0</v>
      </c>
      <c r="K4809" s="12" t="str">
        <f>HYPERLINK("https://mobile.twitter.com","Twitter Web App")</f>
        <v>Twitter Web App</v>
      </c>
      <c r="L4809" s="16">
        <v>285</v>
      </c>
      <c r="M4809" s="16">
        <v>58</v>
      </c>
      <c r="N4809" s="16">
        <v>1</v>
      </c>
      <c r="O4809" s="17"/>
      <c r="P4809" s="18">
        <v>43515.916666666672</v>
      </c>
      <c r="Q4809" s="8" t="s">
        <v>23502</v>
      </c>
      <c r="R4809" s="7" t="s">
        <v>23503</v>
      </c>
      <c r="S4809" s="8"/>
      <c r="T4809" s="8"/>
      <c r="U4809" s="19" t="str">
        <f>HYPERLINK("https://pbs.twimg.com/profile_images/1181584033836408832/gZWRRjLG.jpg","View")</f>
        <v>View</v>
      </c>
      <c r="V4809" s="8"/>
      <c r="W4809" s="8"/>
      <c r="X4809" s="8"/>
      <c r="Y4809" s="8"/>
      <c r="Z4809" s="8"/>
    </row>
    <row r="4810" spans="1:26" ht="12.75">
      <c r="A4810" s="11">
        <v>43747.105810185181</v>
      </c>
      <c r="B4810" s="12" t="str">
        <f>HYPERLINK("https://twitter.com/ridvandio","@ridvandio")</f>
        <v>@ridvandio</v>
      </c>
      <c r="C4810" s="7" t="s">
        <v>23504</v>
      </c>
      <c r="D4810" s="7" t="s">
        <v>23505</v>
      </c>
      <c r="E4810" s="12" t="str">
        <f>HYPERLINK("https://twitter.com/ridvandio/status/1181864973645107200","1181864973645107200")</f>
        <v>1181864973645107200</v>
      </c>
      <c r="F4810" s="8"/>
      <c r="G4810" s="14" t="s">
        <v>23506</v>
      </c>
      <c r="H4810" s="8"/>
      <c r="I4810" s="15">
        <v>0</v>
      </c>
      <c r="J4810" s="15">
        <v>2</v>
      </c>
      <c r="K4810" s="12" t="str">
        <f>HYPERLINK("http://twitter.com/download/iphone","Twitter for iPhone")</f>
        <v>Twitter for iPhone</v>
      </c>
      <c r="L4810" s="16">
        <v>9775</v>
      </c>
      <c r="M4810" s="16">
        <v>274</v>
      </c>
      <c r="N4810" s="16">
        <v>8</v>
      </c>
      <c r="O4810" s="17"/>
      <c r="P4810" s="18">
        <v>41490.419641203705</v>
      </c>
      <c r="Q4810" s="7" t="s">
        <v>14024</v>
      </c>
      <c r="R4810" s="7" t="s">
        <v>807</v>
      </c>
      <c r="S4810" s="8"/>
      <c r="T4810" s="8"/>
      <c r="U4810" s="19" t="str">
        <f>HYPERLINK("https://pbs.twimg.com/profile_images/968756786504323074/37WJUA8P.jpg","View")</f>
        <v>View</v>
      </c>
      <c r="V4810" s="8"/>
      <c r="W4810" s="8"/>
      <c r="X4810" s="8"/>
      <c r="Y4810" s="8"/>
      <c r="Z4810" s="8"/>
    </row>
    <row r="4811" spans="1:26" ht="12.75">
      <c r="A4811" s="11">
        <v>43747.105798611112</v>
      </c>
      <c r="B4811" s="12" t="str">
        <f>HYPERLINK("https://twitter.com/kaanmilinski","@kaanmilinski")</f>
        <v>@kaanmilinski</v>
      </c>
      <c r="C4811" s="7" t="s">
        <v>4862</v>
      </c>
      <c r="D4811" s="7" t="s">
        <v>23507</v>
      </c>
      <c r="E4811" s="12" t="str">
        <f>HYPERLINK("https://twitter.com/kaanmilinski/status/1181864968439975936","1181864968439975936")</f>
        <v>1181864968439975936</v>
      </c>
      <c r="F4811" s="8"/>
      <c r="G4811" s="15"/>
      <c r="H4811" s="8"/>
      <c r="I4811" s="15">
        <v>0</v>
      </c>
      <c r="J4811" s="15">
        <v>1</v>
      </c>
      <c r="K4811" s="12" t="str">
        <f>HYPERLINK("http://twitter.com/download/iphone","Twitter for iPhone")</f>
        <v>Twitter for iPhone</v>
      </c>
      <c r="L4811" s="16">
        <v>33</v>
      </c>
      <c r="M4811" s="16">
        <v>52</v>
      </c>
      <c r="N4811" s="16">
        <v>1</v>
      </c>
      <c r="O4811" s="17"/>
      <c r="P4811" s="18">
        <v>43586.511203703703</v>
      </c>
      <c r="Q4811" s="7"/>
      <c r="R4811" s="7" t="s">
        <v>23508</v>
      </c>
      <c r="S4811" s="8"/>
      <c r="T4811" s="8"/>
      <c r="U4811" s="19" t="str">
        <f>HYPERLINK("https://pbs.twimg.com/profile_images/1123668624861016064/YxJHeQ79.jpg","View")</f>
        <v>View</v>
      </c>
      <c r="V4811" s="8"/>
      <c r="W4811" s="8"/>
      <c r="X4811" s="8"/>
      <c r="Y4811" s="8"/>
      <c r="Z4811" s="8"/>
    </row>
    <row r="4812" spans="1:26" ht="12.75">
      <c r="A4812" s="11">
        <v>43747.105798611112</v>
      </c>
      <c r="B4812" s="12" t="str">
        <f>HYPERLINK("https://twitter.com/ahmetbalci009","@ahmetbalci009")</f>
        <v>@ahmetbalci009</v>
      </c>
      <c r="C4812" s="7" t="s">
        <v>23509</v>
      </c>
      <c r="D4812" s="7" t="s">
        <v>23510</v>
      </c>
      <c r="E4812" s="12" t="str">
        <f>HYPERLINK("https://twitter.com/ahmetbalci009/status/1181864968418942981","1181864968418942981")</f>
        <v>1181864968418942981</v>
      </c>
      <c r="F4812" s="8"/>
      <c r="G4812" s="14" t="s">
        <v>23511</v>
      </c>
      <c r="H4812" s="8"/>
      <c r="I4812" s="15">
        <v>0</v>
      </c>
      <c r="J4812" s="15">
        <v>0</v>
      </c>
      <c r="K4812" s="12" t="str">
        <f>HYPERLINK("http://twitter.com/download/android","Twitter for Android")</f>
        <v>Twitter for Android</v>
      </c>
      <c r="L4812" s="16">
        <v>225</v>
      </c>
      <c r="M4812" s="16">
        <v>373</v>
      </c>
      <c r="N4812" s="16">
        <v>0</v>
      </c>
      <c r="O4812" s="17"/>
      <c r="P4812" s="18">
        <v>41953.356388888889</v>
      </c>
      <c r="Q4812" s="7"/>
      <c r="R4812" s="7" t="s">
        <v>23512</v>
      </c>
      <c r="S4812" s="8"/>
      <c r="T4812" s="8"/>
      <c r="U4812" s="19" t="str">
        <f>HYPERLINK("https://pbs.twimg.com/profile_images/742885040992837633/Hd9SX3eC.jpg","View")</f>
        <v>View</v>
      </c>
      <c r="V4812" s="8"/>
      <c r="W4812" s="8"/>
      <c r="X4812" s="8"/>
      <c r="Y4812" s="8"/>
      <c r="Z4812" s="8"/>
    </row>
    <row r="4813" spans="1:26" ht="12.75">
      <c r="A4813" s="11">
        <v>43747.105787037042</v>
      </c>
      <c r="B4813" s="12" t="str">
        <f>HYPERLINK("https://twitter.com/Samedowski","@Samedowski")</f>
        <v>@Samedowski</v>
      </c>
      <c r="C4813" s="7" t="s">
        <v>23513</v>
      </c>
      <c r="D4813" s="7" t="s">
        <v>23514</v>
      </c>
      <c r="E4813" s="12" t="str">
        <f>HYPERLINK("https://twitter.com/Samedowski/status/1181864967076798469","1181864967076798469")</f>
        <v>1181864967076798469</v>
      </c>
      <c r="F4813" s="8"/>
      <c r="G4813" s="14" t="s">
        <v>23515</v>
      </c>
      <c r="H4813" s="8"/>
      <c r="I4813" s="15">
        <v>34</v>
      </c>
      <c r="J4813" s="15">
        <v>247</v>
      </c>
      <c r="K4813" s="12" t="str">
        <f>HYPERLINK("https://studio.twitter.com","Twitter Media Studio")</f>
        <v>Twitter Media Studio</v>
      </c>
      <c r="L4813" s="16">
        <v>42965</v>
      </c>
      <c r="M4813" s="16">
        <v>1691</v>
      </c>
      <c r="N4813" s="16">
        <v>135</v>
      </c>
      <c r="O4813" s="17"/>
      <c r="P4813" s="18">
        <v>40426.069930555554</v>
      </c>
      <c r="Q4813" s="7"/>
      <c r="R4813" s="7" t="s">
        <v>19983</v>
      </c>
      <c r="S4813" s="8"/>
      <c r="T4813" s="8"/>
      <c r="U4813" s="19" t="str">
        <f>HYPERLINK("https://pbs.twimg.com/profile_images/1115477057465716736/2iNO24vT.jpg","View")</f>
        <v>View</v>
      </c>
      <c r="V4813" s="8"/>
      <c r="W4813" s="8"/>
      <c r="X4813" s="8"/>
      <c r="Y4813" s="8"/>
      <c r="Z4813" s="8"/>
    </row>
    <row r="4814" spans="1:26" ht="12.75">
      <c r="A4814" s="11">
        <v>43747.105740740742</v>
      </c>
      <c r="B4814" s="12" t="str">
        <f>HYPERLINK("https://twitter.com/kaya__selcuk","@kaya__selcuk")</f>
        <v>@kaya__selcuk</v>
      </c>
      <c r="C4814" s="7" t="s">
        <v>23516</v>
      </c>
      <c r="D4814" s="7" t="s">
        <v>23517</v>
      </c>
      <c r="E4814" s="12" t="str">
        <f>HYPERLINK("https://twitter.com/kaya__selcuk/status/1181864950182154240","1181864950182154240")</f>
        <v>1181864950182154240</v>
      </c>
      <c r="F4814" s="8"/>
      <c r="G4814" s="14" t="s">
        <v>23518</v>
      </c>
      <c r="H4814" s="8"/>
      <c r="I4814" s="15">
        <v>0</v>
      </c>
      <c r="J4814" s="15">
        <v>1</v>
      </c>
      <c r="K4814" s="12" t="str">
        <f>HYPERLINK("http://twitter.com/download/android","Twitter for Android")</f>
        <v>Twitter for Android</v>
      </c>
      <c r="L4814" s="16">
        <v>268</v>
      </c>
      <c r="M4814" s="16">
        <v>295</v>
      </c>
      <c r="N4814" s="16">
        <v>1</v>
      </c>
      <c r="O4814" s="17"/>
      <c r="P4814" s="18">
        <v>42390.418368055558</v>
      </c>
      <c r="Q4814" s="8" t="s">
        <v>200</v>
      </c>
      <c r="R4814" s="8" t="s">
        <v>23519</v>
      </c>
      <c r="S4814" s="8"/>
      <c r="T4814" s="8"/>
      <c r="U4814" s="19" t="str">
        <f>HYPERLINK("https://pbs.twimg.com/profile_images/875821650020847617/RoHF4Iao.jpg","View")</f>
        <v>View</v>
      </c>
      <c r="V4814" s="8"/>
      <c r="W4814" s="8"/>
      <c r="X4814" s="8"/>
      <c r="Y4814" s="8"/>
      <c r="Z4814" s="8"/>
    </row>
    <row r="4815" spans="1:26" ht="12.75">
      <c r="A4815" s="11">
        <v>43747.105729166666</v>
      </c>
      <c r="B4815" s="12" t="str">
        <f>HYPERLINK("https://twitter.com/Eczaci_Nilgun","@Eczaci_Nilgun")</f>
        <v>@Eczaci_Nilgun</v>
      </c>
      <c r="C4815" s="7" t="s">
        <v>23520</v>
      </c>
      <c r="D4815" s="7" t="s">
        <v>23521</v>
      </c>
      <c r="E4815" s="12" t="str">
        <f>HYPERLINK("https://twitter.com/Eczaci_Nilgun/status/1181864946298171392","1181864946298171392")</f>
        <v>1181864946298171392</v>
      </c>
      <c r="F4815" s="8"/>
      <c r="G4815" s="15"/>
      <c r="H4815" s="8"/>
      <c r="I4815" s="15">
        <v>0</v>
      </c>
      <c r="J4815" s="15">
        <v>0</v>
      </c>
      <c r="K4815" s="12" t="str">
        <f>HYPERLINK("https://mobile.twitter.com","Twitter Web App")</f>
        <v>Twitter Web App</v>
      </c>
      <c r="L4815" s="16">
        <v>1704</v>
      </c>
      <c r="M4815" s="16">
        <v>2722</v>
      </c>
      <c r="N4815" s="16">
        <v>4</v>
      </c>
      <c r="O4815" s="17"/>
      <c r="P4815" s="18">
        <v>40998.171574074076</v>
      </c>
      <c r="Q4815" s="7" t="s">
        <v>918</v>
      </c>
      <c r="R4815" s="7" t="s">
        <v>23522</v>
      </c>
      <c r="S4815" s="14" t="s">
        <v>23523</v>
      </c>
      <c r="T4815" s="8"/>
      <c r="U4815" s="19" t="str">
        <f>HYPERLINK("https://pbs.twimg.com/profile_images/905108255365623808/HeSpSr0w.jpg","View")</f>
        <v>View</v>
      </c>
      <c r="V4815" s="8"/>
      <c r="W4815" s="8"/>
      <c r="X4815" s="8"/>
      <c r="Y4815" s="8"/>
      <c r="Z4815" s="8"/>
    </row>
    <row r="4816" spans="1:26" ht="12.75">
      <c r="A4816" s="11">
        <v>43747.105729166666</v>
      </c>
      <c r="B4816" s="12" t="str">
        <f>HYPERLINK("https://twitter.com/RanSahip","@RanSahip")</f>
        <v>@RanSahip</v>
      </c>
      <c r="C4816" s="7" t="s">
        <v>23524</v>
      </c>
      <c r="D4816" s="7" t="s">
        <v>23525</v>
      </c>
      <c r="E4816" s="12" t="str">
        <f>HYPERLINK("https://twitter.com/RanSahip/status/1181864944683376640","1181864944683376640")</f>
        <v>1181864944683376640</v>
      </c>
      <c r="F4816" s="8"/>
      <c r="G4816" s="15"/>
      <c r="H4816" s="8"/>
      <c r="I4816" s="15">
        <v>0</v>
      </c>
      <c r="J4816" s="15">
        <v>0</v>
      </c>
      <c r="K4816" s="12" t="str">
        <f>HYPERLINK("http://twitter.com/download/android","Twitter for Android")</f>
        <v>Twitter for Android</v>
      </c>
      <c r="L4816" s="16">
        <v>219</v>
      </c>
      <c r="M4816" s="16">
        <v>390</v>
      </c>
      <c r="N4816" s="16">
        <v>0</v>
      </c>
      <c r="O4816" s="17"/>
      <c r="P4816" s="18">
        <v>43239.448576388888</v>
      </c>
      <c r="Q4816" s="8"/>
      <c r="R4816" s="7"/>
      <c r="S4816" s="8"/>
      <c r="T4816" s="8"/>
      <c r="U4816" s="19" t="str">
        <f>HYPERLINK("https://pbs.twimg.com/profile_images/997900739866394624/nFo7V-g5.jpg","View")</f>
        <v>View</v>
      </c>
      <c r="V4816" s="8"/>
      <c r="W4816" s="8"/>
      <c r="X4816" s="8"/>
      <c r="Y4816" s="8"/>
      <c r="Z4816" s="8"/>
    </row>
    <row r="4817" spans="1:26" ht="12.75">
      <c r="A4817" s="11">
        <v>43747.105729166666</v>
      </c>
      <c r="B4817" s="12" t="str">
        <f>HYPERLINK("https://twitter.com/onuryldiz901","@onuryldiz901")</f>
        <v>@onuryldiz901</v>
      </c>
      <c r="C4817" s="7" t="s">
        <v>23526</v>
      </c>
      <c r="D4817" s="7" t="s">
        <v>23527</v>
      </c>
      <c r="E4817" s="12" t="str">
        <f>HYPERLINK("https://twitter.com/onuryldiz901/status/1181864943894839297","1181864943894839297")</f>
        <v>1181864943894839297</v>
      </c>
      <c r="F4817" s="8"/>
      <c r="G4817" s="8"/>
      <c r="H4817" s="8"/>
      <c r="I4817" s="15">
        <v>0</v>
      </c>
      <c r="J4817" s="15">
        <v>0</v>
      </c>
      <c r="K4817" s="12" t="str">
        <f>HYPERLINK("http://twitter.com/download/iphone","Twitter for iPhone")</f>
        <v>Twitter for iPhone</v>
      </c>
      <c r="L4817" s="16">
        <v>25</v>
      </c>
      <c r="M4817" s="16">
        <v>61</v>
      </c>
      <c r="N4817" s="16">
        <v>0</v>
      </c>
      <c r="O4817" s="17"/>
      <c r="P4817" s="18">
        <v>41991.409259259264</v>
      </c>
      <c r="Q4817" s="7"/>
      <c r="R4817" s="7"/>
      <c r="S4817" s="8"/>
      <c r="T4817" s="8"/>
      <c r="U4817" s="19" t="str">
        <f>HYPERLINK("https://pbs.twimg.com/profile_images/1125497693168644097/ri123tra.jpg","View")</f>
        <v>View</v>
      </c>
      <c r="V4817" s="8"/>
      <c r="W4817" s="8"/>
      <c r="X4817" s="8"/>
      <c r="Y4817" s="8"/>
      <c r="Z4817" s="8"/>
    </row>
    <row r="4818" spans="1:26" ht="12.75">
      <c r="A4818" s="11">
        <v>43747.105729166666</v>
      </c>
      <c r="B4818" s="12" t="str">
        <f>HYPERLINK("https://twitter.com/y_emre10ac","@y_emre10ac")</f>
        <v>@y_emre10ac</v>
      </c>
      <c r="C4818" s="7" t="s">
        <v>16404</v>
      </c>
      <c r="D4818" s="7" t="s">
        <v>23528</v>
      </c>
      <c r="E4818" s="12" t="str">
        <f>HYPERLINK("https://twitter.com/y_emre10ac/status/1181864943479672834","1181864943479672834")</f>
        <v>1181864943479672834</v>
      </c>
      <c r="F4818" s="8"/>
      <c r="G4818" s="14" t="s">
        <v>23529</v>
      </c>
      <c r="H4818" s="8"/>
      <c r="I4818" s="15">
        <v>0</v>
      </c>
      <c r="J4818" s="15">
        <v>0</v>
      </c>
      <c r="K4818" s="12" t="str">
        <f>HYPERLINK("http://twitter.com/download/android","Twitter for Android")</f>
        <v>Twitter for Android</v>
      </c>
      <c r="L4818" s="16">
        <v>184</v>
      </c>
      <c r="M4818" s="16">
        <v>215</v>
      </c>
      <c r="N4818" s="16">
        <v>0</v>
      </c>
      <c r="O4818" s="17"/>
      <c r="P4818" s="18">
        <v>43096.587094907409</v>
      </c>
      <c r="Q4818" s="8" t="s">
        <v>80</v>
      </c>
      <c r="R4818" s="7" t="s">
        <v>23530</v>
      </c>
      <c r="S4818" s="8"/>
      <c r="T4818" s="8"/>
      <c r="U4818" s="19" t="str">
        <f>HYPERLINK("https://pbs.twimg.com/profile_images/1172499232907046912/uK-9eNuM.jpg","View")</f>
        <v>View</v>
      </c>
      <c r="V4818" s="8"/>
      <c r="W4818" s="8"/>
      <c r="X4818" s="8"/>
      <c r="Y4818" s="8"/>
      <c r="Z4818" s="8"/>
    </row>
    <row r="4819" spans="1:26" ht="12.75">
      <c r="A4819" s="11">
        <v>43747.105694444443</v>
      </c>
      <c r="B4819" s="12" t="str">
        <f>HYPERLINK("https://twitter.com/apriyork","@apriyork")</f>
        <v>@apriyork</v>
      </c>
      <c r="C4819" s="7" t="s">
        <v>23531</v>
      </c>
      <c r="D4819" s="7" t="s">
        <v>23532</v>
      </c>
      <c r="E4819" s="12" t="str">
        <f>HYPERLINK("https://twitter.com/apriyork/status/1181864932876439552","1181864932876439552")</f>
        <v>1181864932876439552</v>
      </c>
      <c r="F4819" s="8"/>
      <c r="G4819" s="14" t="s">
        <v>23533</v>
      </c>
      <c r="H4819" s="8"/>
      <c r="I4819" s="15">
        <v>1</v>
      </c>
      <c r="J4819" s="15">
        <v>8</v>
      </c>
      <c r="K4819" s="12" t="str">
        <f>HYPERLINK("http://twitter.com/download/android","Twitter for Android")</f>
        <v>Twitter for Android</v>
      </c>
      <c r="L4819" s="16">
        <v>3135</v>
      </c>
      <c r="M4819" s="16">
        <v>3035</v>
      </c>
      <c r="N4819" s="16">
        <v>3</v>
      </c>
      <c r="O4819" s="17"/>
      <c r="P4819" s="18">
        <v>40753.44630787037</v>
      </c>
      <c r="Q4819" s="7" t="s">
        <v>23534</v>
      </c>
      <c r="R4819" s="7" t="s">
        <v>23535</v>
      </c>
      <c r="S4819" s="14" t="s">
        <v>23536</v>
      </c>
      <c r="T4819" s="8"/>
      <c r="U4819" s="19" t="str">
        <f>HYPERLINK("https://pbs.twimg.com/profile_images/1181781315613540353/Z6xXrmqc.jpg","View")</f>
        <v>View</v>
      </c>
      <c r="V4819" s="8"/>
      <c r="W4819" s="8"/>
      <c r="X4819" s="8"/>
      <c r="Y4819" s="8"/>
      <c r="Z4819" s="8"/>
    </row>
    <row r="4820" spans="1:26" ht="12.75">
      <c r="A4820" s="11">
        <v>43747.105682870373</v>
      </c>
      <c r="B4820" s="12" t="str">
        <f>HYPERLINK("https://twitter.com/CubukcuTurker","@CubukcuTurker")</f>
        <v>@CubukcuTurker</v>
      </c>
      <c r="C4820" s="7" t="s">
        <v>23537</v>
      </c>
      <c r="D4820" s="7" t="s">
        <v>160</v>
      </c>
      <c r="E4820" s="12" t="str">
        <f>HYPERLINK("https://twitter.com/CubukcuTurker/status/1181864926899511296","1181864926899511296")</f>
        <v>1181864926899511296</v>
      </c>
      <c r="F4820" s="14" t="s">
        <v>23538</v>
      </c>
      <c r="G4820" s="14" t="s">
        <v>23539</v>
      </c>
      <c r="H4820" s="8"/>
      <c r="I4820" s="15">
        <v>0</v>
      </c>
      <c r="J4820" s="15">
        <v>0</v>
      </c>
      <c r="K4820" s="12" t="str">
        <f>HYPERLINK("http://twitter.com/download/android","Twitter for Android")</f>
        <v>Twitter for Android</v>
      </c>
      <c r="L4820" s="16">
        <v>44</v>
      </c>
      <c r="M4820" s="16">
        <v>88</v>
      </c>
      <c r="N4820" s="16">
        <v>0</v>
      </c>
      <c r="O4820" s="17"/>
      <c r="P4820" s="18">
        <v>43328.846238425926</v>
      </c>
      <c r="Q4820" s="8" t="s">
        <v>69</v>
      </c>
      <c r="R4820" s="7" t="s">
        <v>23540</v>
      </c>
      <c r="S4820" s="8"/>
      <c r="T4820" s="8"/>
      <c r="U4820" s="19" t="str">
        <f>HYPERLINK("https://pbs.twimg.com/profile_images/1164638629819572231/NdlyMOCO.jpg","View")</f>
        <v>View</v>
      </c>
      <c r="V4820" s="8"/>
      <c r="W4820" s="8"/>
      <c r="X4820" s="8"/>
      <c r="Y4820" s="8"/>
      <c r="Z4820" s="8"/>
    </row>
    <row r="4821" spans="1:26" ht="12.75">
      <c r="A4821" s="11">
        <v>43747.105636574073</v>
      </c>
      <c r="B4821" s="12" t="str">
        <f>HYPERLINK("https://twitter.com/karabudundan","@karabudundan")</f>
        <v>@karabudundan</v>
      </c>
      <c r="C4821" s="7" t="s">
        <v>23541</v>
      </c>
      <c r="D4821" s="7" t="s">
        <v>23542</v>
      </c>
      <c r="E4821" s="12" t="str">
        <f>HYPERLINK("https://twitter.com/karabudundan/status/1181864911015743488","1181864911015743488")</f>
        <v>1181864911015743488</v>
      </c>
      <c r="F4821" s="8"/>
      <c r="G4821" s="14" t="s">
        <v>23543</v>
      </c>
      <c r="H4821" s="8"/>
      <c r="I4821" s="15">
        <v>0</v>
      </c>
      <c r="J4821" s="15">
        <v>0</v>
      </c>
      <c r="K4821" s="12" t="str">
        <f>HYPERLINK("https://mobile.twitter.com","Twitter Web App")</f>
        <v>Twitter Web App</v>
      </c>
      <c r="L4821" s="16">
        <v>140</v>
      </c>
      <c r="M4821" s="16">
        <v>137</v>
      </c>
      <c r="N4821" s="16">
        <v>0</v>
      </c>
      <c r="O4821" s="17"/>
      <c r="P4821" s="18">
        <v>43320.104988425926</v>
      </c>
      <c r="Q4821" s="7"/>
      <c r="R4821" s="7" t="s">
        <v>23544</v>
      </c>
      <c r="S4821" s="8"/>
      <c r="T4821" s="8"/>
      <c r="U4821" s="19" t="str">
        <f>HYPERLINK("https://pbs.twimg.com/profile_images/1133674877020459009/wLuRoopg.png","View")</f>
        <v>View</v>
      </c>
      <c r="V4821" s="8"/>
      <c r="W4821" s="8"/>
      <c r="X4821" s="8"/>
      <c r="Y4821" s="8"/>
      <c r="Z4821" s="8"/>
    </row>
    <row r="4822" spans="1:26" ht="12.75">
      <c r="A4822" s="11">
        <v>43747.105613425927</v>
      </c>
      <c r="B4822" s="12" t="str">
        <f>HYPERLINK("https://twitter.com/YaseminHan10","@YaseminHan10")</f>
        <v>@YaseminHan10</v>
      </c>
      <c r="C4822" s="7" t="s">
        <v>23545</v>
      </c>
      <c r="D4822" s="7" t="s">
        <v>4284</v>
      </c>
      <c r="E4822" s="12" t="str">
        <f>HYPERLINK("https://twitter.com/YaseminHan10/status/1181864904984276992","1181864904984276992")</f>
        <v>1181864904984276992</v>
      </c>
      <c r="F4822" s="8"/>
      <c r="G4822" s="14" t="s">
        <v>23546</v>
      </c>
      <c r="H4822" s="8"/>
      <c r="I4822" s="15">
        <v>1</v>
      </c>
      <c r="J4822" s="15">
        <v>11</v>
      </c>
      <c r="K4822" s="12" t="str">
        <f>HYPERLINK("http://twitter.com/download/android","Twitter for Android")</f>
        <v>Twitter for Android</v>
      </c>
      <c r="L4822" s="16">
        <v>1072</v>
      </c>
      <c r="M4822" s="16">
        <v>1280</v>
      </c>
      <c r="N4822" s="16">
        <v>0</v>
      </c>
      <c r="O4822" s="17"/>
      <c r="P4822" s="18">
        <v>42459.690034722225</v>
      </c>
      <c r="Q4822" s="7" t="s">
        <v>21486</v>
      </c>
      <c r="R4822" s="7" t="s">
        <v>23547</v>
      </c>
      <c r="S4822" s="8"/>
      <c r="T4822" s="8"/>
      <c r="U4822" s="19" t="str">
        <f>HYPERLINK("https://pbs.twimg.com/profile_images/1154523019655729155/Ah1912bw.jpg","View")</f>
        <v>View</v>
      </c>
      <c r="V4822" s="8"/>
      <c r="W4822" s="8"/>
      <c r="X4822" s="8"/>
      <c r="Y4822" s="8"/>
      <c r="Z4822" s="8"/>
    </row>
    <row r="4823" spans="1:26" ht="12.75">
      <c r="A4823" s="11">
        <v>43747.105613425927</v>
      </c>
      <c r="B4823" s="12" t="str">
        <f>HYPERLINK("https://twitter.com/devTurk1461","@devTurk1461")</f>
        <v>@devTurk1461</v>
      </c>
      <c r="C4823" s="7" t="s">
        <v>23548</v>
      </c>
      <c r="D4823" s="7" t="s">
        <v>160</v>
      </c>
      <c r="E4823" s="12" t="str">
        <f>HYPERLINK("https://twitter.com/devTurk1461/status/1181864903398825984","1181864903398825984")</f>
        <v>1181864903398825984</v>
      </c>
      <c r="F4823" s="8"/>
      <c r="G4823" s="8"/>
      <c r="H4823" s="8"/>
      <c r="I4823" s="15">
        <v>0</v>
      </c>
      <c r="J4823" s="15">
        <v>0</v>
      </c>
      <c r="K4823" s="12" t="str">
        <f>HYPERLINK("http://twitter.com/download/iphone","Twitter for iPhone")</f>
        <v>Twitter for iPhone</v>
      </c>
      <c r="L4823" s="16">
        <v>2529</v>
      </c>
      <c r="M4823" s="16">
        <v>1370</v>
      </c>
      <c r="N4823" s="16">
        <v>4</v>
      </c>
      <c r="O4823" s="17"/>
      <c r="P4823" s="18">
        <v>42123.167175925926</v>
      </c>
      <c r="Q4823" s="8" t="s">
        <v>200</v>
      </c>
      <c r="R4823" s="8" t="s">
        <v>23549</v>
      </c>
      <c r="S4823" s="8"/>
      <c r="T4823" s="8"/>
      <c r="U4823" s="19" t="str">
        <f>HYPERLINK("https://pbs.twimg.com/profile_images/1151063922784526336/WotCu8yy.jpg","View")</f>
        <v>View</v>
      </c>
      <c r="V4823" s="8"/>
      <c r="W4823" s="8"/>
      <c r="X4823" s="8"/>
      <c r="Y4823" s="8"/>
      <c r="Z4823" s="8"/>
    </row>
    <row r="4824" spans="1:26" ht="12.75">
      <c r="A4824" s="11">
        <v>43747.105590277773</v>
      </c>
      <c r="B4824" s="12" t="str">
        <f>HYPERLINK("https://twitter.com/ARZUTOPKAYA","@ARZUTOPKAYA")</f>
        <v>@ARZUTOPKAYA</v>
      </c>
      <c r="C4824" s="7" t="s">
        <v>23550</v>
      </c>
      <c r="D4824" s="7" t="s">
        <v>23551</v>
      </c>
      <c r="E4824" s="12" t="str">
        <f>HYPERLINK("https://twitter.com/ARZUTOPKAYA/status/1181864893013790721","1181864893013790721")</f>
        <v>1181864893013790721</v>
      </c>
      <c r="F4824" s="14" t="s">
        <v>23185</v>
      </c>
      <c r="G4824" s="14" t="s">
        <v>23186</v>
      </c>
      <c r="H4824" s="8"/>
      <c r="I4824" s="15">
        <v>3</v>
      </c>
      <c r="J4824" s="15">
        <v>8</v>
      </c>
      <c r="K4824" s="12" t="str">
        <f>HYPERLINK("http://twitter.com/download/android","Twitter for Android")</f>
        <v>Twitter for Android</v>
      </c>
      <c r="L4824" s="16">
        <v>4417</v>
      </c>
      <c r="M4824" s="16">
        <v>5001</v>
      </c>
      <c r="N4824" s="16">
        <v>12</v>
      </c>
      <c r="O4824" s="17"/>
      <c r="P4824" s="18">
        <v>41044.168599537035</v>
      </c>
      <c r="Q4824" s="7"/>
      <c r="R4824" s="7" t="s">
        <v>23552</v>
      </c>
      <c r="S4824" s="8"/>
      <c r="T4824" s="8"/>
      <c r="U4824" s="19" t="str">
        <f>HYPERLINK("https://pbs.twimg.com/profile_images/1180920210674651136/Dru9Nk9H.jpg","View")</f>
        <v>View</v>
      </c>
      <c r="V4824" s="8"/>
      <c r="W4824" s="8"/>
      <c r="X4824" s="8"/>
      <c r="Y4824" s="8"/>
      <c r="Z4824" s="8"/>
    </row>
    <row r="4825" spans="1:26" ht="12.75">
      <c r="A4825" s="11">
        <v>43747.105543981481</v>
      </c>
      <c r="B4825" s="12" t="str">
        <f>HYPERLINK("https://twitter.com/serkancetintas2","@serkancetintas2")</f>
        <v>@serkancetintas2</v>
      </c>
      <c r="C4825" s="7" t="s">
        <v>23553</v>
      </c>
      <c r="D4825" s="7" t="s">
        <v>13923</v>
      </c>
      <c r="E4825" s="12" t="str">
        <f>HYPERLINK("https://twitter.com/serkancetintas2/status/1181864877729701888","1181864877729701888")</f>
        <v>1181864877729701888</v>
      </c>
      <c r="F4825" s="8"/>
      <c r="G4825" s="14" t="s">
        <v>23554</v>
      </c>
      <c r="H4825" s="8"/>
      <c r="I4825" s="15">
        <v>0</v>
      </c>
      <c r="J4825" s="15">
        <v>5</v>
      </c>
      <c r="K4825" s="12" t="str">
        <f>HYPERLINK("http://twitter.com/download/iphone","Twitter for iPhone")</f>
        <v>Twitter for iPhone</v>
      </c>
      <c r="L4825" s="16">
        <v>327</v>
      </c>
      <c r="M4825" s="16">
        <v>152</v>
      </c>
      <c r="N4825" s="16">
        <v>1</v>
      </c>
      <c r="O4825" s="17"/>
      <c r="P4825" s="18">
        <v>41883.16611111111</v>
      </c>
      <c r="Q4825" s="8"/>
      <c r="R4825" s="7" t="s">
        <v>23555</v>
      </c>
      <c r="S4825" s="8"/>
      <c r="T4825" s="8"/>
      <c r="U4825" s="19" t="str">
        <f>HYPERLINK("https://pbs.twimg.com/profile_images/1069989345103396864/W67zKtZq.jpg","View")</f>
        <v>View</v>
      </c>
      <c r="V4825" s="8"/>
      <c r="W4825" s="8"/>
      <c r="X4825" s="8"/>
      <c r="Y4825" s="8"/>
      <c r="Z4825" s="8"/>
    </row>
    <row r="4826" spans="1:26" ht="12.75">
      <c r="A4826" s="11">
        <v>43747.105532407411</v>
      </c>
      <c r="B4826" s="12" t="str">
        <f>HYPERLINK("https://twitter.com/Eeeee55304787","@Eeeee55304787")</f>
        <v>@Eeeee55304787</v>
      </c>
      <c r="C4826" s="7" t="s">
        <v>23556</v>
      </c>
      <c r="D4826" s="7" t="s">
        <v>23557</v>
      </c>
      <c r="E4826" s="12" t="str">
        <f>HYPERLINK("https://twitter.com/Eeeee55304787/status/1181864874458128385","1181864874458128385")</f>
        <v>1181864874458128385</v>
      </c>
      <c r="F4826" s="8"/>
      <c r="G4826" s="8"/>
      <c r="H4826" s="8"/>
      <c r="I4826" s="15">
        <v>0</v>
      </c>
      <c r="J4826" s="15">
        <v>0</v>
      </c>
      <c r="K4826" s="12" t="str">
        <f>HYPERLINK("http://twitter.com/download/android","Twitter for Android")</f>
        <v>Twitter for Android</v>
      </c>
      <c r="L4826" s="16">
        <v>35</v>
      </c>
      <c r="M4826" s="16">
        <v>109</v>
      </c>
      <c r="N4826" s="16">
        <v>0</v>
      </c>
      <c r="O4826" s="17"/>
      <c r="P4826" s="18">
        <v>43676.188923611116</v>
      </c>
      <c r="Q4826" s="8"/>
      <c r="R4826" s="8"/>
      <c r="S4826" s="8"/>
      <c r="T4826" s="8"/>
      <c r="U4826" s="19" t="str">
        <f>HYPERLINK("https://pbs.twimg.com/profile_images/1167582159374299136/Rshca_Y7.jpg","View")</f>
        <v>View</v>
      </c>
      <c r="V4826" s="8"/>
      <c r="W4826" s="8"/>
      <c r="X4826" s="8"/>
      <c r="Y4826" s="8"/>
      <c r="Z4826" s="8"/>
    </row>
    <row r="4827" spans="1:26" ht="12.75">
      <c r="A4827" s="11">
        <v>43747.105520833335</v>
      </c>
      <c r="B4827" s="12" t="str">
        <f>HYPERLINK("https://twitter.com/adnanalioglu","@adnanalioglu")</f>
        <v>@adnanalioglu</v>
      </c>
      <c r="C4827" s="7" t="s">
        <v>23558</v>
      </c>
      <c r="D4827" s="7" t="s">
        <v>23559</v>
      </c>
      <c r="E4827" s="12" t="str">
        <f>HYPERLINK("https://twitter.com/adnanalioglu/status/1181864870557421568","1181864870557421568")</f>
        <v>1181864870557421568</v>
      </c>
      <c r="F4827" s="8"/>
      <c r="G4827" s="15"/>
      <c r="H4827" s="8"/>
      <c r="I4827" s="15">
        <v>1</v>
      </c>
      <c r="J4827" s="15">
        <v>5</v>
      </c>
      <c r="K4827" s="12" t="str">
        <f>HYPERLINK("https://mobile.twitter.com","Twitter Web App")</f>
        <v>Twitter Web App</v>
      </c>
      <c r="L4827" s="16">
        <v>612</v>
      </c>
      <c r="M4827" s="16">
        <v>436</v>
      </c>
      <c r="N4827" s="16">
        <v>1</v>
      </c>
      <c r="O4827" s="17"/>
      <c r="P4827" s="18">
        <v>41599.229178240741</v>
      </c>
      <c r="Q4827" s="8" t="s">
        <v>576</v>
      </c>
      <c r="R4827" s="7" t="s">
        <v>23560</v>
      </c>
      <c r="S4827" s="14" t="s">
        <v>23561</v>
      </c>
      <c r="T4827" s="8"/>
      <c r="U4827" s="19" t="str">
        <f>HYPERLINK("https://pbs.twimg.com/profile_images/1163844292093329413/EScPVLAL.jpg","View")</f>
        <v>View</v>
      </c>
      <c r="V4827" s="8"/>
      <c r="W4827" s="8"/>
      <c r="X4827" s="8"/>
      <c r="Y4827" s="8"/>
      <c r="Z4827" s="8"/>
    </row>
    <row r="4828" spans="1:26" ht="12.75">
      <c r="A4828" s="11">
        <v>43747.105509259258</v>
      </c>
      <c r="B4828" s="12" t="str">
        <f>HYPERLINK("https://twitter.com/ha_Saan","@ha_Saan")</f>
        <v>@ha_Saan</v>
      </c>
      <c r="C4828" s="7" t="s">
        <v>10992</v>
      </c>
      <c r="D4828" s="7" t="s">
        <v>23562</v>
      </c>
      <c r="E4828" s="12" t="str">
        <f>HYPERLINK("https://twitter.com/ha_Saan/status/1181864866623168513","1181864866623168513")</f>
        <v>1181864866623168513</v>
      </c>
      <c r="F4828" s="8"/>
      <c r="G4828" s="14" t="s">
        <v>23563</v>
      </c>
      <c r="H4828" s="8"/>
      <c r="I4828" s="15">
        <v>0</v>
      </c>
      <c r="J4828" s="15">
        <v>1</v>
      </c>
      <c r="K4828" s="12" t="str">
        <f>HYPERLINK("http://twitter.com/download/android","Twitter for Android")</f>
        <v>Twitter for Android</v>
      </c>
      <c r="L4828" s="16">
        <v>226</v>
      </c>
      <c r="M4828" s="16">
        <v>417</v>
      </c>
      <c r="N4828" s="16">
        <v>1</v>
      </c>
      <c r="O4828" s="17"/>
      <c r="P4828" s="18">
        <v>40239.335706018523</v>
      </c>
      <c r="Q4828" s="8" t="s">
        <v>16878</v>
      </c>
      <c r="R4828" s="7" t="s">
        <v>23564</v>
      </c>
      <c r="S4828" s="8"/>
      <c r="T4828" s="8"/>
      <c r="U4828" s="19" t="str">
        <f>HYPERLINK("https://pbs.twimg.com/profile_images/1122472771022413825/iP06X3jS.jpg","View")</f>
        <v>View</v>
      </c>
      <c r="V4828" s="8"/>
      <c r="W4828" s="8"/>
      <c r="X4828" s="8"/>
      <c r="Y4828" s="8"/>
      <c r="Z4828" s="8"/>
    </row>
    <row r="4829" spans="1:26" ht="12.75">
      <c r="A4829" s="11">
        <v>43747.105509259258</v>
      </c>
      <c r="B4829" s="12" t="str">
        <f>HYPERLINK("https://twitter.com/orayaensongiden","@orayaensongiden")</f>
        <v>@orayaensongiden</v>
      </c>
      <c r="C4829" s="7" t="s">
        <v>23565</v>
      </c>
      <c r="D4829" s="7" t="s">
        <v>23566</v>
      </c>
      <c r="E4829" s="12" t="str">
        <f>HYPERLINK("https://twitter.com/orayaensongiden/status/1181864865738174465","1181864865738174465")</f>
        <v>1181864865738174465</v>
      </c>
      <c r="F4829" s="8"/>
      <c r="G4829" s="15"/>
      <c r="H4829" s="8"/>
      <c r="I4829" s="15">
        <v>0</v>
      </c>
      <c r="J4829" s="15">
        <v>1</v>
      </c>
      <c r="K4829" s="12" t="str">
        <f>HYPERLINK("http://twitter.com/download/iphone","Twitter for iPhone")</f>
        <v>Twitter for iPhone</v>
      </c>
      <c r="L4829" s="16">
        <v>505</v>
      </c>
      <c r="M4829" s="16">
        <v>2029</v>
      </c>
      <c r="N4829" s="16">
        <v>0</v>
      </c>
      <c r="O4829" s="17"/>
      <c r="P4829" s="18">
        <v>42705.682557870372</v>
      </c>
      <c r="Q4829" s="8" t="s">
        <v>313</v>
      </c>
      <c r="R4829" s="8" t="s">
        <v>23567</v>
      </c>
      <c r="S4829" s="14" t="s">
        <v>23568</v>
      </c>
      <c r="T4829" s="8"/>
      <c r="U4829" s="19" t="str">
        <f>HYPERLINK("https://pbs.twimg.com/profile_images/1057603276382896131/luBp0FQk.jpg","View")</f>
        <v>View</v>
      </c>
      <c r="V4829" s="8"/>
      <c r="W4829" s="8"/>
      <c r="X4829" s="8"/>
      <c r="Y4829" s="8"/>
      <c r="Z4829" s="8"/>
    </row>
    <row r="4830" spans="1:26" ht="12.75">
      <c r="A4830" s="11">
        <v>43747.105428240742</v>
      </c>
      <c r="B4830" s="12" t="str">
        <f>HYPERLINK("https://twitter.com/kursatturksanli","@kursatturksanli")</f>
        <v>@kursatturksanli</v>
      </c>
      <c r="C4830" s="7" t="s">
        <v>23569</v>
      </c>
      <c r="D4830" s="7" t="s">
        <v>23570</v>
      </c>
      <c r="E4830" s="12" t="str">
        <f>HYPERLINK("https://twitter.com/kursatturksanli/status/1181864834478071808","1181864834478071808")</f>
        <v>1181864834478071808</v>
      </c>
      <c r="F4830" s="8"/>
      <c r="G4830" s="14" t="s">
        <v>23571</v>
      </c>
      <c r="H4830" s="8"/>
      <c r="I4830" s="15">
        <v>0</v>
      </c>
      <c r="J4830" s="15">
        <v>1</v>
      </c>
      <c r="K4830" s="12" t="str">
        <f>HYPERLINK("http://twitter.com/download/android","Twitter for Android")</f>
        <v>Twitter for Android</v>
      </c>
      <c r="L4830" s="16">
        <v>15</v>
      </c>
      <c r="M4830" s="16">
        <v>58</v>
      </c>
      <c r="N4830" s="16">
        <v>0</v>
      </c>
      <c r="O4830" s="17"/>
      <c r="P4830" s="18">
        <v>42422.420914351853</v>
      </c>
      <c r="Q4830" s="7"/>
      <c r="R4830" s="7"/>
      <c r="S4830" s="8"/>
      <c r="T4830" s="8"/>
      <c r="U4830" s="19" t="str">
        <f>HYPERLINK("https://pbs.twimg.com/profile_images/701832935935238144/vowVYqtl.jpg","View")</f>
        <v>View</v>
      </c>
      <c r="V4830" s="8"/>
      <c r="W4830" s="8"/>
      <c r="X4830" s="8"/>
      <c r="Y4830" s="8"/>
      <c r="Z4830" s="8"/>
    </row>
    <row r="4831" spans="1:26" ht="12.75">
      <c r="A4831" s="11">
        <v>43747.105416666665</v>
      </c>
      <c r="B4831" s="12" t="str">
        <f>HYPERLINK("https://twitter.com/AytumurTolga","@AytumurTolga")</f>
        <v>@AytumurTolga</v>
      </c>
      <c r="C4831" s="7" t="s">
        <v>23572</v>
      </c>
      <c r="D4831" s="7" t="s">
        <v>23573</v>
      </c>
      <c r="E4831" s="12" t="str">
        <f>HYPERLINK("https://twitter.com/AytumurTolga/status/1181864833639211009","1181864833639211009")</f>
        <v>1181864833639211009</v>
      </c>
      <c r="F4831" s="8"/>
      <c r="G4831" s="14" t="s">
        <v>23574</v>
      </c>
      <c r="H4831" s="8"/>
      <c r="I4831" s="15">
        <v>0</v>
      </c>
      <c r="J4831" s="15">
        <v>0</v>
      </c>
      <c r="K4831" s="12" t="str">
        <f>HYPERLINK("http://twitter.com/download/iphone","Twitter for iPhone")</f>
        <v>Twitter for iPhone</v>
      </c>
      <c r="L4831" s="16">
        <v>37</v>
      </c>
      <c r="M4831" s="16">
        <v>499</v>
      </c>
      <c r="N4831" s="16">
        <v>0</v>
      </c>
      <c r="O4831" s="17"/>
      <c r="P4831" s="18">
        <v>43133.461273148147</v>
      </c>
      <c r="Q4831" s="7" t="s">
        <v>8760</v>
      </c>
      <c r="R4831" s="7"/>
      <c r="S4831" s="8"/>
      <c r="T4831" s="8"/>
      <c r="U4831" s="19" t="str">
        <f>HYPERLINK("https://pbs.twimg.com/profile_images/959505975844720643/21A7p7l7.jpg","View")</f>
        <v>View</v>
      </c>
      <c r="V4831" s="8"/>
      <c r="W4831" s="8"/>
      <c r="X4831" s="8"/>
      <c r="Y4831" s="8"/>
      <c r="Z4831" s="8"/>
    </row>
    <row r="4832" spans="1:26" ht="12.75">
      <c r="A4832" s="11">
        <v>43747.105405092589</v>
      </c>
      <c r="B4832" s="12" t="str">
        <f>HYPERLINK("https://twitter.com/BekirAzad","@BekirAzad")</f>
        <v>@BekirAzad</v>
      </c>
      <c r="C4832" s="7" t="s">
        <v>23575</v>
      </c>
      <c r="D4832" s="7" t="s">
        <v>23576</v>
      </c>
      <c r="E4832" s="12" t="str">
        <f>HYPERLINK("https://twitter.com/BekirAzad/status/1181864827351908352","1181864827351908352")</f>
        <v>1181864827351908352</v>
      </c>
      <c r="F4832" s="14" t="s">
        <v>23577</v>
      </c>
      <c r="G4832" s="14" t="s">
        <v>23578</v>
      </c>
      <c r="H4832" s="8"/>
      <c r="I4832" s="15">
        <v>0</v>
      </c>
      <c r="J4832" s="15">
        <v>0</v>
      </c>
      <c r="K4832" s="12" t="str">
        <f>HYPERLINK("http://twitter.com/download/iphone","Twitter for iPhone")</f>
        <v>Twitter for iPhone</v>
      </c>
      <c r="L4832" s="16">
        <v>20</v>
      </c>
      <c r="M4832" s="16">
        <v>94</v>
      </c>
      <c r="N4832" s="16">
        <v>0</v>
      </c>
      <c r="O4832" s="17"/>
      <c r="P4832" s="18">
        <v>43339.307002314818</v>
      </c>
      <c r="Q4832" s="8" t="s">
        <v>69</v>
      </c>
      <c r="R4832" s="7" t="s">
        <v>23579</v>
      </c>
      <c r="S4832" s="8"/>
      <c r="T4832" s="8"/>
      <c r="U4832" s="19" t="str">
        <f>HYPERLINK("https://pbs.twimg.com/profile_images/1034084270036406273/Ok5N8MNg.jpg","View")</f>
        <v>View</v>
      </c>
      <c r="V4832" s="8"/>
      <c r="W4832" s="8"/>
      <c r="X4832" s="8"/>
      <c r="Y4832" s="8"/>
      <c r="Z4832" s="8"/>
    </row>
    <row r="4833" spans="1:26" ht="12.75">
      <c r="A4833" s="11">
        <v>43747.10538194445</v>
      </c>
      <c r="B4833" s="12" t="str">
        <f>HYPERLINK("https://twitter.com/sinanarc34","@sinanarc34")</f>
        <v>@sinanarc34</v>
      </c>
      <c r="C4833" s="7" t="s">
        <v>23580</v>
      </c>
      <c r="D4833" s="7" t="s">
        <v>23581</v>
      </c>
      <c r="E4833" s="12" t="str">
        <f>HYPERLINK("https://twitter.com/sinanarc34/status/1181864817600188416","1181864817600188416")</f>
        <v>1181864817600188416</v>
      </c>
      <c r="F4833" s="8"/>
      <c r="G4833" s="8"/>
      <c r="H4833" s="8"/>
      <c r="I4833" s="15">
        <v>0</v>
      </c>
      <c r="J4833" s="15">
        <v>1</v>
      </c>
      <c r="K4833" s="12" t="str">
        <f>HYPERLINK("http://twitter.com/download/android","Twitter for Android")</f>
        <v>Twitter for Android</v>
      </c>
      <c r="L4833" s="16">
        <v>269</v>
      </c>
      <c r="M4833" s="16">
        <v>211</v>
      </c>
      <c r="N4833" s="16">
        <v>0</v>
      </c>
      <c r="O4833" s="17"/>
      <c r="P4833" s="18">
        <v>41595.40042824074</v>
      </c>
      <c r="Q4833" s="7" t="s">
        <v>313</v>
      </c>
      <c r="R4833" s="7" t="s">
        <v>23582</v>
      </c>
      <c r="S4833" s="8"/>
      <c r="T4833" s="8"/>
      <c r="U4833" s="19" t="str">
        <f>HYPERLINK("https://pbs.twimg.com/profile_images/1171416483513163776/5ZfL5N3Q.jpg","View")</f>
        <v>View</v>
      </c>
      <c r="V4833" s="8"/>
      <c r="W4833" s="8"/>
      <c r="X4833" s="8"/>
      <c r="Y4833" s="8"/>
      <c r="Z4833" s="8"/>
    </row>
    <row r="4834" spans="1:26" ht="12.75">
      <c r="A4834" s="11">
        <v>43747.10533564815</v>
      </c>
      <c r="B4834" s="12" t="str">
        <f>HYPERLINK("https://twitter.com/yusufzemheri","@yusufzemheri")</f>
        <v>@yusufzemheri</v>
      </c>
      <c r="C4834" s="7" t="s">
        <v>23583</v>
      </c>
      <c r="D4834" s="7" t="s">
        <v>23584</v>
      </c>
      <c r="E4834" s="12" t="str">
        <f>HYPERLINK("https://twitter.com/yusufzemheri/status/1181864800462282753","1181864800462282753")</f>
        <v>1181864800462282753</v>
      </c>
      <c r="F4834" s="8"/>
      <c r="G4834" s="14" t="s">
        <v>23585</v>
      </c>
      <c r="H4834" s="8"/>
      <c r="I4834" s="15">
        <v>0</v>
      </c>
      <c r="J4834" s="15">
        <v>3</v>
      </c>
      <c r="K4834" s="12" t="str">
        <f>HYPERLINK("http://twitter.com/download/iphone","Twitter for iPhone")</f>
        <v>Twitter for iPhone</v>
      </c>
      <c r="L4834" s="16">
        <v>562</v>
      </c>
      <c r="M4834" s="16">
        <v>192</v>
      </c>
      <c r="N4834" s="16">
        <v>2</v>
      </c>
      <c r="O4834" s="17"/>
      <c r="P4834" s="18">
        <v>41154.189039351855</v>
      </c>
      <c r="Q4834" s="8"/>
      <c r="R4834" s="8"/>
      <c r="S4834" s="15"/>
      <c r="T4834" s="8"/>
      <c r="U4834" s="19" t="str">
        <f>HYPERLINK("https://pbs.twimg.com/profile_images/1166257271468449792/7f2t_9T6.jpg","View")</f>
        <v>View</v>
      </c>
      <c r="V4834" s="8"/>
      <c r="W4834" s="8"/>
      <c r="X4834" s="8"/>
      <c r="Y4834" s="8"/>
      <c r="Z4834" s="8"/>
    </row>
    <row r="4835" spans="1:26" ht="12.75">
      <c r="A4835" s="11">
        <v>43747.105312500003</v>
      </c>
      <c r="B4835" s="12" t="str">
        <f>HYPERLINK("https://twitter.com/deliligeovgu","@deliligeovgu")</f>
        <v>@deliligeovgu</v>
      </c>
      <c r="C4835" s="7" t="s">
        <v>23586</v>
      </c>
      <c r="D4835" s="7" t="s">
        <v>23587</v>
      </c>
      <c r="E4835" s="12" t="str">
        <f>HYPERLINK("https://twitter.com/deliligeovgu/status/1181864793097084928","1181864793097084928")</f>
        <v>1181864793097084928</v>
      </c>
      <c r="F4835" s="14" t="s">
        <v>23588</v>
      </c>
      <c r="G4835" s="8"/>
      <c r="H4835" s="8"/>
      <c r="I4835" s="15">
        <v>0</v>
      </c>
      <c r="J4835" s="15">
        <v>1</v>
      </c>
      <c r="K4835" s="12" t="str">
        <f>HYPERLINK("http://twitter.com/download/android","Twitter for Android")</f>
        <v>Twitter for Android</v>
      </c>
      <c r="L4835" s="16">
        <v>5661</v>
      </c>
      <c r="M4835" s="16">
        <v>1324</v>
      </c>
      <c r="N4835" s="16">
        <v>8</v>
      </c>
      <c r="O4835" s="17"/>
      <c r="P4835" s="18">
        <v>40307.392199074078</v>
      </c>
      <c r="Q4835" s="7"/>
      <c r="R4835" s="7"/>
      <c r="S4835" s="8"/>
      <c r="T4835" s="8"/>
      <c r="U4835" s="19" t="str">
        <f>HYPERLINK("https://pbs.twimg.com/profile_images/1143113161631051776/4K_k0JHL.jpg","View")</f>
        <v>View</v>
      </c>
      <c r="V4835" s="8"/>
      <c r="W4835" s="8"/>
      <c r="X4835" s="8"/>
      <c r="Y4835" s="8"/>
      <c r="Z4835" s="8"/>
    </row>
    <row r="4836" spans="1:26" ht="12.75">
      <c r="A4836" s="11">
        <v>43747.10528935185</v>
      </c>
      <c r="B4836" s="12" t="str">
        <f>HYPERLINK("https://twitter.com/Atay3437","@Atay3437")</f>
        <v>@Atay3437</v>
      </c>
      <c r="C4836" s="7" t="s">
        <v>23589</v>
      </c>
      <c r="D4836" s="7" t="s">
        <v>23590</v>
      </c>
      <c r="E4836" s="12" t="str">
        <f>HYPERLINK("https://twitter.com/Atay3437/status/1181864787342430209","1181864787342430209")</f>
        <v>1181864787342430209</v>
      </c>
      <c r="F4836" s="8"/>
      <c r="G4836" s="14" t="s">
        <v>23591</v>
      </c>
      <c r="H4836" s="8"/>
      <c r="I4836" s="15">
        <v>1</v>
      </c>
      <c r="J4836" s="15">
        <v>1</v>
      </c>
      <c r="K4836" s="12" t="str">
        <f>HYPERLINK("http://twitter.com/download/android","Twitter for Android")</f>
        <v>Twitter for Android</v>
      </c>
      <c r="L4836" s="16">
        <v>24020</v>
      </c>
      <c r="M4836" s="16">
        <v>19236</v>
      </c>
      <c r="N4836" s="16">
        <v>28</v>
      </c>
      <c r="O4836" s="17"/>
      <c r="P4836" s="18">
        <v>41834.753101851849</v>
      </c>
      <c r="Q4836" s="7" t="s">
        <v>1549</v>
      </c>
      <c r="R4836" s="7" t="s">
        <v>23592</v>
      </c>
      <c r="S4836" s="8"/>
      <c r="T4836" s="8"/>
      <c r="U4836" s="19" t="str">
        <f>HYPERLINK("https://pbs.twimg.com/profile_images/1151211484384571392/zLVA18JN.jpg","View")</f>
        <v>View</v>
      </c>
      <c r="V4836" s="8"/>
      <c r="W4836" s="8"/>
      <c r="X4836" s="8"/>
      <c r="Y4836" s="8"/>
      <c r="Z4836" s="8"/>
    </row>
    <row r="4837" spans="1:26" ht="12.75">
      <c r="A4837" s="11">
        <v>43747.10527777778</v>
      </c>
      <c r="B4837" s="12" t="str">
        <f>HYPERLINK("https://twitter.com/sakirkazdal","@sakirkazdal")</f>
        <v>@sakirkazdal</v>
      </c>
      <c r="C4837" s="7" t="s">
        <v>23593</v>
      </c>
      <c r="D4837" s="7" t="s">
        <v>23594</v>
      </c>
      <c r="E4837" s="12" t="str">
        <f>HYPERLINK("https://twitter.com/sakirkazdal/status/1181864782066044928","1181864782066044928")</f>
        <v>1181864782066044928</v>
      </c>
      <c r="F4837" s="14" t="s">
        <v>23595</v>
      </c>
      <c r="G4837" s="8"/>
      <c r="H4837" s="8"/>
      <c r="I4837" s="15">
        <v>0</v>
      </c>
      <c r="J4837" s="15">
        <v>0</v>
      </c>
      <c r="K4837" s="12" t="str">
        <f>HYPERLINK("http://twitter.com/download/iphone","Twitter for iPhone")</f>
        <v>Twitter for iPhone</v>
      </c>
      <c r="L4837" s="16">
        <v>335</v>
      </c>
      <c r="M4837" s="16">
        <v>501</v>
      </c>
      <c r="N4837" s="16">
        <v>1</v>
      </c>
      <c r="O4837" s="17"/>
      <c r="P4837" s="18">
        <v>41385.227233796293</v>
      </c>
      <c r="Q4837" s="8">
        <v>61</v>
      </c>
      <c r="R4837" s="8"/>
      <c r="S4837" s="8"/>
      <c r="T4837" s="8"/>
      <c r="U4837" s="19" t="str">
        <f>HYPERLINK("https://pbs.twimg.com/profile_images/1130754808426713094/5Y2ukOgh.jpg","View")</f>
        <v>View</v>
      </c>
      <c r="V4837" s="8"/>
      <c r="W4837" s="8"/>
      <c r="X4837" s="8"/>
      <c r="Y4837" s="8"/>
      <c r="Z4837" s="8"/>
    </row>
    <row r="4838" spans="1:26" ht="12.75">
      <c r="A4838" s="11">
        <v>43747.10527777778</v>
      </c>
      <c r="B4838" s="12" t="str">
        <f>HYPERLINK("https://twitter.com/SZDEL","@SZDEL")</f>
        <v>@SZDEL</v>
      </c>
      <c r="C4838" s="7" t="s">
        <v>23596</v>
      </c>
      <c r="D4838" s="7" t="s">
        <v>23597</v>
      </c>
      <c r="E4838" s="12" t="str">
        <f>HYPERLINK("https://twitter.com/SZDEL/status/1181864780270837760","1181864780270837760")</f>
        <v>1181864780270837760</v>
      </c>
      <c r="F4838" s="8"/>
      <c r="G4838" s="15"/>
      <c r="H4838" s="8"/>
      <c r="I4838" s="15">
        <v>0</v>
      </c>
      <c r="J4838" s="15">
        <v>0</v>
      </c>
      <c r="K4838" s="12" t="str">
        <f>HYPERLINK("https://mobile.twitter.com","Twitter Web App")</f>
        <v>Twitter Web App</v>
      </c>
      <c r="L4838" s="16">
        <v>8</v>
      </c>
      <c r="M4838" s="16">
        <v>9</v>
      </c>
      <c r="N4838" s="16">
        <v>0</v>
      </c>
      <c r="O4838" s="17"/>
      <c r="P4838" s="18">
        <v>40800.24150462963</v>
      </c>
      <c r="Q4838" s="7"/>
      <c r="R4838" s="7"/>
      <c r="S4838" s="8"/>
      <c r="T4838" s="8"/>
      <c r="U4838" s="20" t="s">
        <v>354</v>
      </c>
      <c r="V4838" s="8"/>
      <c r="W4838" s="8"/>
      <c r="X4838" s="8"/>
      <c r="Y4838" s="8"/>
      <c r="Z4838" s="8"/>
    </row>
    <row r="4839" spans="1:26" ht="12.75">
      <c r="A4839" s="11">
        <v>43747.105266203704</v>
      </c>
      <c r="B4839" s="12" t="str">
        <f>HYPERLINK("https://twitter.com/vatansever2357","@vatansever2357")</f>
        <v>@vatansever2357</v>
      </c>
      <c r="C4839" s="7" t="s">
        <v>23598</v>
      </c>
      <c r="D4839" s="7" t="s">
        <v>23599</v>
      </c>
      <c r="E4839" s="12" t="str">
        <f>HYPERLINK("https://twitter.com/vatansever2357/status/1181864777058066433","1181864777058066433")</f>
        <v>1181864777058066433</v>
      </c>
      <c r="F4839" s="8"/>
      <c r="G4839" s="15"/>
      <c r="H4839" s="8"/>
      <c r="I4839" s="15">
        <v>0</v>
      </c>
      <c r="J4839" s="15">
        <v>0</v>
      </c>
      <c r="K4839" s="12" t="str">
        <f>HYPERLINK("http://twitter.com/download/android","Twitter for Android")</f>
        <v>Twitter for Android</v>
      </c>
      <c r="L4839" s="16">
        <v>422</v>
      </c>
      <c r="M4839" s="16">
        <v>383</v>
      </c>
      <c r="N4839" s="16">
        <v>0</v>
      </c>
      <c r="O4839" s="17"/>
      <c r="P4839" s="18">
        <v>41497.593773148146</v>
      </c>
      <c r="Q4839" s="8" t="s">
        <v>918</v>
      </c>
      <c r="R4839" s="8" t="s">
        <v>23600</v>
      </c>
      <c r="S4839" s="8"/>
      <c r="T4839" s="8"/>
      <c r="U4839" s="19" t="str">
        <f>HYPERLINK("https://pbs.twimg.com/profile_images/887244112688287744/cXZ1qGm1.jpg","View")</f>
        <v>View</v>
      </c>
      <c r="V4839" s="8"/>
      <c r="W4839" s="8"/>
      <c r="X4839" s="8"/>
      <c r="Y4839" s="8"/>
      <c r="Z4839" s="8"/>
    </row>
    <row r="4840" spans="1:26" ht="12.75">
      <c r="A4840" s="11">
        <v>43747.105266203704</v>
      </c>
      <c r="B4840" s="12" t="str">
        <f>HYPERLINK("https://twitter.com/EmreBNGLi","@EmreBNGLi")</f>
        <v>@EmreBNGLi</v>
      </c>
      <c r="C4840" s="7" t="s">
        <v>23601</v>
      </c>
      <c r="D4840" s="7" t="s">
        <v>3552</v>
      </c>
      <c r="E4840" s="12" t="str">
        <f>HYPERLINK("https://twitter.com/EmreBNGLi/status/1181864776596631554","1181864776596631554")</f>
        <v>1181864776596631554</v>
      </c>
      <c r="F4840" s="15"/>
      <c r="G4840" s="14" t="s">
        <v>23602</v>
      </c>
      <c r="H4840" s="8"/>
      <c r="I4840" s="15">
        <v>0</v>
      </c>
      <c r="J4840" s="15">
        <v>2</v>
      </c>
      <c r="K4840" s="12" t="str">
        <f>HYPERLINK("http://twitter.com/download/iphone","Twitter for iPhone")</f>
        <v>Twitter for iPhone</v>
      </c>
      <c r="L4840" s="16">
        <v>553</v>
      </c>
      <c r="M4840" s="16">
        <v>506</v>
      </c>
      <c r="N4840" s="16">
        <v>0</v>
      </c>
      <c r="O4840" s="17"/>
      <c r="P4840" s="18">
        <v>41232.429976851854</v>
      </c>
      <c r="Q4840" s="7" t="s">
        <v>23603</v>
      </c>
      <c r="R4840" s="7" t="s">
        <v>23604</v>
      </c>
      <c r="S4840" s="14" t="s">
        <v>23605</v>
      </c>
      <c r="T4840" s="8"/>
      <c r="U4840" s="19" t="str">
        <f>HYPERLINK("https://pbs.twimg.com/profile_images/1129675658710458368/etRICdks.jpg","View")</f>
        <v>View</v>
      </c>
      <c r="V4840" s="8"/>
      <c r="W4840" s="8"/>
      <c r="X4840" s="8"/>
      <c r="Y4840" s="8"/>
      <c r="Z4840" s="8"/>
    </row>
    <row r="4841" spans="1:26" ht="12.75">
      <c r="A4841" s="11">
        <v>43747.105081018519</v>
      </c>
      <c r="B4841" s="12" t="str">
        <f>HYPERLINK("https://twitter.com/aybers","@aybers")</f>
        <v>@aybers</v>
      </c>
      <c r="C4841" s="7" t="s">
        <v>23606</v>
      </c>
      <c r="D4841" s="7" t="s">
        <v>23607</v>
      </c>
      <c r="E4841" s="12" t="str">
        <f>HYPERLINK("https://twitter.com/aybers/status/1181864711836639232","1181864711836639232")</f>
        <v>1181864711836639232</v>
      </c>
      <c r="F4841" s="8"/>
      <c r="G4841" s="14" t="s">
        <v>2632</v>
      </c>
      <c r="H4841" s="8"/>
      <c r="I4841" s="15">
        <v>130</v>
      </c>
      <c r="J4841" s="15">
        <v>260</v>
      </c>
      <c r="K4841" s="12" t="str">
        <f>HYPERLINK("https://mobile.twitter.com","Twitter Web App")</f>
        <v>Twitter Web App</v>
      </c>
      <c r="L4841" s="16">
        <v>9411</v>
      </c>
      <c r="M4841" s="16">
        <v>2522</v>
      </c>
      <c r="N4841" s="16">
        <v>19</v>
      </c>
      <c r="O4841" s="17" t="s">
        <v>984</v>
      </c>
      <c r="P4841" s="18">
        <v>40046.183854166666</v>
      </c>
      <c r="Q4841" s="7" t="s">
        <v>21007</v>
      </c>
      <c r="R4841" s="7" t="s">
        <v>23608</v>
      </c>
      <c r="S4841" s="14" t="s">
        <v>23609</v>
      </c>
      <c r="T4841" s="8"/>
      <c r="U4841" s="19" t="str">
        <f>HYPERLINK("https://pbs.twimg.com/profile_images/1178364203519893504/nSZqiQRl.jpg","View")</f>
        <v>View</v>
      </c>
      <c r="V4841" s="8"/>
      <c r="W4841" s="8"/>
      <c r="X4841" s="8"/>
      <c r="Y4841" s="8"/>
      <c r="Z4841" s="8"/>
    </row>
    <row r="4842" spans="1:26" ht="12.75">
      <c r="A4842" s="11">
        <v>43747.105081018519</v>
      </c>
      <c r="B4842" s="12" t="str">
        <f>HYPERLINK("https://twitter.com/emneedgn","@emneedgn")</f>
        <v>@emneedgn</v>
      </c>
      <c r="C4842" s="7" t="s">
        <v>23610</v>
      </c>
      <c r="D4842" s="7" t="s">
        <v>23611</v>
      </c>
      <c r="E4842" s="12" t="str">
        <f>HYPERLINK("https://twitter.com/emneedgn/status/1181864709139714048","1181864709139714048")</f>
        <v>1181864709139714048</v>
      </c>
      <c r="F4842" s="8"/>
      <c r="G4842" s="14" t="s">
        <v>23612</v>
      </c>
      <c r="H4842" s="8"/>
      <c r="I4842" s="15">
        <v>0</v>
      </c>
      <c r="J4842" s="15">
        <v>1</v>
      </c>
      <c r="K4842" s="12" t="str">
        <f>HYPERLINK("http://twitter.com/download/iphone","Twitter for iPhone")</f>
        <v>Twitter for iPhone</v>
      </c>
      <c r="L4842" s="16">
        <v>157</v>
      </c>
      <c r="M4842" s="16">
        <v>566</v>
      </c>
      <c r="N4842" s="16">
        <v>0</v>
      </c>
      <c r="O4842" s="17"/>
      <c r="P4842" s="18">
        <v>43375.387662037036</v>
      </c>
      <c r="Q4842" s="8" t="s">
        <v>313</v>
      </c>
      <c r="R4842" s="8" t="s">
        <v>23613</v>
      </c>
      <c r="S4842" s="8"/>
      <c r="T4842" s="8"/>
      <c r="U4842" s="19" t="str">
        <f>HYPERLINK("https://pbs.twimg.com/profile_images/1126958990003511297/l9OOXl7-.jpg","View")</f>
        <v>View</v>
      </c>
      <c r="V4842" s="8"/>
      <c r="W4842" s="8"/>
      <c r="X4842" s="8"/>
      <c r="Y4842" s="8"/>
      <c r="Z4842" s="8"/>
    </row>
    <row r="4843" spans="1:26" ht="12.75">
      <c r="A4843" s="11">
        <v>43747.105081018519</v>
      </c>
      <c r="B4843" s="12" t="str">
        <f>HYPERLINK("https://twitter.com/oz81139989","@oz81139989")</f>
        <v>@oz81139989</v>
      </c>
      <c r="C4843" s="7" t="s">
        <v>23614</v>
      </c>
      <c r="D4843" s="7" t="s">
        <v>23615</v>
      </c>
      <c r="E4843" s="12" t="str">
        <f>HYPERLINK("https://twitter.com/oz81139989/status/1181864708581797889","1181864708581797889")</f>
        <v>1181864708581797889</v>
      </c>
      <c r="F4843" s="8"/>
      <c r="G4843" s="14" t="s">
        <v>23616</v>
      </c>
      <c r="H4843" s="8"/>
      <c r="I4843" s="15">
        <v>3</v>
      </c>
      <c r="J4843" s="15">
        <v>6</v>
      </c>
      <c r="K4843" s="12" t="str">
        <f>HYPERLINK("http://twitter.com/download/iphone","Twitter for iPhone")</f>
        <v>Twitter for iPhone</v>
      </c>
      <c r="L4843" s="16">
        <v>0</v>
      </c>
      <c r="M4843" s="16">
        <v>3</v>
      </c>
      <c r="N4843" s="16">
        <v>0</v>
      </c>
      <c r="O4843" s="17"/>
      <c r="P4843" s="18">
        <v>43734.502557870372</v>
      </c>
      <c r="Q4843" s="8"/>
      <c r="R4843" s="7"/>
      <c r="S4843" s="8"/>
      <c r="T4843" s="8"/>
      <c r="U4843" s="19" t="str">
        <f>HYPERLINK("https://pbs.twimg.com/profile_images/1177297965385441281/6az0yPnY.jpg","View")</f>
        <v>View</v>
      </c>
      <c r="V4843" s="8"/>
      <c r="W4843" s="8"/>
      <c r="X4843" s="8"/>
      <c r="Y4843" s="8"/>
      <c r="Z4843" s="8"/>
    </row>
    <row r="4844" spans="1:26" ht="12.75">
      <c r="A4844" s="11">
        <v>43747.105057870373</v>
      </c>
      <c r="B4844" s="12" t="str">
        <f>HYPERLINK("https://twitter.com/Beyhude81901634","@Beyhude81901634")</f>
        <v>@Beyhude81901634</v>
      </c>
      <c r="C4844" s="7" t="s">
        <v>23617</v>
      </c>
      <c r="D4844" s="7" t="s">
        <v>23618</v>
      </c>
      <c r="E4844" s="12" t="str">
        <f>HYPERLINK("https://twitter.com/Beyhude81901634/status/1181864701308874753","1181864701308874753")</f>
        <v>1181864701308874753</v>
      </c>
      <c r="F4844" s="15"/>
      <c r="G4844" s="14" t="s">
        <v>23619</v>
      </c>
      <c r="H4844" s="8"/>
      <c r="I4844" s="15">
        <v>0</v>
      </c>
      <c r="J4844" s="15">
        <v>0</v>
      </c>
      <c r="K4844" s="12" t="str">
        <f>HYPERLINK("http://twitter.com/download/android","Twitter for Android")</f>
        <v>Twitter for Android</v>
      </c>
      <c r="L4844" s="16">
        <v>18</v>
      </c>
      <c r="M4844" s="16">
        <v>1</v>
      </c>
      <c r="N4844" s="16">
        <v>0</v>
      </c>
      <c r="O4844" s="17"/>
      <c r="P4844" s="18">
        <v>43545.88280092593</v>
      </c>
      <c r="Q4844" s="8"/>
      <c r="R4844" s="7" t="s">
        <v>23620</v>
      </c>
      <c r="S4844" s="15"/>
      <c r="T4844" s="8"/>
      <c r="U4844" s="19" t="str">
        <f>HYPERLINK("https://pbs.twimg.com/profile_images/1178771118871715840/IWQmn6QK.jpg","View")</f>
        <v>View</v>
      </c>
      <c r="V4844" s="8"/>
      <c r="W4844" s="8"/>
      <c r="X4844" s="8"/>
      <c r="Y4844" s="8"/>
      <c r="Z4844" s="8"/>
    </row>
    <row r="4845" spans="1:26" ht="12.75">
      <c r="A4845" s="11">
        <v>43747.104976851857</v>
      </c>
      <c r="B4845" s="12" t="str">
        <f>HYPERLINK("https://twitter.com/mante_dante","@mante_dante")</f>
        <v>@mante_dante</v>
      </c>
      <c r="C4845" s="7" t="s">
        <v>23621</v>
      </c>
      <c r="D4845" s="7" t="s">
        <v>23622</v>
      </c>
      <c r="E4845" s="12" t="str">
        <f>HYPERLINK("https://twitter.com/mante_dante/status/1181864672934449153","1181864672934449153")</f>
        <v>1181864672934449153</v>
      </c>
      <c r="F4845" s="8"/>
      <c r="G4845" s="8"/>
      <c r="H4845" s="8"/>
      <c r="I4845" s="15">
        <v>0</v>
      </c>
      <c r="J4845" s="15">
        <v>2</v>
      </c>
      <c r="K4845" s="12" t="str">
        <f>HYPERLINK("http://twitter.com/download/android","Twitter for Android")</f>
        <v>Twitter for Android</v>
      </c>
      <c r="L4845" s="16">
        <v>3</v>
      </c>
      <c r="M4845" s="16">
        <v>116</v>
      </c>
      <c r="N4845" s="16">
        <v>0</v>
      </c>
      <c r="O4845" s="17"/>
      <c r="P4845" s="18">
        <v>43673.480879629627</v>
      </c>
      <c r="Q4845" s="7" t="s">
        <v>23623</v>
      </c>
      <c r="R4845" s="8" t="s">
        <v>23624</v>
      </c>
      <c r="S4845" s="8"/>
      <c r="T4845" s="8"/>
      <c r="U4845" s="19" t="str">
        <f>HYPERLINK("https://pbs.twimg.com/profile_images/1169694594373771264/9D9il2Tc.jpg","View")</f>
        <v>View</v>
      </c>
      <c r="V4845" s="8"/>
      <c r="W4845" s="8"/>
      <c r="X4845" s="8"/>
      <c r="Y4845" s="8"/>
      <c r="Z4845" s="8"/>
    </row>
    <row r="4846" spans="1:26" ht="12.75">
      <c r="A4846" s="11">
        <v>43747.104976851857</v>
      </c>
      <c r="B4846" s="12" t="str">
        <f>HYPERLINK("https://twitter.com/vildankrky","@vildankrky")</f>
        <v>@vildankrky</v>
      </c>
      <c r="C4846" s="7" t="s">
        <v>23625</v>
      </c>
      <c r="D4846" s="7" t="s">
        <v>23626</v>
      </c>
      <c r="E4846" s="12" t="str">
        <f>HYPERLINK("https://twitter.com/vildankrky/status/1181864672917626880","1181864672917626880")</f>
        <v>1181864672917626880</v>
      </c>
      <c r="F4846" s="8"/>
      <c r="G4846" s="14" t="s">
        <v>23627</v>
      </c>
      <c r="H4846" s="8"/>
      <c r="I4846" s="15">
        <v>0</v>
      </c>
      <c r="J4846" s="15">
        <v>4</v>
      </c>
      <c r="K4846" s="12" t="str">
        <f>HYPERLINK("http://twitter.com/download/android","Twitter for Android")</f>
        <v>Twitter for Android</v>
      </c>
      <c r="L4846" s="16">
        <v>518</v>
      </c>
      <c r="M4846" s="16">
        <v>279</v>
      </c>
      <c r="N4846" s="16">
        <v>1</v>
      </c>
      <c r="O4846" s="17"/>
      <c r="P4846" s="18">
        <v>41097.13113425926</v>
      </c>
      <c r="Q4846" s="8" t="s">
        <v>200</v>
      </c>
      <c r="R4846" s="8" t="s">
        <v>23628</v>
      </c>
      <c r="S4846" s="8"/>
      <c r="T4846" s="8"/>
      <c r="U4846" s="19" t="str">
        <f>HYPERLINK("https://pbs.twimg.com/profile_images/1172929205044154375/-GKHCwk2.jpg","View")</f>
        <v>View</v>
      </c>
      <c r="V4846" s="8"/>
      <c r="W4846" s="8"/>
      <c r="X4846" s="8"/>
      <c r="Y4846" s="8"/>
      <c r="Z4846" s="8"/>
    </row>
    <row r="4847" spans="1:26" ht="12.75">
      <c r="A4847" s="11">
        <v>43747.104965277773</v>
      </c>
      <c r="B4847" s="12" t="str">
        <f>HYPERLINK("https://twitter.com/aytacturhan","@aytacturhan")</f>
        <v>@aytacturhan</v>
      </c>
      <c r="C4847" s="7" t="s">
        <v>23629</v>
      </c>
      <c r="D4847" s="7" t="s">
        <v>160</v>
      </c>
      <c r="E4847" s="12" t="str">
        <f>HYPERLINK("https://twitter.com/aytacturhan/status/1181864669197275136","1181864669197275136")</f>
        <v>1181864669197275136</v>
      </c>
      <c r="F4847" s="8"/>
      <c r="G4847" s="14" t="s">
        <v>23630</v>
      </c>
      <c r="H4847" s="8"/>
      <c r="I4847" s="15">
        <v>0</v>
      </c>
      <c r="J4847" s="15">
        <v>2</v>
      </c>
      <c r="K4847" s="12" t="str">
        <f>HYPERLINK("http://twitter.com/download/android","Twitter for Android")</f>
        <v>Twitter for Android</v>
      </c>
      <c r="L4847" s="16">
        <v>264</v>
      </c>
      <c r="M4847" s="16">
        <v>378</v>
      </c>
      <c r="N4847" s="16">
        <v>0</v>
      </c>
      <c r="O4847" s="20"/>
      <c r="P4847" s="18">
        <v>40502.493159722224</v>
      </c>
      <c r="Q4847" s="7" t="s">
        <v>200</v>
      </c>
      <c r="R4847" s="7" t="s">
        <v>23631</v>
      </c>
      <c r="S4847" s="15"/>
      <c r="T4847" s="8"/>
      <c r="U4847" s="19" t="str">
        <f>HYPERLINK("https://pbs.twimg.com/profile_images/1165585890518994946/pdXyzfal.jpg","View")</f>
        <v>View</v>
      </c>
      <c r="V4847" s="8"/>
      <c r="W4847" s="8"/>
      <c r="X4847" s="8"/>
      <c r="Y4847" s="8"/>
      <c r="Z4847" s="8"/>
    </row>
    <row r="4848" spans="1:26" ht="12.75">
      <c r="A4848" s="11">
        <v>43747.104837962965</v>
      </c>
      <c r="B4848" s="12" t="str">
        <f>HYPERLINK("https://twitter.com/Erkisi1niyetine","@Erkisi1niyetine")</f>
        <v>@Erkisi1niyetine</v>
      </c>
      <c r="C4848" s="7" t="s">
        <v>23632</v>
      </c>
      <c r="D4848" s="7" t="s">
        <v>23633</v>
      </c>
      <c r="E4848" s="12" t="str">
        <f>HYPERLINK("https://twitter.com/Erkisi1niyetine/status/1181864622330142720","1181864622330142720")</f>
        <v>1181864622330142720</v>
      </c>
      <c r="F4848" s="8"/>
      <c r="G4848" s="8"/>
      <c r="H4848" s="8"/>
      <c r="I4848" s="15">
        <v>0</v>
      </c>
      <c r="J4848" s="15">
        <v>0</v>
      </c>
      <c r="K4848" s="12" t="str">
        <f>HYPERLINK("http://twitter.com/download/iphone","Twitter for iPhone")</f>
        <v>Twitter for iPhone</v>
      </c>
      <c r="L4848" s="16">
        <v>193</v>
      </c>
      <c r="M4848" s="16">
        <v>662</v>
      </c>
      <c r="N4848" s="16">
        <v>6</v>
      </c>
      <c r="O4848" s="17"/>
      <c r="P4848" s="18">
        <v>41397.226851851854</v>
      </c>
      <c r="Q4848" s="7" t="s">
        <v>313</v>
      </c>
      <c r="R4848" s="7" t="s">
        <v>23634</v>
      </c>
      <c r="S4848" s="15"/>
      <c r="T4848" s="8"/>
      <c r="U4848" s="19" t="str">
        <f>HYPERLINK("https://pbs.twimg.com/profile_images/781075802138021888/WFZMmbxl.jpg","View")</f>
        <v>View</v>
      </c>
      <c r="V4848" s="8"/>
      <c r="W4848" s="8"/>
      <c r="X4848" s="8"/>
      <c r="Y4848" s="8"/>
      <c r="Z4848" s="8"/>
    </row>
    <row r="4849" spans="1:26" ht="12.75">
      <c r="A4849" s="11">
        <v>43747.104803240742</v>
      </c>
      <c r="B4849" s="12" t="str">
        <f>HYPERLINK("https://twitter.com/kanalfinans","@kanalfinans")</f>
        <v>@kanalfinans</v>
      </c>
      <c r="C4849" s="7" t="s">
        <v>23635</v>
      </c>
      <c r="D4849" s="7" t="s">
        <v>23636</v>
      </c>
      <c r="E4849" s="12" t="str">
        <f>HYPERLINK("https://twitter.com/kanalfinans/status/1181864610003083266","1181864610003083266")</f>
        <v>1181864610003083266</v>
      </c>
      <c r="F4849" s="8"/>
      <c r="G4849" s="15"/>
      <c r="H4849" s="8"/>
      <c r="I4849" s="15">
        <v>2</v>
      </c>
      <c r="J4849" s="15">
        <v>5</v>
      </c>
      <c r="K4849" s="12" t="str">
        <f>HYPERLINK("https://mobile.twitter.com","Twitter Web App")</f>
        <v>Twitter Web App</v>
      </c>
      <c r="L4849" s="16">
        <v>51457</v>
      </c>
      <c r="M4849" s="16">
        <v>309</v>
      </c>
      <c r="N4849" s="16">
        <v>407</v>
      </c>
      <c r="O4849" s="20"/>
      <c r="P4849" s="18">
        <v>40463.102187500001</v>
      </c>
      <c r="Q4849" s="7" t="s">
        <v>313</v>
      </c>
      <c r="R4849" s="7" t="s">
        <v>23637</v>
      </c>
      <c r="S4849" s="14" t="s">
        <v>23638</v>
      </c>
      <c r="T4849" s="8"/>
      <c r="U4849" s="19" t="str">
        <f>HYPERLINK("https://pbs.twimg.com/profile_images/456406017748635648/q3PSTbCv.jpeg","View")</f>
        <v>View</v>
      </c>
      <c r="V4849" s="8"/>
      <c r="W4849" s="8"/>
      <c r="X4849" s="8"/>
      <c r="Y4849" s="8"/>
      <c r="Z4849" s="8"/>
    </row>
    <row r="4850" spans="1:26" ht="12.75">
      <c r="A4850" s="11">
        <v>43747.104756944449</v>
      </c>
      <c r="B4850" s="12" t="str">
        <f>HYPERLINK("https://twitter.com/Onur69727146","@Onur69727146")</f>
        <v>@Onur69727146</v>
      </c>
      <c r="C4850" s="7" t="s">
        <v>10813</v>
      </c>
      <c r="D4850" s="7" t="s">
        <v>23639</v>
      </c>
      <c r="E4850" s="12" t="str">
        <f>HYPERLINK("https://twitter.com/Onur69727146/status/1181864590830911488","1181864590830911488")</f>
        <v>1181864590830911488</v>
      </c>
      <c r="F4850" s="8"/>
      <c r="G4850" s="15"/>
      <c r="H4850" s="8"/>
      <c r="I4850" s="15">
        <v>0</v>
      </c>
      <c r="J4850" s="15">
        <v>1</v>
      </c>
      <c r="K4850" s="12" t="str">
        <f>HYPERLINK("http://twitter.com/download/android","Twitter for Android")</f>
        <v>Twitter for Android</v>
      </c>
      <c r="L4850" s="16">
        <v>25</v>
      </c>
      <c r="M4850" s="16">
        <v>79</v>
      </c>
      <c r="N4850" s="16">
        <v>0</v>
      </c>
      <c r="O4850" s="17"/>
      <c r="P4850" s="18">
        <v>43629.656712962962</v>
      </c>
      <c r="Q4850" s="8"/>
      <c r="R4850" s="8" t="s">
        <v>23640</v>
      </c>
      <c r="S4850" s="8"/>
      <c r="T4850" s="8"/>
      <c r="U4850" s="19" t="str">
        <f>HYPERLINK("https://pbs.twimg.com/profile_images/1174469041953615872/Vah9WQzW.jpg","View")</f>
        <v>View</v>
      </c>
      <c r="V4850" s="8"/>
      <c r="W4850" s="8"/>
      <c r="X4850" s="8"/>
      <c r="Y4850" s="8"/>
      <c r="Z4850" s="8"/>
    </row>
    <row r="4851" spans="1:26" ht="12.75">
      <c r="A4851" s="11">
        <v>43747.104733796295</v>
      </c>
      <c r="B4851" s="12" t="str">
        <f>HYPERLINK("https://twitter.com/hasanssoylu","@hasanssoylu")</f>
        <v>@hasanssoylu</v>
      </c>
      <c r="C4851" s="7" t="s">
        <v>10992</v>
      </c>
      <c r="D4851" s="7" t="s">
        <v>23641</v>
      </c>
      <c r="E4851" s="12" t="str">
        <f>HYPERLINK("https://twitter.com/hasanssoylu/status/1181864585156075520","1181864585156075520")</f>
        <v>1181864585156075520</v>
      </c>
      <c r="F4851" s="15"/>
      <c r="G4851" s="14" t="s">
        <v>23642</v>
      </c>
      <c r="H4851" s="8"/>
      <c r="I4851" s="15">
        <v>0</v>
      </c>
      <c r="J4851" s="15">
        <v>2</v>
      </c>
      <c r="K4851" s="12" t="str">
        <f>HYPERLINK("https://mobile.twitter.com","Twitter Web App")</f>
        <v>Twitter Web App</v>
      </c>
      <c r="L4851" s="16">
        <v>28</v>
      </c>
      <c r="M4851" s="16">
        <v>38</v>
      </c>
      <c r="N4851" s="16">
        <v>0</v>
      </c>
      <c r="O4851" s="17"/>
      <c r="P4851" s="18">
        <v>43605.145590277782</v>
      </c>
      <c r="Q4851" s="8" t="s">
        <v>21007</v>
      </c>
      <c r="R4851" s="7" t="s">
        <v>23643</v>
      </c>
      <c r="S4851" s="15"/>
      <c r="T4851" s="8"/>
      <c r="U4851" s="19" t="str">
        <f>HYPERLINK("https://pbs.twimg.com/profile_images/1146818847212756992/lPGVtaRt.png","View")</f>
        <v>View</v>
      </c>
      <c r="V4851" s="8"/>
      <c r="W4851" s="8"/>
      <c r="X4851" s="8"/>
      <c r="Y4851" s="8"/>
      <c r="Z4851" s="8"/>
    </row>
    <row r="4852" spans="1:26" ht="12.75">
      <c r="A4852" s="11">
        <v>43747.104641203703</v>
      </c>
      <c r="B4852" s="12" t="str">
        <f>HYPERLINK("https://twitter.com/DavasihAK","@DavasihAK")</f>
        <v>@DavasihAK</v>
      </c>
      <c r="C4852" s="7" t="s">
        <v>23644</v>
      </c>
      <c r="D4852" s="7" t="s">
        <v>23645</v>
      </c>
      <c r="E4852" s="12" t="str">
        <f>HYPERLINK("https://twitter.com/DavasihAK/status/1181864551404494848","1181864551404494848")</f>
        <v>1181864551404494848</v>
      </c>
      <c r="F4852" s="8"/>
      <c r="G4852" s="14" t="s">
        <v>14827</v>
      </c>
      <c r="H4852" s="8"/>
      <c r="I4852" s="15">
        <v>2</v>
      </c>
      <c r="J4852" s="15">
        <v>4</v>
      </c>
      <c r="K4852" s="12" t="str">
        <f>HYPERLINK("http://twitter.com/download/iphone","Twitter for iPhone")</f>
        <v>Twitter for iPhone</v>
      </c>
      <c r="L4852" s="16">
        <v>3307</v>
      </c>
      <c r="M4852" s="16">
        <v>4093</v>
      </c>
      <c r="N4852" s="16">
        <v>3</v>
      </c>
      <c r="O4852" s="17"/>
      <c r="P4852" s="18">
        <v>41245.327187499999</v>
      </c>
      <c r="Q4852" s="8"/>
      <c r="R4852" s="7" t="s">
        <v>23646</v>
      </c>
      <c r="S4852" s="8"/>
      <c r="T4852" s="8"/>
      <c r="U4852" s="19" t="str">
        <f>HYPERLINK("https://pbs.twimg.com/profile_images/923450885501538304/C0SGb-jl.jpg","View")</f>
        <v>View</v>
      </c>
      <c r="V4852" s="8"/>
      <c r="W4852" s="8"/>
      <c r="X4852" s="8"/>
      <c r="Y4852" s="8"/>
      <c r="Z4852" s="8"/>
    </row>
    <row r="4853" spans="1:26" ht="12.75">
      <c r="A4853" s="11">
        <v>43747.104618055557</v>
      </c>
      <c r="B4853" s="12" t="str">
        <f>HYPERLINK("https://twitter.com/serdalcanbolat","@serdalcanbolat")</f>
        <v>@serdalcanbolat</v>
      </c>
      <c r="C4853" s="7" t="s">
        <v>23647</v>
      </c>
      <c r="D4853" s="7" t="s">
        <v>23648</v>
      </c>
      <c r="E4853" s="12" t="str">
        <f>HYPERLINK("https://twitter.com/serdalcanbolat/status/1181864540209852416","1181864540209852416")</f>
        <v>1181864540209852416</v>
      </c>
      <c r="F4853" s="8"/>
      <c r="G4853" s="14" t="s">
        <v>22110</v>
      </c>
      <c r="H4853" s="8"/>
      <c r="I4853" s="15">
        <v>17</v>
      </c>
      <c r="J4853" s="15">
        <v>70</v>
      </c>
      <c r="K4853" s="12" t="str">
        <f>HYPERLINK("http://twitter.com/download/android","Twitter for Android")</f>
        <v>Twitter for Android</v>
      </c>
      <c r="L4853" s="16">
        <v>4424</v>
      </c>
      <c r="M4853" s="16">
        <v>2572</v>
      </c>
      <c r="N4853" s="16">
        <v>47</v>
      </c>
      <c r="O4853" s="17"/>
      <c r="P4853" s="18">
        <v>41103.369363425925</v>
      </c>
      <c r="Q4853" s="7" t="s">
        <v>12773</v>
      </c>
      <c r="R4853" s="8" t="s">
        <v>23649</v>
      </c>
      <c r="S4853" s="8"/>
      <c r="T4853" s="8"/>
      <c r="U4853" s="19" t="str">
        <f>HYPERLINK("https://pbs.twimg.com/profile_images/1027646269316100096/FXaZBL_C.jpg","View")</f>
        <v>View</v>
      </c>
      <c r="V4853" s="8"/>
      <c r="W4853" s="8"/>
      <c r="X4853" s="8"/>
      <c r="Y4853" s="8"/>
      <c r="Z4853" s="8"/>
    </row>
    <row r="4854" spans="1:26" ht="12.75">
      <c r="A4854" s="11">
        <v>43747.104583333334</v>
      </c>
      <c r="B4854" s="12" t="str">
        <f>HYPERLINK("https://twitter.com/kintsugi26","@kintsugi26")</f>
        <v>@kintsugi26</v>
      </c>
      <c r="C4854" s="7" t="s">
        <v>23650</v>
      </c>
      <c r="D4854" s="7" t="s">
        <v>23651</v>
      </c>
      <c r="E4854" s="12" t="str">
        <f>HYPERLINK("https://twitter.com/kintsugi26/status/1181864530235838464","1181864530235838464")</f>
        <v>1181864530235838464</v>
      </c>
      <c r="F4854" s="8"/>
      <c r="G4854" s="8"/>
      <c r="H4854" s="8"/>
      <c r="I4854" s="15">
        <v>0</v>
      </c>
      <c r="J4854" s="15">
        <v>1</v>
      </c>
      <c r="K4854" s="12" t="str">
        <f>HYPERLINK("http://twitter.com/download/android","Twitter for Android")</f>
        <v>Twitter for Android</v>
      </c>
      <c r="L4854" s="16">
        <v>14</v>
      </c>
      <c r="M4854" s="16">
        <v>155</v>
      </c>
      <c r="N4854" s="16">
        <v>0</v>
      </c>
      <c r="O4854" s="17"/>
      <c r="P4854" s="18">
        <v>43593.575682870374</v>
      </c>
      <c r="Q4854" s="7" t="s">
        <v>200</v>
      </c>
      <c r="R4854" s="7" t="s">
        <v>23652</v>
      </c>
      <c r="S4854" s="15"/>
      <c r="T4854" s="8"/>
      <c r="U4854" s="19" t="str">
        <f>HYPERLINK("https://pbs.twimg.com/profile_images/1175156473132924930/5GdBEGjL.jpg","View")</f>
        <v>View</v>
      </c>
      <c r="V4854" s="8"/>
      <c r="W4854" s="8"/>
      <c r="X4854" s="8"/>
      <c r="Y4854" s="8"/>
      <c r="Z4854" s="8"/>
    </row>
    <row r="4855" spans="1:26" ht="12.75">
      <c r="A4855" s="11">
        <v>43747.104537037041</v>
      </c>
      <c r="B4855" s="12" t="str">
        <f>HYPERLINK("https://twitter.com/altinorda_han","@altinorda_han")</f>
        <v>@altinorda_han</v>
      </c>
      <c r="C4855" s="7" t="s">
        <v>23653</v>
      </c>
      <c r="D4855" s="7" t="s">
        <v>160</v>
      </c>
      <c r="E4855" s="12" t="str">
        <f>HYPERLINK("https://twitter.com/altinorda_han/status/1181864513173372928","1181864513173372928")</f>
        <v>1181864513173372928</v>
      </c>
      <c r="F4855" s="8"/>
      <c r="G4855" s="8"/>
      <c r="H4855" s="8"/>
      <c r="I4855" s="15">
        <v>0</v>
      </c>
      <c r="J4855" s="15">
        <v>2</v>
      </c>
      <c r="K4855" s="12" t="str">
        <f>HYPERLINK("http://twitter.com/download/iphone","Twitter for iPhone")</f>
        <v>Twitter for iPhone</v>
      </c>
      <c r="L4855" s="16">
        <v>55</v>
      </c>
      <c r="M4855" s="16">
        <v>88</v>
      </c>
      <c r="N4855" s="16">
        <v>0</v>
      </c>
      <c r="O4855" s="17"/>
      <c r="P4855" s="18">
        <v>43617.493078703701</v>
      </c>
      <c r="Q4855" s="7" t="s">
        <v>313</v>
      </c>
      <c r="R4855" s="7" t="s">
        <v>23654</v>
      </c>
      <c r="S4855" s="14" t="s">
        <v>23655</v>
      </c>
      <c r="T4855" s="8"/>
      <c r="U4855" s="19" t="str">
        <f>HYPERLINK("https://pbs.twimg.com/profile_images/1180017757078933506/U9pfT4Mz.jpg","View")</f>
        <v>View</v>
      </c>
      <c r="V4855" s="8"/>
      <c r="W4855" s="8"/>
      <c r="X4855" s="8"/>
      <c r="Y4855" s="8"/>
      <c r="Z4855" s="8"/>
    </row>
    <row r="4856" spans="1:26" ht="12.75">
      <c r="A4856" s="11">
        <v>43747.104537037041</v>
      </c>
      <c r="B4856" s="12" t="str">
        <f>HYPERLINK("https://twitter.com/brkkrsln88","@brkkrsln88")</f>
        <v>@brkkrsln88</v>
      </c>
      <c r="C4856" s="7" t="s">
        <v>23656</v>
      </c>
      <c r="D4856" s="7" t="s">
        <v>23657</v>
      </c>
      <c r="E4856" s="12" t="str">
        <f>HYPERLINK("https://twitter.com/brkkrsln88/status/1181864512892362752","1181864512892362752")</f>
        <v>1181864512892362752</v>
      </c>
      <c r="F4856" s="8"/>
      <c r="G4856" s="15"/>
      <c r="H4856" s="8"/>
      <c r="I4856" s="15">
        <v>0</v>
      </c>
      <c r="J4856" s="15">
        <v>0</v>
      </c>
      <c r="K4856" s="12" t="str">
        <f>HYPERLINK("http://twitter.com/download/android","Twitter for Android")</f>
        <v>Twitter for Android</v>
      </c>
      <c r="L4856" s="16">
        <v>291</v>
      </c>
      <c r="M4856" s="16">
        <v>770</v>
      </c>
      <c r="N4856" s="16">
        <v>0</v>
      </c>
      <c r="O4856" s="17"/>
      <c r="P4856" s="18">
        <v>43089.71974537037</v>
      </c>
      <c r="Q4856" s="7" t="s">
        <v>8299</v>
      </c>
      <c r="R4856" s="7" t="s">
        <v>23658</v>
      </c>
      <c r="S4856" s="8"/>
      <c r="T4856" s="8"/>
      <c r="U4856" s="19" t="str">
        <f>HYPERLINK("https://pbs.twimg.com/profile_images/1024744780595703809/gaRM7e92.jpg","View")</f>
        <v>View</v>
      </c>
      <c r="V4856" s="8"/>
      <c r="W4856" s="8"/>
      <c r="X4856" s="8"/>
      <c r="Y4856" s="8"/>
      <c r="Z4856" s="8"/>
    </row>
    <row r="4857" spans="1:26" ht="12.75">
      <c r="A4857" s="11">
        <v>43747.104525462964</v>
      </c>
      <c r="B4857" s="12" t="str">
        <f>HYPERLINK("https://twitter.com/Yasar_Efe","@Yasar_Efe")</f>
        <v>@Yasar_Efe</v>
      </c>
      <c r="C4857" s="7" t="s">
        <v>3640</v>
      </c>
      <c r="D4857" s="7" t="s">
        <v>23659</v>
      </c>
      <c r="E4857" s="12" t="str">
        <f>HYPERLINK("https://twitter.com/Yasar_Efe/status/1181864510237368321","1181864510237368321")</f>
        <v>1181864510237368321</v>
      </c>
      <c r="F4857" s="8"/>
      <c r="G4857" s="14" t="s">
        <v>23660</v>
      </c>
      <c r="H4857" s="8"/>
      <c r="I4857" s="15">
        <v>1</v>
      </c>
      <c r="J4857" s="15">
        <v>3</v>
      </c>
      <c r="K4857" s="12" t="str">
        <f>HYPERLINK("http://twitter.com/download/android","Twitter for Android")</f>
        <v>Twitter for Android</v>
      </c>
      <c r="L4857" s="16">
        <v>27</v>
      </c>
      <c r="M4857" s="16">
        <v>376</v>
      </c>
      <c r="N4857" s="16">
        <v>0</v>
      </c>
      <c r="O4857" s="17"/>
      <c r="P4857" s="18">
        <v>40722.202337962961</v>
      </c>
      <c r="Q4857" s="8"/>
      <c r="R4857" s="7" t="s">
        <v>23661</v>
      </c>
      <c r="S4857" s="8"/>
      <c r="T4857" s="8"/>
      <c r="U4857" s="19" t="str">
        <f>HYPERLINK("https://pbs.twimg.com/profile_images/1090000886389264384/loMVOpum.jpg","View")</f>
        <v>View</v>
      </c>
      <c r="V4857" s="8"/>
      <c r="W4857" s="8"/>
      <c r="X4857" s="8"/>
      <c r="Y4857" s="8"/>
      <c r="Z4857" s="8"/>
    </row>
    <row r="4858" spans="1:26" ht="12.75">
      <c r="A4858" s="11">
        <v>43747.104502314818</v>
      </c>
      <c r="B4858" s="12" t="str">
        <f>HYPERLINK("https://twitter.com/ssukunett","@ssukunett")</f>
        <v>@ssukunett</v>
      </c>
      <c r="C4858" s="7" t="s">
        <v>23662</v>
      </c>
      <c r="D4858" s="7" t="s">
        <v>23663</v>
      </c>
      <c r="E4858" s="12" t="str">
        <f>HYPERLINK("https://twitter.com/ssukunett/status/1181864499550330880","1181864499550330880")</f>
        <v>1181864499550330880</v>
      </c>
      <c r="F4858" s="14" t="s">
        <v>23664</v>
      </c>
      <c r="G4858" s="14" t="s">
        <v>23665</v>
      </c>
      <c r="H4858" s="8"/>
      <c r="I4858" s="15">
        <v>0</v>
      </c>
      <c r="J4858" s="15">
        <v>1</v>
      </c>
      <c r="K4858" s="12" t="str">
        <f>HYPERLINK("http://twitter.com/download/android","Twitter for Android")</f>
        <v>Twitter for Android</v>
      </c>
      <c r="L4858" s="16">
        <v>94</v>
      </c>
      <c r="M4858" s="16">
        <v>104</v>
      </c>
      <c r="N4858" s="16">
        <v>0</v>
      </c>
      <c r="O4858" s="17"/>
      <c r="P4858" s="18">
        <v>43310.445856481485</v>
      </c>
      <c r="Q4858" s="7"/>
      <c r="R4858" s="7" t="s">
        <v>23666</v>
      </c>
      <c r="S4858" s="8"/>
      <c r="T4858" s="8"/>
      <c r="U4858" s="19" t="str">
        <f>HYPERLINK("https://pbs.twimg.com/profile_images/1167370276121862144/EU2tMLDe.jpg","View")</f>
        <v>View</v>
      </c>
      <c r="V4858" s="8"/>
      <c r="W4858" s="8"/>
      <c r="X4858" s="8"/>
      <c r="Y4858" s="8"/>
      <c r="Z4858" s="8"/>
    </row>
    <row r="4859" spans="1:26" ht="12.75">
      <c r="A4859" s="11">
        <v>43747.104490740741</v>
      </c>
      <c r="B4859" s="12" t="str">
        <f>HYPERLINK("https://twitter.com/kaanakar19","@kaanakar19")</f>
        <v>@kaanakar19</v>
      </c>
      <c r="C4859" s="7" t="s">
        <v>23667</v>
      </c>
      <c r="D4859" s="7" t="s">
        <v>23668</v>
      </c>
      <c r="E4859" s="12" t="str">
        <f>HYPERLINK("https://twitter.com/kaanakar19/status/1181864495507001345","1181864495507001345")</f>
        <v>1181864495507001345</v>
      </c>
      <c r="F4859" s="8"/>
      <c r="G4859" s="14" t="s">
        <v>23669</v>
      </c>
      <c r="H4859" s="8"/>
      <c r="I4859" s="15">
        <v>1</v>
      </c>
      <c r="J4859" s="15">
        <v>5</v>
      </c>
      <c r="K4859" s="12" t="str">
        <f>HYPERLINK("http://twitter.com/download/android","Twitter for Android")</f>
        <v>Twitter for Android</v>
      </c>
      <c r="L4859" s="16">
        <v>31</v>
      </c>
      <c r="M4859" s="16">
        <v>52</v>
      </c>
      <c r="N4859" s="16">
        <v>0</v>
      </c>
      <c r="O4859" s="17"/>
      <c r="P4859" s="18">
        <v>41077.709340277775</v>
      </c>
      <c r="Q4859" s="7"/>
      <c r="R4859" s="7"/>
      <c r="S4859" s="8"/>
      <c r="T4859" s="8"/>
      <c r="U4859" s="19" t="str">
        <f>HYPERLINK("https://pbs.twimg.com/profile_images/1139160573629947906/ncI_CU3k.jpg","View")</f>
        <v>View</v>
      </c>
      <c r="V4859" s="8"/>
      <c r="W4859" s="8"/>
      <c r="X4859" s="8"/>
      <c r="Y4859" s="8"/>
      <c r="Z4859" s="8"/>
    </row>
    <row r="4860" spans="1:26" ht="12.75">
      <c r="A4860" s="11">
        <v>43747.104444444441</v>
      </c>
      <c r="B4860" s="12" t="str">
        <f>HYPERLINK("https://twitter.com/eyma56529705","@eyma56529705")</f>
        <v>@eyma56529705</v>
      </c>
      <c r="C4860" s="7" t="s">
        <v>23670</v>
      </c>
      <c r="D4860" s="7" t="s">
        <v>14293</v>
      </c>
      <c r="E4860" s="12" t="str">
        <f>HYPERLINK("https://twitter.com/eyma56529705/status/1181864480680169472","1181864480680169472")</f>
        <v>1181864480680169472</v>
      </c>
      <c r="F4860" s="8"/>
      <c r="G4860" s="14" t="s">
        <v>2720</v>
      </c>
      <c r="H4860" s="8"/>
      <c r="I4860" s="15">
        <v>0</v>
      </c>
      <c r="J4860" s="15">
        <v>2</v>
      </c>
      <c r="K4860" s="12" t="str">
        <f>HYPERLINK("http://twitter.com/download/android","Twitter for Android")</f>
        <v>Twitter for Android</v>
      </c>
      <c r="L4860" s="16">
        <v>50</v>
      </c>
      <c r="M4860" s="16">
        <v>105</v>
      </c>
      <c r="N4860" s="16">
        <v>0</v>
      </c>
      <c r="O4860" s="17"/>
      <c r="P4860" s="18">
        <v>43486.604988425926</v>
      </c>
      <c r="Q4860" s="8"/>
      <c r="R4860" s="8" t="s">
        <v>23671</v>
      </c>
      <c r="S4860" s="8"/>
      <c r="T4860" s="8"/>
      <c r="U4860" s="19" t="str">
        <f>HYPERLINK("https://pbs.twimg.com/profile_images/1181681239696257031/LG_PhD8v.jpg","View")</f>
        <v>View</v>
      </c>
      <c r="V4860" s="8"/>
      <c r="W4860" s="8"/>
      <c r="X4860" s="8"/>
      <c r="Y4860" s="8"/>
      <c r="Z4860" s="8"/>
    </row>
    <row r="4861" spans="1:26" ht="12.75">
      <c r="A4861" s="11">
        <v>43747.104398148149</v>
      </c>
      <c r="B4861" s="12" t="str">
        <f>HYPERLINK("https://twitter.com/ladrErkurt","@ladrErkurt")</f>
        <v>@ladrErkurt</v>
      </c>
      <c r="C4861" s="7" t="s">
        <v>23672</v>
      </c>
      <c r="D4861" s="7" t="s">
        <v>23673</v>
      </c>
      <c r="E4861" s="12" t="str">
        <f>HYPERLINK("https://twitter.com/ladrErkurt/status/1181864464141946880","1181864464141946880")</f>
        <v>1181864464141946880</v>
      </c>
      <c r="F4861" s="8"/>
      <c r="G4861" s="15"/>
      <c r="H4861" s="8"/>
      <c r="I4861" s="15">
        <v>0</v>
      </c>
      <c r="J4861" s="15">
        <v>0</v>
      </c>
      <c r="K4861" s="12" t="str">
        <f>HYPERLINK("https://mobile.twitter.com","Twitter Web App")</f>
        <v>Twitter Web App</v>
      </c>
      <c r="L4861" s="16">
        <v>23</v>
      </c>
      <c r="M4861" s="16">
        <v>30</v>
      </c>
      <c r="N4861" s="16">
        <v>0</v>
      </c>
      <c r="O4861" s="17"/>
      <c r="P4861" s="18">
        <v>41894.599374999998</v>
      </c>
      <c r="Q4861" s="7" t="s">
        <v>12773</v>
      </c>
      <c r="R4861" s="7"/>
      <c r="S4861" s="8"/>
      <c r="T4861" s="8"/>
      <c r="U4861" s="19" t="str">
        <f>HYPERLINK("https://pbs.twimg.com/profile_images/1159713382179704833/U7fiOMit.jpg","View")</f>
        <v>View</v>
      </c>
      <c r="V4861" s="8"/>
      <c r="W4861" s="8"/>
      <c r="X4861" s="8"/>
      <c r="Y4861" s="8"/>
      <c r="Z4861" s="8"/>
    </row>
    <row r="4862" spans="1:26" ht="12.75">
      <c r="A4862" s="11">
        <v>43747.104363425926</v>
      </c>
      <c r="B4862" s="12" t="str">
        <f>HYPERLINK("https://twitter.com/mehdidemir49","@mehdidemir49")</f>
        <v>@mehdidemir49</v>
      </c>
      <c r="C4862" s="7" t="s">
        <v>23674</v>
      </c>
      <c r="D4862" s="7" t="s">
        <v>23675</v>
      </c>
      <c r="E4862" s="12" t="str">
        <f>HYPERLINK("https://twitter.com/mehdidemir49/status/1181864447922655232","1181864447922655232")</f>
        <v>1181864447922655232</v>
      </c>
      <c r="F4862" s="8"/>
      <c r="G4862" s="15"/>
      <c r="H4862" s="8"/>
      <c r="I4862" s="15">
        <v>0</v>
      </c>
      <c r="J4862" s="15">
        <v>4</v>
      </c>
      <c r="K4862" s="12" t="str">
        <f>HYPERLINK("https://mobile.twitter.com","Twitter Web App")</f>
        <v>Twitter Web App</v>
      </c>
      <c r="L4862" s="16">
        <v>176</v>
      </c>
      <c r="M4862" s="16">
        <v>631</v>
      </c>
      <c r="N4862" s="16">
        <v>0</v>
      </c>
      <c r="O4862" s="17"/>
      <c r="P4862" s="18">
        <v>42109.163495370369</v>
      </c>
      <c r="Q4862" s="7"/>
      <c r="R4862" s="7" t="s">
        <v>23676</v>
      </c>
      <c r="S4862" s="8"/>
      <c r="T4862" s="8"/>
      <c r="U4862" s="19" t="str">
        <f>HYPERLINK("https://pbs.twimg.com/profile_images/1029851622921433093/zrakUQd-.jpg","View")</f>
        <v>View</v>
      </c>
      <c r="V4862" s="8"/>
      <c r="W4862" s="8"/>
      <c r="X4862" s="8"/>
      <c r="Y4862" s="8"/>
      <c r="Z4862" s="8"/>
    </row>
    <row r="4863" spans="1:26" ht="12.75">
      <c r="A4863" s="11">
        <v>43747.104328703703</v>
      </c>
      <c r="B4863" s="12" t="str">
        <f>HYPERLINK("https://twitter.com/macrimosa","@macrimosa")</f>
        <v>@macrimosa</v>
      </c>
      <c r="C4863" s="7" t="s">
        <v>23677</v>
      </c>
      <c r="D4863" s="7" t="s">
        <v>160</v>
      </c>
      <c r="E4863" s="12" t="str">
        <f>HYPERLINK("https://twitter.com/macrimosa/status/1181864437965344768","1181864437965344768")</f>
        <v>1181864437965344768</v>
      </c>
      <c r="F4863" s="8"/>
      <c r="G4863" s="14" t="s">
        <v>23678</v>
      </c>
      <c r="H4863" s="8"/>
      <c r="I4863" s="15">
        <v>0</v>
      </c>
      <c r="J4863" s="15">
        <v>2</v>
      </c>
      <c r="K4863" s="12" t="str">
        <f>HYPERLINK("https://mobile.twitter.com","Twitter Web App")</f>
        <v>Twitter Web App</v>
      </c>
      <c r="L4863" s="16">
        <v>20</v>
      </c>
      <c r="M4863" s="16">
        <v>34</v>
      </c>
      <c r="N4863" s="16">
        <v>0</v>
      </c>
      <c r="O4863" s="17"/>
      <c r="P4863" s="18">
        <v>43696.640671296293</v>
      </c>
      <c r="Q4863" s="7"/>
      <c r="R4863" s="7" t="s">
        <v>23679</v>
      </c>
      <c r="S4863" s="8"/>
      <c r="T4863" s="8"/>
      <c r="U4863" s="19" t="str">
        <f>HYPERLINK("https://pbs.twimg.com/profile_images/1174095456210698243/rmdW6JEl.jpg","View")</f>
        <v>View</v>
      </c>
      <c r="V4863" s="8"/>
      <c r="W4863" s="8"/>
      <c r="X4863" s="8"/>
      <c r="Y4863" s="8"/>
      <c r="Z4863" s="8"/>
    </row>
    <row r="4864" spans="1:26" ht="12.75">
      <c r="A4864" s="11">
        <v>43747.104328703703</v>
      </c>
      <c r="B4864" s="12" t="str">
        <f>HYPERLINK("https://twitter.com/Adore30605695","@Adore30605695")</f>
        <v>@Adore30605695</v>
      </c>
      <c r="C4864" s="7" t="s">
        <v>23680</v>
      </c>
      <c r="D4864" s="7" t="s">
        <v>23681</v>
      </c>
      <c r="E4864" s="12" t="str">
        <f>HYPERLINK("https://twitter.com/Adore30605695/status/1181864436212125696","1181864436212125696")</f>
        <v>1181864436212125696</v>
      </c>
      <c r="F4864" s="8"/>
      <c r="G4864" s="14" t="s">
        <v>23682</v>
      </c>
      <c r="H4864" s="8"/>
      <c r="I4864" s="15">
        <v>0</v>
      </c>
      <c r="J4864" s="15">
        <v>4</v>
      </c>
      <c r="K4864" s="12" t="str">
        <f>HYPERLINK("http://twitter.com/download/iphone","Twitter for iPhone")</f>
        <v>Twitter for iPhone</v>
      </c>
      <c r="L4864" s="16">
        <v>2</v>
      </c>
      <c r="M4864" s="16">
        <v>6</v>
      </c>
      <c r="N4864" s="16">
        <v>0</v>
      </c>
      <c r="O4864" s="17"/>
      <c r="P4864" s="18">
        <v>42982.516342592593</v>
      </c>
      <c r="Q4864" s="7"/>
      <c r="R4864" s="7"/>
      <c r="S4864" s="8"/>
      <c r="T4864" s="8"/>
      <c r="U4864" s="20" t="s">
        <v>354</v>
      </c>
      <c r="V4864" s="8"/>
      <c r="W4864" s="8"/>
      <c r="X4864" s="8"/>
      <c r="Y4864" s="8"/>
      <c r="Z4864" s="8"/>
    </row>
    <row r="4865" spans="1:26" ht="12.75">
      <c r="A4865" s="11">
        <v>43747.10429398148</v>
      </c>
      <c r="B4865" s="12" t="str">
        <f>HYPERLINK("https://twitter.com/tnjmrt","@tnjmrt")</f>
        <v>@tnjmrt</v>
      </c>
      <c r="C4865" s="7" t="s">
        <v>23683</v>
      </c>
      <c r="D4865" s="7" t="s">
        <v>23684</v>
      </c>
      <c r="E4865" s="12" t="str">
        <f>HYPERLINK("https://twitter.com/tnjmrt/status/1181864423943819265","1181864423943819265")</f>
        <v>1181864423943819265</v>
      </c>
      <c r="F4865" s="8"/>
      <c r="G4865" s="14" t="s">
        <v>23685</v>
      </c>
      <c r="H4865" s="8"/>
      <c r="I4865" s="15">
        <v>0</v>
      </c>
      <c r="J4865" s="15">
        <v>4</v>
      </c>
      <c r="K4865" s="12" t="str">
        <f>HYPERLINK("http://twitter.com/download/android","Twitter for Android")</f>
        <v>Twitter for Android</v>
      </c>
      <c r="L4865" s="16">
        <v>7553</v>
      </c>
      <c r="M4865" s="16">
        <v>7211</v>
      </c>
      <c r="N4865" s="16">
        <v>1</v>
      </c>
      <c r="O4865" s="17"/>
      <c r="P4865" s="18">
        <v>42865.372743055559</v>
      </c>
      <c r="Q4865" s="8"/>
      <c r="R4865" s="7" t="s">
        <v>23686</v>
      </c>
      <c r="S4865" s="8"/>
      <c r="T4865" s="8"/>
      <c r="U4865" s="19" t="str">
        <f>HYPERLINK("https://pbs.twimg.com/profile_images/863893106948812800/6y-BZ4mN.jpg","View")</f>
        <v>View</v>
      </c>
      <c r="V4865" s="8"/>
      <c r="W4865" s="8"/>
      <c r="X4865" s="8"/>
      <c r="Y4865" s="8"/>
      <c r="Z4865" s="8"/>
    </row>
    <row r="4866" spans="1:26" ht="12.75">
      <c r="A4866" s="11">
        <v>43747.104212962964</v>
      </c>
      <c r="B4866" s="12" t="str">
        <f>HYPERLINK("https://twitter.com/Sam17120353","@Sam17120353")</f>
        <v>@Sam17120353</v>
      </c>
      <c r="C4866" s="7" t="s">
        <v>20230</v>
      </c>
      <c r="D4866" s="7" t="s">
        <v>160</v>
      </c>
      <c r="E4866" s="12" t="str">
        <f>HYPERLINK("https://twitter.com/Sam17120353/status/1181864396764717057","1181864396764717057")</f>
        <v>1181864396764717057</v>
      </c>
      <c r="F4866" s="8"/>
      <c r="G4866" s="15"/>
      <c r="H4866" s="8"/>
      <c r="I4866" s="15">
        <v>0</v>
      </c>
      <c r="J4866" s="15">
        <v>0</v>
      </c>
      <c r="K4866" s="12" t="str">
        <f>HYPERLINK("https://mobile.twitter.com","Twitter Web App")</f>
        <v>Twitter Web App</v>
      </c>
      <c r="L4866" s="16">
        <v>3</v>
      </c>
      <c r="M4866" s="16">
        <v>12</v>
      </c>
      <c r="N4866" s="16">
        <v>0</v>
      </c>
      <c r="O4866" s="17"/>
      <c r="P4866" s="18">
        <v>43681.581539351857</v>
      </c>
      <c r="Q4866" s="7" t="s">
        <v>918</v>
      </c>
      <c r="R4866" s="7"/>
      <c r="S4866" s="8"/>
      <c r="T4866" s="8"/>
      <c r="U4866" s="19" t="str">
        <f>HYPERLINK("https://pbs.twimg.com/profile_images/1164268617418117122/kF6o48Mj.jpg","View")</f>
        <v>View</v>
      </c>
      <c r="V4866" s="8"/>
      <c r="W4866" s="8"/>
      <c r="X4866" s="8"/>
      <c r="Y4866" s="8"/>
      <c r="Z4866" s="8"/>
    </row>
    <row r="4867" spans="1:26" ht="12.75">
      <c r="A4867" s="11">
        <v>43747.104212962964</v>
      </c>
      <c r="B4867" s="12" t="str">
        <f>HYPERLINK("https://twitter.com/kamilsarikass","@kamilsarikass")</f>
        <v>@kamilsarikass</v>
      </c>
      <c r="C4867" s="7" t="s">
        <v>23687</v>
      </c>
      <c r="D4867" s="7" t="s">
        <v>160</v>
      </c>
      <c r="E4867" s="12" t="str">
        <f>HYPERLINK("https://twitter.com/kamilsarikass/status/1181864393446965250","1181864393446965250")</f>
        <v>1181864393446965250</v>
      </c>
      <c r="F4867" s="8"/>
      <c r="G4867" s="8"/>
      <c r="H4867" s="8"/>
      <c r="I4867" s="15">
        <v>0</v>
      </c>
      <c r="J4867" s="15">
        <v>0</v>
      </c>
      <c r="K4867" s="12" t="str">
        <f>HYPERLINK("http://twitter.com/download/android","Twitter for Android")</f>
        <v>Twitter for Android</v>
      </c>
      <c r="L4867" s="16">
        <v>8</v>
      </c>
      <c r="M4867" s="16">
        <v>208</v>
      </c>
      <c r="N4867" s="16">
        <v>0</v>
      </c>
      <c r="O4867" s="17"/>
      <c r="P4867" s="18">
        <v>43519.25377314815</v>
      </c>
      <c r="Q4867" s="8" t="s">
        <v>445</v>
      </c>
      <c r="R4867" s="8" t="s">
        <v>23688</v>
      </c>
      <c r="S4867" s="8"/>
      <c r="T4867" s="8"/>
      <c r="U4867" s="19" t="str">
        <f>HYPERLINK("https://pbs.twimg.com/profile_images/1166893590993362944/HpBIJ8GH.jpg","View")</f>
        <v>View</v>
      </c>
      <c r="V4867" s="8"/>
      <c r="W4867" s="8"/>
      <c r="X4867" s="8"/>
      <c r="Y4867" s="8"/>
      <c r="Z4867" s="8"/>
    </row>
    <row r="4868" spans="1:26" ht="12.75">
      <c r="A4868" s="11">
        <v>43747.104189814811</v>
      </c>
      <c r="B4868" s="12" t="str">
        <f>HYPERLINK("https://twitter.com/MYPaT1977","@MYPaT1977")</f>
        <v>@MYPaT1977</v>
      </c>
      <c r="C4868" s="7" t="s">
        <v>23689</v>
      </c>
      <c r="D4868" s="7" t="s">
        <v>23690</v>
      </c>
      <c r="E4868" s="12" t="str">
        <f>HYPERLINK("https://twitter.com/MYPaT1977/status/1181864387893698560","1181864387893698560")</f>
        <v>1181864387893698560</v>
      </c>
      <c r="F4868" s="8"/>
      <c r="G4868" s="14" t="s">
        <v>23691</v>
      </c>
      <c r="H4868" s="8"/>
      <c r="I4868" s="15">
        <v>1</v>
      </c>
      <c r="J4868" s="15">
        <v>1</v>
      </c>
      <c r="K4868" s="12" t="str">
        <f>HYPERLINK("https://mobile.twitter.com","Twitter Web App")</f>
        <v>Twitter Web App</v>
      </c>
      <c r="L4868" s="16">
        <v>82</v>
      </c>
      <c r="M4868" s="16">
        <v>14</v>
      </c>
      <c r="N4868" s="16">
        <v>0</v>
      </c>
      <c r="O4868" s="17"/>
      <c r="P4868" s="18">
        <v>42461.340532407412</v>
      </c>
      <c r="Q4868" s="7" t="s">
        <v>200</v>
      </c>
      <c r="R4868" s="8" t="s">
        <v>23692</v>
      </c>
      <c r="S4868" s="14" t="s">
        <v>23693</v>
      </c>
      <c r="T4868" s="8"/>
      <c r="U4868" s="19" t="str">
        <f>HYPERLINK("https://pbs.twimg.com/profile_images/1170051284780666880/B4jV5Jcv.jpg","View")</f>
        <v>View</v>
      </c>
      <c r="V4868" s="8"/>
      <c r="W4868" s="8"/>
      <c r="X4868" s="8"/>
      <c r="Y4868" s="8"/>
      <c r="Z4868" s="8"/>
    </row>
    <row r="4869" spans="1:26" ht="12.75">
      <c r="A4869" s="11">
        <v>43747.104178240741</v>
      </c>
      <c r="B4869" s="12" t="str">
        <f>HYPERLINK("https://twitter.com/OyunBitecek","@OyunBitecek")</f>
        <v>@OyunBitecek</v>
      </c>
      <c r="C4869" s="7" t="s">
        <v>23694</v>
      </c>
      <c r="D4869" s="7" t="s">
        <v>23695</v>
      </c>
      <c r="E4869" s="12" t="str">
        <f>HYPERLINK("https://twitter.com/OyunBitecek/status/1181864383007334400","1181864383007334400")</f>
        <v>1181864383007334400</v>
      </c>
      <c r="F4869" s="8"/>
      <c r="G4869" s="14" t="s">
        <v>23696</v>
      </c>
      <c r="H4869" s="8"/>
      <c r="I4869" s="15">
        <v>0</v>
      </c>
      <c r="J4869" s="15">
        <v>2</v>
      </c>
      <c r="K4869" s="12" t="str">
        <f>HYPERLINK("https://mobile.twitter.com","Twitter Web App")</f>
        <v>Twitter Web App</v>
      </c>
      <c r="L4869" s="16">
        <v>3076</v>
      </c>
      <c r="M4869" s="16">
        <v>1701</v>
      </c>
      <c r="N4869" s="16">
        <v>20</v>
      </c>
      <c r="O4869" s="17"/>
      <c r="P4869" s="18">
        <v>40627.4924537037</v>
      </c>
      <c r="Q4869" s="7"/>
      <c r="R4869" s="7" t="s">
        <v>23697</v>
      </c>
      <c r="S4869" s="15"/>
      <c r="T4869" s="8"/>
      <c r="U4869" s="19" t="str">
        <f>HYPERLINK("https://pbs.twimg.com/profile_images/1148941399640985600/8tIKHupk.png","View")</f>
        <v>View</v>
      </c>
      <c r="V4869" s="8"/>
      <c r="W4869" s="8"/>
      <c r="X4869" s="8"/>
      <c r="Y4869" s="8"/>
      <c r="Z4869" s="8"/>
    </row>
    <row r="4870" spans="1:26" ht="12.75">
      <c r="A4870" s="11">
        <v>43747.104131944448</v>
      </c>
      <c r="B4870" s="12" t="str">
        <f>HYPERLINK("https://twitter.com/1985Adanademir","@1985Adanademir")</f>
        <v>@1985Adanademir</v>
      </c>
      <c r="C4870" s="7" t="s">
        <v>23698</v>
      </c>
      <c r="D4870" s="7" t="s">
        <v>16643</v>
      </c>
      <c r="E4870" s="12" t="str">
        <f>HYPERLINK("https://twitter.com/1985Adanademir/status/1181864365311565824","1181864365311565824")</f>
        <v>1181864365311565824</v>
      </c>
      <c r="F4870" s="8"/>
      <c r="G4870" s="8"/>
      <c r="H4870" s="8"/>
      <c r="I4870" s="15">
        <v>0</v>
      </c>
      <c r="J4870" s="15">
        <v>0</v>
      </c>
      <c r="K4870" s="12" t="str">
        <f>HYPERLINK("http://twitter.com/download/iphone","Twitter for iPhone")</f>
        <v>Twitter for iPhone</v>
      </c>
      <c r="L4870" s="16">
        <v>111</v>
      </c>
      <c r="M4870" s="16">
        <v>259</v>
      </c>
      <c r="N4870" s="16">
        <v>0</v>
      </c>
      <c r="O4870" s="17"/>
      <c r="P4870" s="18">
        <v>42501.268090277779</v>
      </c>
      <c r="Q4870" s="8"/>
      <c r="R4870" s="8" t="s">
        <v>23698</v>
      </c>
      <c r="S4870" s="8"/>
      <c r="T4870" s="8"/>
      <c r="U4870" s="19" t="str">
        <f>HYPERLINK("https://pbs.twimg.com/profile_images/1133726273958744069/-diUn5yw.jpg","View")</f>
        <v>View</v>
      </c>
      <c r="V4870" s="8"/>
      <c r="W4870" s="8"/>
      <c r="X4870" s="8"/>
      <c r="Y4870" s="8"/>
      <c r="Z4870" s="8"/>
    </row>
    <row r="4871" spans="1:26" ht="12.75">
      <c r="A4871" s="11">
        <v>43747.104120370372</v>
      </c>
      <c r="B4871" s="12" t="str">
        <f>HYPERLINK("https://twitter.com/Ramazaan35","@Ramazaan35")</f>
        <v>@Ramazaan35</v>
      </c>
      <c r="C4871" s="7" t="s">
        <v>23699</v>
      </c>
      <c r="D4871" s="7" t="s">
        <v>14293</v>
      </c>
      <c r="E4871" s="12" t="str">
        <f>HYPERLINK("https://twitter.com/Ramazaan35/status/1181864361880690691","1181864361880690691")</f>
        <v>1181864361880690691</v>
      </c>
      <c r="F4871" s="15"/>
      <c r="G4871" s="14" t="s">
        <v>23700</v>
      </c>
      <c r="H4871" s="8"/>
      <c r="I4871" s="15">
        <v>0</v>
      </c>
      <c r="J4871" s="15">
        <v>6</v>
      </c>
      <c r="K4871" s="12" t="str">
        <f>HYPERLINK("http://twitter.com/download/android","Twitter for Android")</f>
        <v>Twitter for Android</v>
      </c>
      <c r="L4871" s="16">
        <v>33</v>
      </c>
      <c r="M4871" s="16">
        <v>30</v>
      </c>
      <c r="N4871" s="16">
        <v>0</v>
      </c>
      <c r="O4871" s="17"/>
      <c r="P4871" s="18">
        <v>43115.515648148154</v>
      </c>
      <c r="Q4871" s="8"/>
      <c r="R4871" s="7"/>
      <c r="S4871" s="8"/>
      <c r="T4871" s="8"/>
      <c r="U4871" s="19" t="str">
        <f>HYPERLINK("https://pbs.twimg.com/profile_images/1180896422461411328/E8yD1qGU.jpg","View")</f>
        <v>View</v>
      </c>
      <c r="V4871" s="8"/>
      <c r="W4871" s="8"/>
      <c r="X4871" s="8"/>
      <c r="Y4871" s="8"/>
      <c r="Z4871" s="8"/>
    </row>
    <row r="4872" spans="1:26" ht="12.75">
      <c r="A4872" s="11">
        <v>43747.104050925926</v>
      </c>
      <c r="B4872" s="12" t="str">
        <f>HYPERLINK("https://twitter.com/EminDemirhan61","@EminDemirhan61")</f>
        <v>@EminDemirhan61</v>
      </c>
      <c r="C4872" s="7" t="s">
        <v>23701</v>
      </c>
      <c r="D4872" s="7" t="s">
        <v>23702</v>
      </c>
      <c r="E4872" s="12" t="str">
        <f>HYPERLINK("https://twitter.com/EminDemirhan61/status/1181864335808839680","1181864335808839680")</f>
        <v>1181864335808839680</v>
      </c>
      <c r="F4872" s="8"/>
      <c r="G4872" s="14" t="s">
        <v>23703</v>
      </c>
      <c r="H4872" s="8"/>
      <c r="I4872" s="15">
        <v>0</v>
      </c>
      <c r="J4872" s="15">
        <v>1</v>
      </c>
      <c r="K4872" s="12" t="str">
        <f>HYPERLINK("http://twitter.com/download/iphone","Twitter for iPhone")</f>
        <v>Twitter for iPhone</v>
      </c>
      <c r="L4872" s="16">
        <v>225</v>
      </c>
      <c r="M4872" s="16">
        <v>109</v>
      </c>
      <c r="N4872" s="16">
        <v>0</v>
      </c>
      <c r="O4872" s="17"/>
      <c r="P4872" s="18">
        <v>40901.535219907411</v>
      </c>
      <c r="Q4872" s="7" t="s">
        <v>11017</v>
      </c>
      <c r="R4872" s="7"/>
      <c r="S4872" s="14" t="s">
        <v>23704</v>
      </c>
      <c r="T4872" s="8"/>
      <c r="U4872" s="19" t="str">
        <f>HYPERLINK("https://pbs.twimg.com/profile_images/1181138561652969473/FHomdV1e.jpg","View")</f>
        <v>View</v>
      </c>
      <c r="V4872" s="8"/>
      <c r="W4872" s="8"/>
      <c r="X4872" s="8"/>
      <c r="Y4872" s="8"/>
      <c r="Z4872" s="8"/>
    </row>
    <row r="4873" spans="1:26" ht="12.75">
      <c r="A4873" s="11">
        <v>43747.104039351849</v>
      </c>
      <c r="B4873" s="12" t="str">
        <f>HYPERLINK("https://twitter.com/19Muratavsar","@19Muratavsar")</f>
        <v>@19Muratavsar</v>
      </c>
      <c r="C4873" s="7" t="s">
        <v>20222</v>
      </c>
      <c r="D4873" s="7" t="s">
        <v>23705</v>
      </c>
      <c r="E4873" s="12" t="str">
        <f>HYPERLINK("https://twitter.com/19Muratavsar/status/1181864332155596801","1181864332155596801")</f>
        <v>1181864332155596801</v>
      </c>
      <c r="F4873" s="8"/>
      <c r="G4873" s="8"/>
      <c r="H4873" s="8"/>
      <c r="I4873" s="15">
        <v>0</v>
      </c>
      <c r="J4873" s="15">
        <v>0</v>
      </c>
      <c r="K4873" s="12" t="str">
        <f>HYPERLINK("http://twitter.com/download/android","Twitter for Android")</f>
        <v>Twitter for Android</v>
      </c>
      <c r="L4873" s="16">
        <v>2</v>
      </c>
      <c r="M4873" s="16">
        <v>27</v>
      </c>
      <c r="N4873" s="16">
        <v>0</v>
      </c>
      <c r="O4873" s="17"/>
      <c r="P4873" s="18">
        <v>43607.463854166665</v>
      </c>
      <c r="Q4873" s="7"/>
      <c r="R4873" s="7"/>
      <c r="S4873" s="8"/>
      <c r="T4873" s="8"/>
      <c r="U4873" s="19" t="str">
        <f>HYPERLINK("https://pbs.twimg.com/profile_images/1132764023961919488/79OpQi3l.jpg","View")</f>
        <v>View</v>
      </c>
      <c r="V4873" s="8"/>
      <c r="W4873" s="8"/>
      <c r="X4873" s="8"/>
      <c r="Y4873" s="8"/>
      <c r="Z4873" s="8"/>
    </row>
    <row r="4874" spans="1:26" ht="12.75">
      <c r="A4874" s="11">
        <v>43747.103981481487</v>
      </c>
      <c r="B4874" s="12" t="str">
        <f>HYPERLINK("https://twitter.com/abdullahhozbekk","@abdullahhozbekk")</f>
        <v>@abdullahhozbekk</v>
      </c>
      <c r="C4874" s="7" t="s">
        <v>23706</v>
      </c>
      <c r="D4874" s="7" t="s">
        <v>20922</v>
      </c>
      <c r="E4874" s="12" t="str">
        <f>HYPERLINK("https://twitter.com/abdullahhozbekk/status/1181864313184821248","1181864313184821248")</f>
        <v>1181864313184821248</v>
      </c>
      <c r="F4874" s="8"/>
      <c r="G4874" s="14" t="s">
        <v>23707</v>
      </c>
      <c r="H4874" s="8"/>
      <c r="I4874" s="15">
        <v>0</v>
      </c>
      <c r="J4874" s="15">
        <v>1</v>
      </c>
      <c r="K4874" s="12" t="str">
        <f>HYPERLINK("http://twitter.com/download/iphone","Twitter for iPhone")</f>
        <v>Twitter for iPhone</v>
      </c>
      <c r="L4874" s="16">
        <v>181</v>
      </c>
      <c r="M4874" s="16">
        <v>199</v>
      </c>
      <c r="N4874" s="16">
        <v>0</v>
      </c>
      <c r="O4874" s="17"/>
      <c r="P4874" s="18">
        <v>43585.084201388891</v>
      </c>
      <c r="Q4874" s="7" t="s">
        <v>1639</v>
      </c>
      <c r="R4874" s="7" t="s">
        <v>23708</v>
      </c>
      <c r="S4874" s="14" t="s">
        <v>23709</v>
      </c>
      <c r="T4874" s="8"/>
      <c r="U4874" s="19" t="str">
        <f>HYPERLINK("https://pbs.twimg.com/profile_images/1181442963764891648/XxfBmm6Y.jpg","View")</f>
        <v>View</v>
      </c>
      <c r="V4874" s="8"/>
      <c r="W4874" s="8"/>
      <c r="X4874" s="8"/>
      <c r="Y4874" s="8"/>
      <c r="Z4874" s="8"/>
    </row>
    <row r="4875" spans="1:26" ht="12.75">
      <c r="A4875" s="11">
        <v>43747.103981481487</v>
      </c>
      <c r="B4875" s="12" t="str">
        <f>HYPERLINK("https://twitter.com/sanyu_samet","@sanyu_samet")</f>
        <v>@sanyu_samet</v>
      </c>
      <c r="C4875" s="7" t="s">
        <v>20230</v>
      </c>
      <c r="D4875" s="7" t="s">
        <v>23710</v>
      </c>
      <c r="E4875" s="12" t="str">
        <f>HYPERLINK("https://twitter.com/sanyu_samet/status/1181864311033139200","1181864311033139200")</f>
        <v>1181864311033139200</v>
      </c>
      <c r="F4875" s="8"/>
      <c r="G4875" s="15"/>
      <c r="H4875" s="8"/>
      <c r="I4875" s="15">
        <v>0</v>
      </c>
      <c r="J4875" s="15">
        <v>0</v>
      </c>
      <c r="K4875" s="12" t="str">
        <f>HYPERLINK("http://twitter.com/download/android","Twitter for Android")</f>
        <v>Twitter for Android</v>
      </c>
      <c r="L4875" s="16">
        <v>690</v>
      </c>
      <c r="M4875" s="16">
        <v>924</v>
      </c>
      <c r="N4875" s="16">
        <v>0</v>
      </c>
      <c r="O4875" s="17"/>
      <c r="P4875" s="18">
        <v>41713.200509259259</v>
      </c>
      <c r="Q4875" s="8"/>
      <c r="R4875" s="7" t="s">
        <v>23711</v>
      </c>
      <c r="S4875" s="8"/>
      <c r="T4875" s="8"/>
      <c r="U4875" s="19" t="str">
        <f>HYPERLINK("https://pbs.twimg.com/profile_images/1168993142416302081/MB3-rwTf.jpg","View")</f>
        <v>View</v>
      </c>
      <c r="V4875" s="8"/>
      <c r="W4875" s="8"/>
      <c r="X4875" s="8"/>
      <c r="Y4875" s="8"/>
      <c r="Z4875" s="8"/>
    </row>
    <row r="4876" spans="1:26" ht="12.75">
      <c r="A4876" s="11">
        <v>43747.103958333333</v>
      </c>
      <c r="B4876" s="12" t="str">
        <f>HYPERLINK("https://twitter.com/58_Yigidom_58","@58_Yigidom_58")</f>
        <v>@58_Yigidom_58</v>
      </c>
      <c r="C4876" s="7" t="s">
        <v>23712</v>
      </c>
      <c r="D4876" s="7" t="s">
        <v>23713</v>
      </c>
      <c r="E4876" s="12" t="str">
        <f>HYPERLINK("https://twitter.com/58_Yigidom_58/status/1181864302048878594","1181864302048878594")</f>
        <v>1181864302048878594</v>
      </c>
      <c r="F4876" s="8"/>
      <c r="G4876" s="14" t="s">
        <v>23714</v>
      </c>
      <c r="H4876" s="8"/>
      <c r="I4876" s="15">
        <v>7</v>
      </c>
      <c r="J4876" s="15">
        <v>12</v>
      </c>
      <c r="K4876" s="12" t="str">
        <f>HYPERLINK("http://twitter.com/download/android","Twitter for Android")</f>
        <v>Twitter for Android</v>
      </c>
      <c r="L4876" s="16">
        <v>3044</v>
      </c>
      <c r="M4876" s="16">
        <v>4381</v>
      </c>
      <c r="N4876" s="16">
        <v>1</v>
      </c>
      <c r="O4876" s="17"/>
      <c r="P4876" s="18">
        <v>42696.33</v>
      </c>
      <c r="Q4876" s="8" t="s">
        <v>200</v>
      </c>
      <c r="R4876" s="7" t="s">
        <v>23715</v>
      </c>
      <c r="S4876" s="8"/>
      <c r="T4876" s="8"/>
      <c r="U4876" s="19" t="str">
        <f>HYPERLINK("https://pbs.twimg.com/profile_images/1172801753726758914/IMlaqSps.jpg","View")</f>
        <v>View</v>
      </c>
      <c r="V4876" s="8"/>
      <c r="W4876" s="8"/>
      <c r="X4876" s="8"/>
      <c r="Y4876" s="8"/>
      <c r="Z4876" s="8"/>
    </row>
    <row r="4877" spans="1:26" ht="12.75">
      <c r="A4877" s="11">
        <v>43747.103935185187</v>
      </c>
      <c r="B4877" s="12" t="str">
        <f>HYPERLINK("https://twitter.com/prohiberre","@prohiberre")</f>
        <v>@prohiberre</v>
      </c>
      <c r="C4877" s="7" t="s">
        <v>11178</v>
      </c>
      <c r="D4877" s="7" t="s">
        <v>23716</v>
      </c>
      <c r="E4877" s="12" t="str">
        <f>HYPERLINK("https://twitter.com/prohiberre/status/1181864296063606784","1181864296063606784")</f>
        <v>1181864296063606784</v>
      </c>
      <c r="F4877" s="8"/>
      <c r="G4877" s="14" t="s">
        <v>23717</v>
      </c>
      <c r="H4877" s="8"/>
      <c r="I4877" s="15">
        <v>1</v>
      </c>
      <c r="J4877" s="15">
        <v>21</v>
      </c>
      <c r="K4877" s="12" t="str">
        <f>HYPERLINK("http://twitter.com/download/android","Twitter for Android")</f>
        <v>Twitter for Android</v>
      </c>
      <c r="L4877" s="16">
        <v>3235</v>
      </c>
      <c r="M4877" s="16">
        <v>238</v>
      </c>
      <c r="N4877" s="16">
        <v>4</v>
      </c>
      <c r="O4877" s="17"/>
      <c r="P4877" s="18">
        <v>43137.515706018516</v>
      </c>
      <c r="Q4877" s="8"/>
      <c r="R4877" s="7" t="s">
        <v>23718</v>
      </c>
      <c r="S4877" s="14" t="s">
        <v>23719</v>
      </c>
      <c r="T4877" s="8"/>
      <c r="U4877" s="19" t="str">
        <f>HYPERLINK("https://pbs.twimg.com/profile_images/1178965093767364609/OZyaQc47.jpg","View")</f>
        <v>View</v>
      </c>
      <c r="V4877" s="8"/>
      <c r="W4877" s="8"/>
      <c r="X4877" s="8"/>
      <c r="Y4877" s="8"/>
      <c r="Z4877" s="8"/>
    </row>
    <row r="4878" spans="1:26" ht="12.75">
      <c r="A4878" s="11">
        <v>43747.103796296295</v>
      </c>
      <c r="B4878" s="12" t="str">
        <f>HYPERLINK("https://twitter.com/keremkaraasla18","@keremkaraasla18")</f>
        <v>@keremkaraasla18</v>
      </c>
      <c r="C4878" s="7" t="s">
        <v>23720</v>
      </c>
      <c r="D4878" s="7" t="s">
        <v>23721</v>
      </c>
      <c r="E4878" s="12" t="str">
        <f>HYPERLINK("https://twitter.com/keremkaraasla18/status/1181864246432407552","1181864246432407552")</f>
        <v>1181864246432407552</v>
      </c>
      <c r="F4878" s="8"/>
      <c r="G4878" s="14" t="s">
        <v>23722</v>
      </c>
      <c r="H4878" s="8"/>
      <c r="I4878" s="15">
        <v>0</v>
      </c>
      <c r="J4878" s="15">
        <v>1</v>
      </c>
      <c r="K4878" s="12" t="str">
        <f>HYPERLINK("http://twitter.com/download/iphone","Twitter for iPhone")</f>
        <v>Twitter for iPhone</v>
      </c>
      <c r="L4878" s="16">
        <v>309</v>
      </c>
      <c r="M4878" s="16">
        <v>317</v>
      </c>
      <c r="N4878" s="16">
        <v>4</v>
      </c>
      <c r="O4878" s="17"/>
      <c r="P4878" s="18">
        <v>43059.068206018521</v>
      </c>
      <c r="Q4878" s="8" t="s">
        <v>23723</v>
      </c>
      <c r="R4878" s="8" t="s">
        <v>807</v>
      </c>
      <c r="S4878" s="8"/>
      <c r="T4878" s="8"/>
      <c r="U4878" s="19" t="str">
        <f>HYPERLINK("https://pbs.twimg.com/profile_images/1163021539857588224/XSUGj3w2.jpg","View")</f>
        <v>View</v>
      </c>
      <c r="V4878" s="8"/>
      <c r="W4878" s="8"/>
      <c r="X4878" s="8"/>
      <c r="Y4878" s="8"/>
      <c r="Z4878" s="8"/>
    </row>
    <row r="4879" spans="1:26" ht="12.75">
      <c r="A4879" s="11">
        <v>43747.103749999995</v>
      </c>
      <c r="B4879" s="12" t="str">
        <f>HYPERLINK("https://twitter.com/aytun1907","@aytun1907")</f>
        <v>@aytun1907</v>
      </c>
      <c r="C4879" s="7" t="s">
        <v>23724</v>
      </c>
      <c r="D4879" s="7" t="s">
        <v>23725</v>
      </c>
      <c r="E4879" s="12" t="str">
        <f>HYPERLINK("https://twitter.com/aytun1907/status/1181864226924707840","1181864226924707840")</f>
        <v>1181864226924707840</v>
      </c>
      <c r="F4879" s="8"/>
      <c r="G4879" s="14" t="s">
        <v>23726</v>
      </c>
      <c r="H4879" s="8"/>
      <c r="I4879" s="15">
        <v>0</v>
      </c>
      <c r="J4879" s="15">
        <v>2</v>
      </c>
      <c r="K4879" s="12" t="str">
        <f>HYPERLINK("http://twitter.com/download/iphone","Twitter for iPhone")</f>
        <v>Twitter for iPhone</v>
      </c>
      <c r="L4879" s="16">
        <v>321</v>
      </c>
      <c r="M4879" s="16">
        <v>164</v>
      </c>
      <c r="N4879" s="16">
        <v>1</v>
      </c>
      <c r="O4879" s="17"/>
      <c r="P4879" s="18">
        <v>41253.676168981481</v>
      </c>
      <c r="Q4879" s="7"/>
      <c r="R4879" s="7" t="s">
        <v>23727</v>
      </c>
      <c r="S4879" s="8"/>
      <c r="T4879" s="8"/>
      <c r="U4879" s="19" t="str">
        <f>HYPERLINK("https://pbs.twimg.com/profile_images/1167165240376791040/jilPr2uU.jpg","View")</f>
        <v>View</v>
      </c>
      <c r="V4879" s="8"/>
      <c r="W4879" s="8"/>
      <c r="X4879" s="8"/>
      <c r="Y4879" s="8"/>
      <c r="Z4879" s="8"/>
    </row>
    <row r="4880" spans="1:26" ht="12.75">
      <c r="A4880" s="11">
        <v>43747.103738425925</v>
      </c>
      <c r="B4880" s="12" t="str">
        <f>HYPERLINK("https://twitter.com/varolmasendromu","@varolmasendromu")</f>
        <v>@varolmasendromu</v>
      </c>
      <c r="C4880" s="7" t="s">
        <v>23728</v>
      </c>
      <c r="D4880" s="7" t="s">
        <v>23729</v>
      </c>
      <c r="E4880" s="12" t="str">
        <f>HYPERLINK("https://twitter.com/varolmasendromu/status/1181864224693395456","1181864224693395456")</f>
        <v>1181864224693395456</v>
      </c>
      <c r="F4880" s="8"/>
      <c r="G4880" s="14" t="s">
        <v>23730</v>
      </c>
      <c r="H4880" s="8"/>
      <c r="I4880" s="15">
        <v>0</v>
      </c>
      <c r="J4880" s="15">
        <v>0</v>
      </c>
      <c r="K4880" s="12" t="str">
        <f>HYPERLINK("http://twitter.com/download/android","Twitter for Android")</f>
        <v>Twitter for Android</v>
      </c>
      <c r="L4880" s="16">
        <v>11</v>
      </c>
      <c r="M4880" s="16">
        <v>12</v>
      </c>
      <c r="N4880" s="16">
        <v>0</v>
      </c>
      <c r="O4880" s="17"/>
      <c r="P4880" s="18">
        <v>43699.12736111111</v>
      </c>
      <c r="Q4880" s="8"/>
      <c r="R4880" s="8"/>
      <c r="S4880" s="8"/>
      <c r="T4880" s="8"/>
      <c r="U4880" s="19" t="str">
        <f>HYPERLINK("https://pbs.twimg.com/profile_images/1181334911921397763/V-oaGLR_.jpg","View")</f>
        <v>View</v>
      </c>
      <c r="V4880" s="8"/>
      <c r="W4880" s="8"/>
      <c r="X4880" s="8"/>
      <c r="Y4880" s="8"/>
      <c r="Z4880" s="8"/>
    </row>
    <row r="4881" spans="1:26" ht="12.75">
      <c r="A4881" s="11">
        <v>43747.103726851856</v>
      </c>
      <c r="B4881" s="12" t="str">
        <f>HYPERLINK("https://twitter.com/yogurtszisknder","@yogurtszisknder")</f>
        <v>@yogurtszisknder</v>
      </c>
      <c r="C4881" s="7" t="s">
        <v>23731</v>
      </c>
      <c r="D4881" s="7" t="s">
        <v>23732</v>
      </c>
      <c r="E4881" s="12" t="str">
        <f>HYPERLINK("https://twitter.com/yogurtszisknder/status/1181864221304393729","1181864221304393729")</f>
        <v>1181864221304393729</v>
      </c>
      <c r="F4881" s="8"/>
      <c r="G4881" s="8"/>
      <c r="H4881" s="8"/>
      <c r="I4881" s="15">
        <v>0</v>
      </c>
      <c r="J4881" s="15">
        <v>7</v>
      </c>
      <c r="K4881" s="12" t="str">
        <f>HYPERLINK("http://twitter.com/download/android","Twitter for Android")</f>
        <v>Twitter for Android</v>
      </c>
      <c r="L4881" s="16">
        <v>1288</v>
      </c>
      <c r="M4881" s="16">
        <v>1145</v>
      </c>
      <c r="N4881" s="16">
        <v>1</v>
      </c>
      <c r="O4881" s="17"/>
      <c r="P4881" s="18">
        <v>43502.302766203706</v>
      </c>
      <c r="Q4881" s="8" t="s">
        <v>313</v>
      </c>
      <c r="R4881" s="7" t="s">
        <v>23733</v>
      </c>
      <c r="S4881" s="8"/>
      <c r="T4881" s="8"/>
      <c r="U4881" s="19" t="str">
        <f>HYPERLINK("https://pbs.twimg.com/profile_images/1180914311545397248/BBoVIIO0.jpg","View")</f>
        <v>View</v>
      </c>
      <c r="V4881" s="8"/>
      <c r="W4881" s="8"/>
      <c r="X4881" s="8"/>
      <c r="Y4881" s="8"/>
      <c r="Z4881" s="8"/>
    </row>
    <row r="4882" spans="1:26" ht="12.75">
      <c r="A4882" s="11">
        <v>43747.103668981479</v>
      </c>
      <c r="B4882" s="12" t="str">
        <f>HYPERLINK("https://twitter.com/ahmetekin25","@ahmetekin25")</f>
        <v>@ahmetekin25</v>
      </c>
      <c r="C4882" s="7" t="s">
        <v>23734</v>
      </c>
      <c r="D4882" s="7" t="s">
        <v>23735</v>
      </c>
      <c r="E4882" s="12" t="str">
        <f>HYPERLINK("https://twitter.com/ahmetekin25/status/1181864198155976704","1181864198155976704")</f>
        <v>1181864198155976704</v>
      </c>
      <c r="F4882" s="8"/>
      <c r="G4882" s="14" t="s">
        <v>23736</v>
      </c>
      <c r="H4882" s="8"/>
      <c r="I4882" s="15">
        <v>0</v>
      </c>
      <c r="J4882" s="15">
        <v>8</v>
      </c>
      <c r="K4882" s="12" t="str">
        <f>HYPERLINK("http://twitter.com/download/android","Twitter for Android")</f>
        <v>Twitter for Android</v>
      </c>
      <c r="L4882" s="16">
        <v>36</v>
      </c>
      <c r="M4882" s="16">
        <v>103</v>
      </c>
      <c r="N4882" s="16">
        <v>0</v>
      </c>
      <c r="O4882" s="17"/>
      <c r="P4882" s="18">
        <v>43737.463888888888</v>
      </c>
      <c r="Q4882" s="7" t="s">
        <v>21192</v>
      </c>
      <c r="R4882" s="7" t="s">
        <v>23737</v>
      </c>
      <c r="S4882" s="8"/>
      <c r="T4882" s="8"/>
      <c r="U4882" s="19" t="str">
        <f>HYPERLINK("https://pbs.twimg.com/profile_images/1181635070861484032/GlR_OudT.jpg","View")</f>
        <v>View</v>
      </c>
      <c r="V4882" s="8"/>
      <c r="W4882" s="8"/>
      <c r="X4882" s="8"/>
      <c r="Y4882" s="8"/>
      <c r="Z4882" s="8"/>
    </row>
    <row r="4883" spans="1:26" ht="12.75">
      <c r="A4883" s="11">
        <v>43747.10356481481</v>
      </c>
      <c r="B4883" s="12" t="str">
        <f>HYPERLINK("https://twitter.com/turanabdul","@turanabdul")</f>
        <v>@turanabdul</v>
      </c>
      <c r="C4883" s="7" t="s">
        <v>23738</v>
      </c>
      <c r="D4883" s="7" t="s">
        <v>160</v>
      </c>
      <c r="E4883" s="12" t="str">
        <f>HYPERLINK("https://twitter.com/turanabdul/status/1181864159757176832","1181864159757176832")</f>
        <v>1181864159757176832</v>
      </c>
      <c r="F4883" s="8"/>
      <c r="G4883" s="14" t="s">
        <v>23739</v>
      </c>
      <c r="H4883" s="8"/>
      <c r="I4883" s="15">
        <v>0</v>
      </c>
      <c r="J4883" s="15">
        <v>0</v>
      </c>
      <c r="K4883" s="12" t="str">
        <f>HYPERLINK("http://twitter.com/download/android","Twitter for Android")</f>
        <v>Twitter for Android</v>
      </c>
      <c r="L4883" s="16">
        <v>648</v>
      </c>
      <c r="M4883" s="16">
        <v>2112</v>
      </c>
      <c r="N4883" s="16">
        <v>0</v>
      </c>
      <c r="O4883" s="17"/>
      <c r="P4883" s="18">
        <v>40734.216550925928</v>
      </c>
      <c r="Q4883" s="8"/>
      <c r="R4883" s="8" t="s">
        <v>23740</v>
      </c>
      <c r="S4883" s="8"/>
      <c r="T4883" s="8"/>
      <c r="U4883" s="19" t="str">
        <f>HYPERLINK("https://pbs.twimg.com/profile_images/1094155563699720192/qQuWATw2.jpg","View")</f>
        <v>View</v>
      </c>
      <c r="V4883" s="8"/>
      <c r="W4883" s="8"/>
      <c r="X4883" s="8"/>
      <c r="Y4883" s="8"/>
      <c r="Z4883" s="8"/>
    </row>
    <row r="4884" spans="1:26" ht="12.75">
      <c r="A4884" s="11">
        <v>43747.103449074071</v>
      </c>
      <c r="B4884" s="12" t="str">
        <f>HYPERLINK("https://twitter.com/ferrimmm","@ferrimmm")</f>
        <v>@ferrimmm</v>
      </c>
      <c r="C4884" s="7" t="s">
        <v>23741</v>
      </c>
      <c r="D4884" s="7" t="s">
        <v>23742</v>
      </c>
      <c r="E4884" s="12" t="str">
        <f>HYPERLINK("https://twitter.com/ferrimmm/status/1181864118543962113","1181864118543962113")</f>
        <v>1181864118543962113</v>
      </c>
      <c r="F4884" s="8"/>
      <c r="G4884" s="14" t="s">
        <v>23743</v>
      </c>
      <c r="H4884" s="8"/>
      <c r="I4884" s="15">
        <v>0</v>
      </c>
      <c r="J4884" s="15">
        <v>6</v>
      </c>
      <c r="K4884" s="12" t="str">
        <f>HYPERLINK("http://twitter.com/download/android","Twitter for Android")</f>
        <v>Twitter for Android</v>
      </c>
      <c r="L4884" s="16">
        <v>14168</v>
      </c>
      <c r="M4884" s="16">
        <v>13400</v>
      </c>
      <c r="N4884" s="16">
        <v>17</v>
      </c>
      <c r="O4884" s="17"/>
      <c r="P4884" s="18">
        <v>41113.522233796299</v>
      </c>
      <c r="Q4884" s="8" t="s">
        <v>69</v>
      </c>
      <c r="R4884" s="7" t="s">
        <v>23744</v>
      </c>
      <c r="S4884" s="8"/>
      <c r="T4884" s="8"/>
      <c r="U4884" s="19" t="str">
        <f>HYPERLINK("https://pbs.twimg.com/profile_images/1137509769772707840/NZJ-Rb3H.jpg","View")</f>
        <v>View</v>
      </c>
      <c r="V4884" s="8"/>
      <c r="W4884" s="8"/>
      <c r="X4884" s="8"/>
      <c r="Y4884" s="8"/>
      <c r="Z4884" s="8"/>
    </row>
    <row r="4885" spans="1:26" ht="12.75">
      <c r="A4885" s="11">
        <v>43747.103437500002</v>
      </c>
      <c r="B4885" s="12" t="str">
        <f>HYPERLINK("https://twitter.com/SosyalMilli","@SosyalMilli")</f>
        <v>@SosyalMilli</v>
      </c>
      <c r="C4885" s="7" t="s">
        <v>23745</v>
      </c>
      <c r="D4885" s="7" t="s">
        <v>23746</v>
      </c>
      <c r="E4885" s="12" t="str">
        <f>HYPERLINK("https://twitter.com/SosyalMilli/status/1181864114634838016","1181864114634838016")</f>
        <v>1181864114634838016</v>
      </c>
      <c r="F4885" s="15"/>
      <c r="G4885" s="14" t="s">
        <v>23747</v>
      </c>
      <c r="H4885" s="8"/>
      <c r="I4885" s="15">
        <v>0</v>
      </c>
      <c r="J4885" s="15">
        <v>0</v>
      </c>
      <c r="K4885" s="12" t="str">
        <f>HYPERLINK("http://twitter.com/download/android","Twitter for Android")</f>
        <v>Twitter for Android</v>
      </c>
      <c r="L4885" s="16">
        <v>92</v>
      </c>
      <c r="M4885" s="16">
        <v>72</v>
      </c>
      <c r="N4885" s="16">
        <v>0</v>
      </c>
      <c r="O4885" s="17"/>
      <c r="P4885" s="18">
        <v>43666.199537037042</v>
      </c>
      <c r="Q4885" s="8"/>
      <c r="R4885" s="7" t="s">
        <v>23748</v>
      </c>
      <c r="S4885" s="14" t="s">
        <v>23749</v>
      </c>
      <c r="T4885" s="8"/>
      <c r="U4885" s="19" t="str">
        <f>HYPERLINK("https://pbs.twimg.com/profile_images/1152549519101431817/2K7IRrcB.jpg","View")</f>
        <v>View</v>
      </c>
      <c r="V4885" s="8"/>
      <c r="W4885" s="8"/>
      <c r="X4885" s="8"/>
      <c r="Y4885" s="8"/>
      <c r="Z4885" s="8"/>
    </row>
    <row r="4886" spans="1:26" ht="12.75">
      <c r="A4886" s="11">
        <v>43747.103414351848</v>
      </c>
      <c r="B4886" s="12" t="str">
        <f>HYPERLINK("https://twitter.com/Gozlem_Gazetesi","@Gozlem_Gazetesi")</f>
        <v>@Gozlem_Gazetesi</v>
      </c>
      <c r="C4886" s="7" t="s">
        <v>23750</v>
      </c>
      <c r="D4886" s="7" t="s">
        <v>23751</v>
      </c>
      <c r="E4886" s="12" t="str">
        <f>HYPERLINK("https://twitter.com/Gozlem_Gazetesi/status/1181864106313310208","1181864106313310208")</f>
        <v>1181864106313310208</v>
      </c>
      <c r="F4886" s="14" t="s">
        <v>23752</v>
      </c>
      <c r="G4886" s="14" t="s">
        <v>23753</v>
      </c>
      <c r="H4886" s="8"/>
      <c r="I4886" s="15">
        <v>4</v>
      </c>
      <c r="J4886" s="15">
        <v>8</v>
      </c>
      <c r="K4886" s="12" t="str">
        <f>HYPERLINK("https://mobile.twitter.com","Twitter Web App")</f>
        <v>Twitter Web App</v>
      </c>
      <c r="L4886" s="16">
        <v>1614</v>
      </c>
      <c r="M4886" s="16">
        <v>229</v>
      </c>
      <c r="N4886" s="16">
        <v>13</v>
      </c>
      <c r="O4886" s="17"/>
      <c r="P4886" s="18">
        <v>41127.092453703706</v>
      </c>
      <c r="Q4886" s="8" t="s">
        <v>1622</v>
      </c>
      <c r="R4886" s="8" t="s">
        <v>23754</v>
      </c>
      <c r="S4886" s="14" t="s">
        <v>23755</v>
      </c>
      <c r="T4886" s="8"/>
      <c r="U4886" s="19" t="str">
        <f>HYPERLINK("https://pbs.twimg.com/profile_images/912233981072084994/8kc3Xdnp.jpg","View")</f>
        <v>View</v>
      </c>
      <c r="V4886" s="8"/>
      <c r="W4886" s="8"/>
      <c r="X4886" s="8"/>
      <c r="Y4886" s="8"/>
      <c r="Z4886" s="8"/>
    </row>
    <row r="4887" spans="1:26" ht="12.75">
      <c r="A4887" s="11">
        <v>43747.103414351848</v>
      </c>
      <c r="B4887" s="12" t="str">
        <f>HYPERLINK("https://twitter.com/busraamanurlu","@busraamanurlu")</f>
        <v>@busraamanurlu</v>
      </c>
      <c r="C4887" s="7" t="s">
        <v>23756</v>
      </c>
      <c r="D4887" s="7" t="s">
        <v>23757</v>
      </c>
      <c r="E4887" s="12" t="str">
        <f>HYPERLINK("https://twitter.com/busraamanurlu/status/1181864104203558918","1181864104203558918")</f>
        <v>1181864104203558918</v>
      </c>
      <c r="F4887" s="8"/>
      <c r="G4887" s="15"/>
      <c r="H4887" s="8"/>
      <c r="I4887" s="15">
        <v>0</v>
      </c>
      <c r="J4887" s="15">
        <v>9</v>
      </c>
      <c r="K4887" s="12" t="str">
        <f>HYPERLINK("http://twitter.com/download/android","Twitter for Android")</f>
        <v>Twitter for Android</v>
      </c>
      <c r="L4887" s="16">
        <v>146</v>
      </c>
      <c r="M4887" s="16">
        <v>143</v>
      </c>
      <c r="N4887" s="16">
        <v>0</v>
      </c>
      <c r="O4887" s="17"/>
      <c r="P4887" s="18">
        <v>43682.375092592592</v>
      </c>
      <c r="Q4887" s="8"/>
      <c r="R4887" s="7" t="s">
        <v>23758</v>
      </c>
      <c r="S4887" s="8"/>
      <c r="T4887" s="8"/>
      <c r="U4887" s="19" t="str">
        <f>HYPERLINK("https://pbs.twimg.com/profile_images/1170882563612860416/0FN9S-hG.jpg","View")</f>
        <v>View</v>
      </c>
      <c r="V4887" s="8"/>
      <c r="W4887" s="8"/>
      <c r="X4887" s="8"/>
      <c r="Y4887" s="8"/>
      <c r="Z4887" s="8"/>
    </row>
    <row r="4888" spans="1:26" ht="12.75">
      <c r="A4888" s="11">
        <v>43747.103379629625</v>
      </c>
      <c r="B4888" s="12" t="str">
        <f>HYPERLINK("https://twitter.com/insnkoleksyncsu","@insnkoleksyncsu")</f>
        <v>@insnkoleksyncsu</v>
      </c>
      <c r="C4888" s="7" t="s">
        <v>23759</v>
      </c>
      <c r="D4888" s="7" t="s">
        <v>23760</v>
      </c>
      <c r="E4888" s="12" t="str">
        <f>HYPERLINK("https://twitter.com/insnkoleksyncsu/status/1181864092694433792","1181864092694433792")</f>
        <v>1181864092694433792</v>
      </c>
      <c r="F4888" s="8"/>
      <c r="G4888" s="15"/>
      <c r="H4888" s="8"/>
      <c r="I4888" s="15">
        <v>0</v>
      </c>
      <c r="J4888" s="15">
        <v>0</v>
      </c>
      <c r="K4888" s="12" t="str">
        <f>HYPERLINK("http://twitter.com/download/android","Twitter for Android")</f>
        <v>Twitter for Android</v>
      </c>
      <c r="L4888" s="16">
        <v>80</v>
      </c>
      <c r="M4888" s="16">
        <v>179</v>
      </c>
      <c r="N4888" s="16">
        <v>0</v>
      </c>
      <c r="O4888" s="17"/>
      <c r="P4888" s="18">
        <v>41222.079930555556</v>
      </c>
      <c r="Q4888" s="8" t="s">
        <v>8513</v>
      </c>
      <c r="R4888" s="7" t="s">
        <v>23761</v>
      </c>
      <c r="S4888" s="8"/>
      <c r="T4888" s="8"/>
      <c r="U4888" s="19" t="str">
        <f>HYPERLINK("https://pbs.twimg.com/profile_images/1169220532543328257/CInR0QHI.jpg","View")</f>
        <v>View</v>
      </c>
      <c r="V4888" s="8"/>
      <c r="W4888" s="8"/>
      <c r="X4888" s="8"/>
      <c r="Y4888" s="8"/>
      <c r="Z4888" s="8"/>
    </row>
    <row r="4889" spans="1:26" ht="12.75">
      <c r="A4889" s="11">
        <v>43747.103356481486</v>
      </c>
      <c r="B4889" s="12" t="str">
        <f>HYPERLINK("https://twitter.com/mert1gunes","@mert1gunes")</f>
        <v>@mert1gunes</v>
      </c>
      <c r="C4889" s="7" t="s">
        <v>23762</v>
      </c>
      <c r="D4889" s="7" t="s">
        <v>160</v>
      </c>
      <c r="E4889" s="12" t="str">
        <f>HYPERLINK("https://twitter.com/mert1gunes/status/1181864085778026496","1181864085778026496")</f>
        <v>1181864085778026496</v>
      </c>
      <c r="F4889" s="8"/>
      <c r="G4889" s="15"/>
      <c r="H4889" s="8"/>
      <c r="I4889" s="15">
        <v>0</v>
      </c>
      <c r="J4889" s="15">
        <v>0</v>
      </c>
      <c r="K4889" s="12" t="str">
        <f>HYPERLINK("http://twitter.com/download/android","Twitter for Android")</f>
        <v>Twitter for Android</v>
      </c>
      <c r="L4889" s="16">
        <v>8</v>
      </c>
      <c r="M4889" s="16">
        <v>54</v>
      </c>
      <c r="N4889" s="16">
        <v>0</v>
      </c>
      <c r="O4889" s="17"/>
      <c r="P4889" s="18">
        <v>41629.5003587963</v>
      </c>
      <c r="Q4889" s="7"/>
      <c r="R4889" s="7"/>
      <c r="S4889" s="15"/>
      <c r="T4889" s="8"/>
      <c r="U4889" s="20" t="s">
        <v>354</v>
      </c>
      <c r="V4889" s="8"/>
      <c r="W4889" s="8"/>
      <c r="X4889" s="8"/>
      <c r="Y4889" s="8"/>
      <c r="Z4889" s="8"/>
    </row>
    <row r="4890" spans="1:26" ht="12.75">
      <c r="A4890" s="11">
        <v>43747.10328703704</v>
      </c>
      <c r="B4890" s="12" t="str">
        <f>HYPERLINK("https://twitter.com/sanlib858","@sanlib858")</f>
        <v>@sanlib858</v>
      </c>
      <c r="C4890" s="7" t="s">
        <v>23763</v>
      </c>
      <c r="D4890" s="7" t="s">
        <v>160</v>
      </c>
      <c r="E4890" s="12" t="str">
        <f>HYPERLINK("https://twitter.com/sanlib858/status/1181864059295162369","1181864059295162369")</f>
        <v>1181864059295162369</v>
      </c>
      <c r="F4890" s="8"/>
      <c r="G4890" s="14" t="s">
        <v>23764</v>
      </c>
      <c r="H4890" s="8"/>
      <c r="I4890" s="15">
        <v>0</v>
      </c>
      <c r="J4890" s="15">
        <v>2</v>
      </c>
      <c r="K4890" s="12" t="str">
        <f>HYPERLINK("http://twitter.com/download/android","Twitter for Android")</f>
        <v>Twitter for Android</v>
      </c>
      <c r="L4890" s="16">
        <v>454</v>
      </c>
      <c r="M4890" s="16">
        <v>684</v>
      </c>
      <c r="N4890" s="16">
        <v>1</v>
      </c>
      <c r="O4890" s="17"/>
      <c r="P4890" s="18">
        <v>41595.662766203706</v>
      </c>
      <c r="Q4890" s="7" t="s">
        <v>445</v>
      </c>
      <c r="R4890" s="7"/>
      <c r="S4890" s="15"/>
      <c r="T4890" s="8"/>
      <c r="U4890" s="19" t="str">
        <f>HYPERLINK("https://pbs.twimg.com/profile_images/1169654218103373824/0dvIAMAx.jpg","View")</f>
        <v>View</v>
      </c>
      <c r="V4890" s="8"/>
      <c r="W4890" s="8"/>
      <c r="X4890" s="8"/>
      <c r="Y4890" s="8"/>
      <c r="Z4890" s="8"/>
    </row>
    <row r="4891" spans="1:26" ht="12.75">
      <c r="A4891" s="11">
        <v>43747.103275462963</v>
      </c>
      <c r="B4891" s="12" t="str">
        <f>HYPERLINK("https://twitter.com/emrebaskayaeb","@emrebaskayaeb")</f>
        <v>@emrebaskayaeb</v>
      </c>
      <c r="C4891" s="7" t="s">
        <v>23765</v>
      </c>
      <c r="D4891" s="7" t="s">
        <v>20132</v>
      </c>
      <c r="E4891" s="12" t="str">
        <f>HYPERLINK("https://twitter.com/emrebaskayaeb/status/1181864056560459776","1181864056560459776")</f>
        <v>1181864056560459776</v>
      </c>
      <c r="F4891" s="8"/>
      <c r="G4891" s="14" t="s">
        <v>23766</v>
      </c>
      <c r="H4891" s="8"/>
      <c r="I4891" s="15">
        <v>0</v>
      </c>
      <c r="J4891" s="15">
        <v>3</v>
      </c>
      <c r="K4891" s="12" t="str">
        <f>HYPERLINK("http://twitter.com/download/iphone","Twitter for iPhone")</f>
        <v>Twitter for iPhone</v>
      </c>
      <c r="L4891" s="16">
        <v>327</v>
      </c>
      <c r="M4891" s="16">
        <v>169</v>
      </c>
      <c r="N4891" s="16">
        <v>0</v>
      </c>
      <c r="O4891" s="17"/>
      <c r="P4891" s="18">
        <v>42211.187060185184</v>
      </c>
      <c r="Q4891" s="7"/>
      <c r="R4891" s="7"/>
      <c r="S4891" s="14" t="s">
        <v>23767</v>
      </c>
      <c r="T4891" s="8"/>
      <c r="U4891" s="19" t="str">
        <f>HYPERLINK("https://pbs.twimg.com/profile_images/1142831138785955840/uucRddPw.jpg","View")</f>
        <v>View</v>
      </c>
      <c r="V4891" s="8"/>
      <c r="W4891" s="8"/>
      <c r="X4891" s="8"/>
      <c r="Y4891" s="8"/>
      <c r="Z4891" s="8"/>
    </row>
    <row r="4892" spans="1:26" ht="12.75">
      <c r="A4892" s="11">
        <v>43747.103275462963</v>
      </c>
      <c r="B4892" s="12" t="str">
        <f>HYPERLINK("https://twitter.com/tespitimcom","@tespitimcom")</f>
        <v>@tespitimcom</v>
      </c>
      <c r="C4892" s="7" t="s">
        <v>23768</v>
      </c>
      <c r="D4892" s="7" t="s">
        <v>23769</v>
      </c>
      <c r="E4892" s="12" t="str">
        <f>HYPERLINK("https://twitter.com/tespitimcom/status/1181864054035492864","1181864054035492864")</f>
        <v>1181864054035492864</v>
      </c>
      <c r="F4892" s="8"/>
      <c r="G4892" s="8"/>
      <c r="H4892" s="8"/>
      <c r="I4892" s="15">
        <v>0</v>
      </c>
      <c r="J4892" s="15">
        <v>1</v>
      </c>
      <c r="K4892" s="12" t="str">
        <f>HYPERLINK("https://mobile.twitter.com","Twitter Web App")</f>
        <v>Twitter Web App</v>
      </c>
      <c r="L4892" s="16">
        <v>1942</v>
      </c>
      <c r="M4892" s="16">
        <v>1958</v>
      </c>
      <c r="N4892" s="16">
        <v>1</v>
      </c>
      <c r="O4892" s="17"/>
      <c r="P4892" s="18">
        <v>41107.583738425928</v>
      </c>
      <c r="Q4892" s="8" t="s">
        <v>4977</v>
      </c>
      <c r="R4892" s="7" t="s">
        <v>23770</v>
      </c>
      <c r="S4892" s="8"/>
      <c r="T4892" s="8"/>
      <c r="U4892" s="19" t="str">
        <f>HYPERLINK("https://pbs.twimg.com/profile_images/1119421414547820547/oryM2Ykg.jpg","View")</f>
        <v>View</v>
      </c>
      <c r="V4892" s="8"/>
      <c r="W4892" s="8"/>
      <c r="X4892" s="8"/>
      <c r="Y4892" s="8"/>
      <c r="Z4892" s="8"/>
    </row>
    <row r="4893" spans="1:26" ht="12.75">
      <c r="A4893" s="11">
        <v>43747.103263888886</v>
      </c>
      <c r="B4893" s="12" t="str">
        <f>HYPERLINK("https://twitter.com/HatunBirKisi_","@HatunBirKisi_")</f>
        <v>@HatunBirKisi_</v>
      </c>
      <c r="C4893" s="7" t="s">
        <v>23771</v>
      </c>
      <c r="D4893" s="7" t="s">
        <v>23772</v>
      </c>
      <c r="E4893" s="12" t="str">
        <f>HYPERLINK("https://twitter.com/HatunBirKisi_/status/1181864052953366528","1181864052953366528")</f>
        <v>1181864052953366528</v>
      </c>
      <c r="F4893" s="8"/>
      <c r="G4893" s="14" t="s">
        <v>23773</v>
      </c>
      <c r="H4893" s="8"/>
      <c r="I4893" s="15">
        <v>0</v>
      </c>
      <c r="J4893" s="15">
        <v>3</v>
      </c>
      <c r="K4893" s="12" t="str">
        <f>HYPERLINK("http://twitter.com/download/android","Twitter for Android")</f>
        <v>Twitter for Android</v>
      </c>
      <c r="L4893" s="16">
        <v>1533</v>
      </c>
      <c r="M4893" s="16">
        <v>328</v>
      </c>
      <c r="N4893" s="16">
        <v>2</v>
      </c>
      <c r="O4893" s="17"/>
      <c r="P4893" s="18">
        <v>41636.611631944441</v>
      </c>
      <c r="Q4893" s="7" t="s">
        <v>23774</v>
      </c>
      <c r="R4893" s="7" t="s">
        <v>23775</v>
      </c>
      <c r="S4893" s="8"/>
      <c r="T4893" s="8"/>
      <c r="U4893" s="19" t="str">
        <f>HYPERLINK("https://pbs.twimg.com/profile_images/1167051961058963456/1440UXKu.jpg","View")</f>
        <v>View</v>
      </c>
      <c r="V4893" s="8"/>
      <c r="W4893" s="8"/>
      <c r="X4893" s="8"/>
      <c r="Y4893" s="8"/>
      <c r="Z4893" s="8"/>
    </row>
    <row r="4894" spans="1:26" ht="12.75">
      <c r="A4894" s="11">
        <v>43747.103206018517</v>
      </c>
      <c r="B4894" s="12" t="str">
        <f>HYPERLINK("https://twitter.com/sedakns","@sedakns")</f>
        <v>@sedakns</v>
      </c>
      <c r="C4894" s="13" t="s">
        <v>23776</v>
      </c>
      <c r="D4894" s="7" t="s">
        <v>23777</v>
      </c>
      <c r="E4894" s="12" t="str">
        <f>HYPERLINK("https://twitter.com/sedakns/status/1181864028630605829","1181864028630605829")</f>
        <v>1181864028630605829</v>
      </c>
      <c r="F4894" s="8"/>
      <c r="G4894" s="14" t="s">
        <v>23778</v>
      </c>
      <c r="H4894" s="8"/>
      <c r="I4894" s="15">
        <v>0</v>
      </c>
      <c r="J4894" s="15">
        <v>4</v>
      </c>
      <c r="K4894" s="12" t="str">
        <f>HYPERLINK("http://twitter.com/download/android","Twitter for Android")</f>
        <v>Twitter for Android</v>
      </c>
      <c r="L4894" s="16">
        <v>218</v>
      </c>
      <c r="M4894" s="16">
        <v>154</v>
      </c>
      <c r="N4894" s="16">
        <v>0</v>
      </c>
      <c r="O4894" s="17"/>
      <c r="P4894" s="18">
        <v>42056.333854166667</v>
      </c>
      <c r="Q4894" s="13"/>
      <c r="R4894" s="13" t="s">
        <v>23779</v>
      </c>
      <c r="S4894" s="14" t="s">
        <v>23780</v>
      </c>
      <c r="T4894" s="8"/>
      <c r="U4894" s="19" t="str">
        <f>HYPERLINK("https://pbs.twimg.com/profile_images/1177598527209385985/94BKLBsP.jpg","View")</f>
        <v>View</v>
      </c>
      <c r="V4894" s="8"/>
      <c r="W4894" s="8"/>
      <c r="X4894" s="8"/>
      <c r="Y4894" s="8"/>
      <c r="Z4894" s="8"/>
    </row>
    <row r="4895" spans="1:26" ht="12.75">
      <c r="A4895" s="11">
        <v>43747.103171296301</v>
      </c>
      <c r="B4895" s="12" t="str">
        <f>HYPERLINK("https://twitter.com/furkancetinkya4","@furkancetinkya4")</f>
        <v>@furkancetinkya4</v>
      </c>
      <c r="C4895" s="7" t="s">
        <v>23781</v>
      </c>
      <c r="D4895" s="7" t="s">
        <v>23782</v>
      </c>
      <c r="E4895" s="12" t="str">
        <f>HYPERLINK("https://twitter.com/furkancetinkya4/status/1181864018006417408","1181864018006417408")</f>
        <v>1181864018006417408</v>
      </c>
      <c r="F4895" s="8"/>
      <c r="G4895" s="14" t="s">
        <v>23783</v>
      </c>
      <c r="H4895" s="8"/>
      <c r="I4895" s="15">
        <v>0</v>
      </c>
      <c r="J4895" s="15">
        <v>1</v>
      </c>
      <c r="K4895" s="12" t="str">
        <f>HYPERLINK("http://twitter.com/download/android","Twitter for Android")</f>
        <v>Twitter for Android</v>
      </c>
      <c r="L4895" s="16">
        <v>36</v>
      </c>
      <c r="M4895" s="16">
        <v>109</v>
      </c>
      <c r="N4895" s="16">
        <v>0</v>
      </c>
      <c r="O4895" s="17"/>
      <c r="P4895" s="18">
        <v>43367.517326388886</v>
      </c>
      <c r="Q4895" s="8" t="s">
        <v>10130</v>
      </c>
      <c r="R4895" s="8" t="s">
        <v>23784</v>
      </c>
      <c r="S4895" s="8"/>
      <c r="T4895" s="8"/>
      <c r="U4895" s="19" t="str">
        <f>HYPERLINK("https://pbs.twimg.com/profile_images/1163937812674220034/KvJNrk3l.jpg","View")</f>
        <v>View</v>
      </c>
      <c r="V4895" s="8"/>
      <c r="W4895" s="8"/>
      <c r="X4895" s="8"/>
      <c r="Y4895" s="8"/>
      <c r="Z4895" s="8"/>
    </row>
    <row r="4896" spans="1:26" ht="12.75">
      <c r="A4896" s="11">
        <v>43747.103171296301</v>
      </c>
      <c r="B4896" s="12" t="str">
        <f>HYPERLINK("https://twitter.com/Husarzif_","@Husarzif_")</f>
        <v>@Husarzif_</v>
      </c>
      <c r="C4896" s="7" t="s">
        <v>23785</v>
      </c>
      <c r="D4896" s="7" t="s">
        <v>160</v>
      </c>
      <c r="E4896" s="12" t="str">
        <f>HYPERLINK("https://twitter.com/Husarzif_/status/1181864016605581312","1181864016605581312")</f>
        <v>1181864016605581312</v>
      </c>
      <c r="F4896" s="8"/>
      <c r="G4896" s="14" t="s">
        <v>23786</v>
      </c>
      <c r="H4896" s="8"/>
      <c r="I4896" s="15">
        <v>0</v>
      </c>
      <c r="J4896" s="15">
        <v>2</v>
      </c>
      <c r="K4896" s="12" t="str">
        <f>HYPERLINK("http://twitter.com/download/android","Twitter for Android")</f>
        <v>Twitter for Android</v>
      </c>
      <c r="L4896" s="16">
        <v>18</v>
      </c>
      <c r="M4896" s="16">
        <v>29</v>
      </c>
      <c r="N4896" s="16">
        <v>0</v>
      </c>
      <c r="O4896" s="17"/>
      <c r="P4896" s="18">
        <v>43646.575486111113</v>
      </c>
      <c r="Q4896" s="8" t="s">
        <v>23787</v>
      </c>
      <c r="R4896" s="7"/>
      <c r="S4896" s="8"/>
      <c r="T4896" s="8"/>
      <c r="U4896" s="19" t="str">
        <f>HYPERLINK("https://pbs.twimg.com/profile_images/1178721518727155713/mAVEPTCY.jpg","View")</f>
        <v>View</v>
      </c>
      <c r="V4896" s="8"/>
      <c r="W4896" s="8"/>
      <c r="X4896" s="8"/>
      <c r="Y4896" s="8"/>
      <c r="Z4896" s="8"/>
    </row>
    <row r="4897" spans="1:26" ht="12.75">
      <c r="A4897" s="11">
        <v>43747.103159722217</v>
      </c>
      <c r="B4897" s="12" t="str">
        <f>HYPERLINK("https://twitter.com/elifakanurazin","@elifakanurazin")</f>
        <v>@elifakanurazin</v>
      </c>
      <c r="C4897" s="7" t="s">
        <v>23788</v>
      </c>
      <c r="D4897" s="7" t="s">
        <v>23789</v>
      </c>
      <c r="E4897" s="12" t="str">
        <f>HYPERLINK("https://twitter.com/elifakanurazin/status/1181864014147665920","1181864014147665920")</f>
        <v>1181864014147665920</v>
      </c>
      <c r="F4897" s="8"/>
      <c r="G4897" s="14" t="s">
        <v>23790</v>
      </c>
      <c r="H4897" s="8"/>
      <c r="I4897" s="15">
        <v>0</v>
      </c>
      <c r="J4897" s="15">
        <v>4</v>
      </c>
      <c r="K4897" s="12" t="str">
        <f>HYPERLINK("http://twitter.com/download/android","Twitter for Android")</f>
        <v>Twitter for Android</v>
      </c>
      <c r="L4897" s="16">
        <v>520</v>
      </c>
      <c r="M4897" s="16">
        <v>442</v>
      </c>
      <c r="N4897" s="16">
        <v>1</v>
      </c>
      <c r="O4897" s="17"/>
      <c r="P4897" s="18">
        <v>41167.591550925928</v>
      </c>
      <c r="Q4897" s="7" t="s">
        <v>2520</v>
      </c>
      <c r="R4897" s="7" t="s">
        <v>23791</v>
      </c>
      <c r="S4897" s="15"/>
      <c r="T4897" s="8"/>
      <c r="U4897" s="19" t="str">
        <f>HYPERLINK("https://pbs.twimg.com/profile_images/1164502612970000384/kLzuspIX.jpg","View")</f>
        <v>View</v>
      </c>
      <c r="V4897" s="8"/>
      <c r="W4897" s="8"/>
      <c r="X4897" s="8"/>
      <c r="Y4897" s="8"/>
      <c r="Z4897" s="8"/>
    </row>
    <row r="4898" spans="1:26" ht="12.75">
      <c r="A4898" s="11">
        <v>43747.103090277778</v>
      </c>
      <c r="B4898" s="12" t="str">
        <f>HYPERLINK("https://twitter.com/Ahmttns","@Ahmttns")</f>
        <v>@Ahmttns</v>
      </c>
      <c r="C4898" s="7" t="s">
        <v>2347</v>
      </c>
      <c r="D4898" s="7" t="s">
        <v>15054</v>
      </c>
      <c r="E4898" s="12" t="str">
        <f>HYPERLINK("https://twitter.com/Ahmttns/status/1181863989573275648","1181863989573275648")</f>
        <v>1181863989573275648</v>
      </c>
      <c r="F4898" s="8"/>
      <c r="G4898" s="8"/>
      <c r="H4898" s="8"/>
      <c r="I4898" s="15">
        <v>0</v>
      </c>
      <c r="J4898" s="15">
        <v>7</v>
      </c>
      <c r="K4898" s="12" t="str">
        <f>HYPERLINK("http://twitter.com/download/iphone","Twitter for iPhone")</f>
        <v>Twitter for iPhone</v>
      </c>
      <c r="L4898" s="16">
        <v>808</v>
      </c>
      <c r="M4898" s="16">
        <v>805</v>
      </c>
      <c r="N4898" s="16">
        <v>0</v>
      </c>
      <c r="O4898" s="17"/>
      <c r="P4898" s="18">
        <v>40995.341585648144</v>
      </c>
      <c r="Q4898" s="7" t="s">
        <v>313</v>
      </c>
      <c r="R4898" s="7"/>
      <c r="S4898" s="14" t="s">
        <v>23792</v>
      </c>
      <c r="T4898" s="8"/>
      <c r="U4898" s="19" t="str">
        <f>HYPERLINK("https://pbs.twimg.com/profile_images/1176724623058264069/HZbS-qrB.jpg","View")</f>
        <v>View</v>
      </c>
      <c r="V4898" s="8"/>
      <c r="W4898" s="8"/>
      <c r="X4898" s="8"/>
      <c r="Y4898" s="8"/>
      <c r="Z4898" s="8"/>
    </row>
    <row r="4899" spans="1:26" ht="12.75">
      <c r="A4899" s="11">
        <v>43747.103055555555</v>
      </c>
      <c r="B4899" s="12" t="str">
        <f>HYPERLINK("https://twitter.com/_HABERCi__","@_HABERCi__")</f>
        <v>@_HABERCi__</v>
      </c>
      <c r="C4899" s="7" t="s">
        <v>23793</v>
      </c>
      <c r="D4899" s="7" t="s">
        <v>19914</v>
      </c>
      <c r="E4899" s="12" t="str">
        <f>HYPERLINK("https://twitter.com/_HABERCi__/status/1181863977598492673","1181863977598492673")</f>
        <v>1181863977598492673</v>
      </c>
      <c r="F4899" s="8"/>
      <c r="G4899" s="14" t="s">
        <v>23794</v>
      </c>
      <c r="H4899" s="8"/>
      <c r="I4899" s="15">
        <v>0</v>
      </c>
      <c r="J4899" s="15">
        <v>1</v>
      </c>
      <c r="K4899" s="12" t="str">
        <f>HYPERLINK("https://mobile.twitter.com","Twitter Web App")</f>
        <v>Twitter Web App</v>
      </c>
      <c r="L4899" s="16">
        <v>21</v>
      </c>
      <c r="M4899" s="16">
        <v>24</v>
      </c>
      <c r="N4899" s="16">
        <v>0</v>
      </c>
      <c r="O4899" s="17"/>
      <c r="P4899" s="18">
        <v>43685.350162037037</v>
      </c>
      <c r="Q4899" s="7"/>
      <c r="R4899" s="8" t="s">
        <v>807</v>
      </c>
      <c r="S4899" s="8"/>
      <c r="T4899" s="8"/>
      <c r="U4899" s="19" t="str">
        <f>HYPERLINK("https://pbs.twimg.com/profile_images/1159485725093617665/wmTbMxJL.jpg","View")</f>
        <v>View</v>
      </c>
      <c r="V4899" s="8"/>
      <c r="W4899" s="8"/>
      <c r="X4899" s="8"/>
      <c r="Y4899" s="8"/>
      <c r="Z4899" s="8"/>
    </row>
    <row r="4900" spans="1:26" ht="12.75">
      <c r="A4900" s="11">
        <v>43747.102905092594</v>
      </c>
      <c r="B4900" s="12" t="str">
        <f>HYPERLINK("https://twitter.com/seyyidiparlak","@seyyidiparlak")</f>
        <v>@seyyidiparlak</v>
      </c>
      <c r="C4900" s="7" t="s">
        <v>23795</v>
      </c>
      <c r="D4900" s="7" t="s">
        <v>23796</v>
      </c>
      <c r="E4900" s="12" t="str">
        <f>HYPERLINK("https://twitter.com/seyyidiparlak/status/1181863921629704192","1181863921629704192")</f>
        <v>1181863921629704192</v>
      </c>
      <c r="F4900" s="8"/>
      <c r="G4900" s="14" t="s">
        <v>23797</v>
      </c>
      <c r="H4900" s="8"/>
      <c r="I4900" s="15">
        <v>1</v>
      </c>
      <c r="J4900" s="15">
        <v>11</v>
      </c>
      <c r="K4900" s="12" t="str">
        <f>HYPERLINK("http://twitter.com/download/android","Twitter for Android")</f>
        <v>Twitter for Android</v>
      </c>
      <c r="L4900" s="16">
        <v>1010</v>
      </c>
      <c r="M4900" s="16">
        <v>886</v>
      </c>
      <c r="N4900" s="16">
        <v>7</v>
      </c>
      <c r="O4900" s="17"/>
      <c r="P4900" s="18">
        <v>40459.996249999997</v>
      </c>
      <c r="Q4900" s="7" t="s">
        <v>313</v>
      </c>
      <c r="R4900" s="7" t="s">
        <v>23798</v>
      </c>
      <c r="S4900" s="14" t="s">
        <v>23799</v>
      </c>
      <c r="T4900" s="8"/>
      <c r="U4900" s="19" t="str">
        <f>HYPERLINK("https://pbs.twimg.com/profile_images/1147326245232922624/psrmYtma.jpg","View")</f>
        <v>View</v>
      </c>
      <c r="V4900" s="8"/>
      <c r="W4900" s="8"/>
      <c r="X4900" s="8"/>
      <c r="Y4900" s="8"/>
      <c r="Z4900" s="8"/>
    </row>
    <row r="4901" spans="1:26" ht="12.75">
      <c r="A4901" s="11">
        <v>43747.102858796294</v>
      </c>
      <c r="B4901" s="12" t="str">
        <f>HYPERLINK("https://twitter.com/mvflrnssvn","@mvflrnssvn")</f>
        <v>@mvflrnssvn</v>
      </c>
      <c r="C4901" s="7" t="s">
        <v>23800</v>
      </c>
      <c r="D4901" s="7" t="s">
        <v>23801</v>
      </c>
      <c r="E4901" s="12" t="str">
        <f>HYPERLINK("https://twitter.com/mvflrnssvn/status/1181863902897983488","1181863902897983488")</f>
        <v>1181863902897983488</v>
      </c>
      <c r="F4901" s="8"/>
      <c r="G4901" s="8"/>
      <c r="H4901" s="8"/>
      <c r="I4901" s="15">
        <v>0</v>
      </c>
      <c r="J4901" s="15">
        <v>0</v>
      </c>
      <c r="K4901" s="12" t="str">
        <f>HYPERLINK("http://twitter.com/download/android","Twitter for Android")</f>
        <v>Twitter for Android</v>
      </c>
      <c r="L4901" s="16">
        <v>11</v>
      </c>
      <c r="M4901" s="16">
        <v>130</v>
      </c>
      <c r="N4901" s="16">
        <v>0</v>
      </c>
      <c r="O4901" s="17"/>
      <c r="P4901" s="18">
        <v>43646.34611111111</v>
      </c>
      <c r="Q4901" s="7"/>
      <c r="R4901" s="7"/>
      <c r="S4901" s="8"/>
      <c r="T4901" s="8"/>
      <c r="U4901" s="19" t="str">
        <f>HYPERLINK("https://pbs.twimg.com/profile_images/1179439067202772992/FjrHMHkR.jpg","View")</f>
        <v>View</v>
      </c>
      <c r="V4901" s="8"/>
      <c r="W4901" s="8"/>
      <c r="X4901" s="8"/>
      <c r="Y4901" s="8"/>
      <c r="Z4901" s="8"/>
    </row>
    <row r="4902" spans="1:26" ht="12.75">
      <c r="A4902" s="11">
        <v>43747.102835648147</v>
      </c>
      <c r="B4902" s="12" t="str">
        <f>HYPERLINK("https://twitter.com/kuku_nilgun","@kuku_nilgun")</f>
        <v>@kuku_nilgun</v>
      </c>
      <c r="C4902" s="7" t="s">
        <v>23802</v>
      </c>
      <c r="D4902" s="7" t="s">
        <v>23803</v>
      </c>
      <c r="E4902" s="12" t="str">
        <f>HYPERLINK("https://twitter.com/kuku_nilgun/status/1181863895994163200","1181863895994163200")</f>
        <v>1181863895994163200</v>
      </c>
      <c r="F4902" s="8"/>
      <c r="G4902" s="14" t="s">
        <v>23804</v>
      </c>
      <c r="H4902" s="8"/>
      <c r="I4902" s="15">
        <v>0</v>
      </c>
      <c r="J4902" s="15">
        <v>1</v>
      </c>
      <c r="K4902" s="12" t="str">
        <f>HYPERLINK("http://twitter.com/download/android","Twitter for Android")</f>
        <v>Twitter for Android</v>
      </c>
      <c r="L4902" s="16">
        <v>0</v>
      </c>
      <c r="M4902" s="16">
        <v>0</v>
      </c>
      <c r="N4902" s="16">
        <v>0</v>
      </c>
      <c r="O4902" s="17"/>
      <c r="P4902" s="18">
        <v>43736.21975694444</v>
      </c>
      <c r="Q4902" s="7" t="s">
        <v>7981</v>
      </c>
      <c r="R4902" s="7" t="s">
        <v>23805</v>
      </c>
      <c r="S4902" s="15"/>
      <c r="T4902" s="8"/>
      <c r="U4902" s="19" t="str">
        <f>HYPERLINK("https://pbs.twimg.com/profile_images/1179129910490783750/L0i6Ic8x.jpg","View")</f>
        <v>View</v>
      </c>
      <c r="V4902" s="8"/>
      <c r="W4902" s="8"/>
      <c r="X4902" s="8"/>
      <c r="Y4902" s="8"/>
      <c r="Z4902" s="8"/>
    </row>
    <row r="4903" spans="1:26" ht="12.75">
      <c r="A4903" s="11">
        <v>43747.102824074071</v>
      </c>
      <c r="B4903" s="12" t="str">
        <f>HYPERLINK("https://twitter.com/serefakcay_","@serefakcay_")</f>
        <v>@serefakcay_</v>
      </c>
      <c r="C4903" s="7" t="s">
        <v>23806</v>
      </c>
      <c r="D4903" s="7" t="s">
        <v>23807</v>
      </c>
      <c r="E4903" s="12" t="str">
        <f>HYPERLINK("https://twitter.com/serefakcay_/status/1181863891695030272","1181863891695030272")</f>
        <v>1181863891695030272</v>
      </c>
      <c r="F4903" s="8"/>
      <c r="G4903" s="14" t="s">
        <v>23808</v>
      </c>
      <c r="H4903" s="8"/>
      <c r="I4903" s="15">
        <v>0</v>
      </c>
      <c r="J4903" s="15">
        <v>2</v>
      </c>
      <c r="K4903" s="12" t="str">
        <f>HYPERLINK("http://twitter.com/download/android","Twitter for Android")</f>
        <v>Twitter for Android</v>
      </c>
      <c r="L4903" s="16">
        <v>275</v>
      </c>
      <c r="M4903" s="16">
        <v>361</v>
      </c>
      <c r="N4903" s="16">
        <v>0</v>
      </c>
      <c r="O4903" s="17"/>
      <c r="P4903" s="18">
        <v>42936.309317129635</v>
      </c>
      <c r="Q4903" s="7"/>
      <c r="R4903" s="7" t="s">
        <v>23809</v>
      </c>
      <c r="S4903" s="8"/>
      <c r="T4903" s="8"/>
      <c r="U4903" s="19" t="str">
        <f>HYPERLINK("https://pbs.twimg.com/profile_images/1164257792888385537/oTs7Iltg.jpg","View")</f>
        <v>View</v>
      </c>
      <c r="V4903" s="8"/>
      <c r="W4903" s="8"/>
      <c r="X4903" s="8"/>
      <c r="Y4903" s="8"/>
      <c r="Z4903" s="8"/>
    </row>
    <row r="4904" spans="1:26" ht="12.75">
      <c r="A4904" s="11">
        <v>43747.102812500001</v>
      </c>
      <c r="B4904" s="12" t="str">
        <f>HYPERLINK("https://twitter.com/Furkan84177435","@Furkan84177435")</f>
        <v>@Furkan84177435</v>
      </c>
      <c r="C4904" s="7" t="s">
        <v>3141</v>
      </c>
      <c r="D4904" s="7" t="s">
        <v>23810</v>
      </c>
      <c r="E4904" s="12" t="str">
        <f>HYPERLINK("https://twitter.com/Furkan84177435/status/1181863889018990592","1181863889018990592")</f>
        <v>1181863889018990592</v>
      </c>
      <c r="F4904" s="8"/>
      <c r="G4904" s="14" t="s">
        <v>23811</v>
      </c>
      <c r="H4904" s="8"/>
      <c r="I4904" s="15">
        <v>0</v>
      </c>
      <c r="J4904" s="15">
        <v>1</v>
      </c>
      <c r="K4904" s="12" t="str">
        <f>HYPERLINK("http://twitter.com/download/android","Twitter for Android")</f>
        <v>Twitter for Android</v>
      </c>
      <c r="L4904" s="16">
        <v>210</v>
      </c>
      <c r="M4904" s="16">
        <v>194</v>
      </c>
      <c r="N4904" s="16">
        <v>0</v>
      </c>
      <c r="O4904" s="17"/>
      <c r="P4904" s="18">
        <v>43364.193252314813</v>
      </c>
      <c r="Q4904" s="8"/>
      <c r="R4904" s="8" t="s">
        <v>23812</v>
      </c>
      <c r="S4904" s="8"/>
      <c r="T4904" s="8"/>
      <c r="U4904" s="19" t="str">
        <f>HYPERLINK("https://pbs.twimg.com/profile_images/1173032773604532224/lplHyE4x.jpg","View")</f>
        <v>View</v>
      </c>
      <c r="V4904" s="8"/>
      <c r="W4904" s="8"/>
      <c r="X4904" s="8"/>
      <c r="Y4904" s="8"/>
      <c r="Z4904" s="8"/>
    </row>
    <row r="4905" spans="1:26" ht="12.75">
      <c r="A4905" s="11">
        <v>43747.102800925924</v>
      </c>
      <c r="B4905" s="12" t="str">
        <f>HYPERLINK("https://twitter.com/RizYigit","@RizYigit")</f>
        <v>@RizYigit</v>
      </c>
      <c r="C4905" s="7" t="s">
        <v>23813</v>
      </c>
      <c r="D4905" s="7" t="s">
        <v>13923</v>
      </c>
      <c r="E4905" s="12" t="str">
        <f>HYPERLINK("https://twitter.com/RizYigit/status/1181863882362630144","1181863882362630144")</f>
        <v>1181863882362630144</v>
      </c>
      <c r="F4905" s="8"/>
      <c r="G4905" s="14" t="s">
        <v>21666</v>
      </c>
      <c r="H4905" s="8"/>
      <c r="I4905" s="15">
        <v>0</v>
      </c>
      <c r="J4905" s="15">
        <v>1</v>
      </c>
      <c r="K4905" s="12" t="str">
        <f>HYPERLINK("http://twitter.com/download/android","Twitter for Android")</f>
        <v>Twitter for Android</v>
      </c>
      <c r="L4905" s="16">
        <v>59</v>
      </c>
      <c r="M4905" s="16">
        <v>105</v>
      </c>
      <c r="N4905" s="16">
        <v>0</v>
      </c>
      <c r="O4905" s="17"/>
      <c r="P4905" s="18">
        <v>42843.557164351849</v>
      </c>
      <c r="Q4905" s="8" t="s">
        <v>1622</v>
      </c>
      <c r="R4905" s="8" t="s">
        <v>807</v>
      </c>
      <c r="S4905" s="8"/>
      <c r="T4905" s="8"/>
      <c r="U4905" s="19" t="str">
        <f>HYPERLINK("https://pbs.twimg.com/profile_images/1130931216717422597/U89hdZFA.jpg","View")</f>
        <v>View</v>
      </c>
      <c r="V4905" s="8"/>
      <c r="W4905" s="8"/>
      <c r="X4905" s="8"/>
      <c r="Y4905" s="8"/>
      <c r="Z4905" s="8"/>
    </row>
    <row r="4906" spans="1:26" ht="12.75">
      <c r="A4906" s="11">
        <v>43747.102789351848</v>
      </c>
      <c r="B4906" s="12" t="str">
        <f>HYPERLINK("https://twitter.com/bir_lik_te","@bir_lik_te")</f>
        <v>@bir_lik_te</v>
      </c>
      <c r="C4906" s="7" t="s">
        <v>23814</v>
      </c>
      <c r="D4906" s="7" t="s">
        <v>23815</v>
      </c>
      <c r="E4906" s="12" t="str">
        <f>HYPERLINK("https://twitter.com/bir_lik_te/status/1181863880550764545","1181863880550764545")</f>
        <v>1181863880550764545</v>
      </c>
      <c r="F4906" s="8" t="s">
        <v>23816</v>
      </c>
      <c r="G4906" s="15"/>
      <c r="H4906" s="8"/>
      <c r="I4906" s="15">
        <v>0</v>
      </c>
      <c r="J4906" s="15">
        <v>0</v>
      </c>
      <c r="K4906" s="12" t="str">
        <f>HYPERLINK("http://twitter.com/download/android","Twitter for Android")</f>
        <v>Twitter for Android</v>
      </c>
      <c r="L4906" s="16">
        <v>442</v>
      </c>
      <c r="M4906" s="16">
        <v>737</v>
      </c>
      <c r="N4906" s="16">
        <v>0</v>
      </c>
      <c r="O4906" s="17"/>
      <c r="P4906" s="18">
        <v>42377.095821759256</v>
      </c>
      <c r="Q4906" s="7"/>
      <c r="R4906" s="7" t="s">
        <v>23817</v>
      </c>
      <c r="S4906" s="8"/>
      <c r="T4906" s="8"/>
      <c r="U4906" s="19" t="str">
        <f>HYPERLINK("https://pbs.twimg.com/profile_images/998147994317828097/VycrkNDj.jpg","View")</f>
        <v>View</v>
      </c>
      <c r="V4906" s="8"/>
      <c r="W4906" s="8"/>
      <c r="X4906" s="8"/>
      <c r="Y4906" s="8"/>
      <c r="Z4906" s="8"/>
    </row>
    <row r="4907" spans="1:26" ht="12.75">
      <c r="A4907" s="11">
        <v>43747.102777777778</v>
      </c>
      <c r="B4907" s="12" t="str">
        <f>HYPERLINK("https://twitter.com/mit76356984","@mit76356984")</f>
        <v>@mit76356984</v>
      </c>
      <c r="C4907" s="7" t="s">
        <v>23818</v>
      </c>
      <c r="D4907" s="7" t="s">
        <v>23819</v>
      </c>
      <c r="E4907" s="12" t="str">
        <f>HYPERLINK("https://twitter.com/mit76356984/status/1181863873835610113","1181863873835610113")</f>
        <v>1181863873835610113</v>
      </c>
      <c r="F4907" s="8"/>
      <c r="G4907" s="14" t="s">
        <v>23820</v>
      </c>
      <c r="H4907" s="8"/>
      <c r="I4907" s="15">
        <v>0</v>
      </c>
      <c r="J4907" s="15">
        <v>0</v>
      </c>
      <c r="K4907" s="12" t="str">
        <f>HYPERLINK("http://twitter.com/download/iphone","Twitter for iPhone")</f>
        <v>Twitter for iPhone</v>
      </c>
      <c r="L4907" s="16">
        <v>41</v>
      </c>
      <c r="M4907" s="16">
        <v>197</v>
      </c>
      <c r="N4907" s="16">
        <v>0</v>
      </c>
      <c r="O4907" s="17"/>
      <c r="P4907" s="18">
        <v>43275.976168981477</v>
      </c>
      <c r="Q4907" s="8"/>
      <c r="R4907" s="8"/>
      <c r="S4907" s="8"/>
      <c r="T4907" s="8"/>
      <c r="U4907" s="19" t="str">
        <f>HYPERLINK("https://pbs.twimg.com/profile_images/1120542248633098240/q2BkYqML.jpg","View")</f>
        <v>View</v>
      </c>
      <c r="V4907" s="8"/>
      <c r="W4907" s="8"/>
      <c r="X4907" s="8"/>
      <c r="Y4907" s="8"/>
      <c r="Z4907" s="8"/>
    </row>
    <row r="4908" spans="1:26" ht="12.75">
      <c r="A4908" s="11">
        <v>43747.102754629625</v>
      </c>
      <c r="B4908" s="12" t="str">
        <f>HYPERLINK("https://twitter.com/AlPolarbear","@AlPolarbear")</f>
        <v>@AlPolarbear</v>
      </c>
      <c r="C4908" s="7" t="s">
        <v>23821</v>
      </c>
      <c r="D4908" s="7" t="s">
        <v>23822</v>
      </c>
      <c r="E4908" s="12" t="str">
        <f>HYPERLINK("https://twitter.com/AlPolarbear/status/1181863867808399360","1181863867808399360")</f>
        <v>1181863867808399360</v>
      </c>
      <c r="F4908" s="8"/>
      <c r="G4908" s="8"/>
      <c r="H4908" s="8"/>
      <c r="I4908" s="15">
        <v>0</v>
      </c>
      <c r="J4908" s="15">
        <v>0</v>
      </c>
      <c r="K4908" s="12" t="str">
        <f>HYPERLINK("https://mobile.twitter.com","Twitter Web App")</f>
        <v>Twitter Web App</v>
      </c>
      <c r="L4908" s="16">
        <v>151</v>
      </c>
      <c r="M4908" s="16">
        <v>201</v>
      </c>
      <c r="N4908" s="16">
        <v>0</v>
      </c>
      <c r="O4908" s="17"/>
      <c r="P4908" s="18">
        <v>43539.319502314815</v>
      </c>
      <c r="Q4908" s="8" t="s">
        <v>23823</v>
      </c>
      <c r="R4908" s="8" t="s">
        <v>23824</v>
      </c>
      <c r="S4908" s="8"/>
      <c r="T4908" s="8"/>
      <c r="U4908" s="19" t="str">
        <f>HYPERLINK("https://pbs.twimg.com/profile_images/1148358025746571265/g0DGNaTI.jpg","View")</f>
        <v>View</v>
      </c>
      <c r="V4908" s="8"/>
      <c r="W4908" s="8"/>
      <c r="X4908" s="8"/>
      <c r="Y4908" s="8"/>
      <c r="Z4908" s="8"/>
    </row>
    <row r="4909" spans="1:26" ht="12.75">
      <c r="A4909" s="11">
        <v>43747.102719907409</v>
      </c>
      <c r="B4909" s="12" t="str">
        <f>HYPERLINK("https://twitter.com/Trnayse","@Trnayse")</f>
        <v>@Trnayse</v>
      </c>
      <c r="C4909" s="7" t="s">
        <v>23825</v>
      </c>
      <c r="D4909" s="7" t="s">
        <v>23826</v>
      </c>
      <c r="E4909" s="12" t="str">
        <f>HYPERLINK("https://twitter.com/Trnayse/status/1181863853690368000","1181863853690368000")</f>
        <v>1181863853690368000</v>
      </c>
      <c r="F4909" s="8"/>
      <c r="G4909" s="15"/>
      <c r="H4909" s="8"/>
      <c r="I4909" s="15">
        <v>0</v>
      </c>
      <c r="J4909" s="15">
        <v>1</v>
      </c>
      <c r="K4909" s="12" t="str">
        <f>HYPERLINK("https://mobile.twitter.com","Twitter Web App")</f>
        <v>Twitter Web App</v>
      </c>
      <c r="L4909" s="16">
        <v>87</v>
      </c>
      <c r="M4909" s="16">
        <v>104</v>
      </c>
      <c r="N4909" s="16">
        <v>0</v>
      </c>
      <c r="O4909" s="17"/>
      <c r="P4909" s="18">
        <v>40982.202997685185</v>
      </c>
      <c r="Q4909" s="7" t="s">
        <v>13727</v>
      </c>
      <c r="R4909" s="7" t="s">
        <v>23827</v>
      </c>
      <c r="S4909" s="15"/>
      <c r="T4909" s="8"/>
      <c r="U4909" s="19" t="str">
        <f>HYPERLINK("https://pbs.twimg.com/profile_images/874888581936009217/yCUP-ng3.jpg","View")</f>
        <v>View</v>
      </c>
      <c r="V4909" s="8"/>
      <c r="W4909" s="8"/>
      <c r="X4909" s="8"/>
      <c r="Y4909" s="8"/>
      <c r="Z4909" s="8"/>
    </row>
    <row r="4910" spans="1:26" ht="12.75">
      <c r="A4910" s="11">
        <v>43747.102673611109</v>
      </c>
      <c r="B4910" s="12" t="str">
        <f>HYPERLINK("https://twitter.com/_Olasiliksiz_","@_Olasiliksiz_")</f>
        <v>@_Olasiliksiz_</v>
      </c>
      <c r="C4910" s="7" t="s">
        <v>23828</v>
      </c>
      <c r="D4910" s="7" t="s">
        <v>23829</v>
      </c>
      <c r="E4910" s="12" t="str">
        <f>HYPERLINK("https://twitter.com/_Olasiliksiz_/status/1181863837814968320","1181863837814968320")</f>
        <v>1181863837814968320</v>
      </c>
      <c r="F4910" s="8"/>
      <c r="G4910" s="8"/>
      <c r="H4910" s="8"/>
      <c r="I4910" s="15">
        <v>1</v>
      </c>
      <c r="J4910" s="15">
        <v>13</v>
      </c>
      <c r="K4910" s="12" t="str">
        <f>HYPERLINK("http://twitter.com/download/android","Twitter for Android")</f>
        <v>Twitter for Android</v>
      </c>
      <c r="L4910" s="16">
        <v>15748</v>
      </c>
      <c r="M4910" s="16">
        <v>16193</v>
      </c>
      <c r="N4910" s="16">
        <v>7</v>
      </c>
      <c r="O4910" s="17"/>
      <c r="P4910" s="18">
        <v>42426.137048611112</v>
      </c>
      <c r="Q4910" s="7" t="s">
        <v>23830</v>
      </c>
      <c r="R4910" s="7" t="s">
        <v>23831</v>
      </c>
      <c r="S4910" s="8"/>
      <c r="T4910" s="8"/>
      <c r="U4910" s="19" t="str">
        <f>HYPERLINK("https://pbs.twimg.com/profile_images/1175038925825609729/n43aAXWe.jpg","View")</f>
        <v>View</v>
      </c>
      <c r="V4910" s="8"/>
      <c r="W4910" s="8"/>
      <c r="X4910" s="8"/>
      <c r="Y4910" s="8"/>
      <c r="Z4910" s="8"/>
    </row>
    <row r="4911" spans="1:26" ht="12.75">
      <c r="A4911" s="11">
        <v>43747.102673611109</v>
      </c>
      <c r="B4911" s="12" t="str">
        <f>HYPERLINK("https://twitter.com/mustafaatas1905","@mustafaatas1905")</f>
        <v>@mustafaatas1905</v>
      </c>
      <c r="C4911" s="7" t="s">
        <v>23832</v>
      </c>
      <c r="D4911" s="7" t="s">
        <v>8731</v>
      </c>
      <c r="E4911" s="12" t="str">
        <f>HYPERLINK("https://twitter.com/mustafaatas1905/status/1181863836334399488","1181863836334399488")</f>
        <v>1181863836334399488</v>
      </c>
      <c r="F4911" s="8"/>
      <c r="G4911" s="14" t="s">
        <v>23833</v>
      </c>
      <c r="H4911" s="8"/>
      <c r="I4911" s="15">
        <v>0</v>
      </c>
      <c r="J4911" s="15">
        <v>0</v>
      </c>
      <c r="K4911" s="12" t="str">
        <f>HYPERLINK("http://twitter.com/download/iphone","Twitter for iPhone")</f>
        <v>Twitter for iPhone</v>
      </c>
      <c r="L4911" s="16">
        <v>6</v>
      </c>
      <c r="M4911" s="16">
        <v>61</v>
      </c>
      <c r="N4911" s="16">
        <v>0</v>
      </c>
      <c r="O4911" s="17"/>
      <c r="P4911" s="18">
        <v>42571.450324074074</v>
      </c>
      <c r="Q4911" s="8" t="s">
        <v>23834</v>
      </c>
      <c r="R4911" s="8" t="s">
        <v>23834</v>
      </c>
      <c r="S4911" s="8"/>
      <c r="T4911" s="8"/>
      <c r="U4911" s="19" t="str">
        <f>HYPERLINK("https://pbs.twimg.com/profile_images/1117819362751254530/1s1IW64U.jpg","View")</f>
        <v>View</v>
      </c>
      <c r="V4911" s="8"/>
      <c r="W4911" s="8"/>
      <c r="X4911" s="8"/>
      <c r="Y4911" s="8"/>
      <c r="Z4911" s="8"/>
    </row>
    <row r="4912" spans="1:26" ht="12.75">
      <c r="A4912" s="11">
        <v>43747.102650462963</v>
      </c>
      <c r="B4912" s="12" t="str">
        <f>HYPERLINK("https://twitter.com/YucelKum61","@YucelKum61")</f>
        <v>@YucelKum61</v>
      </c>
      <c r="C4912" s="7" t="s">
        <v>23835</v>
      </c>
      <c r="D4912" s="7" t="s">
        <v>23836</v>
      </c>
      <c r="E4912" s="12" t="str">
        <f>HYPERLINK("https://twitter.com/YucelKum61/status/1181863830768488448","1181863830768488448")</f>
        <v>1181863830768488448</v>
      </c>
      <c r="F4912" s="8"/>
      <c r="G4912" s="15"/>
      <c r="H4912" s="8"/>
      <c r="I4912" s="15">
        <v>0</v>
      </c>
      <c r="J4912" s="15">
        <v>1</v>
      </c>
      <c r="K4912" s="12" t="str">
        <f>HYPERLINK("https://mobile.twitter.com","Twitter Web App")</f>
        <v>Twitter Web App</v>
      </c>
      <c r="L4912" s="16">
        <v>123</v>
      </c>
      <c r="M4912" s="16">
        <v>189</v>
      </c>
      <c r="N4912" s="16">
        <v>0</v>
      </c>
      <c r="O4912" s="17"/>
      <c r="P4912" s="18">
        <v>41302.469687500001</v>
      </c>
      <c r="Q4912" s="8"/>
      <c r="R4912" s="7" t="s">
        <v>23837</v>
      </c>
      <c r="S4912" s="8"/>
      <c r="T4912" s="8"/>
      <c r="U4912" s="19" t="str">
        <f>HYPERLINK("https://pbs.twimg.com/profile_images/1173130803582263296/0p3Yj-4o.jpg","View")</f>
        <v>View</v>
      </c>
      <c r="V4912" s="8"/>
      <c r="W4912" s="8"/>
      <c r="X4912" s="8"/>
      <c r="Y4912" s="8"/>
      <c r="Z4912" s="8"/>
    </row>
    <row r="4913" spans="1:26" ht="12.75">
      <c r="A4913" s="11">
        <v>43747.102650462963</v>
      </c>
      <c r="B4913" s="12" t="str">
        <f>HYPERLINK("https://twitter.com/OmerFaruk0654","@OmerFaruk0654")</f>
        <v>@OmerFaruk0654</v>
      </c>
      <c r="C4913" s="7" t="s">
        <v>23838</v>
      </c>
      <c r="D4913" s="7" t="s">
        <v>23839</v>
      </c>
      <c r="E4913" s="12" t="str">
        <f>HYPERLINK("https://twitter.com/OmerFaruk0654/status/1181863828759425029","1181863828759425029")</f>
        <v>1181863828759425029</v>
      </c>
      <c r="F4913" s="8"/>
      <c r="G4913" s="14" t="s">
        <v>23840</v>
      </c>
      <c r="H4913" s="8"/>
      <c r="I4913" s="15">
        <v>0</v>
      </c>
      <c r="J4913" s="15">
        <v>0</v>
      </c>
      <c r="K4913" s="12" t="str">
        <f>HYPERLINK("http://twitter.com/download/android","Twitter for Android")</f>
        <v>Twitter for Android</v>
      </c>
      <c r="L4913" s="16">
        <v>91</v>
      </c>
      <c r="M4913" s="16">
        <v>132</v>
      </c>
      <c r="N4913" s="16">
        <v>0</v>
      </c>
      <c r="O4913" s="17"/>
      <c r="P4913" s="18">
        <v>42930.684884259259</v>
      </c>
      <c r="Q4913" s="7" t="s">
        <v>287</v>
      </c>
      <c r="R4913" s="7" t="s">
        <v>23841</v>
      </c>
      <c r="S4913" s="8"/>
      <c r="T4913" s="8"/>
      <c r="U4913" s="19" t="str">
        <f>HYPERLINK("https://pbs.twimg.com/profile_images/1174408396256284677/n7CWa39N.jpg","View")</f>
        <v>View</v>
      </c>
      <c r="V4913" s="8"/>
      <c r="W4913" s="8"/>
      <c r="X4913" s="8"/>
      <c r="Y4913" s="8"/>
      <c r="Z4913" s="8"/>
    </row>
    <row r="4914" spans="1:26" ht="12.75">
      <c r="A4914" s="11">
        <v>43747.10261574074</v>
      </c>
      <c r="B4914" s="12" t="str">
        <f>HYPERLINK("https://twitter.com/aydnakann","@aydnakann")</f>
        <v>@aydnakann</v>
      </c>
      <c r="C4914" s="7" t="s">
        <v>23842</v>
      </c>
      <c r="D4914" s="7" t="s">
        <v>23843</v>
      </c>
      <c r="E4914" s="12" t="str">
        <f>HYPERLINK("https://twitter.com/aydnakann/status/1181863817778782208","1181863817778782208")</f>
        <v>1181863817778782208</v>
      </c>
      <c r="F4914" s="8"/>
      <c r="G4914" s="8"/>
      <c r="H4914" s="8"/>
      <c r="I4914" s="15">
        <v>0</v>
      </c>
      <c r="J4914" s="15">
        <v>0</v>
      </c>
      <c r="K4914" s="12" t="str">
        <f>HYPERLINK("http://twitter.com/download/android","Twitter for Android")</f>
        <v>Twitter for Android</v>
      </c>
      <c r="L4914" s="16">
        <v>2309</v>
      </c>
      <c r="M4914" s="16">
        <v>2818</v>
      </c>
      <c r="N4914" s="16">
        <v>3</v>
      </c>
      <c r="O4914" s="17"/>
      <c r="P4914" s="18">
        <v>41340.371215277773</v>
      </c>
      <c r="Q4914" s="8" t="s">
        <v>23844</v>
      </c>
      <c r="R4914" s="8" t="s">
        <v>23845</v>
      </c>
      <c r="S4914" s="8"/>
      <c r="T4914" s="8"/>
      <c r="U4914" s="19" t="str">
        <f>HYPERLINK("https://pbs.twimg.com/profile_images/1027996668447412225/SAL3xz42.jpg","View")</f>
        <v>View</v>
      </c>
      <c r="V4914" s="8"/>
      <c r="W4914" s="8"/>
      <c r="X4914" s="8"/>
      <c r="Y4914" s="8"/>
      <c r="Z4914" s="8"/>
    </row>
    <row r="4915" spans="1:26" ht="12.75">
      <c r="A4915" s="11">
        <v>43747.102488425924</v>
      </c>
      <c r="B4915" s="12" t="str">
        <f>HYPERLINK("https://twitter.com/Mert67782322","@Mert67782322")</f>
        <v>@Mert67782322</v>
      </c>
      <c r="C4915" s="7" t="s">
        <v>2540</v>
      </c>
      <c r="D4915" s="7" t="s">
        <v>160</v>
      </c>
      <c r="E4915" s="12" t="str">
        <f>HYPERLINK("https://twitter.com/Mert67782322/status/1181863768378281984","1181863768378281984")</f>
        <v>1181863768378281984</v>
      </c>
      <c r="F4915" s="8"/>
      <c r="G4915" s="14" t="s">
        <v>23846</v>
      </c>
      <c r="H4915" s="8"/>
      <c r="I4915" s="15">
        <v>0</v>
      </c>
      <c r="J4915" s="15">
        <v>0</v>
      </c>
      <c r="K4915" s="12" t="str">
        <f>HYPERLINK("http://twitter.com/download/android","Twitter for Android")</f>
        <v>Twitter for Android</v>
      </c>
      <c r="L4915" s="16">
        <v>1</v>
      </c>
      <c r="M4915" s="16">
        <v>20</v>
      </c>
      <c r="N4915" s="16">
        <v>0</v>
      </c>
      <c r="O4915" s="17"/>
      <c r="P4915" s="18">
        <v>43692.183379629627</v>
      </c>
      <c r="Q4915" s="7"/>
      <c r="R4915" s="7"/>
      <c r="S4915" s="8"/>
      <c r="T4915" s="8"/>
      <c r="U4915" s="20" t="s">
        <v>354</v>
      </c>
      <c r="V4915" s="8"/>
      <c r="W4915" s="8"/>
      <c r="X4915" s="8"/>
      <c r="Y4915" s="8"/>
      <c r="Z4915" s="8"/>
    </row>
    <row r="4916" spans="1:26" ht="12.75">
      <c r="A4916" s="11">
        <v>43747.102465277778</v>
      </c>
      <c r="B4916" s="12" t="str">
        <f>HYPERLINK("https://twitter.com/Siyahnur25_","@Siyahnur25_")</f>
        <v>@Siyahnur25_</v>
      </c>
      <c r="C4916" s="7" t="s">
        <v>23847</v>
      </c>
      <c r="D4916" s="7" t="s">
        <v>23848</v>
      </c>
      <c r="E4916" s="12" t="str">
        <f>HYPERLINK("https://twitter.com/Siyahnur25_/status/1181863763403792384","1181863763403792384")</f>
        <v>1181863763403792384</v>
      </c>
      <c r="F4916" s="8"/>
      <c r="G4916" s="14" t="s">
        <v>23849</v>
      </c>
      <c r="H4916" s="8"/>
      <c r="I4916" s="15">
        <v>10</v>
      </c>
      <c r="J4916" s="15">
        <v>25</v>
      </c>
      <c r="K4916" s="12" t="str">
        <f>HYPERLINK("http://twitter.com/download/android","Twitter for Android")</f>
        <v>Twitter for Android</v>
      </c>
      <c r="L4916" s="16">
        <v>79849</v>
      </c>
      <c r="M4916" s="16">
        <v>13157</v>
      </c>
      <c r="N4916" s="16">
        <v>55</v>
      </c>
      <c r="O4916" s="17"/>
      <c r="P4916" s="18">
        <v>41514.989953703705</v>
      </c>
      <c r="Q4916" s="8"/>
      <c r="R4916" s="7" t="s">
        <v>23850</v>
      </c>
      <c r="S4916" s="8"/>
      <c r="T4916" s="8"/>
      <c r="U4916" s="19" t="str">
        <f>HYPERLINK("https://pbs.twimg.com/profile_images/1094933227708604416/6FGhGZAl.jpg","View")</f>
        <v>View</v>
      </c>
      <c r="V4916" s="8"/>
      <c r="W4916" s="8"/>
      <c r="X4916" s="8"/>
      <c r="Y4916" s="8"/>
      <c r="Z4916" s="8"/>
    </row>
    <row r="4917" spans="1:26" ht="12.75">
      <c r="A4917" s="11">
        <v>43747.102465277778</v>
      </c>
      <c r="B4917" s="12" t="str">
        <f>HYPERLINK("https://twitter.com/AlpayToraman","@AlpayToraman")</f>
        <v>@AlpayToraman</v>
      </c>
      <c r="C4917" s="7" t="s">
        <v>23851</v>
      </c>
      <c r="D4917" s="7" t="s">
        <v>23852</v>
      </c>
      <c r="E4917" s="12" t="str">
        <f>HYPERLINK("https://twitter.com/AlpayToraman/status/1181863761491218432","1181863761491218432")</f>
        <v>1181863761491218432</v>
      </c>
      <c r="F4917" s="14" t="s">
        <v>23853</v>
      </c>
      <c r="G4917" s="15"/>
      <c r="H4917" s="8"/>
      <c r="I4917" s="15">
        <v>0</v>
      </c>
      <c r="J4917" s="15">
        <v>0</v>
      </c>
      <c r="K4917" s="12" t="str">
        <f>HYPERLINK("http://twitter.com/download/iphone","Twitter for iPhone")</f>
        <v>Twitter for iPhone</v>
      </c>
      <c r="L4917" s="16">
        <v>9401</v>
      </c>
      <c r="M4917" s="16">
        <v>9704</v>
      </c>
      <c r="N4917" s="16">
        <v>10</v>
      </c>
      <c r="O4917" s="17"/>
      <c r="P4917" s="18">
        <v>41688.439918981479</v>
      </c>
      <c r="Q4917" s="7" t="s">
        <v>23854</v>
      </c>
      <c r="R4917" s="7" t="s">
        <v>23855</v>
      </c>
      <c r="S4917" s="8"/>
      <c r="T4917" s="8"/>
      <c r="U4917" s="19" t="str">
        <f>HYPERLINK("https://pbs.twimg.com/profile_images/1151567151884640256/B0x5fyH0.jpg","View")</f>
        <v>View</v>
      </c>
      <c r="V4917" s="8"/>
      <c r="W4917" s="8"/>
      <c r="X4917" s="8"/>
      <c r="Y4917" s="8"/>
      <c r="Z4917" s="8"/>
    </row>
    <row r="4918" spans="1:26" ht="12.75">
      <c r="A4918" s="11">
        <v>43747.102430555555</v>
      </c>
      <c r="B4918" s="12" t="str">
        <f>HYPERLINK("https://twitter.com/ArifTerzi53","@ArifTerzi53")</f>
        <v>@ArifTerzi53</v>
      </c>
      <c r="C4918" s="7" t="s">
        <v>23856</v>
      </c>
      <c r="D4918" s="7" t="s">
        <v>160</v>
      </c>
      <c r="E4918" s="12" t="str">
        <f>HYPERLINK("https://twitter.com/ArifTerzi53/status/1181863750799896576","1181863750799896576")</f>
        <v>1181863750799896576</v>
      </c>
      <c r="F4918" s="8"/>
      <c r="G4918" s="14" t="s">
        <v>23857</v>
      </c>
      <c r="H4918" s="8"/>
      <c r="I4918" s="15">
        <v>0</v>
      </c>
      <c r="J4918" s="15">
        <v>0</v>
      </c>
      <c r="K4918" s="12" t="str">
        <f>HYPERLINK("http://twitter.com/download/android","Twitter for Android")</f>
        <v>Twitter for Android</v>
      </c>
      <c r="L4918" s="16">
        <v>13</v>
      </c>
      <c r="M4918" s="16">
        <v>45</v>
      </c>
      <c r="N4918" s="16">
        <v>0</v>
      </c>
      <c r="O4918" s="17"/>
      <c r="P4918" s="18">
        <v>42674.348750000005</v>
      </c>
      <c r="Q4918" s="8" t="s">
        <v>23858</v>
      </c>
      <c r="R4918" s="7"/>
      <c r="S4918" s="8"/>
      <c r="T4918" s="8"/>
      <c r="U4918" s="19" t="str">
        <f>HYPERLINK("https://pbs.twimg.com/profile_images/1125576804885061633/4CBHSrQe.jpg","View")</f>
        <v>View</v>
      </c>
      <c r="V4918" s="8"/>
      <c r="W4918" s="8"/>
      <c r="X4918" s="8"/>
      <c r="Y4918" s="8"/>
      <c r="Z4918" s="8"/>
    </row>
    <row r="4919" spans="1:26" ht="12.75">
      <c r="A4919" s="11">
        <v>43747.102418981478</v>
      </c>
      <c r="B4919" s="12" t="str">
        <f>HYPERLINK("https://twitter.com/cingensarellee","@cingensarellee")</f>
        <v>@cingensarellee</v>
      </c>
      <c r="C4919" s="7" t="s">
        <v>23859</v>
      </c>
      <c r="D4919" s="7" t="s">
        <v>23860</v>
      </c>
      <c r="E4919" s="12" t="str">
        <f>HYPERLINK("https://twitter.com/cingensarellee/status/1181863745410215936","1181863745410215936")</f>
        <v>1181863745410215936</v>
      </c>
      <c r="F4919" s="8"/>
      <c r="G4919" s="14" t="s">
        <v>23861</v>
      </c>
      <c r="H4919" s="8"/>
      <c r="I4919" s="15">
        <v>0</v>
      </c>
      <c r="J4919" s="15">
        <v>1</v>
      </c>
      <c r="K4919" s="12" t="str">
        <f>HYPERLINK("http://twitter.com/download/android","Twitter for Android")</f>
        <v>Twitter for Android</v>
      </c>
      <c r="L4919" s="16">
        <v>58</v>
      </c>
      <c r="M4919" s="16">
        <v>203</v>
      </c>
      <c r="N4919" s="16">
        <v>0</v>
      </c>
      <c r="O4919" s="17"/>
      <c r="P4919" s="18">
        <v>41887.303067129629</v>
      </c>
      <c r="Q4919" s="8" t="s">
        <v>2350</v>
      </c>
      <c r="R4919" s="8" t="s">
        <v>23862</v>
      </c>
      <c r="S4919" s="8"/>
      <c r="T4919" s="8"/>
      <c r="U4919" s="19" t="str">
        <f>HYPERLINK("https://pbs.twimg.com/profile_images/1170344136895008768/0G8TPm3N.jpg","View")</f>
        <v>View</v>
      </c>
      <c r="V4919" s="8"/>
      <c r="W4919" s="8"/>
      <c r="X4919" s="8"/>
      <c r="Y4919" s="8"/>
      <c r="Z4919" s="8"/>
    </row>
    <row r="4920" spans="1:26" ht="12.75">
      <c r="A4920" s="11">
        <v>43747.102349537032</v>
      </c>
      <c r="B4920" s="12" t="str">
        <f>HYPERLINK("https://twitter.com/yavuzselim8044","@yavuzselim8044")</f>
        <v>@yavuzselim8044</v>
      </c>
      <c r="C4920" s="7" t="s">
        <v>23863</v>
      </c>
      <c r="D4920" s="7" t="s">
        <v>160</v>
      </c>
      <c r="E4920" s="12" t="str">
        <f>HYPERLINK("https://twitter.com/yavuzselim8044/status/1181863720479334400","1181863720479334400")</f>
        <v>1181863720479334400</v>
      </c>
      <c r="F4920" s="8"/>
      <c r="G4920" s="14" t="s">
        <v>23864</v>
      </c>
      <c r="H4920" s="8"/>
      <c r="I4920" s="15">
        <v>0</v>
      </c>
      <c r="J4920" s="15">
        <v>0</v>
      </c>
      <c r="K4920" s="12" t="str">
        <f>HYPERLINK("http://twitter.com/download/android","Twitter for Android")</f>
        <v>Twitter for Android</v>
      </c>
      <c r="L4920" s="16">
        <v>1276</v>
      </c>
      <c r="M4920" s="16">
        <v>1379</v>
      </c>
      <c r="N4920" s="16">
        <v>0</v>
      </c>
      <c r="O4920" s="17"/>
      <c r="P4920" s="18">
        <v>42131.14234953704</v>
      </c>
      <c r="Q4920" s="8"/>
      <c r="R4920" s="7" t="s">
        <v>23865</v>
      </c>
      <c r="S4920" s="8"/>
      <c r="T4920" s="8"/>
      <c r="U4920" s="19" t="str">
        <f>HYPERLINK("https://pbs.twimg.com/profile_images/629390845343436800/V9dAgthw.jpg","View")</f>
        <v>View</v>
      </c>
      <c r="V4920" s="8"/>
      <c r="W4920" s="8"/>
      <c r="X4920" s="8"/>
      <c r="Y4920" s="8"/>
      <c r="Z4920" s="8"/>
    </row>
    <row r="4921" spans="1:26" ht="12.75">
      <c r="A4921" s="11">
        <v>43747.102337962962</v>
      </c>
      <c r="B4921" s="12" t="str">
        <f>HYPERLINK("https://twitter.com/CesurJosef","@CesurJosef")</f>
        <v>@CesurJosef</v>
      </c>
      <c r="C4921" s="7" t="s">
        <v>23866</v>
      </c>
      <c r="D4921" s="7" t="s">
        <v>16316</v>
      </c>
      <c r="E4921" s="12" t="str">
        <f>HYPERLINK("https://twitter.com/CesurJosef/status/1181863717526528000","1181863717526528000")</f>
        <v>1181863717526528000</v>
      </c>
      <c r="F4921" s="8"/>
      <c r="G4921" s="14" t="s">
        <v>23867</v>
      </c>
      <c r="H4921" s="8"/>
      <c r="I4921" s="15">
        <v>0</v>
      </c>
      <c r="J4921" s="15">
        <v>0</v>
      </c>
      <c r="K4921" s="12" t="str">
        <f>HYPERLINK("http://twitter.com/download/iphone","Twitter for iPhone")</f>
        <v>Twitter for iPhone</v>
      </c>
      <c r="L4921" s="16">
        <v>23</v>
      </c>
      <c r="M4921" s="16">
        <v>44</v>
      </c>
      <c r="N4921" s="16">
        <v>0</v>
      </c>
      <c r="O4921" s="17"/>
      <c r="P4921" s="18">
        <v>41733.663865740738</v>
      </c>
      <c r="Q4921" s="8"/>
      <c r="R4921" s="8"/>
      <c r="S4921" s="8"/>
      <c r="T4921" s="8"/>
      <c r="U4921" s="19" t="str">
        <f>HYPERLINK("https://pbs.twimg.com/profile_images/1105546156606738442/cDANOCe_.jpg","View")</f>
        <v>View</v>
      </c>
      <c r="V4921" s="8"/>
      <c r="W4921" s="8"/>
      <c r="X4921" s="8"/>
      <c r="Y4921" s="8"/>
      <c r="Z4921" s="8"/>
    </row>
    <row r="4922" spans="1:26" ht="12.75">
      <c r="A4922" s="11">
        <v>43747.102280092593</v>
      </c>
      <c r="B4922" s="12" t="str">
        <f>HYPERLINK("https://twitter.com/sessizkurgu","@sessizkurgu")</f>
        <v>@sessizkurgu</v>
      </c>
      <c r="C4922" s="7" t="s">
        <v>23868</v>
      </c>
      <c r="D4922" s="7" t="s">
        <v>160</v>
      </c>
      <c r="E4922" s="12" t="str">
        <f>HYPERLINK("https://twitter.com/sessizkurgu/status/1181863693329547264","1181863693329547264")</f>
        <v>1181863693329547264</v>
      </c>
      <c r="F4922" s="8"/>
      <c r="G4922" s="15"/>
      <c r="H4922" s="8"/>
      <c r="I4922" s="15">
        <v>0</v>
      </c>
      <c r="J4922" s="15">
        <v>0</v>
      </c>
      <c r="K4922" s="12" t="str">
        <f>HYPERLINK("http://twitter.com/download/android","Twitter for Android")</f>
        <v>Twitter for Android</v>
      </c>
      <c r="L4922" s="16">
        <v>84</v>
      </c>
      <c r="M4922" s="16">
        <v>122</v>
      </c>
      <c r="N4922" s="16">
        <v>0</v>
      </c>
      <c r="O4922" s="17"/>
      <c r="P4922" s="18">
        <v>41003.65006944444</v>
      </c>
      <c r="Q4922" s="8"/>
      <c r="R4922" s="7" t="s">
        <v>23869</v>
      </c>
      <c r="S4922" s="8"/>
      <c r="T4922" s="8"/>
      <c r="U4922" s="19" t="str">
        <f>HYPERLINK("https://pbs.twimg.com/profile_images/1026192011886518274/9oeGcPqK.jpg","View")</f>
        <v>View</v>
      </c>
      <c r="V4922" s="8"/>
      <c r="W4922" s="8"/>
      <c r="X4922" s="8"/>
      <c r="Y4922" s="8"/>
      <c r="Z4922" s="8"/>
    </row>
    <row r="4923" spans="1:26" ht="12.75">
      <c r="A4923" s="11">
        <v>43747.102268518516</v>
      </c>
      <c r="B4923" s="12" t="str">
        <f>HYPERLINK("https://twitter.com/FlzGkbrk","@FlzGkbrk")</f>
        <v>@FlzGkbrk</v>
      </c>
      <c r="C4923" s="7" t="s">
        <v>23870</v>
      </c>
      <c r="D4923" s="7" t="s">
        <v>23871</v>
      </c>
      <c r="E4923" s="12" t="str">
        <f>HYPERLINK("https://twitter.com/FlzGkbrk/status/1181863690829795329","1181863690829795329")</f>
        <v>1181863690829795329</v>
      </c>
      <c r="F4923" s="8"/>
      <c r="G4923" s="8"/>
      <c r="H4923" s="8"/>
      <c r="I4923" s="15">
        <v>2</v>
      </c>
      <c r="J4923" s="15">
        <v>5</v>
      </c>
      <c r="K4923" s="12" t="str">
        <f>HYPERLINK("http://twitter.com/download/iphone","Twitter for iPhone")</f>
        <v>Twitter for iPhone</v>
      </c>
      <c r="L4923" s="16">
        <v>19906</v>
      </c>
      <c r="M4923" s="16">
        <v>8865</v>
      </c>
      <c r="N4923" s="16">
        <v>20</v>
      </c>
      <c r="O4923" s="17"/>
      <c r="P4923" s="18">
        <v>42568.390011574069</v>
      </c>
      <c r="Q4923" s="8"/>
      <c r="R4923" s="8" t="s">
        <v>23872</v>
      </c>
      <c r="S4923" s="8"/>
      <c r="T4923" s="8"/>
      <c r="U4923" s="19" t="str">
        <f>HYPERLINK("https://pbs.twimg.com/profile_images/1175162264514695171/eOvZXnm-.jpg","View")</f>
        <v>View</v>
      </c>
      <c r="V4923" s="8"/>
      <c r="W4923" s="8"/>
      <c r="X4923" s="8"/>
      <c r="Y4923" s="8"/>
      <c r="Z4923" s="8"/>
    </row>
    <row r="4924" spans="1:26" ht="12.75">
      <c r="A4924" s="11">
        <v>43747.102222222224</v>
      </c>
      <c r="B4924" s="12" t="str">
        <f>HYPERLINK("https://twitter.com/Turksoccer","@Turksoccer")</f>
        <v>@Turksoccer</v>
      </c>
      <c r="C4924" s="7" t="s">
        <v>23873</v>
      </c>
      <c r="D4924" s="7" t="s">
        <v>23874</v>
      </c>
      <c r="E4924" s="12" t="str">
        <f>HYPERLINK("https://twitter.com/Turksoccer/status/1181863671905079296","1181863671905079296")</f>
        <v>1181863671905079296</v>
      </c>
      <c r="F4924" s="8"/>
      <c r="G4924" s="14" t="s">
        <v>23875</v>
      </c>
      <c r="H4924" s="8"/>
      <c r="I4924" s="15">
        <v>0</v>
      </c>
      <c r="J4924" s="15">
        <v>4</v>
      </c>
      <c r="K4924" s="12" t="str">
        <f>HYPERLINK("http://twitter.com/download/iphone","Twitter for iPhone")</f>
        <v>Twitter for iPhone</v>
      </c>
      <c r="L4924" s="16">
        <v>2630</v>
      </c>
      <c r="M4924" s="16">
        <v>1740</v>
      </c>
      <c r="N4924" s="16">
        <v>4</v>
      </c>
      <c r="O4924" s="17"/>
      <c r="P4924" s="18">
        <v>40218.52008101852</v>
      </c>
      <c r="Q4924" s="7" t="s">
        <v>23876</v>
      </c>
      <c r="R4924" s="7"/>
      <c r="S4924" s="8"/>
      <c r="T4924" s="8"/>
      <c r="U4924" s="19" t="str">
        <f>HYPERLINK("https://pbs.twimg.com/profile_images/1180771379123294210/0yVc8Y9Y.jpg","View")</f>
        <v>View</v>
      </c>
      <c r="V4924" s="8"/>
      <c r="W4924" s="8"/>
      <c r="X4924" s="8"/>
      <c r="Y4924" s="8"/>
      <c r="Z4924" s="8"/>
    </row>
    <row r="4925" spans="1:26" ht="12.75">
      <c r="A4925" s="11">
        <v>43747.10219907407</v>
      </c>
      <c r="B4925" s="12" t="str">
        <f>HYPERLINK("https://twitter.com/GunindiFurkan","@GunindiFurkan")</f>
        <v>@GunindiFurkan</v>
      </c>
      <c r="C4925" s="7" t="s">
        <v>23877</v>
      </c>
      <c r="D4925" s="7" t="s">
        <v>23878</v>
      </c>
      <c r="E4925" s="12" t="str">
        <f>HYPERLINK("https://twitter.com/GunindiFurkan/status/1181863667463262208","1181863667463262208")</f>
        <v>1181863667463262208</v>
      </c>
      <c r="F4925" s="8"/>
      <c r="G4925" s="14" t="s">
        <v>23879</v>
      </c>
      <c r="H4925" s="8"/>
      <c r="I4925" s="15">
        <v>0</v>
      </c>
      <c r="J4925" s="15">
        <v>1</v>
      </c>
      <c r="K4925" s="12" t="str">
        <f>HYPERLINK("https://mobile.twitter.com","Twitter Web App")</f>
        <v>Twitter Web App</v>
      </c>
      <c r="L4925" s="16">
        <v>53</v>
      </c>
      <c r="M4925" s="16">
        <v>81</v>
      </c>
      <c r="N4925" s="16">
        <v>0</v>
      </c>
      <c r="O4925" s="17"/>
      <c r="P4925" s="18">
        <v>43490.567037037035</v>
      </c>
      <c r="Q4925" s="7"/>
      <c r="R4925" s="7" t="s">
        <v>10467</v>
      </c>
      <c r="S4925" s="8"/>
      <c r="T4925" s="8"/>
      <c r="U4925" s="19" t="str">
        <f>HYPERLINK("https://pbs.twimg.com/profile_images/1166128550975553537/2SQ7L5NH.jpg","View")</f>
        <v>View</v>
      </c>
      <c r="V4925" s="8"/>
      <c r="W4925" s="8"/>
      <c r="X4925" s="8"/>
      <c r="Y4925" s="8"/>
      <c r="Z4925" s="8"/>
    </row>
    <row r="4926" spans="1:26" ht="12.75">
      <c r="A4926" s="11">
        <v>43747.10219907407</v>
      </c>
      <c r="B4926" s="12" t="str">
        <f>HYPERLINK("https://twitter.com/FatiHocam","@FatiHocam")</f>
        <v>@FatiHocam</v>
      </c>
      <c r="C4926" s="7" t="s">
        <v>23880</v>
      </c>
      <c r="D4926" s="7" t="s">
        <v>23881</v>
      </c>
      <c r="E4926" s="12" t="str">
        <f>HYPERLINK("https://twitter.com/FatiHocam/status/1181863666045595650","1181863666045595650")</f>
        <v>1181863666045595650</v>
      </c>
      <c r="F4926" s="8"/>
      <c r="G4926" s="14" t="s">
        <v>23882</v>
      </c>
      <c r="H4926" s="8"/>
      <c r="I4926" s="15">
        <v>0</v>
      </c>
      <c r="J4926" s="15">
        <v>3</v>
      </c>
      <c r="K4926" s="12" t="str">
        <f>HYPERLINK("http://twitter.com/download/android","Twitter for Android")</f>
        <v>Twitter for Android</v>
      </c>
      <c r="L4926" s="16">
        <v>1329</v>
      </c>
      <c r="M4926" s="16">
        <v>1809</v>
      </c>
      <c r="N4926" s="16">
        <v>0</v>
      </c>
      <c r="O4926" s="17"/>
      <c r="P4926" s="18">
        <v>42198.575219907405</v>
      </c>
      <c r="Q4926" s="8" t="s">
        <v>23883</v>
      </c>
      <c r="R4926" s="8" t="s">
        <v>23884</v>
      </c>
      <c r="S4926" s="8"/>
      <c r="T4926" s="8"/>
      <c r="U4926" s="19" t="str">
        <f>HYPERLINK("https://pbs.twimg.com/profile_images/1175345734952128512/0ooM5KhH.jpg","View")</f>
        <v>View</v>
      </c>
      <c r="V4926" s="8"/>
      <c r="W4926" s="8"/>
      <c r="X4926" s="8"/>
      <c r="Y4926" s="8"/>
      <c r="Z4926" s="8"/>
    </row>
    <row r="4927" spans="1:26" ht="12.75">
      <c r="A4927" s="11">
        <v>43747.10219907407</v>
      </c>
      <c r="B4927" s="12" t="str">
        <f>HYPERLINK("https://twitter.com/u_can41","@u_can41")</f>
        <v>@u_can41</v>
      </c>
      <c r="C4927" s="7" t="s">
        <v>23885</v>
      </c>
      <c r="D4927" s="7" t="s">
        <v>23886</v>
      </c>
      <c r="E4927" s="12" t="str">
        <f>HYPERLINK("https://twitter.com/u_can41/status/1181863665454260224","1181863665454260224")</f>
        <v>1181863665454260224</v>
      </c>
      <c r="F4927" s="8"/>
      <c r="G4927" s="8"/>
      <c r="H4927" s="8"/>
      <c r="I4927" s="15">
        <v>0</v>
      </c>
      <c r="J4927" s="15">
        <v>0</v>
      </c>
      <c r="K4927" s="12" t="str">
        <f>HYPERLINK("http://twitter.com/download/android","Twitter for Android")</f>
        <v>Twitter for Android</v>
      </c>
      <c r="L4927" s="16">
        <v>98</v>
      </c>
      <c r="M4927" s="16">
        <v>145</v>
      </c>
      <c r="N4927" s="16">
        <v>0</v>
      </c>
      <c r="O4927" s="17"/>
      <c r="P4927" s="18">
        <v>41422.157199074078</v>
      </c>
      <c r="Q4927" s="8" t="s">
        <v>23887</v>
      </c>
      <c r="R4927" s="8" t="s">
        <v>23888</v>
      </c>
      <c r="S4927" s="8"/>
      <c r="T4927" s="8"/>
      <c r="U4927" s="19" t="str">
        <f>HYPERLINK("https://pbs.twimg.com/profile_images/1157566455765983232/Zv8QpWGq.jpg","View")</f>
        <v>View</v>
      </c>
      <c r="V4927" s="8"/>
      <c r="W4927" s="8"/>
      <c r="X4927" s="8"/>
      <c r="Y4927" s="8"/>
      <c r="Z4927" s="8"/>
    </row>
    <row r="4928" spans="1:26" ht="12.75">
      <c r="A4928" s="11">
        <v>43747.102175925931</v>
      </c>
      <c r="B4928" s="12" t="str">
        <f>HYPERLINK("https://twitter.com/sosyologkeskin","@sosyologkeskin")</f>
        <v>@sosyologkeskin</v>
      </c>
      <c r="C4928" s="7" t="s">
        <v>23889</v>
      </c>
      <c r="D4928" s="7" t="s">
        <v>8478</v>
      </c>
      <c r="E4928" s="12" t="str">
        <f>HYPERLINK("https://twitter.com/sosyologkeskin/status/1181863659267661824","1181863659267661824")</f>
        <v>1181863659267661824</v>
      </c>
      <c r="F4928" s="8"/>
      <c r="G4928" s="14" t="s">
        <v>23890</v>
      </c>
      <c r="H4928" s="8"/>
      <c r="I4928" s="15">
        <v>0</v>
      </c>
      <c r="J4928" s="15">
        <v>2</v>
      </c>
      <c r="K4928" s="12" t="str">
        <f>HYPERLINK("http://twitter.com/download/iphone","Twitter for iPhone")</f>
        <v>Twitter for iPhone</v>
      </c>
      <c r="L4928" s="16">
        <v>42</v>
      </c>
      <c r="M4928" s="16">
        <v>691</v>
      </c>
      <c r="N4928" s="16">
        <v>0</v>
      </c>
      <c r="O4928" s="17"/>
      <c r="P4928" s="18">
        <v>43560.225891203707</v>
      </c>
      <c r="Q4928" s="7" t="s">
        <v>287</v>
      </c>
      <c r="R4928" s="8" t="s">
        <v>23891</v>
      </c>
      <c r="S4928" s="8"/>
      <c r="T4928" s="8"/>
      <c r="U4928" s="19" t="str">
        <f>HYPERLINK("https://pbs.twimg.com/profile_images/1120011534443401218/eWSYSqFY.jpg","View")</f>
        <v>View</v>
      </c>
      <c r="V4928" s="8"/>
      <c r="W4928" s="8"/>
      <c r="X4928" s="8"/>
      <c r="Y4928" s="8"/>
      <c r="Z4928" s="8"/>
    </row>
    <row r="4929" spans="1:26" ht="12.75">
      <c r="A4929" s="11">
        <v>43747.102175925931</v>
      </c>
      <c r="B4929" s="12" t="str">
        <f>HYPERLINK("https://twitter.com/edimm41","@edimm41")</f>
        <v>@edimm41</v>
      </c>
      <c r="C4929" s="7" t="s">
        <v>23892</v>
      </c>
      <c r="D4929" s="7" t="s">
        <v>23893</v>
      </c>
      <c r="E4929" s="12" t="str">
        <f>HYPERLINK("https://twitter.com/edimm41/status/1181863657191493638","1181863657191493638")</f>
        <v>1181863657191493638</v>
      </c>
      <c r="F4929" s="8"/>
      <c r="G4929" s="14" t="s">
        <v>23894</v>
      </c>
      <c r="H4929" s="8"/>
      <c r="I4929" s="15">
        <v>0</v>
      </c>
      <c r="J4929" s="15">
        <v>1</v>
      </c>
      <c r="K4929" s="12" t="str">
        <f>HYPERLINK("http://twitter.com/download/iphone","Twitter for iPhone")</f>
        <v>Twitter for iPhone</v>
      </c>
      <c r="L4929" s="16">
        <v>102</v>
      </c>
      <c r="M4929" s="16">
        <v>663</v>
      </c>
      <c r="N4929" s="16">
        <v>0</v>
      </c>
      <c r="O4929" s="17"/>
      <c r="P4929" s="18">
        <v>40450.171527777777</v>
      </c>
      <c r="Q4929" s="7" t="s">
        <v>3373</v>
      </c>
      <c r="R4929" s="7"/>
      <c r="S4929" s="8"/>
      <c r="T4929" s="8"/>
      <c r="U4929" s="19" t="str">
        <f>HYPERLINK("https://pbs.twimg.com/profile_images/1111338138688016384/sGeUvQUj.jpg","View")</f>
        <v>View</v>
      </c>
      <c r="V4929" s="8"/>
      <c r="W4929" s="8"/>
      <c r="X4929" s="8"/>
      <c r="Y4929" s="8"/>
      <c r="Z4929" s="8"/>
    </row>
    <row r="4930" spans="1:26" ht="12.75">
      <c r="A4930" s="11">
        <v>43747.102141203708</v>
      </c>
      <c r="B4930" s="12" t="str">
        <f>HYPERLINK("https://twitter.com/beyazkanat42","@beyazkanat42")</f>
        <v>@beyazkanat42</v>
      </c>
      <c r="C4930" s="7" t="s">
        <v>23895</v>
      </c>
      <c r="D4930" s="7" t="s">
        <v>160</v>
      </c>
      <c r="E4930" s="12" t="str">
        <f>HYPERLINK("https://twitter.com/beyazkanat42/status/1181863643429908480","1181863643429908480")</f>
        <v>1181863643429908480</v>
      </c>
      <c r="F4930" s="7"/>
      <c r="G4930" s="14" t="s">
        <v>23896</v>
      </c>
      <c r="H4930" s="8"/>
      <c r="I4930" s="15">
        <v>0</v>
      </c>
      <c r="J4930" s="15">
        <v>1</v>
      </c>
      <c r="K4930" s="12" t="str">
        <f>HYPERLINK("http://twitter.com/download/android","Twitter for Android")</f>
        <v>Twitter for Android</v>
      </c>
      <c r="L4930" s="16">
        <v>673</v>
      </c>
      <c r="M4930" s="16">
        <v>1995</v>
      </c>
      <c r="N4930" s="16">
        <v>0</v>
      </c>
      <c r="O4930" s="17"/>
      <c r="P4930" s="18">
        <v>40161.416099537033</v>
      </c>
      <c r="Q4930" s="7" t="s">
        <v>16059</v>
      </c>
      <c r="R4930" s="7" t="s">
        <v>23897</v>
      </c>
      <c r="S4930" s="8"/>
      <c r="T4930" s="8"/>
      <c r="U4930" s="19" t="str">
        <f>HYPERLINK("https://pbs.twimg.com/profile_images/1022524515203592193/1TT2cgZp.jpg","View")</f>
        <v>View</v>
      </c>
      <c r="V4930" s="8"/>
      <c r="W4930" s="8"/>
      <c r="X4930" s="8"/>
      <c r="Y4930" s="8"/>
      <c r="Z4930" s="8"/>
    </row>
    <row r="4931" spans="1:26" ht="12.75">
      <c r="A4931" s="11">
        <v>43747.102106481485</v>
      </c>
      <c r="B4931" s="12" t="str">
        <f>HYPERLINK("https://twitter.com/ByD3RiN_","@ByD3RiN_")</f>
        <v>@ByD3RiN_</v>
      </c>
      <c r="C4931" s="7" t="s">
        <v>23898</v>
      </c>
      <c r="D4931" s="7" t="s">
        <v>23899</v>
      </c>
      <c r="E4931" s="12" t="str">
        <f>HYPERLINK("https://twitter.com/ByD3RiN_/status/1181863630540853248","1181863630540853248")</f>
        <v>1181863630540853248</v>
      </c>
      <c r="F4931" s="8"/>
      <c r="G4931" s="14" t="s">
        <v>23900</v>
      </c>
      <c r="H4931" s="8"/>
      <c r="I4931" s="15">
        <v>2</v>
      </c>
      <c r="J4931" s="15">
        <v>4</v>
      </c>
      <c r="K4931" s="12" t="str">
        <f>HYPERLINK("https://mobile.twitter.com","Twitter Web App")</f>
        <v>Twitter Web App</v>
      </c>
      <c r="L4931" s="16">
        <v>7201</v>
      </c>
      <c r="M4931" s="16">
        <v>6308</v>
      </c>
      <c r="N4931" s="16">
        <v>14</v>
      </c>
      <c r="O4931" s="17"/>
      <c r="P4931" s="18">
        <v>42931.241597222222</v>
      </c>
      <c r="Q4931" s="7"/>
      <c r="R4931" s="7" t="s">
        <v>23901</v>
      </c>
      <c r="S4931" s="8"/>
      <c r="T4931" s="8"/>
      <c r="U4931" s="19" t="str">
        <f>HYPERLINK("https://pbs.twimg.com/profile_images/1151578939514658817/KvKbcb1S.png","View")</f>
        <v>View</v>
      </c>
      <c r="V4931" s="8"/>
      <c r="W4931" s="8"/>
      <c r="X4931" s="8"/>
      <c r="Y4931" s="8"/>
      <c r="Z4931" s="8"/>
    </row>
    <row r="4932" spans="1:26" ht="12.75">
      <c r="A4932" s="11">
        <v>43747.102083333331</v>
      </c>
      <c r="B4932" s="12" t="str">
        <f>HYPERLINK("https://twitter.com/mehmetsermenli","@mehmetsermenli")</f>
        <v>@mehmetsermenli</v>
      </c>
      <c r="C4932" s="7" t="s">
        <v>23902</v>
      </c>
      <c r="D4932" s="7" t="s">
        <v>23903</v>
      </c>
      <c r="E4932" s="12" t="str">
        <f>HYPERLINK("https://twitter.com/mehmetsermenli/status/1181863623246962688","1181863623246962688")</f>
        <v>1181863623246962688</v>
      </c>
      <c r="F4932" s="8"/>
      <c r="G4932" s="8"/>
      <c r="H4932" s="8"/>
      <c r="I4932" s="15">
        <v>0</v>
      </c>
      <c r="J4932" s="15">
        <v>1</v>
      </c>
      <c r="K4932" s="12" t="str">
        <f>HYPERLINK("http://twitter.com/download/android","Twitter for Android")</f>
        <v>Twitter for Android</v>
      </c>
      <c r="L4932" s="16">
        <v>304</v>
      </c>
      <c r="M4932" s="16">
        <v>319</v>
      </c>
      <c r="N4932" s="16">
        <v>0</v>
      </c>
      <c r="O4932" s="17"/>
      <c r="P4932" s="18">
        <v>41035.302187499998</v>
      </c>
      <c r="Q4932" s="8"/>
      <c r="R4932" s="7"/>
      <c r="S4932" s="15"/>
      <c r="T4932" s="8"/>
      <c r="U4932" s="19" t="str">
        <f>HYPERLINK("https://pbs.twimg.com/profile_images/463652314918555648/EZoPlRzO.jpeg","View")</f>
        <v>View</v>
      </c>
      <c r="V4932" s="8"/>
      <c r="W4932" s="8"/>
      <c r="X4932" s="8"/>
      <c r="Y4932" s="8"/>
      <c r="Z4932" s="8"/>
    </row>
    <row r="4933" spans="1:26" ht="12.75">
      <c r="A4933" s="11">
        <v>43747.102071759262</v>
      </c>
      <c r="B4933" s="12" t="str">
        <f>HYPERLINK("https://twitter.com/EmrahKyaa4","@EmrahKyaa4")</f>
        <v>@EmrahKyaa4</v>
      </c>
      <c r="C4933" s="7" t="s">
        <v>23904</v>
      </c>
      <c r="D4933" s="7" t="s">
        <v>20922</v>
      </c>
      <c r="E4933" s="12" t="str">
        <f>HYPERLINK("https://twitter.com/EmrahKyaa4/status/1181863618142523393","1181863618142523393")</f>
        <v>1181863618142523393</v>
      </c>
      <c r="F4933" s="8"/>
      <c r="G4933" s="14" t="s">
        <v>23905</v>
      </c>
      <c r="H4933" s="8"/>
      <c r="I4933" s="15">
        <v>0</v>
      </c>
      <c r="J4933" s="15">
        <v>1</v>
      </c>
      <c r="K4933" s="12" t="str">
        <f>HYPERLINK("http://twitter.com/download/android","Twitter for Android")</f>
        <v>Twitter for Android</v>
      </c>
      <c r="L4933" s="16">
        <v>932</v>
      </c>
      <c r="M4933" s="16">
        <v>101</v>
      </c>
      <c r="N4933" s="16">
        <v>0</v>
      </c>
      <c r="O4933" s="17"/>
      <c r="P4933" s="18">
        <v>41108.466145833336</v>
      </c>
      <c r="Q4933" s="8" t="s">
        <v>8228</v>
      </c>
      <c r="R4933" s="8" t="s">
        <v>23906</v>
      </c>
      <c r="S4933" s="8"/>
      <c r="T4933" s="8"/>
      <c r="U4933" s="19" t="str">
        <f>HYPERLINK("https://pbs.twimg.com/profile_images/1173543426262032384/_HxQT2Ws.jpg","View")</f>
        <v>View</v>
      </c>
      <c r="V4933" s="8"/>
      <c r="W4933" s="8"/>
      <c r="X4933" s="8"/>
      <c r="Y4933" s="8"/>
      <c r="Z4933" s="8"/>
    </row>
    <row r="4934" spans="1:26" ht="12.75">
      <c r="A4934" s="11">
        <v>43747.102060185185</v>
      </c>
      <c r="B4934" s="12" t="str">
        <f>HYPERLINK("https://twitter.com/Alarsabah","@Alarsabah")</f>
        <v>@Alarsabah</v>
      </c>
      <c r="C4934" s="7" t="s">
        <v>23907</v>
      </c>
      <c r="D4934" s="7" t="s">
        <v>160</v>
      </c>
      <c r="E4934" s="12" t="str">
        <f>HYPERLINK("https://twitter.com/Alarsabah/status/1181863614954782720","1181863614954782720")</f>
        <v>1181863614954782720</v>
      </c>
      <c r="F4934" s="8"/>
      <c r="G4934" s="8"/>
      <c r="H4934" s="8"/>
      <c r="I4934" s="15">
        <v>0</v>
      </c>
      <c r="J4934" s="15">
        <v>1</v>
      </c>
      <c r="K4934" s="12" t="str">
        <f>HYPERLINK("http://twitter.com/download/iphone","Twitter for iPhone")</f>
        <v>Twitter for iPhone</v>
      </c>
      <c r="L4934" s="16">
        <v>407</v>
      </c>
      <c r="M4934" s="16">
        <v>433</v>
      </c>
      <c r="N4934" s="16">
        <v>0</v>
      </c>
      <c r="O4934" s="17"/>
      <c r="P4934" s="18">
        <v>41015.324374999997</v>
      </c>
      <c r="Q4934" s="7" t="s">
        <v>685</v>
      </c>
      <c r="R4934" s="8"/>
      <c r="S4934" s="8"/>
      <c r="T4934" s="8"/>
      <c r="U4934" s="19" t="str">
        <f>HYPERLINK("https://pbs.twimg.com/profile_images/1143691279454416897/i255skPr.jpg","View")</f>
        <v>View</v>
      </c>
      <c r="V4934" s="8"/>
      <c r="W4934" s="8"/>
      <c r="X4934" s="8"/>
      <c r="Y4934" s="8"/>
      <c r="Z4934" s="8"/>
    </row>
    <row r="4935" spans="1:26" ht="12.75">
      <c r="A4935" s="11">
        <v>43747.102025462962</v>
      </c>
      <c r="B4935" s="12" t="str">
        <f>HYPERLINK("https://twitter.com/TayfunCz","@TayfunCz")</f>
        <v>@TayfunCz</v>
      </c>
      <c r="C4935" s="7" t="s">
        <v>23908</v>
      </c>
      <c r="D4935" s="7" t="s">
        <v>9777</v>
      </c>
      <c r="E4935" s="12" t="str">
        <f>HYPERLINK("https://twitter.com/TayfunCz/status/1181863601428205569","1181863601428205569")</f>
        <v>1181863601428205569</v>
      </c>
      <c r="F4935" s="8"/>
      <c r="G4935" s="15"/>
      <c r="H4935" s="8"/>
      <c r="I4935" s="15">
        <v>0</v>
      </c>
      <c r="J4935" s="15">
        <v>0</v>
      </c>
      <c r="K4935" s="12" t="str">
        <f>HYPERLINK("http://twitter.com/download/iphone","Twitter for iPhone")</f>
        <v>Twitter for iPhone</v>
      </c>
      <c r="L4935" s="16">
        <v>0</v>
      </c>
      <c r="M4935" s="16">
        <v>4</v>
      </c>
      <c r="N4935" s="16">
        <v>0</v>
      </c>
      <c r="O4935" s="17"/>
      <c r="P4935" s="18">
        <v>43533.250393518523</v>
      </c>
      <c r="Q4935" s="7"/>
      <c r="R4935" s="7"/>
      <c r="S4935" s="8"/>
      <c r="T4935" s="8"/>
      <c r="U4935" s="19" t="str">
        <f>HYPERLINK("https://pbs.twimg.com/profile_images/1104381703970271232/pIg4L_gS.jpg","View")</f>
        <v>View</v>
      </c>
      <c r="V4935" s="8"/>
      <c r="W4935" s="8"/>
      <c r="X4935" s="8"/>
      <c r="Y4935" s="8"/>
      <c r="Z4935" s="8"/>
    </row>
    <row r="4936" spans="1:26" ht="12.75">
      <c r="A4936" s="11">
        <v>43747.101956018523</v>
      </c>
      <c r="B4936" s="12" t="str">
        <f>HYPERLINK("https://twitter.com/pnrhoca","@pnrhoca")</f>
        <v>@pnrhoca</v>
      </c>
      <c r="C4936" s="7" t="s">
        <v>23909</v>
      </c>
      <c r="D4936" s="7" t="s">
        <v>23910</v>
      </c>
      <c r="E4936" s="12" t="str">
        <f>HYPERLINK("https://twitter.com/pnrhoca/status/1181863577365471232","1181863577365471232")</f>
        <v>1181863577365471232</v>
      </c>
      <c r="F4936" s="8"/>
      <c r="G4936" s="8"/>
      <c r="H4936" s="8"/>
      <c r="I4936" s="15">
        <v>0</v>
      </c>
      <c r="J4936" s="15">
        <v>2</v>
      </c>
      <c r="K4936" s="12" t="str">
        <f>HYPERLINK("http://twitter.com/download/iphone","Twitter for iPhone")</f>
        <v>Twitter for iPhone</v>
      </c>
      <c r="L4936" s="16">
        <v>544</v>
      </c>
      <c r="M4936" s="16">
        <v>55</v>
      </c>
      <c r="N4936" s="16">
        <v>1</v>
      </c>
      <c r="O4936" s="17"/>
      <c r="P4936" s="18">
        <v>43304.586701388893</v>
      </c>
      <c r="Q4936" s="8" t="s">
        <v>23911</v>
      </c>
      <c r="R4936" s="8" t="s">
        <v>23912</v>
      </c>
      <c r="S4936" s="8"/>
      <c r="T4936" s="8"/>
      <c r="U4936" s="19" t="str">
        <f>HYPERLINK("https://pbs.twimg.com/profile_images/1181868336633843712/YYqJA6uv.jpg","View")</f>
        <v>View</v>
      </c>
      <c r="V4936" s="8"/>
      <c r="W4936" s="8"/>
      <c r="X4936" s="8"/>
      <c r="Y4936" s="8"/>
      <c r="Z4936" s="8"/>
    </row>
    <row r="4937" spans="1:26" ht="12.75">
      <c r="A4937" s="11">
        <v>43747.101956018523</v>
      </c>
      <c r="B4937" s="12" t="str">
        <f>HYPERLINK("https://twitter.com/philosofobia","@philosofobia")</f>
        <v>@philosofobia</v>
      </c>
      <c r="C4937" s="7" t="s">
        <v>23913</v>
      </c>
      <c r="D4937" s="7" t="s">
        <v>23914</v>
      </c>
      <c r="E4937" s="12" t="str">
        <f>HYPERLINK("https://twitter.com/philosofobia/status/1181863576681816065","1181863576681816065")</f>
        <v>1181863576681816065</v>
      </c>
      <c r="F4937" s="8"/>
      <c r="G4937" s="14" t="s">
        <v>23915</v>
      </c>
      <c r="H4937" s="8"/>
      <c r="I4937" s="15">
        <v>0</v>
      </c>
      <c r="J4937" s="15">
        <v>0</v>
      </c>
      <c r="K4937" s="12" t="str">
        <f>HYPERLINK("http://twitter.com/download/iphone","Twitter for iPhone")</f>
        <v>Twitter for iPhone</v>
      </c>
      <c r="L4937" s="16">
        <v>57</v>
      </c>
      <c r="M4937" s="16">
        <v>220</v>
      </c>
      <c r="N4937" s="16">
        <v>0</v>
      </c>
      <c r="O4937" s="17"/>
      <c r="P4937" s="18">
        <v>42846.018900462965</v>
      </c>
      <c r="Q4937" s="8" t="s">
        <v>313</v>
      </c>
      <c r="R4937" s="7" t="s">
        <v>23916</v>
      </c>
      <c r="S4937" s="8"/>
      <c r="T4937" s="8"/>
      <c r="U4937" s="19" t="str">
        <f>HYPERLINK("https://pbs.twimg.com/profile_images/1156152345828442112/SlTRPC3J.jpg","View")</f>
        <v>View</v>
      </c>
      <c r="V4937" s="8"/>
      <c r="W4937" s="8"/>
      <c r="X4937" s="8"/>
      <c r="Y4937" s="8"/>
      <c r="Z4937" s="8"/>
    </row>
    <row r="4938" spans="1:26" ht="12.75">
      <c r="A4938" s="11">
        <v>43747.101944444439</v>
      </c>
      <c r="B4938" s="12" t="str">
        <f>HYPERLINK("https://twitter.com/ibrahimhbozz","@ibrahimhbozz")</f>
        <v>@ibrahimhbozz</v>
      </c>
      <c r="C4938" s="7" t="s">
        <v>23917</v>
      </c>
      <c r="D4938" s="7" t="s">
        <v>23918</v>
      </c>
      <c r="E4938" s="12" t="str">
        <f>HYPERLINK("https://twitter.com/ibrahimhbozz/status/1181863571900260357","1181863571900260357")</f>
        <v>1181863571900260357</v>
      </c>
      <c r="F4938" s="8"/>
      <c r="G4938" s="8"/>
      <c r="H4938" s="8"/>
      <c r="I4938" s="15">
        <v>0</v>
      </c>
      <c r="J4938" s="15">
        <v>0</v>
      </c>
      <c r="K4938" s="12" t="str">
        <f>HYPERLINK("http://twitter.com/download/android","Twitter for Android")</f>
        <v>Twitter for Android</v>
      </c>
      <c r="L4938" s="16">
        <v>262</v>
      </c>
      <c r="M4938" s="16">
        <v>331</v>
      </c>
      <c r="N4938" s="16">
        <v>0</v>
      </c>
      <c r="O4938" s="17"/>
      <c r="P4938" s="18">
        <v>41837.500208333331</v>
      </c>
      <c r="Q4938" s="8"/>
      <c r="R4938" s="8" t="s">
        <v>23919</v>
      </c>
      <c r="S4938" s="8"/>
      <c r="T4938" s="8"/>
      <c r="U4938" s="19" t="str">
        <f>HYPERLINK("https://pbs.twimg.com/profile_images/1148556746698514433/02psQaND.jpg","View")</f>
        <v>View</v>
      </c>
      <c r="V4938" s="8"/>
      <c r="W4938" s="8"/>
      <c r="X4938" s="8"/>
      <c r="Y4938" s="8"/>
      <c r="Z4938" s="8"/>
    </row>
    <row r="4939" spans="1:26" ht="12.75">
      <c r="A4939" s="11">
        <v>43747.101805555554</v>
      </c>
      <c r="B4939" s="12" t="str">
        <f>HYPERLINK("https://twitter.com/Abdullahnce40","@Abdullahnce40")</f>
        <v>@Abdullahnce40</v>
      </c>
      <c r="C4939" s="7" t="s">
        <v>23920</v>
      </c>
      <c r="D4939" s="7" t="s">
        <v>23921</v>
      </c>
      <c r="E4939" s="12" t="str">
        <f>HYPERLINK("https://twitter.com/Abdullahnce40/status/1181863522269048832","1181863522269048832")</f>
        <v>1181863522269048832</v>
      </c>
      <c r="F4939" s="8"/>
      <c r="G4939" s="8"/>
      <c r="H4939" s="8"/>
      <c r="I4939" s="15">
        <v>0</v>
      </c>
      <c r="J4939" s="15">
        <v>0</v>
      </c>
      <c r="K4939" s="12" t="str">
        <f>HYPERLINK("http://twitter.com/download/android","Twitter for Android")</f>
        <v>Twitter for Android</v>
      </c>
      <c r="L4939" s="16">
        <v>131</v>
      </c>
      <c r="M4939" s="16">
        <v>117</v>
      </c>
      <c r="N4939" s="16">
        <v>0</v>
      </c>
      <c r="O4939" s="17"/>
      <c r="P4939" s="18">
        <v>43167.138738425929</v>
      </c>
      <c r="Q4939" s="8" t="s">
        <v>23922</v>
      </c>
      <c r="R4939" s="8" t="s">
        <v>23923</v>
      </c>
      <c r="S4939" s="8"/>
      <c r="T4939" s="8"/>
      <c r="U4939" s="19" t="str">
        <f>HYPERLINK("https://pbs.twimg.com/profile_images/1099414714201923585/8sOdzCqc.jpg","View")</f>
        <v>View</v>
      </c>
      <c r="V4939" s="8"/>
      <c r="W4939" s="8"/>
      <c r="X4939" s="8"/>
      <c r="Y4939" s="8"/>
      <c r="Z4939" s="8"/>
    </row>
    <row r="4940" spans="1:26" ht="12.75">
      <c r="A4940" s="11">
        <v>43747.101759259254</v>
      </c>
      <c r="B4940" s="12" t="str">
        <f>HYPERLINK("https://twitter.com/dbiliminsani","@dbiliminsani")</f>
        <v>@dbiliminsani</v>
      </c>
      <c r="C4940" s="7" t="s">
        <v>15473</v>
      </c>
      <c r="D4940" s="7" t="s">
        <v>21168</v>
      </c>
      <c r="E4940" s="12" t="str">
        <f>HYPERLINK("https://twitter.com/dbiliminsani/status/1181863504262975490","1181863504262975490")</f>
        <v>1181863504262975490</v>
      </c>
      <c r="F4940" s="8"/>
      <c r="G4940" s="14" t="s">
        <v>23924</v>
      </c>
      <c r="H4940" s="8"/>
      <c r="I4940" s="15">
        <v>1</v>
      </c>
      <c r="J4940" s="15">
        <v>5</v>
      </c>
      <c r="K4940" s="12" t="str">
        <f>HYPERLINK("http://twitter.com/download/android","Twitter for Android")</f>
        <v>Twitter for Android</v>
      </c>
      <c r="L4940" s="16">
        <v>7</v>
      </c>
      <c r="M4940" s="16">
        <v>26</v>
      </c>
      <c r="N4940" s="16">
        <v>0</v>
      </c>
      <c r="O4940" s="17"/>
      <c r="P4940" s="18">
        <v>43734.672569444447</v>
      </c>
      <c r="Q4940" s="8"/>
      <c r="R4940" s="7"/>
      <c r="S4940" s="14" t="s">
        <v>15475</v>
      </c>
      <c r="T4940" s="8"/>
      <c r="U4940" s="19" t="str">
        <f>HYPERLINK("https://pbs.twimg.com/profile_images/1181326862321995776/_BcOezyY.jpg","View")</f>
        <v>View</v>
      </c>
      <c r="V4940" s="8"/>
      <c r="W4940" s="8"/>
      <c r="X4940" s="8"/>
      <c r="Y4940" s="8"/>
      <c r="Z4940" s="8"/>
    </row>
    <row r="4941" spans="1:26" ht="12.75">
      <c r="A4941" s="11">
        <v>43747.101712962962</v>
      </c>
      <c r="B4941" s="12" t="str">
        <f>HYPERLINK("https://twitter.com/Turanbaysuu","@Turanbaysuu")</f>
        <v>@Turanbaysuu</v>
      </c>
      <c r="C4941" s="7" t="s">
        <v>19398</v>
      </c>
      <c r="D4941" s="7" t="s">
        <v>160</v>
      </c>
      <c r="E4941" s="12" t="str">
        <f>HYPERLINK("https://twitter.com/Turanbaysuu/status/1181863489570267136","1181863489570267136")</f>
        <v>1181863489570267136</v>
      </c>
      <c r="F4941" s="8"/>
      <c r="G4941" s="14" t="s">
        <v>23925</v>
      </c>
      <c r="H4941" s="8"/>
      <c r="I4941" s="15">
        <v>0</v>
      </c>
      <c r="J4941" s="15">
        <v>0</v>
      </c>
      <c r="K4941" s="12" t="str">
        <f>HYPERLINK("http://twitter.com/download/android","Twitter for Android")</f>
        <v>Twitter for Android</v>
      </c>
      <c r="L4941" s="16">
        <v>2</v>
      </c>
      <c r="M4941" s="16">
        <v>26</v>
      </c>
      <c r="N4941" s="16">
        <v>0</v>
      </c>
      <c r="O4941" s="17"/>
      <c r="P4941" s="18">
        <v>43539.555451388893</v>
      </c>
      <c r="Q4941" s="7" t="s">
        <v>313</v>
      </c>
      <c r="R4941" s="7" t="s">
        <v>23926</v>
      </c>
      <c r="S4941" s="15"/>
      <c r="T4941" s="8"/>
      <c r="U4941" s="19" t="str">
        <f>HYPERLINK("https://pbs.twimg.com/profile_images/1106653195768610816/0d1gtkxi.jpg","View")</f>
        <v>View</v>
      </c>
      <c r="V4941" s="8"/>
      <c r="W4941" s="8"/>
      <c r="X4941" s="8"/>
      <c r="Y4941" s="8"/>
      <c r="Z4941" s="8"/>
    </row>
    <row r="4942" spans="1:26" ht="12.75">
      <c r="A4942" s="11">
        <v>43747.101643518516</v>
      </c>
      <c r="B4942" s="12" t="str">
        <f>HYPERLINK("https://twitter.com/eslhtc","@eslhtc")</f>
        <v>@eslhtc</v>
      </c>
      <c r="C4942" s="7" t="s">
        <v>23927</v>
      </c>
      <c r="D4942" s="7" t="s">
        <v>23928</v>
      </c>
      <c r="E4942" s="12" t="str">
        <f>HYPERLINK("https://twitter.com/eslhtc/status/1181863462336712704","1181863462336712704")</f>
        <v>1181863462336712704</v>
      </c>
      <c r="F4942" s="8"/>
      <c r="G4942" s="14" t="s">
        <v>23929</v>
      </c>
      <c r="H4942" s="8"/>
      <c r="I4942" s="15">
        <v>1</v>
      </c>
      <c r="J4942" s="15">
        <v>11</v>
      </c>
      <c r="K4942" s="12" t="str">
        <f>HYPERLINK("http://twitter.com/download/android","Twitter for Android")</f>
        <v>Twitter for Android</v>
      </c>
      <c r="L4942" s="16">
        <v>365</v>
      </c>
      <c r="M4942" s="16">
        <v>206</v>
      </c>
      <c r="N4942" s="16">
        <v>0</v>
      </c>
      <c r="O4942" s="17"/>
      <c r="P4942" s="18">
        <v>43469.477256944447</v>
      </c>
      <c r="Q4942" s="7"/>
      <c r="R4942" s="7" t="s">
        <v>23930</v>
      </c>
      <c r="S4942" s="15"/>
      <c r="T4942" s="8"/>
      <c r="U4942" s="19" t="str">
        <f>HYPERLINK("https://pbs.twimg.com/profile_images/1181294106053472257/8qx1EHOm.jpg","View")</f>
        <v>View</v>
      </c>
      <c r="V4942" s="8"/>
      <c r="W4942" s="8"/>
      <c r="X4942" s="8"/>
      <c r="Y4942" s="8"/>
      <c r="Z4942" s="8"/>
    </row>
    <row r="4943" spans="1:26" ht="12.75">
      <c r="A4943" s="11">
        <v>43747.101643518516</v>
      </c>
      <c r="B4943" s="12" t="str">
        <f>HYPERLINK("https://twitter.com/Metinapaydin","@Metinapaydin")</f>
        <v>@Metinapaydin</v>
      </c>
      <c r="C4943" s="7" t="s">
        <v>23931</v>
      </c>
      <c r="D4943" s="7" t="s">
        <v>23932</v>
      </c>
      <c r="E4943" s="12" t="str">
        <f>HYPERLINK("https://twitter.com/Metinapaydin/status/1181863462181441536","1181863462181441536")</f>
        <v>1181863462181441536</v>
      </c>
      <c r="F4943" s="8"/>
      <c r="G4943" s="15"/>
      <c r="H4943" s="8"/>
      <c r="I4943" s="15">
        <v>0</v>
      </c>
      <c r="J4943" s="15">
        <v>0</v>
      </c>
      <c r="K4943" s="12" t="str">
        <f>HYPERLINK("http://twitter.com/download/android","Twitter for Android")</f>
        <v>Twitter for Android</v>
      </c>
      <c r="L4943" s="16">
        <v>155</v>
      </c>
      <c r="M4943" s="16">
        <v>331</v>
      </c>
      <c r="N4943" s="16">
        <v>0</v>
      </c>
      <c r="O4943" s="17"/>
      <c r="P4943" s="18">
        <v>40384.285092592589</v>
      </c>
      <c r="Q4943" s="7" t="s">
        <v>313</v>
      </c>
      <c r="R4943" s="7"/>
      <c r="S4943" s="14" t="s">
        <v>23933</v>
      </c>
      <c r="T4943" s="8"/>
      <c r="U4943" s="19" t="str">
        <f>HYPERLINK("https://pbs.twimg.com/profile_images/649138243783557120/uBLCmp04.jpg","View")</f>
        <v>View</v>
      </c>
      <c r="V4943" s="8"/>
      <c r="W4943" s="8"/>
      <c r="X4943" s="8"/>
      <c r="Y4943" s="8"/>
      <c r="Z4943" s="8"/>
    </row>
    <row r="4944" spans="1:26" ht="12.75">
      <c r="A4944" s="11">
        <v>43747.101597222223</v>
      </c>
      <c r="B4944" s="12" t="str">
        <f>HYPERLINK("https://twitter.com/FurkanSvm038","@FurkanSvm038")</f>
        <v>@FurkanSvm038</v>
      </c>
      <c r="C4944" s="7" t="s">
        <v>23934</v>
      </c>
      <c r="D4944" s="7" t="s">
        <v>23935</v>
      </c>
      <c r="E4944" s="12" t="str">
        <f>HYPERLINK("https://twitter.com/FurkanSvm038/status/1181863446528303104","1181863446528303104")</f>
        <v>1181863446528303104</v>
      </c>
      <c r="F4944" s="8"/>
      <c r="G4944" s="14" t="s">
        <v>23936</v>
      </c>
      <c r="H4944" s="8"/>
      <c r="I4944" s="15">
        <v>0</v>
      </c>
      <c r="J4944" s="15">
        <v>2</v>
      </c>
      <c r="K4944" s="12" t="str">
        <f>HYPERLINK("http://twitter.com/download/android","Twitter for Android")</f>
        <v>Twitter for Android</v>
      </c>
      <c r="L4944" s="16">
        <v>6</v>
      </c>
      <c r="M4944" s="16">
        <v>18</v>
      </c>
      <c r="N4944" s="16">
        <v>0</v>
      </c>
      <c r="O4944" s="17"/>
      <c r="P4944" s="18">
        <v>43570.324432870373</v>
      </c>
      <c r="Q4944" s="7" t="s">
        <v>1639</v>
      </c>
      <c r="R4944" s="7" t="s">
        <v>23937</v>
      </c>
      <c r="S4944" s="8"/>
      <c r="T4944" s="8"/>
      <c r="U4944" s="19" t="str">
        <f>HYPERLINK("https://pbs.twimg.com/profile_images/1170423902469799937/pS87TDmA.jpg","View")</f>
        <v>View</v>
      </c>
      <c r="V4944" s="8"/>
      <c r="W4944" s="8"/>
      <c r="X4944" s="8"/>
      <c r="Y4944" s="8"/>
      <c r="Z4944" s="8"/>
    </row>
    <row r="4945" spans="1:26" ht="12.75">
      <c r="A4945" s="11">
        <v>43747.101516203707</v>
      </c>
      <c r="B4945" s="12" t="str">
        <f>HYPERLINK("https://twitter.com/Onuriusgunes","@Onuriusgunes")</f>
        <v>@Onuriusgunes</v>
      </c>
      <c r="C4945" s="7" t="s">
        <v>23938</v>
      </c>
      <c r="D4945" s="7" t="s">
        <v>23939</v>
      </c>
      <c r="E4945" s="12" t="str">
        <f>HYPERLINK("https://twitter.com/Onuriusgunes/status/1181863417768038400","1181863417768038400")</f>
        <v>1181863417768038400</v>
      </c>
      <c r="F4945" s="15"/>
      <c r="G4945" s="14" t="s">
        <v>23940</v>
      </c>
      <c r="H4945" s="8"/>
      <c r="I4945" s="15">
        <v>0</v>
      </c>
      <c r="J4945" s="15">
        <v>0</v>
      </c>
      <c r="K4945" s="12" t="str">
        <f>HYPERLINK("http://twitter.com/download/iphone","Twitter for iPhone")</f>
        <v>Twitter for iPhone</v>
      </c>
      <c r="L4945" s="16">
        <v>0</v>
      </c>
      <c r="M4945" s="16">
        <v>20</v>
      </c>
      <c r="N4945" s="16">
        <v>0</v>
      </c>
      <c r="O4945" s="17"/>
      <c r="P4945" s="18">
        <v>40964.269456018519</v>
      </c>
      <c r="Q4945" s="8"/>
      <c r="R4945" s="8"/>
      <c r="S4945" s="8"/>
      <c r="T4945" s="8"/>
      <c r="U4945" s="20" t="s">
        <v>354</v>
      </c>
      <c r="V4945" s="8"/>
      <c r="W4945" s="8"/>
      <c r="X4945" s="8"/>
      <c r="Y4945" s="8"/>
      <c r="Z4945" s="8"/>
    </row>
    <row r="4946" spans="1:26" ht="12.75">
      <c r="A4946" s="11">
        <v>43747.101493055554</v>
      </c>
      <c r="B4946" s="12" t="str">
        <f>HYPERLINK("https://twitter.com/filistin1187","@filistin1187")</f>
        <v>@filistin1187</v>
      </c>
      <c r="C4946" s="7" t="s">
        <v>23941</v>
      </c>
      <c r="D4946" s="7" t="s">
        <v>23942</v>
      </c>
      <c r="E4946" s="12" t="str">
        <f>HYPERLINK("https://twitter.com/filistin1187/status/1181863410876764161","1181863410876764161")</f>
        <v>1181863410876764161</v>
      </c>
      <c r="F4946" s="8"/>
      <c r="G4946" s="15"/>
      <c r="H4946" s="8"/>
      <c r="I4946" s="15">
        <v>0</v>
      </c>
      <c r="J4946" s="15">
        <v>1</v>
      </c>
      <c r="K4946" s="12" t="str">
        <f>HYPERLINK("http://twitter.com/download/android","Twitter for Android")</f>
        <v>Twitter for Android</v>
      </c>
      <c r="L4946" s="16">
        <v>1451</v>
      </c>
      <c r="M4946" s="16">
        <v>1481</v>
      </c>
      <c r="N4946" s="16">
        <v>3</v>
      </c>
      <c r="O4946" s="17"/>
      <c r="P4946" s="18">
        <v>40602.495636574073</v>
      </c>
      <c r="Q4946" s="7"/>
      <c r="R4946" s="7" t="s">
        <v>23943</v>
      </c>
      <c r="S4946" s="8"/>
      <c r="T4946" s="8"/>
      <c r="U4946" s="19" t="str">
        <f>HYPERLINK("https://pbs.twimg.com/profile_images/1148937900349972485/_HWiWlp_.jpg","View")</f>
        <v>View</v>
      </c>
      <c r="V4946" s="8"/>
      <c r="W4946" s="8"/>
      <c r="X4946" s="8"/>
      <c r="Y4946" s="8"/>
      <c r="Z4946" s="8"/>
    </row>
    <row r="4947" spans="1:26" ht="12.75">
      <c r="A4947" s="11">
        <v>43747.101493055554</v>
      </c>
      <c r="B4947" s="12" t="str">
        <f>HYPERLINK("https://twitter.com/iscarpinyo","@iscarpinyo")</f>
        <v>@iscarpinyo</v>
      </c>
      <c r="C4947" s="7" t="s">
        <v>23944</v>
      </c>
      <c r="D4947" s="7" t="s">
        <v>23945</v>
      </c>
      <c r="E4947" s="12" t="str">
        <f>HYPERLINK("https://twitter.com/iscarpinyo/status/1181863408754401280","1181863408754401280")</f>
        <v>1181863408754401280</v>
      </c>
      <c r="F4947" s="8"/>
      <c r="G4947" s="15"/>
      <c r="H4947" s="8"/>
      <c r="I4947" s="15">
        <v>0</v>
      </c>
      <c r="J4947" s="15">
        <v>0</v>
      </c>
      <c r="K4947" s="12" t="str">
        <f>HYPERLINK("http://twitter.com/download/iphone","Twitter for iPhone")</f>
        <v>Twitter for iPhone</v>
      </c>
      <c r="L4947" s="16">
        <v>6</v>
      </c>
      <c r="M4947" s="16">
        <v>133</v>
      </c>
      <c r="N4947" s="16">
        <v>0</v>
      </c>
      <c r="O4947" s="17"/>
      <c r="P4947" s="18">
        <v>43157.506898148145</v>
      </c>
      <c r="Q4947" s="8"/>
      <c r="R4947" s="8" t="s">
        <v>23946</v>
      </c>
      <c r="S4947" s="8"/>
      <c r="T4947" s="8"/>
      <c r="U4947" s="19" t="str">
        <f>HYPERLINK("https://pbs.twimg.com/profile_images/968229982962094081/8BtDVhIp.jpg","View")</f>
        <v>View</v>
      </c>
      <c r="V4947" s="8"/>
      <c r="W4947" s="8"/>
      <c r="X4947" s="8"/>
      <c r="Y4947" s="8"/>
      <c r="Z4947" s="8"/>
    </row>
    <row r="4948" spans="1:26" ht="12.75">
      <c r="A4948" s="11">
        <v>43747.101435185185</v>
      </c>
      <c r="B4948" s="12" t="str">
        <f>HYPERLINK("https://twitter.com/CarlaoneBulut","@CarlaoneBulut")</f>
        <v>@CarlaoneBulut</v>
      </c>
      <c r="C4948" s="7" t="s">
        <v>23947</v>
      </c>
      <c r="D4948" s="7" t="s">
        <v>23948</v>
      </c>
      <c r="E4948" s="12" t="str">
        <f>HYPERLINK("https://twitter.com/CarlaoneBulut/status/1181863390307930113","1181863390307930113")</f>
        <v>1181863390307930113</v>
      </c>
      <c r="F4948" s="8"/>
      <c r="G4948" s="14" t="s">
        <v>23949</v>
      </c>
      <c r="H4948" s="8"/>
      <c r="I4948" s="15">
        <v>3</v>
      </c>
      <c r="J4948" s="15">
        <v>25</v>
      </c>
      <c r="K4948" s="12" t="str">
        <f>HYPERLINK("http://twitter.com/download/iphone","Twitter for iPhone")</f>
        <v>Twitter for iPhone</v>
      </c>
      <c r="L4948" s="16">
        <v>23</v>
      </c>
      <c r="M4948" s="16">
        <v>69</v>
      </c>
      <c r="N4948" s="16">
        <v>0</v>
      </c>
      <c r="O4948" s="17"/>
      <c r="P4948" s="18">
        <v>41195.644212962965</v>
      </c>
      <c r="Q4948" s="7" t="s">
        <v>23950</v>
      </c>
      <c r="R4948" s="8" t="s">
        <v>23951</v>
      </c>
      <c r="S4948" s="15"/>
      <c r="T4948" s="8"/>
      <c r="U4948" s="19" t="str">
        <f>HYPERLINK("https://pbs.twimg.com/profile_images/1147914790884581381/KYGlwRxU.jpg","View")</f>
        <v>View</v>
      </c>
      <c r="V4948" s="8"/>
      <c r="W4948" s="8"/>
      <c r="X4948" s="8"/>
      <c r="Y4948" s="8"/>
      <c r="Z4948" s="8"/>
    </row>
    <row r="4949" spans="1:26" ht="12.75">
      <c r="A4949" s="11">
        <v>43747.101388888885</v>
      </c>
      <c r="B4949" s="12" t="str">
        <f>HYPERLINK("https://twitter.com/TCTayfunKaya","@TCTayfunKaya")</f>
        <v>@TCTayfunKaya</v>
      </c>
      <c r="C4949" s="7" t="s">
        <v>23952</v>
      </c>
      <c r="D4949" s="7" t="s">
        <v>23953</v>
      </c>
      <c r="E4949" s="12" t="str">
        <f>HYPERLINK("https://twitter.com/TCTayfunKaya/status/1181863371471282176","1181863371471282176")</f>
        <v>1181863371471282176</v>
      </c>
      <c r="F4949" s="8"/>
      <c r="G4949" s="14" t="s">
        <v>23954</v>
      </c>
      <c r="H4949" s="8"/>
      <c r="I4949" s="15">
        <v>0</v>
      </c>
      <c r="J4949" s="15">
        <v>0</v>
      </c>
      <c r="K4949" s="12" t="str">
        <f>HYPERLINK("http://twitter.com/download/android","Twitter for Android")</f>
        <v>Twitter for Android</v>
      </c>
      <c r="L4949" s="16">
        <v>1</v>
      </c>
      <c r="M4949" s="16">
        <v>2</v>
      </c>
      <c r="N4949" s="16">
        <v>0</v>
      </c>
      <c r="O4949" s="17"/>
      <c r="P4949" s="18">
        <v>43558.523668981477</v>
      </c>
      <c r="Q4949" s="7"/>
      <c r="R4949" s="7"/>
      <c r="S4949" s="8"/>
      <c r="T4949" s="8"/>
      <c r="U4949" s="19" t="str">
        <f>HYPERLINK("https://pbs.twimg.com/profile_images/1178931412688363521/XkcBBRz3.jpg","View")</f>
        <v>View</v>
      </c>
      <c r="V4949" s="8"/>
      <c r="W4949" s="8"/>
      <c r="X4949" s="8"/>
      <c r="Y4949" s="8"/>
      <c r="Z4949" s="8"/>
    </row>
    <row r="4950" spans="1:26" ht="12.75">
      <c r="A4950" s="11">
        <v>43747.101377314815</v>
      </c>
      <c r="B4950" s="12" t="str">
        <f>HYPERLINK("https://twitter.com/BeyiAlay","@BeyiAlay")</f>
        <v>@BeyiAlay</v>
      </c>
      <c r="C4950" s="7" t="s">
        <v>23955</v>
      </c>
      <c r="D4950" s="7" t="s">
        <v>23956</v>
      </c>
      <c r="E4950" s="12" t="str">
        <f>HYPERLINK("https://twitter.com/BeyiAlay/status/1181863369332203525","1181863369332203525")</f>
        <v>1181863369332203525</v>
      </c>
      <c r="F4950" s="15"/>
      <c r="G4950" s="15"/>
      <c r="H4950" s="8"/>
      <c r="I4950" s="15">
        <v>0</v>
      </c>
      <c r="J4950" s="15">
        <v>1</v>
      </c>
      <c r="K4950" s="12" t="str">
        <f>HYPERLINK("http://twitter.com/download/iphone","Twitter for iPhone")</f>
        <v>Twitter for iPhone</v>
      </c>
      <c r="L4950" s="16">
        <v>427</v>
      </c>
      <c r="M4950" s="16">
        <v>720</v>
      </c>
      <c r="N4950" s="16">
        <v>2</v>
      </c>
      <c r="O4950" s="17"/>
      <c r="P4950" s="18">
        <v>42165.750393518523</v>
      </c>
      <c r="Q4950" s="7" t="s">
        <v>252</v>
      </c>
      <c r="R4950" s="7" t="s">
        <v>23957</v>
      </c>
      <c r="S4950" s="15"/>
      <c r="T4950" s="8"/>
      <c r="U4950" s="19" t="str">
        <f>HYPERLINK("https://pbs.twimg.com/profile_images/1150016888984018944/ehU7C9PN.jpg","View")</f>
        <v>View</v>
      </c>
      <c r="V4950" s="8"/>
      <c r="W4950" s="8"/>
      <c r="X4950" s="8"/>
      <c r="Y4950" s="8"/>
      <c r="Z4950" s="8"/>
    </row>
    <row r="4951" spans="1:26" ht="12.75">
      <c r="A4951" s="11">
        <v>43747.101273148146</v>
      </c>
      <c r="B4951" s="12" t="str">
        <f>HYPERLINK("https://twitter.com/parlarfidan","@parlarfidan")</f>
        <v>@parlarfidan</v>
      </c>
      <c r="C4951" s="7" t="s">
        <v>23958</v>
      </c>
      <c r="D4951" s="7" t="s">
        <v>23959</v>
      </c>
      <c r="E4951" s="12" t="str">
        <f>HYPERLINK("https://twitter.com/parlarfidan/status/1181863331197591552","1181863331197591552")</f>
        <v>1181863331197591552</v>
      </c>
      <c r="F4951" s="8"/>
      <c r="G4951" s="14" t="s">
        <v>23960</v>
      </c>
      <c r="H4951" s="8"/>
      <c r="I4951" s="15">
        <v>2</v>
      </c>
      <c r="J4951" s="15">
        <v>4</v>
      </c>
      <c r="K4951" s="12" t="str">
        <f>HYPERLINK("https://mobile.twitter.com","Twitter Web App")</f>
        <v>Twitter Web App</v>
      </c>
      <c r="L4951" s="16">
        <v>32</v>
      </c>
      <c r="M4951" s="16">
        <v>39</v>
      </c>
      <c r="N4951" s="16">
        <v>0</v>
      </c>
      <c r="O4951" s="17"/>
      <c r="P4951" s="18">
        <v>43028.154317129629</v>
      </c>
      <c r="Q4951" s="7" t="s">
        <v>23961</v>
      </c>
      <c r="R4951" s="7" t="s">
        <v>23962</v>
      </c>
      <c r="S4951" s="14" t="s">
        <v>23963</v>
      </c>
      <c r="T4951" s="8"/>
      <c r="U4951" s="19" t="str">
        <f>HYPERLINK("https://pbs.twimg.com/profile_images/1079849106930106368/HyEME9pN.jpg","View")</f>
        <v>View</v>
      </c>
      <c r="V4951" s="8"/>
      <c r="W4951" s="8"/>
      <c r="X4951" s="8"/>
      <c r="Y4951" s="8"/>
      <c r="Z4951" s="8"/>
    </row>
    <row r="4952" spans="1:26" ht="12.75">
      <c r="A4952" s="11">
        <v>43747.10125</v>
      </c>
      <c r="B4952" s="12" t="str">
        <f>HYPERLINK("https://twitter.com/oguzgkdmr","@oguzgkdmr")</f>
        <v>@oguzgkdmr</v>
      </c>
      <c r="C4952" s="7" t="s">
        <v>23964</v>
      </c>
      <c r="D4952" s="7" t="s">
        <v>23965</v>
      </c>
      <c r="E4952" s="12" t="str">
        <f>HYPERLINK("https://twitter.com/oguzgkdmr/status/1181863321055764481","1181863321055764481")</f>
        <v>1181863321055764481</v>
      </c>
      <c r="F4952" s="8"/>
      <c r="G4952" s="14" t="s">
        <v>23966</v>
      </c>
      <c r="H4952" s="8"/>
      <c r="I4952" s="15">
        <v>0</v>
      </c>
      <c r="J4952" s="15">
        <v>3</v>
      </c>
      <c r="K4952" s="12" t="str">
        <f>HYPERLINK("http://twitter.com/download/android","Twitter for Android")</f>
        <v>Twitter for Android</v>
      </c>
      <c r="L4952" s="16">
        <v>163</v>
      </c>
      <c r="M4952" s="16">
        <v>303</v>
      </c>
      <c r="N4952" s="16">
        <v>0</v>
      </c>
      <c r="O4952" s="17"/>
      <c r="P4952" s="18">
        <v>43475.090509259258</v>
      </c>
      <c r="Q4952" s="7" t="s">
        <v>200</v>
      </c>
      <c r="R4952" s="7" t="s">
        <v>23967</v>
      </c>
      <c r="S4952" s="8"/>
      <c r="T4952" s="8"/>
      <c r="U4952" s="19" t="str">
        <f>HYPERLINK("https://pbs.twimg.com/profile_images/1180587917011374081/h0HTr_6U.jpg","View")</f>
        <v>View</v>
      </c>
      <c r="V4952" s="8"/>
      <c r="W4952" s="8"/>
      <c r="X4952" s="8"/>
      <c r="Y4952" s="8"/>
      <c r="Z4952" s="8"/>
    </row>
    <row r="4953" spans="1:26" ht="12.75">
      <c r="A4953" s="11">
        <v>43747.101168981477</v>
      </c>
      <c r="B4953" s="12" t="str">
        <f>HYPERLINK("https://twitter.com/denizunay","@denizunay")</f>
        <v>@denizunay</v>
      </c>
      <c r="C4953" s="7" t="s">
        <v>23968</v>
      </c>
      <c r="D4953" s="7" t="s">
        <v>23969</v>
      </c>
      <c r="E4953" s="12" t="str">
        <f>HYPERLINK("https://twitter.com/denizunay/status/1181863290894462977","1181863290894462977")</f>
        <v>1181863290894462977</v>
      </c>
      <c r="F4953" s="8"/>
      <c r="G4953" s="14" t="s">
        <v>23970</v>
      </c>
      <c r="H4953" s="8"/>
      <c r="I4953" s="15">
        <v>1</v>
      </c>
      <c r="J4953" s="15">
        <v>2</v>
      </c>
      <c r="K4953" s="12" t="str">
        <f>HYPERLINK("http://twitter.com/download/iphone","Twitter for iPhone")</f>
        <v>Twitter for iPhone</v>
      </c>
      <c r="L4953" s="16">
        <v>453</v>
      </c>
      <c r="M4953" s="16">
        <v>0</v>
      </c>
      <c r="N4953" s="16">
        <v>1</v>
      </c>
      <c r="O4953" s="17"/>
      <c r="P4953" s="18">
        <v>39824.191377314812</v>
      </c>
      <c r="Q4953" s="7" t="s">
        <v>313</v>
      </c>
      <c r="R4953" s="7" t="s">
        <v>23971</v>
      </c>
      <c r="S4953" s="14" t="s">
        <v>23972</v>
      </c>
      <c r="T4953" s="8"/>
      <c r="U4953" s="19" t="str">
        <f>HYPERLINK("https://pbs.twimg.com/profile_images/953731533562634240/yUnNFXrr.jpg","View")</f>
        <v>View</v>
      </c>
      <c r="V4953" s="8"/>
      <c r="W4953" s="8"/>
      <c r="X4953" s="8"/>
      <c r="Y4953" s="8"/>
      <c r="Z4953" s="8"/>
    </row>
    <row r="4954" spans="1:26" ht="12.75">
      <c r="A4954" s="11">
        <v>43747.101145833338</v>
      </c>
      <c r="B4954" s="12" t="str">
        <f>HYPERLINK("https://twitter.com/jesuss2023","@jesuss2023")</f>
        <v>@jesuss2023</v>
      </c>
      <c r="C4954" s="7" t="s">
        <v>23973</v>
      </c>
      <c r="D4954" s="7" t="s">
        <v>15013</v>
      </c>
      <c r="E4954" s="12" t="str">
        <f>HYPERLINK("https://twitter.com/jesuss2023/status/1181863284313645058","1181863284313645058")</f>
        <v>1181863284313645058</v>
      </c>
      <c r="F4954" s="8"/>
      <c r="G4954" s="14" t="s">
        <v>15014</v>
      </c>
      <c r="H4954" s="8"/>
      <c r="I4954" s="15">
        <v>12</v>
      </c>
      <c r="J4954" s="15">
        <v>15</v>
      </c>
      <c r="K4954" s="12" t="str">
        <f>HYPERLINK("https://mobile.twitter.com","Twitter Web App")</f>
        <v>Twitter Web App</v>
      </c>
      <c r="L4954" s="16">
        <v>461</v>
      </c>
      <c r="M4954" s="16">
        <v>212</v>
      </c>
      <c r="N4954" s="16">
        <v>0</v>
      </c>
      <c r="O4954" s="17"/>
      <c r="P4954" s="18">
        <v>43481.498530092591</v>
      </c>
      <c r="Q4954" s="7"/>
      <c r="R4954" s="7" t="s">
        <v>23974</v>
      </c>
      <c r="S4954" s="8"/>
      <c r="T4954" s="8"/>
      <c r="U4954" s="19" t="str">
        <f>HYPERLINK("https://pbs.twimg.com/profile_images/1144722315718123522/DWjUB9Q7.png","View")</f>
        <v>View</v>
      </c>
      <c r="V4954" s="8"/>
      <c r="W4954" s="8"/>
      <c r="X4954" s="8"/>
      <c r="Y4954" s="8"/>
      <c r="Z4954" s="8"/>
    </row>
    <row r="4955" spans="1:26" ht="12.75">
      <c r="A4955" s="11">
        <v>43747.101076388892</v>
      </c>
      <c r="B4955" s="12" t="str">
        <f>HYPERLINK("https://twitter.com/karahakan73","@karahakan73")</f>
        <v>@karahakan73</v>
      </c>
      <c r="C4955" s="7" t="s">
        <v>23975</v>
      </c>
      <c r="D4955" s="7" t="s">
        <v>23976</v>
      </c>
      <c r="E4955" s="12" t="str">
        <f>HYPERLINK("https://twitter.com/karahakan73/status/1181863257046433793","1181863257046433793")</f>
        <v>1181863257046433793</v>
      </c>
      <c r="F4955" s="15"/>
      <c r="G4955" s="8"/>
      <c r="H4955" s="8"/>
      <c r="I4955" s="15">
        <v>0</v>
      </c>
      <c r="J4955" s="15">
        <v>0</v>
      </c>
      <c r="K4955" s="12" t="str">
        <f>HYPERLINK("http://twitter.com/download/android","Twitter for Android")</f>
        <v>Twitter for Android</v>
      </c>
      <c r="L4955" s="16">
        <v>3</v>
      </c>
      <c r="M4955" s="16">
        <v>25</v>
      </c>
      <c r="N4955" s="16">
        <v>0</v>
      </c>
      <c r="O4955" s="17"/>
      <c r="P4955" s="18">
        <v>41136.022326388891</v>
      </c>
      <c r="Q4955" s="7"/>
      <c r="R4955" s="7"/>
      <c r="S4955" s="8"/>
      <c r="T4955" s="8"/>
      <c r="U4955" s="19" t="str">
        <f>HYPERLINK("https://pbs.twimg.com/profile_images/2506814165/548123_438267869539354_1049830707_n.jpg","View")</f>
        <v>View</v>
      </c>
      <c r="V4955" s="8"/>
      <c r="W4955" s="8"/>
      <c r="X4955" s="8"/>
      <c r="Y4955" s="8"/>
      <c r="Z4955" s="8"/>
    </row>
    <row r="4956" spans="1:26" ht="12.75">
      <c r="A4956" s="11">
        <v>43747.101030092592</v>
      </c>
      <c r="B4956" s="12" t="str">
        <f>HYPERLINK("https://twitter.com/idocan7244","@idocan7244")</f>
        <v>@idocan7244</v>
      </c>
      <c r="C4956" s="7" t="s">
        <v>23977</v>
      </c>
      <c r="D4956" s="7" t="s">
        <v>23978</v>
      </c>
      <c r="E4956" s="12" t="str">
        <f>HYPERLINK("https://twitter.com/idocan7244/status/1181863243528245248","1181863243528245248")</f>
        <v>1181863243528245248</v>
      </c>
      <c r="F4956" s="8"/>
      <c r="G4956" s="15"/>
      <c r="H4956" s="8"/>
      <c r="I4956" s="15">
        <v>0</v>
      </c>
      <c r="J4956" s="15">
        <v>16</v>
      </c>
      <c r="K4956" s="12" t="str">
        <f>HYPERLINK("http://twitter.com/download/android","Twitter for Android")</f>
        <v>Twitter for Android</v>
      </c>
      <c r="L4956" s="16">
        <v>408</v>
      </c>
      <c r="M4956" s="16">
        <v>395</v>
      </c>
      <c r="N4956" s="16">
        <v>0</v>
      </c>
      <c r="O4956" s="17"/>
      <c r="P4956" s="18">
        <v>42139.509328703702</v>
      </c>
      <c r="Q4956" s="7" t="s">
        <v>21192</v>
      </c>
      <c r="R4956" s="7" t="s">
        <v>23979</v>
      </c>
      <c r="S4956" s="15"/>
      <c r="T4956" s="8"/>
      <c r="U4956" s="19" t="str">
        <f>HYPERLINK("https://pbs.twimg.com/profile_images/1180213079126286336/MljlKkLh.jpg","View")</f>
        <v>View</v>
      </c>
      <c r="V4956" s="8"/>
      <c r="W4956" s="8"/>
      <c r="X4956" s="8"/>
      <c r="Y4956" s="8"/>
      <c r="Z4956" s="8"/>
    </row>
    <row r="4957" spans="1:26" ht="12.75">
      <c r="A4957" s="11">
        <v>43747.101030092592</v>
      </c>
      <c r="B4957" s="12" t="str">
        <f>HYPERLINK("https://twitter.com/Mikropkoss","@Mikropkoss")</f>
        <v>@Mikropkoss</v>
      </c>
      <c r="C4957" s="7" t="s">
        <v>23980</v>
      </c>
      <c r="D4957" s="7" t="s">
        <v>23981</v>
      </c>
      <c r="E4957" s="12" t="str">
        <f>HYPERLINK("https://twitter.com/Mikropkoss/status/1181863242374754306","1181863242374754306")</f>
        <v>1181863242374754306</v>
      </c>
      <c r="F4957" s="8"/>
      <c r="G4957" s="15"/>
      <c r="H4957" s="8"/>
      <c r="I4957" s="15">
        <v>0</v>
      </c>
      <c r="J4957" s="15">
        <v>1</v>
      </c>
      <c r="K4957" s="12" t="str">
        <f>HYPERLINK("https://mobile.twitter.com","Twitter Web App")</f>
        <v>Twitter Web App</v>
      </c>
      <c r="L4957" s="16">
        <v>417</v>
      </c>
      <c r="M4957" s="16">
        <v>667</v>
      </c>
      <c r="N4957" s="16">
        <v>1</v>
      </c>
      <c r="O4957" s="17"/>
      <c r="P4957" s="18">
        <v>42225.480069444442</v>
      </c>
      <c r="Q4957" s="8"/>
      <c r="R4957" s="7" t="s">
        <v>23982</v>
      </c>
      <c r="S4957" s="8"/>
      <c r="T4957" s="8"/>
      <c r="U4957" s="19" t="str">
        <f>HYPERLINK("https://pbs.twimg.com/profile_images/1001522530002366464/xF9IPdi5.jpg","View")</f>
        <v>View</v>
      </c>
      <c r="V4957" s="8"/>
      <c r="W4957" s="8"/>
      <c r="X4957" s="8"/>
      <c r="Y4957" s="8"/>
      <c r="Z4957" s="8"/>
    </row>
    <row r="4958" spans="1:26" ht="12.75">
      <c r="A4958" s="11">
        <v>43747.101006944446</v>
      </c>
      <c r="B4958" s="12" t="str">
        <f>HYPERLINK("https://twitter.com/NamelesSq18","@NamelesSq18")</f>
        <v>@NamelesSq18</v>
      </c>
      <c r="C4958" s="7" t="s">
        <v>11801</v>
      </c>
      <c r="D4958" s="7" t="s">
        <v>160</v>
      </c>
      <c r="E4958" s="12" t="str">
        <f>HYPERLINK("https://twitter.com/NamelesSq18/status/1181863231972884485","1181863231972884485")</f>
        <v>1181863231972884485</v>
      </c>
      <c r="F4958" s="8"/>
      <c r="G4958" s="14" t="s">
        <v>23983</v>
      </c>
      <c r="H4958" s="8"/>
      <c r="I4958" s="15">
        <v>0</v>
      </c>
      <c r="J4958" s="15">
        <v>0</v>
      </c>
      <c r="K4958" s="12" t="str">
        <f>HYPERLINK("http://twitter.com/download/android","Twitter for Android")</f>
        <v>Twitter for Android</v>
      </c>
      <c r="L4958" s="16">
        <v>3</v>
      </c>
      <c r="M4958" s="16">
        <v>34</v>
      </c>
      <c r="N4958" s="16">
        <v>0</v>
      </c>
      <c r="O4958" s="17"/>
      <c r="P4958" s="18">
        <v>43316.415543981479</v>
      </c>
      <c r="Q4958" s="7" t="s">
        <v>17971</v>
      </c>
      <c r="R4958" s="7"/>
      <c r="S4958" s="8"/>
      <c r="T4958" s="8"/>
      <c r="U4958" s="19" t="str">
        <f>HYPERLINK("https://pbs.twimg.com/profile_images/1025789059136987136/MWhJKzdt.jpg","View")</f>
        <v>View</v>
      </c>
      <c r="V4958" s="8"/>
      <c r="W4958" s="8"/>
      <c r="X4958" s="8"/>
      <c r="Y4958" s="8"/>
      <c r="Z4958" s="8"/>
    </row>
    <row r="4959" spans="1:26" ht="12.75">
      <c r="A4959" s="11">
        <v>43747.101006944446</v>
      </c>
      <c r="B4959" s="12" t="str">
        <f>HYPERLINK("https://twitter.com/kerimozarslan","@kerimozarslan")</f>
        <v>@kerimozarslan</v>
      </c>
      <c r="C4959" s="7" t="s">
        <v>23984</v>
      </c>
      <c r="D4959" s="7" t="s">
        <v>23985</v>
      </c>
      <c r="E4959" s="12" t="str">
        <f>HYPERLINK("https://twitter.com/kerimozarslan/status/1181863231729610753","1181863231729610753")</f>
        <v>1181863231729610753</v>
      </c>
      <c r="F4959" s="8"/>
      <c r="G4959" s="14" t="s">
        <v>23986</v>
      </c>
      <c r="H4959" s="8"/>
      <c r="I4959" s="15">
        <v>0</v>
      </c>
      <c r="J4959" s="15">
        <v>0</v>
      </c>
      <c r="K4959" s="12" t="str">
        <f>HYPERLINK("http://twitter.com/download/android","Twitter for Android")</f>
        <v>Twitter for Android</v>
      </c>
      <c r="L4959" s="16">
        <v>50</v>
      </c>
      <c r="M4959" s="16">
        <v>246</v>
      </c>
      <c r="N4959" s="16">
        <v>0</v>
      </c>
      <c r="O4959" s="17"/>
      <c r="P4959" s="18">
        <v>43735.56248842593</v>
      </c>
      <c r="Q4959" s="7" t="s">
        <v>2201</v>
      </c>
      <c r="R4959" s="8" t="s">
        <v>23987</v>
      </c>
      <c r="S4959" s="14" t="s">
        <v>23988</v>
      </c>
      <c r="T4959" s="8"/>
      <c r="U4959" s="19" t="str">
        <f>HYPERLINK("https://pbs.twimg.com/profile_images/1177681873293709314/UPIDCjZi.png","View")</f>
        <v>View</v>
      </c>
      <c r="V4959" s="8"/>
      <c r="W4959" s="8"/>
      <c r="X4959" s="8"/>
      <c r="Y4959" s="8"/>
      <c r="Z4959" s="8"/>
    </row>
    <row r="4960" spans="1:26" ht="12.75">
      <c r="A4960" s="11">
        <v>43747.100949074069</v>
      </c>
      <c r="B4960" s="12" t="str">
        <f>HYPERLINK("https://twitter.com/ZekeriyaAkn8","@ZekeriyaAkn8")</f>
        <v>@ZekeriyaAkn8</v>
      </c>
      <c r="C4960" s="7" t="s">
        <v>23989</v>
      </c>
      <c r="D4960" s="7" t="s">
        <v>23990</v>
      </c>
      <c r="E4960" s="12" t="str">
        <f>HYPERLINK("https://twitter.com/ZekeriyaAkn8/status/1181863211932491777","1181863211932491777")</f>
        <v>1181863211932491777</v>
      </c>
      <c r="F4960" s="8"/>
      <c r="G4960" s="14" t="s">
        <v>23991</v>
      </c>
      <c r="H4960" s="8"/>
      <c r="I4960" s="15">
        <v>1</v>
      </c>
      <c r="J4960" s="15">
        <v>2</v>
      </c>
      <c r="K4960" s="12" t="str">
        <f>HYPERLINK("http://twitter.com/download/android","Twitter for Android")</f>
        <v>Twitter for Android</v>
      </c>
      <c r="L4960" s="16">
        <v>14</v>
      </c>
      <c r="M4960" s="16">
        <v>45</v>
      </c>
      <c r="N4960" s="16">
        <v>2</v>
      </c>
      <c r="O4960" s="17"/>
      <c r="P4960" s="18">
        <v>42568.175416666665</v>
      </c>
      <c r="Q4960" s="7" t="s">
        <v>5202</v>
      </c>
      <c r="R4960" s="7"/>
      <c r="S4960" s="8"/>
      <c r="T4960" s="8"/>
      <c r="U4960" s="19" t="str">
        <f>HYPERLINK("https://pbs.twimg.com/profile_images/1181224808492802049/tFSPlVCT.jpg","View")</f>
        <v>View</v>
      </c>
      <c r="V4960" s="8"/>
      <c r="W4960" s="8"/>
      <c r="X4960" s="8"/>
      <c r="Y4960" s="8"/>
      <c r="Z4960" s="8"/>
    </row>
    <row r="4961" spans="1:26" ht="12.75">
      <c r="A4961" s="11">
        <v>43747.100844907407</v>
      </c>
      <c r="B4961" s="12" t="str">
        <f>HYPERLINK("https://twitter.com/EvladBu","@EvladBu")</f>
        <v>@EvladBu</v>
      </c>
      <c r="C4961" s="7" t="s">
        <v>23992</v>
      </c>
      <c r="D4961" s="7" t="s">
        <v>23993</v>
      </c>
      <c r="E4961" s="12" t="str">
        <f>HYPERLINK("https://twitter.com/EvladBu/status/1181863175312027649","1181863175312027649")</f>
        <v>1181863175312027649</v>
      </c>
      <c r="F4961" s="7"/>
      <c r="G4961" s="14" t="s">
        <v>23994</v>
      </c>
      <c r="H4961" s="8"/>
      <c r="I4961" s="15">
        <v>2</v>
      </c>
      <c r="J4961" s="15">
        <v>19</v>
      </c>
      <c r="K4961" s="12" t="str">
        <f>HYPERLINK("https://mobile.twitter.com","Twitter Web App")</f>
        <v>Twitter Web App</v>
      </c>
      <c r="L4961" s="16">
        <v>220</v>
      </c>
      <c r="M4961" s="16">
        <v>355</v>
      </c>
      <c r="N4961" s="16">
        <v>1</v>
      </c>
      <c r="O4961" s="17"/>
      <c r="P4961" s="18">
        <v>43714.048657407402</v>
      </c>
      <c r="Q4961" s="8"/>
      <c r="R4961" s="8" t="s">
        <v>23995</v>
      </c>
      <c r="S4961" s="8"/>
      <c r="T4961" s="8"/>
      <c r="U4961" s="19" t="str">
        <f>HYPERLINK("https://pbs.twimg.com/profile_images/1169885727213047809/oyrfr4fJ.jpg","View")</f>
        <v>View</v>
      </c>
      <c r="V4961" s="8"/>
      <c r="W4961" s="8"/>
      <c r="X4961" s="8"/>
      <c r="Y4961" s="8"/>
      <c r="Z4961" s="8"/>
    </row>
    <row r="4962" spans="1:26" ht="12.75">
      <c r="A4962" s="11">
        <v>43747.100798611107</v>
      </c>
      <c r="B4962" s="12" t="str">
        <f>HYPERLINK("https://twitter.com/Akmilyonlariz","@Akmilyonlariz")</f>
        <v>@Akmilyonlariz</v>
      </c>
      <c r="C4962" s="7" t="s">
        <v>23996</v>
      </c>
      <c r="D4962" s="7" t="s">
        <v>23997</v>
      </c>
      <c r="E4962" s="12" t="str">
        <f>HYPERLINK("https://twitter.com/Akmilyonlariz/status/1181863159772172289","1181863159772172289")</f>
        <v>1181863159772172289</v>
      </c>
      <c r="F4962" s="8"/>
      <c r="G4962" s="14" t="s">
        <v>23998</v>
      </c>
      <c r="H4962" s="8"/>
      <c r="I4962" s="15">
        <v>9</v>
      </c>
      <c r="J4962" s="15">
        <v>16</v>
      </c>
      <c r="K4962" s="12" t="str">
        <f>HYPERLINK("http://twitter.com","Twitter Web Client")</f>
        <v>Twitter Web Client</v>
      </c>
      <c r="L4962" s="16">
        <v>1560</v>
      </c>
      <c r="M4962" s="16">
        <v>4143</v>
      </c>
      <c r="N4962" s="16">
        <v>0</v>
      </c>
      <c r="O4962" s="17"/>
      <c r="P4962" s="18">
        <v>43256.081354166672</v>
      </c>
      <c r="Q4962" s="7"/>
      <c r="R4962" s="7"/>
      <c r="S4962" s="8"/>
      <c r="T4962" s="8"/>
      <c r="U4962" s="19" t="str">
        <f>HYPERLINK("https://pbs.twimg.com/profile_images/1003925204140199937/UAzx85FA.jpg","View")</f>
        <v>View</v>
      </c>
      <c r="V4962" s="8"/>
      <c r="W4962" s="8"/>
      <c r="X4962" s="8"/>
      <c r="Y4962" s="8"/>
      <c r="Z4962" s="8"/>
    </row>
    <row r="4963" spans="1:26" ht="12.75">
      <c r="A4963" s="11">
        <v>43747.100775462968</v>
      </c>
      <c r="B4963" s="12" t="str">
        <f>HYPERLINK("https://twitter.com/Orhan___Karayel","@Orhan___Karayel")</f>
        <v>@Orhan___Karayel</v>
      </c>
      <c r="C4963" s="7" t="s">
        <v>23999</v>
      </c>
      <c r="D4963" s="7" t="s">
        <v>20866</v>
      </c>
      <c r="E4963" s="12" t="str">
        <f>HYPERLINK("https://twitter.com/Orhan___Karayel/status/1181863149617795072","1181863149617795072")</f>
        <v>1181863149617795072</v>
      </c>
      <c r="F4963" s="8"/>
      <c r="G4963" s="15"/>
      <c r="H4963" s="8"/>
      <c r="I4963" s="15">
        <v>0</v>
      </c>
      <c r="J4963" s="15">
        <v>3</v>
      </c>
      <c r="K4963" s="12" t="str">
        <f>HYPERLINK("http://twitter.com/download/android","Twitter for Android")</f>
        <v>Twitter for Android</v>
      </c>
      <c r="L4963" s="16">
        <v>2530</v>
      </c>
      <c r="M4963" s="16">
        <v>2681</v>
      </c>
      <c r="N4963" s="16">
        <v>0</v>
      </c>
      <c r="O4963" s="17"/>
      <c r="P4963" s="18">
        <v>43193.309398148151</v>
      </c>
      <c r="Q4963" s="7" t="s">
        <v>200</v>
      </c>
      <c r="R4963" s="7"/>
      <c r="S4963" s="8"/>
      <c r="T4963" s="8"/>
      <c r="U4963" s="19" t="str">
        <f>HYPERLINK("https://pbs.twimg.com/profile_images/1181868738192302080/BA3chF7c.jpg","View")</f>
        <v>View</v>
      </c>
      <c r="V4963" s="8"/>
      <c r="W4963" s="8"/>
      <c r="X4963" s="8"/>
      <c r="Y4963" s="8"/>
      <c r="Z4963" s="8"/>
    </row>
    <row r="4964" spans="1:26" ht="12.75">
      <c r="A4964" s="11">
        <v>43747.100775462968</v>
      </c>
      <c r="B4964" s="12" t="str">
        <f>HYPERLINK("https://twitter.com/OzcanBurak","@OzcanBurak")</f>
        <v>@OzcanBurak</v>
      </c>
      <c r="C4964" s="7" t="s">
        <v>24000</v>
      </c>
      <c r="D4964" s="7" t="s">
        <v>24001</v>
      </c>
      <c r="E4964" s="12" t="str">
        <f>HYPERLINK("https://twitter.com/OzcanBurak/status/1181863147898068992","1181863147898068992")</f>
        <v>1181863147898068992</v>
      </c>
      <c r="F4964" s="8"/>
      <c r="G4964" s="8"/>
      <c r="H4964" s="8"/>
      <c r="I4964" s="15">
        <v>0</v>
      </c>
      <c r="J4964" s="15">
        <v>1</v>
      </c>
      <c r="K4964" s="12" t="str">
        <f>HYPERLINK("http://twitter.com/download/android","Twitter for Android")</f>
        <v>Twitter for Android</v>
      </c>
      <c r="L4964" s="16">
        <v>3846</v>
      </c>
      <c r="M4964" s="16">
        <v>3803</v>
      </c>
      <c r="N4964" s="16">
        <v>0</v>
      </c>
      <c r="O4964" s="17"/>
      <c r="P4964" s="18">
        <v>40195.582280092596</v>
      </c>
      <c r="Q4964" s="8" t="s">
        <v>13265</v>
      </c>
      <c r="R4964" s="7" t="s">
        <v>24002</v>
      </c>
      <c r="S4964" s="8"/>
      <c r="T4964" s="8"/>
      <c r="U4964" s="19" t="str">
        <f>HYPERLINK("https://pbs.twimg.com/profile_images/1153372862482452480/xl7JLgiS.jpg","View")</f>
        <v>View</v>
      </c>
      <c r="V4964" s="8"/>
      <c r="W4964" s="8"/>
      <c r="X4964" s="8"/>
      <c r="Y4964" s="8"/>
      <c r="Z4964" s="8"/>
    </row>
    <row r="4965" spans="1:26" ht="12.75">
      <c r="A4965" s="11">
        <v>43747.100706018522</v>
      </c>
      <c r="B4965" s="12" t="str">
        <f>HYPERLINK("https://twitter.com/vali1071","@vali1071")</f>
        <v>@vali1071</v>
      </c>
      <c r="C4965" s="7" t="s">
        <v>24003</v>
      </c>
      <c r="D4965" s="7" t="s">
        <v>24004</v>
      </c>
      <c r="E4965" s="12" t="str">
        <f>HYPERLINK("https://twitter.com/vali1071/status/1181863123432673280","1181863123432673280")</f>
        <v>1181863123432673280</v>
      </c>
      <c r="F4965" s="8"/>
      <c r="G4965" s="15"/>
      <c r="H4965" s="8"/>
      <c r="I4965" s="15">
        <v>5</v>
      </c>
      <c r="J4965" s="15">
        <v>10</v>
      </c>
      <c r="K4965" s="12" t="str">
        <f>HYPERLINK("http://twitter.com/download/android","Twitter for Android")</f>
        <v>Twitter for Android</v>
      </c>
      <c r="L4965" s="16">
        <v>41392</v>
      </c>
      <c r="M4965" s="16">
        <v>36196</v>
      </c>
      <c r="N4965" s="16">
        <v>47</v>
      </c>
      <c r="O4965" s="17"/>
      <c r="P4965" s="18">
        <v>42302.146643518514</v>
      </c>
      <c r="Q4965" s="8" t="s">
        <v>200</v>
      </c>
      <c r="R4965" s="8" t="s">
        <v>24005</v>
      </c>
      <c r="S4965" s="8"/>
      <c r="T4965" s="8"/>
      <c r="U4965" s="19" t="str">
        <f>HYPERLINK("https://pbs.twimg.com/profile_images/1180938197947355136/Q5evgBLy.jpg","View")</f>
        <v>View</v>
      </c>
      <c r="V4965" s="8"/>
      <c r="W4965" s="8"/>
      <c r="X4965" s="8"/>
      <c r="Y4965" s="8"/>
      <c r="Z4965" s="8"/>
    </row>
    <row r="4966" spans="1:26" ht="12.75">
      <c r="A4966" s="11">
        <v>43747.100648148145</v>
      </c>
      <c r="B4966" s="12" t="str">
        <f>HYPERLINK("https://twitter.com/brooklynlust_","@brooklynlust_")</f>
        <v>@brooklynlust_</v>
      </c>
      <c r="C4966" s="7" t="s">
        <v>13499</v>
      </c>
      <c r="D4966" s="7" t="s">
        <v>24006</v>
      </c>
      <c r="E4966" s="12" t="str">
        <f>HYPERLINK("https://twitter.com/brooklynlust_/status/1181863104751308801","1181863104751308801")</f>
        <v>1181863104751308801</v>
      </c>
      <c r="F4966" s="8"/>
      <c r="G4966" s="8"/>
      <c r="H4966" s="8"/>
      <c r="I4966" s="15">
        <v>1</v>
      </c>
      <c r="J4966" s="15">
        <v>12</v>
      </c>
      <c r="K4966" s="12" t="str">
        <f>HYPERLINK("http://twitter.com/download/iphone","Twitter for iPhone")</f>
        <v>Twitter for iPhone</v>
      </c>
      <c r="L4966" s="16">
        <v>4232</v>
      </c>
      <c r="M4966" s="16">
        <v>4961</v>
      </c>
      <c r="N4966" s="16">
        <v>1</v>
      </c>
      <c r="O4966" s="17"/>
      <c r="P4966" s="18">
        <v>43653.644016203703</v>
      </c>
      <c r="Q4966" s="8"/>
      <c r="R4966" s="8"/>
      <c r="S4966" s="8"/>
      <c r="T4966" s="8"/>
      <c r="U4966" s="19" t="str">
        <f>HYPERLINK("https://pbs.twimg.com/profile_images/1163744782449029122/JmpI3UVN.jpg","View")</f>
        <v>View</v>
      </c>
      <c r="V4966" s="8"/>
      <c r="W4966" s="8"/>
      <c r="X4966" s="8"/>
      <c r="Y4966" s="8"/>
      <c r="Z4966" s="8"/>
    </row>
    <row r="4967" spans="1:26" ht="12.75">
      <c r="A4967" s="11">
        <v>43747.100613425922</v>
      </c>
      <c r="B4967" s="12" t="str">
        <f>HYPERLINK("https://twitter.com/izdiham","@izdiham")</f>
        <v>@izdiham</v>
      </c>
      <c r="C4967" s="7" t="s">
        <v>24007</v>
      </c>
      <c r="D4967" s="7" t="s">
        <v>24008</v>
      </c>
      <c r="E4967" s="12" t="str">
        <f>HYPERLINK("https://twitter.com/izdiham/status/1181863093032407041","1181863093032407041")</f>
        <v>1181863093032407041</v>
      </c>
      <c r="F4967" s="8"/>
      <c r="G4967" s="15"/>
      <c r="H4967" s="8"/>
      <c r="I4967" s="15">
        <v>0</v>
      </c>
      <c r="J4967" s="15">
        <v>4</v>
      </c>
      <c r="K4967" s="12" t="str">
        <f>HYPERLINK("http://twitter.com/download/android","Twitter for Android")</f>
        <v>Twitter for Android</v>
      </c>
      <c r="L4967" s="16">
        <v>1683</v>
      </c>
      <c r="M4967" s="16">
        <v>144</v>
      </c>
      <c r="N4967" s="16">
        <v>8</v>
      </c>
      <c r="O4967" s="17"/>
      <c r="P4967" s="18">
        <v>40750.71230324074</v>
      </c>
      <c r="Q4967" s="8"/>
      <c r="R4967" s="7" t="s">
        <v>24009</v>
      </c>
      <c r="S4967" s="8"/>
      <c r="T4967" s="8"/>
      <c r="U4967" s="19" t="str">
        <f>HYPERLINK("https://pbs.twimg.com/profile_images/1167898050250981376/AcDHpYoV.jpg","View")</f>
        <v>View</v>
      </c>
      <c r="V4967" s="8"/>
      <c r="W4967" s="8"/>
      <c r="X4967" s="8"/>
      <c r="Y4967" s="8"/>
      <c r="Z4967" s="8"/>
    </row>
    <row r="4968" spans="1:26" ht="12.75">
      <c r="A4968" s="11">
        <v>43747.100601851853</v>
      </c>
      <c r="B4968" s="12" t="str">
        <f>HYPERLINK("https://twitter.com/kahramanali00","@kahramanali00")</f>
        <v>@kahramanali00</v>
      </c>
      <c r="C4968" s="7" t="s">
        <v>24010</v>
      </c>
      <c r="D4968" s="7" t="s">
        <v>24011</v>
      </c>
      <c r="E4968" s="12" t="str">
        <f>HYPERLINK("https://twitter.com/kahramanali00/status/1181863088670347265","1181863088670347265")</f>
        <v>1181863088670347265</v>
      </c>
      <c r="F4968" s="14" t="s">
        <v>24012</v>
      </c>
      <c r="G4968" s="14" t="s">
        <v>24013</v>
      </c>
      <c r="H4968" s="8"/>
      <c r="I4968" s="15">
        <v>0</v>
      </c>
      <c r="J4968" s="15">
        <v>3</v>
      </c>
      <c r="K4968" s="12" t="str">
        <f>HYPERLINK("http://twitter.com/download/iphone","Twitter for iPhone")</f>
        <v>Twitter for iPhone</v>
      </c>
      <c r="L4968" s="16">
        <v>242</v>
      </c>
      <c r="M4968" s="16">
        <v>162</v>
      </c>
      <c r="N4968" s="16">
        <v>0</v>
      </c>
      <c r="O4968" s="17"/>
      <c r="P4968" s="18">
        <v>40680.436597222222</v>
      </c>
      <c r="Q4968" s="8" t="s">
        <v>24014</v>
      </c>
      <c r="R4968" s="7" t="s">
        <v>24015</v>
      </c>
      <c r="S4968" s="8"/>
      <c r="T4968" s="8"/>
      <c r="U4968" s="19" t="str">
        <f>HYPERLINK("https://pbs.twimg.com/profile_images/1171391130656751617/190pN9LW.jpg","View")</f>
        <v>View</v>
      </c>
      <c r="V4968" s="8"/>
      <c r="W4968" s="8"/>
      <c r="X4968" s="8"/>
      <c r="Y4968" s="8"/>
      <c r="Z4968" s="8"/>
    </row>
    <row r="4969" spans="1:26" ht="12.75">
      <c r="A4969" s="11">
        <v>43747.100590277776</v>
      </c>
      <c r="B4969" s="12" t="str">
        <f>HYPERLINK("https://twitter.com/YasinSezer_","@YasinSezer_")</f>
        <v>@YasinSezer_</v>
      </c>
      <c r="C4969" s="7" t="s">
        <v>8611</v>
      </c>
      <c r="D4969" s="7" t="s">
        <v>21305</v>
      </c>
      <c r="E4969" s="12" t="str">
        <f>HYPERLINK("https://twitter.com/YasinSezer_/status/1181863082387263488","1181863082387263488")</f>
        <v>1181863082387263488</v>
      </c>
      <c r="F4969" s="8"/>
      <c r="G4969" s="15"/>
      <c r="H4969" s="8"/>
      <c r="I4969" s="15">
        <v>0</v>
      </c>
      <c r="J4969" s="15">
        <v>0</v>
      </c>
      <c r="K4969" s="12" t="str">
        <f>HYPERLINK("https://mobile.twitter.com","Twitter Web App")</f>
        <v>Twitter Web App</v>
      </c>
      <c r="L4969" s="16">
        <v>3</v>
      </c>
      <c r="M4969" s="16">
        <v>7</v>
      </c>
      <c r="N4969" s="16">
        <v>0</v>
      </c>
      <c r="O4969" s="17"/>
      <c r="P4969" s="18">
        <v>42077.491064814814</v>
      </c>
      <c r="Q4969" s="7"/>
      <c r="R4969" s="7"/>
      <c r="S4969" s="8"/>
      <c r="T4969" s="8"/>
      <c r="U4969" s="19" t="str">
        <f>HYPERLINK("https://pbs.twimg.com/profile_images/576819199932280832/TT76re1Y.jpeg","View")</f>
        <v>View</v>
      </c>
      <c r="V4969" s="8"/>
      <c r="W4969" s="8"/>
      <c r="X4969" s="8"/>
      <c r="Y4969" s="8"/>
      <c r="Z4969" s="8"/>
    </row>
    <row r="4970" spans="1:26" ht="12.75">
      <c r="A4970" s="11">
        <v>43747.10056712963</v>
      </c>
      <c r="B4970" s="12" t="str">
        <f>HYPERLINK("https://twitter.com/toprakk063","@toprakk063")</f>
        <v>@toprakk063</v>
      </c>
      <c r="C4970" s="7" t="s">
        <v>24016</v>
      </c>
      <c r="D4970" s="7" t="s">
        <v>24017</v>
      </c>
      <c r="E4970" s="12" t="str">
        <f>HYPERLINK("https://twitter.com/toprakk063/status/1181863074619383808","1181863074619383808")</f>
        <v>1181863074619383808</v>
      </c>
      <c r="F4970" s="8"/>
      <c r="G4970" s="14" t="s">
        <v>24018</v>
      </c>
      <c r="H4970" s="8"/>
      <c r="I4970" s="15">
        <v>1</v>
      </c>
      <c r="J4970" s="15">
        <v>3</v>
      </c>
      <c r="K4970" s="12" t="str">
        <f>HYPERLINK("http://twitter.com/download/android","Twitter for Android")</f>
        <v>Twitter for Android</v>
      </c>
      <c r="L4970" s="16">
        <v>403</v>
      </c>
      <c r="M4970" s="16">
        <v>157</v>
      </c>
      <c r="N4970" s="16">
        <v>0</v>
      </c>
      <c r="O4970" s="17"/>
      <c r="P4970" s="18">
        <v>41937.473032407404</v>
      </c>
      <c r="Q4970" s="8" t="s">
        <v>313</v>
      </c>
      <c r="R4970" s="8" t="s">
        <v>24019</v>
      </c>
      <c r="S4970" s="14" t="s">
        <v>24020</v>
      </c>
      <c r="T4970" s="8"/>
      <c r="U4970" s="19" t="str">
        <f>HYPERLINK("https://pbs.twimg.com/profile_images/1179489543294193664/lQgGYYWz.jpg","View")</f>
        <v>View</v>
      </c>
      <c r="V4970" s="8"/>
      <c r="W4970" s="8"/>
      <c r="X4970" s="8"/>
      <c r="Y4970" s="8"/>
      <c r="Z4970" s="8"/>
    </row>
    <row r="4971" spans="1:26" ht="12.75">
      <c r="A4971" s="11">
        <v>43747.100520833337</v>
      </c>
      <c r="B4971" s="12" t="str">
        <f>HYPERLINK("https://twitter.com/mehmetabdullahc","@mehmetabdullahc")</f>
        <v>@mehmetabdullahc</v>
      </c>
      <c r="C4971" s="7" t="s">
        <v>24021</v>
      </c>
      <c r="D4971" s="7" t="s">
        <v>24022</v>
      </c>
      <c r="E4971" s="12" t="str">
        <f>HYPERLINK("https://twitter.com/mehmetabdullahc/status/1181863056982319104","1181863056982319104")</f>
        <v>1181863056982319104</v>
      </c>
      <c r="F4971" s="8"/>
      <c r="G4971" s="15"/>
      <c r="H4971" s="8"/>
      <c r="I4971" s="15">
        <v>0</v>
      </c>
      <c r="J4971" s="15">
        <v>0</v>
      </c>
      <c r="K4971" s="12" t="str">
        <f>HYPERLINK("http://twitter.com/download/iphone","Twitter for iPhone")</f>
        <v>Twitter for iPhone</v>
      </c>
      <c r="L4971" s="16">
        <v>46</v>
      </c>
      <c r="M4971" s="16">
        <v>213</v>
      </c>
      <c r="N4971" s="16">
        <v>0</v>
      </c>
      <c r="O4971" s="17"/>
      <c r="P4971" s="18">
        <v>43324.585798611108</v>
      </c>
      <c r="Q4971" s="7" t="s">
        <v>313</v>
      </c>
      <c r="R4971" s="7"/>
      <c r="S4971" s="8"/>
      <c r="T4971" s="8"/>
      <c r="U4971" s="19" t="str">
        <f>HYPERLINK("https://pbs.twimg.com/profile_images/1087771149977694208/ZwJNIBST.jpg","View")</f>
        <v>View</v>
      </c>
      <c r="V4971" s="8"/>
      <c r="W4971" s="8"/>
      <c r="X4971" s="8"/>
      <c r="Y4971" s="8"/>
      <c r="Z4971" s="8"/>
    </row>
    <row r="4972" spans="1:26" ht="12.75">
      <c r="A4972" s="11">
        <v>43747.100497685184</v>
      </c>
      <c r="B4972" s="12" t="str">
        <f>HYPERLINK("https://twitter.com/Abdullahler7","@Abdullahler7")</f>
        <v>@Abdullahler7</v>
      </c>
      <c r="C4972" s="7" t="s">
        <v>24023</v>
      </c>
      <c r="D4972" s="7" t="s">
        <v>160</v>
      </c>
      <c r="E4972" s="12" t="str">
        <f>HYPERLINK("https://twitter.com/Abdullahler7/status/1181863049982087168","1181863049982087168")</f>
        <v>1181863049982087168</v>
      </c>
      <c r="F4972" s="8"/>
      <c r="G4972" s="14" t="s">
        <v>24024</v>
      </c>
      <c r="H4972" s="8"/>
      <c r="I4972" s="15">
        <v>0</v>
      </c>
      <c r="J4972" s="15">
        <v>0</v>
      </c>
      <c r="K4972" s="12" t="str">
        <f>HYPERLINK("http://twitter.com/download/iphone","Twitter for iPhone")</f>
        <v>Twitter for iPhone</v>
      </c>
      <c r="L4972" s="16">
        <v>15</v>
      </c>
      <c r="M4972" s="16">
        <v>68</v>
      </c>
      <c r="N4972" s="16">
        <v>0</v>
      </c>
      <c r="O4972" s="17"/>
      <c r="P4972" s="18">
        <v>43367.277962962966</v>
      </c>
      <c r="Q4972" s="7" t="s">
        <v>12687</v>
      </c>
      <c r="R4972" s="7" t="s">
        <v>24025</v>
      </c>
      <c r="S4972" s="8"/>
      <c r="T4972" s="8"/>
      <c r="U4972" s="19" t="str">
        <f>HYPERLINK("https://pbs.twimg.com/profile_images/1166998959686111232/iEK4ef1k.jpg","View")</f>
        <v>View</v>
      </c>
      <c r="V4972" s="8"/>
      <c r="W4972" s="8"/>
      <c r="X4972" s="8"/>
      <c r="Y4972" s="8"/>
      <c r="Z4972" s="8"/>
    </row>
    <row r="4973" spans="1:26" ht="12.75">
      <c r="A4973" s="11">
        <v>43747.100497685184</v>
      </c>
      <c r="B4973" s="12" t="str">
        <f>HYPERLINK("https://twitter.com/utku_mustafa","@utku_mustafa")</f>
        <v>@utku_mustafa</v>
      </c>
      <c r="C4973" s="7" t="s">
        <v>24026</v>
      </c>
      <c r="D4973" s="7" t="s">
        <v>24027</v>
      </c>
      <c r="E4973" s="12" t="str">
        <f>HYPERLINK("https://twitter.com/utku_mustafa/status/1181863049847816193","1181863049847816193")</f>
        <v>1181863049847816193</v>
      </c>
      <c r="F4973" s="14" t="s">
        <v>24028</v>
      </c>
      <c r="G4973" s="15"/>
      <c r="H4973" s="8"/>
      <c r="I4973" s="15">
        <v>0</v>
      </c>
      <c r="J4973" s="15">
        <v>1</v>
      </c>
      <c r="K4973" s="12" t="str">
        <f>HYPERLINK("http://twitter.com/download/android","Twitter for Android")</f>
        <v>Twitter for Android</v>
      </c>
      <c r="L4973" s="16">
        <v>3352</v>
      </c>
      <c r="M4973" s="16">
        <v>4755</v>
      </c>
      <c r="N4973" s="16">
        <v>12</v>
      </c>
      <c r="O4973" s="17"/>
      <c r="P4973" s="18">
        <v>40891.382569444446</v>
      </c>
      <c r="Q4973" s="7"/>
      <c r="R4973" s="7" t="s">
        <v>24029</v>
      </c>
      <c r="S4973" s="8"/>
      <c r="T4973" s="8"/>
      <c r="U4973" s="19" t="str">
        <f>HYPERLINK("https://pbs.twimg.com/profile_images/1148173400650768384/Wlv3mpcd.jpg","View")</f>
        <v>View</v>
      </c>
      <c r="V4973" s="8"/>
      <c r="W4973" s="8"/>
      <c r="X4973" s="8"/>
      <c r="Y4973" s="8"/>
      <c r="Z4973" s="8"/>
    </row>
    <row r="4974" spans="1:26" ht="12.75">
      <c r="A4974" s="11">
        <v>43747.100497685184</v>
      </c>
      <c r="B4974" s="12" t="str">
        <f>HYPERLINK("https://twitter.com/kayzermer","@kayzermer")</f>
        <v>@kayzermer</v>
      </c>
      <c r="C4974" s="7" t="s">
        <v>24030</v>
      </c>
      <c r="D4974" s="7" t="s">
        <v>24031</v>
      </c>
      <c r="E4974" s="12" t="str">
        <f>HYPERLINK("https://twitter.com/kayzermer/status/1181863049164152837","1181863049164152837")</f>
        <v>1181863049164152837</v>
      </c>
      <c r="F4974" s="15"/>
      <c r="G4974" s="8"/>
      <c r="H4974" s="8"/>
      <c r="I4974" s="15">
        <v>0</v>
      </c>
      <c r="J4974" s="15">
        <v>0</v>
      </c>
      <c r="K4974" s="12" t="str">
        <f>HYPERLINK("https://mobile.twitter.com","Twitter Web App")</f>
        <v>Twitter Web App</v>
      </c>
      <c r="L4974" s="16">
        <v>3</v>
      </c>
      <c r="M4974" s="16">
        <v>3</v>
      </c>
      <c r="N4974" s="16">
        <v>0</v>
      </c>
      <c r="O4974" s="17"/>
      <c r="P4974" s="18">
        <v>43561.498703703706</v>
      </c>
      <c r="Q4974" s="7"/>
      <c r="R4974" s="7"/>
      <c r="S4974" s="8"/>
      <c r="T4974" s="8"/>
      <c r="U4974" s="19" t="str">
        <f>HYPERLINK("https://pbs.twimg.com/profile_images/1119233732127358982/dW9dHJG3.jpg","View")</f>
        <v>View</v>
      </c>
      <c r="V4974" s="8"/>
      <c r="W4974" s="8"/>
      <c r="X4974" s="8"/>
      <c r="Y4974" s="8"/>
      <c r="Z4974" s="8"/>
    </row>
    <row r="4975" spans="1:26" ht="12.75">
      <c r="A4975" s="11">
        <v>43747.100462962961</v>
      </c>
      <c r="B4975" s="12" t="str">
        <f>HYPERLINK("https://twitter.com/Maranta_61","@Maranta_61")</f>
        <v>@Maranta_61</v>
      </c>
      <c r="C4975" s="7" t="s">
        <v>24032</v>
      </c>
      <c r="D4975" s="7" t="s">
        <v>24033</v>
      </c>
      <c r="E4975" s="12" t="str">
        <f>HYPERLINK("https://twitter.com/Maranta_61/status/1181863037529198592","1181863037529198592")</f>
        <v>1181863037529198592</v>
      </c>
      <c r="F4975" s="8"/>
      <c r="G4975" s="8"/>
      <c r="H4975" s="8"/>
      <c r="I4975" s="15">
        <v>0</v>
      </c>
      <c r="J4975" s="15">
        <v>1</v>
      </c>
      <c r="K4975" s="12" t="str">
        <f>HYPERLINK("http://twitter.com/download/iphone","Twitter for iPhone")</f>
        <v>Twitter for iPhone</v>
      </c>
      <c r="L4975" s="16">
        <v>102</v>
      </c>
      <c r="M4975" s="16">
        <v>154</v>
      </c>
      <c r="N4975" s="16">
        <v>2</v>
      </c>
      <c r="O4975" s="17"/>
      <c r="P4975" s="18">
        <v>42062.443182870367</v>
      </c>
      <c r="Q4975" s="7" t="s">
        <v>1748</v>
      </c>
      <c r="R4975" s="7" t="s">
        <v>24034</v>
      </c>
      <c r="S4975" s="8"/>
      <c r="T4975" s="8"/>
      <c r="U4975" s="19" t="str">
        <f>HYPERLINK("https://pbs.twimg.com/profile_images/1038441409416765440/jEANnKeZ.jpg","View")</f>
        <v>View</v>
      </c>
      <c r="V4975" s="8"/>
      <c r="W4975" s="8"/>
      <c r="X4975" s="8"/>
      <c r="Y4975" s="8"/>
      <c r="Z4975" s="8"/>
    </row>
    <row r="4976" spans="1:26" ht="12.75">
      <c r="A4976" s="11">
        <v>43747.100428240738</v>
      </c>
      <c r="B4976" s="12" t="str">
        <f>HYPERLINK("https://twitter.com/betbdk","@betbdk")</f>
        <v>@betbdk</v>
      </c>
      <c r="C4976" s="7" t="s">
        <v>24035</v>
      </c>
      <c r="D4976" s="7" t="s">
        <v>160</v>
      </c>
      <c r="E4976" s="12" t="str">
        <f>HYPERLINK("https://twitter.com/betbdk/status/1181863025084633088","1181863025084633088")</f>
        <v>1181863025084633088</v>
      </c>
      <c r="F4976" s="8"/>
      <c r="G4976" s="14" t="s">
        <v>24036</v>
      </c>
      <c r="H4976" s="8"/>
      <c r="I4976" s="15">
        <v>1</v>
      </c>
      <c r="J4976" s="15">
        <v>1</v>
      </c>
      <c r="K4976" s="12" t="str">
        <f>HYPERLINK("http://twitter.com/download/android","Twitter for Android")</f>
        <v>Twitter for Android</v>
      </c>
      <c r="L4976" s="16">
        <v>107</v>
      </c>
      <c r="M4976" s="16">
        <v>134</v>
      </c>
      <c r="N4976" s="16">
        <v>0</v>
      </c>
      <c r="O4976" s="17"/>
      <c r="P4976" s="18">
        <v>42953.538483796292</v>
      </c>
      <c r="Q4976" s="7" t="s">
        <v>24037</v>
      </c>
      <c r="R4976" s="7" t="s">
        <v>24038</v>
      </c>
      <c r="S4976" s="14" t="s">
        <v>24039</v>
      </c>
      <c r="T4976" s="8"/>
      <c r="U4976" s="19" t="str">
        <f>HYPERLINK("https://pbs.twimg.com/profile_images/1180960817174458373/f291MamH.jpg","View")</f>
        <v>View</v>
      </c>
      <c r="V4976" s="8"/>
      <c r="W4976" s="8"/>
      <c r="X4976" s="8"/>
      <c r="Y4976" s="8"/>
      <c r="Z4976" s="8"/>
    </row>
    <row r="4977" spans="1:26" ht="12.75">
      <c r="A4977" s="11">
        <v>43747.100428240738</v>
      </c>
      <c r="B4977" s="12" t="str">
        <f>HYPERLINK("https://twitter.com/askibend","@askibend")</f>
        <v>@askibend</v>
      </c>
      <c r="C4977" s="7" t="s">
        <v>24040</v>
      </c>
      <c r="D4977" s="7" t="s">
        <v>24041</v>
      </c>
      <c r="E4977" s="12" t="str">
        <f>HYPERLINK("https://twitter.com/askibend/status/1181863023780216832","1181863023780216832")</f>
        <v>1181863023780216832</v>
      </c>
      <c r="F4977" s="8"/>
      <c r="G4977" s="15"/>
      <c r="H4977" s="8"/>
      <c r="I4977" s="15">
        <v>1</v>
      </c>
      <c r="J4977" s="15">
        <v>3</v>
      </c>
      <c r="K4977" s="12" t="str">
        <f>HYPERLINK("http://twitter.com/download/iphone","Twitter for iPhone")</f>
        <v>Twitter for iPhone</v>
      </c>
      <c r="L4977" s="16">
        <v>2550</v>
      </c>
      <c r="M4977" s="16">
        <v>35</v>
      </c>
      <c r="N4977" s="16">
        <v>4</v>
      </c>
      <c r="O4977" s="17"/>
      <c r="P4977" s="18">
        <v>41162.554837962962</v>
      </c>
      <c r="Q4977" s="7" t="s">
        <v>69</v>
      </c>
      <c r="R4977" s="8" t="s">
        <v>24042</v>
      </c>
      <c r="S4977" s="14" t="s">
        <v>24043</v>
      </c>
      <c r="T4977" s="8"/>
      <c r="U4977" s="19" t="str">
        <f>HYPERLINK("https://pbs.twimg.com/profile_images/1166200203105439745/imhqQYMw.jpg","View")</f>
        <v>View</v>
      </c>
      <c r="V4977" s="8"/>
      <c r="W4977" s="8"/>
      <c r="X4977" s="8"/>
      <c r="Y4977" s="8"/>
      <c r="Z4977" s="8"/>
    </row>
    <row r="4978" spans="1:26" ht="12.75">
      <c r="A4978" s="11">
        <v>43747.100324074076</v>
      </c>
      <c r="B4978" s="12" t="str">
        <f>HYPERLINK("https://twitter.com/amineduyguidin","@amineduyguidin")</f>
        <v>@amineduyguidin</v>
      </c>
      <c r="C4978" s="7" t="s">
        <v>24044</v>
      </c>
      <c r="D4978" s="7" t="s">
        <v>24045</v>
      </c>
      <c r="E4978" s="12" t="str">
        <f>HYPERLINK("https://twitter.com/amineduyguidin/status/1181862986463547392","1181862986463547392")</f>
        <v>1181862986463547392</v>
      </c>
      <c r="F4978" s="8"/>
      <c r="G4978" s="15"/>
      <c r="H4978" s="8"/>
      <c r="I4978" s="15">
        <v>0</v>
      </c>
      <c r="J4978" s="15">
        <v>0</v>
      </c>
      <c r="K4978" s="12" t="str">
        <f>HYPERLINK("https://mobile.twitter.com","Twitter Web App")</f>
        <v>Twitter Web App</v>
      </c>
      <c r="L4978" s="16">
        <v>35</v>
      </c>
      <c r="M4978" s="16">
        <v>186</v>
      </c>
      <c r="N4978" s="16">
        <v>0</v>
      </c>
      <c r="O4978" s="17"/>
      <c r="P4978" s="18">
        <v>40996.276006944448</v>
      </c>
      <c r="Q4978" s="8" t="s">
        <v>860</v>
      </c>
      <c r="R4978" s="7" t="s">
        <v>24046</v>
      </c>
      <c r="S4978" s="8"/>
      <c r="T4978" s="8"/>
      <c r="U4978" s="19" t="str">
        <f>HYPERLINK("https://pbs.twimg.com/profile_images/1128655492652445697/LbFHFK1x.jpg","View")</f>
        <v>View</v>
      </c>
      <c r="V4978" s="8"/>
      <c r="W4978" s="8"/>
      <c r="X4978" s="8"/>
      <c r="Y4978" s="8"/>
      <c r="Z4978" s="8"/>
    </row>
    <row r="4979" spans="1:26" ht="12.75">
      <c r="A4979" s="11">
        <v>43747.100289351853</v>
      </c>
      <c r="B4979" s="12" t="str">
        <f>HYPERLINK("https://twitter.com/halittimursahin","@halittimursahin")</f>
        <v>@halittimursahin</v>
      </c>
      <c r="C4979" s="7" t="s">
        <v>24047</v>
      </c>
      <c r="D4979" s="7" t="s">
        <v>24048</v>
      </c>
      <c r="E4979" s="12" t="str">
        <f>HYPERLINK("https://twitter.com/halittimursahin/status/1181862975038201862","1181862975038201862")</f>
        <v>1181862975038201862</v>
      </c>
      <c r="F4979" s="8"/>
      <c r="G4979" s="14" t="s">
        <v>24049</v>
      </c>
      <c r="H4979" s="8"/>
      <c r="I4979" s="15">
        <v>0</v>
      </c>
      <c r="J4979" s="15">
        <v>0</v>
      </c>
      <c r="K4979" s="12" t="str">
        <f>HYPERLINK("https://mobile.twitter.com","Twitter Web App")</f>
        <v>Twitter Web App</v>
      </c>
      <c r="L4979" s="16">
        <v>178</v>
      </c>
      <c r="M4979" s="16">
        <v>925</v>
      </c>
      <c r="N4979" s="16">
        <v>2</v>
      </c>
      <c r="O4979" s="17"/>
      <c r="P4979" s="18">
        <v>41976.587037037039</v>
      </c>
      <c r="Q4979" s="8" t="s">
        <v>24050</v>
      </c>
      <c r="R4979" s="7" t="s">
        <v>24051</v>
      </c>
      <c r="S4979" s="8"/>
      <c r="T4979" s="8"/>
      <c r="U4979" s="19" t="str">
        <f>HYPERLINK("https://pbs.twimg.com/profile_images/673850633317847040/ZnWtbapi.jpg","View")</f>
        <v>View</v>
      </c>
      <c r="V4979" s="8"/>
      <c r="W4979" s="8"/>
      <c r="X4979" s="8"/>
      <c r="Y4979" s="8"/>
      <c r="Z4979" s="8"/>
    </row>
    <row r="4980" spans="1:26" ht="12.75">
      <c r="A4980" s="11">
        <v>43747.100231481483</v>
      </c>
      <c r="B4980" s="12" t="str">
        <f>HYPERLINK("https://twitter.com/hnyesilyurt","@hnyesilyurt")</f>
        <v>@hnyesilyurt</v>
      </c>
      <c r="C4980" s="7" t="s">
        <v>24052</v>
      </c>
      <c r="D4980" s="7" t="s">
        <v>24053</v>
      </c>
      <c r="E4980" s="12" t="str">
        <f>HYPERLINK("https://twitter.com/hnyesilyurt/status/1181862953873788933","1181862953873788933")</f>
        <v>1181862953873788933</v>
      </c>
      <c r="F4980" s="8"/>
      <c r="G4980" s="14" t="s">
        <v>24054</v>
      </c>
      <c r="H4980" s="8"/>
      <c r="I4980" s="15">
        <v>1</v>
      </c>
      <c r="J4980" s="15">
        <v>2</v>
      </c>
      <c r="K4980" s="12" t="str">
        <f>HYPERLINK("http://twitter.com/download/iphone","Twitter for iPhone")</f>
        <v>Twitter for iPhone</v>
      </c>
      <c r="L4980" s="16">
        <v>77</v>
      </c>
      <c r="M4980" s="16">
        <v>232</v>
      </c>
      <c r="N4980" s="16">
        <v>0</v>
      </c>
      <c r="O4980" s="17"/>
      <c r="P4980" s="18">
        <v>40749.666122685187</v>
      </c>
      <c r="Q4980" s="8" t="s">
        <v>287</v>
      </c>
      <c r="R4980" s="7" t="s">
        <v>24055</v>
      </c>
      <c r="S4980" s="8"/>
      <c r="T4980" s="8"/>
      <c r="U4980" s="19" t="str">
        <f>HYPERLINK("https://pbs.twimg.com/profile_images/1056796030472253440/zNRiMils.jpg","View")</f>
        <v>View</v>
      </c>
      <c r="V4980" s="8"/>
      <c r="W4980" s="8"/>
      <c r="X4980" s="8"/>
      <c r="Y4980" s="8"/>
      <c r="Z4980" s="8"/>
    </row>
    <row r="4981" spans="1:26" ht="12.75">
      <c r="A4981" s="11">
        <v>43747.10019675926</v>
      </c>
      <c r="B4981" s="12" t="str">
        <f>HYPERLINK("https://twitter.com/Ebrar_Kayali","@Ebrar_Kayali")</f>
        <v>@Ebrar_Kayali</v>
      </c>
      <c r="C4981" s="7" t="s">
        <v>24056</v>
      </c>
      <c r="D4981" s="7" t="s">
        <v>24057</v>
      </c>
      <c r="E4981" s="12" t="str">
        <f>HYPERLINK("https://twitter.com/Ebrar_Kayali/status/1181862939562827779","1181862939562827779")</f>
        <v>1181862939562827779</v>
      </c>
      <c r="F4981" s="8"/>
      <c r="G4981" s="14" t="s">
        <v>24058</v>
      </c>
      <c r="H4981" s="8"/>
      <c r="I4981" s="15">
        <v>0</v>
      </c>
      <c r="J4981" s="15">
        <v>1</v>
      </c>
      <c r="K4981" s="12" t="str">
        <f>HYPERLINK("http://twitter.com/download/iphone","Twitter for iPhone")</f>
        <v>Twitter for iPhone</v>
      </c>
      <c r="L4981" s="16">
        <v>193</v>
      </c>
      <c r="M4981" s="16">
        <v>163</v>
      </c>
      <c r="N4981" s="16">
        <v>0</v>
      </c>
      <c r="O4981" s="17"/>
      <c r="P4981" s="18">
        <v>41086.524988425925</v>
      </c>
      <c r="Q4981" s="7" t="s">
        <v>898</v>
      </c>
      <c r="R4981" s="7" t="s">
        <v>24059</v>
      </c>
      <c r="S4981" s="14" t="s">
        <v>24060</v>
      </c>
      <c r="T4981" s="8"/>
      <c r="U4981" s="19" t="str">
        <f>HYPERLINK("https://pbs.twimg.com/profile_images/1172412019565199360/JNCLT8KG.jpg","View")</f>
        <v>View</v>
      </c>
      <c r="V4981" s="8"/>
      <c r="W4981" s="8"/>
      <c r="X4981" s="8"/>
      <c r="Y4981" s="8"/>
      <c r="Z4981" s="8"/>
    </row>
    <row r="4982" spans="1:26" ht="12.75">
      <c r="A4982" s="11">
        <v>43747.10019675926</v>
      </c>
      <c r="B4982" s="12" t="str">
        <f>HYPERLINK("https://twitter.com/odeysus33","@odeysus33")</f>
        <v>@odeysus33</v>
      </c>
      <c r="C4982" s="7" t="s">
        <v>24061</v>
      </c>
      <c r="D4982" s="7" t="s">
        <v>24062</v>
      </c>
      <c r="E4982" s="12" t="str">
        <f>HYPERLINK("https://twitter.com/odeysus33/status/1181862938451296256","1181862938451296256")</f>
        <v>1181862938451296256</v>
      </c>
      <c r="F4982" s="8"/>
      <c r="G4982" s="8"/>
      <c r="H4982" s="8"/>
      <c r="I4982" s="15">
        <v>0</v>
      </c>
      <c r="J4982" s="15">
        <v>0</v>
      </c>
      <c r="K4982" s="12" t="str">
        <f>HYPERLINK("http://twitter.com/download/android","Twitter for Android")</f>
        <v>Twitter for Android</v>
      </c>
      <c r="L4982" s="16">
        <v>41</v>
      </c>
      <c r="M4982" s="16">
        <v>137</v>
      </c>
      <c r="N4982" s="16">
        <v>0</v>
      </c>
      <c r="O4982" s="17"/>
      <c r="P4982" s="18">
        <v>42094.517384259263</v>
      </c>
      <c r="Q4982" s="8"/>
      <c r="R4982" s="8"/>
      <c r="S4982" s="8"/>
      <c r="T4982" s="8"/>
      <c r="U4982" s="19" t="str">
        <f>HYPERLINK("https://pbs.twimg.com/profile_images/1046086264540286978/8HX3Nw4S.jpg","View")</f>
        <v>View</v>
      </c>
      <c r="V4982" s="8"/>
      <c r="W4982" s="8"/>
      <c r="X4982" s="8"/>
      <c r="Y4982" s="8"/>
      <c r="Z4982" s="8"/>
    </row>
    <row r="4983" spans="1:26" ht="12.75">
      <c r="A4983" s="11">
        <v>43747.100173611107</v>
      </c>
      <c r="B4983" s="12" t="str">
        <f>HYPERLINK("https://twitter.com/1savasansahin","@1savasansahin")</f>
        <v>@1savasansahin</v>
      </c>
      <c r="C4983" s="13" t="s">
        <v>24063</v>
      </c>
      <c r="D4983" s="7" t="s">
        <v>24064</v>
      </c>
      <c r="E4983" s="12" t="str">
        <f>HYPERLINK("https://twitter.com/1savasansahin/status/1181862931237085184","1181862931237085184")</f>
        <v>1181862931237085184</v>
      </c>
      <c r="F4983" s="8"/>
      <c r="G4983" s="14" t="s">
        <v>24065</v>
      </c>
      <c r="H4983" s="8"/>
      <c r="I4983" s="15">
        <v>0</v>
      </c>
      <c r="J4983" s="15">
        <v>31</v>
      </c>
      <c r="K4983" s="12" t="str">
        <f>HYPERLINK("https://mobile.twitter.com","Twitter Web App")</f>
        <v>Twitter Web App</v>
      </c>
      <c r="L4983" s="16">
        <v>2316</v>
      </c>
      <c r="M4983" s="16">
        <v>105</v>
      </c>
      <c r="N4983" s="16">
        <v>12</v>
      </c>
      <c r="O4983" s="17"/>
      <c r="P4983" s="18">
        <v>42325.511365740742</v>
      </c>
      <c r="Q4983" s="8" t="s">
        <v>918</v>
      </c>
      <c r="R4983" s="7" t="s">
        <v>24066</v>
      </c>
      <c r="S4983" s="8"/>
      <c r="T4983" s="8"/>
      <c r="U4983" s="19" t="str">
        <f>HYPERLINK("https://pbs.twimg.com/profile_images/1147998973338275840/-iFtPzJk.jpg","View")</f>
        <v>View</v>
      </c>
      <c r="V4983" s="8"/>
      <c r="W4983" s="8"/>
      <c r="X4983" s="8"/>
      <c r="Y4983" s="8"/>
      <c r="Z4983" s="8"/>
    </row>
    <row r="4984" spans="1:26" ht="12.75">
      <c r="A4984" s="11">
        <v>43747.100162037037</v>
      </c>
      <c r="B4984" s="12" t="str">
        <f>HYPERLINK("https://twitter.com/Felsefe63816305","@Felsefe63816305")</f>
        <v>@Felsefe63816305</v>
      </c>
      <c r="C4984" s="7" t="s">
        <v>10288</v>
      </c>
      <c r="D4984" s="7" t="s">
        <v>24067</v>
      </c>
      <c r="E4984" s="12" t="str">
        <f>HYPERLINK("https://twitter.com/Felsefe63816305/status/1181862927646822400","1181862927646822400")</f>
        <v>1181862927646822400</v>
      </c>
      <c r="F4984" s="8"/>
      <c r="G4984" s="8"/>
      <c r="H4984" s="8"/>
      <c r="I4984" s="15">
        <v>0</v>
      </c>
      <c r="J4984" s="15">
        <v>1</v>
      </c>
      <c r="K4984" s="12" t="str">
        <f>HYPERLINK("https://mobile.twitter.com","Twitter Web App")</f>
        <v>Twitter Web App</v>
      </c>
      <c r="L4984" s="16">
        <v>214</v>
      </c>
      <c r="M4984" s="16">
        <v>212</v>
      </c>
      <c r="N4984" s="16">
        <v>0</v>
      </c>
      <c r="O4984" s="17"/>
      <c r="P4984" s="18">
        <v>43379.305162037039</v>
      </c>
      <c r="Q4984" s="8"/>
      <c r="R4984" s="7" t="s">
        <v>24068</v>
      </c>
      <c r="S4984" s="8"/>
      <c r="T4984" s="8"/>
      <c r="U4984" s="19" t="str">
        <f>HYPERLINK("https://pbs.twimg.com/profile_images/1146314814106591237/c72D5Aba.jpg","View")</f>
        <v>View</v>
      </c>
      <c r="V4984" s="8"/>
      <c r="W4984" s="8"/>
      <c r="X4984" s="8"/>
      <c r="Y4984" s="8"/>
      <c r="Z4984" s="8"/>
    </row>
    <row r="4985" spans="1:26" ht="12.75">
      <c r="A4985" s="11">
        <v>43747.100150462968</v>
      </c>
      <c r="B4985" s="12" t="str">
        <f>HYPERLINK("https://twitter.com/Darbeli_Twit","@Darbeli_Twit")</f>
        <v>@Darbeli_Twit</v>
      </c>
      <c r="C4985" s="7" t="s">
        <v>24069</v>
      </c>
      <c r="D4985" s="7" t="s">
        <v>24070</v>
      </c>
      <c r="E4985" s="12" t="str">
        <f>HYPERLINK("https://twitter.com/Darbeli_Twit/status/1181862922634629122","1181862922634629122")</f>
        <v>1181862922634629122</v>
      </c>
      <c r="F4985" s="14" t="s">
        <v>24071</v>
      </c>
      <c r="G4985" s="15"/>
      <c r="H4985" s="8"/>
      <c r="I4985" s="15">
        <v>10</v>
      </c>
      <c r="J4985" s="15">
        <v>15</v>
      </c>
      <c r="K4985" s="12" t="str">
        <f>HYPERLINK("http://twitter.com/download/android","Twitter for Android")</f>
        <v>Twitter for Android</v>
      </c>
      <c r="L4985" s="16">
        <v>7335</v>
      </c>
      <c r="M4985" s="16">
        <v>6755</v>
      </c>
      <c r="N4985" s="16">
        <v>2</v>
      </c>
      <c r="O4985" s="17"/>
      <c r="P4985" s="18">
        <v>41622.266527777778</v>
      </c>
      <c r="Q4985" s="8" t="s">
        <v>24072</v>
      </c>
      <c r="R4985" s="7" t="s">
        <v>24073</v>
      </c>
      <c r="S4985" s="8"/>
      <c r="T4985" s="8"/>
      <c r="U4985" s="19" t="str">
        <f>HYPERLINK("https://pbs.twimg.com/profile_images/1167438647169290246/1OTPwJFG.jpg","View")</f>
        <v>View</v>
      </c>
      <c r="V4985" s="8"/>
      <c r="W4985" s="8"/>
      <c r="X4985" s="8"/>
      <c r="Y4985" s="8"/>
      <c r="Z4985" s="8"/>
    </row>
    <row r="4986" spans="1:26" ht="12.75">
      <c r="A4986" s="11">
        <v>43747.100115740745</v>
      </c>
      <c r="B4986" s="12" t="str">
        <f>HYPERLINK("https://twitter.com/Alpkrdem2","@Alpkrdem2")</f>
        <v>@Alpkrdem2</v>
      </c>
      <c r="C4986" s="7" t="s">
        <v>24074</v>
      </c>
      <c r="D4986" s="7" t="s">
        <v>160</v>
      </c>
      <c r="E4986" s="12" t="str">
        <f>HYPERLINK("https://twitter.com/Alpkrdem2/status/1181862912123707398","1181862912123707398")</f>
        <v>1181862912123707398</v>
      </c>
      <c r="F4986" s="15"/>
      <c r="G4986" s="8"/>
      <c r="H4986" s="8"/>
      <c r="I4986" s="15">
        <v>0</v>
      </c>
      <c r="J4986" s="15">
        <v>0</v>
      </c>
      <c r="K4986" s="12" t="str">
        <f>HYPERLINK("http://twitter.com/download/android","Twitter for Android")</f>
        <v>Twitter for Android</v>
      </c>
      <c r="L4986" s="16">
        <v>13</v>
      </c>
      <c r="M4986" s="16">
        <v>8</v>
      </c>
      <c r="N4986" s="16">
        <v>0</v>
      </c>
      <c r="O4986" s="17"/>
      <c r="P4986" s="18">
        <v>43526.25849537037</v>
      </c>
      <c r="Q4986" s="7"/>
      <c r="R4986" s="7" t="s">
        <v>24075</v>
      </c>
      <c r="S4986" s="15"/>
      <c r="T4986" s="8"/>
      <c r="U4986" s="19" t="str">
        <f>HYPERLINK("https://pbs.twimg.com/profile_images/1159743890406219777/YNp4OU2O.jpg","View")</f>
        <v>View</v>
      </c>
      <c r="V4986" s="8"/>
      <c r="W4986" s="8"/>
      <c r="X4986" s="8"/>
      <c r="Y4986" s="8"/>
      <c r="Z4986" s="8"/>
    </row>
    <row r="4987" spans="1:26" ht="12.75">
      <c r="A4987" s="11">
        <v>43747.100069444445</v>
      </c>
      <c r="B4987" s="12" t="str">
        <f>HYPERLINK("https://twitter.com/AslihanAkyildz","@AslihanAkyildz")</f>
        <v>@AslihanAkyildz</v>
      </c>
      <c r="C4987" s="13" t="s">
        <v>24076</v>
      </c>
      <c r="D4987" s="7" t="s">
        <v>24077</v>
      </c>
      <c r="E4987" s="12" t="str">
        <f>HYPERLINK("https://twitter.com/AslihanAkyildz/status/1181862892083253248","1181862892083253248")</f>
        <v>1181862892083253248</v>
      </c>
      <c r="F4987" s="8"/>
      <c r="G4987" s="14" t="s">
        <v>24078</v>
      </c>
      <c r="H4987" s="8"/>
      <c r="I4987" s="15">
        <v>0</v>
      </c>
      <c r="J4987" s="15">
        <v>4</v>
      </c>
      <c r="K4987" s="12" t="str">
        <f>HYPERLINK("http://twitter.com/download/android","Twitter for Android")</f>
        <v>Twitter for Android</v>
      </c>
      <c r="L4987" s="16">
        <v>62</v>
      </c>
      <c r="M4987" s="16">
        <v>95</v>
      </c>
      <c r="N4987" s="16">
        <v>0</v>
      </c>
      <c r="O4987" s="17"/>
      <c r="P4987" s="18">
        <v>43574.671712962961</v>
      </c>
      <c r="Q4987" s="7"/>
      <c r="R4987" s="7" t="s">
        <v>24079</v>
      </c>
      <c r="S4987" s="14" t="s">
        <v>24080</v>
      </c>
      <c r="T4987" s="8"/>
      <c r="U4987" s="19" t="str">
        <f>HYPERLINK("https://pbs.twimg.com/profile_images/1129371248549605379/APIUHfNK.jpg","View")</f>
        <v>View</v>
      </c>
      <c r="V4987" s="8"/>
      <c r="W4987" s="8"/>
      <c r="X4987" s="8"/>
      <c r="Y4987" s="8"/>
      <c r="Z4987" s="8"/>
    </row>
    <row r="4988" spans="1:26" ht="12.75">
      <c r="A4988" s="11">
        <v>43747.100011574075</v>
      </c>
      <c r="B4988" s="12" t="str">
        <f>HYPERLINK("https://twitter.com/SefSedat","@SefSedat")</f>
        <v>@SefSedat</v>
      </c>
      <c r="C4988" s="7" t="s">
        <v>24081</v>
      </c>
      <c r="D4988" s="7" t="s">
        <v>24082</v>
      </c>
      <c r="E4988" s="12" t="str">
        <f>HYPERLINK("https://twitter.com/SefSedat/status/1181862872667889666","1181862872667889666")</f>
        <v>1181862872667889666</v>
      </c>
      <c r="F4988" s="8"/>
      <c r="G4988" s="15"/>
      <c r="H4988" s="8"/>
      <c r="I4988" s="15">
        <v>0</v>
      </c>
      <c r="J4988" s="15">
        <v>3</v>
      </c>
      <c r="K4988" s="12" t="str">
        <f>HYPERLINK("http://twitter.com/download/iphone","Twitter for iPhone")</f>
        <v>Twitter for iPhone</v>
      </c>
      <c r="L4988" s="16">
        <v>441</v>
      </c>
      <c r="M4988" s="16">
        <v>248</v>
      </c>
      <c r="N4988" s="16">
        <v>21</v>
      </c>
      <c r="O4988" s="17"/>
      <c r="P4988" s="18">
        <v>41889.0075462963</v>
      </c>
      <c r="Q4988" s="7" t="s">
        <v>24083</v>
      </c>
      <c r="R4988" s="7" t="s">
        <v>24084</v>
      </c>
      <c r="S4988" s="14" t="s">
        <v>24085</v>
      </c>
      <c r="T4988" s="8"/>
      <c r="U4988" s="19" t="str">
        <f>HYPERLINK("https://pbs.twimg.com/profile_images/1138910831268245506/6wOQ0rFQ.jpg","View")</f>
        <v>View</v>
      </c>
      <c r="V4988" s="8"/>
      <c r="W4988" s="8"/>
      <c r="X4988" s="8"/>
      <c r="Y4988" s="8"/>
      <c r="Z4988" s="8"/>
    </row>
    <row r="4989" spans="1:26" ht="12.75">
      <c r="A4989" s="11">
        <v>43747.099976851852</v>
      </c>
      <c r="B4989" s="12" t="str">
        <f>HYPERLINK("https://twitter.com/haydar_eke","@haydar_eke")</f>
        <v>@haydar_eke</v>
      </c>
      <c r="C4989" s="7" t="s">
        <v>24086</v>
      </c>
      <c r="D4989" s="7" t="s">
        <v>15054</v>
      </c>
      <c r="E4989" s="12" t="str">
        <f>HYPERLINK("https://twitter.com/haydar_eke/status/1181862862089867264","1181862862089867264")</f>
        <v>1181862862089867264</v>
      </c>
      <c r="F4989" s="8"/>
      <c r="G4989" s="14" t="s">
        <v>24087</v>
      </c>
      <c r="H4989" s="8"/>
      <c r="I4989" s="15">
        <v>0</v>
      </c>
      <c r="J4989" s="15">
        <v>2</v>
      </c>
      <c r="K4989" s="12" t="str">
        <f>HYPERLINK("http://twitter.com/download/iphone","Twitter for iPhone")</f>
        <v>Twitter for iPhone</v>
      </c>
      <c r="L4989" s="16">
        <v>36</v>
      </c>
      <c r="M4989" s="16">
        <v>164</v>
      </c>
      <c r="N4989" s="16">
        <v>1</v>
      </c>
      <c r="O4989" s="17"/>
      <c r="P4989" s="18">
        <v>41473.400960648149</v>
      </c>
      <c r="Q4989" s="7" t="s">
        <v>2881</v>
      </c>
      <c r="R4989" s="7"/>
      <c r="S4989" s="15"/>
      <c r="T4989" s="8"/>
      <c r="U4989" s="19" t="str">
        <f>HYPERLINK("https://pbs.twimg.com/profile_images/1031490440300773376/m0mPHuHU.jpg","View")</f>
        <v>View</v>
      </c>
      <c r="V4989" s="8"/>
      <c r="W4989" s="8"/>
      <c r="X4989" s="8"/>
      <c r="Y4989" s="8"/>
      <c r="Z4989" s="8"/>
    </row>
    <row r="4990" spans="1:26" ht="12.75">
      <c r="A4990" s="11">
        <v>43747.099976851852</v>
      </c>
      <c r="B4990" s="12" t="str">
        <f>HYPERLINK("https://twitter.com/DalkilicDeli","@DalkilicDeli")</f>
        <v>@DalkilicDeli</v>
      </c>
      <c r="C4990" s="7" t="s">
        <v>24088</v>
      </c>
      <c r="D4990" s="7" t="s">
        <v>24089</v>
      </c>
      <c r="E4990" s="12" t="str">
        <f>HYPERLINK("https://twitter.com/DalkilicDeli/status/1181862859531259905","1181862859531259905")</f>
        <v>1181862859531259905</v>
      </c>
      <c r="F4990" s="8"/>
      <c r="G4990" s="8"/>
      <c r="H4990" s="8"/>
      <c r="I4990" s="15">
        <v>0</v>
      </c>
      <c r="J4990" s="15">
        <v>3</v>
      </c>
      <c r="K4990" s="12" t="str">
        <f>HYPERLINK("http://twitter.com/download/android","Twitter for Android")</f>
        <v>Twitter for Android</v>
      </c>
      <c r="L4990" s="16">
        <v>525</v>
      </c>
      <c r="M4990" s="16">
        <v>742</v>
      </c>
      <c r="N4990" s="16">
        <v>0</v>
      </c>
      <c r="O4990" s="17"/>
      <c r="P4990" s="18">
        <v>43561.44258101852</v>
      </c>
      <c r="Q4990" s="7"/>
      <c r="R4990" s="7" t="s">
        <v>24090</v>
      </c>
      <c r="S4990" s="8"/>
      <c r="T4990" s="8"/>
      <c r="U4990" s="19" t="str">
        <f>HYPERLINK("https://pbs.twimg.com/profile_images/1180250467462303744/DyZvFzkY.jpg","View")</f>
        <v>View</v>
      </c>
      <c r="V4990" s="8"/>
      <c r="W4990" s="8"/>
      <c r="X4990" s="8"/>
      <c r="Y4990" s="8"/>
      <c r="Z4990" s="8"/>
    </row>
    <row r="4991" spans="1:26" ht="12.75">
      <c r="A4991" s="11">
        <v>43747.099965277783</v>
      </c>
      <c r="B4991" s="12" t="str">
        <f>HYPERLINK("https://twitter.com/hlya2828","@hlya2828")</f>
        <v>@hlya2828</v>
      </c>
      <c r="C4991" s="7" t="s">
        <v>24091</v>
      </c>
      <c r="D4991" s="7" t="s">
        <v>24092</v>
      </c>
      <c r="E4991" s="12" t="str">
        <f>HYPERLINK("https://twitter.com/hlya2828/status/1181862855085305856","1181862855085305856")</f>
        <v>1181862855085305856</v>
      </c>
      <c r="F4991" s="15"/>
      <c r="G4991" s="14" t="s">
        <v>24093</v>
      </c>
      <c r="H4991" s="8"/>
      <c r="I4991" s="15">
        <v>0</v>
      </c>
      <c r="J4991" s="15">
        <v>2</v>
      </c>
      <c r="K4991" s="12" t="str">
        <f>HYPERLINK("http://twitter.com/download/iphone","Twitter for iPhone")</f>
        <v>Twitter for iPhone</v>
      </c>
      <c r="L4991" s="16">
        <v>59</v>
      </c>
      <c r="M4991" s="16">
        <v>119</v>
      </c>
      <c r="N4991" s="16">
        <v>0</v>
      </c>
      <c r="O4991" s="17"/>
      <c r="P4991" s="18">
        <v>43111.583495370374</v>
      </c>
      <c r="Q4991" s="7"/>
      <c r="R4991" s="7"/>
      <c r="S4991" s="15"/>
      <c r="T4991" s="8"/>
      <c r="U4991" s="19" t="str">
        <f>HYPERLINK("https://pbs.twimg.com/profile_images/1145843740663320581/geld5uVo.jpg","View")</f>
        <v>View</v>
      </c>
      <c r="V4991" s="8"/>
      <c r="W4991" s="8"/>
      <c r="X4991" s="8"/>
      <c r="Y4991" s="8"/>
      <c r="Z4991" s="8"/>
    </row>
    <row r="4992" spans="1:26" ht="12.75">
      <c r="A4992" s="11">
        <v>43747.099942129629</v>
      </c>
      <c r="B4992" s="12" t="str">
        <f>HYPERLINK("https://twitter.com/FManevi","@FManevi")</f>
        <v>@FManevi</v>
      </c>
      <c r="C4992" s="7" t="s">
        <v>24094</v>
      </c>
      <c r="D4992" s="7" t="s">
        <v>24095</v>
      </c>
      <c r="E4992" s="12" t="str">
        <f>HYPERLINK("https://twitter.com/FManevi/status/1181862849406222336","1181862849406222336")</f>
        <v>1181862849406222336</v>
      </c>
      <c r="F4992" s="14" t="s">
        <v>24096</v>
      </c>
      <c r="G4992" s="14" t="s">
        <v>24097</v>
      </c>
      <c r="H4992" s="8"/>
      <c r="I4992" s="15">
        <v>0</v>
      </c>
      <c r="J4992" s="15">
        <v>3</v>
      </c>
      <c r="K4992" s="12" t="str">
        <f>HYPERLINK("http://twitter.com/download/iphone","Twitter for iPhone")</f>
        <v>Twitter for iPhone</v>
      </c>
      <c r="L4992" s="16">
        <v>25</v>
      </c>
      <c r="M4992" s="16">
        <v>64</v>
      </c>
      <c r="N4992" s="16">
        <v>0</v>
      </c>
      <c r="O4992" s="17"/>
      <c r="P4992" s="18">
        <v>43574.730682870373</v>
      </c>
      <c r="Q4992" s="7"/>
      <c r="R4992" s="7" t="s">
        <v>24098</v>
      </c>
      <c r="S4992" s="8"/>
      <c r="T4992" s="8"/>
      <c r="U4992" s="19" t="str">
        <f>HYPERLINK("https://pbs.twimg.com/profile_images/1175826516078411777/-AeDH2u0.jpg","View")</f>
        <v>View</v>
      </c>
      <c r="V4992" s="8"/>
      <c r="W4992" s="8"/>
      <c r="X4992" s="8"/>
      <c r="Y4992" s="8"/>
      <c r="Z4992" s="8"/>
    </row>
    <row r="4993" spans="1:26" ht="12.75">
      <c r="A4993" s="11">
        <v>43747.099942129629</v>
      </c>
      <c r="B4993" s="12" t="str">
        <f>HYPERLINK("https://twitter.com/akiftekcanaks","@akiftekcanaks")</f>
        <v>@akiftekcanaks</v>
      </c>
      <c r="C4993" s="7" t="s">
        <v>24099</v>
      </c>
      <c r="D4993" s="15" t="s">
        <v>24100</v>
      </c>
      <c r="E4993" s="12" t="str">
        <f>HYPERLINK("https://twitter.com/akiftekcanaks/status/1181862848974196736","1181862848974196736")</f>
        <v>1181862848974196736</v>
      </c>
      <c r="F4993" s="8"/>
      <c r="G4993" s="14" t="s">
        <v>24101</v>
      </c>
      <c r="H4993" s="8"/>
      <c r="I4993" s="15">
        <v>0</v>
      </c>
      <c r="J4993" s="15">
        <v>2</v>
      </c>
      <c r="K4993" s="12" t="str">
        <f>HYPERLINK("http://twitter.com/download/android","Twitter for Android")</f>
        <v>Twitter for Android</v>
      </c>
      <c r="L4993" s="16">
        <v>2394</v>
      </c>
      <c r="M4993" s="16">
        <v>422</v>
      </c>
      <c r="N4993" s="16">
        <v>22</v>
      </c>
      <c r="O4993" s="17"/>
      <c r="P4993" s="18">
        <v>42623.398657407408</v>
      </c>
      <c r="Q4993" s="8"/>
      <c r="R4993" s="8" t="s">
        <v>24102</v>
      </c>
      <c r="S4993" s="8"/>
      <c r="T4993" s="8"/>
      <c r="U4993" s="19" t="str">
        <f>HYPERLINK("https://pbs.twimg.com/profile_images/1176840703424507905/ehVyu0a8.jpg","View")</f>
        <v>View</v>
      </c>
      <c r="V4993" s="8"/>
      <c r="W4993" s="8"/>
      <c r="X4993" s="8"/>
      <c r="Y4993" s="8"/>
      <c r="Z4993" s="8"/>
    </row>
    <row r="4994" spans="1:26" ht="12.75">
      <c r="A4994" s="11">
        <v>43747.099918981483</v>
      </c>
      <c r="B4994" s="12" t="str">
        <f>HYPERLINK("https://twitter.com/aytackptnn","@aytackptnn")</f>
        <v>@aytackptnn</v>
      </c>
      <c r="C4994" s="7" t="s">
        <v>24103</v>
      </c>
      <c r="D4994" s="7" t="s">
        <v>24104</v>
      </c>
      <c r="E4994" s="12" t="str">
        <f>HYPERLINK("https://twitter.com/aytackptnn/status/1181862837947453441","1181862837947453441")</f>
        <v>1181862837947453441</v>
      </c>
      <c r="F4994" s="8"/>
      <c r="G4994" s="15"/>
      <c r="H4994" s="8"/>
      <c r="I4994" s="15">
        <v>0</v>
      </c>
      <c r="J4994" s="15">
        <v>2</v>
      </c>
      <c r="K4994" s="12" t="str">
        <f>HYPERLINK("http://twitter.com/download/android","Twitter for Android")</f>
        <v>Twitter for Android</v>
      </c>
      <c r="L4994" s="16">
        <v>19</v>
      </c>
      <c r="M4994" s="16">
        <v>45</v>
      </c>
      <c r="N4994" s="16">
        <v>0</v>
      </c>
      <c r="O4994" s="17"/>
      <c r="P4994" s="18">
        <v>42947.436747685184</v>
      </c>
      <c r="Q4994" s="7"/>
      <c r="R4994" s="8"/>
      <c r="S4994" s="8"/>
      <c r="T4994" s="8"/>
      <c r="U4994" s="19" t="str">
        <f>HYPERLINK("https://pbs.twimg.com/profile_images/953377476205600769/jr6C_hyT.jpg","View")</f>
        <v>View</v>
      </c>
      <c r="V4994" s="8"/>
      <c r="W4994" s="8"/>
      <c r="X4994" s="8"/>
      <c r="Y4994" s="8"/>
      <c r="Z4994" s="8"/>
    </row>
    <row r="4995" spans="1:26" ht="12.75">
      <c r="A4995" s="11">
        <v>43747.099895833337</v>
      </c>
      <c r="B4995" s="12" t="str">
        <f>HYPERLINK("https://twitter.com/bilal_ccolak","@bilal_ccolak")</f>
        <v>@bilal_ccolak</v>
      </c>
      <c r="C4995" s="7" t="s">
        <v>24105</v>
      </c>
      <c r="D4995" s="7" t="s">
        <v>24106</v>
      </c>
      <c r="E4995" s="12" t="str">
        <f>HYPERLINK("https://twitter.com/bilal_ccolak/status/1181862830670323712","1181862830670323712")</f>
        <v>1181862830670323712</v>
      </c>
      <c r="F4995" s="8"/>
      <c r="G4995" s="14" t="s">
        <v>24107</v>
      </c>
      <c r="H4995" s="8"/>
      <c r="I4995" s="15">
        <v>0</v>
      </c>
      <c r="J4995" s="15">
        <v>3</v>
      </c>
      <c r="K4995" s="12" t="str">
        <f>HYPERLINK("http://twitter.com/download/iphone","Twitter for iPhone")</f>
        <v>Twitter for iPhone</v>
      </c>
      <c r="L4995" s="16">
        <v>128</v>
      </c>
      <c r="M4995" s="16">
        <v>93</v>
      </c>
      <c r="N4995" s="16">
        <v>0</v>
      </c>
      <c r="O4995" s="17"/>
      <c r="P4995" s="18">
        <v>42947.207534722227</v>
      </c>
      <c r="Q4995" s="7" t="s">
        <v>9532</v>
      </c>
      <c r="R4995" s="7" t="s">
        <v>24108</v>
      </c>
      <c r="S4995" s="8"/>
      <c r="T4995" s="8"/>
      <c r="U4995" s="19" t="str">
        <f>HYPERLINK("https://pbs.twimg.com/profile_images/1153753340154720258/uhPT3Yhm.jpg","View")</f>
        <v>View</v>
      </c>
      <c r="V4995" s="8"/>
      <c r="W4995" s="8"/>
      <c r="X4995" s="8"/>
      <c r="Y4995" s="8"/>
      <c r="Z4995" s="8"/>
    </row>
    <row r="4996" spans="1:26" ht="12.75">
      <c r="A4996" s="11">
        <v>43747.099872685183</v>
      </c>
      <c r="B4996" s="12" t="str">
        <f>HYPERLINK("https://twitter.com/Oter484","@Oter484")</f>
        <v>@Oter484</v>
      </c>
      <c r="C4996" s="7" t="s">
        <v>24109</v>
      </c>
      <c r="D4996" s="7" t="s">
        <v>24110</v>
      </c>
      <c r="E4996" s="12" t="str">
        <f>HYPERLINK("https://twitter.com/Oter484/status/1181862823682564097","1181862823682564097")</f>
        <v>1181862823682564097</v>
      </c>
      <c r="F4996" s="8"/>
      <c r="G4996" s="14" t="s">
        <v>24111</v>
      </c>
      <c r="H4996" s="8"/>
      <c r="I4996" s="15">
        <v>0</v>
      </c>
      <c r="J4996" s="15">
        <v>2</v>
      </c>
      <c r="K4996" s="12" t="str">
        <f>HYPERLINK("http://twitter.com/download/iphone","Twitter for iPhone")</f>
        <v>Twitter for iPhone</v>
      </c>
      <c r="L4996" s="16">
        <v>55</v>
      </c>
      <c r="M4996" s="16">
        <v>214</v>
      </c>
      <c r="N4996" s="16">
        <v>0</v>
      </c>
      <c r="O4996" s="17"/>
      <c r="P4996" s="18">
        <v>42181.935532407406</v>
      </c>
      <c r="Q4996" s="7" t="s">
        <v>2225</v>
      </c>
      <c r="R4996" s="7" t="s">
        <v>24112</v>
      </c>
      <c r="S4996" s="8"/>
      <c r="T4996" s="8"/>
      <c r="U4996" s="19" t="str">
        <f>HYPERLINK("https://pbs.twimg.com/profile_images/725748256760840192/zMxca8QG.jpg","View")</f>
        <v>View</v>
      </c>
      <c r="V4996" s="8"/>
      <c r="W4996" s="8"/>
      <c r="X4996" s="8"/>
      <c r="Y4996" s="8"/>
      <c r="Z4996" s="8"/>
    </row>
    <row r="4997" spans="1:26" ht="12.75">
      <c r="A4997" s="11">
        <v>43747.099849537037</v>
      </c>
      <c r="B4997" s="12" t="str">
        <f>HYPERLINK("https://twitter.com/lemislam1","@lemislam1")</f>
        <v>@lemislam1</v>
      </c>
      <c r="C4997" s="7" t="s">
        <v>24113</v>
      </c>
      <c r="D4997" s="7" t="s">
        <v>24114</v>
      </c>
      <c r="E4997" s="12" t="str">
        <f>HYPERLINK("https://twitter.com/lemislam1/status/1181862813679177728","1181862813679177728")</f>
        <v>1181862813679177728</v>
      </c>
      <c r="F4997" s="8"/>
      <c r="G4997" s="14" t="s">
        <v>24115</v>
      </c>
      <c r="H4997" s="8"/>
      <c r="I4997" s="15">
        <v>8</v>
      </c>
      <c r="J4997" s="15">
        <v>32</v>
      </c>
      <c r="K4997" s="12" t="str">
        <f>HYPERLINK("http://twitter.com/download/android","Twitter for Android")</f>
        <v>Twitter for Android</v>
      </c>
      <c r="L4997" s="16">
        <v>3235</v>
      </c>
      <c r="M4997" s="16">
        <v>3884</v>
      </c>
      <c r="N4997" s="16">
        <v>0</v>
      </c>
      <c r="O4997" s="17"/>
      <c r="P4997" s="18">
        <v>43419.388356481482</v>
      </c>
      <c r="Q4997" s="8" t="s">
        <v>24116</v>
      </c>
      <c r="R4997" s="8" t="s">
        <v>24117</v>
      </c>
      <c r="S4997" s="8"/>
      <c r="T4997" s="8"/>
      <c r="U4997" s="19" t="str">
        <f>HYPERLINK("https://pbs.twimg.com/profile_images/1166558071868596224/-WnXULA-.jpg","View")</f>
        <v>View</v>
      </c>
      <c r="V4997" s="8"/>
      <c r="W4997" s="8"/>
      <c r="X4997" s="8"/>
      <c r="Y4997" s="8"/>
      <c r="Z4997" s="8"/>
    </row>
    <row r="4998" spans="1:26" ht="12.75">
      <c r="A4998" s="11">
        <v>43747.099803240737</v>
      </c>
      <c r="B4998" s="12" t="str">
        <f>HYPERLINK("https://twitter.com/byksylu","@byksylu")</f>
        <v>@byksylu</v>
      </c>
      <c r="C4998" s="7" t="s">
        <v>24118</v>
      </c>
      <c r="D4998" s="7" t="s">
        <v>24119</v>
      </c>
      <c r="E4998" s="12" t="str">
        <f>HYPERLINK("https://twitter.com/byksylu/status/1181862799447924736","1181862799447924736")</f>
        <v>1181862799447924736</v>
      </c>
      <c r="F4998" s="14" t="s">
        <v>24120</v>
      </c>
      <c r="G4998" s="14" t="s">
        <v>24121</v>
      </c>
      <c r="H4998" s="8"/>
      <c r="I4998" s="15">
        <v>0</v>
      </c>
      <c r="J4998" s="15">
        <v>0</v>
      </c>
      <c r="K4998" s="12" t="str">
        <f>HYPERLINK("http://twitter.com/download/iphone","Twitter for iPhone")</f>
        <v>Twitter for iPhone</v>
      </c>
      <c r="L4998" s="16">
        <v>87</v>
      </c>
      <c r="M4998" s="16">
        <v>418</v>
      </c>
      <c r="N4998" s="16">
        <v>0</v>
      </c>
      <c r="O4998" s="17"/>
      <c r="P4998" s="18">
        <v>40426.968240740738</v>
      </c>
      <c r="Q4998" s="7" t="s">
        <v>24122</v>
      </c>
      <c r="R4998" s="7" t="s">
        <v>24123</v>
      </c>
      <c r="S4998" s="8"/>
      <c r="T4998" s="8"/>
      <c r="U4998" s="19" t="str">
        <f>HYPERLINK("https://pbs.twimg.com/profile_images/892429711854403584/2v0IFGNF.jpg","View")</f>
        <v>View</v>
      </c>
      <c r="V4998" s="8"/>
      <c r="W4998" s="8"/>
      <c r="X4998" s="8"/>
      <c r="Y4998" s="8"/>
      <c r="Z4998" s="8"/>
    </row>
    <row r="4999" spans="1:26" ht="12.75">
      <c r="A4999" s="11">
        <v>43747.099780092598</v>
      </c>
      <c r="B4999" s="12" t="str">
        <f>HYPERLINK("https://twitter.com/baduydum","@baduydum")</f>
        <v>@baduydum</v>
      </c>
      <c r="C4999" s="7" t="s">
        <v>24124</v>
      </c>
      <c r="D4999" s="7" t="s">
        <v>24125</v>
      </c>
      <c r="E4999" s="12" t="str">
        <f>HYPERLINK("https://twitter.com/baduydum/status/1181862787766738944","1181862787766738944")</f>
        <v>1181862787766738944</v>
      </c>
      <c r="F4999" s="8"/>
      <c r="G4999" s="15"/>
      <c r="H4999" s="8"/>
      <c r="I4999" s="15">
        <v>0</v>
      </c>
      <c r="J4999" s="15">
        <v>0</v>
      </c>
      <c r="K4999" s="12" t="str">
        <f>HYPERLINK("http://twitter.com/download/android","Twitter for Android")</f>
        <v>Twitter for Android</v>
      </c>
      <c r="L4999" s="16">
        <v>19</v>
      </c>
      <c r="M4999" s="16">
        <v>0</v>
      </c>
      <c r="N4999" s="16">
        <v>0</v>
      </c>
      <c r="O4999" s="17"/>
      <c r="P4999" s="18">
        <v>43637.079016203701</v>
      </c>
      <c r="Q4999" s="7"/>
      <c r="R4999" s="7" t="s">
        <v>24126</v>
      </c>
      <c r="S4999" s="8"/>
      <c r="T4999" s="8"/>
      <c r="U4999" s="19" t="str">
        <f>HYPERLINK("https://pbs.twimg.com/profile_images/1141993486419406848/cxJ3SQWH.jpg","View")</f>
        <v>View</v>
      </c>
      <c r="V4999" s="8"/>
      <c r="W4999" s="8"/>
      <c r="X4999" s="8"/>
      <c r="Y4999" s="8"/>
      <c r="Z4999" s="8"/>
    </row>
    <row r="5000" spans="1:26" ht="12.75">
      <c r="A5000" s="11">
        <v>43747.099768518514</v>
      </c>
      <c r="B5000" s="12" t="str">
        <f>HYPERLINK("https://twitter.com/yasingunay60","@yasingunay60")</f>
        <v>@yasingunay60</v>
      </c>
      <c r="C5000" s="7" t="s">
        <v>24127</v>
      </c>
      <c r="D5000" s="15" t="s">
        <v>24128</v>
      </c>
      <c r="E5000" s="12" t="str">
        <f>HYPERLINK("https://twitter.com/yasingunay60/status/1181862786609111040","1181862786609111040")</f>
        <v>1181862786609111040</v>
      </c>
      <c r="F5000" s="8"/>
      <c r="G5000" s="15"/>
      <c r="H5000" s="8"/>
      <c r="I5000" s="15">
        <v>0</v>
      </c>
      <c r="J5000" s="15">
        <v>2</v>
      </c>
      <c r="K5000" s="12" t="str">
        <f>HYPERLINK("http://twitter.com/download/iphone","Twitter for iPhone")</f>
        <v>Twitter for iPhone</v>
      </c>
      <c r="L5000" s="16">
        <v>102</v>
      </c>
      <c r="M5000" s="16">
        <v>269</v>
      </c>
      <c r="N5000" s="16">
        <v>0</v>
      </c>
      <c r="O5000" s="17"/>
      <c r="P5000" s="18">
        <v>42195.167349537034</v>
      </c>
      <c r="Q5000" s="8"/>
      <c r="R5000" s="7" t="s">
        <v>24129</v>
      </c>
      <c r="S5000" s="15"/>
      <c r="T5000" s="8"/>
      <c r="U5000" s="19" t="str">
        <f>HYPERLINK("https://pbs.twimg.com/profile_images/1165382581925416960/Utn7zKM5.jpg","View")</f>
        <v>View</v>
      </c>
      <c r="V5000" s="8"/>
      <c r="W5000" s="8"/>
      <c r="X5000" s="8"/>
      <c r="Y5000" s="8"/>
      <c r="Z5000" s="8"/>
    </row>
    <row r="5001" spans="1:26" ht="12.75">
      <c r="A5001" s="11">
        <v>43747.099733796298</v>
      </c>
      <c r="B5001" s="12" t="str">
        <f>HYPERLINK("https://twitter.com/waynott","@waynott")</f>
        <v>@waynott</v>
      </c>
      <c r="C5001" s="7" t="s">
        <v>24130</v>
      </c>
      <c r="D5001" s="7" t="s">
        <v>24131</v>
      </c>
      <c r="E5001" s="12" t="str">
        <f>HYPERLINK("https://twitter.com/waynott/status/1181862772931518465","1181862772931518465")</f>
        <v>1181862772931518465</v>
      </c>
      <c r="F5001" s="8"/>
      <c r="G5001" s="14" t="s">
        <v>24132</v>
      </c>
      <c r="H5001" s="8"/>
      <c r="I5001" s="15">
        <v>0</v>
      </c>
      <c r="J5001" s="15">
        <v>2</v>
      </c>
      <c r="K5001" s="12" t="str">
        <f>HYPERLINK("http://twitter.com/download/iphone","Twitter for iPhone")</f>
        <v>Twitter for iPhone</v>
      </c>
      <c r="L5001" s="16">
        <v>303</v>
      </c>
      <c r="M5001" s="16">
        <v>416</v>
      </c>
      <c r="N5001" s="16">
        <v>0</v>
      </c>
      <c r="O5001" s="17"/>
      <c r="P5001" s="18">
        <v>41856.976666666669</v>
      </c>
      <c r="Q5001" s="8"/>
      <c r="R5001" s="7"/>
      <c r="S5001" s="8"/>
      <c r="T5001" s="8"/>
      <c r="U5001" s="19" t="str">
        <f>HYPERLINK("https://pbs.twimg.com/profile_images/1115751620695007233/WqZQyi1S.jpg","View")</f>
        <v>View</v>
      </c>
      <c r="V5001" s="8"/>
      <c r="W5001" s="8"/>
      <c r="X5001" s="8"/>
      <c r="Y5001" s="8"/>
      <c r="Z5001" s="8"/>
    </row>
    <row r="5002" spans="1:26" ht="12.75">
      <c r="A5002" s="11">
        <v>43747.099664351852</v>
      </c>
      <c r="B5002" s="12" t="str">
        <f>HYPERLINK("https://twitter.com/mustafaerdinc33","@mustafaerdinc33")</f>
        <v>@mustafaerdinc33</v>
      </c>
      <c r="C5002" s="7" t="s">
        <v>24133</v>
      </c>
      <c r="D5002" s="7" t="s">
        <v>24134</v>
      </c>
      <c r="E5002" s="12" t="str">
        <f>HYPERLINK("https://twitter.com/mustafaerdinc33/status/1181862747040026624","1181862747040026624")</f>
        <v>1181862747040026624</v>
      </c>
      <c r="F5002" s="8"/>
      <c r="G5002" s="14" t="s">
        <v>24135</v>
      </c>
      <c r="H5002" s="8"/>
      <c r="I5002" s="15">
        <v>1</v>
      </c>
      <c r="J5002" s="15">
        <v>3</v>
      </c>
      <c r="K5002" s="12" t="str">
        <f>HYPERLINK("http://twitter.com/download/android","Twitter for Android")</f>
        <v>Twitter for Android</v>
      </c>
      <c r="L5002" s="16">
        <v>56</v>
      </c>
      <c r="M5002" s="16">
        <v>325</v>
      </c>
      <c r="N5002" s="16">
        <v>0</v>
      </c>
      <c r="O5002" s="17"/>
      <c r="P5002" s="18">
        <v>43589.567708333328</v>
      </c>
      <c r="Q5002" s="8" t="s">
        <v>11017</v>
      </c>
      <c r="R5002" s="7" t="s">
        <v>24136</v>
      </c>
      <c r="S5002" s="8"/>
      <c r="T5002" s="8"/>
      <c r="U5002" s="19" t="str">
        <f>HYPERLINK("https://pbs.twimg.com/profile_images/1177272312942477313/8gXE6g0X.jpg","View")</f>
        <v>View</v>
      </c>
      <c r="V5002" s="8"/>
      <c r="W5002" s="8"/>
      <c r="X5002" s="8"/>
      <c r="Y5002" s="8"/>
      <c r="Z5002" s="8"/>
    </row>
    <row r="5003" spans="1:26" ht="12.75">
      <c r="A5003" s="11">
        <v>43747.099594907406</v>
      </c>
      <c r="B5003" s="12" t="str">
        <f>HYPERLINK("https://twitter.com/Nurnuray16","@Nurnuray16")</f>
        <v>@Nurnuray16</v>
      </c>
      <c r="C5003" s="7" t="s">
        <v>24137</v>
      </c>
      <c r="D5003" s="7" t="s">
        <v>24138</v>
      </c>
      <c r="E5003" s="12" t="str">
        <f>HYPERLINK("https://twitter.com/Nurnuray16/status/1181862722482388993","1181862722482388993")</f>
        <v>1181862722482388993</v>
      </c>
      <c r="F5003" s="8"/>
      <c r="G5003" s="8"/>
      <c r="H5003" s="8"/>
      <c r="I5003" s="15">
        <v>0</v>
      </c>
      <c r="J5003" s="15">
        <v>11</v>
      </c>
      <c r="K5003" s="12" t="str">
        <f>HYPERLINK("https://mobile.twitter.com","Twitter Web App")</f>
        <v>Twitter Web App</v>
      </c>
      <c r="L5003" s="16">
        <v>863</v>
      </c>
      <c r="M5003" s="16">
        <v>766</v>
      </c>
      <c r="N5003" s="16">
        <v>1</v>
      </c>
      <c r="O5003" s="17"/>
      <c r="P5003" s="18">
        <v>43515.039861111116</v>
      </c>
      <c r="Q5003" s="7" t="s">
        <v>668</v>
      </c>
      <c r="R5003" s="7" t="s">
        <v>24139</v>
      </c>
      <c r="S5003" s="15"/>
      <c r="T5003" s="8"/>
      <c r="U5003" s="19" t="str">
        <f>HYPERLINK("https://pbs.twimg.com/profile_images/1158793121817333763/wQaZg0AE.png","View")</f>
        <v>View</v>
      </c>
      <c r="V5003" s="8"/>
      <c r="W5003" s="8"/>
      <c r="X5003" s="8"/>
      <c r="Y5003" s="8"/>
      <c r="Z5003" s="8"/>
    </row>
    <row r="5004" spans="1:26" ht="12.75">
      <c r="A5004" s="11">
        <v>43747.099537037036</v>
      </c>
      <c r="B5004" s="12" t="str">
        <f>HYPERLINK("https://twitter.com/Oguzilleri","@Oguzilleri")</f>
        <v>@Oguzilleri</v>
      </c>
      <c r="C5004" s="7" t="s">
        <v>24140</v>
      </c>
      <c r="D5004" s="7" t="s">
        <v>24141</v>
      </c>
      <c r="E5004" s="12" t="str">
        <f>HYPERLINK("https://twitter.com/Oguzilleri/status/1181862700764323840","1181862700764323840")</f>
        <v>1181862700764323840</v>
      </c>
      <c r="F5004" s="8"/>
      <c r="G5004" s="14" t="s">
        <v>24142</v>
      </c>
      <c r="H5004" s="8"/>
      <c r="I5004" s="15">
        <v>2</v>
      </c>
      <c r="J5004" s="15">
        <v>23</v>
      </c>
      <c r="K5004" s="12" t="str">
        <f>HYPERLINK("http://twitter.com/download/iphone","Twitter for iPhone")</f>
        <v>Twitter for iPhone</v>
      </c>
      <c r="L5004" s="16">
        <v>38188</v>
      </c>
      <c r="M5004" s="16">
        <v>981</v>
      </c>
      <c r="N5004" s="16">
        <v>48</v>
      </c>
      <c r="O5004" s="17"/>
      <c r="P5004" s="18">
        <v>41857.444907407407</v>
      </c>
      <c r="Q5004" s="8" t="s">
        <v>287</v>
      </c>
      <c r="R5004" s="7" t="s">
        <v>24143</v>
      </c>
      <c r="S5004" s="8"/>
      <c r="T5004" s="8"/>
      <c r="U5004" s="19" t="str">
        <f>HYPERLINK("https://pbs.twimg.com/profile_images/1130060398772793345/scrdAkf2.jpg","View")</f>
        <v>View</v>
      </c>
      <c r="V5004" s="8"/>
      <c r="W5004" s="8"/>
      <c r="X5004" s="8"/>
      <c r="Y5004" s="8"/>
      <c r="Z5004" s="8"/>
    </row>
    <row r="5005" spans="1:26" ht="12.75">
      <c r="A5005" s="11">
        <v>43747.099525462967</v>
      </c>
      <c r="B5005" s="12" t="str">
        <f>HYPERLINK("https://twitter.com/berkayildiz2","@berkayildiz2")</f>
        <v>@berkayildiz2</v>
      </c>
      <c r="C5005" s="7" t="s">
        <v>24144</v>
      </c>
      <c r="D5005" s="7" t="s">
        <v>24145</v>
      </c>
      <c r="E5005" s="12" t="str">
        <f>HYPERLINK("https://twitter.com/berkayildiz2/status/1181862695802490880","1181862695802490880")</f>
        <v>1181862695802490880</v>
      </c>
      <c r="F5005" s="8"/>
      <c r="G5005" s="14" t="s">
        <v>24146</v>
      </c>
      <c r="H5005" s="8"/>
      <c r="I5005" s="15">
        <v>0</v>
      </c>
      <c r="J5005" s="15">
        <v>8</v>
      </c>
      <c r="K5005" s="12" t="str">
        <f>HYPERLINK("http://twitter.com/download/android","Twitter for Android")</f>
        <v>Twitter for Android</v>
      </c>
      <c r="L5005" s="16">
        <v>1092</v>
      </c>
      <c r="M5005" s="16">
        <v>932</v>
      </c>
      <c r="N5005" s="16">
        <v>0</v>
      </c>
      <c r="O5005" s="17"/>
      <c r="P5005" s="18">
        <v>42848.443854166668</v>
      </c>
      <c r="Q5005" s="7" t="s">
        <v>313</v>
      </c>
      <c r="R5005" s="7" t="s">
        <v>24147</v>
      </c>
      <c r="S5005" s="14" t="s">
        <v>24148</v>
      </c>
      <c r="T5005" s="8"/>
      <c r="U5005" s="19" t="str">
        <f>HYPERLINK("https://pbs.twimg.com/profile_images/1159983915635019778/g0uHqaUz.jpg","View")</f>
        <v>View</v>
      </c>
      <c r="V5005" s="8"/>
      <c r="W5005" s="8"/>
      <c r="X5005" s="8"/>
      <c r="Y5005" s="8"/>
      <c r="Z5005" s="8"/>
    </row>
    <row r="5006" spans="1:26" ht="12.75">
      <c r="A5006" s="11">
        <v>43747.099456018521</v>
      </c>
      <c r="B5006" s="12" t="str">
        <f>HYPERLINK("https://twitter.com/mustafa_yetek","@mustafa_yetek")</f>
        <v>@mustafa_yetek</v>
      </c>
      <c r="C5006" s="7" t="s">
        <v>24149</v>
      </c>
      <c r="D5006" s="7" t="s">
        <v>24150</v>
      </c>
      <c r="E5006" s="12" t="str">
        <f>HYPERLINK("https://twitter.com/mustafa_yetek/status/1181862673123872769","1181862673123872769")</f>
        <v>1181862673123872769</v>
      </c>
      <c r="F5006" s="8"/>
      <c r="G5006" s="14" t="s">
        <v>24151</v>
      </c>
      <c r="H5006" s="8"/>
      <c r="I5006" s="15">
        <v>0</v>
      </c>
      <c r="J5006" s="15">
        <v>3</v>
      </c>
      <c r="K5006" s="12" t="str">
        <f>HYPERLINK("http://twitter.com/download/iphone","Twitter for iPhone")</f>
        <v>Twitter for iPhone</v>
      </c>
      <c r="L5006" s="16">
        <v>133</v>
      </c>
      <c r="M5006" s="16">
        <v>181</v>
      </c>
      <c r="N5006" s="16">
        <v>0</v>
      </c>
      <c r="O5006" s="17"/>
      <c r="P5006" s="18">
        <v>43344.034432870365</v>
      </c>
      <c r="Q5006" s="7" t="s">
        <v>2277</v>
      </c>
      <c r="R5006" s="7"/>
      <c r="S5006" s="8"/>
      <c r="T5006" s="8"/>
      <c r="U5006" s="19" t="str">
        <f>HYPERLINK("https://pbs.twimg.com/profile_images/1176432569711300608/l6kCl_iG.jpg","View")</f>
        <v>View</v>
      </c>
      <c r="V5006" s="8"/>
      <c r="W5006" s="8"/>
      <c r="X5006" s="8"/>
      <c r="Y5006" s="8"/>
      <c r="Z5006" s="8"/>
    </row>
    <row r="5007" spans="1:26" ht="12.75">
      <c r="A5007" s="11">
        <v>43747.099456018521</v>
      </c>
      <c r="B5007" s="12" t="str">
        <f>HYPERLINK("https://twitter.com/CamurMehmet123","@CamurMehmet123")</f>
        <v>@CamurMehmet123</v>
      </c>
      <c r="C5007" s="7" t="s">
        <v>24152</v>
      </c>
      <c r="D5007" s="7" t="s">
        <v>24153</v>
      </c>
      <c r="E5007" s="12" t="str">
        <f>HYPERLINK("https://twitter.com/CamurMehmet123/status/1181862670309498880","1181862670309498880")</f>
        <v>1181862670309498880</v>
      </c>
      <c r="F5007" s="14" t="s">
        <v>24154</v>
      </c>
      <c r="G5007" s="14" t="s">
        <v>24155</v>
      </c>
      <c r="H5007" s="8"/>
      <c r="I5007" s="15">
        <v>1</v>
      </c>
      <c r="J5007" s="15">
        <v>8</v>
      </c>
      <c r="K5007" s="12" t="str">
        <f>HYPERLINK("http://twitter.com/download/iphone","Twitter for iPhone")</f>
        <v>Twitter for iPhone</v>
      </c>
      <c r="L5007" s="16">
        <v>4772</v>
      </c>
      <c r="M5007" s="16">
        <v>676</v>
      </c>
      <c r="N5007" s="16">
        <v>1</v>
      </c>
      <c r="O5007" s="17"/>
      <c r="P5007" s="18">
        <v>42050.475648148145</v>
      </c>
      <c r="Q5007" s="7"/>
      <c r="R5007" s="7" t="s">
        <v>24156</v>
      </c>
      <c r="S5007" s="8"/>
      <c r="T5007" s="8"/>
      <c r="U5007" s="19" t="str">
        <f>HYPERLINK("https://pbs.twimg.com/profile_images/753667255733452802/X4mvrUVQ.jpg","View")</f>
        <v>View</v>
      </c>
      <c r="V5007" s="8"/>
      <c r="W5007" s="8"/>
      <c r="X5007" s="8"/>
      <c r="Y5007" s="8"/>
      <c r="Z5007" s="8"/>
    </row>
    <row r="5008" spans="1:26" ht="12.75">
      <c r="A5008" s="11">
        <v>43747.099375000005</v>
      </c>
      <c r="B5008" s="12" t="str">
        <f>HYPERLINK("https://twitter.com/EnesSekerli","@EnesSekerli")</f>
        <v>@EnesSekerli</v>
      </c>
      <c r="C5008" s="7" t="s">
        <v>24157</v>
      </c>
      <c r="D5008" s="7" t="s">
        <v>24158</v>
      </c>
      <c r="E5008" s="12" t="str">
        <f>HYPERLINK("https://twitter.com/EnesSekerli/status/1181862644191567872","1181862644191567872")</f>
        <v>1181862644191567872</v>
      </c>
      <c r="F5008" s="8"/>
      <c r="G5008" s="14" t="s">
        <v>24159</v>
      </c>
      <c r="H5008" s="8"/>
      <c r="I5008" s="15">
        <v>0</v>
      </c>
      <c r="J5008" s="15">
        <v>5</v>
      </c>
      <c r="K5008" s="12" t="str">
        <f>HYPERLINK("http://twitter.com/download/android","Twitter for Android")</f>
        <v>Twitter for Android</v>
      </c>
      <c r="L5008" s="16">
        <v>34</v>
      </c>
      <c r="M5008" s="16">
        <v>78</v>
      </c>
      <c r="N5008" s="16">
        <v>0</v>
      </c>
      <c r="O5008" s="17"/>
      <c r="P5008" s="18">
        <v>41014.186782407407</v>
      </c>
      <c r="Q5008" s="7"/>
      <c r="R5008" s="7" t="s">
        <v>24160</v>
      </c>
      <c r="S5008" s="14" t="s">
        <v>24161</v>
      </c>
      <c r="T5008" s="8"/>
      <c r="U5008" s="19" t="str">
        <f>HYPERLINK("https://pbs.twimg.com/profile_images/1181516060182433794/k4qo7qAG.jpg","View")</f>
        <v>View</v>
      </c>
      <c r="V5008" s="8"/>
      <c r="W5008" s="8"/>
      <c r="X5008" s="8"/>
      <c r="Y5008" s="8"/>
      <c r="Z5008" s="8"/>
    </row>
    <row r="5009" spans="1:26" ht="12.75">
      <c r="A5009" s="11">
        <v>43747.099375000005</v>
      </c>
      <c r="B5009" s="12" t="str">
        <f>HYPERLINK("https://twitter.com/empathy37","@empathy37")</f>
        <v>@empathy37</v>
      </c>
      <c r="C5009" s="7" t="s">
        <v>24162</v>
      </c>
      <c r="D5009" s="7" t="s">
        <v>160</v>
      </c>
      <c r="E5009" s="12" t="str">
        <f>HYPERLINK("https://twitter.com/empathy37/status/1181862643029684224","1181862643029684224")</f>
        <v>1181862643029684224</v>
      </c>
      <c r="F5009" s="14" t="s">
        <v>24163</v>
      </c>
      <c r="G5009" s="8"/>
      <c r="H5009" s="8"/>
      <c r="I5009" s="15">
        <v>0</v>
      </c>
      <c r="J5009" s="15">
        <v>0</v>
      </c>
      <c r="K5009" s="12" t="str">
        <f>HYPERLINK("http://twitter.com/download/android","Twitter for Android")</f>
        <v>Twitter for Android</v>
      </c>
      <c r="L5009" s="16">
        <v>0</v>
      </c>
      <c r="M5009" s="16">
        <v>0</v>
      </c>
      <c r="N5009" s="16">
        <v>0</v>
      </c>
      <c r="O5009" s="17"/>
      <c r="P5009" s="18">
        <v>42268.064282407402</v>
      </c>
      <c r="Q5009" s="7"/>
      <c r="R5009" s="7"/>
      <c r="S5009" s="8"/>
      <c r="T5009" s="8"/>
      <c r="U5009" s="19" t="str">
        <f>HYPERLINK("https://pbs.twimg.com/profile_images/960258268168941569/eQHtbm-s.jpg","View")</f>
        <v>View</v>
      </c>
      <c r="V5009" s="8"/>
      <c r="W5009" s="8"/>
      <c r="X5009" s="8"/>
      <c r="Y5009" s="8"/>
      <c r="Z5009" s="8"/>
    </row>
    <row r="5010" spans="1:26" ht="12.75">
      <c r="A5010" s="11">
        <v>43747.099340277782</v>
      </c>
      <c r="B5010" s="12" t="str">
        <f>HYPERLINK("https://twitter.com/leopard5859","@leopard5859")</f>
        <v>@leopard5859</v>
      </c>
      <c r="C5010" s="7" t="s">
        <v>24164</v>
      </c>
      <c r="D5010" s="7" t="s">
        <v>24165</v>
      </c>
      <c r="E5010" s="12" t="str">
        <f>HYPERLINK("https://twitter.com/leopard5859/status/1181862631373754369","1181862631373754369")</f>
        <v>1181862631373754369</v>
      </c>
      <c r="F5010" s="8"/>
      <c r="G5010" s="14" t="s">
        <v>24166</v>
      </c>
      <c r="H5010" s="8"/>
      <c r="I5010" s="15">
        <v>0</v>
      </c>
      <c r="J5010" s="15">
        <v>7</v>
      </c>
      <c r="K5010" s="12" t="str">
        <f>HYPERLINK("http://twitter.com/download/android","Twitter for Android")</f>
        <v>Twitter for Android</v>
      </c>
      <c r="L5010" s="16">
        <v>42</v>
      </c>
      <c r="M5010" s="16">
        <v>106</v>
      </c>
      <c r="N5010" s="16">
        <v>0</v>
      </c>
      <c r="O5010" s="17"/>
      <c r="P5010" s="18">
        <v>41154.102118055554</v>
      </c>
      <c r="Q5010" s="8"/>
      <c r="R5010" s="7"/>
      <c r="S5010" s="8"/>
      <c r="T5010" s="8"/>
      <c r="U5010" s="19" t="str">
        <f>HYPERLINK("https://pbs.twimg.com/profile_images/596671299713392641/tGyFicR1.jpg","View")</f>
        <v>View</v>
      </c>
      <c r="V5010" s="8"/>
      <c r="W5010" s="8"/>
      <c r="X5010" s="8"/>
      <c r="Y5010" s="8"/>
      <c r="Z5010" s="8"/>
    </row>
    <row r="5011" spans="1:26" ht="12.75">
      <c r="A5011" s="11">
        <v>43747.099317129629</v>
      </c>
      <c r="B5011" s="12" t="str">
        <f>HYPERLINK("https://twitter.com/engintrt","@engintrt")</f>
        <v>@engintrt</v>
      </c>
      <c r="C5011" s="7" t="s">
        <v>24167</v>
      </c>
      <c r="D5011" s="7" t="s">
        <v>24168</v>
      </c>
      <c r="E5011" s="12" t="str">
        <f>HYPERLINK("https://twitter.com/engintrt/status/1181862622322397184","1181862622322397184")</f>
        <v>1181862622322397184</v>
      </c>
      <c r="F5011" s="14" t="s">
        <v>23595</v>
      </c>
      <c r="G5011" s="8"/>
      <c r="H5011" s="8"/>
      <c r="I5011" s="15">
        <v>0</v>
      </c>
      <c r="J5011" s="15">
        <v>0</v>
      </c>
      <c r="K5011" s="12" t="str">
        <f>HYPERLINK("http://twitter.com/download/iphone","Twitter for iPhone")</f>
        <v>Twitter for iPhone</v>
      </c>
      <c r="L5011" s="16">
        <v>3469</v>
      </c>
      <c r="M5011" s="16">
        <v>335</v>
      </c>
      <c r="N5011" s="16">
        <v>10</v>
      </c>
      <c r="O5011" s="17"/>
      <c r="P5011" s="18">
        <v>40561.403368055559</v>
      </c>
      <c r="Q5011" s="7"/>
      <c r="R5011" s="7" t="s">
        <v>24169</v>
      </c>
      <c r="S5011" s="14" t="s">
        <v>24170</v>
      </c>
      <c r="T5011" s="8"/>
      <c r="U5011" s="19" t="str">
        <f>HYPERLINK("https://pbs.twimg.com/profile_images/1176848897190354944/KQybXX00.jpg","View")</f>
        <v>View</v>
      </c>
      <c r="V5011" s="8"/>
      <c r="W5011" s="8"/>
      <c r="X5011" s="8"/>
      <c r="Y5011" s="8"/>
      <c r="Z5011" s="8"/>
    </row>
    <row r="5012" spans="1:26" ht="12.75">
      <c r="A5012" s="11">
        <v>43747.099305555559</v>
      </c>
      <c r="B5012" s="12" t="str">
        <f>HYPERLINK("https://twitter.com/SerhanSensan","@SerhanSensan")</f>
        <v>@SerhanSensan</v>
      </c>
      <c r="C5012" s="7" t="s">
        <v>24171</v>
      </c>
      <c r="D5012" s="7" t="s">
        <v>24172</v>
      </c>
      <c r="E5012" s="12" t="str">
        <f>HYPERLINK("https://twitter.com/SerhanSensan/status/1181862616316166145","1181862616316166145")</f>
        <v>1181862616316166145</v>
      </c>
      <c r="F5012" s="8"/>
      <c r="G5012" s="15"/>
      <c r="H5012" s="8"/>
      <c r="I5012" s="15">
        <v>0</v>
      </c>
      <c r="J5012" s="15">
        <v>1</v>
      </c>
      <c r="K5012" s="12" t="str">
        <f>HYPERLINK("http://twitter.com/download/iphone","Twitter for iPhone")</f>
        <v>Twitter for iPhone</v>
      </c>
      <c r="L5012" s="16">
        <v>91</v>
      </c>
      <c r="M5012" s="16">
        <v>567</v>
      </c>
      <c r="N5012" s="16">
        <v>0</v>
      </c>
      <c r="O5012" s="17"/>
      <c r="P5012" s="18">
        <v>40909.189872685187</v>
      </c>
      <c r="Q5012" s="8"/>
      <c r="R5012" s="8"/>
      <c r="S5012" s="8"/>
      <c r="T5012" s="8"/>
      <c r="U5012" s="19" t="str">
        <f>HYPERLINK("https://pbs.twimg.com/profile_images/1147125566879014913/-4aWNX75.jpg","View")</f>
        <v>View</v>
      </c>
      <c r="V5012" s="8"/>
      <c r="W5012" s="8"/>
      <c r="X5012" s="8"/>
      <c r="Y5012" s="8"/>
      <c r="Z5012" s="8"/>
    </row>
    <row r="5013" spans="1:26" ht="12.75">
      <c r="A5013" s="11">
        <v>43747.099270833336</v>
      </c>
      <c r="B5013" s="12" t="str">
        <f>HYPERLINK("https://twitter.com/gokselyk","@gokselyk")</f>
        <v>@gokselyk</v>
      </c>
      <c r="C5013" s="7" t="s">
        <v>24173</v>
      </c>
      <c r="D5013" s="7" t="s">
        <v>24174</v>
      </c>
      <c r="E5013" s="12" t="str">
        <f>HYPERLINK("https://twitter.com/gokselyk/status/1181862605910089735","1181862605910089735")</f>
        <v>1181862605910089735</v>
      </c>
      <c r="F5013" s="8"/>
      <c r="G5013" s="15"/>
      <c r="H5013" s="8"/>
      <c r="I5013" s="15">
        <v>0</v>
      </c>
      <c r="J5013" s="15">
        <v>0</v>
      </c>
      <c r="K5013" s="12" t="str">
        <f>HYPERLINK("http://twitter.com/download/android","Twitter for Android")</f>
        <v>Twitter for Android</v>
      </c>
      <c r="L5013" s="16">
        <v>113</v>
      </c>
      <c r="M5013" s="16">
        <v>203</v>
      </c>
      <c r="N5013" s="16">
        <v>0</v>
      </c>
      <c r="O5013" s="17"/>
      <c r="P5013" s="18">
        <v>40150.539085648146</v>
      </c>
      <c r="Q5013" s="7"/>
      <c r="R5013" s="7" t="s">
        <v>24175</v>
      </c>
      <c r="S5013" s="15"/>
      <c r="T5013" s="8"/>
      <c r="U5013" s="19" t="str">
        <f>HYPERLINK("https://pbs.twimg.com/profile_images/495514611366391808/zSBM49rv.jpeg","View")</f>
        <v>View</v>
      </c>
      <c r="V5013" s="8"/>
      <c r="W5013" s="8"/>
      <c r="X5013" s="8"/>
      <c r="Y5013" s="8"/>
      <c r="Z5013" s="8"/>
    </row>
    <row r="5014" spans="1:26" ht="12.75">
      <c r="A5014" s="11">
        <v>43747.099143518513</v>
      </c>
      <c r="B5014" s="12" t="str">
        <f>HYPERLINK("https://twitter.com/Mertcanulkerrr","@Mertcanulkerrr")</f>
        <v>@Mertcanulkerrr</v>
      </c>
      <c r="C5014" s="7" t="s">
        <v>24176</v>
      </c>
      <c r="D5014" s="7" t="s">
        <v>24177</v>
      </c>
      <c r="E5014" s="12" t="str">
        <f>HYPERLINK("https://twitter.com/Mertcanulkerrr/status/1181862559051333632","1181862559051333632")</f>
        <v>1181862559051333632</v>
      </c>
      <c r="F5014" s="8"/>
      <c r="G5014" s="14" t="s">
        <v>24178</v>
      </c>
      <c r="H5014" s="8"/>
      <c r="I5014" s="15">
        <v>0</v>
      </c>
      <c r="J5014" s="15">
        <v>2</v>
      </c>
      <c r="K5014" s="12" t="str">
        <f>HYPERLINK("http://twitter.com/download/iphone","Twitter for iPhone")</f>
        <v>Twitter for iPhone</v>
      </c>
      <c r="L5014" s="16">
        <v>2588</v>
      </c>
      <c r="M5014" s="16">
        <v>706</v>
      </c>
      <c r="N5014" s="16">
        <v>1</v>
      </c>
      <c r="O5014" s="17"/>
      <c r="P5014" s="18">
        <v>40874.069479166668</v>
      </c>
      <c r="Q5014" s="7" t="s">
        <v>8913</v>
      </c>
      <c r="R5014" s="7"/>
      <c r="S5014" s="14" t="s">
        <v>24179</v>
      </c>
      <c r="T5014" s="8"/>
      <c r="U5014" s="19" t="str">
        <f>HYPERLINK("https://pbs.twimg.com/profile_images/1169892481862750208/9YFmpjUL.jpg","View")</f>
        <v>View</v>
      </c>
      <c r="V5014" s="8"/>
      <c r="W5014" s="8"/>
      <c r="X5014" s="8"/>
      <c r="Y5014" s="8"/>
      <c r="Z5014" s="8"/>
    </row>
    <row r="5015" spans="1:26" ht="12.75">
      <c r="A5015" s="11">
        <v>43747.099085648151</v>
      </c>
      <c r="B5015" s="12" t="str">
        <f>HYPERLINK("https://twitter.com/KorunMelih","@KorunMelih")</f>
        <v>@KorunMelih</v>
      </c>
      <c r="C5015" s="7" t="s">
        <v>24180</v>
      </c>
      <c r="D5015" s="7" t="s">
        <v>160</v>
      </c>
      <c r="E5015" s="12" t="str">
        <f>HYPERLINK("https://twitter.com/KorunMelih/status/1181862539120037889","1181862539120037889")</f>
        <v>1181862539120037889</v>
      </c>
      <c r="F5015" s="8"/>
      <c r="G5015" s="14" t="s">
        <v>24181</v>
      </c>
      <c r="H5015" s="8"/>
      <c r="I5015" s="15">
        <v>0</v>
      </c>
      <c r="J5015" s="15">
        <v>0</v>
      </c>
      <c r="K5015" s="12" t="str">
        <f>HYPERLINK("http://twitter.com/download/iphone","Twitter for iPhone")</f>
        <v>Twitter for iPhone</v>
      </c>
      <c r="L5015" s="16">
        <v>21</v>
      </c>
      <c r="M5015" s="16">
        <v>41</v>
      </c>
      <c r="N5015" s="16">
        <v>0</v>
      </c>
      <c r="O5015" s="17"/>
      <c r="P5015" s="18">
        <v>43072.393773148149</v>
      </c>
      <c r="Q5015" s="8"/>
      <c r="R5015" s="8"/>
      <c r="S5015" s="8"/>
      <c r="T5015" s="8"/>
      <c r="U5015" s="19" t="str">
        <f>HYPERLINK("https://pbs.twimg.com/profile_images/1140309758290927616/AGlU03RF.jpg","View")</f>
        <v>View</v>
      </c>
      <c r="V5015" s="8"/>
      <c r="W5015" s="8"/>
      <c r="X5015" s="8"/>
      <c r="Y5015" s="8"/>
      <c r="Z5015" s="8"/>
    </row>
    <row r="5016" spans="1:26" ht="12.75">
      <c r="A5016" s="11">
        <v>43747.099074074074</v>
      </c>
      <c r="B5016" s="12" t="str">
        <f>HYPERLINK("https://twitter.com/RMatmazel","@RMatmazel")</f>
        <v>@RMatmazel</v>
      </c>
      <c r="C5016" s="7" t="s">
        <v>24182</v>
      </c>
      <c r="D5016" s="7" t="s">
        <v>24183</v>
      </c>
      <c r="E5016" s="12" t="str">
        <f>HYPERLINK("https://twitter.com/RMatmazel/status/1181862535227686912","1181862535227686912")</f>
        <v>1181862535227686912</v>
      </c>
      <c r="F5016" s="8"/>
      <c r="G5016" s="14" t="s">
        <v>24184</v>
      </c>
      <c r="H5016" s="8"/>
      <c r="I5016" s="15">
        <v>2</v>
      </c>
      <c r="J5016" s="15">
        <v>7</v>
      </c>
      <c r="K5016" s="12" t="str">
        <f>HYPERLINK("http://twitter.com/download/android","Twitter for Android")</f>
        <v>Twitter for Android</v>
      </c>
      <c r="L5016" s="16">
        <v>1467</v>
      </c>
      <c r="M5016" s="16">
        <v>1808</v>
      </c>
      <c r="N5016" s="16">
        <v>0</v>
      </c>
      <c r="O5016" s="17"/>
      <c r="P5016" s="18">
        <v>43024.028912037036</v>
      </c>
      <c r="Q5016" s="8" t="s">
        <v>445</v>
      </c>
      <c r="R5016" s="8"/>
      <c r="S5016" s="8"/>
      <c r="T5016" s="8"/>
      <c r="U5016" s="19" t="str">
        <f>HYPERLINK("https://pbs.twimg.com/profile_images/1110174322746949633/Ec7V2Z61.jpg","View")</f>
        <v>View</v>
      </c>
      <c r="V5016" s="8"/>
      <c r="W5016" s="8"/>
      <c r="X5016" s="8"/>
      <c r="Y5016" s="8"/>
      <c r="Z5016" s="8"/>
    </row>
    <row r="5017" spans="1:26" ht="12.75">
      <c r="A5017" s="11">
        <v>43747.099016203705</v>
      </c>
      <c r="B5017" s="12" t="str">
        <f>HYPERLINK("https://twitter.com/el_turco13","@el_turco13")</f>
        <v>@el_turco13</v>
      </c>
      <c r="C5017" s="7" t="s">
        <v>24185</v>
      </c>
      <c r="D5017" s="7" t="s">
        <v>24186</v>
      </c>
      <c r="E5017" s="12" t="str">
        <f>HYPERLINK("https://twitter.com/el_turco13/status/1181862514210082816","1181862514210082816")</f>
        <v>1181862514210082816</v>
      </c>
      <c r="F5017" s="8"/>
      <c r="G5017" s="14" t="s">
        <v>24187</v>
      </c>
      <c r="H5017" s="8"/>
      <c r="I5017" s="15">
        <v>0</v>
      </c>
      <c r="J5017" s="15">
        <v>0</v>
      </c>
      <c r="K5017" s="12" t="str">
        <f>HYPERLINK("http://twitter.com/download/android","Twitter for Android")</f>
        <v>Twitter for Android</v>
      </c>
      <c r="L5017" s="16">
        <v>45</v>
      </c>
      <c r="M5017" s="16">
        <v>235</v>
      </c>
      <c r="N5017" s="16">
        <v>0</v>
      </c>
      <c r="O5017" s="17"/>
      <c r="P5017" s="18">
        <v>41556.385092592594</v>
      </c>
      <c r="Q5017" s="7" t="s">
        <v>24188</v>
      </c>
      <c r="R5017" s="7" t="s">
        <v>24189</v>
      </c>
      <c r="S5017" s="8"/>
      <c r="T5017" s="8"/>
      <c r="U5017" s="19" t="str">
        <f>HYPERLINK("https://pbs.twimg.com/profile_images/1075093390172282880/vaDtwvuZ.jpg","View")</f>
        <v>View</v>
      </c>
      <c r="V5017" s="8"/>
      <c r="W5017" s="8"/>
      <c r="X5017" s="8"/>
      <c r="Y5017" s="8"/>
      <c r="Z5017" s="8"/>
    </row>
    <row r="5018" spans="1:26" ht="12.75">
      <c r="A5018" s="11">
        <v>43747.099016203705</v>
      </c>
      <c r="B5018" s="12" t="str">
        <f>HYPERLINK("https://twitter.com/Beckybleach","@Beckybleach")</f>
        <v>@Beckybleach</v>
      </c>
      <c r="C5018" s="7" t="s">
        <v>24190</v>
      </c>
      <c r="D5018" s="7" t="s">
        <v>24191</v>
      </c>
      <c r="E5018" s="12" t="str">
        <f>HYPERLINK("https://twitter.com/Beckybleach/status/1181862512842686469","1181862512842686469")</f>
        <v>1181862512842686469</v>
      </c>
      <c r="F5018" s="8"/>
      <c r="G5018" s="15"/>
      <c r="H5018" s="8"/>
      <c r="I5018" s="15">
        <v>0</v>
      </c>
      <c r="J5018" s="15">
        <v>1</v>
      </c>
      <c r="K5018" s="12" t="str">
        <f>HYPERLINK("http://twitter.com/download/android","Twitter for Android")</f>
        <v>Twitter for Android</v>
      </c>
      <c r="L5018" s="16">
        <v>179</v>
      </c>
      <c r="M5018" s="16">
        <v>171</v>
      </c>
      <c r="N5018" s="16">
        <v>2</v>
      </c>
      <c r="O5018" s="17"/>
      <c r="P5018" s="18">
        <v>43469.282870370371</v>
      </c>
      <c r="Q5018" s="8" t="s">
        <v>24192</v>
      </c>
      <c r="R5018" s="7" t="s">
        <v>24193</v>
      </c>
      <c r="S5018" s="8"/>
      <c r="T5018" s="8"/>
      <c r="U5018" s="19" t="str">
        <f>HYPERLINK("https://pbs.twimg.com/profile_images/1181660177604460544/GrM8Ypun.jpg","View")</f>
        <v>View</v>
      </c>
      <c r="V5018" s="8"/>
      <c r="W5018" s="8"/>
      <c r="X5018" s="8"/>
      <c r="Y5018" s="8"/>
      <c r="Z5018" s="8"/>
    </row>
    <row r="5019" spans="1:26" ht="12.75">
      <c r="A5019" s="11">
        <v>43747.098993055552</v>
      </c>
      <c r="B5019" s="12" t="str">
        <f>HYPERLINK("https://twitter.com/justlaughatlif1","@justlaughatlif1")</f>
        <v>@justlaughatlif1</v>
      </c>
      <c r="C5019" s="7" t="s">
        <v>24194</v>
      </c>
      <c r="D5019" s="7" t="s">
        <v>24195</v>
      </c>
      <c r="E5019" s="12" t="str">
        <f>HYPERLINK("https://twitter.com/justlaughatlif1/status/1181862502151397376","1181862502151397376")</f>
        <v>1181862502151397376</v>
      </c>
      <c r="F5019" s="8"/>
      <c r="G5019" s="14" t="s">
        <v>24196</v>
      </c>
      <c r="H5019" s="8"/>
      <c r="I5019" s="15">
        <v>0</v>
      </c>
      <c r="J5019" s="15">
        <v>0</v>
      </c>
      <c r="K5019" s="12" t="str">
        <f>HYPERLINK("http://twitter.com/download/android","Twitter for Android")</f>
        <v>Twitter for Android</v>
      </c>
      <c r="L5019" s="16">
        <v>4</v>
      </c>
      <c r="M5019" s="16">
        <v>172</v>
      </c>
      <c r="N5019" s="16">
        <v>0</v>
      </c>
      <c r="O5019" s="17"/>
      <c r="P5019" s="18">
        <v>43725.023946759262</v>
      </c>
      <c r="Q5019" s="7"/>
      <c r="R5019" s="7" t="s">
        <v>24197</v>
      </c>
      <c r="S5019" s="8"/>
      <c r="T5019" s="8"/>
      <c r="U5019" s="19" t="str">
        <f>HYPERLINK("https://pbs.twimg.com/profile_images/1179729623032176641/ZEdhO2vz.jpg","View")</f>
        <v>View</v>
      </c>
      <c r="V5019" s="8"/>
      <c r="W5019" s="8"/>
      <c r="X5019" s="8"/>
      <c r="Y5019" s="8"/>
      <c r="Z5019" s="8"/>
    </row>
    <row r="5020" spans="1:26" ht="12.75">
      <c r="A5020" s="11">
        <v>43747.098981481482</v>
      </c>
      <c r="B5020" s="12" t="str">
        <f>HYPERLINK("https://twitter.com/miss_aydnn","@miss_aydnn")</f>
        <v>@miss_aydnn</v>
      </c>
      <c r="C5020" s="7" t="s">
        <v>24198</v>
      </c>
      <c r="D5020" s="7" t="s">
        <v>20922</v>
      </c>
      <c r="E5020" s="12" t="str">
        <f>HYPERLINK("https://twitter.com/miss_aydnn/status/1181862498745618432","1181862498745618432")</f>
        <v>1181862498745618432</v>
      </c>
      <c r="F5020" s="7"/>
      <c r="G5020" s="14" t="s">
        <v>24199</v>
      </c>
      <c r="H5020" s="8"/>
      <c r="I5020" s="15">
        <v>0</v>
      </c>
      <c r="J5020" s="15">
        <v>2</v>
      </c>
      <c r="K5020" s="12" t="str">
        <f>HYPERLINK("http://twitter.com/download/android","Twitter for Android")</f>
        <v>Twitter for Android</v>
      </c>
      <c r="L5020" s="16">
        <v>460</v>
      </c>
      <c r="M5020" s="16">
        <v>173</v>
      </c>
      <c r="N5020" s="16">
        <v>0</v>
      </c>
      <c r="O5020" s="17"/>
      <c r="P5020" s="18">
        <v>41754.348761574074</v>
      </c>
      <c r="Q5020" s="8" t="s">
        <v>24200</v>
      </c>
      <c r="R5020" s="7" t="s">
        <v>24201</v>
      </c>
      <c r="S5020" s="14" t="s">
        <v>24202</v>
      </c>
      <c r="T5020" s="8"/>
      <c r="U5020" s="19" t="str">
        <f>HYPERLINK("https://pbs.twimg.com/profile_images/1155957018106068993/TGt7xelT.jpg","View")</f>
        <v>View</v>
      </c>
      <c r="V5020" s="8"/>
      <c r="W5020" s="8"/>
      <c r="X5020" s="8"/>
      <c r="Y5020" s="8"/>
      <c r="Z5020" s="8"/>
    </row>
    <row r="5021" spans="1:26" ht="12.75">
      <c r="A5021" s="11">
        <v>43747.098923611113</v>
      </c>
      <c r="B5021" s="12" t="str">
        <f>HYPERLINK("https://twitter.com/ismailgultekin0","@ismailgultekin0")</f>
        <v>@ismailgultekin0</v>
      </c>
      <c r="C5021" s="7" t="s">
        <v>24203</v>
      </c>
      <c r="D5021" s="7" t="s">
        <v>24204</v>
      </c>
      <c r="E5021" s="12" t="str">
        <f>HYPERLINK("https://twitter.com/ismailgultekin0/status/1181862479271530496","1181862479271530496")</f>
        <v>1181862479271530496</v>
      </c>
      <c r="F5021" s="8"/>
      <c r="G5021" s="14" t="s">
        <v>24205</v>
      </c>
      <c r="H5021" s="8"/>
      <c r="I5021" s="15">
        <v>0</v>
      </c>
      <c r="J5021" s="15">
        <v>5</v>
      </c>
      <c r="K5021" s="12" t="str">
        <f>HYPERLINK("http://twitter.com/download/iphone","Twitter for iPhone")</f>
        <v>Twitter for iPhone</v>
      </c>
      <c r="L5021" s="16">
        <v>2586</v>
      </c>
      <c r="M5021" s="16">
        <v>1820</v>
      </c>
      <c r="N5021" s="16">
        <v>2</v>
      </c>
      <c r="O5021" s="17"/>
      <c r="P5021" s="18">
        <v>41988.332546296297</v>
      </c>
      <c r="Q5021" s="8" t="s">
        <v>24206</v>
      </c>
      <c r="R5021" s="8" t="s">
        <v>24207</v>
      </c>
      <c r="S5021" s="8"/>
      <c r="T5021" s="8"/>
      <c r="U5021" s="19" t="str">
        <f>HYPERLINK("https://pbs.twimg.com/profile_images/1160974432535531521/KAI7UUar.jpg","View")</f>
        <v>View</v>
      </c>
      <c r="V5021" s="8"/>
      <c r="W5021" s="8"/>
      <c r="X5021" s="8"/>
      <c r="Y5021" s="8"/>
      <c r="Z5021" s="8"/>
    </row>
    <row r="5022" spans="1:26" ht="12.75">
      <c r="A5022" s="11">
        <v>43747.098900462966</v>
      </c>
      <c r="B5022" s="12" t="str">
        <f>HYPERLINK("https://twitter.com/tolgmrt3485","@tolgmrt3485")</f>
        <v>@tolgmrt3485</v>
      </c>
      <c r="C5022" s="7" t="s">
        <v>24208</v>
      </c>
      <c r="D5022" s="7" t="s">
        <v>24209</v>
      </c>
      <c r="E5022" s="12" t="str">
        <f>HYPERLINK("https://twitter.com/tolgmrt3485/status/1181862471671390208","1181862471671390208")</f>
        <v>1181862471671390208</v>
      </c>
      <c r="F5022" s="8"/>
      <c r="G5022" s="8"/>
      <c r="H5022" s="8"/>
      <c r="I5022" s="15">
        <v>0</v>
      </c>
      <c r="J5022" s="15">
        <v>0</v>
      </c>
      <c r="K5022" s="12" t="str">
        <f>HYPERLINK("http://twitter.com/download/android","Twitter for Android")</f>
        <v>Twitter for Android</v>
      </c>
      <c r="L5022" s="16">
        <v>607</v>
      </c>
      <c r="M5022" s="16">
        <v>629</v>
      </c>
      <c r="N5022" s="16">
        <v>1</v>
      </c>
      <c r="O5022" s="17"/>
      <c r="P5022" s="18">
        <v>42282.275300925925</v>
      </c>
      <c r="Q5022" s="7"/>
      <c r="R5022" s="8" t="s">
        <v>24210</v>
      </c>
      <c r="S5022" s="8"/>
      <c r="T5022" s="8"/>
      <c r="U5022" s="19" t="str">
        <f>HYPERLINK("https://pbs.twimg.com/profile_images/1161262998515830784/beSI9ArG.jpg","View")</f>
        <v>View</v>
      </c>
      <c r="V5022" s="8"/>
      <c r="W5022" s="8"/>
      <c r="X5022" s="8"/>
      <c r="Y5022" s="8"/>
      <c r="Z5022" s="8"/>
    </row>
    <row r="5023" spans="1:26" ht="12.75">
      <c r="A5023" s="11">
        <v>43747.098854166667</v>
      </c>
      <c r="B5023" s="12" t="str">
        <f>HYPERLINK("https://twitter.com/kocyigit033","@kocyigit033")</f>
        <v>@kocyigit033</v>
      </c>
      <c r="C5023" s="7" t="s">
        <v>24211</v>
      </c>
      <c r="D5023" s="7" t="s">
        <v>24212</v>
      </c>
      <c r="E5023" s="12" t="str">
        <f>HYPERLINK("https://twitter.com/kocyigit033/status/1181862455363932160","1181862455363932160")</f>
        <v>1181862455363932160</v>
      </c>
      <c r="F5023" s="8"/>
      <c r="G5023" s="14" t="s">
        <v>24213</v>
      </c>
      <c r="H5023" s="8"/>
      <c r="I5023" s="15">
        <v>0</v>
      </c>
      <c r="J5023" s="15">
        <v>0</v>
      </c>
      <c r="K5023" s="12" t="str">
        <f>HYPERLINK("https://mobile.twitter.com","Twitter Web App")</f>
        <v>Twitter Web App</v>
      </c>
      <c r="L5023" s="16">
        <v>10</v>
      </c>
      <c r="M5023" s="16">
        <v>5</v>
      </c>
      <c r="N5023" s="16">
        <v>0</v>
      </c>
      <c r="O5023" s="17"/>
      <c r="P5023" s="18">
        <v>43105.94599537037</v>
      </c>
      <c r="Q5023" s="8" t="s">
        <v>1150</v>
      </c>
      <c r="R5023" s="7"/>
      <c r="S5023" s="8"/>
      <c r="T5023" s="8"/>
      <c r="U5023" s="19" t="str">
        <f>HYPERLINK("https://pbs.twimg.com/profile_images/957227969914834944/DWJw2cw1.jpg","View")</f>
        <v>View</v>
      </c>
      <c r="V5023" s="8"/>
      <c r="W5023" s="8"/>
      <c r="X5023" s="8"/>
      <c r="Y5023" s="8"/>
      <c r="Z5023" s="8"/>
    </row>
    <row r="5024" spans="1:26" ht="12.75">
      <c r="A5024" s="11">
        <v>43747.09878472222</v>
      </c>
      <c r="B5024" s="12" t="str">
        <f>HYPERLINK("https://twitter.com/Ben_S_A_","@Ben_S_A_")</f>
        <v>@Ben_S_A_</v>
      </c>
      <c r="C5024" s="7" t="s">
        <v>24214</v>
      </c>
      <c r="D5024" s="7" t="s">
        <v>24215</v>
      </c>
      <c r="E5024" s="12" t="str">
        <f>HYPERLINK("https://twitter.com/Ben_S_A_/status/1181862429225099264","1181862429225099264")</f>
        <v>1181862429225099264</v>
      </c>
      <c r="F5024" s="8"/>
      <c r="G5024" s="15"/>
      <c r="H5024" s="8"/>
      <c r="I5024" s="15">
        <v>0</v>
      </c>
      <c r="J5024" s="15">
        <v>2</v>
      </c>
      <c r="K5024" s="12" t="str">
        <f>HYPERLINK("http://twitter.com/download/android","Twitter for Android")</f>
        <v>Twitter for Android</v>
      </c>
      <c r="L5024" s="16">
        <v>845</v>
      </c>
      <c r="M5024" s="16">
        <v>1175</v>
      </c>
      <c r="N5024" s="16">
        <v>2</v>
      </c>
      <c r="O5024" s="17"/>
      <c r="P5024" s="18">
        <v>43522.855138888888</v>
      </c>
      <c r="Q5024" s="8" t="s">
        <v>24216</v>
      </c>
      <c r="R5024" s="7" t="s">
        <v>24217</v>
      </c>
      <c r="S5024" s="8"/>
      <c r="T5024" s="8"/>
      <c r="U5024" s="19" t="str">
        <f>HYPERLINK("https://pbs.twimg.com/profile_images/1176918279664930816/jixUuNZf.jpg","View")</f>
        <v>View</v>
      </c>
      <c r="V5024" s="8"/>
      <c r="W5024" s="8"/>
      <c r="X5024" s="8"/>
      <c r="Y5024" s="8"/>
      <c r="Z5024" s="8"/>
    </row>
    <row r="5025" spans="1:26" ht="12.75">
      <c r="A5025" s="11">
        <v>43747.098726851851</v>
      </c>
      <c r="B5025" s="12" t="str">
        <f>HYPERLINK("https://twitter.com/vdemirbey","@vdemirbey")</f>
        <v>@vdemirbey</v>
      </c>
      <c r="C5025" s="7" t="s">
        <v>24218</v>
      </c>
      <c r="D5025" s="7" t="s">
        <v>24219</v>
      </c>
      <c r="E5025" s="12" t="str">
        <f>HYPERLINK("https://twitter.com/vdemirbey/status/1181862406403821568","1181862406403821568")</f>
        <v>1181862406403821568</v>
      </c>
      <c r="F5025" s="8"/>
      <c r="G5025" s="14" t="s">
        <v>24220</v>
      </c>
      <c r="H5025" s="8"/>
      <c r="I5025" s="15">
        <v>22</v>
      </c>
      <c r="J5025" s="15">
        <v>65</v>
      </c>
      <c r="K5025" s="12" t="str">
        <f>HYPERLINK("http://twitter.com/download/android","Twitter for Android")</f>
        <v>Twitter for Android</v>
      </c>
      <c r="L5025" s="16">
        <v>21316</v>
      </c>
      <c r="M5025" s="16">
        <v>16054</v>
      </c>
      <c r="N5025" s="16">
        <v>38</v>
      </c>
      <c r="O5025" s="17"/>
      <c r="P5025" s="18">
        <v>40957.444027777776</v>
      </c>
      <c r="Q5025" s="8"/>
      <c r="R5025" s="7"/>
      <c r="S5025" s="8"/>
      <c r="T5025" s="8"/>
      <c r="U5025" s="19" t="str">
        <f>HYPERLINK("https://pbs.twimg.com/profile_images/1099037996735758338/xQgLuYER.jpg","View")</f>
        <v>View</v>
      </c>
      <c r="V5025" s="8"/>
      <c r="W5025" s="8"/>
      <c r="X5025" s="8"/>
      <c r="Y5025" s="8"/>
      <c r="Z5025" s="8"/>
    </row>
    <row r="5026" spans="1:26" ht="12.75">
      <c r="A5026" s="11">
        <v>43747.098703703705</v>
      </c>
      <c r="B5026" s="12" t="str">
        <f>HYPERLINK("https://twitter.com/TurkArd","@TurkArd")</f>
        <v>@TurkArd</v>
      </c>
      <c r="C5026" s="7" t="s">
        <v>24221</v>
      </c>
      <c r="D5026" s="7" t="s">
        <v>24222</v>
      </c>
      <c r="E5026" s="12" t="str">
        <f>HYPERLINK("https://twitter.com/TurkArd/status/1181862399516823559","1181862399516823559")</f>
        <v>1181862399516823559</v>
      </c>
      <c r="F5026" s="8"/>
      <c r="G5026" s="14" t="s">
        <v>24223</v>
      </c>
      <c r="H5026" s="8"/>
      <c r="I5026" s="15">
        <v>0</v>
      </c>
      <c r="J5026" s="15">
        <v>0</v>
      </c>
      <c r="K5026" s="12" t="str">
        <f>HYPERLINK("http://twitter.com/download/android","Twitter for Android")</f>
        <v>Twitter for Android</v>
      </c>
      <c r="L5026" s="16">
        <v>22</v>
      </c>
      <c r="M5026" s="16">
        <v>128</v>
      </c>
      <c r="N5026" s="16">
        <v>1</v>
      </c>
      <c r="O5026" s="17"/>
      <c r="P5026" s="18">
        <v>40558.615763888891</v>
      </c>
      <c r="Q5026" s="7" t="s">
        <v>200</v>
      </c>
      <c r="R5026" s="7" t="s">
        <v>24224</v>
      </c>
      <c r="S5026" s="15"/>
      <c r="T5026" s="8"/>
      <c r="U5026" s="19" t="str">
        <f>HYPERLINK("https://pbs.twimg.com/profile_images/800782468295131142/ZYct3ElT.jpg","View")</f>
        <v>View</v>
      </c>
      <c r="V5026" s="8"/>
      <c r="W5026" s="8"/>
      <c r="X5026" s="8"/>
      <c r="Y5026" s="8"/>
      <c r="Z5026" s="8"/>
    </row>
    <row r="5027" spans="1:26" ht="12.75">
      <c r="A5027" s="11">
        <v>43747.098692129628</v>
      </c>
      <c r="B5027" s="12" t="str">
        <f>HYPERLINK("https://twitter.com/fatihckc75","@fatihckc75")</f>
        <v>@fatihckc75</v>
      </c>
      <c r="C5027" s="7" t="s">
        <v>24225</v>
      </c>
      <c r="D5027" s="7" t="s">
        <v>24226</v>
      </c>
      <c r="E5027" s="12" t="str">
        <f>HYPERLINK("https://twitter.com/fatihckc75/status/1181862393690935296","1181862393690935296")</f>
        <v>1181862393690935296</v>
      </c>
      <c r="F5027" s="8"/>
      <c r="G5027" s="14" t="s">
        <v>24227</v>
      </c>
      <c r="H5027" s="8"/>
      <c r="I5027" s="15">
        <v>0</v>
      </c>
      <c r="J5027" s="15">
        <v>0</v>
      </c>
      <c r="K5027" s="12" t="str">
        <f>HYPERLINK("http://twitter.com/download/android","Twitter for Android")</f>
        <v>Twitter for Android</v>
      </c>
      <c r="L5027" s="16">
        <v>21</v>
      </c>
      <c r="M5027" s="16">
        <v>9</v>
      </c>
      <c r="N5027" s="16">
        <v>0</v>
      </c>
      <c r="O5027" s="17"/>
      <c r="P5027" s="18">
        <v>43576.562627314815</v>
      </c>
      <c r="Q5027" s="8"/>
      <c r="R5027" s="8" t="s">
        <v>24228</v>
      </c>
      <c r="S5027" s="8"/>
      <c r="T5027" s="8"/>
      <c r="U5027" s="19" t="str">
        <f>HYPERLINK("https://pbs.twimg.com/profile_images/1130763237769789440/08WerB5I.jpg","View")</f>
        <v>View</v>
      </c>
      <c r="V5027" s="8"/>
      <c r="W5027" s="8"/>
      <c r="X5027" s="8"/>
      <c r="Y5027" s="8"/>
      <c r="Z5027" s="8"/>
    </row>
    <row r="5028" spans="1:26" ht="12.75">
      <c r="A5028" s="11">
        <v>43747.098680555559</v>
      </c>
      <c r="B5028" s="12" t="str">
        <f>HYPERLINK("https://twitter.com/SalihacapAcap","@SalihacapAcap")</f>
        <v>@SalihacapAcap</v>
      </c>
      <c r="C5028" s="7" t="s">
        <v>24229</v>
      </c>
      <c r="D5028" s="7" t="s">
        <v>24230</v>
      </c>
      <c r="E5028" s="12" t="str">
        <f>HYPERLINK("https://twitter.com/SalihacapAcap/status/1181862390335442944","1181862390335442944")</f>
        <v>1181862390335442944</v>
      </c>
      <c r="F5028" s="8"/>
      <c r="G5028" s="14" t="s">
        <v>24231</v>
      </c>
      <c r="H5028" s="8"/>
      <c r="I5028" s="15">
        <v>0</v>
      </c>
      <c r="J5028" s="15">
        <v>0</v>
      </c>
      <c r="K5028" s="12" t="str">
        <f>HYPERLINK("http://twitter.com/download/iphone","Twitter for iPhone")</f>
        <v>Twitter for iPhone</v>
      </c>
      <c r="L5028" s="16">
        <v>50</v>
      </c>
      <c r="M5028" s="16">
        <v>55</v>
      </c>
      <c r="N5028" s="16">
        <v>0</v>
      </c>
      <c r="O5028" s="17"/>
      <c r="P5028" s="18">
        <v>42062.492013888885</v>
      </c>
      <c r="Q5028" s="7"/>
      <c r="R5028" s="7" t="s">
        <v>24232</v>
      </c>
      <c r="S5028" s="8"/>
      <c r="T5028" s="8"/>
      <c r="U5028" s="19" t="str">
        <f>HYPERLINK("https://pbs.twimg.com/profile_images/787707247828795392/CzaE-kaS.jpg","View")</f>
        <v>View</v>
      </c>
      <c r="V5028" s="8"/>
      <c r="W5028" s="8"/>
      <c r="X5028" s="8"/>
      <c r="Y5028" s="8"/>
      <c r="Z5028" s="8"/>
    </row>
    <row r="5029" spans="1:26" ht="12.75">
      <c r="A5029" s="11">
        <v>43747.098668981482</v>
      </c>
      <c r="B5029" s="12" t="str">
        <f>HYPERLINK("https://twitter.com/Ercumen74362612","@Ercumen74362612")</f>
        <v>@Ercumen74362612</v>
      </c>
      <c r="C5029" s="7" t="s">
        <v>24233</v>
      </c>
      <c r="D5029" s="7" t="s">
        <v>24234</v>
      </c>
      <c r="E5029" s="12" t="str">
        <f>HYPERLINK("https://twitter.com/Ercumen74362612/status/1181862384681410562","1181862384681410562")</f>
        <v>1181862384681410562</v>
      </c>
      <c r="F5029" s="8"/>
      <c r="G5029" s="8"/>
      <c r="H5029" s="8"/>
      <c r="I5029" s="15">
        <v>1</v>
      </c>
      <c r="J5029" s="15">
        <v>1</v>
      </c>
      <c r="K5029" s="12" t="str">
        <f>HYPERLINK("http://twitter.com/download/android","Twitter for Android")</f>
        <v>Twitter for Android</v>
      </c>
      <c r="L5029" s="16">
        <v>232</v>
      </c>
      <c r="M5029" s="16">
        <v>755</v>
      </c>
      <c r="N5029" s="16">
        <v>0</v>
      </c>
      <c r="O5029" s="17"/>
      <c r="P5029" s="18">
        <v>43098.136516203704</v>
      </c>
      <c r="Q5029" s="7"/>
      <c r="R5029" s="7" t="s">
        <v>24235</v>
      </c>
      <c r="S5029" s="8"/>
      <c r="T5029" s="8"/>
      <c r="U5029" s="19" t="str">
        <f>HYPERLINK("https://pbs.twimg.com/profile_images/1001077847300059142/hkcUN4zO.jpg","View")</f>
        <v>View</v>
      </c>
      <c r="V5029" s="8"/>
      <c r="W5029" s="8"/>
      <c r="X5029" s="8"/>
      <c r="Y5029" s="8"/>
      <c r="Z5029" s="8"/>
    </row>
    <row r="5030" spans="1:26" ht="12.75">
      <c r="A5030" s="11">
        <v>43747.098611111112</v>
      </c>
      <c r="B5030" s="12" t="str">
        <f>HYPERLINK("https://twitter.com/tuylumikrofon","@tuylumikrofon")</f>
        <v>@tuylumikrofon</v>
      </c>
      <c r="C5030" s="7" t="s">
        <v>24236</v>
      </c>
      <c r="D5030" s="7" t="s">
        <v>24237</v>
      </c>
      <c r="E5030" s="12" t="str">
        <f>HYPERLINK("https://twitter.com/tuylumikrofon/status/1181862365899427840","1181862365899427840")</f>
        <v>1181862365899427840</v>
      </c>
      <c r="F5030" s="14" t="s">
        <v>24238</v>
      </c>
      <c r="G5030" s="14" t="s">
        <v>24239</v>
      </c>
      <c r="H5030" s="8"/>
      <c r="I5030" s="15">
        <v>0</v>
      </c>
      <c r="J5030" s="15">
        <v>1</v>
      </c>
      <c r="K5030" s="12" t="str">
        <f>HYPERLINK("https://mobile.twitter.com","Twitter Web App")</f>
        <v>Twitter Web App</v>
      </c>
      <c r="L5030" s="16">
        <v>438</v>
      </c>
      <c r="M5030" s="16">
        <v>269</v>
      </c>
      <c r="N5030" s="16">
        <v>0</v>
      </c>
      <c r="O5030" s="17"/>
      <c r="P5030" s="18">
        <v>43476.683518518519</v>
      </c>
      <c r="Q5030" s="8" t="s">
        <v>80</v>
      </c>
      <c r="R5030" s="7" t="s">
        <v>24240</v>
      </c>
      <c r="S5030" s="14" t="s">
        <v>24241</v>
      </c>
      <c r="T5030" s="8"/>
      <c r="U5030" s="19" t="str">
        <f>HYPERLINK("https://pbs.twimg.com/profile_images/1108345109987450880/WVpqVu0j.jpg","View")</f>
        <v>View</v>
      </c>
      <c r="V5030" s="8"/>
      <c r="W5030" s="8"/>
      <c r="X5030" s="8"/>
      <c r="Y5030" s="8"/>
      <c r="Z5030" s="8"/>
    </row>
    <row r="5031" spans="1:26" ht="12.75">
      <c r="A5031" s="11">
        <v>43747.098587962959</v>
      </c>
      <c r="B5031" s="12" t="str">
        <f>HYPERLINK("https://twitter.com/ercumentates","@ercumentates")</f>
        <v>@ercumentates</v>
      </c>
      <c r="C5031" s="7" t="s">
        <v>24242</v>
      </c>
      <c r="D5031" s="7" t="s">
        <v>24243</v>
      </c>
      <c r="E5031" s="12" t="str">
        <f>HYPERLINK("https://twitter.com/ercumentates/status/1181862358542671872","1181862358542671872")</f>
        <v>1181862358542671872</v>
      </c>
      <c r="F5031" s="15"/>
      <c r="G5031" s="14" t="s">
        <v>24244</v>
      </c>
      <c r="H5031" s="8"/>
      <c r="I5031" s="15">
        <v>0</v>
      </c>
      <c r="J5031" s="15">
        <v>0</v>
      </c>
      <c r="K5031" s="12" t="str">
        <f>HYPERLINK("http://twitter.com/download/android","Twitter for Android")</f>
        <v>Twitter for Android</v>
      </c>
      <c r="L5031" s="16">
        <v>1574</v>
      </c>
      <c r="M5031" s="16">
        <v>2645</v>
      </c>
      <c r="N5031" s="16">
        <v>4</v>
      </c>
      <c r="O5031" s="17"/>
      <c r="P5031" s="18">
        <v>40840.457199074073</v>
      </c>
      <c r="Q5031" s="7" t="s">
        <v>24245</v>
      </c>
      <c r="R5031" s="7" t="s">
        <v>24246</v>
      </c>
      <c r="S5031" s="15"/>
      <c r="T5031" s="8"/>
      <c r="U5031" s="19" t="str">
        <f>HYPERLINK("https://pbs.twimg.com/profile_images/1152859685902528512/_UDyNUAp.jpg","View")</f>
        <v>View</v>
      </c>
      <c r="V5031" s="8"/>
      <c r="W5031" s="8"/>
      <c r="X5031" s="8"/>
      <c r="Y5031" s="8"/>
      <c r="Z5031" s="8"/>
    </row>
    <row r="5032" spans="1:26" ht="12.75">
      <c r="A5032" s="11">
        <v>43747.098587962959</v>
      </c>
      <c r="B5032" s="12" t="str">
        <f>HYPERLINK("https://twitter.com/Demet54227093","@Demet54227093")</f>
        <v>@Demet54227093</v>
      </c>
      <c r="C5032" s="7" t="s">
        <v>24247</v>
      </c>
      <c r="D5032" s="7" t="s">
        <v>24248</v>
      </c>
      <c r="E5032" s="12" t="str">
        <f>HYPERLINK("https://twitter.com/Demet54227093/status/1181862355128475648","1181862355128475648")</f>
        <v>1181862355128475648</v>
      </c>
      <c r="F5032" s="8"/>
      <c r="G5032" s="8"/>
      <c r="H5032" s="8"/>
      <c r="I5032" s="15">
        <v>0</v>
      </c>
      <c r="J5032" s="15">
        <v>0</v>
      </c>
      <c r="K5032" s="12" t="str">
        <f>HYPERLINK("http://twitter.com/download/iphone","Twitter for iPhone")</f>
        <v>Twitter for iPhone</v>
      </c>
      <c r="L5032" s="16">
        <v>5</v>
      </c>
      <c r="M5032" s="16">
        <v>47</v>
      </c>
      <c r="N5032" s="16">
        <v>0</v>
      </c>
      <c r="O5032" s="17"/>
      <c r="P5032" s="18">
        <v>43536.136701388888</v>
      </c>
      <c r="Q5032" s="8" t="s">
        <v>287</v>
      </c>
      <c r="R5032" s="7" t="s">
        <v>24249</v>
      </c>
      <c r="S5032" s="8"/>
      <c r="T5032" s="8"/>
      <c r="U5032" s="19" t="str">
        <f>HYPERLINK("https://pbs.twimg.com/profile_images/1105896005080412160/TRH0-1x3.jpg","View")</f>
        <v>View</v>
      </c>
      <c r="V5032" s="8"/>
      <c r="W5032" s="8"/>
      <c r="X5032" s="8"/>
      <c r="Y5032" s="8"/>
      <c r="Z5032" s="8"/>
    </row>
    <row r="5033" spans="1:26" ht="12.75">
      <c r="A5033" s="11">
        <v>43747.098576388889</v>
      </c>
      <c r="B5033" s="12" t="str">
        <f>HYPERLINK("https://twitter.com/Cenk5Varol","@Cenk5Varol")</f>
        <v>@Cenk5Varol</v>
      </c>
      <c r="C5033" s="7" t="s">
        <v>20902</v>
      </c>
      <c r="D5033" s="7" t="s">
        <v>13999</v>
      </c>
      <c r="E5033" s="12" t="str">
        <f>HYPERLINK("https://twitter.com/Cenk5Varol/status/1181862354298052609","1181862354298052609")</f>
        <v>1181862354298052609</v>
      </c>
      <c r="F5033" s="8"/>
      <c r="G5033" s="15"/>
      <c r="H5033" s="8"/>
      <c r="I5033" s="15">
        <v>0</v>
      </c>
      <c r="J5033" s="15">
        <v>3</v>
      </c>
      <c r="K5033" s="12" t="str">
        <f>HYPERLINK("http://twitter.com/download/android","Twitter for Android")</f>
        <v>Twitter for Android</v>
      </c>
      <c r="L5033" s="16">
        <v>492</v>
      </c>
      <c r="M5033" s="16">
        <v>260</v>
      </c>
      <c r="N5033" s="16">
        <v>2</v>
      </c>
      <c r="O5033" s="17"/>
      <c r="P5033" s="18">
        <v>40733.083136574074</v>
      </c>
      <c r="Q5033" s="8" t="s">
        <v>24250</v>
      </c>
      <c r="R5033" s="8" t="s">
        <v>24251</v>
      </c>
      <c r="S5033" s="14" t="s">
        <v>24252</v>
      </c>
      <c r="T5033" s="8"/>
      <c r="U5033" s="19" t="str">
        <f>HYPERLINK("https://pbs.twimg.com/profile_images/1150658751961214977/jA9TarUJ.jpg","View")</f>
        <v>View</v>
      </c>
      <c r="V5033" s="8"/>
      <c r="W5033" s="8"/>
      <c r="X5033" s="8"/>
      <c r="Y5033" s="8"/>
      <c r="Z5033" s="8"/>
    </row>
    <row r="5034" spans="1:26" ht="12.75">
      <c r="A5034" s="11">
        <v>43747.098541666666</v>
      </c>
      <c r="B5034" s="12" t="str">
        <f>HYPERLINK("https://twitter.com/fenerfbfenerfb","@fenerfbfenerfb")</f>
        <v>@fenerfbfenerfb</v>
      </c>
      <c r="C5034" s="7" t="s">
        <v>24253</v>
      </c>
      <c r="D5034" s="7" t="s">
        <v>24254</v>
      </c>
      <c r="E5034" s="12" t="str">
        <f>HYPERLINK("https://twitter.com/fenerfbfenerfb/status/1181862339315982337","1181862339315982337")</f>
        <v>1181862339315982337</v>
      </c>
      <c r="F5034" s="8"/>
      <c r="G5034" s="14" t="s">
        <v>24255</v>
      </c>
      <c r="H5034" s="8"/>
      <c r="I5034" s="15">
        <v>0</v>
      </c>
      <c r="J5034" s="15">
        <v>2</v>
      </c>
      <c r="K5034" s="12" t="str">
        <f>HYPERLINK("http://twitter.com/download/android","Twitter for Android")</f>
        <v>Twitter for Android</v>
      </c>
      <c r="L5034" s="16">
        <v>1958</v>
      </c>
      <c r="M5034" s="16">
        <v>1677</v>
      </c>
      <c r="N5034" s="16">
        <v>2</v>
      </c>
      <c r="O5034" s="17"/>
      <c r="P5034" s="18">
        <v>41709.2887037037</v>
      </c>
      <c r="Q5034" s="8" t="s">
        <v>24256</v>
      </c>
      <c r="R5034" s="8" t="s">
        <v>24257</v>
      </c>
      <c r="S5034" s="8"/>
      <c r="T5034" s="8"/>
      <c r="U5034" s="19" t="str">
        <f>HYPERLINK("https://pbs.twimg.com/profile_images/1181872003944456193/79gx7LXR.jpg","View")</f>
        <v>View</v>
      </c>
      <c r="V5034" s="8"/>
      <c r="W5034" s="8"/>
      <c r="X5034" s="8"/>
      <c r="Y5034" s="8"/>
      <c r="Z5034" s="8"/>
    </row>
    <row r="5035" spans="1:26" ht="12.75">
      <c r="A5035" s="11">
        <v>43747.098530092597</v>
      </c>
      <c r="B5035" s="12" t="str">
        <f>HYPERLINK("https://twitter.com/taha_demr","@taha_demr")</f>
        <v>@taha_demr</v>
      </c>
      <c r="C5035" s="7" t="s">
        <v>24258</v>
      </c>
      <c r="D5035" s="7" t="s">
        <v>24259</v>
      </c>
      <c r="E5035" s="12" t="str">
        <f>HYPERLINK("https://twitter.com/taha_demr/status/1181862337940205568","1181862337940205568")</f>
        <v>1181862337940205568</v>
      </c>
      <c r="F5035" s="8"/>
      <c r="G5035" s="14" t="s">
        <v>24260</v>
      </c>
      <c r="H5035" s="8"/>
      <c r="I5035" s="15">
        <v>0</v>
      </c>
      <c r="J5035" s="15">
        <v>0</v>
      </c>
      <c r="K5035" s="12" t="str">
        <f>HYPERLINK("http://twitter.com/download/android","Twitter for Android")</f>
        <v>Twitter for Android</v>
      </c>
      <c r="L5035" s="16">
        <v>37</v>
      </c>
      <c r="M5035" s="16">
        <v>106</v>
      </c>
      <c r="N5035" s="16">
        <v>0</v>
      </c>
      <c r="O5035" s="17"/>
      <c r="P5035" s="18">
        <v>41625.022430555553</v>
      </c>
      <c r="Q5035" s="8"/>
      <c r="R5035" s="7" t="s">
        <v>24261</v>
      </c>
      <c r="S5035" s="8"/>
      <c r="T5035" s="8"/>
      <c r="U5035" s="19" t="str">
        <f>HYPERLINK("https://pbs.twimg.com/profile_images/1149198941805830147/6qN1FYAB.jpg","View")</f>
        <v>View</v>
      </c>
      <c r="V5035" s="8"/>
      <c r="W5035" s="8"/>
      <c r="X5035" s="8"/>
      <c r="Y5035" s="8"/>
      <c r="Z5035" s="8"/>
    </row>
    <row r="5036" spans="1:26" ht="12.75">
      <c r="A5036" s="11">
        <v>43747.098495370374</v>
      </c>
      <c r="B5036" s="12" t="str">
        <f>HYPERLINK("https://twitter.com/aysel70274854","@aysel70274854")</f>
        <v>@aysel70274854</v>
      </c>
      <c r="C5036" s="7" t="s">
        <v>24262</v>
      </c>
      <c r="D5036" s="7" t="s">
        <v>17947</v>
      </c>
      <c r="E5036" s="12" t="str">
        <f>HYPERLINK("https://twitter.com/aysel70274854/status/1181862322027073536","1181862322027073536")</f>
        <v>1181862322027073536</v>
      </c>
      <c r="F5036" s="8"/>
      <c r="G5036" s="15"/>
      <c r="H5036" s="8"/>
      <c r="I5036" s="15">
        <v>0</v>
      </c>
      <c r="J5036" s="15">
        <v>0</v>
      </c>
      <c r="K5036" s="12" t="str">
        <f>HYPERLINK("http://twitter.com/download/iphone","Twitter for iPhone")</f>
        <v>Twitter for iPhone</v>
      </c>
      <c r="L5036" s="16">
        <v>0</v>
      </c>
      <c r="M5036" s="16">
        <v>3</v>
      </c>
      <c r="N5036" s="16">
        <v>0</v>
      </c>
      <c r="O5036" s="17"/>
      <c r="P5036" s="18">
        <v>43703.596863425926</v>
      </c>
      <c r="Q5036" s="7"/>
      <c r="R5036" s="7"/>
      <c r="S5036" s="8"/>
      <c r="T5036" s="8"/>
      <c r="U5036" s="20" t="s">
        <v>354</v>
      </c>
      <c r="V5036" s="8"/>
      <c r="W5036" s="8"/>
      <c r="X5036" s="8"/>
      <c r="Y5036" s="8"/>
      <c r="Z5036" s="8"/>
    </row>
    <row r="5037" spans="1:26" ht="12.75">
      <c r="A5037" s="11">
        <v>43747.09847222222</v>
      </c>
      <c r="B5037" s="12" t="str">
        <f>HYPERLINK("https://twitter.com/AkdoganMaes","@AkdoganMaes")</f>
        <v>@AkdoganMaes</v>
      </c>
      <c r="C5037" s="7" t="s">
        <v>24263</v>
      </c>
      <c r="D5037" s="7" t="s">
        <v>24264</v>
      </c>
      <c r="E5037" s="12" t="str">
        <f>HYPERLINK("https://twitter.com/AkdoganMaes/status/1181862315429376000","1181862315429376000")</f>
        <v>1181862315429376000</v>
      </c>
      <c r="F5037" s="8"/>
      <c r="G5037" s="15"/>
      <c r="H5037" s="8"/>
      <c r="I5037" s="15">
        <v>0</v>
      </c>
      <c r="J5037" s="15">
        <v>0</v>
      </c>
      <c r="K5037" s="12" t="str">
        <f>HYPERLINK("http://twitter.com/download/android","Twitter for Android")</f>
        <v>Twitter for Android</v>
      </c>
      <c r="L5037" s="16">
        <v>12</v>
      </c>
      <c r="M5037" s="16">
        <v>82</v>
      </c>
      <c r="N5037" s="16">
        <v>0</v>
      </c>
      <c r="O5037" s="17"/>
      <c r="P5037" s="18">
        <v>43175.628518518519</v>
      </c>
      <c r="Q5037" s="7"/>
      <c r="R5037" s="7" t="s">
        <v>24265</v>
      </c>
      <c r="S5037" s="15"/>
      <c r="T5037" s="8"/>
      <c r="U5037" s="19" t="str">
        <f>HYPERLINK("https://pbs.twimg.com/profile_images/1164398867372265472/oT53QlhC.jpg","View")</f>
        <v>View</v>
      </c>
      <c r="V5037" s="8"/>
      <c r="W5037" s="8"/>
      <c r="X5037" s="8"/>
      <c r="Y5037" s="8"/>
      <c r="Z5037" s="8"/>
    </row>
    <row r="5038" spans="1:26" ht="12.75">
      <c r="A5038" s="11">
        <v>43747.098414351851</v>
      </c>
      <c r="B5038" s="12" t="str">
        <f>HYPERLINK("https://twitter.com/JohnWic60750794","@JohnWic60750794")</f>
        <v>@JohnWic60750794</v>
      </c>
      <c r="C5038" s="7" t="s">
        <v>22204</v>
      </c>
      <c r="D5038" s="7" t="s">
        <v>24266</v>
      </c>
      <c r="E5038" s="12" t="str">
        <f>HYPERLINK("https://twitter.com/JohnWic60750794/status/1181862293832896513","1181862293832896513")</f>
        <v>1181862293832896513</v>
      </c>
      <c r="F5038" s="8"/>
      <c r="G5038" s="14" t="s">
        <v>24267</v>
      </c>
      <c r="H5038" s="8"/>
      <c r="I5038" s="15">
        <v>0</v>
      </c>
      <c r="J5038" s="15">
        <v>2</v>
      </c>
      <c r="K5038" s="12" t="str">
        <f>HYPERLINK("http://twitter.com/download/android","Twitter for Android")</f>
        <v>Twitter for Android</v>
      </c>
      <c r="L5038" s="16">
        <v>4</v>
      </c>
      <c r="M5038" s="16">
        <v>11</v>
      </c>
      <c r="N5038" s="16">
        <v>0</v>
      </c>
      <c r="O5038" s="17"/>
      <c r="P5038" s="18">
        <v>43408.447615740741</v>
      </c>
      <c r="Q5038" s="7"/>
      <c r="R5038" s="7" t="s">
        <v>24268</v>
      </c>
      <c r="S5038" s="8"/>
      <c r="T5038" s="8"/>
      <c r="U5038" s="19" t="str">
        <f>HYPERLINK("https://pbs.twimg.com/profile_images/1181332595663093762/2T6MGO7q.jpg","View")</f>
        <v>View</v>
      </c>
      <c r="V5038" s="8"/>
      <c r="W5038" s="8"/>
      <c r="X5038" s="8"/>
      <c r="Y5038" s="8"/>
      <c r="Z5038" s="8"/>
    </row>
    <row r="5039" spans="1:26" ht="12.75">
      <c r="A5039" s="11">
        <v>43747.098414351851</v>
      </c>
      <c r="B5039" s="12" t="str">
        <f>HYPERLINK("https://twitter.com/canturkegilmez","@canturkegilmez")</f>
        <v>@canturkegilmez</v>
      </c>
      <c r="C5039" s="7" t="s">
        <v>24269</v>
      </c>
      <c r="D5039" s="7" t="s">
        <v>24270</v>
      </c>
      <c r="E5039" s="12" t="str">
        <f>HYPERLINK("https://twitter.com/canturkegilmez/status/1181862292998234112","1181862292998234112")</f>
        <v>1181862292998234112</v>
      </c>
      <c r="F5039" s="8"/>
      <c r="G5039" s="14" t="s">
        <v>24271</v>
      </c>
      <c r="H5039" s="8"/>
      <c r="I5039" s="15">
        <v>0</v>
      </c>
      <c r="J5039" s="15">
        <v>5</v>
      </c>
      <c r="K5039" s="12" t="str">
        <f>HYPERLINK("http://twitter.com/download/android","Twitter for Android")</f>
        <v>Twitter for Android</v>
      </c>
      <c r="L5039" s="16">
        <v>350</v>
      </c>
      <c r="M5039" s="16">
        <v>256</v>
      </c>
      <c r="N5039" s="16">
        <v>0</v>
      </c>
      <c r="O5039" s="17"/>
      <c r="P5039" s="18">
        <v>42159.382025462968</v>
      </c>
      <c r="Q5039" s="7" t="s">
        <v>287</v>
      </c>
      <c r="R5039" s="7" t="s">
        <v>24272</v>
      </c>
      <c r="S5039" s="14" t="s">
        <v>24273</v>
      </c>
      <c r="T5039" s="8"/>
      <c r="U5039" s="19" t="str">
        <f>HYPERLINK("https://pbs.twimg.com/profile_images/1176776726074015744/s2lvxtfc.jpg","View")</f>
        <v>View</v>
      </c>
      <c r="V5039" s="8"/>
      <c r="W5039" s="8"/>
      <c r="X5039" s="8"/>
      <c r="Y5039" s="8"/>
      <c r="Z5039" s="8"/>
    </row>
    <row r="5040" spans="1:26" ht="12.75">
      <c r="A5040" s="11">
        <v>43747.098391203705</v>
      </c>
      <c r="B5040" s="12" t="str">
        <f>HYPERLINK("https://twitter.com/furknvardar","@furknvardar")</f>
        <v>@furknvardar</v>
      </c>
      <c r="C5040" s="7" t="s">
        <v>24274</v>
      </c>
      <c r="D5040" s="7" t="s">
        <v>3552</v>
      </c>
      <c r="E5040" s="12" t="str">
        <f>HYPERLINK("https://twitter.com/furknvardar/status/1181862287323389953","1181862287323389953")</f>
        <v>1181862287323389953</v>
      </c>
      <c r="F5040" s="8"/>
      <c r="G5040" s="14" t="s">
        <v>24275</v>
      </c>
      <c r="H5040" s="8"/>
      <c r="I5040" s="15">
        <v>0</v>
      </c>
      <c r="J5040" s="15">
        <v>4</v>
      </c>
      <c r="K5040" s="12" t="str">
        <f>HYPERLINK("http://twitter.com/download/iphone","Twitter for iPhone")</f>
        <v>Twitter for iPhone</v>
      </c>
      <c r="L5040" s="16">
        <v>95</v>
      </c>
      <c r="M5040" s="16">
        <v>129</v>
      </c>
      <c r="N5040" s="16">
        <v>4</v>
      </c>
      <c r="O5040" s="17"/>
      <c r="P5040" s="18">
        <v>42147.341319444444</v>
      </c>
      <c r="Q5040" s="8" t="s">
        <v>313</v>
      </c>
      <c r="R5040" s="7" t="s">
        <v>24276</v>
      </c>
      <c r="S5040" s="8"/>
      <c r="T5040" s="8"/>
      <c r="U5040" s="19" t="str">
        <f>HYPERLINK("https://pbs.twimg.com/profile_images/1061652847144681472/noM1czkR.jpg","View")</f>
        <v>View</v>
      </c>
      <c r="V5040" s="8"/>
      <c r="W5040" s="8"/>
      <c r="X5040" s="8"/>
      <c r="Y5040" s="8"/>
      <c r="Z5040" s="8"/>
    </row>
    <row r="5041" spans="1:26" ht="12.75">
      <c r="A5041" s="11">
        <v>43747.098379629635</v>
      </c>
      <c r="B5041" s="12" t="str">
        <f>HYPERLINK("https://twitter.com/RedCehreliLaz","@RedCehreliLaz")</f>
        <v>@RedCehreliLaz</v>
      </c>
      <c r="C5041" s="7" t="s">
        <v>24277</v>
      </c>
      <c r="D5041" s="7" t="s">
        <v>24278</v>
      </c>
      <c r="E5041" s="12" t="str">
        <f>HYPERLINK("https://twitter.com/RedCehreliLaz/status/1181862282021740544","1181862282021740544")</f>
        <v>1181862282021740544</v>
      </c>
      <c r="F5041" s="8"/>
      <c r="G5041" s="14" t="s">
        <v>24279</v>
      </c>
      <c r="H5041" s="8"/>
      <c r="I5041" s="15">
        <v>1</v>
      </c>
      <c r="J5041" s="15">
        <v>4</v>
      </c>
      <c r="K5041" s="12" t="str">
        <f>HYPERLINK("http://twitter.com/download/iphone","Twitter for iPhone")</f>
        <v>Twitter for iPhone</v>
      </c>
      <c r="L5041" s="16">
        <v>4251</v>
      </c>
      <c r="M5041" s="16">
        <v>3211</v>
      </c>
      <c r="N5041" s="16">
        <v>9</v>
      </c>
      <c r="O5041" s="17"/>
      <c r="P5041" s="18">
        <v>40411.639664351853</v>
      </c>
      <c r="Q5041" s="8" t="s">
        <v>24280</v>
      </c>
      <c r="R5041" s="7" t="s">
        <v>24281</v>
      </c>
      <c r="S5041" s="8"/>
      <c r="T5041" s="8"/>
      <c r="U5041" s="19" t="str">
        <f>HYPERLINK("https://pbs.twimg.com/profile_images/1042124759620829184/CUg4AZ7s.jpg","View")</f>
        <v>View</v>
      </c>
      <c r="V5041" s="8"/>
      <c r="W5041" s="8"/>
      <c r="X5041" s="8"/>
      <c r="Y5041" s="8"/>
      <c r="Z5041" s="8"/>
    </row>
    <row r="5042" spans="1:26" ht="12.75">
      <c r="A5042" s="11">
        <v>43747.098356481481</v>
      </c>
      <c r="B5042" s="12" t="str">
        <f>HYPERLINK("https://twitter.com/Kenan_Oral","@Kenan_Oral")</f>
        <v>@Kenan_Oral</v>
      </c>
      <c r="C5042" s="7" t="s">
        <v>24282</v>
      </c>
      <c r="D5042" s="7" t="s">
        <v>24283</v>
      </c>
      <c r="E5042" s="12" t="str">
        <f>HYPERLINK("https://twitter.com/Kenan_Oral/status/1181862274996342785","1181862274996342785")</f>
        <v>1181862274996342785</v>
      </c>
      <c r="F5042" s="8"/>
      <c r="G5042" s="15"/>
      <c r="H5042" s="8"/>
      <c r="I5042" s="15">
        <v>0</v>
      </c>
      <c r="J5042" s="15">
        <v>1</v>
      </c>
      <c r="K5042" s="12" t="str">
        <f>HYPERLINK("http://twitter.com/download/android","Twitter for Android")</f>
        <v>Twitter for Android</v>
      </c>
      <c r="L5042" s="16">
        <v>58</v>
      </c>
      <c r="M5042" s="16">
        <v>14</v>
      </c>
      <c r="N5042" s="16">
        <v>0</v>
      </c>
      <c r="O5042" s="17"/>
      <c r="P5042" s="18">
        <v>41025.042962962965</v>
      </c>
      <c r="Q5042" s="7" t="s">
        <v>200</v>
      </c>
      <c r="R5042" s="7" t="s">
        <v>24284</v>
      </c>
      <c r="S5042" s="14" t="s">
        <v>24285</v>
      </c>
      <c r="T5042" s="8"/>
      <c r="U5042" s="19" t="str">
        <f>HYPERLINK("https://pbs.twimg.com/profile_images/1145597955606552577/ZnoQCTgs.jpg","View")</f>
        <v>View</v>
      </c>
      <c r="V5042" s="8"/>
      <c r="W5042" s="8"/>
      <c r="X5042" s="8"/>
      <c r="Y5042" s="8"/>
      <c r="Z5042" s="8"/>
    </row>
    <row r="5043" spans="1:26" ht="12.75">
      <c r="A5043" s="11">
        <v>43747.098182870366</v>
      </c>
      <c r="B5043" s="12" t="str">
        <f>HYPERLINK("https://twitter.com/GaziSamira","@GaziSamira")</f>
        <v>@GaziSamira</v>
      </c>
      <c r="C5043" s="7" t="s">
        <v>24286</v>
      </c>
      <c r="D5043" s="7" t="s">
        <v>24287</v>
      </c>
      <c r="E5043" s="12" t="str">
        <f>HYPERLINK("https://twitter.com/GaziSamira/status/1181862211419099136","1181862211419099136")</f>
        <v>1181862211419099136</v>
      </c>
      <c r="F5043" s="8"/>
      <c r="G5043" s="8"/>
      <c r="H5043" s="8"/>
      <c r="I5043" s="15">
        <v>0</v>
      </c>
      <c r="J5043" s="15">
        <v>0</v>
      </c>
      <c r="K5043" s="12" t="str">
        <f>HYPERLINK("https://mobile.twitter.com","Twitter Web App")</f>
        <v>Twitter Web App</v>
      </c>
      <c r="L5043" s="16">
        <v>83</v>
      </c>
      <c r="M5043" s="16">
        <v>124</v>
      </c>
      <c r="N5043" s="16">
        <v>0</v>
      </c>
      <c r="O5043" s="17"/>
      <c r="P5043" s="18">
        <v>43738.941574074073</v>
      </c>
      <c r="Q5043" s="8" t="s">
        <v>918</v>
      </c>
      <c r="R5043" s="7" t="s">
        <v>24288</v>
      </c>
      <c r="S5043" s="14" t="s">
        <v>24289</v>
      </c>
      <c r="T5043" s="8"/>
      <c r="U5043" s="19" t="str">
        <f>HYPERLINK("https://pbs.twimg.com/profile_images/1178906413504122881/TlKkmcTp.png","View")</f>
        <v>View</v>
      </c>
      <c r="V5043" s="8"/>
      <c r="W5043" s="8"/>
      <c r="X5043" s="8"/>
      <c r="Y5043" s="8"/>
      <c r="Z5043" s="8"/>
    </row>
    <row r="5044" spans="1:26" ht="12.75">
      <c r="A5044" s="11">
        <v>43747.098171296297</v>
      </c>
      <c r="B5044" s="12" t="str">
        <f>HYPERLINK("https://twitter.com/alpar_k","@alpar_k")</f>
        <v>@alpar_k</v>
      </c>
      <c r="C5044" s="7" t="s">
        <v>24290</v>
      </c>
      <c r="D5044" s="7" t="s">
        <v>24291</v>
      </c>
      <c r="E5044" s="12" t="str">
        <f>HYPERLINK("https://twitter.com/alpar_k/status/1181862206209744896","1181862206209744896")</f>
        <v>1181862206209744896</v>
      </c>
      <c r="F5044" s="8"/>
      <c r="G5044" s="14" t="s">
        <v>24292</v>
      </c>
      <c r="H5044" s="8"/>
      <c r="I5044" s="15">
        <v>0</v>
      </c>
      <c r="J5044" s="15">
        <v>2</v>
      </c>
      <c r="K5044" s="12" t="str">
        <f>HYPERLINK("http://twitter.com/download/android","Twitter for Android")</f>
        <v>Twitter for Android</v>
      </c>
      <c r="L5044" s="16">
        <v>194</v>
      </c>
      <c r="M5044" s="16">
        <v>3286</v>
      </c>
      <c r="N5044" s="16">
        <v>0</v>
      </c>
      <c r="O5044" s="17"/>
      <c r="P5044" s="18">
        <v>41436.164340277777</v>
      </c>
      <c r="Q5044" s="8"/>
      <c r="R5044" s="7"/>
      <c r="S5044" s="8"/>
      <c r="T5044" s="8"/>
      <c r="U5044" s="19" t="str">
        <f>HYPERLINK("https://pbs.twimg.com/profile_images/344513261566049575/487a816e7b333c793e600ca42ef34c95.png","View")</f>
        <v>View</v>
      </c>
      <c r="V5044" s="8"/>
      <c r="W5044" s="8"/>
      <c r="X5044" s="8"/>
      <c r="Y5044" s="8"/>
      <c r="Z5044" s="8"/>
    </row>
    <row r="5045" spans="1:26" ht="12.75">
      <c r="A5045" s="11">
        <v>43747.098136574074</v>
      </c>
      <c r="B5045" s="12" t="str">
        <f>HYPERLINK("https://twitter.com/unalakca","@unalakca")</f>
        <v>@unalakca</v>
      </c>
      <c r="C5045" s="7" t="s">
        <v>24293</v>
      </c>
      <c r="D5045" s="7" t="s">
        <v>24294</v>
      </c>
      <c r="E5045" s="12" t="str">
        <f>HYPERLINK("https://twitter.com/unalakca/status/1181862192905441280","1181862192905441280")</f>
        <v>1181862192905441280</v>
      </c>
      <c r="F5045" s="8"/>
      <c r="G5045" s="14" t="s">
        <v>24295</v>
      </c>
      <c r="H5045" s="8"/>
      <c r="I5045" s="15">
        <v>0</v>
      </c>
      <c r="J5045" s="15">
        <v>2</v>
      </c>
      <c r="K5045" s="12" t="str">
        <f>HYPERLINK("http://twitter.com/download/android","Twitter for Android")</f>
        <v>Twitter for Android</v>
      </c>
      <c r="L5045" s="16">
        <v>1168</v>
      </c>
      <c r="M5045" s="16">
        <v>2603</v>
      </c>
      <c r="N5045" s="16">
        <v>0</v>
      </c>
      <c r="O5045" s="17"/>
      <c r="P5045" s="18">
        <v>40807.393703703703</v>
      </c>
      <c r="Q5045" s="8" t="s">
        <v>24296</v>
      </c>
      <c r="R5045" s="8" t="s">
        <v>24297</v>
      </c>
      <c r="S5045" s="8"/>
      <c r="T5045" s="8"/>
      <c r="U5045" s="19" t="str">
        <f>HYPERLINK("https://pbs.twimg.com/profile_images/1180590269495799814/oSulghw9.jpg","View")</f>
        <v>View</v>
      </c>
      <c r="V5045" s="8"/>
      <c r="W5045" s="8"/>
      <c r="X5045" s="8"/>
      <c r="Y5045" s="8"/>
      <c r="Z5045" s="8"/>
    </row>
    <row r="5046" spans="1:26" ht="12.75">
      <c r="A5046" s="11">
        <v>43747.098101851851</v>
      </c>
      <c r="B5046" s="12" t="str">
        <f>HYPERLINK("https://twitter.com/cemilkir_","@cemilkir_")</f>
        <v>@cemilkir_</v>
      </c>
      <c r="C5046" s="13" t="s">
        <v>24298</v>
      </c>
      <c r="D5046" s="7" t="s">
        <v>24299</v>
      </c>
      <c r="E5046" s="12" t="str">
        <f>HYPERLINK("https://twitter.com/cemilkir_/status/1181862179785629696","1181862179785629696")</f>
        <v>1181862179785629696</v>
      </c>
      <c r="F5046" s="15"/>
      <c r="G5046" s="14" t="s">
        <v>24300</v>
      </c>
      <c r="H5046" s="8"/>
      <c r="I5046" s="15">
        <v>2</v>
      </c>
      <c r="J5046" s="15">
        <v>8</v>
      </c>
      <c r="K5046" s="12" t="str">
        <f>HYPERLINK("http://twitter.com/download/iphone","Twitter for iPhone")</f>
        <v>Twitter for iPhone</v>
      </c>
      <c r="L5046" s="16">
        <v>486</v>
      </c>
      <c r="M5046" s="16">
        <v>1423</v>
      </c>
      <c r="N5046" s="16">
        <v>1</v>
      </c>
      <c r="O5046" s="17"/>
      <c r="P5046" s="18">
        <v>40154.228101851855</v>
      </c>
      <c r="Q5046" s="8" t="s">
        <v>313</v>
      </c>
      <c r="R5046" s="8" t="s">
        <v>24301</v>
      </c>
      <c r="S5046" s="14" t="s">
        <v>24302</v>
      </c>
      <c r="T5046" s="8"/>
      <c r="U5046" s="19" t="str">
        <f>HYPERLINK("https://pbs.twimg.com/profile_images/1180140978696531969/xB37GEVP.jpg","View")</f>
        <v>View</v>
      </c>
      <c r="V5046" s="8"/>
      <c r="W5046" s="8"/>
      <c r="X5046" s="8"/>
      <c r="Y5046" s="8"/>
      <c r="Z5046" s="8"/>
    </row>
    <row r="5047" spans="1:26" ht="12.75">
      <c r="A5047" s="11">
        <v>43747.098090277781</v>
      </c>
      <c r="B5047" s="12" t="str">
        <f>HYPERLINK("https://twitter.com/AlperenHkmglu","@AlperenHkmglu")</f>
        <v>@AlperenHkmglu</v>
      </c>
      <c r="C5047" s="7" t="s">
        <v>24303</v>
      </c>
      <c r="D5047" s="7" t="s">
        <v>160</v>
      </c>
      <c r="E5047" s="12" t="str">
        <f>HYPERLINK("https://twitter.com/AlperenHkmglu/status/1181862174920183808","1181862174920183808")</f>
        <v>1181862174920183808</v>
      </c>
      <c r="F5047" s="8"/>
      <c r="G5047" s="15"/>
      <c r="H5047" s="8"/>
      <c r="I5047" s="15">
        <v>0</v>
      </c>
      <c r="J5047" s="15">
        <v>1</v>
      </c>
      <c r="K5047" s="12" t="str">
        <f>HYPERLINK("http://twitter.com/download/android","Twitter for Android")</f>
        <v>Twitter for Android</v>
      </c>
      <c r="L5047" s="16">
        <v>7</v>
      </c>
      <c r="M5047" s="16">
        <v>220</v>
      </c>
      <c r="N5047" s="16">
        <v>0</v>
      </c>
      <c r="O5047" s="17"/>
      <c r="P5047" s="18">
        <v>41311.102650462963</v>
      </c>
      <c r="Q5047" s="7" t="s">
        <v>13492</v>
      </c>
      <c r="R5047" s="15"/>
      <c r="S5047" s="15"/>
      <c r="T5047" s="8"/>
      <c r="U5047" s="19" t="str">
        <f>HYPERLINK("https://pbs.twimg.com/profile_images/1012044810889375746/n6wuhTay.jpg","View")</f>
        <v>View</v>
      </c>
      <c r="V5047" s="8"/>
      <c r="W5047" s="8"/>
      <c r="X5047" s="8"/>
      <c r="Y5047" s="8"/>
      <c r="Z5047" s="8"/>
    </row>
    <row r="5048" spans="1:26" ht="12.75">
      <c r="A5048" s="11">
        <v>43747.098032407404</v>
      </c>
      <c r="B5048" s="12" t="str">
        <f>HYPERLINK("https://twitter.com/beyhuzur","@beyhuzur")</f>
        <v>@beyhuzur</v>
      </c>
      <c r="C5048" s="7" t="s">
        <v>24304</v>
      </c>
      <c r="D5048" s="7" t="s">
        <v>20922</v>
      </c>
      <c r="E5048" s="12" t="str">
        <f>HYPERLINK("https://twitter.com/beyhuzur/status/1181862157509636096","1181862157509636096")</f>
        <v>1181862157509636096</v>
      </c>
      <c r="F5048" s="8"/>
      <c r="G5048" s="14" t="s">
        <v>24305</v>
      </c>
      <c r="H5048" s="8"/>
      <c r="I5048" s="15">
        <v>0</v>
      </c>
      <c r="J5048" s="15">
        <v>2</v>
      </c>
      <c r="K5048" s="12" t="str">
        <f>HYPERLINK("http://twitter.com/download/iphone","Twitter for iPhone")</f>
        <v>Twitter for iPhone</v>
      </c>
      <c r="L5048" s="16">
        <v>56</v>
      </c>
      <c r="M5048" s="16">
        <v>88</v>
      </c>
      <c r="N5048" s="16">
        <v>0</v>
      </c>
      <c r="O5048" s="17"/>
      <c r="P5048" s="18">
        <v>42999.882523148146</v>
      </c>
      <c r="Q5048" s="7"/>
      <c r="R5048" s="7"/>
      <c r="S5048" s="8"/>
      <c r="T5048" s="8"/>
      <c r="U5048" s="19" t="str">
        <f>HYPERLINK("https://pbs.twimg.com/profile_images/1072451960165556229/iBJ8TZwf.jpg","View")</f>
        <v>View</v>
      </c>
      <c r="V5048" s="8"/>
      <c r="W5048" s="8"/>
      <c r="X5048" s="8"/>
      <c r="Y5048" s="8"/>
      <c r="Z5048" s="8"/>
    </row>
    <row r="5049" spans="1:26" ht="12.75">
      <c r="A5049" s="11">
        <v>43747.098020833335</v>
      </c>
      <c r="B5049" s="12" t="str">
        <f>HYPERLINK("https://twitter.com/waxn26","@waxn26")</f>
        <v>@waxn26</v>
      </c>
      <c r="C5049" s="7" t="s">
        <v>24306</v>
      </c>
      <c r="D5049" s="7" t="s">
        <v>24307</v>
      </c>
      <c r="E5049" s="12" t="str">
        <f>HYPERLINK("https://twitter.com/waxn26/status/1181862150521970688","1181862150521970688")</f>
        <v>1181862150521970688</v>
      </c>
      <c r="F5049" s="8"/>
      <c r="G5049" s="14" t="s">
        <v>24308</v>
      </c>
      <c r="H5049" s="8"/>
      <c r="I5049" s="15">
        <v>0</v>
      </c>
      <c r="J5049" s="15">
        <v>3</v>
      </c>
      <c r="K5049" s="12" t="str">
        <f>HYPERLINK("http://twitter.com/download/iphone","Twitter for iPhone")</f>
        <v>Twitter for iPhone</v>
      </c>
      <c r="L5049" s="16">
        <v>403</v>
      </c>
      <c r="M5049" s="16">
        <v>226</v>
      </c>
      <c r="N5049" s="16">
        <v>5</v>
      </c>
      <c r="O5049" s="17"/>
      <c r="P5049" s="18">
        <v>40444.180902777778</v>
      </c>
      <c r="Q5049" s="7" t="s">
        <v>8513</v>
      </c>
      <c r="R5049" s="7" t="s">
        <v>24309</v>
      </c>
      <c r="S5049" s="15"/>
      <c r="T5049" s="8"/>
      <c r="U5049" s="19" t="str">
        <f>HYPERLINK("https://pbs.twimg.com/profile_images/1078725285971922944/2Lv9Q9XV.jpg","View")</f>
        <v>View</v>
      </c>
      <c r="V5049" s="8"/>
      <c r="W5049" s="8"/>
      <c r="X5049" s="8"/>
      <c r="Y5049" s="8"/>
      <c r="Z5049" s="8"/>
    </row>
    <row r="5050" spans="1:26" ht="12.75">
      <c r="A5050" s="11">
        <v>43747.098009259258</v>
      </c>
      <c r="B5050" s="12" t="str">
        <f>HYPERLINK("https://twitter.com/scirakoglu18","@scirakoglu18")</f>
        <v>@scirakoglu18</v>
      </c>
      <c r="C5050" s="7" t="s">
        <v>24310</v>
      </c>
      <c r="D5050" s="7" t="s">
        <v>8431</v>
      </c>
      <c r="E5050" s="12" t="str">
        <f>HYPERLINK("https://twitter.com/scirakoglu18/status/1181862148600979457","1181862148600979457")</f>
        <v>1181862148600979457</v>
      </c>
      <c r="F5050" s="8"/>
      <c r="G5050" s="8"/>
      <c r="H5050" s="8"/>
      <c r="I5050" s="15">
        <v>0</v>
      </c>
      <c r="J5050" s="15">
        <v>0</v>
      </c>
      <c r="K5050" s="12" t="str">
        <f>HYPERLINK("http://twitter.com/download/iphone","Twitter for iPhone")</f>
        <v>Twitter for iPhone</v>
      </c>
      <c r="L5050" s="16">
        <v>58</v>
      </c>
      <c r="M5050" s="16">
        <v>93</v>
      </c>
      <c r="N5050" s="16">
        <v>0</v>
      </c>
      <c r="O5050" s="17"/>
      <c r="P5050" s="18">
        <v>43676.16574074074</v>
      </c>
      <c r="Q5050" s="7"/>
      <c r="R5050" s="7" t="s">
        <v>24311</v>
      </c>
      <c r="S5050" s="8"/>
      <c r="T5050" s="8"/>
      <c r="U5050" s="19" t="str">
        <f>HYPERLINK("https://pbs.twimg.com/profile_images/1156157396429017091/wc3GI_0Y.jpg","View")</f>
        <v>View</v>
      </c>
      <c r="V5050" s="8"/>
      <c r="W5050" s="8"/>
      <c r="X5050" s="8"/>
      <c r="Y5050" s="8"/>
      <c r="Z5050" s="8"/>
    </row>
    <row r="5051" spans="1:26" ht="12.75">
      <c r="A5051" s="11">
        <v>43747.097974537042</v>
      </c>
      <c r="B5051" s="12" t="str">
        <f>HYPERLINK("https://twitter.com/HusrevMuhammet","@HusrevMuhammet")</f>
        <v>@HusrevMuhammet</v>
      </c>
      <c r="C5051" s="7" t="s">
        <v>24312</v>
      </c>
      <c r="D5051" s="7" t="s">
        <v>160</v>
      </c>
      <c r="E5051" s="12" t="str">
        <f>HYPERLINK("https://twitter.com/HusrevMuhammet/status/1181862136160702467","1181862136160702467")</f>
        <v>1181862136160702467</v>
      </c>
      <c r="F5051" s="8"/>
      <c r="G5051" s="14" t="s">
        <v>24313</v>
      </c>
      <c r="H5051" s="8"/>
      <c r="I5051" s="15">
        <v>0</v>
      </c>
      <c r="J5051" s="15">
        <v>2</v>
      </c>
      <c r="K5051" s="12" t="str">
        <f>HYPERLINK("http://twitter.com/download/iphone","Twitter for iPhone")</f>
        <v>Twitter for iPhone</v>
      </c>
      <c r="L5051" s="16">
        <v>1529</v>
      </c>
      <c r="M5051" s="16">
        <v>1360</v>
      </c>
      <c r="N5051" s="16">
        <v>3</v>
      </c>
      <c r="O5051" s="17"/>
      <c r="P5051" s="18">
        <v>42572.396643518514</v>
      </c>
      <c r="Q5051" s="8" t="s">
        <v>24314</v>
      </c>
      <c r="R5051" s="7" t="s">
        <v>24315</v>
      </c>
      <c r="S5051" s="8"/>
      <c r="T5051" s="8"/>
      <c r="U5051" s="19" t="str">
        <f>HYPERLINK("https://pbs.twimg.com/profile_images/1181856347006078976/k-REoHSt.jpg","View")</f>
        <v>View</v>
      </c>
      <c r="V5051" s="8"/>
      <c r="W5051" s="8"/>
      <c r="X5051" s="8"/>
      <c r="Y5051" s="8"/>
      <c r="Z5051" s="8"/>
    </row>
    <row r="5052" spans="1:26" ht="12.75">
      <c r="A5052" s="11">
        <v>43747.097974537042</v>
      </c>
      <c r="B5052" s="12" t="str">
        <f>HYPERLINK("https://twitter.com/Ouzhan88353161","@Ouzhan88353161")</f>
        <v>@Ouzhan88353161</v>
      </c>
      <c r="C5052" s="7" t="s">
        <v>14254</v>
      </c>
      <c r="D5052" s="7" t="s">
        <v>160</v>
      </c>
      <c r="E5052" s="12" t="str">
        <f>HYPERLINK("https://twitter.com/Ouzhan88353161/status/1181862134629720064","1181862134629720064")</f>
        <v>1181862134629720064</v>
      </c>
      <c r="F5052" s="8"/>
      <c r="G5052" s="15"/>
      <c r="H5052" s="8"/>
      <c r="I5052" s="15">
        <v>0</v>
      </c>
      <c r="J5052" s="15">
        <v>0</v>
      </c>
      <c r="K5052" s="12" t="str">
        <f>HYPERLINK("http://twitter.com/download/iphone","Twitter for iPhone")</f>
        <v>Twitter for iPhone</v>
      </c>
      <c r="L5052" s="16">
        <v>0</v>
      </c>
      <c r="M5052" s="16">
        <v>3</v>
      </c>
      <c r="N5052" s="16">
        <v>0</v>
      </c>
      <c r="O5052" s="17"/>
      <c r="P5052" s="18">
        <v>43697.463078703702</v>
      </c>
      <c r="Q5052" s="7"/>
      <c r="R5052" s="7"/>
      <c r="S5052" s="15"/>
      <c r="T5052" s="8"/>
      <c r="U5052" s="20" t="s">
        <v>354</v>
      </c>
      <c r="V5052" s="8"/>
      <c r="W5052" s="8"/>
      <c r="X5052" s="8"/>
      <c r="Y5052" s="8"/>
      <c r="Z5052" s="8"/>
    </row>
    <row r="5053" spans="1:26" ht="12.75">
      <c r="A5053" s="11">
        <v>43747.097962962958</v>
      </c>
      <c r="B5053" s="12" t="str">
        <f>HYPERLINK("https://twitter.com/FatihSncl","@FatihSncl")</f>
        <v>@FatihSncl</v>
      </c>
      <c r="C5053" s="7" t="s">
        <v>24316</v>
      </c>
      <c r="D5053" s="7" t="s">
        <v>24317</v>
      </c>
      <c r="E5053" s="12" t="str">
        <f>HYPERLINK("https://twitter.com/FatihSncl/status/1181862130238332928","1181862130238332928")</f>
        <v>1181862130238332928</v>
      </c>
      <c r="F5053" s="15"/>
      <c r="G5053" s="14" t="s">
        <v>24318</v>
      </c>
      <c r="H5053" s="8"/>
      <c r="I5053" s="15">
        <v>1</v>
      </c>
      <c r="J5053" s="15">
        <v>2</v>
      </c>
      <c r="K5053" s="12" t="str">
        <f>HYPERLINK("http://twitter.com/download/android","Twitter for Android")</f>
        <v>Twitter for Android</v>
      </c>
      <c r="L5053" s="16">
        <v>422</v>
      </c>
      <c r="M5053" s="16">
        <v>973</v>
      </c>
      <c r="N5053" s="16">
        <v>0</v>
      </c>
      <c r="O5053" s="17"/>
      <c r="P5053" s="18">
        <v>43592.660752314812</v>
      </c>
      <c r="Q5053" s="8"/>
      <c r="R5053" s="7" t="s">
        <v>24319</v>
      </c>
      <c r="S5053" s="8"/>
      <c r="T5053" s="8"/>
      <c r="U5053" s="19" t="str">
        <f>HYPERLINK("https://pbs.twimg.com/profile_images/1174414204499103744/YXXNbuMJ.jpg","View")</f>
        <v>View</v>
      </c>
      <c r="V5053" s="8"/>
      <c r="W5053" s="8"/>
      <c r="X5053" s="8"/>
      <c r="Y5053" s="8"/>
      <c r="Z5053" s="8"/>
    </row>
    <row r="5054" spans="1:26" ht="12.75">
      <c r="A5054" s="11">
        <v>43747.097928240742</v>
      </c>
      <c r="B5054" s="12" t="str">
        <f>HYPERLINK("https://twitter.com/Mustafa30849215","@Mustafa30849215")</f>
        <v>@Mustafa30849215</v>
      </c>
      <c r="C5054" s="7" t="s">
        <v>24320</v>
      </c>
      <c r="D5054" s="7" t="s">
        <v>24321</v>
      </c>
      <c r="E5054" s="12" t="str">
        <f>HYPERLINK("https://twitter.com/Mustafa30849215/status/1181862118276116485","1181862118276116485")</f>
        <v>1181862118276116485</v>
      </c>
      <c r="F5054" s="8"/>
      <c r="G5054" s="8"/>
      <c r="H5054" s="8"/>
      <c r="I5054" s="15">
        <v>0</v>
      </c>
      <c r="J5054" s="15">
        <v>0</v>
      </c>
      <c r="K5054" s="12" t="str">
        <f>HYPERLINK("http://twitter.com/download/android","Twitter for Android")</f>
        <v>Twitter for Android</v>
      </c>
      <c r="L5054" s="16">
        <v>745</v>
      </c>
      <c r="M5054" s="16">
        <v>1588</v>
      </c>
      <c r="N5054" s="16">
        <v>1</v>
      </c>
      <c r="O5054" s="17"/>
      <c r="P5054" s="18">
        <v>43229.320601851854</v>
      </c>
      <c r="Q5054" s="8" t="s">
        <v>2225</v>
      </c>
      <c r="R5054" s="7" t="s">
        <v>24322</v>
      </c>
      <c r="S5054" s="8"/>
      <c r="T5054" s="8"/>
      <c r="U5054" s="19" t="str">
        <f>HYPERLINK("https://pbs.twimg.com/profile_images/994231791547535360/rVn9lNo_.jpg","View")</f>
        <v>View</v>
      </c>
      <c r="V5054" s="8"/>
      <c r="W5054" s="8"/>
      <c r="X5054" s="8"/>
      <c r="Y5054" s="8"/>
      <c r="Z5054" s="8"/>
    </row>
    <row r="5055" spans="1:26" ht="12.75">
      <c r="A5055" s="11">
        <v>43747.097916666666</v>
      </c>
      <c r="B5055" s="12" t="str">
        <f>HYPERLINK("https://twitter.com/BACIKATILI_","@BACIKATILI_")</f>
        <v>@BACIKATILI_</v>
      </c>
      <c r="C5055" s="7" t="s">
        <v>7535</v>
      </c>
      <c r="D5055" s="7" t="s">
        <v>24323</v>
      </c>
      <c r="E5055" s="12" t="str">
        <f>HYPERLINK("https://twitter.com/BACIKATILI_/status/1181862113977012225","1181862113977012225")</f>
        <v>1181862113977012225</v>
      </c>
      <c r="F5055" s="8"/>
      <c r="G5055" s="14" t="s">
        <v>24324</v>
      </c>
      <c r="H5055" s="8"/>
      <c r="I5055" s="15">
        <v>0</v>
      </c>
      <c r="J5055" s="15">
        <v>0</v>
      </c>
      <c r="K5055" s="12" t="str">
        <f>HYPERLINK("http://twitter.com/download/android","Twitter for Android")</f>
        <v>Twitter for Android</v>
      </c>
      <c r="L5055" s="16">
        <v>2</v>
      </c>
      <c r="M5055" s="16">
        <v>69</v>
      </c>
      <c r="N5055" s="16">
        <v>0</v>
      </c>
      <c r="O5055" s="17"/>
      <c r="P5055" s="18">
        <v>43605.715289351851</v>
      </c>
      <c r="Q5055" s="7"/>
      <c r="R5055" s="7"/>
      <c r="S5055" s="15"/>
      <c r="T5055" s="8"/>
      <c r="U5055" s="19" t="str">
        <f>HYPERLINK("https://pbs.twimg.com/profile_images/1140389613489598464/oORV1FSB.jpg","View")</f>
        <v>View</v>
      </c>
      <c r="V5055" s="8"/>
      <c r="W5055" s="8"/>
      <c r="X5055" s="8"/>
      <c r="Y5055" s="8"/>
      <c r="Z5055" s="8"/>
    </row>
    <row r="5056" spans="1:26" ht="12.75">
      <c r="A5056" s="11">
        <v>43747.097916666666</v>
      </c>
      <c r="B5056" s="12" t="str">
        <f>HYPERLINK("https://twitter.com/brscr","@brscr")</f>
        <v>@brscr</v>
      </c>
      <c r="C5056" s="7" t="s">
        <v>24325</v>
      </c>
      <c r="D5056" s="7" t="s">
        <v>24326</v>
      </c>
      <c r="E5056" s="12" t="str">
        <f>HYPERLINK("https://twitter.com/brscr/status/1181862112412553218","1181862112412553218")</f>
        <v>1181862112412553218</v>
      </c>
      <c r="F5056" s="8"/>
      <c r="G5056" s="15"/>
      <c r="H5056" s="8"/>
      <c r="I5056" s="15">
        <v>0</v>
      </c>
      <c r="J5056" s="15">
        <v>0</v>
      </c>
      <c r="K5056" s="12" t="str">
        <f>HYPERLINK("http://twitter.com/download/iphone","Twitter for iPhone")</f>
        <v>Twitter for iPhone</v>
      </c>
      <c r="L5056" s="16">
        <v>114</v>
      </c>
      <c r="M5056" s="16">
        <v>132</v>
      </c>
      <c r="N5056" s="16">
        <v>1</v>
      </c>
      <c r="O5056" s="17"/>
      <c r="P5056" s="18">
        <v>40436.570659722223</v>
      </c>
      <c r="Q5056" s="8" t="s">
        <v>16176</v>
      </c>
      <c r="R5056" s="7" t="s">
        <v>24327</v>
      </c>
      <c r="S5056" s="8"/>
      <c r="T5056" s="8"/>
      <c r="U5056" s="19" t="str">
        <f>HYPERLINK("https://pbs.twimg.com/profile_images/1016203119104020480/4j_0jMJg.jpg","View")</f>
        <v>View</v>
      </c>
      <c r="V5056" s="8"/>
      <c r="W5056" s="8"/>
      <c r="X5056" s="8"/>
      <c r="Y5056" s="8"/>
      <c r="Z5056" s="8"/>
    </row>
    <row r="5057" spans="1:26" ht="12.75">
      <c r="A5057" s="11">
        <v>43747.097870370373</v>
      </c>
      <c r="B5057" s="12" t="str">
        <f>HYPERLINK("https://twitter.com/cengiz40996600","@cengiz40996600")</f>
        <v>@cengiz40996600</v>
      </c>
      <c r="C5057" s="7" t="s">
        <v>24328</v>
      </c>
      <c r="D5057" s="7" t="s">
        <v>24329</v>
      </c>
      <c r="E5057" s="12" t="str">
        <f>HYPERLINK("https://twitter.com/cengiz40996600/status/1181862098873307137","1181862098873307137")</f>
        <v>1181862098873307137</v>
      </c>
      <c r="F5057" s="15"/>
      <c r="G5057" s="14" t="s">
        <v>24330</v>
      </c>
      <c r="H5057" s="8"/>
      <c r="I5057" s="15">
        <v>0</v>
      </c>
      <c r="J5057" s="15">
        <v>0</v>
      </c>
      <c r="K5057" s="12" t="str">
        <f>HYPERLINK("https://mobile.twitter.com","Twitter Web App")</f>
        <v>Twitter Web App</v>
      </c>
      <c r="L5057" s="16">
        <v>1</v>
      </c>
      <c r="M5057" s="16">
        <v>6</v>
      </c>
      <c r="N5057" s="16">
        <v>0</v>
      </c>
      <c r="O5057" s="17"/>
      <c r="P5057" s="18">
        <v>43435.337118055555</v>
      </c>
      <c r="Q5057" s="8"/>
      <c r="R5057" s="7"/>
      <c r="S5057" s="8"/>
      <c r="T5057" s="8"/>
      <c r="U5057" s="20" t="s">
        <v>354</v>
      </c>
      <c r="V5057" s="8"/>
      <c r="W5057" s="8"/>
      <c r="X5057" s="8"/>
      <c r="Y5057" s="8"/>
      <c r="Z5057" s="8"/>
    </row>
    <row r="5058" spans="1:26" ht="12.75">
      <c r="A5058" s="11">
        <v>43747.097858796296</v>
      </c>
      <c r="B5058" s="12" t="str">
        <f>HYPERLINK("https://twitter.com/ss_54_ss","@ss_54_ss")</f>
        <v>@ss_54_ss</v>
      </c>
      <c r="C5058" s="7" t="s">
        <v>8434</v>
      </c>
      <c r="D5058" s="7" t="s">
        <v>24331</v>
      </c>
      <c r="E5058" s="12" t="str">
        <f>HYPERLINK("https://twitter.com/ss_54_ss/status/1181862090652442624","1181862090652442624")</f>
        <v>1181862090652442624</v>
      </c>
      <c r="F5058" s="8"/>
      <c r="G5058" s="15"/>
      <c r="H5058" s="8"/>
      <c r="I5058" s="15">
        <v>0</v>
      </c>
      <c r="J5058" s="15">
        <v>0</v>
      </c>
      <c r="K5058" s="12" t="str">
        <f>HYPERLINK("http://twitter.com/download/android","Twitter for Android")</f>
        <v>Twitter for Android</v>
      </c>
      <c r="L5058" s="16">
        <v>0</v>
      </c>
      <c r="M5058" s="16">
        <v>12</v>
      </c>
      <c r="N5058" s="16">
        <v>0</v>
      </c>
      <c r="O5058" s="17"/>
      <c r="P5058" s="18">
        <v>43733.534131944441</v>
      </c>
      <c r="Q5058" s="7" t="s">
        <v>685</v>
      </c>
      <c r="R5058" s="7" t="s">
        <v>24332</v>
      </c>
      <c r="S5058" s="15"/>
      <c r="T5058" s="8"/>
      <c r="U5058" s="19" t="str">
        <f>HYPERLINK("https://pbs.twimg.com/profile_images/1177245729213038593/_M5_Wk_T.jpg","View")</f>
        <v>View</v>
      </c>
      <c r="V5058" s="8"/>
      <c r="W5058" s="8"/>
      <c r="X5058" s="8"/>
      <c r="Y5058" s="8"/>
      <c r="Z5058" s="8"/>
    </row>
    <row r="5059" spans="1:26" ht="12.75">
      <c r="A5059" s="11">
        <v>43747.09783564815</v>
      </c>
      <c r="B5059" s="12" t="str">
        <f>HYPERLINK("https://twitter.com/sbsimsek66","@sbsimsek66")</f>
        <v>@sbsimsek66</v>
      </c>
      <c r="C5059" s="7" t="s">
        <v>24333</v>
      </c>
      <c r="D5059" s="7" t="s">
        <v>24334</v>
      </c>
      <c r="E5059" s="12" t="str">
        <f>HYPERLINK("https://twitter.com/sbsimsek66/status/1181862085870968836","1181862085870968836")</f>
        <v>1181862085870968836</v>
      </c>
      <c r="F5059" s="8"/>
      <c r="G5059" s="14" t="s">
        <v>24335</v>
      </c>
      <c r="H5059" s="8"/>
      <c r="I5059" s="15">
        <v>0</v>
      </c>
      <c r="J5059" s="15">
        <v>0</v>
      </c>
      <c r="K5059" s="12" t="str">
        <f>HYPERLINK("http://twitter.com/download/android","Twitter for Android")</f>
        <v>Twitter for Android</v>
      </c>
      <c r="L5059" s="16">
        <v>27</v>
      </c>
      <c r="M5059" s="16">
        <v>66</v>
      </c>
      <c r="N5059" s="16">
        <v>0</v>
      </c>
      <c r="O5059" s="17"/>
      <c r="P5059" s="18">
        <v>42779.603645833333</v>
      </c>
      <c r="Q5059" s="7"/>
      <c r="R5059" s="7"/>
      <c r="S5059" s="8"/>
      <c r="T5059" s="8"/>
      <c r="U5059" s="19" t="str">
        <f>HYPERLINK("https://pbs.twimg.com/profile_images/1150403218482110465/c2sj4VPs.jpg","View")</f>
        <v>View</v>
      </c>
      <c r="V5059" s="8"/>
      <c r="W5059" s="8"/>
      <c r="X5059" s="8"/>
      <c r="Y5059" s="8"/>
      <c r="Z5059" s="8"/>
    </row>
    <row r="5060" spans="1:26" ht="12.75">
      <c r="A5060" s="11">
        <v>43747.09783564815</v>
      </c>
      <c r="B5060" s="12" t="str">
        <f>HYPERLINK("https://twitter.com/kavgayageldim","@kavgayageldim")</f>
        <v>@kavgayageldim</v>
      </c>
      <c r="C5060" s="7" t="s">
        <v>24336</v>
      </c>
      <c r="D5060" s="7" t="s">
        <v>24337</v>
      </c>
      <c r="E5060" s="12" t="str">
        <f>HYPERLINK("https://twitter.com/kavgayageldim/status/1181862084725936128","1181862084725936128")</f>
        <v>1181862084725936128</v>
      </c>
      <c r="F5060" s="8"/>
      <c r="G5060" s="14" t="s">
        <v>24338</v>
      </c>
      <c r="H5060" s="8"/>
      <c r="I5060" s="15">
        <v>0</v>
      </c>
      <c r="J5060" s="15">
        <v>0</v>
      </c>
      <c r="K5060" s="12" t="str">
        <f>HYPERLINK("http://twitter.com/download/iphone","Twitter for iPhone")</f>
        <v>Twitter for iPhone</v>
      </c>
      <c r="L5060" s="16">
        <v>6</v>
      </c>
      <c r="M5060" s="16">
        <v>5</v>
      </c>
      <c r="N5060" s="16">
        <v>0</v>
      </c>
      <c r="O5060" s="17"/>
      <c r="P5060" s="18">
        <v>43497.092337962968</v>
      </c>
      <c r="Q5060" s="8" t="s">
        <v>24339</v>
      </c>
      <c r="R5060" s="7"/>
      <c r="S5060" s="8"/>
      <c r="T5060" s="8"/>
      <c r="U5060" s="19" t="str">
        <f>HYPERLINK("https://pbs.twimg.com/profile_images/1147048928673751041/ztt1DnIA.png","View")</f>
        <v>View</v>
      </c>
      <c r="V5060" s="8"/>
      <c r="W5060" s="8"/>
      <c r="X5060" s="8"/>
      <c r="Y5060" s="8"/>
      <c r="Z5060" s="8"/>
    </row>
    <row r="5061" spans="1:26" ht="12.75">
      <c r="A5061" s="11">
        <v>43747.09783564815</v>
      </c>
      <c r="B5061" s="12" t="str">
        <f>HYPERLINK("https://twitter.com/cherry_lady_80","@cherry_lady_80")</f>
        <v>@cherry_lady_80</v>
      </c>
      <c r="C5061" s="7" t="s">
        <v>24340</v>
      </c>
      <c r="D5061" s="7" t="s">
        <v>24341</v>
      </c>
      <c r="E5061" s="12" t="str">
        <f>HYPERLINK("https://twitter.com/cherry_lady_80/status/1181862083773829120","1181862083773829120")</f>
        <v>1181862083773829120</v>
      </c>
      <c r="F5061" s="8"/>
      <c r="G5061" s="14" t="s">
        <v>24342</v>
      </c>
      <c r="H5061" s="8"/>
      <c r="I5061" s="15">
        <v>0</v>
      </c>
      <c r="J5061" s="15">
        <v>0</v>
      </c>
      <c r="K5061" s="12" t="str">
        <f>HYPERLINK("http://twitter.com/download/android","Twitter for Android")</f>
        <v>Twitter for Android</v>
      </c>
      <c r="L5061" s="16">
        <v>1392</v>
      </c>
      <c r="M5061" s="16">
        <v>908</v>
      </c>
      <c r="N5061" s="16">
        <v>1</v>
      </c>
      <c r="O5061" s="17"/>
      <c r="P5061" s="18">
        <v>40074.522314814814</v>
      </c>
      <c r="Q5061" s="7" t="s">
        <v>24343</v>
      </c>
      <c r="R5061" s="7" t="s">
        <v>24344</v>
      </c>
      <c r="S5061" s="8"/>
      <c r="T5061" s="8"/>
      <c r="U5061" s="19" t="str">
        <f>HYPERLINK("https://pbs.twimg.com/profile_images/1037372856009670658/lOwerInH.jpg","View")</f>
        <v>View</v>
      </c>
      <c r="V5061" s="8"/>
      <c r="W5061" s="8"/>
      <c r="X5061" s="8"/>
      <c r="Y5061" s="8"/>
      <c r="Z5061" s="8"/>
    </row>
    <row r="5062" spans="1:26" ht="12.75">
      <c r="A5062" s="11">
        <v>43747.097731481481</v>
      </c>
      <c r="B5062" s="12" t="str">
        <f>HYPERLINK("https://twitter.com/_ademin_biri","@_ademin_biri")</f>
        <v>@_ademin_biri</v>
      </c>
      <c r="C5062" s="7" t="s">
        <v>24345</v>
      </c>
      <c r="D5062" s="7" t="s">
        <v>160</v>
      </c>
      <c r="E5062" s="12" t="str">
        <f>HYPERLINK("https://twitter.com/_ademin_biri/status/1181862046234791938","1181862046234791938")</f>
        <v>1181862046234791938</v>
      </c>
      <c r="F5062" s="8"/>
      <c r="G5062" s="15"/>
      <c r="H5062" s="8"/>
      <c r="I5062" s="15">
        <v>0</v>
      </c>
      <c r="J5062" s="15">
        <v>0</v>
      </c>
      <c r="K5062" s="12" t="str">
        <f>HYPERLINK("http://twitter.com/download/android","Twitter for Android")</f>
        <v>Twitter for Android</v>
      </c>
      <c r="L5062" s="16">
        <v>23</v>
      </c>
      <c r="M5062" s="16">
        <v>128</v>
      </c>
      <c r="N5062" s="16">
        <v>1</v>
      </c>
      <c r="O5062" s="17"/>
      <c r="P5062" s="18">
        <v>40412.382650462961</v>
      </c>
      <c r="Q5062" s="8"/>
      <c r="R5062" s="8"/>
      <c r="S5062" s="8"/>
      <c r="T5062" s="8"/>
      <c r="U5062" s="19" t="str">
        <f>HYPERLINK("https://pbs.twimg.com/profile_images/584384061721808896/otjRUySr.jpg","View")</f>
        <v>View</v>
      </c>
      <c r="V5062" s="8"/>
      <c r="W5062" s="8"/>
      <c r="X5062" s="8"/>
      <c r="Y5062" s="8"/>
      <c r="Z5062" s="8"/>
    </row>
    <row r="5063" spans="1:26" ht="12.75">
      <c r="A5063" s="11">
        <v>43747.097615740742</v>
      </c>
      <c r="B5063" s="12" t="str">
        <f>HYPERLINK("https://twitter.com/nzmdg","@nzmdg")</f>
        <v>@nzmdg</v>
      </c>
      <c r="C5063" s="7" t="s">
        <v>24346</v>
      </c>
      <c r="D5063" s="7" t="s">
        <v>24347</v>
      </c>
      <c r="E5063" s="12" t="str">
        <f>HYPERLINK("https://twitter.com/nzmdg/status/1181862004258156544","1181862004258156544")</f>
        <v>1181862004258156544</v>
      </c>
      <c r="F5063" s="8"/>
      <c r="G5063" s="14" t="s">
        <v>24348</v>
      </c>
      <c r="H5063" s="8"/>
      <c r="I5063" s="15">
        <v>0</v>
      </c>
      <c r="J5063" s="15">
        <v>1</v>
      </c>
      <c r="K5063" s="12" t="str">
        <f>HYPERLINK("http://twitter.com/download/android","Twitter for Android")</f>
        <v>Twitter for Android</v>
      </c>
      <c r="L5063" s="16">
        <v>19</v>
      </c>
      <c r="M5063" s="16">
        <v>147</v>
      </c>
      <c r="N5063" s="16">
        <v>0</v>
      </c>
      <c r="O5063" s="17"/>
      <c r="P5063" s="18">
        <v>42210.455393518518</v>
      </c>
      <c r="Q5063" s="8"/>
      <c r="R5063" s="7"/>
      <c r="S5063" s="8"/>
      <c r="T5063" s="8"/>
      <c r="U5063" s="19" t="str">
        <f>HYPERLINK("https://pbs.twimg.com/profile_images/1097160661740781568/y0mjULrH.jpg","View")</f>
        <v>View</v>
      </c>
      <c r="V5063" s="8"/>
      <c r="W5063" s="8"/>
      <c r="X5063" s="8"/>
      <c r="Y5063" s="8"/>
      <c r="Z5063" s="8"/>
    </row>
    <row r="5064" spans="1:26" ht="12.75">
      <c r="A5064" s="11">
        <v>43747.097604166665</v>
      </c>
      <c r="B5064" s="12" t="str">
        <f>HYPERLINK("https://twitter.com/sferoconcerto","@sferoconcerto")</f>
        <v>@sferoconcerto</v>
      </c>
      <c r="C5064" s="7" t="s">
        <v>24349</v>
      </c>
      <c r="D5064" s="7" t="s">
        <v>160</v>
      </c>
      <c r="E5064" s="12" t="str">
        <f>HYPERLINK("https://twitter.com/sferoconcerto/status/1181862001745825793","1181862001745825793")</f>
        <v>1181862001745825793</v>
      </c>
      <c r="F5064" s="8"/>
      <c r="G5064" s="15"/>
      <c r="H5064" s="8"/>
      <c r="I5064" s="15">
        <v>0</v>
      </c>
      <c r="J5064" s="15">
        <v>0</v>
      </c>
      <c r="K5064" s="12" t="str">
        <f>HYPERLINK("http://twitter.com/download/android","Twitter for Android")</f>
        <v>Twitter for Android</v>
      </c>
      <c r="L5064" s="16">
        <v>76</v>
      </c>
      <c r="M5064" s="16">
        <v>1259</v>
      </c>
      <c r="N5064" s="16">
        <v>0</v>
      </c>
      <c r="O5064" s="17"/>
      <c r="P5064" s="18">
        <v>42599.909525462965</v>
      </c>
      <c r="Q5064" s="7"/>
      <c r="R5064" s="7"/>
      <c r="S5064" s="8"/>
      <c r="T5064" s="8"/>
      <c r="U5064" s="19" t="str">
        <f>HYPERLINK("https://pbs.twimg.com/profile_images/773901034565603328/YfXYZarz.jpg","View")</f>
        <v>View</v>
      </c>
      <c r="V5064" s="8"/>
      <c r="W5064" s="8"/>
      <c r="X5064" s="8"/>
      <c r="Y5064" s="8"/>
      <c r="Z5064" s="8"/>
    </row>
    <row r="5065" spans="1:26" ht="12.75">
      <c r="A5065" s="11">
        <v>43747.09756944445</v>
      </c>
      <c r="B5065" s="12" t="str">
        <f>HYPERLINK("https://twitter.com/ilhanbalaman","@ilhanbalaman")</f>
        <v>@ilhanbalaman</v>
      </c>
      <c r="C5065" s="7" t="s">
        <v>24350</v>
      </c>
      <c r="D5065" s="7" t="s">
        <v>24351</v>
      </c>
      <c r="E5065" s="12" t="str">
        <f>HYPERLINK("https://twitter.com/ilhanbalaman/status/1181861989380960256","1181861989380960256")</f>
        <v>1181861989380960256</v>
      </c>
      <c r="F5065" s="8"/>
      <c r="G5065" s="8"/>
      <c r="H5065" s="8"/>
      <c r="I5065" s="15">
        <v>0</v>
      </c>
      <c r="J5065" s="15">
        <v>0</v>
      </c>
      <c r="K5065" s="12" t="str">
        <f>HYPERLINK("http://twitter.com/download/android","Twitter for Android")</f>
        <v>Twitter for Android</v>
      </c>
      <c r="L5065" s="16">
        <v>25</v>
      </c>
      <c r="M5065" s="16">
        <v>75</v>
      </c>
      <c r="N5065" s="16">
        <v>0</v>
      </c>
      <c r="O5065" s="17"/>
      <c r="P5065" s="18">
        <v>40892.389722222222</v>
      </c>
      <c r="Q5065" s="7"/>
      <c r="R5065" s="7"/>
      <c r="S5065" s="8"/>
      <c r="T5065" s="8"/>
      <c r="U5065" s="19" t="str">
        <f>HYPERLINK("https://pbs.twimg.com/profile_images/587944125422514176/3t0A1tg9.jpg","View")</f>
        <v>View</v>
      </c>
      <c r="V5065" s="8"/>
      <c r="W5065" s="8"/>
      <c r="X5065" s="8"/>
      <c r="Y5065" s="8"/>
      <c r="Z5065" s="8"/>
    </row>
    <row r="5066" spans="1:26" ht="12.75">
      <c r="A5066" s="11">
        <v>43747.09747685185</v>
      </c>
      <c r="B5066" s="12" t="str">
        <f>HYPERLINK("https://twitter.com/fatihdedee","@fatihdedee")</f>
        <v>@fatihdedee</v>
      </c>
      <c r="C5066" s="7" t="s">
        <v>8654</v>
      </c>
      <c r="D5066" s="7" t="s">
        <v>24352</v>
      </c>
      <c r="E5066" s="12" t="str">
        <f>HYPERLINK("https://twitter.com/fatihdedee/status/1181861954077507589","1181861954077507589")</f>
        <v>1181861954077507589</v>
      </c>
      <c r="F5066" s="8"/>
      <c r="G5066" s="14" t="s">
        <v>24353</v>
      </c>
      <c r="H5066" s="8"/>
      <c r="I5066" s="15">
        <v>0</v>
      </c>
      <c r="J5066" s="15">
        <v>0</v>
      </c>
      <c r="K5066" s="12" t="str">
        <f>HYPERLINK("http://twitter.com/download/android","Twitter for Android")</f>
        <v>Twitter for Android</v>
      </c>
      <c r="L5066" s="16">
        <v>255</v>
      </c>
      <c r="M5066" s="16">
        <v>118</v>
      </c>
      <c r="N5066" s="16">
        <v>3</v>
      </c>
      <c r="O5066" s="17"/>
      <c r="P5066" s="18">
        <v>42086.293576388889</v>
      </c>
      <c r="Q5066" s="8" t="s">
        <v>24354</v>
      </c>
      <c r="R5066" s="8" t="s">
        <v>24355</v>
      </c>
      <c r="S5066" s="14" t="s">
        <v>24356</v>
      </c>
      <c r="T5066" s="8"/>
      <c r="U5066" s="19" t="str">
        <f>HYPERLINK("https://pbs.twimg.com/profile_images/1178771870658813952/f44brxjC.jpg","View")</f>
        <v>View</v>
      </c>
      <c r="V5066" s="8"/>
      <c r="W5066" s="8"/>
      <c r="X5066" s="8"/>
      <c r="Y5066" s="8"/>
      <c r="Z5066" s="8"/>
    </row>
    <row r="5067" spans="1:26" ht="12.75">
      <c r="A5067" s="11">
        <v>43747.097453703704</v>
      </c>
      <c r="B5067" s="12" t="str">
        <f>HYPERLINK("https://twitter.com/dextiminati","@dextiminati")</f>
        <v>@dextiminati</v>
      </c>
      <c r="C5067" s="7" t="s">
        <v>24357</v>
      </c>
      <c r="D5067" s="7" t="s">
        <v>24358</v>
      </c>
      <c r="E5067" s="12" t="str">
        <f>HYPERLINK("https://twitter.com/dextiminati/status/1181861944292184064","1181861944292184064")</f>
        <v>1181861944292184064</v>
      </c>
      <c r="F5067" s="8"/>
      <c r="G5067" s="8"/>
      <c r="H5067" s="8"/>
      <c r="I5067" s="15">
        <v>0</v>
      </c>
      <c r="J5067" s="15">
        <v>0</v>
      </c>
      <c r="K5067" s="12" t="str">
        <f>HYPERLINK("http://twitter.com/download/iphone","Twitter for iPhone")</f>
        <v>Twitter for iPhone</v>
      </c>
      <c r="L5067" s="16">
        <v>29</v>
      </c>
      <c r="M5067" s="16">
        <v>72</v>
      </c>
      <c r="N5067" s="16">
        <v>0</v>
      </c>
      <c r="O5067" s="17"/>
      <c r="P5067" s="18">
        <v>40931.562071759261</v>
      </c>
      <c r="Q5067" s="7" t="s">
        <v>24359</v>
      </c>
      <c r="R5067" s="7" t="s">
        <v>24360</v>
      </c>
      <c r="S5067" s="8"/>
      <c r="T5067" s="8"/>
      <c r="U5067" s="19" t="str">
        <f>HYPERLINK("https://pbs.twimg.com/profile_images/1003542345491591171/9nitk-eB.jpg","View")</f>
        <v>View</v>
      </c>
      <c r="V5067" s="8"/>
      <c r="W5067" s="8"/>
      <c r="X5067" s="8"/>
      <c r="Y5067" s="8"/>
      <c r="Z5067" s="8"/>
    </row>
    <row r="5068" spans="1:26" ht="12.75">
      <c r="A5068" s="11">
        <v>43747.097384259258</v>
      </c>
      <c r="B5068" s="12" t="str">
        <f>HYPERLINK("https://twitter.com/Cihangir0zcan","@Cihangir0zcan")</f>
        <v>@Cihangir0zcan</v>
      </c>
      <c r="C5068" s="7" t="s">
        <v>24361</v>
      </c>
      <c r="D5068" s="7" t="s">
        <v>160</v>
      </c>
      <c r="E5068" s="12" t="str">
        <f>HYPERLINK("https://twitter.com/Cihangir0zcan/status/1181861921416515584","1181861921416515584")</f>
        <v>1181861921416515584</v>
      </c>
      <c r="F5068" s="8"/>
      <c r="G5068" s="14" t="s">
        <v>24362</v>
      </c>
      <c r="H5068" s="8"/>
      <c r="I5068" s="15">
        <v>0</v>
      </c>
      <c r="J5068" s="15">
        <v>2</v>
      </c>
      <c r="K5068" s="12" t="str">
        <f>HYPERLINK("http://twitter.com/download/android","Twitter for Android")</f>
        <v>Twitter for Android</v>
      </c>
      <c r="L5068" s="16">
        <v>102</v>
      </c>
      <c r="M5068" s="16">
        <v>71</v>
      </c>
      <c r="N5068" s="16">
        <v>0</v>
      </c>
      <c r="O5068" s="17"/>
      <c r="P5068" s="18">
        <v>42665.528148148151</v>
      </c>
      <c r="Q5068" s="8" t="s">
        <v>200</v>
      </c>
      <c r="R5068" s="8" t="s">
        <v>24363</v>
      </c>
      <c r="S5068" s="8"/>
      <c r="T5068" s="8"/>
      <c r="U5068" s="19" t="str">
        <f>HYPERLINK("https://pbs.twimg.com/profile_images/915520450326822912/Qrg5c86a.jpg","View")</f>
        <v>View</v>
      </c>
      <c r="V5068" s="8"/>
      <c r="W5068" s="8"/>
      <c r="X5068" s="8"/>
      <c r="Y5068" s="8"/>
      <c r="Z5068" s="8"/>
    </row>
    <row r="5069" spans="1:26" ht="12.75">
      <c r="A5069" s="11">
        <v>43747.097372685181</v>
      </c>
      <c r="B5069" s="12" t="str">
        <f>HYPERLINK("https://twitter.com/hknsyrk","@hknsyrk")</f>
        <v>@hknsyrk</v>
      </c>
      <c r="C5069" s="7" t="s">
        <v>24364</v>
      </c>
      <c r="D5069" s="7" t="s">
        <v>17470</v>
      </c>
      <c r="E5069" s="12" t="str">
        <f>HYPERLINK("https://twitter.com/hknsyrk/status/1181861915863195648","1181861915863195648")</f>
        <v>1181861915863195648</v>
      </c>
      <c r="F5069" s="8"/>
      <c r="G5069" s="15"/>
      <c r="H5069" s="8"/>
      <c r="I5069" s="15">
        <v>0</v>
      </c>
      <c r="J5069" s="15">
        <v>0</v>
      </c>
      <c r="K5069" s="12" t="str">
        <f>HYPERLINK("http://twitter.com/download/iphone","Twitter for iPhone")</f>
        <v>Twitter for iPhone</v>
      </c>
      <c r="L5069" s="16">
        <v>190</v>
      </c>
      <c r="M5069" s="16">
        <v>256</v>
      </c>
      <c r="N5069" s="16">
        <v>1</v>
      </c>
      <c r="O5069" s="17"/>
      <c r="P5069" s="18">
        <v>41184.680034722223</v>
      </c>
      <c r="Q5069" s="7" t="s">
        <v>576</v>
      </c>
      <c r="R5069" s="7" t="s">
        <v>24365</v>
      </c>
      <c r="S5069" s="8"/>
      <c r="T5069" s="8"/>
      <c r="U5069" s="19" t="str">
        <f>HYPERLINK("https://pbs.twimg.com/profile_images/1023623434985762816/V-wlZ_-X.jpg","View")</f>
        <v>View</v>
      </c>
      <c r="V5069" s="8"/>
      <c r="W5069" s="8"/>
      <c r="X5069" s="8"/>
      <c r="Y5069" s="8"/>
      <c r="Z5069" s="8"/>
    </row>
    <row r="5070" spans="1:26" ht="12.75">
      <c r="A5070" s="11">
        <v>43747.097361111111</v>
      </c>
      <c r="B5070" s="12" t="str">
        <f>HYPERLINK("https://twitter.com/kurulus2023","@kurulus2023")</f>
        <v>@kurulus2023</v>
      </c>
      <c r="C5070" s="7" t="s">
        <v>24366</v>
      </c>
      <c r="D5070" s="7" t="s">
        <v>24367</v>
      </c>
      <c r="E5070" s="12" t="str">
        <f>HYPERLINK("https://twitter.com/kurulus2023/status/1181861910754537472","1181861910754537472")</f>
        <v>1181861910754537472</v>
      </c>
      <c r="F5070" s="8"/>
      <c r="G5070" s="15"/>
      <c r="H5070" s="8"/>
      <c r="I5070" s="15">
        <v>1</v>
      </c>
      <c r="J5070" s="15">
        <v>1</v>
      </c>
      <c r="K5070" s="12" t="str">
        <f>HYPERLINK("https://mobile.twitter.com","Twitter Web App")</f>
        <v>Twitter Web App</v>
      </c>
      <c r="L5070" s="16">
        <v>716</v>
      </c>
      <c r="M5070" s="16">
        <v>77</v>
      </c>
      <c r="N5070" s="16">
        <v>0</v>
      </c>
      <c r="O5070" s="17"/>
      <c r="P5070" s="18">
        <v>40413.019479166665</v>
      </c>
      <c r="Q5070" s="7"/>
      <c r="R5070" s="7" t="s">
        <v>24368</v>
      </c>
      <c r="S5070" s="15"/>
      <c r="T5070" s="8"/>
      <c r="U5070" s="19" t="str">
        <f>HYPERLINK("https://pbs.twimg.com/profile_images/1130741332245438464/FBxOFgP8.jpg","View")</f>
        <v>View</v>
      </c>
      <c r="V5070" s="8"/>
      <c r="W5070" s="8"/>
      <c r="X5070" s="8"/>
      <c r="Y5070" s="8"/>
      <c r="Z5070" s="8"/>
    </row>
    <row r="5071" spans="1:26" ht="12.75">
      <c r="A5071" s="11">
        <v>43747.097291666665</v>
      </c>
      <c r="B5071" s="12" t="str">
        <f>HYPERLINK("https://twitter.com/tlayaksuu","@tlayaksuu")</f>
        <v>@tlayaksuu</v>
      </c>
      <c r="C5071" s="7" t="s">
        <v>24369</v>
      </c>
      <c r="D5071" s="7" t="s">
        <v>8576</v>
      </c>
      <c r="E5071" s="12" t="str">
        <f>HYPERLINK("https://twitter.com/tlayaksuu/status/1181861886997999621","1181861886997999621")</f>
        <v>1181861886997999621</v>
      </c>
      <c r="F5071" s="8"/>
      <c r="G5071" s="14" t="s">
        <v>24370</v>
      </c>
      <c r="H5071" s="8"/>
      <c r="I5071" s="15">
        <v>0</v>
      </c>
      <c r="J5071" s="15">
        <v>0</v>
      </c>
      <c r="K5071" s="12" t="str">
        <f>HYPERLINK("http://twitter.com/download/iphone","Twitter for iPhone")</f>
        <v>Twitter for iPhone</v>
      </c>
      <c r="L5071" s="16">
        <v>89</v>
      </c>
      <c r="M5071" s="16">
        <v>117</v>
      </c>
      <c r="N5071" s="16">
        <v>0</v>
      </c>
      <c r="O5071" s="17"/>
      <c r="P5071" s="18">
        <v>42019.436377314814</v>
      </c>
      <c r="Q5071" s="8" t="s">
        <v>24371</v>
      </c>
      <c r="R5071" s="7" t="s">
        <v>24372</v>
      </c>
      <c r="S5071" s="8"/>
      <c r="T5071" s="8"/>
      <c r="U5071" s="19" t="str">
        <f>HYPERLINK("https://pbs.twimg.com/profile_images/1161339696498315264/RjV65Aut.jpg","View")</f>
        <v>View</v>
      </c>
      <c r="V5071" s="8"/>
      <c r="W5071" s="8"/>
      <c r="X5071" s="8"/>
      <c r="Y5071" s="8"/>
      <c r="Z5071" s="8"/>
    </row>
    <row r="5072" spans="1:26" ht="12.75">
      <c r="A5072" s="11">
        <v>43747.097291666665</v>
      </c>
      <c r="B5072" s="12" t="str">
        <f>HYPERLINK("https://twitter.com/35kerimyavuz","@35kerimyavuz")</f>
        <v>@35kerimyavuz</v>
      </c>
      <c r="C5072" s="7" t="s">
        <v>24373</v>
      </c>
      <c r="D5072" s="7" t="s">
        <v>24374</v>
      </c>
      <c r="E5072" s="12" t="str">
        <f>HYPERLINK("https://twitter.com/35kerimyavuz/status/1181861886230515712","1181861886230515712")</f>
        <v>1181861886230515712</v>
      </c>
      <c r="F5072" s="8"/>
      <c r="G5072" s="14" t="s">
        <v>24375</v>
      </c>
      <c r="H5072" s="8"/>
      <c r="I5072" s="15">
        <v>0</v>
      </c>
      <c r="J5072" s="15">
        <v>1</v>
      </c>
      <c r="K5072" s="12" t="str">
        <f>HYPERLINK("http://twitter.com/download/iphone","Twitter for iPhone")</f>
        <v>Twitter for iPhone</v>
      </c>
      <c r="L5072" s="16">
        <v>3</v>
      </c>
      <c r="M5072" s="16">
        <v>38</v>
      </c>
      <c r="N5072" s="16">
        <v>0</v>
      </c>
      <c r="O5072" s="17"/>
      <c r="P5072" s="18">
        <v>43289.265925925924</v>
      </c>
      <c r="Q5072" s="8" t="s">
        <v>69</v>
      </c>
      <c r="R5072" s="7"/>
      <c r="S5072" s="8"/>
      <c r="T5072" s="8"/>
      <c r="U5072" s="19" t="str">
        <f>HYPERLINK("https://pbs.twimg.com/profile_images/1179669651262967808/zWMDb4xM.jpg","View")</f>
        <v>View</v>
      </c>
      <c r="V5072" s="8"/>
      <c r="W5072" s="8"/>
      <c r="X5072" s="8"/>
      <c r="Y5072" s="8"/>
      <c r="Z5072" s="8"/>
    </row>
    <row r="5073" spans="1:26" ht="12.75">
      <c r="A5073" s="11">
        <v>43747.097280092596</v>
      </c>
      <c r="B5073" s="12" t="str">
        <f>HYPERLINK("https://twitter.com/kenan_dnc","@kenan_dnc")</f>
        <v>@kenan_dnc</v>
      </c>
      <c r="C5073" s="7" t="s">
        <v>24376</v>
      </c>
      <c r="D5073" s="7" t="s">
        <v>24377</v>
      </c>
      <c r="E5073" s="12" t="str">
        <f>HYPERLINK("https://twitter.com/kenan_dnc/status/1181861883151826944","1181861883151826944")</f>
        <v>1181861883151826944</v>
      </c>
      <c r="F5073" s="8"/>
      <c r="G5073" s="15"/>
      <c r="H5073" s="8"/>
      <c r="I5073" s="15">
        <v>0</v>
      </c>
      <c r="J5073" s="15">
        <v>0</v>
      </c>
      <c r="K5073" s="12" t="str">
        <f>HYPERLINK("http://twitter.com/download/android","Twitter for Android")</f>
        <v>Twitter for Android</v>
      </c>
      <c r="L5073" s="16">
        <v>288</v>
      </c>
      <c r="M5073" s="16">
        <v>192</v>
      </c>
      <c r="N5073" s="16">
        <v>0</v>
      </c>
      <c r="O5073" s="17"/>
      <c r="P5073" s="18">
        <v>40756.0465162037</v>
      </c>
      <c r="Q5073" s="8" t="s">
        <v>80</v>
      </c>
      <c r="R5073" s="7" t="s">
        <v>24378</v>
      </c>
      <c r="S5073" s="8"/>
      <c r="T5073" s="8"/>
      <c r="U5073" s="19" t="str">
        <f>HYPERLINK("https://pbs.twimg.com/profile_images/1164524636404625408/kvzY9hfZ.jpg","View")</f>
        <v>View</v>
      </c>
      <c r="V5073" s="8"/>
      <c r="W5073" s="8"/>
      <c r="X5073" s="8"/>
      <c r="Y5073" s="8"/>
      <c r="Z5073" s="8"/>
    </row>
    <row r="5074" spans="1:26" ht="12.75">
      <c r="A5074" s="11">
        <v>43747.097280092596</v>
      </c>
      <c r="B5074" s="12" t="str">
        <f>HYPERLINK("https://twitter.com/rezzak_altunoz","@rezzak_altunoz")</f>
        <v>@rezzak_altunoz</v>
      </c>
      <c r="C5074" s="7" t="s">
        <v>24379</v>
      </c>
      <c r="D5074" s="7" t="s">
        <v>24380</v>
      </c>
      <c r="E5074" s="12" t="str">
        <f>HYPERLINK("https://twitter.com/rezzak_altunoz/status/1181861883109883904","1181861883109883904")</f>
        <v>1181861883109883904</v>
      </c>
      <c r="F5074" s="8"/>
      <c r="G5074" s="15"/>
      <c r="H5074" s="8"/>
      <c r="I5074" s="15">
        <v>0</v>
      </c>
      <c r="J5074" s="15">
        <v>0</v>
      </c>
      <c r="K5074" s="12" t="str">
        <f>HYPERLINK("http://twitter.com/download/iphone","Twitter for iPhone")</f>
        <v>Twitter for iPhone</v>
      </c>
      <c r="L5074" s="16">
        <v>361</v>
      </c>
      <c r="M5074" s="16">
        <v>466</v>
      </c>
      <c r="N5074" s="16">
        <v>3</v>
      </c>
      <c r="O5074" s="17"/>
      <c r="P5074" s="18">
        <v>42388.276064814811</v>
      </c>
      <c r="Q5074" s="8" t="s">
        <v>1639</v>
      </c>
      <c r="R5074" s="7" t="s">
        <v>24381</v>
      </c>
      <c r="S5074" s="8"/>
      <c r="T5074" s="8"/>
      <c r="U5074" s="19" t="str">
        <f>HYPERLINK("https://pbs.twimg.com/profile_images/1160120213712621568/DtKwqJCO.jpg","View")</f>
        <v>View</v>
      </c>
      <c r="V5074" s="8"/>
      <c r="W5074" s="8"/>
      <c r="X5074" s="8"/>
      <c r="Y5074" s="8"/>
      <c r="Z5074" s="8"/>
    </row>
    <row r="5075" spans="1:26" ht="12.75">
      <c r="A5075" s="11">
        <v>43747.097245370373</v>
      </c>
      <c r="B5075" s="12" t="str">
        <f>HYPERLINK("https://twitter.com/iboarslantas69","@iboarslantas69")</f>
        <v>@iboarslantas69</v>
      </c>
      <c r="C5075" s="7" t="s">
        <v>24382</v>
      </c>
      <c r="D5075" s="7" t="s">
        <v>24383</v>
      </c>
      <c r="E5075" s="12" t="str">
        <f>HYPERLINK("https://twitter.com/iboarslantas69/status/1181861870413713408","1181861870413713408")</f>
        <v>1181861870413713408</v>
      </c>
      <c r="F5075" s="8"/>
      <c r="G5075" s="14" t="s">
        <v>24384</v>
      </c>
      <c r="H5075" s="8"/>
      <c r="I5075" s="15">
        <v>0</v>
      </c>
      <c r="J5075" s="15">
        <v>0</v>
      </c>
      <c r="K5075" s="12" t="str">
        <f>HYPERLINK("http://twitter.com/download/iphone","Twitter for iPhone")</f>
        <v>Twitter for iPhone</v>
      </c>
      <c r="L5075" s="16">
        <v>45</v>
      </c>
      <c r="M5075" s="16">
        <v>134</v>
      </c>
      <c r="N5075" s="16">
        <v>0</v>
      </c>
      <c r="O5075" s="17"/>
      <c r="P5075" s="18">
        <v>40266.623680555553</v>
      </c>
      <c r="Q5075" s="8" t="s">
        <v>313</v>
      </c>
      <c r="R5075" s="8" t="s">
        <v>24385</v>
      </c>
      <c r="S5075" s="14" t="s">
        <v>24386</v>
      </c>
      <c r="T5075" s="8"/>
      <c r="U5075" s="19" t="str">
        <f>HYPERLINK("https://pbs.twimg.com/profile_images/1082198012049395712/A-tn2G0r.jpg","View")</f>
        <v>View</v>
      </c>
      <c r="V5075" s="8"/>
      <c r="W5075" s="8"/>
      <c r="X5075" s="8"/>
      <c r="Y5075" s="8"/>
      <c r="Z5075" s="8"/>
    </row>
    <row r="5076" spans="1:26" ht="12.75">
      <c r="A5076" s="11">
        <v>43747.097222222219</v>
      </c>
      <c r="B5076" s="12" t="str">
        <f>HYPERLINK("https://twitter.com/ZaferBey35","@ZaferBey35")</f>
        <v>@ZaferBey35</v>
      </c>
      <c r="C5076" s="7" t="s">
        <v>24387</v>
      </c>
      <c r="D5076" s="7" t="s">
        <v>24388</v>
      </c>
      <c r="E5076" s="12" t="str">
        <f>HYPERLINK("https://twitter.com/ZaferBey35/status/1181861863245668353","1181861863245668353")</f>
        <v>1181861863245668353</v>
      </c>
      <c r="F5076" s="8"/>
      <c r="G5076" s="14" t="s">
        <v>24389</v>
      </c>
      <c r="H5076" s="8"/>
      <c r="I5076" s="15">
        <v>0</v>
      </c>
      <c r="J5076" s="15">
        <v>0</v>
      </c>
      <c r="K5076" s="12" t="str">
        <f>HYPERLINK("http://twitter.com/download/iphone","Twitter for iPhone")</f>
        <v>Twitter for iPhone</v>
      </c>
      <c r="L5076" s="16">
        <v>234</v>
      </c>
      <c r="M5076" s="16">
        <v>1109</v>
      </c>
      <c r="N5076" s="16">
        <v>0</v>
      </c>
      <c r="O5076" s="17"/>
      <c r="P5076" s="18">
        <v>43725.624907407408</v>
      </c>
      <c r="Q5076" s="8" t="s">
        <v>15181</v>
      </c>
      <c r="R5076" s="8" t="s">
        <v>24390</v>
      </c>
      <c r="S5076" s="8"/>
      <c r="T5076" s="8"/>
      <c r="U5076" s="19" t="str">
        <f>HYPERLINK("https://pbs.twimg.com/profile_images/1174080836230176779/wN4vgq39.jpg","View")</f>
        <v>View</v>
      </c>
      <c r="V5076" s="8"/>
      <c r="W5076" s="8"/>
      <c r="X5076" s="8"/>
      <c r="Y5076" s="8"/>
      <c r="Z5076" s="8"/>
    </row>
    <row r="5077" spans="1:26" ht="12.75">
      <c r="A5077" s="11">
        <v>43747.097210648149</v>
      </c>
      <c r="B5077" s="12" t="str">
        <f>HYPERLINK("https://twitter.com/19Emir_cagri03","@19Emir_cagri03")</f>
        <v>@19Emir_cagri03</v>
      </c>
      <c r="C5077" s="7" t="s">
        <v>24391</v>
      </c>
      <c r="D5077" s="7" t="s">
        <v>21305</v>
      </c>
      <c r="E5077" s="12" t="str">
        <f>HYPERLINK("https://twitter.com/19Emir_cagri03/status/1181861856522178560","1181861856522178560")</f>
        <v>1181861856522178560</v>
      </c>
      <c r="F5077" s="8"/>
      <c r="G5077" s="14" t="s">
        <v>24392</v>
      </c>
      <c r="H5077" s="8"/>
      <c r="I5077" s="15">
        <v>0</v>
      </c>
      <c r="J5077" s="15">
        <v>1</v>
      </c>
      <c r="K5077" s="12" t="str">
        <f>HYPERLINK("http://twitter.com/download/android","Twitter for Android")</f>
        <v>Twitter for Android</v>
      </c>
      <c r="L5077" s="16">
        <v>24</v>
      </c>
      <c r="M5077" s="16">
        <v>96</v>
      </c>
      <c r="N5077" s="16">
        <v>0</v>
      </c>
      <c r="O5077" s="17"/>
      <c r="P5077" s="18">
        <v>42640.503935185188</v>
      </c>
      <c r="Q5077" s="8" t="s">
        <v>287</v>
      </c>
      <c r="R5077" s="8" t="s">
        <v>24393</v>
      </c>
      <c r="S5077" s="8"/>
      <c r="T5077" s="8"/>
      <c r="U5077" s="19" t="str">
        <f>HYPERLINK("https://pbs.twimg.com/profile_images/1147612155161796609/UIh3Drg6.jpg","View")</f>
        <v>View</v>
      </c>
      <c r="V5077" s="8"/>
      <c r="W5077" s="8"/>
      <c r="X5077" s="8"/>
      <c r="Y5077" s="8"/>
      <c r="Z5077" s="8"/>
    </row>
    <row r="5078" spans="1:26" ht="12.75">
      <c r="A5078" s="11">
        <v>43747.097210648149</v>
      </c>
      <c r="B5078" s="12" t="str">
        <f>HYPERLINK("https://twitter.com/altanurug","@altanurug")</f>
        <v>@altanurug</v>
      </c>
      <c r="C5078" s="7" t="s">
        <v>24394</v>
      </c>
      <c r="D5078" s="7" t="s">
        <v>24395</v>
      </c>
      <c r="E5078" s="12" t="str">
        <f>HYPERLINK("https://twitter.com/altanurug/status/1181861855779868672","1181861855779868672")</f>
        <v>1181861855779868672</v>
      </c>
      <c r="F5078" s="8"/>
      <c r="G5078" s="14" t="s">
        <v>24396</v>
      </c>
      <c r="H5078" s="8"/>
      <c r="I5078" s="15">
        <v>2</v>
      </c>
      <c r="J5078" s="15">
        <v>40</v>
      </c>
      <c r="K5078" s="12" t="str">
        <f>HYPERLINK("http://twitter.com/download/android","Twitter for Android")</f>
        <v>Twitter for Android</v>
      </c>
      <c r="L5078" s="16">
        <v>15782</v>
      </c>
      <c r="M5078" s="16">
        <v>7984</v>
      </c>
      <c r="N5078" s="16">
        <v>21</v>
      </c>
      <c r="O5078" s="17"/>
      <c r="P5078" s="18">
        <v>42059.654062500005</v>
      </c>
      <c r="Q5078" s="8" t="s">
        <v>7843</v>
      </c>
      <c r="R5078" s="7" t="s">
        <v>24397</v>
      </c>
      <c r="S5078" s="8"/>
      <c r="T5078" s="8"/>
      <c r="U5078" s="19" t="str">
        <f>HYPERLINK("https://pbs.twimg.com/profile_images/1154147667246759936/S_4IMq4Z.jpg","View")</f>
        <v>View</v>
      </c>
      <c r="V5078" s="8"/>
      <c r="W5078" s="8"/>
      <c r="X5078" s="8"/>
      <c r="Y5078" s="8"/>
      <c r="Z5078" s="8"/>
    </row>
    <row r="5079" spans="1:26" ht="12.75">
      <c r="A5079" s="11">
        <v>43747.097129629634</v>
      </c>
      <c r="B5079" s="12" t="str">
        <f>HYPERLINK("https://twitter.com/muratugurlu35","@muratugurlu35")</f>
        <v>@muratugurlu35</v>
      </c>
      <c r="C5079" s="7" t="s">
        <v>10288</v>
      </c>
      <c r="D5079" s="7" t="s">
        <v>24399</v>
      </c>
      <c r="E5079" s="12" t="str">
        <f>HYPERLINK("https://twitter.com/muratugurlu35/status/1181861827040436225","1181861827040436225")</f>
        <v>1181861827040436225</v>
      </c>
      <c r="F5079" s="8"/>
      <c r="G5079" s="14" t="s">
        <v>24400</v>
      </c>
      <c r="H5079" s="8"/>
      <c r="I5079" s="15">
        <v>0</v>
      </c>
      <c r="J5079" s="15">
        <v>2</v>
      </c>
      <c r="K5079" s="12" t="str">
        <f>HYPERLINK("http://twitter.com/download/android","Twitter for Android")</f>
        <v>Twitter for Android</v>
      </c>
      <c r="L5079" s="16">
        <v>79</v>
      </c>
      <c r="M5079" s="16">
        <v>92</v>
      </c>
      <c r="N5079" s="16">
        <v>0</v>
      </c>
      <c r="O5079" s="17"/>
      <c r="P5079" s="18">
        <v>42229.005925925929</v>
      </c>
      <c r="Q5079" s="7" t="s">
        <v>2050</v>
      </c>
      <c r="R5079" s="7" t="s">
        <v>24401</v>
      </c>
      <c r="S5079" s="8"/>
      <c r="T5079" s="8"/>
      <c r="U5079" s="19" t="str">
        <f>HYPERLINK("https://pbs.twimg.com/profile_images/1170825762737446912/6HoTRdZm.jpg","View")</f>
        <v>View</v>
      </c>
      <c r="V5079" s="8"/>
      <c r="W5079" s="8"/>
      <c r="X5079" s="8"/>
      <c r="Y5079" s="8"/>
      <c r="Z5079" s="8"/>
    </row>
    <row r="5080" spans="1:26" ht="12.75">
      <c r="A5080" s="11">
        <v>43747.09710648148</v>
      </c>
      <c r="B5080" s="12" t="str">
        <f>HYPERLINK("https://twitter.com/KENDALVELi","@KENDALVELi")</f>
        <v>@KENDALVELi</v>
      </c>
      <c r="C5080" s="7" t="s">
        <v>24402</v>
      </c>
      <c r="D5080" s="7" t="s">
        <v>24403</v>
      </c>
      <c r="E5080" s="12" t="str">
        <f>HYPERLINK("https://twitter.com/KENDALVELi/status/1181861818316263425","1181861818316263425")</f>
        <v>1181861818316263425</v>
      </c>
      <c r="F5080" s="8"/>
      <c r="G5080" s="14" t="s">
        <v>24404</v>
      </c>
      <c r="H5080" s="8"/>
      <c r="I5080" s="15">
        <v>0</v>
      </c>
      <c r="J5080" s="15">
        <v>0</v>
      </c>
      <c r="K5080" s="12" t="str">
        <f>HYPERLINK("http://twitter.com","Twitter Web Client")</f>
        <v>Twitter Web Client</v>
      </c>
      <c r="L5080" s="16">
        <v>233</v>
      </c>
      <c r="M5080" s="16">
        <v>74</v>
      </c>
      <c r="N5080" s="16">
        <v>2</v>
      </c>
      <c r="O5080" s="17"/>
      <c r="P5080" s="18">
        <v>41978.127870370372</v>
      </c>
      <c r="Q5080" s="7"/>
      <c r="R5080" s="7" t="s">
        <v>24405</v>
      </c>
      <c r="S5080" s="8"/>
      <c r="T5080" s="8"/>
      <c r="U5080" s="19" t="str">
        <f>HYPERLINK("https://pbs.twimg.com/profile_images/864141241209978880/YVFbPSFb.jpg","View")</f>
        <v>View</v>
      </c>
      <c r="V5080" s="8"/>
      <c r="W5080" s="8"/>
      <c r="X5080" s="8"/>
      <c r="Y5080" s="8"/>
      <c r="Z5080" s="8"/>
    </row>
    <row r="5081" spans="1:26" ht="12.75">
      <c r="A5081" s="11">
        <v>43747.096990740742</v>
      </c>
      <c r="B5081" s="12" t="str">
        <f>HYPERLINK("https://twitter.com/regnig65","@regnig65")</f>
        <v>@regnig65</v>
      </c>
      <c r="C5081" s="7" t="s">
        <v>24406</v>
      </c>
      <c r="D5081" s="7" t="s">
        <v>24407</v>
      </c>
      <c r="E5081" s="12" t="str">
        <f>HYPERLINK("https://twitter.com/regnig65/status/1181861777820270592","1181861777820270592")</f>
        <v>1181861777820270592</v>
      </c>
      <c r="F5081" s="8"/>
      <c r="G5081" s="15"/>
      <c r="H5081" s="8"/>
      <c r="I5081" s="15">
        <v>0</v>
      </c>
      <c r="J5081" s="15">
        <v>0</v>
      </c>
      <c r="K5081" s="12" t="str">
        <f>HYPERLINK("https://mobile.twitter.com","Twitter Web App")</f>
        <v>Twitter Web App</v>
      </c>
      <c r="L5081" s="16">
        <v>2</v>
      </c>
      <c r="M5081" s="16">
        <v>143</v>
      </c>
      <c r="N5081" s="16">
        <v>1</v>
      </c>
      <c r="O5081" s="17"/>
      <c r="P5081" s="18">
        <v>40900.492233796293</v>
      </c>
      <c r="Q5081" s="8"/>
      <c r="R5081" s="7" t="s">
        <v>24408</v>
      </c>
      <c r="S5081" s="8"/>
      <c r="T5081" s="8"/>
      <c r="U5081" s="19" t="str">
        <f>HYPERLINK("https://pbs.twimg.com/profile_images/825069691706159105/j2VjHU_j.jpg","View")</f>
        <v>View</v>
      </c>
      <c r="V5081" s="8"/>
      <c r="W5081" s="8"/>
      <c r="X5081" s="8"/>
      <c r="Y5081" s="8"/>
      <c r="Z5081" s="8"/>
    </row>
    <row r="5082" spans="1:26" ht="12.75">
      <c r="A5082" s="11">
        <v>43747.096990740742</v>
      </c>
      <c r="B5082" s="12" t="str">
        <f>HYPERLINK("https://twitter.com/Ouzhan22205126","@Ouzhan22205126")</f>
        <v>@Ouzhan22205126</v>
      </c>
      <c r="C5082" s="7" t="s">
        <v>14254</v>
      </c>
      <c r="D5082" s="7" t="s">
        <v>160</v>
      </c>
      <c r="E5082" s="12" t="str">
        <f>HYPERLINK("https://twitter.com/Ouzhan22205126/status/1181861777585397760","1181861777585397760")</f>
        <v>1181861777585397760</v>
      </c>
      <c r="F5082" s="8"/>
      <c r="G5082" s="14" t="s">
        <v>24409</v>
      </c>
      <c r="H5082" s="8"/>
      <c r="I5082" s="15">
        <v>0</v>
      </c>
      <c r="J5082" s="15">
        <v>0</v>
      </c>
      <c r="K5082" s="12" t="str">
        <f>HYPERLINK("http://twitter.com/download/android","Twitter for Android")</f>
        <v>Twitter for Android</v>
      </c>
      <c r="L5082" s="16">
        <v>2</v>
      </c>
      <c r="M5082" s="16">
        <v>3</v>
      </c>
      <c r="N5082" s="16">
        <v>0</v>
      </c>
      <c r="O5082" s="17"/>
      <c r="P5082" s="18">
        <v>43689.192905092597</v>
      </c>
      <c r="Q5082" s="7"/>
      <c r="R5082" s="7"/>
      <c r="S5082" s="8"/>
      <c r="T5082" s="8"/>
      <c r="U5082" s="20" t="s">
        <v>354</v>
      </c>
      <c r="V5082" s="8"/>
      <c r="W5082" s="8"/>
      <c r="X5082" s="8"/>
      <c r="Y5082" s="8"/>
      <c r="Z5082" s="8"/>
    </row>
    <row r="5083" spans="1:26" ht="12.75">
      <c r="A5083" s="11">
        <v>43747.096932870365</v>
      </c>
      <c r="B5083" s="12" t="str">
        <f>HYPERLINK("https://twitter.com/oktaymoktay","@oktaymoktay")</f>
        <v>@oktaymoktay</v>
      </c>
      <c r="C5083" s="7" t="s">
        <v>24410</v>
      </c>
      <c r="D5083" s="7" t="s">
        <v>24411</v>
      </c>
      <c r="E5083" s="12" t="str">
        <f>HYPERLINK("https://twitter.com/oktaymoktay/status/1181861757918351360","1181861757918351360")</f>
        <v>1181861757918351360</v>
      </c>
      <c r="F5083" s="8"/>
      <c r="G5083" s="15"/>
      <c r="H5083" s="8"/>
      <c r="I5083" s="15">
        <v>0</v>
      </c>
      <c r="J5083" s="15">
        <v>5</v>
      </c>
      <c r="K5083" s="12" t="str">
        <f>HYPERLINK("http://twitter.com/download/android","Twitter for Android")</f>
        <v>Twitter for Android</v>
      </c>
      <c r="L5083" s="16">
        <v>4046</v>
      </c>
      <c r="M5083" s="16">
        <v>4076</v>
      </c>
      <c r="N5083" s="16">
        <v>4</v>
      </c>
      <c r="O5083" s="17"/>
      <c r="P5083" s="18">
        <v>43234.09847222222</v>
      </c>
      <c r="Q5083" s="7" t="s">
        <v>14533</v>
      </c>
      <c r="R5083" s="7" t="s">
        <v>24412</v>
      </c>
      <c r="S5083" s="8"/>
      <c r="T5083" s="8"/>
      <c r="U5083" s="19" t="str">
        <f>HYPERLINK("https://pbs.twimg.com/profile_images/1169538283015168005/y4pz_1tl.jpg","View")</f>
        <v>View</v>
      </c>
      <c r="V5083" s="8"/>
      <c r="W5083" s="8"/>
      <c r="X5083" s="8"/>
      <c r="Y5083" s="8"/>
      <c r="Z5083" s="8"/>
    </row>
    <row r="5084" spans="1:26" ht="12.75">
      <c r="A5084" s="11">
        <v>43747.096851851849</v>
      </c>
      <c r="B5084" s="12" t="str">
        <f>HYPERLINK("https://twitter.com/ReyhanYalcin7","@ReyhanYalcin7")</f>
        <v>@ReyhanYalcin7</v>
      </c>
      <c r="C5084" s="7" t="s">
        <v>24413</v>
      </c>
      <c r="D5084" s="7" t="s">
        <v>24414</v>
      </c>
      <c r="E5084" s="12" t="str">
        <f>HYPERLINK("https://twitter.com/ReyhanYalcin7/status/1181861727069245440","1181861727069245440")</f>
        <v>1181861727069245440</v>
      </c>
      <c r="F5084" s="8"/>
      <c r="G5084" s="14" t="s">
        <v>24415</v>
      </c>
      <c r="H5084" s="8"/>
      <c r="I5084" s="15">
        <v>1</v>
      </c>
      <c r="J5084" s="15">
        <v>2</v>
      </c>
      <c r="K5084" s="12" t="str">
        <f>HYPERLINK("http://twitter.com/download/android","Twitter for Android")</f>
        <v>Twitter for Android</v>
      </c>
      <c r="L5084" s="16">
        <v>65</v>
      </c>
      <c r="M5084" s="16">
        <v>310</v>
      </c>
      <c r="N5084" s="16">
        <v>0</v>
      </c>
      <c r="O5084" s="17"/>
      <c r="P5084" s="18">
        <v>43305.566631944443</v>
      </c>
      <c r="Q5084" s="8"/>
      <c r="R5084" s="7"/>
      <c r="S5084" s="8"/>
      <c r="T5084" s="8"/>
      <c r="U5084" s="19" t="str">
        <f>HYPERLINK("https://pbs.twimg.com/profile_images/1099698637670629376/tv2gyDqX.jpg","View")</f>
        <v>View</v>
      </c>
      <c r="V5084" s="8"/>
      <c r="W5084" s="8"/>
      <c r="X5084" s="8"/>
      <c r="Y5084" s="8"/>
      <c r="Z5084" s="8"/>
    </row>
    <row r="5085" spans="1:26" ht="12.75">
      <c r="A5085" s="11">
        <v>43747.096817129626</v>
      </c>
      <c r="B5085" s="12" t="str">
        <f>HYPERLINK("https://twitter.com/gokturkbeyii","@gokturkbeyii")</f>
        <v>@gokturkbeyii</v>
      </c>
      <c r="C5085" s="7" t="s">
        <v>24416</v>
      </c>
      <c r="D5085" s="7" t="s">
        <v>24417</v>
      </c>
      <c r="E5085" s="12" t="str">
        <f>HYPERLINK("https://twitter.com/gokturkbeyii/status/1181861713655799808","1181861713655799808")</f>
        <v>1181861713655799808</v>
      </c>
      <c r="F5085" s="8"/>
      <c r="G5085" s="14" t="s">
        <v>24418</v>
      </c>
      <c r="H5085" s="8"/>
      <c r="I5085" s="15">
        <v>1</v>
      </c>
      <c r="J5085" s="15">
        <v>2</v>
      </c>
      <c r="K5085" s="12" t="str">
        <f>HYPERLINK("http://twitter.com/download/iphone","Twitter for iPhone")</f>
        <v>Twitter for iPhone</v>
      </c>
      <c r="L5085" s="16">
        <v>147</v>
      </c>
      <c r="M5085" s="16">
        <v>313</v>
      </c>
      <c r="N5085" s="16">
        <v>1</v>
      </c>
      <c r="O5085" s="17"/>
      <c r="P5085" s="18">
        <v>41608.320879629631</v>
      </c>
      <c r="Q5085" s="7"/>
      <c r="R5085" s="7" t="s">
        <v>24419</v>
      </c>
      <c r="S5085" s="8"/>
      <c r="T5085" s="8"/>
      <c r="U5085" s="19" t="str">
        <f>HYPERLINK("https://pbs.twimg.com/profile_images/1078583963659177986/fXKS5yzn.jpg","View")</f>
        <v>View</v>
      </c>
      <c r="V5085" s="8"/>
      <c r="W5085" s="8"/>
      <c r="X5085" s="8"/>
      <c r="Y5085" s="8"/>
      <c r="Z5085" s="8"/>
    </row>
    <row r="5086" spans="1:26" ht="12.75">
      <c r="A5086" s="11">
        <v>43747.09679398148</v>
      </c>
      <c r="B5086" s="12" t="str">
        <f>HYPERLINK("https://twitter.com/OkanGRLER","@OkanGRLER")</f>
        <v>@OkanGRLER</v>
      </c>
      <c r="C5086" s="7" t="s">
        <v>24420</v>
      </c>
      <c r="D5086" s="7" t="s">
        <v>24421</v>
      </c>
      <c r="E5086" s="12" t="str">
        <f>HYPERLINK("https://twitter.com/OkanGRLER/status/1181861708538753025","1181861708538753025")</f>
        <v>1181861708538753025</v>
      </c>
      <c r="F5086" s="14" t="s">
        <v>24422</v>
      </c>
      <c r="G5086" s="14" t="s">
        <v>24423</v>
      </c>
      <c r="H5086" s="8"/>
      <c r="I5086" s="15">
        <v>0</v>
      </c>
      <c r="J5086" s="15">
        <v>1</v>
      </c>
      <c r="K5086" s="12" t="str">
        <f>HYPERLINK("https://mobile.twitter.com","Twitter Web App")</f>
        <v>Twitter Web App</v>
      </c>
      <c r="L5086" s="16">
        <v>152</v>
      </c>
      <c r="M5086" s="16">
        <v>542</v>
      </c>
      <c r="N5086" s="16">
        <v>0</v>
      </c>
      <c r="O5086" s="17"/>
      <c r="P5086" s="18">
        <v>41750.586273148147</v>
      </c>
      <c r="Q5086" s="7" t="s">
        <v>24424</v>
      </c>
      <c r="R5086" s="7" t="s">
        <v>24425</v>
      </c>
      <c r="S5086" s="8"/>
      <c r="T5086" s="8"/>
      <c r="U5086" s="19" t="str">
        <f>HYPERLINK("https://pbs.twimg.com/profile_images/945349748617248769/oI6Kizka.jpg","View")</f>
        <v>View</v>
      </c>
      <c r="V5086" s="8"/>
      <c r="W5086" s="8"/>
      <c r="X5086" s="8"/>
      <c r="Y5086" s="8"/>
      <c r="Z5086" s="8"/>
    </row>
    <row r="5087" spans="1:26" ht="12.75">
      <c r="A5087" s="11">
        <v>43747.096550925926</v>
      </c>
      <c r="B5087" s="12" t="str">
        <f>HYPERLINK("https://twitter.com/OguzhanBagdatli","@OguzhanBagdatli")</f>
        <v>@OguzhanBagdatli</v>
      </c>
      <c r="C5087" s="7" t="s">
        <v>24426</v>
      </c>
      <c r="D5087" s="7" t="s">
        <v>24427</v>
      </c>
      <c r="E5087" s="12" t="str">
        <f>HYPERLINK("https://twitter.com/OguzhanBagdatli/status/1181861619778904066","1181861619778904066")</f>
        <v>1181861619778904066</v>
      </c>
      <c r="F5087" s="8"/>
      <c r="G5087" s="8"/>
      <c r="H5087" s="8"/>
      <c r="I5087" s="15">
        <v>0</v>
      </c>
      <c r="J5087" s="15">
        <v>0</v>
      </c>
      <c r="K5087" s="12" t="str">
        <f>HYPERLINK("https://mobile.twitter.com","Twitter Web App")</f>
        <v>Twitter Web App</v>
      </c>
      <c r="L5087" s="16">
        <v>4248</v>
      </c>
      <c r="M5087" s="16">
        <v>141</v>
      </c>
      <c r="N5087" s="16">
        <v>2</v>
      </c>
      <c r="O5087" s="17"/>
      <c r="P5087" s="18">
        <v>40767.342314814814</v>
      </c>
      <c r="Q5087" s="7" t="s">
        <v>24428</v>
      </c>
      <c r="R5087" s="7" t="s">
        <v>24429</v>
      </c>
      <c r="S5087" s="14" t="s">
        <v>24430</v>
      </c>
      <c r="T5087" s="8"/>
      <c r="U5087" s="19" t="str">
        <f>HYPERLINK("https://pbs.twimg.com/profile_images/1039621782871912455/QFJ_Ogpw.jpg","View")</f>
        <v>View</v>
      </c>
      <c r="V5087" s="8"/>
      <c r="W5087" s="8"/>
      <c r="X5087" s="8"/>
      <c r="Y5087" s="8"/>
      <c r="Z5087" s="8"/>
    </row>
    <row r="5088" spans="1:26" ht="12.75">
      <c r="A5088" s="11">
        <v>43747.096539351856</v>
      </c>
      <c r="B5088" s="12" t="str">
        <f>HYPERLINK("https://twitter.com/hejarpola","@hejarpola")</f>
        <v>@hejarpola</v>
      </c>
      <c r="C5088" s="7" t="s">
        <v>19220</v>
      </c>
      <c r="D5088" s="7" t="s">
        <v>24431</v>
      </c>
      <c r="E5088" s="12" t="str">
        <f>HYPERLINK("https://twitter.com/hejarpola/status/1181861613047078913","1181861613047078913")</f>
        <v>1181861613047078913</v>
      </c>
      <c r="F5088" s="8"/>
      <c r="G5088" s="8"/>
      <c r="H5088" s="8"/>
      <c r="I5088" s="15">
        <v>0</v>
      </c>
      <c r="J5088" s="15">
        <v>0</v>
      </c>
      <c r="K5088" s="12" t="str">
        <f>HYPERLINK("http://twitter.com/download/iphone","Twitter for iPhone")</f>
        <v>Twitter for iPhone</v>
      </c>
      <c r="L5088" s="16">
        <v>253</v>
      </c>
      <c r="M5088" s="16">
        <v>389</v>
      </c>
      <c r="N5088" s="16">
        <v>0</v>
      </c>
      <c r="O5088" s="17"/>
      <c r="P5088" s="18">
        <v>40543.446817129632</v>
      </c>
      <c r="Q5088" s="7"/>
      <c r="R5088" s="7" t="s">
        <v>24432</v>
      </c>
      <c r="S5088" s="8"/>
      <c r="T5088" s="8"/>
      <c r="U5088" s="19" t="str">
        <f>HYPERLINK("https://pbs.twimg.com/profile_images/1051109115047682048/MMvDLavF.jpg","View")</f>
        <v>View</v>
      </c>
      <c r="V5088" s="8"/>
      <c r="W5088" s="8"/>
      <c r="X5088" s="8"/>
      <c r="Y5088" s="8"/>
      <c r="Z5088" s="8"/>
    </row>
    <row r="5089" spans="1:26" ht="12.75">
      <c r="A5089" s="11">
        <v>43747.09642361111</v>
      </c>
      <c r="B5089" s="12" t="str">
        <f>HYPERLINK("https://twitter.com/AtakanA52407158","@AtakanA52407158")</f>
        <v>@AtakanA52407158</v>
      </c>
      <c r="C5089" s="7" t="s">
        <v>24433</v>
      </c>
      <c r="D5089" s="7" t="s">
        <v>24434</v>
      </c>
      <c r="E5089" s="12" t="str">
        <f>HYPERLINK("https://twitter.com/AtakanA52407158/status/1181861572483960832","1181861572483960832")</f>
        <v>1181861572483960832</v>
      </c>
      <c r="F5089" s="8"/>
      <c r="G5089" s="15"/>
      <c r="H5089" s="8"/>
      <c r="I5089" s="15">
        <v>0</v>
      </c>
      <c r="J5089" s="15">
        <v>0</v>
      </c>
      <c r="K5089" s="12" t="str">
        <f>HYPERLINK("http://twitter.com/download/android","Twitter for Android")</f>
        <v>Twitter for Android</v>
      </c>
      <c r="L5089" s="16">
        <v>141</v>
      </c>
      <c r="M5089" s="16">
        <v>195</v>
      </c>
      <c r="N5089" s="16">
        <v>0</v>
      </c>
      <c r="O5089" s="17"/>
      <c r="P5089" s="18">
        <v>43463.111574074079</v>
      </c>
      <c r="Q5089" s="8" t="s">
        <v>80</v>
      </c>
      <c r="R5089" s="8" t="s">
        <v>24435</v>
      </c>
      <c r="S5089" s="15"/>
      <c r="T5089" s="8"/>
      <c r="U5089" s="19" t="str">
        <f>HYPERLINK("https://pbs.twimg.com/profile_images/1085107583856328704/3DfKx_ED.jpg","View")</f>
        <v>View</v>
      </c>
      <c r="V5089" s="8"/>
      <c r="W5089" s="8"/>
      <c r="X5089" s="8"/>
      <c r="Y5089" s="8"/>
      <c r="Z5089" s="8"/>
    </row>
    <row r="5090" spans="1:26" ht="12.75">
      <c r="A5090" s="11">
        <v>43747.096388888887</v>
      </c>
      <c r="B5090" s="12" t="str">
        <f>HYPERLINK("https://twitter.com/BASKENTHOCA","@BASKENTHOCA")</f>
        <v>@BASKENTHOCA</v>
      </c>
      <c r="C5090" s="7" t="s">
        <v>24436</v>
      </c>
      <c r="D5090" s="7" t="s">
        <v>24437</v>
      </c>
      <c r="E5090" s="12" t="str">
        <f>HYPERLINK("https://twitter.com/BASKENTHOCA/status/1181861561671049216","1181861561671049216")</f>
        <v>1181861561671049216</v>
      </c>
      <c r="F5090" s="8"/>
      <c r="G5090" s="14" t="s">
        <v>24438</v>
      </c>
      <c r="H5090" s="8"/>
      <c r="I5090" s="15">
        <v>0</v>
      </c>
      <c r="J5090" s="15">
        <v>0</v>
      </c>
      <c r="K5090" s="12" t="str">
        <f>HYPERLINK("http://twitter.com/download/android","Twitter for Android")</f>
        <v>Twitter for Android</v>
      </c>
      <c r="L5090" s="16">
        <v>79</v>
      </c>
      <c r="M5090" s="16">
        <v>42</v>
      </c>
      <c r="N5090" s="16">
        <v>2</v>
      </c>
      <c r="O5090" s="17"/>
      <c r="P5090" s="18">
        <v>42776.362395833334</v>
      </c>
      <c r="Q5090" s="7"/>
      <c r="R5090" s="7"/>
      <c r="S5090" s="8"/>
      <c r="T5090" s="8"/>
      <c r="U5090" s="19" t="str">
        <f>HYPERLINK("https://pbs.twimg.com/profile_images/951892490545762305/osUqpt4v.jpg","View")</f>
        <v>View</v>
      </c>
      <c r="V5090" s="8"/>
      <c r="W5090" s="8"/>
      <c r="X5090" s="8"/>
      <c r="Y5090" s="8"/>
      <c r="Z5090" s="8"/>
    </row>
    <row r="5091" spans="1:26" ht="12.75">
      <c r="A5091" s="11">
        <v>43747.096307870372</v>
      </c>
      <c r="B5091" s="12" t="str">
        <f>HYPERLINK("https://twitter.com/basgan_hnm","@basgan_hnm")</f>
        <v>@basgan_hnm</v>
      </c>
      <c r="C5091" s="7" t="s">
        <v>24439</v>
      </c>
      <c r="D5091" s="7" t="s">
        <v>24440</v>
      </c>
      <c r="E5091" s="12" t="str">
        <f>HYPERLINK("https://twitter.com/basgan_hnm/status/1181861529043587072","1181861529043587072")</f>
        <v>1181861529043587072</v>
      </c>
      <c r="F5091" s="8"/>
      <c r="G5091" s="14" t="s">
        <v>24441</v>
      </c>
      <c r="H5091" s="8"/>
      <c r="I5091" s="15">
        <v>5</v>
      </c>
      <c r="J5091" s="15">
        <v>17</v>
      </c>
      <c r="K5091" s="12" t="str">
        <f>HYPERLINK("http://twitter.com/download/iphone","Twitter for iPhone")</f>
        <v>Twitter for iPhone</v>
      </c>
      <c r="L5091" s="16">
        <v>1827</v>
      </c>
      <c r="M5091" s="16">
        <v>1199</v>
      </c>
      <c r="N5091" s="16">
        <v>2</v>
      </c>
      <c r="O5091" s="17"/>
      <c r="P5091" s="18">
        <v>41942.308819444443</v>
      </c>
      <c r="Q5091" s="8" t="s">
        <v>24442</v>
      </c>
      <c r="R5091" s="7" t="s">
        <v>24443</v>
      </c>
      <c r="S5091" s="8"/>
      <c r="T5091" s="8"/>
      <c r="U5091" s="19" t="str">
        <f>HYPERLINK("https://pbs.twimg.com/profile_images/1181568581617754112/RGqTvhc0.jpg","View")</f>
        <v>View</v>
      </c>
      <c r="V5091" s="8"/>
      <c r="W5091" s="8"/>
      <c r="X5091" s="8"/>
      <c r="Y5091" s="8"/>
      <c r="Z5091" s="8"/>
    </row>
    <row r="5092" spans="1:26" ht="12.75">
      <c r="A5092" s="11">
        <v>43747.096273148149</v>
      </c>
      <c r="B5092" s="12" t="str">
        <f>HYPERLINK("https://twitter.com/_es1905","@_es1905")</f>
        <v>@_es1905</v>
      </c>
      <c r="C5092" s="7" t="s">
        <v>24444</v>
      </c>
      <c r="D5092" s="7" t="s">
        <v>24445</v>
      </c>
      <c r="E5092" s="12" t="str">
        <f>HYPERLINK("https://twitter.com/_es1905/status/1181861516305416195","1181861516305416195")</f>
        <v>1181861516305416195</v>
      </c>
      <c r="F5092" s="8"/>
      <c r="G5092" s="8"/>
      <c r="H5092" s="8"/>
      <c r="I5092" s="15">
        <v>0</v>
      </c>
      <c r="J5092" s="15">
        <v>0</v>
      </c>
      <c r="K5092" s="12" t="str">
        <f>HYPERLINK("http://twitter.com/download/android","Twitter for Android")</f>
        <v>Twitter for Android</v>
      </c>
      <c r="L5092" s="16">
        <v>189</v>
      </c>
      <c r="M5092" s="16">
        <v>419</v>
      </c>
      <c r="N5092" s="16">
        <v>0</v>
      </c>
      <c r="O5092" s="17"/>
      <c r="P5092" s="18">
        <v>40751.487361111111</v>
      </c>
      <c r="Q5092" s="8"/>
      <c r="R5092" s="8" t="s">
        <v>24446</v>
      </c>
      <c r="S5092" s="8"/>
      <c r="T5092" s="8"/>
      <c r="U5092" s="19" t="str">
        <f>HYPERLINK("https://pbs.twimg.com/profile_images/723169679800414208/94scp9Q2.jpg","View")</f>
        <v>View</v>
      </c>
      <c r="V5092" s="8"/>
      <c r="W5092" s="8"/>
      <c r="X5092" s="8"/>
      <c r="Y5092" s="8"/>
      <c r="Z5092" s="8"/>
    </row>
    <row r="5093" spans="1:26" ht="12.75">
      <c r="A5093" s="11">
        <v>43747.096215277779</v>
      </c>
      <c r="B5093" s="12" t="str">
        <f>HYPERLINK("https://twitter.com/orhankroglu","@orhankroglu")</f>
        <v>@orhankroglu</v>
      </c>
      <c r="C5093" s="7" t="s">
        <v>24447</v>
      </c>
      <c r="D5093" s="7" t="s">
        <v>160</v>
      </c>
      <c r="E5093" s="12" t="str">
        <f>HYPERLINK("https://twitter.com/orhankroglu/status/1181861498815225857","1181861498815225857")</f>
        <v>1181861498815225857</v>
      </c>
      <c r="F5093" s="8"/>
      <c r="G5093" s="8"/>
      <c r="H5093" s="8"/>
      <c r="I5093" s="15">
        <v>0</v>
      </c>
      <c r="J5093" s="15">
        <v>0</v>
      </c>
      <c r="K5093" s="12" t="str">
        <f>HYPERLINK("http://twitter.com/download/android","Twitter for Android")</f>
        <v>Twitter for Android</v>
      </c>
      <c r="L5093" s="16">
        <v>3200</v>
      </c>
      <c r="M5093" s="16">
        <v>4030</v>
      </c>
      <c r="N5093" s="16">
        <v>1</v>
      </c>
      <c r="O5093" s="17"/>
      <c r="P5093" s="18">
        <v>40699.158356481479</v>
      </c>
      <c r="Q5093" s="7" t="s">
        <v>313</v>
      </c>
      <c r="R5093" s="7" t="s">
        <v>24448</v>
      </c>
      <c r="S5093" s="14" t="s">
        <v>24449</v>
      </c>
      <c r="T5093" s="8"/>
      <c r="U5093" s="19" t="str">
        <f>HYPERLINK("https://pbs.twimg.com/profile_images/1080130148064788480/B89JUat1.jpg","View")</f>
        <v>View</v>
      </c>
      <c r="V5093" s="8"/>
      <c r="W5093" s="8"/>
      <c r="X5093" s="8"/>
      <c r="Y5093" s="8"/>
      <c r="Z5093" s="8"/>
    </row>
    <row r="5094" spans="1:26" ht="12.75">
      <c r="A5094" s="11">
        <v>43747.096203703702</v>
      </c>
      <c r="B5094" s="12" t="str">
        <f>HYPERLINK("https://twitter.com/Ferit24993681","@Ferit24993681")</f>
        <v>@Ferit24993681</v>
      </c>
      <c r="C5094" s="7" t="s">
        <v>24450</v>
      </c>
      <c r="D5094" s="7" t="s">
        <v>160</v>
      </c>
      <c r="E5094" s="12" t="str">
        <f>HYPERLINK("https://twitter.com/Ferit24993681/status/1181861491730980864","1181861491730980864")</f>
        <v>1181861491730980864</v>
      </c>
      <c r="F5094" s="8"/>
      <c r="G5094" s="14" t="s">
        <v>24451</v>
      </c>
      <c r="H5094" s="8"/>
      <c r="I5094" s="15">
        <v>0</v>
      </c>
      <c r="J5094" s="15">
        <v>0</v>
      </c>
      <c r="K5094" s="12" t="str">
        <f>HYPERLINK("http://twitter.com/download/android","Twitter for Android")</f>
        <v>Twitter for Android</v>
      </c>
      <c r="L5094" s="16">
        <v>0</v>
      </c>
      <c r="M5094" s="16">
        <v>5</v>
      </c>
      <c r="N5094" s="16">
        <v>0</v>
      </c>
      <c r="O5094" s="17"/>
      <c r="P5094" s="18">
        <v>43736.181770833333</v>
      </c>
      <c r="Q5094" s="7"/>
      <c r="R5094" s="7"/>
      <c r="S5094" s="8"/>
      <c r="T5094" s="8"/>
      <c r="U5094" s="19" t="str">
        <f>HYPERLINK("https://pbs.twimg.com/profile_images/1177906459658608640/6iK7M1YH.jpg","View")</f>
        <v>View</v>
      </c>
      <c r="V5094" s="8"/>
      <c r="W5094" s="8"/>
      <c r="X5094" s="8"/>
      <c r="Y5094" s="8"/>
      <c r="Z5094" s="8"/>
    </row>
    <row r="5095" spans="1:26" ht="12.75">
      <c r="A5095" s="11">
        <v>43747.096192129626</v>
      </c>
      <c r="B5095" s="12" t="str">
        <f>HYPERLINK("https://twitter.com/AhmedKarademir1","@AhmedKarademir1")</f>
        <v>@AhmedKarademir1</v>
      </c>
      <c r="C5095" s="7" t="s">
        <v>24452</v>
      </c>
      <c r="D5095" s="7" t="s">
        <v>24453</v>
      </c>
      <c r="E5095" s="12" t="str">
        <f>HYPERLINK("https://twitter.com/AhmedKarademir1/status/1181861486915981312","1181861486915981312")</f>
        <v>1181861486915981312</v>
      </c>
      <c r="F5095" s="8"/>
      <c r="G5095" s="8"/>
      <c r="H5095" s="8"/>
      <c r="I5095" s="15">
        <v>0</v>
      </c>
      <c r="J5095" s="15">
        <v>0</v>
      </c>
      <c r="K5095" s="12" t="str">
        <f>HYPERLINK("http://twitter.com/download/android","Twitter for Android")</f>
        <v>Twitter for Android</v>
      </c>
      <c r="L5095" s="16">
        <v>6</v>
      </c>
      <c r="M5095" s="16">
        <v>107</v>
      </c>
      <c r="N5095" s="16">
        <v>0</v>
      </c>
      <c r="O5095" s="17"/>
      <c r="P5095" s="18">
        <v>43067.126284722224</v>
      </c>
      <c r="Q5095" s="7" t="s">
        <v>24454</v>
      </c>
      <c r="R5095" s="7" t="s">
        <v>24455</v>
      </c>
      <c r="S5095" s="8"/>
      <c r="T5095" s="8"/>
      <c r="U5095" s="19" t="str">
        <f>HYPERLINK("https://pbs.twimg.com/profile_images/943790198328037376/1j_zkSIk.jpg","View")</f>
        <v>View</v>
      </c>
      <c r="V5095" s="8"/>
      <c r="W5095" s="8"/>
      <c r="X5095" s="8"/>
      <c r="Y5095" s="8"/>
      <c r="Z5095" s="8"/>
    </row>
    <row r="5096" spans="1:26" ht="12.75">
      <c r="A5096" s="11">
        <v>43747.096180555556</v>
      </c>
      <c r="B5096" s="12" t="str">
        <f>HYPERLINK("https://twitter.com/DemirbasAhmet38","@DemirbasAhmet38")</f>
        <v>@DemirbasAhmet38</v>
      </c>
      <c r="C5096" s="7" t="s">
        <v>2347</v>
      </c>
      <c r="D5096" s="7" t="s">
        <v>160</v>
      </c>
      <c r="E5096" s="12" t="str">
        <f>HYPERLINK("https://twitter.com/DemirbasAhmet38/status/1181861483459829760","1181861483459829760")</f>
        <v>1181861483459829760</v>
      </c>
      <c r="F5096" s="8"/>
      <c r="G5096" s="8"/>
      <c r="H5096" s="8"/>
      <c r="I5096" s="15">
        <v>0</v>
      </c>
      <c r="J5096" s="15">
        <v>0</v>
      </c>
      <c r="K5096" s="12" t="str">
        <f>HYPERLINK("https://mobile.twitter.com","Twitter Web App")</f>
        <v>Twitter Web App</v>
      </c>
      <c r="L5096" s="16">
        <v>15</v>
      </c>
      <c r="M5096" s="16">
        <v>32</v>
      </c>
      <c r="N5096" s="16">
        <v>0</v>
      </c>
      <c r="O5096" s="17"/>
      <c r="P5096" s="18">
        <v>43656.565763888888</v>
      </c>
      <c r="Q5096" s="8"/>
      <c r="R5096" s="8" t="s">
        <v>24456</v>
      </c>
      <c r="S5096" s="8"/>
      <c r="T5096" s="8"/>
      <c r="U5096" s="19" t="str">
        <f>HYPERLINK("https://pbs.twimg.com/profile_images/1149054512952487937/0C6KOcty.jpg","View")</f>
        <v>View</v>
      </c>
      <c r="V5096" s="8"/>
      <c r="W5096" s="8"/>
      <c r="X5096" s="8"/>
      <c r="Y5096" s="8"/>
      <c r="Z5096" s="8"/>
    </row>
    <row r="5097" spans="1:26" ht="12.75">
      <c r="A5097" s="11">
        <v>43747.096041666664</v>
      </c>
      <c r="B5097" s="12" t="str">
        <f>HYPERLINK("https://twitter.com/yorumcu00","@yorumcu00")</f>
        <v>@yorumcu00</v>
      </c>
      <c r="C5097" s="7" t="s">
        <v>24457</v>
      </c>
      <c r="D5097" s="7" t="s">
        <v>24458</v>
      </c>
      <c r="E5097" s="12" t="str">
        <f>HYPERLINK("https://twitter.com/yorumcu00/status/1181861432872357890","1181861432872357890")</f>
        <v>1181861432872357890</v>
      </c>
      <c r="F5097" s="8"/>
      <c r="G5097" s="14" t="s">
        <v>24459</v>
      </c>
      <c r="H5097" s="8"/>
      <c r="I5097" s="15">
        <v>0</v>
      </c>
      <c r="J5097" s="15">
        <v>1</v>
      </c>
      <c r="K5097" s="12" t="str">
        <f>HYPERLINK("http://twitter.com/download/android","Twitter for Android")</f>
        <v>Twitter for Android</v>
      </c>
      <c r="L5097" s="16">
        <v>52</v>
      </c>
      <c r="M5097" s="16">
        <v>175</v>
      </c>
      <c r="N5097" s="16">
        <v>0</v>
      </c>
      <c r="O5097" s="17"/>
      <c r="P5097" s="18">
        <v>42715.385162037041</v>
      </c>
      <c r="Q5097" s="7" t="s">
        <v>200</v>
      </c>
      <c r="R5097" s="7" t="s">
        <v>8835</v>
      </c>
      <c r="S5097" s="8"/>
      <c r="T5097" s="8"/>
      <c r="U5097" s="19" t="str">
        <f>HYPERLINK("https://pbs.twimg.com/profile_images/1181862731470839808/lZS5DF1r.jpg","View")</f>
        <v>View</v>
      </c>
      <c r="V5097" s="8"/>
      <c r="W5097" s="8"/>
      <c r="X5097" s="8"/>
      <c r="Y5097" s="8"/>
      <c r="Z5097" s="8"/>
    </row>
    <row r="5098" spans="1:26" ht="12.75">
      <c r="A5098" s="11">
        <v>43747.096041666664</v>
      </c>
      <c r="B5098" s="12" t="str">
        <f>HYPERLINK("https://twitter.com/conquer69554689","@conquer69554689")</f>
        <v>@conquer69554689</v>
      </c>
      <c r="C5098" s="7" t="s">
        <v>24460</v>
      </c>
      <c r="D5098" s="7" t="s">
        <v>24461</v>
      </c>
      <c r="E5098" s="12" t="str">
        <f>HYPERLINK("https://twitter.com/conquer69554689/status/1181861432549396480","1181861432549396480")</f>
        <v>1181861432549396480</v>
      </c>
      <c r="F5098" s="15"/>
      <c r="G5098" s="15"/>
      <c r="H5098" s="8"/>
      <c r="I5098" s="15">
        <v>1</v>
      </c>
      <c r="J5098" s="15">
        <v>0</v>
      </c>
      <c r="K5098" s="12" t="str">
        <f>HYPERLINK("http://twitter.com/download/android","Twitter for Android")</f>
        <v>Twitter for Android</v>
      </c>
      <c r="L5098" s="16">
        <v>300</v>
      </c>
      <c r="M5098" s="16">
        <v>733</v>
      </c>
      <c r="N5098" s="16">
        <v>1</v>
      </c>
      <c r="O5098" s="17"/>
      <c r="P5098" s="18">
        <v>40423.085370370369</v>
      </c>
      <c r="Q5098" s="7"/>
      <c r="R5098" s="7"/>
      <c r="S5098" s="8"/>
      <c r="T5098" s="8"/>
      <c r="U5098" s="19" t="str">
        <f>HYPERLINK("https://pbs.twimg.com/profile_images/378800000396917439/048236d29ae4c7854117b2fd69902d7e.jpeg","View")</f>
        <v>View</v>
      </c>
      <c r="V5098" s="8"/>
      <c r="W5098" s="8"/>
      <c r="X5098" s="8"/>
      <c r="Y5098" s="8"/>
      <c r="Z5098" s="8"/>
    </row>
    <row r="5099" spans="1:26" ht="12.75">
      <c r="A5099" s="11">
        <v>43747.096030092594</v>
      </c>
      <c r="B5099" s="12" t="str">
        <f>HYPERLINK("https://twitter.com/MFurkanKalkan","@MFurkanKalkan")</f>
        <v>@MFurkanKalkan</v>
      </c>
      <c r="C5099" s="7" t="s">
        <v>24462</v>
      </c>
      <c r="D5099" s="7" t="s">
        <v>24463</v>
      </c>
      <c r="E5099" s="12" t="str">
        <f>HYPERLINK("https://twitter.com/MFurkanKalkan/status/1181861430448021504","1181861430448021504")</f>
        <v>1181861430448021504</v>
      </c>
      <c r="F5099" s="15"/>
      <c r="G5099" s="14" t="s">
        <v>24464</v>
      </c>
      <c r="H5099" s="8"/>
      <c r="I5099" s="15">
        <v>1</v>
      </c>
      <c r="J5099" s="15">
        <v>2</v>
      </c>
      <c r="K5099" s="12" t="str">
        <f>HYPERLINK("http://twitter.com/download/iphone","Twitter for iPhone")</f>
        <v>Twitter for iPhone</v>
      </c>
      <c r="L5099" s="16">
        <v>1161</v>
      </c>
      <c r="M5099" s="16">
        <v>849</v>
      </c>
      <c r="N5099" s="16">
        <v>0</v>
      </c>
      <c r="O5099" s="17"/>
      <c r="P5099" s="18">
        <v>42570.375914351855</v>
      </c>
      <c r="Q5099" s="8"/>
      <c r="R5099" s="8" t="s">
        <v>24465</v>
      </c>
      <c r="S5099" s="8"/>
      <c r="T5099" s="8"/>
      <c r="U5099" s="19" t="str">
        <f>HYPERLINK("https://pbs.twimg.com/profile_images/1170380756629250051/1cLLMcEC.jpg","View")</f>
        <v>View</v>
      </c>
      <c r="V5099" s="8"/>
      <c r="W5099" s="8"/>
      <c r="X5099" s="8"/>
      <c r="Y5099" s="8"/>
      <c r="Z5099" s="8"/>
    </row>
    <row r="5100" spans="1:26" ht="12.75">
      <c r="A5100" s="11">
        <v>43747.095949074079</v>
      </c>
      <c r="B5100" s="12" t="str">
        <f>HYPERLINK("https://twitter.com/hayruddin","@hayruddin")</f>
        <v>@hayruddin</v>
      </c>
      <c r="C5100" s="7" t="s">
        <v>24466</v>
      </c>
      <c r="D5100" s="7" t="s">
        <v>24467</v>
      </c>
      <c r="E5100" s="12" t="str">
        <f>HYPERLINK("https://twitter.com/hayruddin/status/1181861401360523264","1181861401360523264")</f>
        <v>1181861401360523264</v>
      </c>
      <c r="F5100" s="8"/>
      <c r="G5100" s="14" t="s">
        <v>24468</v>
      </c>
      <c r="H5100" s="8"/>
      <c r="I5100" s="15">
        <v>2</v>
      </c>
      <c r="J5100" s="15">
        <v>4</v>
      </c>
      <c r="K5100" s="12" t="str">
        <f>HYPERLINK("https://mobile.twitter.com","Twitter Web App")</f>
        <v>Twitter Web App</v>
      </c>
      <c r="L5100" s="16">
        <v>1682</v>
      </c>
      <c r="M5100" s="16">
        <v>245</v>
      </c>
      <c r="N5100" s="16">
        <v>2</v>
      </c>
      <c r="O5100" s="17"/>
      <c r="P5100" s="18">
        <v>40841.471967592595</v>
      </c>
      <c r="Q5100" s="8" t="s">
        <v>6115</v>
      </c>
      <c r="R5100" s="7"/>
      <c r="S5100" s="8"/>
      <c r="T5100" s="8"/>
      <c r="U5100" s="19" t="str">
        <f>HYPERLINK("https://pbs.twimg.com/profile_images/1100307589009760257/9BZjWG1R.png","View")</f>
        <v>View</v>
      </c>
      <c r="V5100" s="8"/>
      <c r="W5100" s="8"/>
      <c r="X5100" s="8"/>
      <c r="Y5100" s="8"/>
      <c r="Z5100" s="8"/>
    </row>
    <row r="5101" spans="1:26" ht="12.75">
      <c r="A5101" s="11">
        <v>43747.095902777779</v>
      </c>
      <c r="B5101" s="12" t="str">
        <f>HYPERLINK("https://twitter.com/kaansuekinci1","@kaansuekinci1")</f>
        <v>@kaansuekinci1</v>
      </c>
      <c r="C5101" s="7" t="s">
        <v>4862</v>
      </c>
      <c r="D5101" s="7" t="s">
        <v>24398</v>
      </c>
      <c r="E5101" s="12" t="str">
        <f>HYPERLINK("https://twitter.com/kaansuekinci1/status/1181861382872014848","1181861382872014848")</f>
        <v>1181861382872014848</v>
      </c>
      <c r="F5101" s="8"/>
      <c r="G5101" s="15"/>
      <c r="H5101" s="8"/>
      <c r="I5101" s="15">
        <v>0</v>
      </c>
      <c r="J5101" s="15">
        <v>0</v>
      </c>
      <c r="K5101" s="12" t="str">
        <f>HYPERLINK("https://mobile.twitter.com","Twitter Web App")</f>
        <v>Twitter Web App</v>
      </c>
      <c r="L5101" s="16">
        <v>6</v>
      </c>
      <c r="M5101" s="16">
        <v>214</v>
      </c>
      <c r="N5101" s="16">
        <v>0</v>
      </c>
      <c r="O5101" s="17"/>
      <c r="P5101" s="18">
        <v>43706.154629629629</v>
      </c>
      <c r="Q5101" s="7"/>
      <c r="R5101" s="7" t="s">
        <v>24469</v>
      </c>
      <c r="S5101" s="8"/>
      <c r="T5101" s="8"/>
      <c r="U5101" s="19" t="str">
        <f>HYPERLINK("https://pbs.twimg.com/profile_images/1167024788130422785/epcKK1zZ.jpg","View")</f>
        <v>View</v>
      </c>
      <c r="V5101" s="8"/>
      <c r="W5101" s="8"/>
      <c r="X5101" s="8"/>
      <c r="Y5101" s="8"/>
      <c r="Z5101" s="8"/>
    </row>
    <row r="5102" spans="1:26" ht="12.75">
      <c r="A5102" s="11">
        <v>43747.095891203702</v>
      </c>
      <c r="B5102" s="12" t="str">
        <f>HYPERLINK("https://twitter.com/oguzaslan66","@oguzaslan66")</f>
        <v>@oguzaslan66</v>
      </c>
      <c r="C5102" s="7" t="s">
        <v>24470</v>
      </c>
      <c r="D5102" s="7" t="s">
        <v>24471</v>
      </c>
      <c r="E5102" s="12" t="str">
        <f>HYPERLINK("https://twitter.com/oguzaslan66/status/1181861380208631812","1181861380208631812")</f>
        <v>1181861380208631812</v>
      </c>
      <c r="F5102" s="8"/>
      <c r="G5102" s="14" t="s">
        <v>24472</v>
      </c>
      <c r="H5102" s="8"/>
      <c r="I5102" s="15">
        <v>0</v>
      </c>
      <c r="J5102" s="15">
        <v>3</v>
      </c>
      <c r="K5102" s="12" t="str">
        <f>HYPERLINK("http://twitter.com/download/android","Twitter for Android")</f>
        <v>Twitter for Android</v>
      </c>
      <c r="L5102" s="16">
        <v>155</v>
      </c>
      <c r="M5102" s="16">
        <v>118</v>
      </c>
      <c r="N5102" s="16">
        <v>0</v>
      </c>
      <c r="O5102" s="17"/>
      <c r="P5102" s="18">
        <v>42075.434872685189</v>
      </c>
      <c r="Q5102" s="8"/>
      <c r="R5102" s="7" t="s">
        <v>24473</v>
      </c>
      <c r="S5102" s="8"/>
      <c r="T5102" s="8"/>
      <c r="U5102" s="19" t="str">
        <f>HYPERLINK("https://pbs.twimg.com/profile_images/1090515827244392448/9pGkXKr0.jpg","View")</f>
        <v>View</v>
      </c>
      <c r="V5102" s="8"/>
      <c r="W5102" s="8"/>
      <c r="X5102" s="8"/>
      <c r="Y5102" s="8"/>
      <c r="Z5102" s="8"/>
    </row>
    <row r="5103" spans="1:26" ht="12.75">
      <c r="A5103" s="11">
        <v>43747.095879629633</v>
      </c>
      <c r="B5103" s="12" t="str">
        <f>HYPERLINK("https://twitter.com/veyaSelim","@veyaSelim")</f>
        <v>@veyaSelim</v>
      </c>
      <c r="C5103" s="7" t="s">
        <v>4984</v>
      </c>
      <c r="D5103" s="7" t="s">
        <v>24474</v>
      </c>
      <c r="E5103" s="12" t="str">
        <f>HYPERLINK("https://twitter.com/veyaSelim/status/1181861377461362688","1181861377461362688")</f>
        <v>1181861377461362688</v>
      </c>
      <c r="F5103" s="8"/>
      <c r="G5103" s="8"/>
      <c r="H5103" s="8"/>
      <c r="I5103" s="15">
        <v>0</v>
      </c>
      <c r="J5103" s="15">
        <v>0</v>
      </c>
      <c r="K5103" s="12" t="str">
        <f>HYPERLINK("http://twitter.com/download/iphone","Twitter for iPhone")</f>
        <v>Twitter for iPhone</v>
      </c>
      <c r="L5103" s="16">
        <v>256</v>
      </c>
      <c r="M5103" s="16">
        <v>166</v>
      </c>
      <c r="N5103" s="16">
        <v>0</v>
      </c>
      <c r="O5103" s="17"/>
      <c r="P5103" s="18">
        <v>41228.541990740741</v>
      </c>
      <c r="Q5103" s="7" t="s">
        <v>2765</v>
      </c>
      <c r="R5103" s="7" t="s">
        <v>24475</v>
      </c>
      <c r="S5103" s="8"/>
      <c r="T5103" s="8"/>
      <c r="U5103" s="19" t="str">
        <f>HYPERLINK("https://pbs.twimg.com/profile_images/1168854857576587264/FURpbncg.jpg","View")</f>
        <v>View</v>
      </c>
      <c r="V5103" s="8"/>
      <c r="W5103" s="8"/>
      <c r="X5103" s="8"/>
      <c r="Y5103" s="8"/>
      <c r="Z5103" s="8"/>
    </row>
    <row r="5104" spans="1:26" ht="12.75">
      <c r="A5104" s="11">
        <v>43747.095879629633</v>
      </c>
      <c r="B5104" s="12" t="str">
        <f>HYPERLINK("https://twitter.com/cetinzi","@cetinzi")</f>
        <v>@cetinzi</v>
      </c>
      <c r="C5104" s="7" t="s">
        <v>24476</v>
      </c>
      <c r="D5104" s="7" t="s">
        <v>24477</v>
      </c>
      <c r="E5104" s="12" t="str">
        <f>HYPERLINK("https://twitter.com/cetinzi/status/1181861374043004934","1181861374043004934")</f>
        <v>1181861374043004934</v>
      </c>
      <c r="F5104" s="15"/>
      <c r="G5104" s="8"/>
      <c r="H5104" s="8"/>
      <c r="I5104" s="15">
        <v>0</v>
      </c>
      <c r="J5104" s="15">
        <v>0</v>
      </c>
      <c r="K5104" s="12" t="str">
        <f>HYPERLINK("http://twitter.com/download/android","Twitter for Android")</f>
        <v>Twitter for Android</v>
      </c>
      <c r="L5104" s="16">
        <v>39</v>
      </c>
      <c r="M5104" s="16">
        <v>195</v>
      </c>
      <c r="N5104" s="16">
        <v>0</v>
      </c>
      <c r="O5104" s="17"/>
      <c r="P5104" s="18">
        <v>42873.58929398148</v>
      </c>
      <c r="Q5104" s="7" t="s">
        <v>313</v>
      </c>
      <c r="R5104" s="8" t="s">
        <v>24478</v>
      </c>
      <c r="S5104" s="8"/>
      <c r="T5104" s="8"/>
      <c r="U5104" s="19" t="str">
        <f>HYPERLINK("https://pbs.twimg.com/profile_images/928245002173583360/WoXLFI4d.jpg","View")</f>
        <v>View</v>
      </c>
      <c r="V5104" s="8"/>
      <c r="W5104" s="8"/>
      <c r="X5104" s="8"/>
      <c r="Y5104" s="8"/>
      <c r="Z5104" s="8"/>
    </row>
    <row r="5105" spans="1:26" ht="12.75">
      <c r="A5105" s="11">
        <v>43747.095856481479</v>
      </c>
      <c r="B5105" s="12" t="str">
        <f>HYPERLINK("https://twitter.com/ramazan_29","@ramazan_29")</f>
        <v>@ramazan_29</v>
      </c>
      <c r="C5105" s="7" t="s">
        <v>24479</v>
      </c>
      <c r="D5105" s="7" t="s">
        <v>24480</v>
      </c>
      <c r="E5105" s="12" t="str">
        <f>HYPERLINK("https://twitter.com/ramazan_29/status/1181861367332122624","1181861367332122624")</f>
        <v>1181861367332122624</v>
      </c>
      <c r="F5105" s="8"/>
      <c r="G5105" s="15"/>
      <c r="H5105" s="8"/>
      <c r="I5105" s="15">
        <v>0</v>
      </c>
      <c r="J5105" s="15">
        <v>0</v>
      </c>
      <c r="K5105" s="12" t="str">
        <f>HYPERLINK("http://twitter.com/download/android","Twitter for Android")</f>
        <v>Twitter for Android</v>
      </c>
      <c r="L5105" s="16">
        <v>194</v>
      </c>
      <c r="M5105" s="16">
        <v>182</v>
      </c>
      <c r="N5105" s="16">
        <v>0</v>
      </c>
      <c r="O5105" s="17"/>
      <c r="P5105" s="18">
        <v>40650.582754629628</v>
      </c>
      <c r="Q5105" s="8"/>
      <c r="R5105" s="8" t="s">
        <v>24481</v>
      </c>
      <c r="S5105" s="8"/>
      <c r="T5105" s="8"/>
      <c r="U5105" s="19" t="str">
        <f>HYPERLINK("https://pbs.twimg.com/profile_images/994284280657346560/1P69_KkV.jpg","View")</f>
        <v>View</v>
      </c>
      <c r="V5105" s="8"/>
      <c r="W5105" s="8"/>
      <c r="X5105" s="8"/>
      <c r="Y5105" s="8"/>
      <c r="Z5105" s="8"/>
    </row>
    <row r="5106" spans="1:26" ht="12.75">
      <c r="A5106" s="11">
        <v>43747.095856481479</v>
      </c>
      <c r="B5106" s="12" t="str">
        <f>HYPERLINK("https://twitter.com/TByrm1903","@TByrm1903")</f>
        <v>@TByrm1903</v>
      </c>
      <c r="C5106" s="7" t="s">
        <v>24482</v>
      </c>
      <c r="D5106" s="7" t="s">
        <v>24483</v>
      </c>
      <c r="E5106" s="12" t="str">
        <f>HYPERLINK("https://twitter.com/TByrm1903/status/1181861366388404224","1181861366388404224")</f>
        <v>1181861366388404224</v>
      </c>
      <c r="F5106" s="8"/>
      <c r="G5106" s="8"/>
      <c r="H5106" s="8"/>
      <c r="I5106" s="15">
        <v>0</v>
      </c>
      <c r="J5106" s="15">
        <v>0</v>
      </c>
      <c r="K5106" s="12" t="str">
        <f>HYPERLINK("http://twitter.com/download/iphone","Twitter for iPhone")</f>
        <v>Twitter for iPhone</v>
      </c>
      <c r="L5106" s="16">
        <v>20</v>
      </c>
      <c r="M5106" s="16">
        <v>46</v>
      </c>
      <c r="N5106" s="16">
        <v>0</v>
      </c>
      <c r="O5106" s="17"/>
      <c r="P5106" s="18">
        <v>43279.363344907411</v>
      </c>
      <c r="Q5106" s="7" t="s">
        <v>313</v>
      </c>
      <c r="R5106" s="8" t="s">
        <v>24484</v>
      </c>
      <c r="S5106" s="8"/>
      <c r="T5106" s="8"/>
      <c r="U5106" s="19" t="str">
        <f>HYPERLINK("https://pbs.twimg.com/profile_images/1062379184809537536/6JyAVDP9.jpg","View")</f>
        <v>View</v>
      </c>
      <c r="V5106" s="8"/>
      <c r="W5106" s="8"/>
      <c r="X5106" s="8"/>
      <c r="Y5106" s="8"/>
      <c r="Z5106" s="8"/>
    </row>
    <row r="5107" spans="1:26" ht="12.75">
      <c r="A5107" s="11">
        <v>43747.09584490741</v>
      </c>
      <c r="B5107" s="12" t="str">
        <f>HYPERLINK("https://twitter.com/0nlyThisMoment","@0nlyThisMoment")</f>
        <v>@0nlyThisMoment</v>
      </c>
      <c r="C5107" s="7" t="s">
        <v>24485</v>
      </c>
      <c r="D5107" s="7" t="s">
        <v>24486</v>
      </c>
      <c r="E5107" s="12" t="str">
        <f>HYPERLINK("https://twitter.com/0nlyThisMoment/status/1181861362353496064","1181861362353496064")</f>
        <v>1181861362353496064</v>
      </c>
      <c r="F5107" s="8"/>
      <c r="G5107" s="8"/>
      <c r="H5107" s="8"/>
      <c r="I5107" s="15">
        <v>0</v>
      </c>
      <c r="J5107" s="15">
        <v>1</v>
      </c>
      <c r="K5107" s="12" t="str">
        <f>HYPERLINK("https://mobile.twitter.com","Twitter Web App")</f>
        <v>Twitter Web App</v>
      </c>
      <c r="L5107" s="16">
        <v>4</v>
      </c>
      <c r="M5107" s="16">
        <v>32</v>
      </c>
      <c r="N5107" s="16">
        <v>0</v>
      </c>
      <c r="O5107" s="17"/>
      <c r="P5107" s="18">
        <v>41022.079421296294</v>
      </c>
      <c r="Q5107" s="8" t="s">
        <v>24487</v>
      </c>
      <c r="R5107" s="7"/>
      <c r="S5107" s="8"/>
      <c r="T5107" s="8"/>
      <c r="U5107" s="19" t="str">
        <f>HYPERLINK("https://pbs.twimg.com/profile_images/1113156926903324672/KHGJeah0.png","View")</f>
        <v>View</v>
      </c>
      <c r="V5107" s="8"/>
      <c r="W5107" s="8"/>
      <c r="X5107" s="8"/>
      <c r="Y5107" s="8"/>
      <c r="Z5107" s="8"/>
    </row>
    <row r="5108" spans="1:26" ht="12.75">
      <c r="A5108" s="11">
        <v>43747.095787037033</v>
      </c>
      <c r="B5108" s="12" t="str">
        <f>HYPERLINK("https://twitter.com/CihatTetik","@CihatTetik")</f>
        <v>@CihatTetik</v>
      </c>
      <c r="C5108" s="7" t="s">
        <v>24488</v>
      </c>
      <c r="D5108" s="7" t="s">
        <v>4284</v>
      </c>
      <c r="E5108" s="12" t="str">
        <f>HYPERLINK("https://twitter.com/CihatTetik/status/1181861343214936064","1181861343214936064")</f>
        <v>1181861343214936064</v>
      </c>
      <c r="F5108" s="8"/>
      <c r="G5108" s="15"/>
      <c r="H5108" s="8"/>
      <c r="I5108" s="15">
        <v>0</v>
      </c>
      <c r="J5108" s="15">
        <v>0</v>
      </c>
      <c r="K5108" s="12" t="str">
        <f>HYPERLINK("http://twitter.com/download/android","Twitter for Android")</f>
        <v>Twitter for Android</v>
      </c>
      <c r="L5108" s="16">
        <v>497</v>
      </c>
      <c r="M5108" s="16">
        <v>1843</v>
      </c>
      <c r="N5108" s="16">
        <v>0</v>
      </c>
      <c r="O5108" s="17"/>
      <c r="P5108" s="18">
        <v>43119.357719907406</v>
      </c>
      <c r="Q5108" s="7" t="s">
        <v>6778</v>
      </c>
      <c r="R5108" s="7"/>
      <c r="S5108" s="8"/>
      <c r="T5108" s="8"/>
      <c r="U5108" s="19" t="str">
        <f>HYPERLINK("https://pbs.twimg.com/profile_images/1092854208376786945/ymx3JzM4.jpg","View")</f>
        <v>View</v>
      </c>
      <c r="V5108" s="8"/>
      <c r="W5108" s="8"/>
      <c r="X5108" s="8"/>
      <c r="Y5108" s="8"/>
      <c r="Z5108" s="8"/>
    </row>
    <row r="5109" spans="1:26" ht="12.75">
      <c r="A5109" s="11">
        <v>43747.095763888894</v>
      </c>
      <c r="B5109" s="12" t="str">
        <f>HYPERLINK("https://twitter.com/Esra__Slmn","@Esra__Slmn")</f>
        <v>@Esra__Slmn</v>
      </c>
      <c r="C5109" s="7" t="s">
        <v>24489</v>
      </c>
      <c r="D5109" s="7" t="s">
        <v>24490</v>
      </c>
      <c r="E5109" s="12" t="str">
        <f>HYPERLINK("https://twitter.com/Esra__Slmn/status/1181861335233187841","1181861335233187841")</f>
        <v>1181861335233187841</v>
      </c>
      <c r="F5109" s="8"/>
      <c r="G5109" s="15"/>
      <c r="H5109" s="8"/>
      <c r="I5109" s="15">
        <v>0</v>
      </c>
      <c r="J5109" s="15">
        <v>4</v>
      </c>
      <c r="K5109" s="12" t="str">
        <f>HYPERLINK("http://twitter.com/download/iphone","Twitter for iPhone")</f>
        <v>Twitter for iPhone</v>
      </c>
      <c r="L5109" s="16">
        <v>1313</v>
      </c>
      <c r="M5109" s="16">
        <v>818</v>
      </c>
      <c r="N5109" s="16">
        <v>12</v>
      </c>
      <c r="O5109" s="17"/>
      <c r="P5109" s="18">
        <v>40903.410821759258</v>
      </c>
      <c r="Q5109" s="8"/>
      <c r="R5109" s="7" t="s">
        <v>10467</v>
      </c>
      <c r="S5109" s="8"/>
      <c r="T5109" s="8"/>
      <c r="U5109" s="19" t="str">
        <f>HYPERLINK("https://pbs.twimg.com/profile_images/1133201327541116928/eaLtcQCj.jpg","View")</f>
        <v>View</v>
      </c>
      <c r="V5109" s="8"/>
      <c r="W5109" s="8"/>
      <c r="X5109" s="8"/>
      <c r="Y5109" s="8"/>
      <c r="Z5109" s="8"/>
    </row>
    <row r="5110" spans="1:26" ht="12.75">
      <c r="A5110" s="11">
        <v>43747.095763888894</v>
      </c>
      <c r="B5110" s="12" t="str">
        <f>HYPERLINK("https://twitter.com/ibrahimkosar_","@ibrahimkosar_")</f>
        <v>@ibrahimkosar_</v>
      </c>
      <c r="C5110" s="7" t="s">
        <v>24491</v>
      </c>
      <c r="D5110" s="7" t="s">
        <v>24492</v>
      </c>
      <c r="E5110" s="12" t="str">
        <f>HYPERLINK("https://twitter.com/ibrahimkosar_/status/1181861334998228992","1181861334998228992")</f>
        <v>1181861334998228992</v>
      </c>
      <c r="F5110" s="8"/>
      <c r="G5110" s="15"/>
      <c r="H5110" s="8"/>
      <c r="I5110" s="15">
        <v>0</v>
      </c>
      <c r="J5110" s="15">
        <v>0</v>
      </c>
      <c r="K5110" s="12" t="str">
        <f>HYPERLINK("https://mobile.twitter.com","Twitter Web App")</f>
        <v>Twitter Web App</v>
      </c>
      <c r="L5110" s="16">
        <v>41</v>
      </c>
      <c r="M5110" s="16">
        <v>70</v>
      </c>
      <c r="N5110" s="16">
        <v>0</v>
      </c>
      <c r="O5110" s="17"/>
      <c r="P5110" s="18">
        <v>43034.633472222224</v>
      </c>
      <c r="Q5110" s="7" t="s">
        <v>19387</v>
      </c>
      <c r="R5110" s="7" t="s">
        <v>24493</v>
      </c>
      <c r="S5110" s="8"/>
      <c r="T5110" s="8"/>
      <c r="U5110" s="19" t="str">
        <f>HYPERLINK("https://pbs.twimg.com/profile_images/923681121979822086/4eVCWEmy.jpg","View")</f>
        <v>View</v>
      </c>
      <c r="V5110" s="8"/>
      <c r="W5110" s="8"/>
      <c r="X5110" s="8"/>
      <c r="Y5110" s="8"/>
      <c r="Z5110" s="8"/>
    </row>
    <row r="5111" spans="1:26" ht="12.75">
      <c r="A5111" s="11">
        <v>43747.095763888894</v>
      </c>
      <c r="B5111" s="12" t="str">
        <f>HYPERLINK("https://twitter.com/GktrkAlp4","@GktrkAlp4")</f>
        <v>@GktrkAlp4</v>
      </c>
      <c r="C5111" s="7" t="s">
        <v>24494</v>
      </c>
      <c r="D5111" s="7" t="s">
        <v>24495</v>
      </c>
      <c r="E5111" s="12" t="str">
        <f>HYPERLINK("https://twitter.com/GktrkAlp4/status/1181861333286998018","1181861333286998018")</f>
        <v>1181861333286998018</v>
      </c>
      <c r="F5111" s="8"/>
      <c r="G5111" s="8"/>
      <c r="H5111" s="8"/>
      <c r="I5111" s="15">
        <v>0</v>
      </c>
      <c r="J5111" s="15">
        <v>0</v>
      </c>
      <c r="K5111" s="12" t="str">
        <f>HYPERLINK("http://twitter.com/download/android","Twitter for Android")</f>
        <v>Twitter for Android</v>
      </c>
      <c r="L5111" s="16">
        <v>120</v>
      </c>
      <c r="M5111" s="16">
        <v>116</v>
      </c>
      <c r="N5111" s="16">
        <v>0</v>
      </c>
      <c r="O5111" s="17"/>
      <c r="P5111" s="18">
        <v>43520.388958333337</v>
      </c>
      <c r="Q5111" s="7"/>
      <c r="R5111" s="7" t="s">
        <v>24496</v>
      </c>
      <c r="S5111" s="8"/>
      <c r="T5111" s="8"/>
      <c r="U5111" s="19" t="str">
        <f>HYPERLINK("https://pbs.twimg.com/profile_images/1146008481943695362/ELCnXL9_.jpg","View")</f>
        <v>View</v>
      </c>
      <c r="V5111" s="8"/>
      <c r="W5111" s="8"/>
      <c r="X5111" s="8"/>
      <c r="Y5111" s="8"/>
      <c r="Z5111" s="8"/>
    </row>
    <row r="5112" spans="1:26" ht="12.75">
      <c r="A5112" s="11">
        <v>43747.095706018517</v>
      </c>
      <c r="B5112" s="12" t="str">
        <f>HYPERLINK("https://twitter.com/TCrowski","@TCrowski")</f>
        <v>@TCrowski</v>
      </c>
      <c r="C5112" s="7" t="s">
        <v>24497</v>
      </c>
      <c r="D5112" s="7" t="s">
        <v>24498</v>
      </c>
      <c r="E5112" s="12" t="str">
        <f>HYPERLINK("https://twitter.com/TCrowski/status/1181861314412650496","1181861314412650496")</f>
        <v>1181861314412650496</v>
      </c>
      <c r="F5112" s="8"/>
      <c r="G5112" s="15"/>
      <c r="H5112" s="8"/>
      <c r="I5112" s="15">
        <v>0</v>
      </c>
      <c r="J5112" s="15">
        <v>0</v>
      </c>
      <c r="K5112" s="12" t="str">
        <f>HYPERLINK("http://twitter.com/download/android","Twitter for Android")</f>
        <v>Twitter for Android</v>
      </c>
      <c r="L5112" s="16">
        <v>35</v>
      </c>
      <c r="M5112" s="16">
        <v>153</v>
      </c>
      <c r="N5112" s="16">
        <v>0</v>
      </c>
      <c r="O5112" s="17"/>
      <c r="P5112" s="18">
        <v>43623.1721412037</v>
      </c>
      <c r="Q5112" s="7" t="s">
        <v>80</v>
      </c>
      <c r="R5112" s="8" t="s">
        <v>24499</v>
      </c>
      <c r="S5112" s="8"/>
      <c r="T5112" s="8"/>
      <c r="U5112" s="19" t="str">
        <f>HYPERLINK("https://pbs.twimg.com/profile_images/1136958594140790784/OiPuoGEc.jpg","View")</f>
        <v>View</v>
      </c>
      <c r="V5112" s="8"/>
      <c r="W5112" s="8"/>
      <c r="X5112" s="8"/>
      <c r="Y5112" s="8"/>
      <c r="Z5112" s="8"/>
    </row>
    <row r="5113" spans="1:26" ht="12.75">
      <c r="A5113" s="11">
        <v>43747.095682870371</v>
      </c>
      <c r="B5113" s="12" t="str">
        <f>HYPERLINK("https://twitter.com/DevilWithinn666","@DevilWithinn666")</f>
        <v>@DevilWithinn666</v>
      </c>
      <c r="C5113" s="7" t="s">
        <v>24500</v>
      </c>
      <c r="D5113" s="7" t="s">
        <v>24501</v>
      </c>
      <c r="E5113" s="12" t="str">
        <f>HYPERLINK("https://twitter.com/DevilWithinn666/status/1181861304849567745","1181861304849567745")</f>
        <v>1181861304849567745</v>
      </c>
      <c r="F5113" s="14" t="s">
        <v>14429</v>
      </c>
      <c r="G5113" s="14" t="s">
        <v>14430</v>
      </c>
      <c r="H5113" s="8"/>
      <c r="I5113" s="15">
        <v>0</v>
      </c>
      <c r="J5113" s="15">
        <v>2</v>
      </c>
      <c r="K5113" s="12" t="str">
        <f>HYPERLINK("http://twitter.com/download/android","Twitter for Android")</f>
        <v>Twitter for Android</v>
      </c>
      <c r="L5113" s="16">
        <v>12</v>
      </c>
      <c r="M5113" s="16">
        <v>72</v>
      </c>
      <c r="N5113" s="16">
        <v>0</v>
      </c>
      <c r="O5113" s="17"/>
      <c r="P5113" s="18">
        <v>41265.538356481484</v>
      </c>
      <c r="Q5113" s="8"/>
      <c r="R5113" s="7" t="s">
        <v>24502</v>
      </c>
      <c r="S5113" s="8"/>
      <c r="T5113" s="8"/>
      <c r="U5113" s="19" t="str">
        <f>HYPERLINK("https://pbs.twimg.com/profile_images/1103379298168262658/TLnpYVle.jpg","View")</f>
        <v>View</v>
      </c>
      <c r="V5113" s="8"/>
      <c r="W5113" s="8"/>
      <c r="X5113" s="8"/>
      <c r="Y5113" s="8"/>
      <c r="Z5113" s="8"/>
    </row>
    <row r="5114" spans="1:26" ht="12.75">
      <c r="A5114" s="11">
        <v>43747.095671296294</v>
      </c>
      <c r="B5114" s="12" t="str">
        <f>HYPERLINK("https://twitter.com/ErcanErdogan65","@ErcanErdogan65")</f>
        <v>@ErcanErdogan65</v>
      </c>
      <c r="C5114" s="7" t="s">
        <v>24503</v>
      </c>
      <c r="D5114" s="7" t="s">
        <v>160</v>
      </c>
      <c r="E5114" s="12" t="str">
        <f>HYPERLINK("https://twitter.com/ErcanErdogan65/status/1181861298604257282","1181861298604257282")</f>
        <v>1181861298604257282</v>
      </c>
      <c r="F5114" s="8"/>
      <c r="G5114" s="14" t="s">
        <v>24504</v>
      </c>
      <c r="H5114" s="8"/>
      <c r="I5114" s="15">
        <v>0</v>
      </c>
      <c r="J5114" s="15">
        <v>0</v>
      </c>
      <c r="K5114" s="12" t="str">
        <f>HYPERLINK("https://mobile.twitter.com","Twitter Web App")</f>
        <v>Twitter Web App</v>
      </c>
      <c r="L5114" s="16">
        <v>1118</v>
      </c>
      <c r="M5114" s="16">
        <v>1004</v>
      </c>
      <c r="N5114" s="16">
        <v>3</v>
      </c>
      <c r="O5114" s="17"/>
      <c r="P5114" s="18">
        <v>42268.33284722222</v>
      </c>
      <c r="Q5114" s="7"/>
      <c r="R5114" s="7"/>
      <c r="S5114" s="15"/>
      <c r="T5114" s="8"/>
      <c r="U5114" s="19" t="str">
        <f>HYPERLINK("https://pbs.twimg.com/profile_images/1176892277840650242/vMZSkk2I.jpg","View")</f>
        <v>View</v>
      </c>
      <c r="V5114" s="8"/>
      <c r="W5114" s="8"/>
      <c r="X5114" s="8"/>
      <c r="Y5114" s="8"/>
      <c r="Z5114" s="8"/>
    </row>
    <row r="5115" spans="1:26" ht="12.75">
      <c r="A5115" s="11">
        <v>43747.095659722225</v>
      </c>
      <c r="B5115" s="12" t="str">
        <f>HYPERLINK("https://twitter.com/kadirerdogan12","@kadirerdogan12")</f>
        <v>@kadirerdogan12</v>
      </c>
      <c r="C5115" s="7" t="s">
        <v>24505</v>
      </c>
      <c r="D5115" s="7" t="s">
        <v>160</v>
      </c>
      <c r="E5115" s="12" t="str">
        <f>HYPERLINK("https://twitter.com/kadirerdogan12/status/1181861297081716736","1181861297081716736")</f>
        <v>1181861297081716736</v>
      </c>
      <c r="F5115" s="15"/>
      <c r="G5115" s="14" t="s">
        <v>24506</v>
      </c>
      <c r="H5115" s="8"/>
      <c r="I5115" s="15">
        <v>0</v>
      </c>
      <c r="J5115" s="15">
        <v>0</v>
      </c>
      <c r="K5115" s="12" t="str">
        <f>HYPERLINK("http://twitter.com/download/iphone","Twitter for iPhone")</f>
        <v>Twitter for iPhone</v>
      </c>
      <c r="L5115" s="16">
        <v>39</v>
      </c>
      <c r="M5115" s="16">
        <v>417</v>
      </c>
      <c r="N5115" s="16">
        <v>0</v>
      </c>
      <c r="O5115" s="17"/>
      <c r="P5115" s="18">
        <v>41343.005983796298</v>
      </c>
      <c r="Q5115" s="8" t="s">
        <v>24507</v>
      </c>
      <c r="R5115" s="8"/>
      <c r="S5115" s="8"/>
      <c r="T5115" s="8"/>
      <c r="U5115" s="19" t="str">
        <f>HYPERLINK("https://pbs.twimg.com/profile_images/1037624075320008704/VXw57f5l.jpg","View")</f>
        <v>View</v>
      </c>
      <c r="V5115" s="8"/>
      <c r="W5115" s="8"/>
      <c r="X5115" s="8"/>
      <c r="Y5115" s="8"/>
      <c r="Z5115" s="8"/>
    </row>
    <row r="5116" spans="1:26" ht="12.75">
      <c r="A5116" s="11">
        <v>43747.095555555556</v>
      </c>
      <c r="B5116" s="12" t="str">
        <f>HYPERLINK("https://twitter.com/asgard_bekcisi1","@asgard_bekcisi1")</f>
        <v>@asgard_bekcisi1</v>
      </c>
      <c r="C5116" s="7" t="s">
        <v>24508</v>
      </c>
      <c r="D5116" s="7" t="s">
        <v>24509</v>
      </c>
      <c r="E5116" s="12" t="str">
        <f>HYPERLINK("https://twitter.com/asgard_bekcisi1/status/1181861257294548992","1181861257294548992")</f>
        <v>1181861257294548992</v>
      </c>
      <c r="F5116" s="8"/>
      <c r="G5116" s="8"/>
      <c r="H5116" s="8"/>
      <c r="I5116" s="15">
        <v>0</v>
      </c>
      <c r="J5116" s="15">
        <v>1</v>
      </c>
      <c r="K5116" s="12" t="str">
        <f>HYPERLINK("http://twitter.com/download/android","Twitter for Android")</f>
        <v>Twitter for Android</v>
      </c>
      <c r="L5116" s="16">
        <v>286</v>
      </c>
      <c r="M5116" s="16">
        <v>162</v>
      </c>
      <c r="N5116" s="16">
        <v>1</v>
      </c>
      <c r="O5116" s="17"/>
      <c r="P5116" s="18">
        <v>41717.623622685183</v>
      </c>
      <c r="Q5116" s="7" t="s">
        <v>24510</v>
      </c>
      <c r="R5116" s="8" t="s">
        <v>24511</v>
      </c>
      <c r="S5116" s="15"/>
      <c r="T5116" s="8"/>
      <c r="U5116" s="19" t="str">
        <f>HYPERLINK("https://pbs.twimg.com/profile_images/1181306067730350080/lwoOR4Vz.jpg","View")</f>
        <v>View</v>
      </c>
      <c r="V5116" s="8"/>
      <c r="W5116" s="8"/>
      <c r="X5116" s="8"/>
      <c r="Y5116" s="8"/>
      <c r="Z5116" s="8"/>
    </row>
    <row r="5117" spans="1:26" ht="12.75">
      <c r="A5117" s="11">
        <v>43747.095497685186</v>
      </c>
      <c r="B5117" s="12" t="str">
        <f>HYPERLINK("https://twitter.com/MEminAydn5","@MEminAydn5")</f>
        <v>@MEminAydn5</v>
      </c>
      <c r="C5117" s="7" t="s">
        <v>24512</v>
      </c>
      <c r="D5117" s="7" t="s">
        <v>24513</v>
      </c>
      <c r="E5117" s="12" t="str">
        <f>HYPERLINK("https://twitter.com/MEminAydn5/status/1181861235085721601","1181861235085721601")</f>
        <v>1181861235085721601</v>
      </c>
      <c r="F5117" s="8"/>
      <c r="G5117" s="14" t="s">
        <v>24514</v>
      </c>
      <c r="H5117" s="8"/>
      <c r="I5117" s="15">
        <v>0</v>
      </c>
      <c r="J5117" s="15">
        <v>1</v>
      </c>
      <c r="K5117" s="12" t="str">
        <f>HYPERLINK("http://twitter.com/download/android","Twitter for Android")</f>
        <v>Twitter for Android</v>
      </c>
      <c r="L5117" s="16">
        <v>0</v>
      </c>
      <c r="M5117" s="16">
        <v>1</v>
      </c>
      <c r="N5117" s="16">
        <v>0</v>
      </c>
      <c r="O5117" s="17"/>
      <c r="P5117" s="18">
        <v>43746.289085648154</v>
      </c>
      <c r="Q5117" s="8"/>
      <c r="R5117" s="8" t="s">
        <v>24515</v>
      </c>
      <c r="S5117" s="8"/>
      <c r="T5117" s="8"/>
      <c r="U5117" s="19" t="str">
        <f>HYPERLINK("https://pbs.twimg.com/profile_images/1181569194304913408/OwZ_XmZj.jpg","View")</f>
        <v>View</v>
      </c>
      <c r="V5117" s="8"/>
      <c r="W5117" s="8"/>
      <c r="X5117" s="8"/>
      <c r="Y5117" s="8"/>
      <c r="Z5117" s="8"/>
    </row>
    <row r="5118" spans="1:26" ht="12.75">
      <c r="A5118" s="11">
        <v>43747.095486111109</v>
      </c>
      <c r="B5118" s="12" t="str">
        <f>HYPERLINK("https://twitter.com/hkn0020","@hkn0020")</f>
        <v>@hkn0020</v>
      </c>
      <c r="C5118" s="7" t="s">
        <v>6681</v>
      </c>
      <c r="D5118" s="7" t="s">
        <v>24516</v>
      </c>
      <c r="E5118" s="12" t="str">
        <f>HYPERLINK("https://twitter.com/hkn0020/status/1181861231893925893","1181861231893925893")</f>
        <v>1181861231893925893</v>
      </c>
      <c r="F5118" s="8"/>
      <c r="G5118" s="14" t="s">
        <v>24517</v>
      </c>
      <c r="H5118" s="8"/>
      <c r="I5118" s="15">
        <v>0</v>
      </c>
      <c r="J5118" s="15">
        <v>1</v>
      </c>
      <c r="K5118" s="12" t="str">
        <f>HYPERLINK("http://twitter.com/download/android","Twitter for Android")</f>
        <v>Twitter for Android</v>
      </c>
      <c r="L5118" s="16">
        <v>0</v>
      </c>
      <c r="M5118" s="16">
        <v>37</v>
      </c>
      <c r="N5118" s="16">
        <v>0</v>
      </c>
      <c r="O5118" s="17"/>
      <c r="P5118" s="18">
        <v>43705.117442129631</v>
      </c>
      <c r="Q5118" s="8"/>
      <c r="R5118" s="8"/>
      <c r="S5118" s="8"/>
      <c r="T5118" s="8"/>
      <c r="U5118" s="19" t="str">
        <f>HYPERLINK("https://pbs.twimg.com/profile_images/1171878293710213120/x4JYyusn.jpg","View")</f>
        <v>View</v>
      </c>
      <c r="V5118" s="8"/>
      <c r="W5118" s="8"/>
      <c r="X5118" s="8"/>
      <c r="Y5118" s="8"/>
      <c r="Z5118" s="8"/>
    </row>
    <row r="5119" spans="1:26" ht="12.75">
      <c r="A5119" s="11">
        <v>43747.09542824074</v>
      </c>
      <c r="B5119" s="12" t="str">
        <f>HYPERLINK("https://twitter.com/YlmazMaviVatan","@YlmazMaviVatan")</f>
        <v>@YlmazMaviVatan</v>
      </c>
      <c r="C5119" s="7" t="s">
        <v>22452</v>
      </c>
      <c r="D5119" s="7" t="s">
        <v>9777</v>
      </c>
      <c r="E5119" s="12" t="str">
        <f>HYPERLINK("https://twitter.com/YlmazMaviVatan/status/1181861211509530624","1181861211509530624")</f>
        <v>1181861211509530624</v>
      </c>
      <c r="F5119" s="8"/>
      <c r="G5119" s="14" t="s">
        <v>24518</v>
      </c>
      <c r="H5119" s="8"/>
      <c r="I5119" s="15">
        <v>0</v>
      </c>
      <c r="J5119" s="15">
        <v>0</v>
      </c>
      <c r="K5119" s="12" t="str">
        <f>HYPERLINK("http://twitter.com/download/android","Twitter for Android")</f>
        <v>Twitter for Android</v>
      </c>
      <c r="L5119" s="16">
        <v>39</v>
      </c>
      <c r="M5119" s="16">
        <v>381</v>
      </c>
      <c r="N5119" s="16">
        <v>0</v>
      </c>
      <c r="O5119" s="17"/>
      <c r="P5119" s="18">
        <v>43694.213229166664</v>
      </c>
      <c r="Q5119" s="7"/>
      <c r="R5119" s="7" t="s">
        <v>24519</v>
      </c>
      <c r="S5119" s="15"/>
      <c r="T5119" s="8"/>
      <c r="U5119" s="19" t="str">
        <f>HYPERLINK("https://pbs.twimg.com/profile_images/1162697423883505665/jB1USZnW.jpg","View")</f>
        <v>View</v>
      </c>
      <c r="V5119" s="8"/>
      <c r="W5119" s="8"/>
      <c r="X5119" s="8"/>
      <c r="Y5119" s="8"/>
      <c r="Z5119" s="8"/>
    </row>
    <row r="5120" spans="1:26" ht="12.75">
      <c r="A5120" s="11">
        <v>43747.095358796301</v>
      </c>
      <c r="B5120" s="12" t="str">
        <f>HYPERLINK("https://twitter.com/Zorbey21568839","@Zorbey21568839")</f>
        <v>@Zorbey21568839</v>
      </c>
      <c r="C5120" s="7" t="s">
        <v>24520</v>
      </c>
      <c r="D5120" s="7" t="s">
        <v>24521</v>
      </c>
      <c r="E5120" s="12" t="str">
        <f>HYPERLINK("https://twitter.com/Zorbey21568839/status/1181861188105359360","1181861188105359360")</f>
        <v>1181861188105359360</v>
      </c>
      <c r="F5120" s="8"/>
      <c r="G5120" s="14" t="s">
        <v>24522</v>
      </c>
      <c r="H5120" s="8"/>
      <c r="I5120" s="15">
        <v>0</v>
      </c>
      <c r="J5120" s="15">
        <v>0</v>
      </c>
      <c r="K5120" s="12" t="str">
        <f>HYPERLINK("http://twitter.com/download/android","Twitter for Android")</f>
        <v>Twitter for Android</v>
      </c>
      <c r="L5120" s="16">
        <v>0</v>
      </c>
      <c r="M5120" s="16">
        <v>28</v>
      </c>
      <c r="N5120" s="16">
        <v>0</v>
      </c>
      <c r="O5120" s="17"/>
      <c r="P5120" s="18">
        <v>43228.283692129626</v>
      </c>
      <c r="Q5120" s="8"/>
      <c r="R5120" s="7"/>
      <c r="S5120" s="8"/>
      <c r="T5120" s="8"/>
      <c r="U5120" s="20" t="s">
        <v>354</v>
      </c>
      <c r="V5120" s="8"/>
      <c r="W5120" s="8"/>
      <c r="X5120" s="8"/>
      <c r="Y5120" s="8"/>
      <c r="Z5120" s="8"/>
    </row>
    <row r="5121" spans="1:26" ht="12.75">
      <c r="A5121" s="11">
        <v>43747.095347222217</v>
      </c>
      <c r="B5121" s="12" t="str">
        <f>HYPERLINK("https://twitter.com/MELIHOZGN","@MELIHOZGN")</f>
        <v>@MELIHOZGN</v>
      </c>
      <c r="C5121" s="7" t="s">
        <v>24523</v>
      </c>
      <c r="D5121" s="7" t="s">
        <v>24524</v>
      </c>
      <c r="E5121" s="12" t="str">
        <f>HYPERLINK("https://twitter.com/MELIHOZGN/status/1181861182392680450","1181861182392680450")</f>
        <v>1181861182392680450</v>
      </c>
      <c r="F5121" s="14" t="s">
        <v>24525</v>
      </c>
      <c r="G5121" s="14" t="s">
        <v>24526</v>
      </c>
      <c r="H5121" s="8"/>
      <c r="I5121" s="15">
        <v>0</v>
      </c>
      <c r="J5121" s="15">
        <v>1</v>
      </c>
      <c r="K5121" s="12" t="str">
        <f>HYPERLINK("http://twitter.com/download/iphone","Twitter for iPhone")</f>
        <v>Twitter for iPhone</v>
      </c>
      <c r="L5121" s="16">
        <v>120</v>
      </c>
      <c r="M5121" s="16">
        <v>157</v>
      </c>
      <c r="N5121" s="16">
        <v>0</v>
      </c>
      <c r="O5121" s="17"/>
      <c r="P5121" s="18">
        <v>43405.405902777777</v>
      </c>
      <c r="Q5121" s="7"/>
      <c r="R5121" s="7" t="s">
        <v>807</v>
      </c>
      <c r="S5121" s="8"/>
      <c r="T5121" s="8"/>
      <c r="U5121" s="19" t="str">
        <f>HYPERLINK("https://pbs.twimg.com/profile_images/1143237338677559296/sF0Gw3ET.jpg","View")</f>
        <v>View</v>
      </c>
      <c r="V5121" s="8"/>
      <c r="W5121" s="8"/>
      <c r="X5121" s="8"/>
      <c r="Y5121" s="8"/>
      <c r="Z5121" s="8"/>
    </row>
    <row r="5122" spans="1:26" ht="12.75">
      <c r="A5122" s="11">
        <v>43747.095289351855</v>
      </c>
      <c r="B5122" s="12" t="str">
        <f>HYPERLINK("https://twitter.com/bensadeceee","@bensadeceee")</f>
        <v>@bensadeceee</v>
      </c>
      <c r="C5122" s="7" t="s">
        <v>24527</v>
      </c>
      <c r="D5122" s="7" t="s">
        <v>24528</v>
      </c>
      <c r="E5122" s="12" t="str">
        <f>HYPERLINK("https://twitter.com/bensadeceee/status/1181861162083848193","1181861162083848193")</f>
        <v>1181861162083848193</v>
      </c>
      <c r="F5122" s="8"/>
      <c r="G5122" s="8"/>
      <c r="H5122" s="8"/>
      <c r="I5122" s="15">
        <v>0</v>
      </c>
      <c r="J5122" s="15">
        <v>2</v>
      </c>
      <c r="K5122" s="12" t="str">
        <f>HYPERLINK("http://twitter.com/download/iphone","Twitter for iPhone")</f>
        <v>Twitter for iPhone</v>
      </c>
      <c r="L5122" s="16">
        <v>661</v>
      </c>
      <c r="M5122" s="16">
        <v>177</v>
      </c>
      <c r="N5122" s="16">
        <v>1</v>
      </c>
      <c r="O5122" s="17"/>
      <c r="P5122" s="18">
        <v>42525.386261574073</v>
      </c>
      <c r="Q5122" s="7"/>
      <c r="R5122" s="7" t="s">
        <v>24529</v>
      </c>
      <c r="S5122" s="14" t="s">
        <v>8179</v>
      </c>
      <c r="T5122" s="8"/>
      <c r="U5122" s="19" t="str">
        <f>HYPERLINK("https://pbs.twimg.com/profile_images/1180981862598094848/VuHNzkQn.jpg","View")</f>
        <v>View</v>
      </c>
      <c r="V5122" s="8"/>
      <c r="W5122" s="8"/>
      <c r="X5122" s="8"/>
      <c r="Y5122" s="8"/>
      <c r="Z5122" s="8"/>
    </row>
    <row r="5123" spans="1:26" ht="12.75">
      <c r="A5123" s="11">
        <v>43747.095231481479</v>
      </c>
      <c r="B5123" s="12" t="str">
        <f>HYPERLINK("https://twitter.com/kirvederler","@kirvederler")</f>
        <v>@kirvederler</v>
      </c>
      <c r="C5123" s="7" t="s">
        <v>24530</v>
      </c>
      <c r="D5123" s="7" t="s">
        <v>24531</v>
      </c>
      <c r="E5123" s="12" t="str">
        <f>HYPERLINK("https://twitter.com/kirvederler/status/1181861142655901696","1181861142655901696")</f>
        <v>1181861142655901696</v>
      </c>
      <c r="F5123" s="8"/>
      <c r="G5123" s="14" t="s">
        <v>24532</v>
      </c>
      <c r="H5123" s="8"/>
      <c r="I5123" s="15">
        <v>0</v>
      </c>
      <c r="J5123" s="15">
        <v>0</v>
      </c>
      <c r="K5123" s="12" t="str">
        <f>HYPERLINK("http://twitter.com/download/android","Twitter for Android")</f>
        <v>Twitter for Android</v>
      </c>
      <c r="L5123" s="16">
        <v>37</v>
      </c>
      <c r="M5123" s="16">
        <v>114</v>
      </c>
      <c r="N5123" s="16">
        <v>0</v>
      </c>
      <c r="O5123" s="17"/>
      <c r="P5123" s="18">
        <v>43416.416284722218</v>
      </c>
      <c r="Q5123" s="7" t="s">
        <v>24533</v>
      </c>
      <c r="R5123" s="7" t="s">
        <v>24534</v>
      </c>
      <c r="S5123" s="8"/>
      <c r="T5123" s="8"/>
      <c r="U5123" s="19" t="str">
        <f>HYPERLINK("https://pbs.twimg.com/profile_images/1088925157433987073/9VXM8Y2I.jpg","View")</f>
        <v>View</v>
      </c>
      <c r="V5123" s="8"/>
      <c r="W5123" s="8"/>
      <c r="X5123" s="8"/>
      <c r="Y5123" s="8"/>
      <c r="Z5123" s="8"/>
    </row>
    <row r="5124" spans="1:26" ht="12.75">
      <c r="A5124" s="11">
        <v>43747.095208333332</v>
      </c>
      <c r="B5124" s="12" t="str">
        <f>HYPERLINK("https://twitter.com/MetinReis8","@MetinReis8")</f>
        <v>@MetinReis8</v>
      </c>
      <c r="C5124" s="7" t="s">
        <v>24535</v>
      </c>
      <c r="D5124" s="7" t="s">
        <v>160</v>
      </c>
      <c r="E5124" s="12" t="str">
        <f>HYPERLINK("https://twitter.com/MetinReis8/status/1181861131385790465","1181861131385790465")</f>
        <v>1181861131385790465</v>
      </c>
      <c r="F5124" s="8"/>
      <c r="G5124" s="14" t="s">
        <v>24536</v>
      </c>
      <c r="H5124" s="8"/>
      <c r="I5124" s="15">
        <v>0</v>
      </c>
      <c r="J5124" s="15">
        <v>0</v>
      </c>
      <c r="K5124" s="12" t="str">
        <f>HYPERLINK("http://twitter.com/download/android","Twitter for Android")</f>
        <v>Twitter for Android</v>
      </c>
      <c r="L5124" s="16">
        <v>13</v>
      </c>
      <c r="M5124" s="16">
        <v>28</v>
      </c>
      <c r="N5124" s="16">
        <v>0</v>
      </c>
      <c r="O5124" s="17"/>
      <c r="P5124" s="18">
        <v>43118.968425925923</v>
      </c>
      <c r="Q5124" s="8" t="s">
        <v>1567</v>
      </c>
      <c r="R5124" s="7" t="s">
        <v>24537</v>
      </c>
      <c r="S5124" s="8"/>
      <c r="T5124" s="8"/>
      <c r="U5124" s="19" t="str">
        <f>HYPERLINK("https://pbs.twimg.com/profile_images/1059457988803604480/ZjxLJQOI.jpg","View")</f>
        <v>View</v>
      </c>
      <c r="V5124" s="8"/>
      <c r="W5124" s="8"/>
      <c r="X5124" s="8"/>
      <c r="Y5124" s="8"/>
      <c r="Z5124" s="8"/>
    </row>
    <row r="5125" spans="1:26" ht="12.75">
      <c r="A5125" s="11">
        <v>43747.095196759255</v>
      </c>
      <c r="B5125" s="12" t="str">
        <f>HYPERLINK("https://twitter.com/yusuf_hyk","@yusuf_hyk")</f>
        <v>@yusuf_hyk</v>
      </c>
      <c r="C5125" s="13" t="s">
        <v>13296</v>
      </c>
      <c r="D5125" s="7" t="s">
        <v>24538</v>
      </c>
      <c r="E5125" s="12" t="str">
        <f>HYPERLINK("https://twitter.com/yusuf_hyk/status/1181861126138662912","1181861126138662912")</f>
        <v>1181861126138662912</v>
      </c>
      <c r="F5125" s="8"/>
      <c r="G5125" s="14" t="s">
        <v>24539</v>
      </c>
      <c r="H5125" s="8"/>
      <c r="I5125" s="15">
        <v>0</v>
      </c>
      <c r="J5125" s="15">
        <v>0</v>
      </c>
      <c r="K5125" s="12" t="str">
        <f>HYPERLINK("http://twitter.com/download/iphone","Twitter for iPhone")</f>
        <v>Twitter for iPhone</v>
      </c>
      <c r="L5125" s="16">
        <v>16</v>
      </c>
      <c r="M5125" s="16">
        <v>39</v>
      </c>
      <c r="N5125" s="16">
        <v>0</v>
      </c>
      <c r="O5125" s="17"/>
      <c r="P5125" s="18">
        <v>43545.312928240739</v>
      </c>
      <c r="Q5125" s="7" t="s">
        <v>200</v>
      </c>
      <c r="R5125" s="7"/>
      <c r="S5125" s="8"/>
      <c r="T5125" s="8"/>
      <c r="U5125" s="19" t="str">
        <f>HYPERLINK("https://pbs.twimg.com/profile_images/1143845224344694784/XOiJc-dy.jpg","View")</f>
        <v>View</v>
      </c>
      <c r="V5125" s="8"/>
      <c r="W5125" s="8"/>
      <c r="X5125" s="8"/>
      <c r="Y5125" s="8"/>
      <c r="Z5125" s="8"/>
    </row>
    <row r="5126" spans="1:26" ht="12.75">
      <c r="A5126" s="11">
        <v>43747.095196759255</v>
      </c>
      <c r="B5126" s="12" t="str">
        <f>HYPERLINK("https://twitter.com/MrBasbug0","@MrBasbug0")</f>
        <v>@MrBasbug0</v>
      </c>
      <c r="C5126" s="7" t="s">
        <v>24540</v>
      </c>
      <c r="D5126" s="7" t="s">
        <v>160</v>
      </c>
      <c r="E5126" s="12" t="str">
        <f>HYPERLINK("https://twitter.com/MrBasbug0/status/1181861125958373376","1181861125958373376")</f>
        <v>1181861125958373376</v>
      </c>
      <c r="F5126" s="8"/>
      <c r="G5126" s="14" t="s">
        <v>24541</v>
      </c>
      <c r="H5126" s="8"/>
      <c r="I5126" s="15">
        <v>1</v>
      </c>
      <c r="J5126" s="15">
        <v>1</v>
      </c>
      <c r="K5126" s="12" t="str">
        <f>HYPERLINK("http://twitter.com/download/android","Twitter for Android")</f>
        <v>Twitter for Android</v>
      </c>
      <c r="L5126" s="16">
        <v>0</v>
      </c>
      <c r="M5126" s="16">
        <v>0</v>
      </c>
      <c r="N5126" s="16">
        <v>0</v>
      </c>
      <c r="O5126" s="17"/>
      <c r="P5126" s="18">
        <v>43747.093460648146</v>
      </c>
      <c r="Q5126" s="7"/>
      <c r="R5126" s="7"/>
      <c r="S5126" s="8"/>
      <c r="T5126" s="8"/>
      <c r="U5126" s="20" t="s">
        <v>354</v>
      </c>
      <c r="V5126" s="8"/>
      <c r="W5126" s="8"/>
      <c r="X5126" s="8"/>
      <c r="Y5126" s="8"/>
      <c r="Z5126" s="8"/>
    </row>
    <row r="5127" spans="1:26" ht="12.75">
      <c r="A5127" s="11">
        <v>43747.095173611116</v>
      </c>
      <c r="B5127" s="12" t="str">
        <f>HYPERLINK("https://twitter.com/TurkkiziTurkkiz","@TurkkiziTurkkiz")</f>
        <v>@TurkkiziTurkkiz</v>
      </c>
      <c r="C5127" s="7" t="s">
        <v>24542</v>
      </c>
      <c r="D5127" s="7" t="s">
        <v>24543</v>
      </c>
      <c r="E5127" s="12" t="str">
        <f>HYPERLINK("https://twitter.com/TurkkiziTurkkiz/status/1181861120346349569","1181861120346349569")</f>
        <v>1181861120346349569</v>
      </c>
      <c r="F5127" s="8"/>
      <c r="G5127" s="8"/>
      <c r="H5127" s="8"/>
      <c r="I5127" s="15">
        <v>0</v>
      </c>
      <c r="J5127" s="15">
        <v>0</v>
      </c>
      <c r="K5127" s="12" t="str">
        <f>HYPERLINK("https://mobile.twitter.com","Twitter Web App")</f>
        <v>Twitter Web App</v>
      </c>
      <c r="L5127" s="16">
        <v>2</v>
      </c>
      <c r="M5127" s="16">
        <v>14</v>
      </c>
      <c r="N5127" s="16">
        <v>0</v>
      </c>
      <c r="O5127" s="17"/>
      <c r="P5127" s="18">
        <v>43726.492152777777</v>
      </c>
      <c r="Q5127" s="8"/>
      <c r="R5127" s="7"/>
      <c r="S5127" s="8"/>
      <c r="T5127" s="8"/>
      <c r="U5127" s="20" t="s">
        <v>354</v>
      </c>
      <c r="V5127" s="8"/>
      <c r="W5127" s="8"/>
      <c r="X5127" s="8"/>
      <c r="Y5127" s="8"/>
      <c r="Z5127" s="8"/>
    </row>
    <row r="5128" spans="1:26" ht="12.75">
      <c r="A5128" s="11">
        <v>43747.095162037032</v>
      </c>
      <c r="B5128" s="12" t="str">
        <f>HYPERLINK("https://twitter.com/lokmannte","@lokmannte")</f>
        <v>@lokmannte</v>
      </c>
      <c r="C5128" s="7" t="s">
        <v>24544</v>
      </c>
      <c r="D5128" s="7" t="s">
        <v>160</v>
      </c>
      <c r="E5128" s="12" t="str">
        <f>HYPERLINK("https://twitter.com/lokmannte/status/1181861116839903232","1181861116839903232")</f>
        <v>1181861116839903232</v>
      </c>
      <c r="F5128" s="15"/>
      <c r="G5128" s="15"/>
      <c r="H5128" s="8"/>
      <c r="I5128" s="15">
        <v>0</v>
      </c>
      <c r="J5128" s="15">
        <v>0</v>
      </c>
      <c r="K5128" s="12" t="str">
        <f>HYPERLINK("http://twitter.com/download/iphone","Twitter for iPhone")</f>
        <v>Twitter for iPhone</v>
      </c>
      <c r="L5128" s="16">
        <v>177</v>
      </c>
      <c r="M5128" s="16">
        <v>103</v>
      </c>
      <c r="N5128" s="16">
        <v>0</v>
      </c>
      <c r="O5128" s="17"/>
      <c r="P5128" s="18">
        <v>41009.385914351849</v>
      </c>
      <c r="Q5128" s="8"/>
      <c r="R5128" s="7" t="s">
        <v>24545</v>
      </c>
      <c r="S5128" s="14" t="s">
        <v>24546</v>
      </c>
      <c r="T5128" s="8"/>
      <c r="U5128" s="19" t="str">
        <f>HYPERLINK("https://pbs.twimg.com/profile_images/1144726436978315264/r4qJlS3L.jpg","View")</f>
        <v>View</v>
      </c>
      <c r="V5128" s="8"/>
      <c r="W5128" s="8"/>
      <c r="X5128" s="8"/>
      <c r="Y5128" s="8"/>
      <c r="Z5128" s="8"/>
    </row>
    <row r="5129" spans="1:26" ht="12.75">
      <c r="A5129" s="11">
        <v>43747.095127314809</v>
      </c>
      <c r="B5129" s="12" t="str">
        <f>HYPERLINK("https://twitter.com/Mirac61_","@Mirac61_")</f>
        <v>@Mirac61_</v>
      </c>
      <c r="C5129" s="7" t="s">
        <v>23179</v>
      </c>
      <c r="D5129" s="7" t="s">
        <v>160</v>
      </c>
      <c r="E5129" s="12" t="str">
        <f>HYPERLINK("https://twitter.com/Mirac61_/status/1181861103388839938","1181861103388839938")</f>
        <v>1181861103388839938</v>
      </c>
      <c r="F5129" s="8"/>
      <c r="G5129" s="14" t="s">
        <v>24547</v>
      </c>
      <c r="H5129" s="8"/>
      <c r="I5129" s="15">
        <v>1</v>
      </c>
      <c r="J5129" s="15">
        <v>1</v>
      </c>
      <c r="K5129" s="12" t="str">
        <f>HYPERLINK("http://twitter.com/download/android","Twitter for Android")</f>
        <v>Twitter for Android</v>
      </c>
      <c r="L5129" s="16">
        <v>51</v>
      </c>
      <c r="M5129" s="16">
        <v>42</v>
      </c>
      <c r="N5129" s="16">
        <v>0</v>
      </c>
      <c r="O5129" s="17"/>
      <c r="P5129" s="18">
        <v>42051.490046296298</v>
      </c>
      <c r="Q5129" s="7" t="s">
        <v>24548</v>
      </c>
      <c r="R5129" s="7" t="s">
        <v>24549</v>
      </c>
      <c r="S5129" s="14" t="s">
        <v>24550</v>
      </c>
      <c r="T5129" s="8"/>
      <c r="U5129" s="19" t="str">
        <f>HYPERLINK("https://pbs.twimg.com/profile_images/1159859734427643904/iFVPxP43.jpg","View")</f>
        <v>View</v>
      </c>
      <c r="V5129" s="8"/>
      <c r="W5129" s="8"/>
      <c r="X5129" s="8"/>
      <c r="Y5129" s="8"/>
      <c r="Z5129" s="8"/>
    </row>
    <row r="5130" spans="1:26" ht="12.75">
      <c r="A5130" s="11">
        <v>43747.095081018517</v>
      </c>
      <c r="B5130" s="12" t="str">
        <f>HYPERLINK("https://twitter.com/tbadik","@tbadik")</f>
        <v>@tbadik</v>
      </c>
      <c r="C5130" s="7" t="s">
        <v>24551</v>
      </c>
      <c r="D5130" s="7" t="s">
        <v>24552</v>
      </c>
      <c r="E5130" s="12" t="str">
        <f>HYPERLINK("https://twitter.com/tbadik/status/1181861087802732544","1181861087802732544")</f>
        <v>1181861087802732544</v>
      </c>
      <c r="F5130" s="8"/>
      <c r="G5130" s="8"/>
      <c r="H5130" s="8"/>
      <c r="I5130" s="15">
        <v>0</v>
      </c>
      <c r="J5130" s="15">
        <v>0</v>
      </c>
      <c r="K5130" s="12" t="str">
        <f>HYPERLINK("http://twitter.com/download/android","Twitter for Android")</f>
        <v>Twitter for Android</v>
      </c>
      <c r="L5130" s="16">
        <v>48</v>
      </c>
      <c r="M5130" s="16">
        <v>99</v>
      </c>
      <c r="N5130" s="16">
        <v>0</v>
      </c>
      <c r="O5130" s="17"/>
      <c r="P5130" s="18">
        <v>40733.255543981482</v>
      </c>
      <c r="Q5130" s="8"/>
      <c r="R5130" s="8" t="s">
        <v>24553</v>
      </c>
      <c r="S5130" s="8"/>
      <c r="T5130" s="8"/>
      <c r="U5130" s="19" t="str">
        <f>HYPERLINK("https://pbs.twimg.com/profile_images/551853310442217472/nKRlLHTm.jpeg","View")</f>
        <v>View</v>
      </c>
      <c r="V5130" s="8"/>
      <c r="W5130" s="8"/>
      <c r="X5130" s="8"/>
      <c r="Y5130" s="8"/>
      <c r="Z5130" s="8"/>
    </row>
    <row r="5131" spans="1:26" ht="12.75">
      <c r="A5131" s="11">
        <v>43747.095069444447</v>
      </c>
      <c r="B5131" s="12" t="str">
        <f>HYPERLINK("https://twitter.com/BaslicaVideolar","@BaslicaVideolar")</f>
        <v>@BaslicaVideolar</v>
      </c>
      <c r="C5131" s="7" t="s">
        <v>24554</v>
      </c>
      <c r="D5131" s="7" t="s">
        <v>24555</v>
      </c>
      <c r="E5131" s="12" t="str">
        <f>HYPERLINK("https://twitter.com/BaslicaVideolar/status/1181861080735326208","1181861080735326208")</f>
        <v>1181861080735326208</v>
      </c>
      <c r="F5131" s="8"/>
      <c r="G5131" s="15"/>
      <c r="H5131" s="8"/>
      <c r="I5131" s="15">
        <v>0</v>
      </c>
      <c r="J5131" s="15">
        <v>0</v>
      </c>
      <c r="K5131" s="12" t="str">
        <f>HYPERLINK("http://twitter.com/download/android","Twitter for Android")</f>
        <v>Twitter for Android</v>
      </c>
      <c r="L5131" s="16">
        <v>0</v>
      </c>
      <c r="M5131" s="16">
        <v>38</v>
      </c>
      <c r="N5131" s="16">
        <v>0</v>
      </c>
      <c r="O5131" s="17"/>
      <c r="P5131" s="18">
        <v>43747.083530092597</v>
      </c>
      <c r="Q5131" s="7"/>
      <c r="R5131" s="7" t="s">
        <v>24556</v>
      </c>
      <c r="S5131" s="8"/>
      <c r="T5131" s="8"/>
      <c r="U5131" s="19" t="str">
        <f>HYPERLINK("https://pbs.twimg.com/profile_images/1181858123486810112/lK_8VhAa.jpg","View")</f>
        <v>View</v>
      </c>
      <c r="V5131" s="8"/>
      <c r="W5131" s="8"/>
      <c r="X5131" s="8"/>
      <c r="Y5131" s="8"/>
      <c r="Z5131" s="8"/>
    </row>
    <row r="5132" spans="1:26" ht="12.75">
      <c r="A5132" s="11">
        <v>43747.095069444447</v>
      </c>
      <c r="B5132" s="12" t="str">
        <f>HYPERLINK("https://twitter.com/Furkangundgdu42","@Furkangundgdu42")</f>
        <v>@Furkangundgdu42</v>
      </c>
      <c r="C5132" s="7" t="s">
        <v>24557</v>
      </c>
      <c r="D5132" s="7" t="s">
        <v>24558</v>
      </c>
      <c r="E5132" s="12" t="str">
        <f>HYPERLINK("https://twitter.com/Furkangundgdu42/status/1181861080592723969","1181861080592723969")</f>
        <v>1181861080592723969</v>
      </c>
      <c r="F5132" s="15"/>
      <c r="G5132" s="15"/>
      <c r="H5132" s="8"/>
      <c r="I5132" s="15">
        <v>0</v>
      </c>
      <c r="J5132" s="15">
        <v>0</v>
      </c>
      <c r="K5132" s="12" t="str">
        <f>HYPERLINK("http://twitter.com/download/android","Twitter for Android")</f>
        <v>Twitter for Android</v>
      </c>
      <c r="L5132" s="16">
        <v>1074</v>
      </c>
      <c r="M5132" s="16">
        <v>130</v>
      </c>
      <c r="N5132" s="16">
        <v>0</v>
      </c>
      <c r="O5132" s="17"/>
      <c r="P5132" s="18">
        <v>40881.006284722222</v>
      </c>
      <c r="Q5132" s="8" t="s">
        <v>860</v>
      </c>
      <c r="R5132" s="8" t="s">
        <v>24559</v>
      </c>
      <c r="S5132" s="8"/>
      <c r="T5132" s="8"/>
      <c r="U5132" s="19" t="str">
        <f>HYPERLINK("https://pbs.twimg.com/profile_images/1177065019240062981/ovlYG5e-.jpg","View")</f>
        <v>View</v>
      </c>
      <c r="V5132" s="8"/>
      <c r="W5132" s="8"/>
      <c r="X5132" s="8"/>
      <c r="Y5132" s="8"/>
      <c r="Z5132" s="8"/>
    </row>
    <row r="5133" spans="1:26" ht="12.75">
      <c r="A5133" s="11">
        <v>43747.095057870371</v>
      </c>
      <c r="B5133" s="12" t="str">
        <f>HYPERLINK("https://twitter.com/Meekselinaa","@Meekselinaa")</f>
        <v>@Meekselinaa</v>
      </c>
      <c r="C5133" s="7" t="s">
        <v>24560</v>
      </c>
      <c r="D5133" s="7" t="s">
        <v>24561</v>
      </c>
      <c r="E5133" s="12" t="str">
        <f>HYPERLINK("https://twitter.com/Meekselinaa/status/1181861079649017856","1181861079649017856")</f>
        <v>1181861079649017856</v>
      </c>
      <c r="F5133" s="8"/>
      <c r="G5133" s="15"/>
      <c r="H5133" s="8"/>
      <c r="I5133" s="15">
        <v>0</v>
      </c>
      <c r="J5133" s="15">
        <v>0</v>
      </c>
      <c r="K5133" s="12" t="str">
        <f>HYPERLINK("http://twitter.com/download/android","Twitter for Android")</f>
        <v>Twitter for Android</v>
      </c>
      <c r="L5133" s="16">
        <v>4017</v>
      </c>
      <c r="M5133" s="16">
        <v>391</v>
      </c>
      <c r="N5133" s="16">
        <v>16</v>
      </c>
      <c r="O5133" s="17"/>
      <c r="P5133" s="18">
        <v>40635.51295138889</v>
      </c>
      <c r="Q5133" s="8"/>
      <c r="R5133" s="7" t="s">
        <v>24562</v>
      </c>
      <c r="S5133" s="8"/>
      <c r="T5133" s="8"/>
      <c r="U5133" s="19" t="str">
        <f>HYPERLINK("https://pbs.twimg.com/profile_images/1096446635637436417/GuVPNh-1.jpg","View")</f>
        <v>View</v>
      </c>
      <c r="V5133" s="8"/>
      <c r="W5133" s="8"/>
      <c r="X5133" s="8"/>
      <c r="Y5133" s="8"/>
      <c r="Z5133" s="8"/>
    </row>
    <row r="5134" spans="1:26" ht="12.75">
      <c r="A5134" s="11">
        <v>43747.095057870371</v>
      </c>
      <c r="B5134" s="12" t="str">
        <f>HYPERLINK("https://twitter.com/engin06xyl","@engin06xyl")</f>
        <v>@engin06xyl</v>
      </c>
      <c r="C5134" s="7" t="s">
        <v>24563</v>
      </c>
      <c r="D5134" s="7" t="s">
        <v>24564</v>
      </c>
      <c r="E5134" s="12" t="str">
        <f>HYPERLINK("https://twitter.com/engin06xyl/status/1181861076369133569","1181861076369133569")</f>
        <v>1181861076369133569</v>
      </c>
      <c r="F5134" s="8"/>
      <c r="G5134" s="15"/>
      <c r="H5134" s="8"/>
      <c r="I5134" s="15">
        <v>0</v>
      </c>
      <c r="J5134" s="15">
        <v>1</v>
      </c>
      <c r="K5134" s="12" t="str">
        <f>HYPERLINK("http://twitter.com/download/android","Twitter for Android")</f>
        <v>Twitter for Android</v>
      </c>
      <c r="L5134" s="16">
        <v>0</v>
      </c>
      <c r="M5134" s="16">
        <v>23</v>
      </c>
      <c r="N5134" s="16">
        <v>0</v>
      </c>
      <c r="O5134" s="17"/>
      <c r="P5134" s="18">
        <v>42780.094537037032</v>
      </c>
      <c r="Q5134" s="8" t="s">
        <v>668</v>
      </c>
      <c r="R5134" s="7"/>
      <c r="S5134" s="8"/>
      <c r="T5134" s="8"/>
      <c r="U5134" s="20" t="s">
        <v>354</v>
      </c>
      <c r="V5134" s="8"/>
      <c r="W5134" s="8"/>
      <c r="X5134" s="8"/>
      <c r="Y5134" s="8"/>
      <c r="Z5134" s="8"/>
    </row>
    <row r="5135" spans="1:26" ht="12.75">
      <c r="A5135" s="11">
        <v>43747.095034722224</v>
      </c>
      <c r="B5135" s="12" t="str">
        <f>HYPERLINK("https://twitter.com/OsmanGurses023","@OsmanGurses023")</f>
        <v>@OsmanGurses023</v>
      </c>
      <c r="C5135" s="7" t="s">
        <v>24565</v>
      </c>
      <c r="D5135" s="7" t="s">
        <v>24566</v>
      </c>
      <c r="E5135" s="12" t="str">
        <f>HYPERLINK("https://twitter.com/OsmanGurses023/status/1181861069402382337","1181861069402382337")</f>
        <v>1181861069402382337</v>
      </c>
      <c r="F5135" s="14" t="s">
        <v>24567</v>
      </c>
      <c r="G5135" s="15"/>
      <c r="H5135" s="8"/>
      <c r="I5135" s="15">
        <v>0</v>
      </c>
      <c r="J5135" s="15">
        <v>0</v>
      </c>
      <c r="K5135" s="12" t="str">
        <f>HYPERLINK("http://twitter.com/download/android","Twitter for Android")</f>
        <v>Twitter for Android</v>
      </c>
      <c r="L5135" s="16">
        <v>2869</v>
      </c>
      <c r="M5135" s="16">
        <v>991</v>
      </c>
      <c r="N5135" s="16">
        <v>12</v>
      </c>
      <c r="O5135" s="17"/>
      <c r="P5135" s="18">
        <v>40052.175243055557</v>
      </c>
      <c r="Q5135" s="7"/>
      <c r="R5135" s="7" t="s">
        <v>24568</v>
      </c>
      <c r="S5135" s="14" t="s">
        <v>24569</v>
      </c>
      <c r="T5135" s="8"/>
      <c r="U5135" s="19" t="str">
        <f>HYPERLINK("https://pbs.twimg.com/profile_images/889456369623072775/TbDmfDtC.jpg","View")</f>
        <v>View</v>
      </c>
      <c r="V5135" s="8"/>
      <c r="W5135" s="8"/>
      <c r="X5135" s="8"/>
      <c r="Y5135" s="8"/>
      <c r="Z5135" s="8"/>
    </row>
    <row r="5136" spans="1:26" ht="12.75">
      <c r="A5136" s="11">
        <v>43747.094965277778</v>
      </c>
      <c r="B5136" s="12" t="str">
        <f>HYPERLINK("https://twitter.com/azlaank65","@azlaank65")</f>
        <v>@azlaank65</v>
      </c>
      <c r="C5136" s="7" t="s">
        <v>24570</v>
      </c>
      <c r="D5136" s="7" t="s">
        <v>24571</v>
      </c>
      <c r="E5136" s="12" t="str">
        <f>HYPERLINK("https://twitter.com/azlaank65/status/1181861042504310784","1181861042504310784")</f>
        <v>1181861042504310784</v>
      </c>
      <c r="F5136" s="14" t="s">
        <v>24572</v>
      </c>
      <c r="G5136" s="14" t="s">
        <v>24573</v>
      </c>
      <c r="H5136" s="8"/>
      <c r="I5136" s="15">
        <v>0</v>
      </c>
      <c r="J5136" s="15">
        <v>0</v>
      </c>
      <c r="K5136" s="12" t="str">
        <f>HYPERLINK("https://mobile.twitter.com","Twitter Web App")</f>
        <v>Twitter Web App</v>
      </c>
      <c r="L5136" s="16">
        <v>138</v>
      </c>
      <c r="M5136" s="16">
        <v>272</v>
      </c>
      <c r="N5136" s="16">
        <v>0</v>
      </c>
      <c r="O5136" s="17"/>
      <c r="P5136" s="18">
        <v>43726.173842592594</v>
      </c>
      <c r="Q5136" s="8"/>
      <c r="R5136" s="8" t="s">
        <v>24574</v>
      </c>
      <c r="S5136" s="8"/>
      <c r="T5136" s="8"/>
      <c r="U5136" s="19" t="str">
        <f>HYPERLINK("https://pbs.twimg.com/profile_images/1174296720450174976/rtqIUQRa.jpg","View")</f>
        <v>View</v>
      </c>
      <c r="V5136" s="8"/>
      <c r="W5136" s="8"/>
      <c r="X5136" s="8"/>
      <c r="Y5136" s="8"/>
      <c r="Z5136" s="8"/>
    </row>
    <row r="5137" spans="1:26" ht="12.75">
      <c r="A5137" s="11">
        <v>43747.094942129625</v>
      </c>
      <c r="B5137" s="12" t="str">
        <f>HYPERLINK("https://twitter.com/KSKYGSZ_MHP","@KSKYGSZ_MHP")</f>
        <v>@KSKYGSZ_MHP</v>
      </c>
      <c r="C5137" s="7" t="s">
        <v>24575</v>
      </c>
      <c r="D5137" s="7" t="s">
        <v>24576</v>
      </c>
      <c r="E5137" s="12" t="str">
        <f>HYPERLINK("https://twitter.com/KSKYGSZ_MHP/status/1181861037097848832","1181861037097848832")</f>
        <v>1181861037097848832</v>
      </c>
      <c r="F5137" s="8"/>
      <c r="G5137" s="14" t="s">
        <v>24577</v>
      </c>
      <c r="H5137" s="8"/>
      <c r="I5137" s="15">
        <v>0</v>
      </c>
      <c r="J5137" s="15">
        <v>2</v>
      </c>
      <c r="K5137" s="12" t="str">
        <f>HYPERLINK("http://twitter.com/download/iphone","Twitter for iPhone")</f>
        <v>Twitter for iPhone</v>
      </c>
      <c r="L5137" s="16">
        <v>230</v>
      </c>
      <c r="M5137" s="16">
        <v>117</v>
      </c>
      <c r="N5137" s="16">
        <v>0</v>
      </c>
      <c r="O5137" s="17"/>
      <c r="P5137" s="18">
        <v>42270.232604166667</v>
      </c>
      <c r="Q5137" s="7"/>
      <c r="R5137" s="7" t="s">
        <v>24578</v>
      </c>
      <c r="S5137" s="8"/>
      <c r="T5137" s="8"/>
      <c r="U5137" s="19" t="str">
        <f>HYPERLINK("https://pbs.twimg.com/profile_images/1135321123619573760/0WQwTTe3.jpg","View")</f>
        <v>View</v>
      </c>
      <c r="V5137" s="8"/>
      <c r="W5137" s="8"/>
      <c r="X5137" s="8"/>
      <c r="Y5137" s="8"/>
      <c r="Z5137" s="8"/>
    </row>
    <row r="5138" spans="1:26" ht="12.75">
      <c r="A5138" s="11">
        <v>43747.094942129625</v>
      </c>
      <c r="B5138" s="12" t="str">
        <f>HYPERLINK("https://twitter.com/kemalhos","@kemalhos")</f>
        <v>@kemalhos</v>
      </c>
      <c r="C5138" s="7" t="s">
        <v>24579</v>
      </c>
      <c r="D5138" s="7" t="s">
        <v>24580</v>
      </c>
      <c r="E5138" s="12" t="str">
        <f>HYPERLINK("https://twitter.com/kemalhos/status/1181861035826921472","1181861035826921472")</f>
        <v>1181861035826921472</v>
      </c>
      <c r="F5138" s="15"/>
      <c r="G5138" s="15"/>
      <c r="H5138" s="8"/>
      <c r="I5138" s="15">
        <v>0</v>
      </c>
      <c r="J5138" s="15">
        <v>1</v>
      </c>
      <c r="K5138" s="12" t="str">
        <f>HYPERLINK("http://twitter.com/download/android","Twitter for Android")</f>
        <v>Twitter for Android</v>
      </c>
      <c r="L5138" s="16">
        <v>346</v>
      </c>
      <c r="M5138" s="16">
        <v>1229</v>
      </c>
      <c r="N5138" s="16">
        <v>0</v>
      </c>
      <c r="O5138" s="17"/>
      <c r="P5138" s="18">
        <v>40916.400937500002</v>
      </c>
      <c r="Q5138" s="7" t="s">
        <v>24581</v>
      </c>
      <c r="R5138" s="7"/>
      <c r="S5138" s="8"/>
      <c r="T5138" s="8"/>
      <c r="U5138" s="19" t="str">
        <f>HYPERLINK("https://pbs.twimg.com/profile_images/832150960185147392/3ADVl6DJ.jpg","View")</f>
        <v>View</v>
      </c>
      <c r="V5138" s="8"/>
      <c r="W5138" s="8"/>
      <c r="X5138" s="8"/>
      <c r="Y5138" s="8"/>
      <c r="Z5138" s="8"/>
    </row>
    <row r="5139" spans="1:26" ht="12.75">
      <c r="A5139" s="11">
        <v>43747.094942129625</v>
      </c>
      <c r="B5139" s="12" t="str">
        <f>HYPERLINK("https://twitter.com/ihsanaktsk","@ihsanaktsk")</f>
        <v>@ihsanaktsk</v>
      </c>
      <c r="C5139" s="7" t="s">
        <v>24582</v>
      </c>
      <c r="D5139" s="7" t="s">
        <v>24583</v>
      </c>
      <c r="E5139" s="12" t="str">
        <f>HYPERLINK("https://twitter.com/ihsanaktsk/status/1181861034501558272","1181861034501558272")</f>
        <v>1181861034501558272</v>
      </c>
      <c r="F5139" s="8"/>
      <c r="G5139" s="8"/>
      <c r="H5139" s="8"/>
      <c r="I5139" s="15">
        <v>0</v>
      </c>
      <c r="J5139" s="15">
        <v>0</v>
      </c>
      <c r="K5139" s="12" t="str">
        <f>HYPERLINK("http://twitter.com/download/iphone","Twitter for iPhone")</f>
        <v>Twitter for iPhone</v>
      </c>
      <c r="L5139" s="16">
        <v>37</v>
      </c>
      <c r="M5139" s="16">
        <v>303</v>
      </c>
      <c r="N5139" s="16">
        <v>0</v>
      </c>
      <c r="O5139" s="17"/>
      <c r="P5139" s="18">
        <v>41943.085451388892</v>
      </c>
      <c r="Q5139" s="7"/>
      <c r="R5139" s="7"/>
      <c r="S5139" s="8"/>
      <c r="T5139" s="8"/>
      <c r="U5139" s="19" t="str">
        <f>HYPERLINK("https://pbs.twimg.com/profile_images/1117860675936817154/K8D3iaBU.jpg","View")</f>
        <v>View</v>
      </c>
      <c r="V5139" s="8"/>
      <c r="W5139" s="8"/>
      <c r="X5139" s="8"/>
      <c r="Y5139" s="8"/>
      <c r="Z5139" s="8"/>
    </row>
    <row r="5140" spans="1:26" ht="12.75">
      <c r="A5140" s="11">
        <v>43747.094930555555</v>
      </c>
      <c r="B5140" s="12" t="str">
        <f>HYPERLINK("https://twitter.com/Can20275070","@Can20275070")</f>
        <v>@Can20275070</v>
      </c>
      <c r="C5140" s="13" t="s">
        <v>19571</v>
      </c>
      <c r="D5140" s="7" t="s">
        <v>17595</v>
      </c>
      <c r="E5140" s="12" t="str">
        <f>HYPERLINK("https://twitter.com/Can20275070/status/1181861032295325697","1181861032295325697")</f>
        <v>1181861032295325697</v>
      </c>
      <c r="F5140" s="8"/>
      <c r="G5140" s="14" t="s">
        <v>24584</v>
      </c>
      <c r="H5140" s="8"/>
      <c r="I5140" s="15">
        <v>0</v>
      </c>
      <c r="J5140" s="15">
        <v>0</v>
      </c>
      <c r="K5140" s="12" t="str">
        <f>HYPERLINK("http://twitter.com/download/android","Twitter for Android")</f>
        <v>Twitter for Android</v>
      </c>
      <c r="L5140" s="16">
        <v>0</v>
      </c>
      <c r="M5140" s="16">
        <v>0</v>
      </c>
      <c r="N5140" s="16">
        <v>0</v>
      </c>
      <c r="O5140" s="17"/>
      <c r="P5140" s="18">
        <v>43707.729444444441</v>
      </c>
      <c r="Q5140" s="7"/>
      <c r="R5140" s="7"/>
      <c r="S5140" s="8"/>
      <c r="T5140" s="8"/>
      <c r="U5140" s="19" t="str">
        <f>HYPERLINK("https://pbs.twimg.com/profile_images/1167595825368842240/KgsTMyz2.jpg","View")</f>
        <v>View</v>
      </c>
      <c r="V5140" s="8"/>
      <c r="W5140" s="8"/>
      <c r="X5140" s="8"/>
      <c r="Y5140" s="8"/>
      <c r="Z5140" s="8"/>
    </row>
    <row r="5141" spans="1:26" ht="12.75">
      <c r="A5141" s="11">
        <v>43747.094930555555</v>
      </c>
      <c r="B5141" s="12" t="str">
        <f>HYPERLINK("https://twitter.com/JPNCDR","@JPNCDR")</f>
        <v>@JPNCDR</v>
      </c>
      <c r="C5141" s="7" t="s">
        <v>24585</v>
      </c>
      <c r="D5141" s="7" t="s">
        <v>14258</v>
      </c>
      <c r="E5141" s="12" t="str">
        <f>HYPERLINK("https://twitter.com/JPNCDR/status/1181861032005910528","1181861032005910528")</f>
        <v>1181861032005910528</v>
      </c>
      <c r="F5141" s="8"/>
      <c r="G5141" s="14" t="s">
        <v>24586</v>
      </c>
      <c r="H5141" s="8"/>
      <c r="I5141" s="15">
        <v>2</v>
      </c>
      <c r="J5141" s="15">
        <v>32</v>
      </c>
      <c r="K5141" s="12" t="str">
        <f>HYPERLINK("https://mobile.twitter.com","Twitter Web App")</f>
        <v>Twitter Web App</v>
      </c>
      <c r="L5141" s="16">
        <v>9280</v>
      </c>
      <c r="M5141" s="16">
        <v>9047</v>
      </c>
      <c r="N5141" s="16">
        <v>1</v>
      </c>
      <c r="O5141" s="17"/>
      <c r="P5141" s="18">
        <v>43330.11854166667</v>
      </c>
      <c r="Q5141" s="8"/>
      <c r="R5141" s="7" t="s">
        <v>24587</v>
      </c>
      <c r="S5141" s="15"/>
      <c r="T5141" s="8"/>
      <c r="U5141" s="19" t="str">
        <f>HYPERLINK("https://pbs.twimg.com/profile_images/1181267540846239744/c4saEY8B.jpg","View")</f>
        <v>View</v>
      </c>
      <c r="V5141" s="8"/>
      <c r="W5141" s="8"/>
      <c r="X5141" s="8"/>
      <c r="Y5141" s="8"/>
      <c r="Z5141" s="8"/>
    </row>
    <row r="5142" spans="1:26" ht="12.75">
      <c r="A5142" s="11">
        <v>43747.094930555555</v>
      </c>
      <c r="B5142" s="12" t="str">
        <f>HYPERLINK("https://twitter.com/guzin_karaman","@guzin_karaman")</f>
        <v>@guzin_karaman</v>
      </c>
      <c r="C5142" s="7" t="s">
        <v>24588</v>
      </c>
      <c r="D5142" s="7" t="s">
        <v>24589</v>
      </c>
      <c r="E5142" s="12" t="str">
        <f>HYPERLINK("https://twitter.com/guzin_karaman/status/1181861030433034240","1181861030433034240")</f>
        <v>1181861030433034240</v>
      </c>
      <c r="F5142" s="8"/>
      <c r="G5142" s="15"/>
      <c r="H5142" s="8"/>
      <c r="I5142" s="15">
        <v>0</v>
      </c>
      <c r="J5142" s="15">
        <v>1</v>
      </c>
      <c r="K5142" s="12" t="str">
        <f>HYPERLINK("https://mobile.twitter.com","Twitter Web App")</f>
        <v>Twitter Web App</v>
      </c>
      <c r="L5142" s="16">
        <v>6</v>
      </c>
      <c r="M5142" s="16">
        <v>19</v>
      </c>
      <c r="N5142" s="16">
        <v>1</v>
      </c>
      <c r="O5142" s="17"/>
      <c r="P5142" s="18">
        <v>40226.547789351855</v>
      </c>
      <c r="Q5142" s="7" t="s">
        <v>313</v>
      </c>
      <c r="R5142" s="7"/>
      <c r="S5142" s="8"/>
      <c r="T5142" s="8"/>
      <c r="U5142" s="19" t="str">
        <f>HYPERLINK("https://pbs.twimg.com/profile_images/912289775914307584/RStqenow.jpg","View")</f>
        <v>View</v>
      </c>
      <c r="V5142" s="8"/>
      <c r="W5142" s="8"/>
      <c r="X5142" s="8"/>
      <c r="Y5142" s="8"/>
      <c r="Z5142" s="8"/>
    </row>
    <row r="5143" spans="1:26" ht="12.75">
      <c r="A5143" s="11">
        <v>43747.094930555555</v>
      </c>
      <c r="B5143" s="12" t="str">
        <f>HYPERLINK("https://twitter.com/erentekinoglu58","@erentekinoglu58")</f>
        <v>@erentekinoglu58</v>
      </c>
      <c r="C5143" s="7" t="s">
        <v>24590</v>
      </c>
      <c r="D5143" s="7" t="s">
        <v>24591</v>
      </c>
      <c r="E5143" s="12" t="str">
        <f>HYPERLINK("https://twitter.com/erentekinoglu58/status/1181861030063943680","1181861030063943680")</f>
        <v>1181861030063943680</v>
      </c>
      <c r="F5143" s="8"/>
      <c r="G5143" s="14" t="s">
        <v>24592</v>
      </c>
      <c r="H5143" s="8"/>
      <c r="I5143" s="15">
        <v>1</v>
      </c>
      <c r="J5143" s="15">
        <v>3</v>
      </c>
      <c r="K5143" s="12" t="str">
        <f>HYPERLINK("http://twitter.com/download/android","Twitter for Android")</f>
        <v>Twitter for Android</v>
      </c>
      <c r="L5143" s="16">
        <v>18</v>
      </c>
      <c r="M5143" s="16">
        <v>65</v>
      </c>
      <c r="N5143" s="16">
        <v>0</v>
      </c>
      <c r="O5143" s="17"/>
      <c r="P5143" s="18">
        <v>41006.785150462965</v>
      </c>
      <c r="Q5143" s="7" t="s">
        <v>313</v>
      </c>
      <c r="R5143" s="7" t="s">
        <v>24593</v>
      </c>
      <c r="S5143" s="15"/>
      <c r="T5143" s="8"/>
      <c r="U5143" s="19" t="str">
        <f>HYPERLINK("https://pbs.twimg.com/profile_images/1159949895069048832/EX8tteaO.jpg","View")</f>
        <v>View</v>
      </c>
      <c r="V5143" s="8"/>
      <c r="W5143" s="8"/>
      <c r="X5143" s="8"/>
      <c r="Y5143" s="8"/>
      <c r="Z5143" s="8"/>
    </row>
    <row r="5144" spans="1:26" ht="12.75">
      <c r="A5144" s="11">
        <v>43747.094907407409</v>
      </c>
      <c r="B5144" s="12" t="str">
        <f>HYPERLINK("https://twitter.com/hilalcode","@hilalcode")</f>
        <v>@hilalcode</v>
      </c>
      <c r="C5144" s="7" t="s">
        <v>24594</v>
      </c>
      <c r="D5144" s="7" t="s">
        <v>24595</v>
      </c>
      <c r="E5144" s="12" t="str">
        <f>HYPERLINK("https://twitter.com/hilalcode/status/1181861022958784512","1181861022958784512")</f>
        <v>1181861022958784512</v>
      </c>
      <c r="F5144" s="8"/>
      <c r="G5144" s="8"/>
      <c r="H5144" s="8"/>
      <c r="I5144" s="15">
        <v>0</v>
      </c>
      <c r="J5144" s="15">
        <v>4</v>
      </c>
      <c r="K5144" s="12" t="str">
        <f>HYPERLINK("https://mobile.twitter.com","Twitter Web App")</f>
        <v>Twitter Web App</v>
      </c>
      <c r="L5144" s="16">
        <v>8142</v>
      </c>
      <c r="M5144" s="16">
        <v>6224</v>
      </c>
      <c r="N5144" s="16">
        <v>7</v>
      </c>
      <c r="O5144" s="17"/>
      <c r="P5144" s="18">
        <v>42920.20144675926</v>
      </c>
      <c r="Q5144" s="7" t="s">
        <v>3321</v>
      </c>
      <c r="R5144" s="7" t="s">
        <v>24596</v>
      </c>
      <c r="S5144" s="8"/>
      <c r="T5144" s="8"/>
      <c r="U5144" s="19" t="str">
        <f>HYPERLINK("https://pbs.twimg.com/profile_images/1152157092234637312/ZVePXSrF.jpg","View")</f>
        <v>View</v>
      </c>
      <c r="V5144" s="8"/>
      <c r="W5144" s="8"/>
      <c r="X5144" s="8"/>
      <c r="Y5144" s="8"/>
      <c r="Z5144" s="8"/>
    </row>
    <row r="5145" spans="1:26" ht="12.75">
      <c r="A5145" s="11">
        <v>43747.094895833332</v>
      </c>
      <c r="B5145" s="12" t="str">
        <f>HYPERLINK("https://twitter.com/B1lenArif","@B1lenArif")</f>
        <v>@B1lenArif</v>
      </c>
      <c r="C5145" s="7" t="s">
        <v>24597</v>
      </c>
      <c r="D5145" s="7" t="s">
        <v>24598</v>
      </c>
      <c r="E5145" s="12" t="str">
        <f>HYPERLINK("https://twitter.com/B1lenArif/status/1181861017787219969","1181861017787219969")</f>
        <v>1181861017787219969</v>
      </c>
      <c r="F5145" s="8"/>
      <c r="G5145" s="15"/>
      <c r="H5145" s="8"/>
      <c r="I5145" s="15">
        <v>1</v>
      </c>
      <c r="J5145" s="15">
        <v>2</v>
      </c>
      <c r="K5145" s="12" t="str">
        <f>HYPERLINK("http://twitter.com/download/android","Twitter for Android")</f>
        <v>Twitter for Android</v>
      </c>
      <c r="L5145" s="16">
        <v>1533</v>
      </c>
      <c r="M5145" s="16">
        <v>3430</v>
      </c>
      <c r="N5145" s="16">
        <v>1</v>
      </c>
      <c r="O5145" s="17"/>
      <c r="P5145" s="18">
        <v>42855.393900462965</v>
      </c>
      <c r="Q5145" s="8" t="s">
        <v>313</v>
      </c>
      <c r="R5145" s="7" t="s">
        <v>24599</v>
      </c>
      <c r="S5145" s="8"/>
      <c r="T5145" s="8"/>
      <c r="U5145" s="19" t="str">
        <f>HYPERLINK("https://pbs.twimg.com/profile_images/1155036053499273216/wttOOsaH.jpg","View")</f>
        <v>View</v>
      </c>
      <c r="V5145" s="8"/>
      <c r="W5145" s="8"/>
      <c r="X5145" s="8"/>
      <c r="Y5145" s="8"/>
      <c r="Z5145" s="8"/>
    </row>
    <row r="5146" spans="1:26" ht="12.75">
      <c r="A5146" s="11">
        <v>43747.094861111109</v>
      </c>
      <c r="B5146" s="12" t="str">
        <f>HYPERLINK("https://twitter.com/siyasethesabi1","@siyasethesabi1")</f>
        <v>@siyasethesabi1</v>
      </c>
      <c r="C5146" s="7" t="s">
        <v>24600</v>
      </c>
      <c r="D5146" s="7" t="s">
        <v>160</v>
      </c>
      <c r="E5146" s="12" t="str">
        <f>HYPERLINK("https://twitter.com/siyasethesabi1/status/1181861005669916679","1181861005669916679")</f>
        <v>1181861005669916679</v>
      </c>
      <c r="F5146" s="8"/>
      <c r="G5146" s="14" t="s">
        <v>24601</v>
      </c>
      <c r="H5146" s="8"/>
      <c r="I5146" s="15">
        <v>0</v>
      </c>
      <c r="J5146" s="15">
        <v>0</v>
      </c>
      <c r="K5146" s="12" t="str">
        <f>HYPERLINK("http://twitter.com/download/iphone","Twitter for iPhone")</f>
        <v>Twitter for iPhone</v>
      </c>
      <c r="L5146" s="16">
        <v>0</v>
      </c>
      <c r="M5146" s="16">
        <v>97</v>
      </c>
      <c r="N5146" s="16">
        <v>0</v>
      </c>
      <c r="O5146" s="17"/>
      <c r="P5146" s="18">
        <v>43746.375069444446</v>
      </c>
      <c r="Q5146" s="7" t="s">
        <v>200</v>
      </c>
      <c r="R5146" s="7"/>
      <c r="S5146" s="8"/>
      <c r="T5146" s="8"/>
      <c r="U5146" s="19" t="str">
        <f>HYPERLINK("https://pbs.twimg.com/profile_images/1181601104448098311/M_WvJAxO.jpg","View")</f>
        <v>View</v>
      </c>
      <c r="V5146" s="8"/>
      <c r="W5146" s="8"/>
      <c r="X5146" s="8"/>
      <c r="Y5146" s="8"/>
      <c r="Z5146" s="8"/>
    </row>
    <row r="5147" spans="1:26" ht="12.75">
      <c r="A5147" s="11">
        <v>43747.094837962963</v>
      </c>
      <c r="B5147" s="12" t="str">
        <f>HYPERLINK("https://twitter.com/_thehtc","@_thehtc")</f>
        <v>@_thehtc</v>
      </c>
      <c r="C5147" s="7" t="s">
        <v>24602</v>
      </c>
      <c r="D5147" s="7" t="s">
        <v>24603</v>
      </c>
      <c r="E5147" s="12" t="str">
        <f>HYPERLINK("https://twitter.com/_thehtc/status/1181860996274642944","1181860996274642944")</f>
        <v>1181860996274642944</v>
      </c>
      <c r="F5147" s="8"/>
      <c r="G5147" s="8"/>
      <c r="H5147" s="8"/>
      <c r="I5147" s="15">
        <v>0</v>
      </c>
      <c r="J5147" s="15">
        <v>3</v>
      </c>
      <c r="K5147" s="12" t="str">
        <f>HYPERLINK("http://twitter.com/download/iphone","Twitter for iPhone")</f>
        <v>Twitter for iPhone</v>
      </c>
      <c r="L5147" s="16">
        <v>612</v>
      </c>
      <c r="M5147" s="16">
        <v>218</v>
      </c>
      <c r="N5147" s="16">
        <v>4</v>
      </c>
      <c r="O5147" s="17"/>
      <c r="P5147" s="18">
        <v>41600.037233796298</v>
      </c>
      <c r="Q5147" s="7" t="s">
        <v>252</v>
      </c>
      <c r="R5147" s="7" t="s">
        <v>24604</v>
      </c>
      <c r="S5147" s="14" t="s">
        <v>24605</v>
      </c>
      <c r="T5147" s="8"/>
      <c r="U5147" s="19" t="str">
        <f>HYPERLINK("https://pbs.twimg.com/profile_images/1077284479574654976/WOc1A9Vg.jpg","View")</f>
        <v>View</v>
      </c>
      <c r="V5147" s="8"/>
      <c r="W5147" s="8"/>
      <c r="X5147" s="8"/>
      <c r="Y5147" s="8"/>
      <c r="Z5147" s="8"/>
    </row>
    <row r="5148" spans="1:26" ht="12.75">
      <c r="A5148" s="11">
        <v>43747.094814814816</v>
      </c>
      <c r="B5148" s="12" t="str">
        <f>HYPERLINK("https://twitter.com/whyman","@whyman")</f>
        <v>@whyman</v>
      </c>
      <c r="C5148" s="7" t="s">
        <v>24606</v>
      </c>
      <c r="D5148" s="7" t="s">
        <v>24607</v>
      </c>
      <c r="E5148" s="12" t="str">
        <f>HYPERLINK("https://twitter.com/whyman/status/1181860990255861760","1181860990255861760")</f>
        <v>1181860990255861760</v>
      </c>
      <c r="F5148" s="8"/>
      <c r="G5148" s="8"/>
      <c r="H5148" s="8"/>
      <c r="I5148" s="15">
        <v>0</v>
      </c>
      <c r="J5148" s="15">
        <v>0</v>
      </c>
      <c r="K5148" s="12" t="str">
        <f>HYPERLINK("http://twitter.com/download/iphone","Twitter for iPhone")</f>
        <v>Twitter for iPhone</v>
      </c>
      <c r="L5148" s="16">
        <v>67</v>
      </c>
      <c r="M5148" s="16">
        <v>257</v>
      </c>
      <c r="N5148" s="16">
        <v>3</v>
      </c>
      <c r="O5148" s="17"/>
      <c r="P5148" s="18">
        <v>39651.761388888888</v>
      </c>
      <c r="Q5148" s="7" t="s">
        <v>24608</v>
      </c>
      <c r="R5148" s="7" t="s">
        <v>24609</v>
      </c>
      <c r="S5148" s="8"/>
      <c r="T5148" s="8"/>
      <c r="U5148" s="19" t="str">
        <f>HYPERLINK("https://pbs.twimg.com/profile_images/693975830108753920/Ssppf7Oz.jpg","View")</f>
        <v>View</v>
      </c>
      <c r="V5148" s="8"/>
      <c r="W5148" s="8"/>
      <c r="X5148" s="8"/>
      <c r="Y5148" s="8"/>
      <c r="Z5148" s="8"/>
    </row>
    <row r="5149" spans="1:26" ht="12.75">
      <c r="A5149" s="11">
        <v>43747.09475694444</v>
      </c>
      <c r="B5149" s="12" t="str">
        <f>HYPERLINK("https://twitter.com/sancar_tugrul","@sancar_tugrul")</f>
        <v>@sancar_tugrul</v>
      </c>
      <c r="C5149" s="7" t="s">
        <v>24610</v>
      </c>
      <c r="D5149" s="7" t="s">
        <v>24611</v>
      </c>
      <c r="E5149" s="12" t="str">
        <f>HYPERLINK("https://twitter.com/sancar_tugrul/status/1181860969594667008","1181860969594667008")</f>
        <v>1181860969594667008</v>
      </c>
      <c r="F5149" s="8"/>
      <c r="G5149" s="15"/>
      <c r="H5149" s="8"/>
      <c r="I5149" s="15">
        <v>0</v>
      </c>
      <c r="J5149" s="15">
        <v>1</v>
      </c>
      <c r="K5149" s="12" t="str">
        <f>HYPERLINK("http://twitter.com/download/iphone","Twitter for iPhone")</f>
        <v>Twitter for iPhone</v>
      </c>
      <c r="L5149" s="16">
        <v>43</v>
      </c>
      <c r="M5149" s="16">
        <v>196</v>
      </c>
      <c r="N5149" s="16">
        <v>1</v>
      </c>
      <c r="O5149" s="17"/>
      <c r="P5149" s="18">
        <v>40434.302222222221</v>
      </c>
      <c r="Q5149" s="7"/>
      <c r="R5149" s="7"/>
      <c r="S5149" s="8"/>
      <c r="T5149" s="8"/>
      <c r="U5149" s="19" t="str">
        <f>HYPERLINK("https://pbs.twimg.com/profile_images/715828459868651520/Jfj9wA2E.jpg","View")</f>
        <v>View</v>
      </c>
      <c r="V5149" s="8"/>
      <c r="W5149" s="8"/>
      <c r="X5149" s="8"/>
      <c r="Y5149" s="8"/>
      <c r="Z5149" s="8"/>
    </row>
    <row r="5150" spans="1:26" ht="12.75">
      <c r="A5150" s="11">
        <v>43747.094733796301</v>
      </c>
      <c r="B5150" s="12" t="str">
        <f>HYPERLINK("https://twitter.com/bykorkut","@bykorkut")</f>
        <v>@bykorkut</v>
      </c>
      <c r="C5150" s="7" t="s">
        <v>24612</v>
      </c>
      <c r="D5150" s="7" t="s">
        <v>24613</v>
      </c>
      <c r="E5150" s="12" t="str">
        <f>HYPERLINK("https://twitter.com/bykorkut/status/1181860959197057025","1181860959197057025")</f>
        <v>1181860959197057025</v>
      </c>
      <c r="F5150" s="8"/>
      <c r="G5150" s="8"/>
      <c r="H5150" s="8"/>
      <c r="I5150" s="15">
        <v>0</v>
      </c>
      <c r="J5150" s="15">
        <v>1</v>
      </c>
      <c r="K5150" s="12" t="str">
        <f>HYPERLINK("http://twitter.com/download/iphone","Twitter for iPhone")</f>
        <v>Twitter for iPhone</v>
      </c>
      <c r="L5150" s="16">
        <v>572</v>
      </c>
      <c r="M5150" s="16">
        <v>54</v>
      </c>
      <c r="N5150" s="16">
        <v>0</v>
      </c>
      <c r="O5150" s="17"/>
      <c r="P5150" s="18">
        <v>40420.421006944445</v>
      </c>
      <c r="Q5150" s="8"/>
      <c r="R5150" s="7" t="s">
        <v>24614</v>
      </c>
      <c r="S5150" s="8"/>
      <c r="T5150" s="8"/>
      <c r="U5150" s="19" t="str">
        <f>HYPERLINK("https://pbs.twimg.com/profile_images/1084878212197478400/qisIRDie.jpg","View")</f>
        <v>View</v>
      </c>
      <c r="V5150" s="8"/>
      <c r="W5150" s="8"/>
      <c r="X5150" s="8"/>
      <c r="Y5150" s="8"/>
      <c r="Z5150" s="8"/>
    </row>
    <row r="5151" spans="1:26" ht="12.75">
      <c r="A5151" s="11">
        <v>43747.094699074078</v>
      </c>
      <c r="B5151" s="12" t="str">
        <f>HYPERLINK("https://twitter.com/ErsalAdnan","@ErsalAdnan")</f>
        <v>@ErsalAdnan</v>
      </c>
      <c r="C5151" s="7" t="s">
        <v>24615</v>
      </c>
      <c r="D5151" s="7" t="s">
        <v>160</v>
      </c>
      <c r="E5151" s="12" t="str">
        <f>HYPERLINK("https://twitter.com/ErsalAdnan/status/1181860946903552001","1181860946903552001")</f>
        <v>1181860946903552001</v>
      </c>
      <c r="F5151" s="8"/>
      <c r="G5151" s="14" t="s">
        <v>24616</v>
      </c>
      <c r="H5151" s="8"/>
      <c r="I5151" s="15">
        <v>0</v>
      </c>
      <c r="J5151" s="15">
        <v>0</v>
      </c>
      <c r="K5151" s="12" t="str">
        <f>HYPERLINK("http://twitter.com/download/android","Twitter for Android")</f>
        <v>Twitter for Android</v>
      </c>
      <c r="L5151" s="16">
        <v>4</v>
      </c>
      <c r="M5151" s="16">
        <v>64</v>
      </c>
      <c r="N5151" s="16">
        <v>0</v>
      </c>
      <c r="O5151" s="17"/>
      <c r="P5151" s="18">
        <v>43402.771203703705</v>
      </c>
      <c r="Q5151" s="8" t="s">
        <v>3579</v>
      </c>
      <c r="R5151" s="7" t="s">
        <v>24617</v>
      </c>
      <c r="S5151" s="15"/>
      <c r="T5151" s="8"/>
      <c r="U5151" s="19" t="str">
        <f>HYPERLINK("https://pbs.twimg.com/profile_images/1113765523072983041/COizZ3hf.jpg","View")</f>
        <v>View</v>
      </c>
      <c r="V5151" s="8"/>
      <c r="W5151" s="8"/>
      <c r="X5151" s="8"/>
      <c r="Y5151" s="8"/>
      <c r="Z5151" s="8"/>
    </row>
    <row r="5152" spans="1:26" ht="12.75">
      <c r="A5152" s="11">
        <v>43747.094687500001</v>
      </c>
      <c r="B5152" s="12" t="str">
        <f>HYPERLINK("https://twitter.com/kuzgunopus","@kuzgunopus")</f>
        <v>@kuzgunopus</v>
      </c>
      <c r="C5152" s="7" t="s">
        <v>24618</v>
      </c>
      <c r="D5152" s="7" t="s">
        <v>24619</v>
      </c>
      <c r="E5152" s="12" t="str">
        <f>HYPERLINK("https://twitter.com/kuzgunopus/status/1181860944059797504","1181860944059797504")</f>
        <v>1181860944059797504</v>
      </c>
      <c r="F5152" s="8"/>
      <c r="G5152" s="15"/>
      <c r="H5152" s="8"/>
      <c r="I5152" s="15">
        <v>0</v>
      </c>
      <c r="J5152" s="15">
        <v>0</v>
      </c>
      <c r="K5152" s="12" t="str">
        <f>HYPERLINK("http://twitter.com/download/iphone","Twitter for iPhone")</f>
        <v>Twitter for iPhone</v>
      </c>
      <c r="L5152" s="16">
        <v>26</v>
      </c>
      <c r="M5152" s="16">
        <v>116</v>
      </c>
      <c r="N5152" s="16">
        <v>0</v>
      </c>
      <c r="O5152" s="17"/>
      <c r="P5152" s="18">
        <v>42573.326145833329</v>
      </c>
      <c r="Q5152" s="8" t="s">
        <v>313</v>
      </c>
      <c r="R5152" s="8" t="s">
        <v>24620</v>
      </c>
      <c r="S5152" s="8"/>
      <c r="T5152" s="8"/>
      <c r="U5152" s="19" t="str">
        <f>HYPERLINK("https://pbs.twimg.com/profile_images/1102465506131488768/xISmtt80.jpg","View")</f>
        <v>View</v>
      </c>
      <c r="V5152" s="8"/>
      <c r="W5152" s="8"/>
      <c r="X5152" s="8"/>
      <c r="Y5152" s="8"/>
      <c r="Z5152" s="8"/>
    </row>
    <row r="5153" spans="1:26" ht="12.75">
      <c r="A5153" s="11">
        <v>43747.094664351855</v>
      </c>
      <c r="B5153" s="12" t="str">
        <f>HYPERLINK("https://twitter.com/Oguzhanncaylakk","@Oguzhanncaylakk")</f>
        <v>@Oguzhanncaylakk</v>
      </c>
      <c r="C5153" s="7" t="s">
        <v>24621</v>
      </c>
      <c r="D5153" s="7" t="s">
        <v>160</v>
      </c>
      <c r="E5153" s="12" t="str">
        <f>HYPERLINK("https://twitter.com/Oguzhanncaylakk/status/1181860935566286848","1181860935566286848")</f>
        <v>1181860935566286848</v>
      </c>
      <c r="F5153" s="8"/>
      <c r="G5153" s="14" t="s">
        <v>24622</v>
      </c>
      <c r="H5153" s="8"/>
      <c r="I5153" s="15">
        <v>0</v>
      </c>
      <c r="J5153" s="15">
        <v>1</v>
      </c>
      <c r="K5153" s="12" t="str">
        <f>HYPERLINK("http://twitter.com/download/android","Twitter for Android")</f>
        <v>Twitter for Android</v>
      </c>
      <c r="L5153" s="16">
        <v>87</v>
      </c>
      <c r="M5153" s="16">
        <v>65</v>
      </c>
      <c r="N5153" s="16">
        <v>0</v>
      </c>
      <c r="O5153" s="17"/>
      <c r="P5153" s="18">
        <v>43165.616666666669</v>
      </c>
      <c r="Q5153" s="7" t="s">
        <v>24623</v>
      </c>
      <c r="R5153" s="7" t="s">
        <v>24624</v>
      </c>
      <c r="S5153" s="14" t="s">
        <v>24625</v>
      </c>
      <c r="T5153" s="8"/>
      <c r="U5153" s="19" t="str">
        <f>HYPERLINK("https://pbs.twimg.com/profile_images/1091128229375676416/yFs901n_.jpg","View")</f>
        <v>View</v>
      </c>
      <c r="V5153" s="8"/>
      <c r="W5153" s="8"/>
      <c r="X5153" s="8"/>
      <c r="Y5153" s="8"/>
      <c r="Z5153" s="8"/>
    </row>
    <row r="5154" spans="1:26" ht="12.75">
      <c r="A5154" s="11">
        <v>43747.094583333332</v>
      </c>
      <c r="B5154" s="12" t="str">
        <f>HYPERLINK("https://twitter.com/GaziSukru","@GaziSukru")</f>
        <v>@GaziSukru</v>
      </c>
      <c r="C5154" s="7" t="s">
        <v>24626</v>
      </c>
      <c r="D5154" s="7" t="s">
        <v>24627</v>
      </c>
      <c r="E5154" s="12" t="str">
        <f>HYPERLINK("https://twitter.com/GaziSukru/status/1181860905069486080","1181860905069486080")</f>
        <v>1181860905069486080</v>
      </c>
      <c r="F5154" s="8"/>
      <c r="G5154" s="15"/>
      <c r="H5154" s="8"/>
      <c r="I5154" s="15">
        <v>0</v>
      </c>
      <c r="J5154" s="15">
        <v>0</v>
      </c>
      <c r="K5154" s="12" t="str">
        <f>HYPERLINK("http://twitter.com/download/android","Twitter for Android")</f>
        <v>Twitter for Android</v>
      </c>
      <c r="L5154" s="16">
        <v>8</v>
      </c>
      <c r="M5154" s="16">
        <v>11</v>
      </c>
      <c r="N5154" s="16">
        <v>0</v>
      </c>
      <c r="O5154" s="17"/>
      <c r="P5154" s="18">
        <v>43440.610474537039</v>
      </c>
      <c r="Q5154" s="8" t="s">
        <v>80</v>
      </c>
      <c r="R5154" s="7" t="s">
        <v>24628</v>
      </c>
      <c r="S5154" s="8"/>
      <c r="T5154" s="8"/>
      <c r="U5154" s="19" t="str">
        <f>HYPERLINK("https://pbs.twimg.com/profile_images/1176987149079588864/blxLkQXe.jpg","View")</f>
        <v>View</v>
      </c>
      <c r="V5154" s="8"/>
      <c r="W5154" s="8"/>
      <c r="X5154" s="8"/>
      <c r="Y5154" s="8"/>
      <c r="Z5154" s="8"/>
    </row>
    <row r="5155" spans="1:26" ht="12.75">
      <c r="A5155" s="11">
        <v>43747.09443287037</v>
      </c>
      <c r="B5155" s="12" t="str">
        <f>HYPERLINK("https://twitter.com/seneracil","@seneracil")</f>
        <v>@seneracil</v>
      </c>
      <c r="C5155" s="7" t="s">
        <v>24629</v>
      </c>
      <c r="D5155" s="7" t="s">
        <v>24630</v>
      </c>
      <c r="E5155" s="12" t="str">
        <f>HYPERLINK("https://twitter.com/seneracil/status/1181860849880842242","1181860849880842242")</f>
        <v>1181860849880842242</v>
      </c>
      <c r="F5155" s="14" t="s">
        <v>24631</v>
      </c>
      <c r="G5155" s="14" t="s">
        <v>24632</v>
      </c>
      <c r="H5155" s="8"/>
      <c r="I5155" s="15">
        <v>0</v>
      </c>
      <c r="J5155" s="15">
        <v>0</v>
      </c>
      <c r="K5155" s="12" t="str">
        <f>HYPERLINK("http://twitter.com/download/android","Twitter for Android")</f>
        <v>Twitter for Android</v>
      </c>
      <c r="L5155" s="16">
        <v>42</v>
      </c>
      <c r="M5155" s="16">
        <v>46</v>
      </c>
      <c r="N5155" s="16">
        <v>0</v>
      </c>
      <c r="O5155" s="17"/>
      <c r="P5155" s="18">
        <v>40162.499664351853</v>
      </c>
      <c r="Q5155" s="7" t="s">
        <v>8513</v>
      </c>
      <c r="R5155" s="7" t="s">
        <v>24633</v>
      </c>
      <c r="S5155" s="15"/>
      <c r="T5155" s="8"/>
      <c r="U5155" s="19" t="str">
        <f>HYPERLINK("https://pbs.twimg.com/profile_images/1088775792241315840/ni7_uyes.jpg","View")</f>
        <v>View</v>
      </c>
      <c r="V5155" s="8"/>
      <c r="W5155" s="8"/>
      <c r="X5155" s="8"/>
      <c r="Y5155" s="8"/>
      <c r="Z5155" s="8"/>
    </row>
    <row r="5156" spans="1:26" ht="12.75">
      <c r="A5156" s="11">
        <v>43747.09443287037</v>
      </c>
      <c r="B5156" s="12" t="str">
        <f>HYPERLINK("https://twitter.com/hendem_34","@hendem_34")</f>
        <v>@hendem_34</v>
      </c>
      <c r="C5156" s="7" t="s">
        <v>24634</v>
      </c>
      <c r="D5156" s="7" t="s">
        <v>24635</v>
      </c>
      <c r="E5156" s="12" t="str">
        <f>HYPERLINK("https://twitter.com/hendem_34/status/1181860849687896064","1181860849687896064")</f>
        <v>1181860849687896064</v>
      </c>
      <c r="F5156" s="8"/>
      <c r="G5156" s="14" t="s">
        <v>24636</v>
      </c>
      <c r="H5156" s="8"/>
      <c r="I5156" s="15">
        <v>0</v>
      </c>
      <c r="J5156" s="15">
        <v>1</v>
      </c>
      <c r="K5156" s="12" t="str">
        <f>HYPERLINK("http://twitter.com/download/android","Twitter for Android")</f>
        <v>Twitter for Android</v>
      </c>
      <c r="L5156" s="16">
        <v>264</v>
      </c>
      <c r="M5156" s="16">
        <v>280</v>
      </c>
      <c r="N5156" s="16">
        <v>0</v>
      </c>
      <c r="O5156" s="17"/>
      <c r="P5156" s="18">
        <v>43231.499282407407</v>
      </c>
      <c r="Q5156" s="7" t="s">
        <v>313</v>
      </c>
      <c r="R5156" s="7" t="s">
        <v>24637</v>
      </c>
      <c r="S5156" s="14" t="s">
        <v>24638</v>
      </c>
      <c r="T5156" s="8"/>
      <c r="U5156" s="19" t="str">
        <f>HYPERLINK("https://pbs.twimg.com/profile_images/1168130343578288129/brXesa6F.jpg","View")</f>
        <v>View</v>
      </c>
      <c r="V5156" s="8"/>
      <c r="W5156" s="8"/>
      <c r="X5156" s="8"/>
      <c r="Y5156" s="8"/>
      <c r="Z5156" s="8"/>
    </row>
    <row r="5157" spans="1:26" ht="12.75">
      <c r="A5157" s="11">
        <v>43747.094421296293</v>
      </c>
      <c r="B5157" s="12" t="str">
        <f>HYPERLINK("https://twitter.com/AhmetTuluce","@AhmetTuluce")</f>
        <v>@AhmetTuluce</v>
      </c>
      <c r="C5157" s="7" t="s">
        <v>24639</v>
      </c>
      <c r="D5157" s="7" t="s">
        <v>24640</v>
      </c>
      <c r="E5157" s="12" t="str">
        <f>HYPERLINK("https://twitter.com/AhmetTuluce/status/1181860848496730112","1181860848496730112")</f>
        <v>1181860848496730112</v>
      </c>
      <c r="F5157" s="8"/>
      <c r="G5157" s="14" t="s">
        <v>24641</v>
      </c>
      <c r="H5157" s="8"/>
      <c r="I5157" s="15">
        <v>0</v>
      </c>
      <c r="J5157" s="15">
        <v>1</v>
      </c>
      <c r="K5157" s="12" t="str">
        <f>HYPERLINK("http://twitter.com/download/android","Twitter for Android")</f>
        <v>Twitter for Android</v>
      </c>
      <c r="L5157" s="16">
        <v>2504</v>
      </c>
      <c r="M5157" s="16">
        <v>2472</v>
      </c>
      <c r="N5157" s="16">
        <v>4</v>
      </c>
      <c r="O5157" s="17"/>
      <c r="P5157" s="18">
        <v>41212.49559027778</v>
      </c>
      <c r="Q5157" s="7" t="s">
        <v>13095</v>
      </c>
      <c r="R5157" s="8" t="s">
        <v>24642</v>
      </c>
      <c r="S5157" s="8"/>
      <c r="T5157" s="8"/>
      <c r="U5157" s="19" t="str">
        <f>HYPERLINK("https://pbs.twimg.com/profile_images/1151592761931571202/t0g2qARz.jpg","View")</f>
        <v>View</v>
      </c>
      <c r="V5157" s="8"/>
      <c r="W5157" s="8"/>
      <c r="X5157" s="8"/>
      <c r="Y5157" s="8"/>
      <c r="Z5157" s="8"/>
    </row>
    <row r="5158" spans="1:26" ht="12.75">
      <c r="A5158" s="11">
        <v>43747.094317129631</v>
      </c>
      <c r="B5158" s="12" t="str">
        <f>HYPERLINK("https://twitter.com/superbetindeyiz","@superbetindeyiz")</f>
        <v>@superbetindeyiz</v>
      </c>
      <c r="C5158" s="7" t="s">
        <v>24643</v>
      </c>
      <c r="D5158" s="7" t="s">
        <v>24644</v>
      </c>
      <c r="E5158" s="12" t="str">
        <f>HYPERLINK("https://twitter.com/superbetindeyiz/status/1181860809133170688","1181860809133170688")</f>
        <v>1181860809133170688</v>
      </c>
      <c r="F5158" s="8"/>
      <c r="G5158" s="14" t="s">
        <v>24645</v>
      </c>
      <c r="H5158" s="8"/>
      <c r="I5158" s="15">
        <v>0</v>
      </c>
      <c r="J5158" s="15">
        <v>0</v>
      </c>
      <c r="K5158" s="12" t="str">
        <f>HYPERLINK("http://twitter.com/download/iphone","Twitter for iPhone")</f>
        <v>Twitter for iPhone</v>
      </c>
      <c r="L5158" s="16">
        <v>526</v>
      </c>
      <c r="M5158" s="16">
        <v>0</v>
      </c>
      <c r="N5158" s="16">
        <v>1</v>
      </c>
      <c r="O5158" s="17"/>
      <c r="P5158" s="18">
        <v>43584.238645833335</v>
      </c>
      <c r="Q5158" s="7" t="s">
        <v>2858</v>
      </c>
      <c r="R5158" s="8" t="s">
        <v>24646</v>
      </c>
      <c r="S5158" s="14" t="s">
        <v>24647</v>
      </c>
      <c r="T5158" s="8"/>
      <c r="U5158" s="19" t="str">
        <f>HYPERLINK("https://pbs.twimg.com/profile_images/1172930178542186496/zJC4y6sj.jpg","View")</f>
        <v>View</v>
      </c>
      <c r="V5158" s="8"/>
      <c r="W5158" s="8"/>
      <c r="X5158" s="8"/>
      <c r="Y5158" s="8"/>
      <c r="Z5158" s="8"/>
    </row>
    <row r="5159" spans="1:26" ht="12.75">
      <c r="A5159" s="11">
        <v>43747.094317129631</v>
      </c>
      <c r="B5159" s="12" t="str">
        <f>HYPERLINK("https://twitter.com/emrah_parlan","@emrah_parlan")</f>
        <v>@emrah_parlan</v>
      </c>
      <c r="C5159" s="7" t="s">
        <v>24648</v>
      </c>
      <c r="D5159" s="7" t="s">
        <v>24649</v>
      </c>
      <c r="E5159" s="12" t="str">
        <f>HYPERLINK("https://twitter.com/emrah_parlan/status/1181860808634052608","1181860808634052608")</f>
        <v>1181860808634052608</v>
      </c>
      <c r="F5159" s="14" t="s">
        <v>24650</v>
      </c>
      <c r="G5159" s="8"/>
      <c r="H5159" s="8"/>
      <c r="I5159" s="15">
        <v>0</v>
      </c>
      <c r="J5159" s="15">
        <v>1</v>
      </c>
      <c r="K5159" s="12" t="str">
        <f>HYPERLINK("https://mobile.twitter.com","Twitter Web App")</f>
        <v>Twitter Web App</v>
      </c>
      <c r="L5159" s="16">
        <v>1201</v>
      </c>
      <c r="M5159" s="16">
        <v>477</v>
      </c>
      <c r="N5159" s="16">
        <v>16</v>
      </c>
      <c r="O5159" s="17"/>
      <c r="P5159" s="18">
        <v>40848.684374999997</v>
      </c>
      <c r="Q5159" s="7" t="s">
        <v>313</v>
      </c>
      <c r="R5159" s="7" t="s">
        <v>24651</v>
      </c>
      <c r="S5159" s="8"/>
      <c r="T5159" s="8"/>
      <c r="U5159" s="19" t="str">
        <f>HYPERLINK("https://pbs.twimg.com/profile_images/864381862608818177/Mg__eUUo.jpg","View")</f>
        <v>View</v>
      </c>
      <c r="V5159" s="8"/>
      <c r="W5159" s="8"/>
      <c r="X5159" s="8"/>
      <c r="Y5159" s="8"/>
      <c r="Z5159" s="8"/>
    </row>
    <row r="5160" spans="1:26" ht="12.75">
      <c r="A5160" s="11">
        <v>43747.094305555554</v>
      </c>
      <c r="B5160" s="12" t="str">
        <f>HYPERLINK("https://twitter.com/yamanmusic1","@yamanmusic1")</f>
        <v>@yamanmusic1</v>
      </c>
      <c r="C5160" s="7" t="s">
        <v>24652</v>
      </c>
      <c r="D5160" s="7" t="s">
        <v>24653</v>
      </c>
      <c r="E5160" s="12" t="str">
        <f>HYPERLINK("https://twitter.com/yamanmusic1/status/1181860807082160128","1181860807082160128")</f>
        <v>1181860807082160128</v>
      </c>
      <c r="F5160" s="8"/>
      <c r="G5160" s="14" t="s">
        <v>24654</v>
      </c>
      <c r="H5160" s="8"/>
      <c r="I5160" s="15">
        <v>0</v>
      </c>
      <c r="J5160" s="15">
        <v>0</v>
      </c>
      <c r="K5160" s="12" t="str">
        <f>HYPERLINK("http://twitter.com/download/android","Twitter for Android")</f>
        <v>Twitter for Android</v>
      </c>
      <c r="L5160" s="16">
        <v>181</v>
      </c>
      <c r="M5160" s="16">
        <v>117</v>
      </c>
      <c r="N5160" s="16">
        <v>1</v>
      </c>
      <c r="O5160" s="17"/>
      <c r="P5160" s="18">
        <v>42401.423171296294</v>
      </c>
      <c r="Q5160" s="8" t="s">
        <v>69</v>
      </c>
      <c r="R5160" s="8" t="s">
        <v>24655</v>
      </c>
      <c r="S5160" s="8"/>
      <c r="T5160" s="8"/>
      <c r="U5160" s="19" t="str">
        <f>HYPERLINK("https://pbs.twimg.com/profile_images/1174439077799743490/Z8mS5BuF.jpg","View")</f>
        <v>View</v>
      </c>
      <c r="V5160" s="8"/>
      <c r="W5160" s="8"/>
      <c r="X5160" s="8"/>
      <c r="Y5160" s="8"/>
      <c r="Z5160" s="8"/>
    </row>
    <row r="5161" spans="1:26" ht="12.75">
      <c r="A5161" s="11">
        <v>43747.094270833331</v>
      </c>
      <c r="B5161" s="12" t="str">
        <f>HYPERLINK("https://twitter.com/TrkmnSlck","@TrkmnSlck")</f>
        <v>@TrkmnSlck</v>
      </c>
      <c r="C5161" s="7" t="s">
        <v>24656</v>
      </c>
      <c r="D5161" s="7" t="s">
        <v>24657</v>
      </c>
      <c r="E5161" s="12" t="str">
        <f>HYPERLINK("https://twitter.com/TrkmnSlck/status/1181860792683106305","1181860792683106305")</f>
        <v>1181860792683106305</v>
      </c>
      <c r="F5161" s="8"/>
      <c r="G5161" s="15"/>
      <c r="H5161" s="8"/>
      <c r="I5161" s="15">
        <v>0</v>
      </c>
      <c r="J5161" s="15">
        <v>1</v>
      </c>
      <c r="K5161" s="12" t="str">
        <f>HYPERLINK("http://twitter.com/download/android","Twitter for Android")</f>
        <v>Twitter for Android</v>
      </c>
      <c r="L5161" s="16">
        <v>46</v>
      </c>
      <c r="M5161" s="16">
        <v>134</v>
      </c>
      <c r="N5161" s="16">
        <v>0</v>
      </c>
      <c r="O5161" s="17"/>
      <c r="P5161" s="18">
        <v>41501.155624999999</v>
      </c>
      <c r="Q5161" s="7" t="s">
        <v>860</v>
      </c>
      <c r="R5161" s="7" t="s">
        <v>24658</v>
      </c>
      <c r="S5161" s="8"/>
      <c r="T5161" s="8"/>
      <c r="U5161" s="19" t="str">
        <f>HYPERLINK("https://pbs.twimg.com/profile_images/662688238973419521/kfwBBD4Q.jpg","View")</f>
        <v>View</v>
      </c>
      <c r="V5161" s="8"/>
      <c r="W5161" s="8"/>
      <c r="X5161" s="8"/>
      <c r="Y5161" s="8"/>
      <c r="Z5161" s="8"/>
    </row>
    <row r="5162" spans="1:26" ht="12.75">
      <c r="A5162" s="11">
        <v>43747.094224537039</v>
      </c>
      <c r="B5162" s="12" t="str">
        <f>HYPERLINK("https://twitter.com/Sporajans33","@Sporajans33")</f>
        <v>@Sporajans33</v>
      </c>
      <c r="C5162" s="7" t="s">
        <v>24659</v>
      </c>
      <c r="D5162" s="7" t="s">
        <v>24660</v>
      </c>
      <c r="E5162" s="12" t="str">
        <f>HYPERLINK("https://twitter.com/Sporajans33/status/1181860776484757505","1181860776484757505")</f>
        <v>1181860776484757505</v>
      </c>
      <c r="F5162" s="8"/>
      <c r="G5162" s="8"/>
      <c r="H5162" s="8"/>
      <c r="I5162" s="15">
        <v>0</v>
      </c>
      <c r="J5162" s="15">
        <v>0</v>
      </c>
      <c r="K5162" s="12" t="str">
        <f>HYPERLINK("https://mobile.twitter.com","Twitter Web App")</f>
        <v>Twitter Web App</v>
      </c>
      <c r="L5162" s="16">
        <v>235</v>
      </c>
      <c r="M5162" s="16">
        <v>404</v>
      </c>
      <c r="N5162" s="16">
        <v>0</v>
      </c>
      <c r="O5162" s="17"/>
      <c r="P5162" s="18">
        <v>43167.691006944442</v>
      </c>
      <c r="Q5162" s="8"/>
      <c r="R5162" s="8"/>
      <c r="S5162" s="8"/>
      <c r="T5162" s="8"/>
      <c r="U5162" s="19" t="str">
        <f>HYPERLINK("https://pbs.twimg.com/profile_images/1109176908334448641/QFjXGdug.png","View")</f>
        <v>View</v>
      </c>
      <c r="V5162" s="8"/>
      <c r="W5162" s="8"/>
      <c r="X5162" s="8"/>
      <c r="Y5162" s="8"/>
      <c r="Z5162" s="8"/>
    </row>
    <row r="5163" spans="1:26" ht="12.75">
      <c r="A5163" s="11">
        <v>43747.094189814816</v>
      </c>
      <c r="B5163" s="12" t="str">
        <f>HYPERLINK("https://twitter.com/semcplk","@semcplk")</f>
        <v>@semcplk</v>
      </c>
      <c r="C5163" s="7" t="s">
        <v>24661</v>
      </c>
      <c r="D5163" s="7" t="s">
        <v>24662</v>
      </c>
      <c r="E5163" s="12" t="str">
        <f>HYPERLINK("https://twitter.com/semcplk/status/1181860763503415296","1181860763503415296")</f>
        <v>1181860763503415296</v>
      </c>
      <c r="F5163" s="14" t="s">
        <v>24663</v>
      </c>
      <c r="G5163" s="14" t="s">
        <v>24664</v>
      </c>
      <c r="H5163" s="8"/>
      <c r="I5163" s="15">
        <v>0</v>
      </c>
      <c r="J5163" s="15">
        <v>1</v>
      </c>
      <c r="K5163" s="12" t="str">
        <f>HYPERLINK("http://twitter.com/download/android","Twitter for Android")</f>
        <v>Twitter for Android</v>
      </c>
      <c r="L5163" s="16">
        <v>291</v>
      </c>
      <c r="M5163" s="16">
        <v>417</v>
      </c>
      <c r="N5163" s="16">
        <v>1</v>
      </c>
      <c r="O5163" s="17"/>
      <c r="P5163" s="18">
        <v>40750.547268518516</v>
      </c>
      <c r="Q5163" s="8" t="s">
        <v>15484</v>
      </c>
      <c r="R5163" s="8" t="s">
        <v>24665</v>
      </c>
      <c r="S5163" s="8"/>
      <c r="T5163" s="8"/>
      <c r="U5163" s="19" t="str">
        <f>HYPERLINK("https://pbs.twimg.com/profile_images/1174456243794141185/guCFai5j.jpg","View")</f>
        <v>View</v>
      </c>
      <c r="V5163" s="8"/>
      <c r="W5163" s="8"/>
      <c r="X5163" s="8"/>
      <c r="Y5163" s="8"/>
      <c r="Z5163" s="8"/>
    </row>
    <row r="5164" spans="1:26" ht="12.75">
      <c r="A5164" s="11">
        <v>43747.094155092593</v>
      </c>
      <c r="B5164" s="12" t="str">
        <f>HYPERLINK("https://twitter.com/altefdortpod","@altefdortpod")</f>
        <v>@altefdortpod</v>
      </c>
      <c r="C5164" s="7" t="s">
        <v>24666</v>
      </c>
      <c r="D5164" s="7" t="s">
        <v>24667</v>
      </c>
      <c r="E5164" s="12" t="str">
        <f>HYPERLINK("https://twitter.com/altefdortpod/status/1181860750777835520","1181860750777835520")</f>
        <v>1181860750777835520</v>
      </c>
      <c r="F5164" s="14" t="s">
        <v>24668</v>
      </c>
      <c r="G5164" s="15"/>
      <c r="H5164" s="8"/>
      <c r="I5164" s="15">
        <v>1</v>
      </c>
      <c r="J5164" s="15">
        <v>2</v>
      </c>
      <c r="K5164" s="12" t="str">
        <f>HYPERLINK("https://mobile.twitter.com","Twitter Web App")</f>
        <v>Twitter Web App</v>
      </c>
      <c r="L5164" s="16">
        <v>59</v>
      </c>
      <c r="M5164" s="16">
        <v>159</v>
      </c>
      <c r="N5164" s="16">
        <v>0</v>
      </c>
      <c r="O5164" s="17"/>
      <c r="P5164" s="18">
        <v>43648.400046296301</v>
      </c>
      <c r="Q5164" s="8" t="s">
        <v>313</v>
      </c>
      <c r="R5164" s="7" t="s">
        <v>24669</v>
      </c>
      <c r="S5164" s="8"/>
      <c r="T5164" s="8"/>
      <c r="U5164" s="19" t="str">
        <f>HYPERLINK("https://pbs.twimg.com/profile_images/1174699186782199808/o9chXIY0.jpg","View")</f>
        <v>View</v>
      </c>
      <c r="V5164" s="8"/>
      <c r="W5164" s="8"/>
      <c r="X5164" s="8"/>
      <c r="Y5164" s="8"/>
      <c r="Z5164" s="8"/>
    </row>
    <row r="5165" spans="1:26" ht="12.75">
      <c r="A5165" s="11">
        <v>43747.094143518523</v>
      </c>
      <c r="B5165" s="12" t="str">
        <f>HYPERLINK("https://twitter.com/s_kcece","@s_kcece")</f>
        <v>@s_kcece</v>
      </c>
      <c r="C5165" s="7" t="s">
        <v>24670</v>
      </c>
      <c r="D5165" s="7" t="s">
        <v>160</v>
      </c>
      <c r="E5165" s="12" t="str">
        <f>HYPERLINK("https://twitter.com/s_kcece/status/1181860747468558336","1181860747468558336")</f>
        <v>1181860747468558336</v>
      </c>
      <c r="F5165" s="8"/>
      <c r="G5165" s="15"/>
      <c r="H5165" s="8"/>
      <c r="I5165" s="15">
        <v>0</v>
      </c>
      <c r="J5165" s="15">
        <v>2</v>
      </c>
      <c r="K5165" s="12" t="str">
        <f>HYPERLINK("http://twitter.com/download/android","Twitter for Android")</f>
        <v>Twitter for Android</v>
      </c>
      <c r="L5165" s="16">
        <v>62</v>
      </c>
      <c r="M5165" s="16">
        <v>166</v>
      </c>
      <c r="N5165" s="16">
        <v>0</v>
      </c>
      <c r="O5165" s="17"/>
      <c r="P5165" s="18">
        <v>43209.551226851851</v>
      </c>
      <c r="Q5165" s="8" t="s">
        <v>69</v>
      </c>
      <c r="R5165" s="7" t="s">
        <v>24671</v>
      </c>
      <c r="S5165" s="8"/>
      <c r="T5165" s="8"/>
      <c r="U5165" s="19" t="str">
        <f>HYPERLINK("https://pbs.twimg.com/profile_images/1162129708072493056/l0ka_LMf.jpg","View")</f>
        <v>View</v>
      </c>
      <c r="V5165" s="8"/>
      <c r="W5165" s="8"/>
      <c r="X5165" s="8"/>
      <c r="Y5165" s="8"/>
      <c r="Z5165" s="8"/>
    </row>
    <row r="5166" spans="1:26" ht="12.75">
      <c r="A5166" s="11">
        <v>43747.094143518523</v>
      </c>
      <c r="B5166" s="12" t="str">
        <f>HYPERLINK("https://twitter.com/Tugrul431","@Tugrul431")</f>
        <v>@Tugrul431</v>
      </c>
      <c r="C5166" s="7" t="s">
        <v>24672</v>
      </c>
      <c r="D5166" s="7" t="s">
        <v>24673</v>
      </c>
      <c r="E5166" s="12" t="str">
        <f>HYPERLINK("https://twitter.com/Tugrul431/status/1181860744972902401","1181860744972902401")</f>
        <v>1181860744972902401</v>
      </c>
      <c r="F5166" s="8"/>
      <c r="G5166" s="15"/>
      <c r="H5166" s="8"/>
      <c r="I5166" s="15">
        <v>0</v>
      </c>
      <c r="J5166" s="15">
        <v>0</v>
      </c>
      <c r="K5166" s="12" t="str">
        <f>HYPERLINK("http://twitter.com/download/android","Twitter for Android")</f>
        <v>Twitter for Android</v>
      </c>
      <c r="L5166" s="16">
        <v>5</v>
      </c>
      <c r="M5166" s="16">
        <v>8</v>
      </c>
      <c r="N5166" s="16">
        <v>0</v>
      </c>
      <c r="O5166" s="17"/>
      <c r="P5166" s="18">
        <v>43455.143101851849</v>
      </c>
      <c r="Q5166" s="7"/>
      <c r="R5166" s="7"/>
      <c r="S5166" s="8"/>
      <c r="T5166" s="8"/>
      <c r="U5166" s="19" t="str">
        <f>HYPERLINK("https://pbs.twimg.com/profile_images/1076076644647997440/gmYG85IB.jpg","View")</f>
        <v>View</v>
      </c>
      <c r="V5166" s="8"/>
      <c r="W5166" s="8"/>
      <c r="X5166" s="8"/>
      <c r="Y5166" s="8"/>
      <c r="Z5166" s="8"/>
    </row>
    <row r="5167" spans="1:26" ht="12.75">
      <c r="A5167" s="11">
        <v>43747.094097222223</v>
      </c>
      <c r="B5167" s="12" t="str">
        <f>HYPERLINK("https://twitter.com/actuallyDKN","@actuallyDKN")</f>
        <v>@actuallyDKN</v>
      </c>
      <c r="C5167" s="7">
        <v>6</v>
      </c>
      <c r="D5167" s="7" t="s">
        <v>24674</v>
      </c>
      <c r="E5167" s="12" t="str">
        <f>HYPERLINK("https://twitter.com/actuallyDKN/status/1181860728799711232","1181860728799711232")</f>
        <v>1181860728799711232</v>
      </c>
      <c r="F5167" s="8"/>
      <c r="G5167" s="14" t="s">
        <v>24675</v>
      </c>
      <c r="H5167" s="8"/>
      <c r="I5167" s="15">
        <v>0</v>
      </c>
      <c r="J5167" s="15">
        <v>0</v>
      </c>
      <c r="K5167" s="12" t="str">
        <f>HYPERLINK("http://twitter.com/download/iphone","Twitter for iPhone")</f>
        <v>Twitter for iPhone</v>
      </c>
      <c r="L5167" s="16">
        <v>13</v>
      </c>
      <c r="M5167" s="16">
        <v>95</v>
      </c>
      <c r="N5167" s="16">
        <v>0</v>
      </c>
      <c r="O5167" s="17"/>
      <c r="P5167" s="18">
        <v>43507.595555555556</v>
      </c>
      <c r="Q5167" s="7" t="s">
        <v>24676</v>
      </c>
      <c r="R5167" s="7" t="s">
        <v>24677</v>
      </c>
      <c r="S5167" s="15"/>
      <c r="T5167" s="8"/>
      <c r="U5167" s="19" t="str">
        <f>HYPERLINK("https://pbs.twimg.com/profile_images/1102310911493185538/TgnQL0Pr.jpg","View")</f>
        <v>View</v>
      </c>
      <c r="V5167" s="8"/>
      <c r="W5167" s="8"/>
      <c r="X5167" s="8"/>
      <c r="Y5167" s="8"/>
      <c r="Z5167" s="8"/>
    </row>
    <row r="5168" spans="1:26" ht="12.75">
      <c r="A5168" s="11">
        <v>43747.0940625</v>
      </c>
      <c r="B5168" s="12" t="str">
        <f>HYPERLINK("https://twitter.com/shOlmesi","@shOlmesi")</f>
        <v>@shOlmesi</v>
      </c>
      <c r="C5168" s="7" t="s">
        <v>24678</v>
      </c>
      <c r="D5168" s="7" t="s">
        <v>160</v>
      </c>
      <c r="E5168" s="12" t="str">
        <f>HYPERLINK("https://twitter.com/shOlmesi/status/1181860716275490816","1181860716275490816")</f>
        <v>1181860716275490816</v>
      </c>
      <c r="F5168" s="8"/>
      <c r="G5168" s="15"/>
      <c r="H5168" s="8"/>
      <c r="I5168" s="15">
        <v>0</v>
      </c>
      <c r="J5168" s="15">
        <v>0</v>
      </c>
      <c r="K5168" s="12" t="str">
        <f>HYPERLINK("http://twitter.com/download/iphone","Twitter for iPhone")</f>
        <v>Twitter for iPhone</v>
      </c>
      <c r="L5168" s="16">
        <v>430</v>
      </c>
      <c r="M5168" s="16">
        <v>521</v>
      </c>
      <c r="N5168" s="16">
        <v>0</v>
      </c>
      <c r="O5168" s="17"/>
      <c r="P5168" s="18">
        <v>43641.484236111108</v>
      </c>
      <c r="Q5168" s="8"/>
      <c r="R5168" s="7" t="s">
        <v>24679</v>
      </c>
      <c r="S5168" s="8"/>
      <c r="T5168" s="8"/>
      <c r="U5168" s="19" t="str">
        <f>HYPERLINK("https://pbs.twimg.com/profile_images/1143589460011040771/t8nNblwq.jpg","View")</f>
        <v>View</v>
      </c>
      <c r="V5168" s="8"/>
      <c r="W5168" s="8"/>
      <c r="X5168" s="8"/>
      <c r="Y5168" s="8"/>
      <c r="Z5168" s="8"/>
    </row>
    <row r="5169" spans="1:26" ht="12.75">
      <c r="A5169" s="11">
        <v>43747.0940625</v>
      </c>
      <c r="B5169" s="12" t="str">
        <f>HYPERLINK("https://twitter.com/faatmaii","@faatmaii")</f>
        <v>@faatmaii</v>
      </c>
      <c r="C5169" s="7" t="s">
        <v>24680</v>
      </c>
      <c r="D5169" s="7" t="s">
        <v>160</v>
      </c>
      <c r="E5169" s="12" t="str">
        <f>HYPERLINK("https://twitter.com/faatmaii/status/1181860715461824513","1181860715461824513")</f>
        <v>1181860715461824513</v>
      </c>
      <c r="F5169" s="8"/>
      <c r="G5169" s="15"/>
      <c r="H5169" s="8"/>
      <c r="I5169" s="15">
        <v>0</v>
      </c>
      <c r="J5169" s="15">
        <v>1</v>
      </c>
      <c r="K5169" s="12" t="str">
        <f>HYPERLINK("http://twitter.com/download/iphone","Twitter for iPhone")</f>
        <v>Twitter for iPhone</v>
      </c>
      <c r="L5169" s="16">
        <v>86</v>
      </c>
      <c r="M5169" s="16">
        <v>112</v>
      </c>
      <c r="N5169" s="16">
        <v>0</v>
      </c>
      <c r="O5169" s="17"/>
      <c r="P5169" s="18">
        <v>43626.494155092594</v>
      </c>
      <c r="Q5169" s="8"/>
      <c r="R5169" s="7"/>
      <c r="S5169" s="8"/>
      <c r="T5169" s="8"/>
      <c r="U5169" s="19" t="str">
        <f>HYPERLINK("https://pbs.twimg.com/profile_images/1178221975078084608/LMnApp6y.jpg","View")</f>
        <v>View</v>
      </c>
      <c r="V5169" s="8"/>
      <c r="W5169" s="8"/>
      <c r="X5169" s="8"/>
      <c r="Y5169" s="8"/>
      <c r="Z5169" s="8"/>
    </row>
    <row r="5170" spans="1:26" ht="12.75">
      <c r="A5170" s="11">
        <v>43747.094050925924</v>
      </c>
      <c r="B5170" s="12" t="str">
        <f>HYPERLINK("https://twitter.com/Ayasu53","@Ayasu53")</f>
        <v>@Ayasu53</v>
      </c>
      <c r="C5170" s="7" t="s">
        <v>24681</v>
      </c>
      <c r="D5170" s="7" t="s">
        <v>24682</v>
      </c>
      <c r="E5170" s="12" t="str">
        <f>HYPERLINK("https://twitter.com/Ayasu53/status/1181860714455191553","1181860714455191553")</f>
        <v>1181860714455191553</v>
      </c>
      <c r="F5170" s="8"/>
      <c r="G5170" s="8"/>
      <c r="H5170" s="8"/>
      <c r="I5170" s="15">
        <v>0</v>
      </c>
      <c r="J5170" s="15">
        <v>1</v>
      </c>
      <c r="K5170" s="12" t="str">
        <f>HYPERLINK("https://mobile.twitter.com","Twitter Web App")</f>
        <v>Twitter Web App</v>
      </c>
      <c r="L5170" s="16">
        <v>26</v>
      </c>
      <c r="M5170" s="16">
        <v>22</v>
      </c>
      <c r="N5170" s="16">
        <v>1</v>
      </c>
      <c r="O5170" s="17"/>
      <c r="P5170" s="18">
        <v>42391.533900462964</v>
      </c>
      <c r="Q5170" s="8"/>
      <c r="R5170" s="8" t="s">
        <v>24683</v>
      </c>
      <c r="S5170" s="8"/>
      <c r="T5170" s="8"/>
      <c r="U5170" s="19" t="str">
        <f>HYPERLINK("https://pbs.twimg.com/profile_images/1181467495154237442/OJlRisgE.jpg","View")</f>
        <v>View</v>
      </c>
      <c r="V5170" s="8"/>
      <c r="W5170" s="8"/>
      <c r="X5170" s="8"/>
      <c r="Y5170" s="8"/>
      <c r="Z5170" s="8"/>
    </row>
    <row r="5171" spans="1:26" ht="12.75">
      <c r="A5171" s="11">
        <v>43747.094050925924</v>
      </c>
      <c r="B5171" s="12" t="str">
        <f>HYPERLINK("https://twitter.com/ysn_akpnr32","@ysn_akpnr32")</f>
        <v>@ysn_akpnr32</v>
      </c>
      <c r="C5171" s="7" t="s">
        <v>24684</v>
      </c>
      <c r="D5171" s="7" t="s">
        <v>20922</v>
      </c>
      <c r="E5171" s="12" t="str">
        <f>HYPERLINK("https://twitter.com/ysn_akpnr32/status/1181860711565271040","1181860711565271040")</f>
        <v>1181860711565271040</v>
      </c>
      <c r="F5171" s="8"/>
      <c r="G5171" s="14" t="s">
        <v>24685</v>
      </c>
      <c r="H5171" s="8"/>
      <c r="I5171" s="15">
        <v>1</v>
      </c>
      <c r="J5171" s="15">
        <v>5</v>
      </c>
      <c r="K5171" s="12" t="str">
        <f>HYPERLINK("http://twitter.com/download/android","Twitter for Android")</f>
        <v>Twitter for Android</v>
      </c>
      <c r="L5171" s="16">
        <v>105</v>
      </c>
      <c r="M5171" s="16">
        <v>133</v>
      </c>
      <c r="N5171" s="16">
        <v>0</v>
      </c>
      <c r="O5171" s="17"/>
      <c r="P5171" s="18">
        <v>43293.716458333336</v>
      </c>
      <c r="Q5171" s="8" t="s">
        <v>252</v>
      </c>
      <c r="R5171" s="8" t="s">
        <v>24686</v>
      </c>
      <c r="S5171" s="14" t="s">
        <v>24687</v>
      </c>
      <c r="T5171" s="8"/>
      <c r="U5171" s="19" t="str">
        <f>HYPERLINK("https://pbs.twimg.com/profile_images/1181687493625823233/YcxpF164.jpg","View")</f>
        <v>View</v>
      </c>
      <c r="V5171" s="8"/>
      <c r="W5171" s="8"/>
      <c r="X5171" s="8"/>
      <c r="Y5171" s="8"/>
      <c r="Z5171" s="8"/>
    </row>
    <row r="5172" spans="1:26" ht="12.75">
      <c r="A5172" s="11">
        <v>43747.094039351854</v>
      </c>
      <c r="B5172" s="12" t="str">
        <f>HYPERLINK("https://twitter.com/sezginok5","@sezginok5")</f>
        <v>@sezginok5</v>
      </c>
      <c r="C5172" s="7" t="s">
        <v>24688</v>
      </c>
      <c r="D5172" s="7" t="s">
        <v>14166</v>
      </c>
      <c r="E5172" s="12" t="str">
        <f>HYPERLINK("https://twitter.com/sezginok5/status/1181860709682089986","1181860709682089986")</f>
        <v>1181860709682089986</v>
      </c>
      <c r="F5172" s="15"/>
      <c r="G5172" s="14" t="s">
        <v>24689</v>
      </c>
      <c r="H5172" s="8"/>
      <c r="I5172" s="15">
        <v>0</v>
      </c>
      <c r="J5172" s="15">
        <v>2</v>
      </c>
      <c r="K5172" s="12" t="str">
        <f>HYPERLINK("http://twitter.com/download/iphone","Twitter for iPhone")</f>
        <v>Twitter for iPhone</v>
      </c>
      <c r="L5172" s="16">
        <v>11</v>
      </c>
      <c r="M5172" s="16">
        <v>73</v>
      </c>
      <c r="N5172" s="16">
        <v>0</v>
      </c>
      <c r="O5172" s="17"/>
      <c r="P5172" s="18">
        <v>43721.284525462965</v>
      </c>
      <c r="Q5172" s="7"/>
      <c r="R5172" s="7"/>
      <c r="S5172" s="8"/>
      <c r="T5172" s="8"/>
      <c r="U5172" s="19" t="str">
        <f>HYPERLINK("https://pbs.twimg.com/profile_images/1172507730843721728/teLgShbR.jpg","View")</f>
        <v>View</v>
      </c>
      <c r="V5172" s="8"/>
      <c r="W5172" s="8"/>
      <c r="X5172" s="8"/>
      <c r="Y5172" s="8"/>
      <c r="Z5172" s="8"/>
    </row>
    <row r="5173" spans="1:26" ht="12.75">
      <c r="A5173" s="11">
        <v>43747.094039351854</v>
      </c>
      <c r="B5173" s="12" t="str">
        <f>HYPERLINK("https://twitter.com/kocaoglubey","@kocaoglubey")</f>
        <v>@kocaoglubey</v>
      </c>
      <c r="C5173" s="7" t="s">
        <v>24690</v>
      </c>
      <c r="D5173" s="7" t="s">
        <v>24691</v>
      </c>
      <c r="E5173" s="12" t="str">
        <f>HYPERLINK("https://twitter.com/kocaoglubey/status/1181860706775384069","1181860706775384069")</f>
        <v>1181860706775384069</v>
      </c>
      <c r="F5173" s="8"/>
      <c r="G5173" s="15"/>
      <c r="H5173" s="8"/>
      <c r="I5173" s="15">
        <v>1</v>
      </c>
      <c r="J5173" s="15">
        <v>2</v>
      </c>
      <c r="K5173" s="12" t="str">
        <f>HYPERLINK("http://twitter.com/download/android","Twitter for Android")</f>
        <v>Twitter for Android</v>
      </c>
      <c r="L5173" s="16">
        <v>56</v>
      </c>
      <c r="M5173" s="16">
        <v>136</v>
      </c>
      <c r="N5173" s="16">
        <v>0</v>
      </c>
      <c r="O5173" s="17"/>
      <c r="P5173" s="18">
        <v>42743.429606481484</v>
      </c>
      <c r="Q5173" s="8"/>
      <c r="R5173" s="7" t="s">
        <v>24692</v>
      </c>
      <c r="S5173" s="8"/>
      <c r="T5173" s="8"/>
      <c r="U5173" s="19" t="str">
        <f>HYPERLINK("https://pbs.twimg.com/profile_images/943146202060685312/EcaqiA2W.jpg","View")</f>
        <v>View</v>
      </c>
      <c r="V5173" s="8"/>
      <c r="W5173" s="8"/>
      <c r="X5173" s="8"/>
      <c r="Y5173" s="8"/>
      <c r="Z5173" s="8"/>
    </row>
    <row r="5174" spans="1:26" ht="12.75">
      <c r="A5174" s="11">
        <v>43747.093981481477</v>
      </c>
      <c r="B5174" s="12" t="str">
        <f>HYPERLINK("https://twitter.com/09efeaydin09","@09efeaydin09")</f>
        <v>@09efeaydin09</v>
      </c>
      <c r="C5174" s="7" t="s">
        <v>24693</v>
      </c>
      <c r="D5174" s="7" t="s">
        <v>24694</v>
      </c>
      <c r="E5174" s="12" t="str">
        <f>HYPERLINK("https://twitter.com/09efeaydin09/status/1181860688324640768","1181860688324640768")</f>
        <v>1181860688324640768</v>
      </c>
      <c r="F5174" s="8"/>
      <c r="G5174" s="14" t="s">
        <v>24695</v>
      </c>
      <c r="H5174" s="8"/>
      <c r="I5174" s="15">
        <v>0</v>
      </c>
      <c r="J5174" s="15">
        <v>0</v>
      </c>
      <c r="K5174" s="12" t="str">
        <f>HYPERLINK("https://mobile.twitter.com","Twitter Web App")</f>
        <v>Twitter Web App</v>
      </c>
      <c r="L5174" s="16">
        <v>102</v>
      </c>
      <c r="M5174" s="16">
        <v>200</v>
      </c>
      <c r="N5174" s="16">
        <v>0</v>
      </c>
      <c r="O5174" s="17"/>
      <c r="P5174" s="18">
        <v>41768.920138888891</v>
      </c>
      <c r="Q5174" s="7"/>
      <c r="R5174" s="7"/>
      <c r="S5174" s="8"/>
      <c r="T5174" s="8"/>
      <c r="U5174" s="19" t="str">
        <f>HYPERLINK("https://pbs.twimg.com/profile_images/824585569640607744/9jT6qp9g.jpg","View")</f>
        <v>View</v>
      </c>
      <c r="V5174" s="8"/>
      <c r="W5174" s="8"/>
      <c r="X5174" s="8"/>
      <c r="Y5174" s="8"/>
      <c r="Z5174" s="8"/>
    </row>
    <row r="5175" spans="1:26" ht="12.75">
      <c r="A5175" s="11">
        <v>43747.093946759254</v>
      </c>
      <c r="B5175" s="12" t="str">
        <f>HYPERLINK("https://twitter.com/mehmetcelik2789","@mehmetcelik2789")</f>
        <v>@mehmetcelik2789</v>
      </c>
      <c r="C5175" s="7" t="s">
        <v>8434</v>
      </c>
      <c r="D5175" s="7" t="s">
        <v>24696</v>
      </c>
      <c r="E5175" s="12" t="str">
        <f>HYPERLINK("https://twitter.com/mehmetcelik2789/status/1181860675095814144","1181860675095814144")</f>
        <v>1181860675095814144</v>
      </c>
      <c r="F5175" s="8"/>
      <c r="G5175" s="14" t="s">
        <v>24697</v>
      </c>
      <c r="H5175" s="8"/>
      <c r="I5175" s="15">
        <v>0</v>
      </c>
      <c r="J5175" s="15">
        <v>1</v>
      </c>
      <c r="K5175" s="12" t="str">
        <f>HYPERLINK("http://twitter.com/download/iphone","Twitter for iPhone")</f>
        <v>Twitter for iPhone</v>
      </c>
      <c r="L5175" s="16">
        <v>183</v>
      </c>
      <c r="M5175" s="16">
        <v>145</v>
      </c>
      <c r="N5175" s="16">
        <v>0</v>
      </c>
      <c r="O5175" s="17"/>
      <c r="P5175" s="18">
        <v>41083.530775462961</v>
      </c>
      <c r="Q5175" s="7" t="s">
        <v>313</v>
      </c>
      <c r="R5175" s="7" t="s">
        <v>24698</v>
      </c>
      <c r="S5175" s="15"/>
      <c r="T5175" s="8"/>
      <c r="U5175" s="19" t="str">
        <f>HYPERLINK("https://pbs.twimg.com/profile_images/1181859807256567809/mePR-njG.jpg","View")</f>
        <v>View</v>
      </c>
      <c r="V5175" s="8"/>
      <c r="W5175" s="8"/>
      <c r="X5175" s="8"/>
      <c r="Y5175" s="8"/>
      <c r="Z5175" s="8"/>
    </row>
    <row r="5176" spans="1:26" ht="12.75">
      <c r="A5176" s="11">
        <v>43747.093946759254</v>
      </c>
      <c r="B5176" s="12" t="str">
        <f>HYPERLINK("https://twitter.com/Hereyvataniin15","@Hereyvataniin15")</f>
        <v>@Hereyvataniin15</v>
      </c>
      <c r="C5176" s="7" t="s">
        <v>24699</v>
      </c>
      <c r="D5176" s="7" t="s">
        <v>24700</v>
      </c>
      <c r="E5176" s="12" t="str">
        <f>HYPERLINK("https://twitter.com/Hereyvataniin15/status/1181860675028688897","1181860675028688897")</f>
        <v>1181860675028688897</v>
      </c>
      <c r="F5176" s="14" t="s">
        <v>14233</v>
      </c>
      <c r="G5176" s="14" t="s">
        <v>14234</v>
      </c>
      <c r="H5176" s="8"/>
      <c r="I5176" s="15">
        <v>2</v>
      </c>
      <c r="J5176" s="15">
        <v>3</v>
      </c>
      <c r="K5176" s="12" t="str">
        <f>HYPERLINK("https://mobile.twitter.com","Twitter Web App")</f>
        <v>Twitter Web App</v>
      </c>
      <c r="L5176" s="16">
        <v>288</v>
      </c>
      <c r="M5176" s="16">
        <v>591</v>
      </c>
      <c r="N5176" s="16">
        <v>0</v>
      </c>
      <c r="O5176" s="17"/>
      <c r="P5176" s="18">
        <v>43652.217881944445</v>
      </c>
      <c r="Q5176" s="7"/>
      <c r="R5176" s="7" t="s">
        <v>24701</v>
      </c>
      <c r="S5176" s="8"/>
      <c r="T5176" s="8"/>
      <c r="U5176" s="19" t="str">
        <f>HYPERLINK("https://pbs.twimg.com/profile_images/1147478993693741056/Mk_F-mpl.jpg","View")</f>
        <v>View</v>
      </c>
      <c r="V5176" s="8"/>
      <c r="W5176" s="8"/>
      <c r="X5176" s="8"/>
      <c r="Y5176" s="8"/>
      <c r="Z5176" s="8"/>
    </row>
    <row r="5177" spans="1:26" ht="12.75">
      <c r="A5177" s="11">
        <v>43747.093912037039</v>
      </c>
      <c r="B5177" s="12" t="str">
        <f>HYPERLINK("https://twitter.com/bulentckr","@bulentckr")</f>
        <v>@bulentckr</v>
      </c>
      <c r="C5177" s="7" t="s">
        <v>24702</v>
      </c>
      <c r="D5177" s="7" t="s">
        <v>24703</v>
      </c>
      <c r="E5177" s="12" t="str">
        <f>HYPERLINK("https://twitter.com/bulentckr/status/1181860664253517824","1181860664253517824")</f>
        <v>1181860664253517824</v>
      </c>
      <c r="F5177" s="8"/>
      <c r="G5177" s="8"/>
      <c r="H5177" s="8"/>
      <c r="I5177" s="15">
        <v>0</v>
      </c>
      <c r="J5177" s="15">
        <v>0</v>
      </c>
      <c r="K5177" s="12" t="str">
        <f>HYPERLINK("http://twitter.com/download/iphone","Twitter for iPhone")</f>
        <v>Twitter for iPhone</v>
      </c>
      <c r="L5177" s="16">
        <v>153</v>
      </c>
      <c r="M5177" s="16">
        <v>115</v>
      </c>
      <c r="N5177" s="16">
        <v>0</v>
      </c>
      <c r="O5177" s="17"/>
      <c r="P5177" s="18">
        <v>41066.585405092592</v>
      </c>
      <c r="Q5177" s="8" t="s">
        <v>14356</v>
      </c>
      <c r="R5177" s="14" t="s">
        <v>24704</v>
      </c>
      <c r="S5177" s="8"/>
      <c r="T5177" s="8"/>
      <c r="U5177" s="19" t="str">
        <f>HYPERLINK("https://pbs.twimg.com/profile_images/1098863697135583233/HOXuMP_4.jpg","View")</f>
        <v>View</v>
      </c>
      <c r="V5177" s="8"/>
      <c r="W5177" s="8"/>
      <c r="X5177" s="8"/>
      <c r="Y5177" s="8"/>
      <c r="Z5177" s="8"/>
    </row>
    <row r="5178" spans="1:26" ht="12.75">
      <c r="A5178" s="11">
        <v>43747.093912037039</v>
      </c>
      <c r="B5178" s="12" t="str">
        <f>HYPERLINK("https://twitter.com/emirhanncetinn","@emirhanncetinn")</f>
        <v>@emirhanncetinn</v>
      </c>
      <c r="C5178" s="7" t="s">
        <v>24705</v>
      </c>
      <c r="D5178" s="7" t="s">
        <v>24706</v>
      </c>
      <c r="E5178" s="12" t="str">
        <f>HYPERLINK("https://twitter.com/emirhanncetinn/status/1181860663494418433","1181860663494418433")</f>
        <v>1181860663494418433</v>
      </c>
      <c r="F5178" s="8"/>
      <c r="G5178" s="14" t="s">
        <v>24707</v>
      </c>
      <c r="H5178" s="8"/>
      <c r="I5178" s="15">
        <v>5</v>
      </c>
      <c r="J5178" s="15">
        <v>27</v>
      </c>
      <c r="K5178" s="12" t="str">
        <f>HYPERLINK("http://twitter.com/download/android","Twitter for Android")</f>
        <v>Twitter for Android</v>
      </c>
      <c r="L5178" s="16">
        <v>54</v>
      </c>
      <c r="M5178" s="16">
        <v>48</v>
      </c>
      <c r="N5178" s="16">
        <v>0</v>
      </c>
      <c r="O5178" s="17"/>
      <c r="P5178" s="18">
        <v>43028.421076388884</v>
      </c>
      <c r="Q5178" s="8" t="s">
        <v>24708</v>
      </c>
      <c r="R5178" s="8" t="s">
        <v>24709</v>
      </c>
      <c r="S5178" s="8"/>
      <c r="T5178" s="8"/>
      <c r="U5178" s="19" t="str">
        <f>HYPERLINK("https://pbs.twimg.com/profile_images/1127159463331471360/6dYHftu8.jpg","View")</f>
        <v>View</v>
      </c>
      <c r="V5178" s="8"/>
      <c r="W5178" s="8"/>
      <c r="X5178" s="8"/>
      <c r="Y5178" s="8"/>
      <c r="Z5178" s="8"/>
    </row>
    <row r="5179" spans="1:26" ht="12.75">
      <c r="A5179" s="11">
        <v>43747.093900462962</v>
      </c>
      <c r="B5179" s="12" t="str">
        <f>HYPERLINK("https://twitter.com/floralfille","@floralfille")</f>
        <v>@floralfille</v>
      </c>
      <c r="C5179" s="7" t="s">
        <v>24710</v>
      </c>
      <c r="D5179" s="7" t="s">
        <v>24711</v>
      </c>
      <c r="E5179" s="12" t="str">
        <f>HYPERLINK("https://twitter.com/floralfille/status/1181860657379053568","1181860657379053568")</f>
        <v>1181860657379053568</v>
      </c>
      <c r="F5179" s="8"/>
      <c r="G5179" s="15"/>
      <c r="H5179" s="8"/>
      <c r="I5179" s="15">
        <v>0</v>
      </c>
      <c r="J5179" s="15">
        <v>0</v>
      </c>
      <c r="K5179" s="12" t="str">
        <f>HYPERLINK("http://twitter.com/download/android","Twitter for Android")</f>
        <v>Twitter for Android</v>
      </c>
      <c r="L5179" s="16">
        <v>22</v>
      </c>
      <c r="M5179" s="16">
        <v>116</v>
      </c>
      <c r="N5179" s="16">
        <v>0</v>
      </c>
      <c r="O5179" s="17"/>
      <c r="P5179" s="18">
        <v>43539.278854166667</v>
      </c>
      <c r="Q5179" s="8"/>
      <c r="R5179" s="7"/>
      <c r="S5179" s="8"/>
      <c r="T5179" s="8"/>
      <c r="U5179" s="19" t="str">
        <f>HYPERLINK("https://pbs.twimg.com/profile_images/1180930023517241344/BYh4ucTB.jpg","View")</f>
        <v>View</v>
      </c>
      <c r="V5179" s="8"/>
      <c r="W5179" s="8"/>
      <c r="X5179" s="8"/>
      <c r="Y5179" s="8"/>
      <c r="Z5179" s="8"/>
    </row>
    <row r="5180" spans="1:26" ht="12.75">
      <c r="A5180" s="11">
        <v>43747.093888888892</v>
      </c>
      <c r="B5180" s="12" t="str">
        <f>HYPERLINK("https://twitter.com/DrEmrahdok","@DrEmrahdok")</f>
        <v>@DrEmrahdok</v>
      </c>
      <c r="C5180" s="7" t="s">
        <v>24712</v>
      </c>
      <c r="D5180" s="7" t="s">
        <v>24713</v>
      </c>
      <c r="E5180" s="12" t="str">
        <f>HYPERLINK("https://twitter.com/DrEmrahdok/status/1181860652639502336","1181860652639502336")</f>
        <v>1181860652639502336</v>
      </c>
      <c r="F5180" s="8"/>
      <c r="G5180" s="14" t="s">
        <v>24714</v>
      </c>
      <c r="H5180" s="8"/>
      <c r="I5180" s="15">
        <v>5</v>
      </c>
      <c r="J5180" s="15">
        <v>13</v>
      </c>
      <c r="K5180" s="12" t="str">
        <f>HYPERLINK("http://twitter.com/download/android","Twitter for Android")</f>
        <v>Twitter for Android</v>
      </c>
      <c r="L5180" s="16">
        <v>4147</v>
      </c>
      <c r="M5180" s="16">
        <v>3667</v>
      </c>
      <c r="N5180" s="16">
        <v>3</v>
      </c>
      <c r="O5180" s="17"/>
      <c r="P5180" s="18">
        <v>42638.412418981483</v>
      </c>
      <c r="Q5180" s="7" t="s">
        <v>24715</v>
      </c>
      <c r="R5180" s="7" t="s">
        <v>24716</v>
      </c>
      <c r="S5180" s="14" t="s">
        <v>24717</v>
      </c>
      <c r="T5180" s="8"/>
      <c r="U5180" s="19" t="str">
        <f>HYPERLINK("https://pbs.twimg.com/profile_images/1155497621609431040/2VxfSU-p.jpg","View")</f>
        <v>View</v>
      </c>
      <c r="V5180" s="8"/>
      <c r="W5180" s="8"/>
      <c r="X5180" s="8"/>
      <c r="Y5180" s="8"/>
      <c r="Z5180" s="8"/>
    </row>
    <row r="5181" spans="1:26" ht="12.75">
      <c r="A5181" s="11">
        <v>43747.093877314815</v>
      </c>
      <c r="B5181" s="12" t="str">
        <f>HYPERLINK("https://twitter.com/burakaracasulu","@burakaracasulu")</f>
        <v>@burakaracasulu</v>
      </c>
      <c r="C5181" s="7" t="s">
        <v>24718</v>
      </c>
      <c r="D5181" s="7" t="s">
        <v>24719</v>
      </c>
      <c r="E5181" s="12" t="str">
        <f>HYPERLINK("https://twitter.com/burakaracasulu/status/1181860651775471617","1181860651775471617")</f>
        <v>1181860651775471617</v>
      </c>
      <c r="F5181" s="8"/>
      <c r="G5181" s="14" t="s">
        <v>24720</v>
      </c>
      <c r="H5181" s="8"/>
      <c r="I5181" s="15">
        <v>0</v>
      </c>
      <c r="J5181" s="15">
        <v>2</v>
      </c>
      <c r="K5181" s="12" t="str">
        <f>HYPERLINK("http://twitter.com/download/android","Twitter for Android")</f>
        <v>Twitter for Android</v>
      </c>
      <c r="L5181" s="16">
        <v>146</v>
      </c>
      <c r="M5181" s="16">
        <v>220</v>
      </c>
      <c r="N5181" s="16">
        <v>0</v>
      </c>
      <c r="O5181" s="17"/>
      <c r="P5181" s="18">
        <v>43421.476111111115</v>
      </c>
      <c r="Q5181" s="8" t="s">
        <v>5418</v>
      </c>
      <c r="R5181" s="7" t="s">
        <v>24721</v>
      </c>
      <c r="S5181" s="14" t="s">
        <v>24722</v>
      </c>
      <c r="T5181" s="8"/>
      <c r="U5181" s="19" t="str">
        <f>HYPERLINK("https://pbs.twimg.com/profile_images/1138774025574998016/ebHjU8h2.jpg","View")</f>
        <v>View</v>
      </c>
      <c r="V5181" s="8"/>
      <c r="W5181" s="8"/>
      <c r="X5181" s="8"/>
      <c r="Y5181" s="8"/>
      <c r="Z5181" s="8"/>
    </row>
    <row r="5182" spans="1:26" ht="12.75">
      <c r="A5182" s="11">
        <v>43747.093854166669</v>
      </c>
      <c r="B5182" s="12" t="str">
        <f>HYPERLINK("https://twitter.com/oguzbicer55","@oguzbicer55")</f>
        <v>@oguzbicer55</v>
      </c>
      <c r="C5182" s="7" t="s">
        <v>24723</v>
      </c>
      <c r="D5182" s="7" t="s">
        <v>24724</v>
      </c>
      <c r="E5182" s="12" t="str">
        <f>HYPERLINK("https://twitter.com/oguzbicer55/status/1181860643462361089","1181860643462361089")</f>
        <v>1181860643462361089</v>
      </c>
      <c r="F5182" s="8"/>
      <c r="G5182" s="8"/>
      <c r="H5182" s="8"/>
      <c r="I5182" s="15">
        <v>0</v>
      </c>
      <c r="J5182" s="15">
        <v>0</v>
      </c>
      <c r="K5182" s="12" t="str">
        <f>HYPERLINK("http://twitter.com/download/iphone","Twitter for iPhone")</f>
        <v>Twitter for iPhone</v>
      </c>
      <c r="L5182" s="16">
        <v>75</v>
      </c>
      <c r="M5182" s="16">
        <v>669</v>
      </c>
      <c r="N5182" s="16">
        <v>0</v>
      </c>
      <c r="O5182" s="17"/>
      <c r="P5182" s="18">
        <v>40707.151597222226</v>
      </c>
      <c r="Q5182" s="7" t="s">
        <v>313</v>
      </c>
      <c r="R5182" s="7" t="s">
        <v>24725</v>
      </c>
      <c r="S5182" s="8"/>
      <c r="T5182" s="8"/>
      <c r="U5182" s="19" t="str">
        <f>HYPERLINK("https://pbs.twimg.com/profile_images/1026404918603730945/pamAkK0T.jpg","View")</f>
        <v>View</v>
      </c>
      <c r="V5182" s="8"/>
      <c r="W5182" s="8"/>
      <c r="X5182" s="8"/>
      <c r="Y5182" s="8"/>
      <c r="Z5182" s="8"/>
    </row>
    <row r="5183" spans="1:26" ht="12.75">
      <c r="A5183" s="11">
        <v>43747.093842592592</v>
      </c>
      <c r="B5183" s="12" t="str">
        <f>HYPERLINK("https://twitter.com/16_AK_Vural_16","@16_AK_Vural_16")</f>
        <v>@16_AK_Vural_16</v>
      </c>
      <c r="C5183" s="7" t="s">
        <v>24726</v>
      </c>
      <c r="D5183" s="7" t="s">
        <v>24727</v>
      </c>
      <c r="E5183" s="12" t="str">
        <f>HYPERLINK("https://twitter.com/16_AK_Vural_16/status/1181860635233210368","1181860635233210368")</f>
        <v>1181860635233210368</v>
      </c>
      <c r="F5183" s="14" t="s">
        <v>24728</v>
      </c>
      <c r="G5183" s="8"/>
      <c r="H5183" s="8"/>
      <c r="I5183" s="15">
        <v>3</v>
      </c>
      <c r="J5183" s="15">
        <v>4</v>
      </c>
      <c r="K5183" s="12" t="str">
        <f>HYPERLINK("https://mobile.twitter.com","Twitter Web App")</f>
        <v>Twitter Web App</v>
      </c>
      <c r="L5183" s="16">
        <v>6914</v>
      </c>
      <c r="M5183" s="16">
        <v>4317</v>
      </c>
      <c r="N5183" s="16">
        <v>7</v>
      </c>
      <c r="O5183" s="17"/>
      <c r="P5183" s="18">
        <v>40928.244768518518</v>
      </c>
      <c r="Q5183" s="7" t="s">
        <v>24729</v>
      </c>
      <c r="R5183" s="7" t="s">
        <v>24730</v>
      </c>
      <c r="S5183" s="14" t="s">
        <v>24731</v>
      </c>
      <c r="T5183" s="8"/>
      <c r="U5183" s="19" t="str">
        <f>HYPERLINK("https://pbs.twimg.com/profile_images/1158439098396368896/yro_P93A.jpg","View")</f>
        <v>View</v>
      </c>
      <c r="V5183" s="8"/>
      <c r="W5183" s="8"/>
      <c r="X5183" s="8"/>
      <c r="Y5183" s="8"/>
      <c r="Z5183" s="8"/>
    </row>
    <row r="5184" spans="1:26" ht="12.75">
      <c r="A5184" s="11">
        <v>43747.093831018516</v>
      </c>
      <c r="B5184" s="12" t="str">
        <f>HYPERLINK("https://twitter.com/sedaabdal","@sedaabdal")</f>
        <v>@sedaabdal</v>
      </c>
      <c r="C5184" s="7" t="s">
        <v>24732</v>
      </c>
      <c r="D5184" s="7" t="s">
        <v>24733</v>
      </c>
      <c r="E5184" s="12" t="str">
        <f>HYPERLINK("https://twitter.com/sedaabdal/status/1181860631525445633","1181860631525445633")</f>
        <v>1181860631525445633</v>
      </c>
      <c r="F5184" s="8" t="s">
        <v>24734</v>
      </c>
      <c r="G5184" s="8"/>
      <c r="H5184" s="8"/>
      <c r="I5184" s="15">
        <v>1</v>
      </c>
      <c r="J5184" s="15">
        <v>4</v>
      </c>
      <c r="K5184" s="12" t="str">
        <f>HYPERLINK("http://twitter.com/download/android","Twitter for Android")</f>
        <v>Twitter for Android</v>
      </c>
      <c r="L5184" s="16">
        <v>850</v>
      </c>
      <c r="M5184" s="16">
        <v>655</v>
      </c>
      <c r="N5184" s="16">
        <v>2</v>
      </c>
      <c r="O5184" s="17"/>
      <c r="P5184" s="18">
        <v>42289.025879629626</v>
      </c>
      <c r="Q5184" s="7"/>
      <c r="R5184" s="7" t="s">
        <v>24735</v>
      </c>
      <c r="S5184" s="8"/>
      <c r="T5184" s="8"/>
      <c r="U5184" s="19" t="str">
        <f>HYPERLINK("https://pbs.twimg.com/profile_images/1162313902232887301/9O-CslC9.jpg","View")</f>
        <v>View</v>
      </c>
      <c r="V5184" s="8"/>
      <c r="W5184" s="8"/>
      <c r="X5184" s="8"/>
      <c r="Y5184" s="8"/>
      <c r="Z5184" s="8"/>
    </row>
    <row r="5185" spans="1:26" ht="12.75">
      <c r="A5185" s="11">
        <v>43747.093819444446</v>
      </c>
      <c r="B5185" s="12" t="str">
        <f>HYPERLINK("https://twitter.com/dadasim2582","@dadasim2582")</f>
        <v>@dadasim2582</v>
      </c>
      <c r="C5185" s="7" t="s">
        <v>24736</v>
      </c>
      <c r="D5185" s="7" t="s">
        <v>24737</v>
      </c>
      <c r="E5185" s="12" t="str">
        <f>HYPERLINK("https://twitter.com/dadasim2582/status/1181860629575032838","1181860629575032838")</f>
        <v>1181860629575032838</v>
      </c>
      <c r="F5185" s="8"/>
      <c r="G5185" s="14" t="s">
        <v>24738</v>
      </c>
      <c r="H5185" s="8"/>
      <c r="I5185" s="15">
        <v>0</v>
      </c>
      <c r="J5185" s="15">
        <v>0</v>
      </c>
      <c r="K5185" s="12" t="str">
        <f>HYPERLINK("http://twitter.com/download/android","Twitter for Android")</f>
        <v>Twitter for Android</v>
      </c>
      <c r="L5185" s="16">
        <v>7</v>
      </c>
      <c r="M5185" s="16">
        <v>14</v>
      </c>
      <c r="N5185" s="16">
        <v>0</v>
      </c>
      <c r="O5185" s="17"/>
      <c r="P5185" s="18">
        <v>43463.397662037038</v>
      </c>
      <c r="Q5185" s="7" t="s">
        <v>287</v>
      </c>
      <c r="R5185" s="7" t="s">
        <v>24739</v>
      </c>
      <c r="S5185" s="8"/>
      <c r="T5185" s="8"/>
      <c r="U5185" s="19" t="str">
        <f>HYPERLINK("https://pbs.twimg.com/profile_images/1162406978884448257/JIgL-QoA.jpg","View")</f>
        <v>View</v>
      </c>
      <c r="V5185" s="8"/>
      <c r="W5185" s="8"/>
      <c r="X5185" s="8"/>
      <c r="Y5185" s="8"/>
      <c r="Z5185" s="8"/>
    </row>
    <row r="5186" spans="1:26" ht="12.75">
      <c r="A5186" s="11">
        <v>43747.093796296293</v>
      </c>
      <c r="B5186" s="12" t="str">
        <f>HYPERLINK("https://twitter.com/EmirOkyy","@EmirOkyy")</f>
        <v>@EmirOkyy</v>
      </c>
      <c r="C5186" s="7" t="s">
        <v>24740</v>
      </c>
      <c r="D5186" s="7" t="s">
        <v>24741</v>
      </c>
      <c r="E5186" s="12" t="str">
        <f>HYPERLINK("https://twitter.com/EmirOkyy/status/1181860618707570688","1181860618707570688")</f>
        <v>1181860618707570688</v>
      </c>
      <c r="F5186" s="8"/>
      <c r="G5186" s="15"/>
      <c r="H5186" s="8"/>
      <c r="I5186" s="15">
        <v>0</v>
      </c>
      <c r="J5186" s="15">
        <v>2</v>
      </c>
      <c r="K5186" s="12" t="str">
        <f>HYPERLINK("http://twitter.com/download/android","Twitter for Android")</f>
        <v>Twitter for Android</v>
      </c>
      <c r="L5186" s="16">
        <v>4503</v>
      </c>
      <c r="M5186" s="16">
        <v>2281</v>
      </c>
      <c r="N5186" s="16">
        <v>15</v>
      </c>
      <c r="O5186" s="17"/>
      <c r="P5186" s="18">
        <v>41452.26284722222</v>
      </c>
      <c r="Q5186" s="7" t="s">
        <v>287</v>
      </c>
      <c r="R5186" s="7" t="s">
        <v>24742</v>
      </c>
      <c r="S5186" s="8"/>
      <c r="T5186" s="8"/>
      <c r="U5186" s="19" t="str">
        <f>HYPERLINK("https://pbs.twimg.com/profile_images/1078032349680619525/aKpSOKMR.jpg","View")</f>
        <v>View</v>
      </c>
      <c r="V5186" s="8"/>
      <c r="W5186" s="8"/>
      <c r="X5186" s="8"/>
      <c r="Y5186" s="8"/>
      <c r="Z5186" s="8"/>
    </row>
    <row r="5187" spans="1:26" ht="12.75">
      <c r="A5187" s="11">
        <v>43747.093784722223</v>
      </c>
      <c r="B5187" s="12" t="str">
        <f>HYPERLINK("https://twitter.com/muhammedbzkir","@muhammedbzkir")</f>
        <v>@muhammedbzkir</v>
      </c>
      <c r="C5187" s="13" t="s">
        <v>24743</v>
      </c>
      <c r="D5187" s="7" t="s">
        <v>24744</v>
      </c>
      <c r="E5187" s="12" t="str">
        <f>HYPERLINK("https://twitter.com/muhammedbzkir/status/1181860617004732417","1181860617004732417")</f>
        <v>1181860617004732417</v>
      </c>
      <c r="F5187" s="8"/>
      <c r="G5187" s="14" t="s">
        <v>24745</v>
      </c>
      <c r="H5187" s="8"/>
      <c r="I5187" s="15">
        <v>0</v>
      </c>
      <c r="J5187" s="15">
        <v>32</v>
      </c>
      <c r="K5187" s="12" t="str">
        <f>HYPERLINK("http://twitter.com/download/android","Twitter for Android")</f>
        <v>Twitter for Android</v>
      </c>
      <c r="L5187" s="16">
        <v>4865</v>
      </c>
      <c r="M5187" s="16">
        <v>4586</v>
      </c>
      <c r="N5187" s="16">
        <v>2</v>
      </c>
      <c r="O5187" s="17"/>
      <c r="P5187" s="18">
        <v>42947.390300925923</v>
      </c>
      <c r="Q5187" s="7" t="s">
        <v>2050</v>
      </c>
      <c r="R5187" s="7" t="s">
        <v>24746</v>
      </c>
      <c r="S5187" s="14" t="s">
        <v>24747</v>
      </c>
      <c r="T5187" s="8"/>
      <c r="U5187" s="19" t="str">
        <f>HYPERLINK("https://pbs.twimg.com/profile_images/1122977133255700480/-wjTTNfz.jpg","View")</f>
        <v>View</v>
      </c>
      <c r="V5187" s="8"/>
      <c r="W5187" s="8"/>
      <c r="X5187" s="8"/>
      <c r="Y5187" s="8"/>
      <c r="Z5187" s="8"/>
    </row>
    <row r="5188" spans="1:26" ht="12.75">
      <c r="A5188" s="11">
        <v>43747.093784722223</v>
      </c>
      <c r="B5188" s="12" t="str">
        <f>HYPERLINK("https://twitter.com/abdussamet_14","@abdussamet_14")</f>
        <v>@abdussamet_14</v>
      </c>
      <c r="C5188" s="7" t="s">
        <v>24748</v>
      </c>
      <c r="D5188" s="7" t="s">
        <v>24749</v>
      </c>
      <c r="E5188" s="12" t="str">
        <f>HYPERLINK("https://twitter.com/abdussamet_14/status/1181860616530747392","1181860616530747392")</f>
        <v>1181860616530747392</v>
      </c>
      <c r="F5188" s="8"/>
      <c r="G5188" s="14" t="s">
        <v>24750</v>
      </c>
      <c r="H5188" s="8"/>
      <c r="I5188" s="15">
        <v>1</v>
      </c>
      <c r="J5188" s="15">
        <v>10</v>
      </c>
      <c r="K5188" s="12" t="str">
        <f>HYPERLINK("http://twitter.com/download/iphone","Twitter for iPhone")</f>
        <v>Twitter for iPhone</v>
      </c>
      <c r="L5188" s="16">
        <v>1169</v>
      </c>
      <c r="M5188" s="16">
        <v>412</v>
      </c>
      <c r="N5188" s="16">
        <v>0</v>
      </c>
      <c r="O5188" s="17"/>
      <c r="P5188" s="18">
        <v>42631.249166666668</v>
      </c>
      <c r="Q5188" s="7" t="s">
        <v>7322</v>
      </c>
      <c r="R5188" s="7" t="s">
        <v>24751</v>
      </c>
      <c r="S5188" s="14" t="s">
        <v>24752</v>
      </c>
      <c r="T5188" s="8"/>
      <c r="U5188" s="19" t="str">
        <f>HYPERLINK("https://pbs.twimg.com/profile_images/1158506752670933000/vb9_Lj2d.jpg","View")</f>
        <v>View</v>
      </c>
      <c r="V5188" s="8"/>
      <c r="W5188" s="8"/>
      <c r="X5188" s="8"/>
      <c r="Y5188" s="8"/>
      <c r="Z5188" s="8"/>
    </row>
    <row r="5189" spans="1:26" ht="12.75">
      <c r="A5189" s="11">
        <v>43747.093726851846</v>
      </c>
      <c r="B5189" s="12" t="str">
        <f>HYPERLINK("https://twitter.com/yusufkayr21","@yusufkayr21")</f>
        <v>@yusufkayr21</v>
      </c>
      <c r="C5189" s="7" t="s">
        <v>1607</v>
      </c>
      <c r="D5189" s="7" t="s">
        <v>18412</v>
      </c>
      <c r="E5189" s="12" t="str">
        <f>HYPERLINK("https://twitter.com/yusufkayr21/status/1181860595445964801","1181860595445964801")</f>
        <v>1181860595445964801</v>
      </c>
      <c r="F5189" s="15"/>
      <c r="G5189" s="8"/>
      <c r="H5189" s="8"/>
      <c r="I5189" s="15">
        <v>0</v>
      </c>
      <c r="J5189" s="15">
        <v>2</v>
      </c>
      <c r="K5189" s="12" t="str">
        <f>HYPERLINK("http://twitter.com/download/iphone","Twitter for iPhone")</f>
        <v>Twitter for iPhone</v>
      </c>
      <c r="L5189" s="16">
        <v>83</v>
      </c>
      <c r="M5189" s="16">
        <v>256</v>
      </c>
      <c r="N5189" s="16">
        <v>0</v>
      </c>
      <c r="O5189" s="17"/>
      <c r="P5189" s="18">
        <v>43474.431446759263</v>
      </c>
      <c r="Q5189" s="7" t="s">
        <v>2050</v>
      </c>
      <c r="R5189" s="7"/>
      <c r="S5189" s="15"/>
      <c r="T5189" s="8"/>
      <c r="U5189" s="19" t="str">
        <f>HYPERLINK("https://pbs.twimg.com/profile_images/1083077818307756032/-oQinBj7.jpg","View")</f>
        <v>View</v>
      </c>
      <c r="V5189" s="8"/>
      <c r="W5189" s="8"/>
      <c r="X5189" s="8"/>
      <c r="Y5189" s="8"/>
      <c r="Z5189" s="8"/>
    </row>
    <row r="5190" spans="1:26" ht="12.75">
      <c r="A5190" s="11">
        <v>43747.093726851846</v>
      </c>
      <c r="B5190" s="12" t="str">
        <f>HYPERLINK("https://twitter.com/solcier35","@solcier35")</f>
        <v>@solcier35</v>
      </c>
      <c r="C5190" s="7" t="s">
        <v>24753</v>
      </c>
      <c r="D5190" s="7" t="s">
        <v>24754</v>
      </c>
      <c r="E5190" s="12" t="str">
        <f>HYPERLINK("https://twitter.com/solcier35/status/1181860594363834368","1181860594363834368")</f>
        <v>1181860594363834368</v>
      </c>
      <c r="F5190" s="8"/>
      <c r="G5190" s="8"/>
      <c r="H5190" s="8"/>
      <c r="I5190" s="15">
        <v>0</v>
      </c>
      <c r="J5190" s="15">
        <v>1</v>
      </c>
      <c r="K5190" s="12" t="str">
        <f>HYPERLINK("https://mobile.twitter.com","Twitter Web App")</f>
        <v>Twitter Web App</v>
      </c>
      <c r="L5190" s="16">
        <v>1147</v>
      </c>
      <c r="M5190" s="16">
        <v>1263</v>
      </c>
      <c r="N5190" s="16">
        <v>0</v>
      </c>
      <c r="O5190" s="17"/>
      <c r="P5190" s="18">
        <v>40245.248622685183</v>
      </c>
      <c r="Q5190" s="7" t="s">
        <v>1622</v>
      </c>
      <c r="R5190" s="7" t="s">
        <v>24755</v>
      </c>
      <c r="S5190" s="14" t="s">
        <v>24756</v>
      </c>
      <c r="T5190" s="8"/>
      <c r="U5190" s="19" t="str">
        <f>HYPERLINK("https://pbs.twimg.com/profile_images/1148288540813516808/ZKJZC2vW.jpg","View")</f>
        <v>View</v>
      </c>
      <c r="V5190" s="8"/>
      <c r="W5190" s="8"/>
      <c r="X5190" s="8"/>
      <c r="Y5190" s="8"/>
      <c r="Z5190" s="8"/>
    </row>
    <row r="5191" spans="1:26" ht="12.75">
      <c r="A5191" s="11">
        <v>43747.093715277777</v>
      </c>
      <c r="B5191" s="12" t="str">
        <f>HYPERLINK("https://twitter.com/bayramdrmaz1453","@bayramdrmaz1453")</f>
        <v>@bayramdrmaz1453</v>
      </c>
      <c r="C5191" s="7" t="s">
        <v>24757</v>
      </c>
      <c r="D5191" s="7" t="s">
        <v>24758</v>
      </c>
      <c r="E5191" s="12" t="str">
        <f>HYPERLINK("https://twitter.com/bayramdrmaz1453/status/1181860591121686528","1181860591121686528")</f>
        <v>1181860591121686528</v>
      </c>
      <c r="F5191" s="8"/>
      <c r="G5191" s="14" t="s">
        <v>24759</v>
      </c>
      <c r="H5191" s="8"/>
      <c r="I5191" s="15">
        <v>0</v>
      </c>
      <c r="J5191" s="15">
        <v>3</v>
      </c>
      <c r="K5191" s="12" t="str">
        <f>HYPERLINK("http://twitter.com/download/android","Twitter for Android")</f>
        <v>Twitter for Android</v>
      </c>
      <c r="L5191" s="16">
        <v>2254</v>
      </c>
      <c r="M5191" s="16">
        <v>135</v>
      </c>
      <c r="N5191" s="16">
        <v>3</v>
      </c>
      <c r="O5191" s="17"/>
      <c r="P5191" s="18">
        <v>42751.940787037034</v>
      </c>
      <c r="Q5191" s="8" t="s">
        <v>24760</v>
      </c>
      <c r="R5191" s="7" t="s">
        <v>24761</v>
      </c>
      <c r="S5191" s="8"/>
      <c r="T5191" s="8"/>
      <c r="U5191" s="19" t="str">
        <f>HYPERLINK("https://pbs.twimg.com/profile_images/1177889937213009920/THXx9cTj.jpg","View")</f>
        <v>View</v>
      </c>
      <c r="V5191" s="8"/>
      <c r="W5191" s="8"/>
      <c r="X5191" s="8"/>
      <c r="Y5191" s="8"/>
      <c r="Z5191" s="8"/>
    </row>
    <row r="5192" spans="1:26" ht="12.75">
      <c r="A5192" s="11">
        <v>43747.093703703707</v>
      </c>
      <c r="B5192" s="12" t="str">
        <f>HYPERLINK("https://twitter.com/meydan2634","@meydan2634")</f>
        <v>@meydan2634</v>
      </c>
      <c r="C5192" s="7" t="s">
        <v>24762</v>
      </c>
      <c r="D5192" s="7" t="s">
        <v>160</v>
      </c>
      <c r="E5192" s="12" t="str">
        <f>HYPERLINK("https://twitter.com/meydan2634/status/1181860585094438912","1181860585094438912")</f>
        <v>1181860585094438912</v>
      </c>
      <c r="F5192" s="8"/>
      <c r="G5192" s="15"/>
      <c r="H5192" s="8"/>
      <c r="I5192" s="15">
        <v>0</v>
      </c>
      <c r="J5192" s="15">
        <v>1</v>
      </c>
      <c r="K5192" s="12" t="str">
        <f>HYPERLINK("http://twitter.com/download/android","Twitter for Android")</f>
        <v>Twitter for Android</v>
      </c>
      <c r="L5192" s="16">
        <v>582</v>
      </c>
      <c r="M5192" s="16">
        <v>520</v>
      </c>
      <c r="N5192" s="16">
        <v>0</v>
      </c>
      <c r="O5192" s="17"/>
      <c r="P5192" s="18">
        <v>42865.920532407406</v>
      </c>
      <c r="Q5192" s="8"/>
      <c r="R5192" s="7"/>
      <c r="S5192" s="8"/>
      <c r="T5192" s="8"/>
      <c r="U5192" s="19" t="str">
        <f>HYPERLINK("https://pbs.twimg.com/profile_images/1174051355008339975/b0HYKnH-.jpg","View")</f>
        <v>View</v>
      </c>
      <c r="V5192" s="8"/>
      <c r="W5192" s="8"/>
      <c r="X5192" s="8"/>
      <c r="Y5192" s="8"/>
      <c r="Z5192" s="8"/>
    </row>
    <row r="5193" spans="1:26" ht="12.75">
      <c r="A5193" s="11">
        <v>43747.093703703707</v>
      </c>
      <c r="B5193" s="12" t="str">
        <f>HYPERLINK("https://twitter.com/avismailede","@avismailede")</f>
        <v>@avismailede</v>
      </c>
      <c r="C5193" s="7" t="s">
        <v>24763</v>
      </c>
      <c r="D5193" s="7" t="s">
        <v>24764</v>
      </c>
      <c r="E5193" s="12" t="str">
        <f>HYPERLINK("https://twitter.com/avismailede/status/1181860584914067458","1181860584914067458")</f>
        <v>1181860584914067458</v>
      </c>
      <c r="F5193" s="8"/>
      <c r="G5193" s="15"/>
      <c r="H5193" s="8"/>
      <c r="I5193" s="15">
        <v>0</v>
      </c>
      <c r="J5193" s="15">
        <v>0</v>
      </c>
      <c r="K5193" s="12" t="str">
        <f>HYPERLINK("http://twitter.com/download/iphone","Twitter for iPhone")</f>
        <v>Twitter for iPhone</v>
      </c>
      <c r="L5193" s="16">
        <v>50</v>
      </c>
      <c r="M5193" s="16">
        <v>315</v>
      </c>
      <c r="N5193" s="16">
        <v>0</v>
      </c>
      <c r="O5193" s="17"/>
      <c r="P5193" s="18">
        <v>43114.034444444449</v>
      </c>
      <c r="Q5193" s="7" t="s">
        <v>685</v>
      </c>
      <c r="R5193" s="7" t="s">
        <v>24765</v>
      </c>
      <c r="S5193" s="8"/>
      <c r="T5193" s="8"/>
      <c r="U5193" s="19" t="str">
        <f>HYPERLINK("https://pbs.twimg.com/profile_images/1176383734876180480/MhAuCMG9.jpg","View")</f>
        <v>View</v>
      </c>
      <c r="V5193" s="8"/>
      <c r="W5193" s="8"/>
      <c r="X5193" s="8"/>
      <c r="Y5193" s="8"/>
      <c r="Z5193" s="8"/>
    </row>
    <row r="5194" spans="1:26" ht="12.75">
      <c r="A5194" s="11">
        <v>43747.093680555554</v>
      </c>
      <c r="B5194" s="12" t="str">
        <f>HYPERLINK("https://twitter.com/omrrclkk","@omrrclkk")</f>
        <v>@omrrclkk</v>
      </c>
      <c r="C5194" s="7" t="s">
        <v>1069</v>
      </c>
      <c r="D5194" s="7" t="s">
        <v>24766</v>
      </c>
      <c r="E5194" s="12" t="str">
        <f>HYPERLINK("https://twitter.com/omrrclkk/status/1181860578127728645","1181860578127728645")</f>
        <v>1181860578127728645</v>
      </c>
      <c r="F5194" s="15"/>
      <c r="G5194" s="15"/>
      <c r="H5194" s="8"/>
      <c r="I5194" s="15">
        <v>0</v>
      </c>
      <c r="J5194" s="15">
        <v>0</v>
      </c>
      <c r="K5194" s="12" t="str">
        <f>HYPERLINK("http://twitter.com/download/android","Twitter for Android")</f>
        <v>Twitter for Android</v>
      </c>
      <c r="L5194" s="16">
        <v>16</v>
      </c>
      <c r="M5194" s="16">
        <v>3</v>
      </c>
      <c r="N5194" s="16">
        <v>0</v>
      </c>
      <c r="O5194" s="17"/>
      <c r="P5194" s="18">
        <v>43216.442210648151</v>
      </c>
      <c r="Q5194" s="7" t="s">
        <v>120</v>
      </c>
      <c r="R5194" s="7"/>
      <c r="S5194" s="15"/>
      <c r="T5194" s="8"/>
      <c r="U5194" s="19" t="str">
        <f>HYPERLINK("https://pbs.twimg.com/profile_images/1108822508751515648/RQ_xjbtp.jpg","View")</f>
        <v>View</v>
      </c>
      <c r="V5194" s="8"/>
      <c r="W5194" s="8"/>
      <c r="X5194" s="8"/>
      <c r="Y5194" s="8"/>
      <c r="Z5194" s="8"/>
    </row>
    <row r="5195" spans="1:26" ht="12.75">
      <c r="A5195" s="11">
        <v>43747.093668981484</v>
      </c>
      <c r="B5195" s="12" t="str">
        <f>HYPERLINK("https://twitter.com/slymnhcglu","@slymnhcglu")</f>
        <v>@slymnhcglu</v>
      </c>
      <c r="C5195" s="7" t="s">
        <v>24767</v>
      </c>
      <c r="D5195" s="7" t="s">
        <v>24768</v>
      </c>
      <c r="E5195" s="12" t="str">
        <f>HYPERLINK("https://twitter.com/slymnhcglu/status/1181860572687679488","1181860572687679488")</f>
        <v>1181860572687679488</v>
      </c>
      <c r="F5195" s="15"/>
      <c r="G5195" s="14" t="s">
        <v>24769</v>
      </c>
      <c r="H5195" s="8"/>
      <c r="I5195" s="15">
        <v>0</v>
      </c>
      <c r="J5195" s="15">
        <v>6</v>
      </c>
      <c r="K5195" s="12" t="str">
        <f>HYPERLINK("http://twitter.com/download/iphone","Twitter for iPhone")</f>
        <v>Twitter for iPhone</v>
      </c>
      <c r="L5195" s="16">
        <v>7396</v>
      </c>
      <c r="M5195" s="16">
        <v>7037</v>
      </c>
      <c r="N5195" s="16">
        <v>6</v>
      </c>
      <c r="O5195" s="17"/>
      <c r="P5195" s="18">
        <v>42730.360138888893</v>
      </c>
      <c r="Q5195" s="7" t="s">
        <v>21196</v>
      </c>
      <c r="R5195" s="7" t="s">
        <v>24770</v>
      </c>
      <c r="S5195" s="15"/>
      <c r="T5195" s="8"/>
      <c r="U5195" s="19" t="str">
        <f>HYPERLINK("https://pbs.twimg.com/profile_images/1151604246372081664/RrCIozOA.jpg","View")</f>
        <v>View</v>
      </c>
      <c r="V5195" s="8"/>
      <c r="W5195" s="8"/>
      <c r="X5195" s="8"/>
      <c r="Y5195" s="8"/>
      <c r="Z5195" s="8"/>
    </row>
    <row r="5196" spans="1:26" ht="12.75">
      <c r="A5196" s="11">
        <v>43747.093530092592</v>
      </c>
      <c r="B5196" s="12" t="str">
        <f>HYPERLINK("https://twitter.com/hgoker56","@hgoker56")</f>
        <v>@hgoker56</v>
      </c>
      <c r="C5196" s="7" t="s">
        <v>24771</v>
      </c>
      <c r="D5196" s="7" t="s">
        <v>24772</v>
      </c>
      <c r="E5196" s="12" t="str">
        <f>HYPERLINK("https://twitter.com/hgoker56/status/1181860524105064448","1181860524105064448")</f>
        <v>1181860524105064448</v>
      </c>
      <c r="F5196" s="8"/>
      <c r="G5196" s="14" t="s">
        <v>24773</v>
      </c>
      <c r="H5196" s="8"/>
      <c r="I5196" s="15">
        <v>0</v>
      </c>
      <c r="J5196" s="15">
        <v>4</v>
      </c>
      <c r="K5196" s="12" t="str">
        <f>HYPERLINK("http://twitter.com/download/android","Twitter for Android")</f>
        <v>Twitter for Android</v>
      </c>
      <c r="L5196" s="16">
        <v>141</v>
      </c>
      <c r="M5196" s="16">
        <v>507</v>
      </c>
      <c r="N5196" s="16">
        <v>0</v>
      </c>
      <c r="O5196" s="17"/>
      <c r="P5196" s="18">
        <v>41587.610949074078</v>
      </c>
      <c r="Q5196" s="8" t="s">
        <v>2201</v>
      </c>
      <c r="R5196" s="8" t="s">
        <v>24774</v>
      </c>
      <c r="S5196" s="8"/>
      <c r="T5196" s="8"/>
      <c r="U5196" s="19" t="str">
        <f>HYPERLINK("https://pbs.twimg.com/profile_images/1172647661884907521/K3CBeV_K.jpg","View")</f>
        <v>View</v>
      </c>
      <c r="V5196" s="8"/>
      <c r="W5196" s="8"/>
      <c r="X5196" s="8"/>
      <c r="Y5196" s="8"/>
      <c r="Z5196" s="8"/>
    </row>
    <row r="5197" spans="1:26" ht="12.75">
      <c r="A5197" s="11">
        <v>43747.093414351853</v>
      </c>
      <c r="B5197" s="12" t="str">
        <f>HYPERLINK("https://twitter.com/NesliDemircii","@NesliDemircii")</f>
        <v>@NesliDemircii</v>
      </c>
      <c r="C5197" s="7" t="s">
        <v>24775</v>
      </c>
      <c r="D5197" s="7" t="s">
        <v>24776</v>
      </c>
      <c r="E5197" s="12" t="str">
        <f>HYPERLINK("https://twitter.com/NesliDemircii/status/1181860483256770560","1181860483256770560")</f>
        <v>1181860483256770560</v>
      </c>
      <c r="F5197" s="8"/>
      <c r="G5197" s="15"/>
      <c r="H5197" s="8"/>
      <c r="I5197" s="15">
        <v>0</v>
      </c>
      <c r="J5197" s="15">
        <v>6</v>
      </c>
      <c r="K5197" s="12" t="str">
        <f>HYPERLINK("http://twitter.com/download/android","Twitter for Android")</f>
        <v>Twitter for Android</v>
      </c>
      <c r="L5197" s="16">
        <v>4782</v>
      </c>
      <c r="M5197" s="16">
        <v>584</v>
      </c>
      <c r="N5197" s="16">
        <v>20</v>
      </c>
      <c r="O5197" s="17"/>
      <c r="P5197" s="18">
        <v>40927.631423611107</v>
      </c>
      <c r="Q5197" s="8"/>
      <c r="R5197" s="7"/>
      <c r="S5197" s="15"/>
      <c r="T5197" s="8"/>
      <c r="U5197" s="19" t="str">
        <f>HYPERLINK("https://pbs.twimg.com/profile_images/1156553852449107970/xE9nSOiw.jpg","View")</f>
        <v>View</v>
      </c>
      <c r="V5197" s="8"/>
      <c r="W5197" s="8"/>
      <c r="X5197" s="8"/>
      <c r="Y5197" s="8"/>
      <c r="Z5197" s="8"/>
    </row>
    <row r="5198" spans="1:26" ht="12.75">
      <c r="A5198" s="11">
        <v>43747.093368055561</v>
      </c>
      <c r="B5198" s="12" t="str">
        <f>HYPERLINK("https://twitter.com/Vahitkocc","@Vahitkocc")</f>
        <v>@Vahitkocc</v>
      </c>
      <c r="C5198" s="7" t="s">
        <v>24777</v>
      </c>
      <c r="D5198" s="7" t="s">
        <v>24778</v>
      </c>
      <c r="E5198" s="12" t="str">
        <f>HYPERLINK("https://twitter.com/Vahitkocc/status/1181860465183510528","1181860465183510528")</f>
        <v>1181860465183510528</v>
      </c>
      <c r="F5198" s="8"/>
      <c r="G5198" s="14" t="s">
        <v>24779</v>
      </c>
      <c r="H5198" s="8"/>
      <c r="I5198" s="15">
        <v>0</v>
      </c>
      <c r="J5198" s="15">
        <v>0</v>
      </c>
      <c r="K5198" s="12" t="str">
        <f>HYPERLINK("http://twitter.com/download/android","Twitter for Android")</f>
        <v>Twitter for Android</v>
      </c>
      <c r="L5198" s="16">
        <v>28</v>
      </c>
      <c r="M5198" s="16">
        <v>204</v>
      </c>
      <c r="N5198" s="16">
        <v>0</v>
      </c>
      <c r="O5198" s="17"/>
      <c r="P5198" s="18">
        <v>42052.250208333338</v>
      </c>
      <c r="Q5198" s="8"/>
      <c r="R5198" s="8"/>
      <c r="S5198" s="8"/>
      <c r="T5198" s="8"/>
      <c r="U5198" s="19" t="str">
        <f>HYPERLINK("https://pbs.twimg.com/profile_images/1154323594194952192/dBr8Kbsg.jpg","View")</f>
        <v>View</v>
      </c>
      <c r="V5198" s="8"/>
      <c r="W5198" s="8"/>
      <c r="X5198" s="8"/>
      <c r="Y5198" s="8"/>
      <c r="Z5198" s="8"/>
    </row>
    <row r="5199" spans="1:26" ht="12.75">
      <c r="A5199" s="11">
        <v>43747.093344907407</v>
      </c>
      <c r="B5199" s="12" t="str">
        <f>HYPERLINK("https://twitter.com/Hanedannrst","@Hanedannrst")</f>
        <v>@Hanedannrst</v>
      </c>
      <c r="C5199" s="7" t="s">
        <v>24780</v>
      </c>
      <c r="D5199" s="7" t="s">
        <v>24781</v>
      </c>
      <c r="E5199" s="12" t="str">
        <f>HYPERLINK("https://twitter.com/Hanedannrst/status/1181860458074136576","1181860458074136576")</f>
        <v>1181860458074136576</v>
      </c>
      <c r="F5199" s="8"/>
      <c r="G5199" s="14" t="s">
        <v>24782</v>
      </c>
      <c r="H5199" s="8"/>
      <c r="I5199" s="15">
        <v>0</v>
      </c>
      <c r="J5199" s="15">
        <v>4</v>
      </c>
      <c r="K5199" s="12" t="str">
        <f>HYPERLINK("http://twitter.com/download/android","Twitter for Android")</f>
        <v>Twitter for Android</v>
      </c>
      <c r="L5199" s="16">
        <v>124</v>
      </c>
      <c r="M5199" s="16">
        <v>297</v>
      </c>
      <c r="N5199" s="16">
        <v>0</v>
      </c>
      <c r="O5199" s="17"/>
      <c r="P5199" s="18">
        <v>43637.255833333329</v>
      </c>
      <c r="Q5199" s="7"/>
      <c r="R5199" s="7" t="s">
        <v>24783</v>
      </c>
      <c r="S5199" s="8"/>
      <c r="T5199" s="8"/>
      <c r="U5199" s="19" t="str">
        <f>HYPERLINK("https://pbs.twimg.com/profile_images/1181873453206560768/O4GPhNOf.jpg","View")</f>
        <v>View</v>
      </c>
      <c r="V5199" s="8"/>
      <c r="W5199" s="8"/>
      <c r="X5199" s="8"/>
      <c r="Y5199" s="8"/>
      <c r="Z5199" s="8"/>
    </row>
    <row r="5200" spans="1:26" ht="12.75">
      <c r="A5200" s="11">
        <v>43747.093344907407</v>
      </c>
      <c r="B5200" s="12" t="str">
        <f>HYPERLINK("https://twitter.com/mrlejyoner","@mrlejyoner")</f>
        <v>@mrlejyoner</v>
      </c>
      <c r="C5200" s="7" t="s">
        <v>24784</v>
      </c>
      <c r="D5200" s="7" t="s">
        <v>24785</v>
      </c>
      <c r="E5200" s="12" t="str">
        <f>HYPERLINK("https://twitter.com/mrlejyoner/status/1181860457889648640","1181860457889648640")</f>
        <v>1181860457889648640</v>
      </c>
      <c r="F5200" s="8"/>
      <c r="G5200" s="14" t="s">
        <v>24786</v>
      </c>
      <c r="H5200" s="8"/>
      <c r="I5200" s="15">
        <v>0</v>
      </c>
      <c r="J5200" s="15">
        <v>1</v>
      </c>
      <c r="K5200" s="12" t="str">
        <f>HYPERLINK("http://twitter.com/download/android","Twitter for Android")</f>
        <v>Twitter for Android</v>
      </c>
      <c r="L5200" s="16">
        <v>0</v>
      </c>
      <c r="M5200" s="16">
        <v>14</v>
      </c>
      <c r="N5200" s="16">
        <v>0</v>
      </c>
      <c r="O5200" s="17"/>
      <c r="P5200" s="18">
        <v>43689.171932870369</v>
      </c>
      <c r="Q5200" s="7"/>
      <c r="R5200" s="8"/>
      <c r="S5200" s="8"/>
      <c r="T5200" s="8"/>
      <c r="U5200" s="19" t="str">
        <f>HYPERLINK("https://pbs.twimg.com/profile_images/1160925422655287297/DBKvvMT6.jpg","View")</f>
        <v>View</v>
      </c>
      <c r="V5200" s="8"/>
      <c r="W5200" s="8"/>
      <c r="X5200" s="8"/>
      <c r="Y5200" s="8"/>
      <c r="Z5200" s="8"/>
    </row>
    <row r="5201" spans="1:26" ht="12.75">
      <c r="A5201" s="11">
        <v>43747.093333333338</v>
      </c>
      <c r="B5201" s="12" t="str">
        <f>HYPERLINK("https://twitter.com/MehmetE56455988","@MehmetE56455988")</f>
        <v>@MehmetE56455988</v>
      </c>
      <c r="C5201" s="7" t="s">
        <v>24787</v>
      </c>
      <c r="D5201" s="7" t="s">
        <v>24788</v>
      </c>
      <c r="E5201" s="12" t="str">
        <f>HYPERLINK("https://twitter.com/MehmetE56455988/status/1181860454534135811","1181860454534135811")</f>
        <v>1181860454534135811</v>
      </c>
      <c r="F5201" s="8"/>
      <c r="G5201" s="15"/>
      <c r="H5201" s="8"/>
      <c r="I5201" s="15">
        <v>0</v>
      </c>
      <c r="J5201" s="15">
        <v>0</v>
      </c>
      <c r="K5201" s="12" t="str">
        <f>HYPERLINK("http://twitter.com/download/android","Twitter for Android")</f>
        <v>Twitter for Android</v>
      </c>
      <c r="L5201" s="16">
        <v>26</v>
      </c>
      <c r="M5201" s="16">
        <v>171</v>
      </c>
      <c r="N5201" s="16">
        <v>0</v>
      </c>
      <c r="O5201" s="17"/>
      <c r="P5201" s="18">
        <v>43576.100347222222</v>
      </c>
      <c r="Q5201" s="8"/>
      <c r="R5201" s="7"/>
      <c r="S5201" s="8"/>
      <c r="T5201" s="8"/>
      <c r="U5201" s="19" t="str">
        <f>HYPERLINK("https://pbs.twimg.com/profile_images/1120181775777583104/jAt-C7tn.jpg","View")</f>
        <v>View</v>
      </c>
      <c r="V5201" s="8"/>
      <c r="W5201" s="8"/>
      <c r="X5201" s="8"/>
      <c r="Y5201" s="8"/>
      <c r="Z5201" s="8"/>
    </row>
    <row r="5202" spans="1:26" ht="12.75">
      <c r="A5202" s="11">
        <v>43747.093298611115</v>
      </c>
      <c r="B5202" s="12" t="str">
        <f>HYPERLINK("https://twitter.com/inci_ri74","@inci_ri74")</f>
        <v>@inci_ri74</v>
      </c>
      <c r="C5202" s="7" t="s">
        <v>24789</v>
      </c>
      <c r="D5202" s="7" t="s">
        <v>24790</v>
      </c>
      <c r="E5202" s="12" t="str">
        <f>HYPERLINK("https://twitter.com/inci_ri74/status/1181860441615675392","1181860441615675392")</f>
        <v>1181860441615675392</v>
      </c>
      <c r="F5202" s="8"/>
      <c r="G5202" s="14" t="s">
        <v>24791</v>
      </c>
      <c r="H5202" s="8"/>
      <c r="I5202" s="15">
        <v>0</v>
      </c>
      <c r="J5202" s="15">
        <v>4</v>
      </c>
      <c r="K5202" s="12" t="str">
        <f>HYPERLINK("http://twitter.com/download/android","Twitter for Android")</f>
        <v>Twitter for Android</v>
      </c>
      <c r="L5202" s="16">
        <v>649</v>
      </c>
      <c r="M5202" s="16">
        <v>161</v>
      </c>
      <c r="N5202" s="16">
        <v>2</v>
      </c>
      <c r="O5202" s="17"/>
      <c r="P5202" s="18">
        <v>42162.543993055559</v>
      </c>
      <c r="Q5202" s="7" t="s">
        <v>313</v>
      </c>
      <c r="R5202" s="7" t="s">
        <v>576</v>
      </c>
      <c r="S5202" s="8"/>
      <c r="T5202" s="8"/>
      <c r="U5202" s="19" t="str">
        <f>HYPERLINK("https://pbs.twimg.com/profile_images/1181067545538945024/-r_2H-nj.jpg","View")</f>
        <v>View</v>
      </c>
      <c r="V5202" s="8"/>
      <c r="W5202" s="8"/>
      <c r="X5202" s="8"/>
      <c r="Y5202" s="8"/>
      <c r="Z5202" s="8"/>
    </row>
    <row r="5203" spans="1:26" ht="12.75">
      <c r="A5203" s="11">
        <v>43747.093275462961</v>
      </c>
      <c r="B5203" s="12" t="str">
        <f>HYPERLINK("https://twitter.com/ertaninanc","@ertaninanc")</f>
        <v>@ertaninanc</v>
      </c>
      <c r="C5203" s="7" t="s">
        <v>24792</v>
      </c>
      <c r="D5203" s="7" t="s">
        <v>8576</v>
      </c>
      <c r="E5203" s="12" t="str">
        <f>HYPERLINK("https://twitter.com/ertaninanc/status/1181860431729745921","1181860431729745921")</f>
        <v>1181860431729745921</v>
      </c>
      <c r="F5203" s="8"/>
      <c r="G5203" s="14" t="s">
        <v>24793</v>
      </c>
      <c r="H5203" s="8"/>
      <c r="I5203" s="15">
        <v>0</v>
      </c>
      <c r="J5203" s="15">
        <v>1</v>
      </c>
      <c r="K5203" s="12" t="str">
        <f>HYPERLINK("http://twitter.com/download/iphone","Twitter for iPhone")</f>
        <v>Twitter for iPhone</v>
      </c>
      <c r="L5203" s="16">
        <v>972</v>
      </c>
      <c r="M5203" s="16">
        <v>895</v>
      </c>
      <c r="N5203" s="16">
        <v>5</v>
      </c>
      <c r="O5203" s="17"/>
      <c r="P5203" s="18">
        <v>41217.110960648148</v>
      </c>
      <c r="Q5203" s="7" t="s">
        <v>16059</v>
      </c>
      <c r="R5203" s="7" t="s">
        <v>24794</v>
      </c>
      <c r="S5203" s="8"/>
      <c r="T5203" s="8"/>
      <c r="U5203" s="19" t="str">
        <f>HYPERLINK("https://pbs.twimg.com/profile_images/1169535715799130112/oFOImuwA.jpg","View")</f>
        <v>View</v>
      </c>
      <c r="V5203" s="8"/>
      <c r="W5203" s="8"/>
      <c r="X5203" s="8"/>
      <c r="Y5203" s="8"/>
      <c r="Z5203" s="8"/>
    </row>
    <row r="5204" spans="1:26" ht="12.75">
      <c r="A5204" s="11">
        <v>43747.093240740738</v>
      </c>
      <c r="B5204" s="12" t="str">
        <f>HYPERLINK("https://twitter.com/adilbabuscu","@adilbabuscu")</f>
        <v>@adilbabuscu</v>
      </c>
      <c r="C5204" s="7" t="s">
        <v>24795</v>
      </c>
      <c r="D5204" s="7" t="s">
        <v>24796</v>
      </c>
      <c r="E5204" s="12" t="str">
        <f>HYPERLINK("https://twitter.com/adilbabuscu/status/1181860418672877568","1181860418672877568")</f>
        <v>1181860418672877568</v>
      </c>
      <c r="F5204" s="8"/>
      <c r="G5204" s="8"/>
      <c r="H5204" s="8"/>
      <c r="I5204" s="15">
        <v>0</v>
      </c>
      <c r="J5204" s="15">
        <v>0</v>
      </c>
      <c r="K5204" s="12" t="str">
        <f>HYPERLINK("http://twitter.com/download/android","Twitter for Android")</f>
        <v>Twitter for Android</v>
      </c>
      <c r="L5204" s="16">
        <v>1686</v>
      </c>
      <c r="M5204" s="16">
        <v>17</v>
      </c>
      <c r="N5204" s="16">
        <v>3</v>
      </c>
      <c r="O5204" s="17"/>
      <c r="P5204" s="18">
        <v>40465.205185185187</v>
      </c>
      <c r="Q5204" s="8"/>
      <c r="R5204" s="8" t="s">
        <v>24797</v>
      </c>
      <c r="S5204" s="8"/>
      <c r="T5204" s="8"/>
      <c r="U5204" s="19" t="str">
        <f>HYPERLINK("https://pbs.twimg.com/profile_images/1119550798852251648/6qSEVucc.jpg","View")</f>
        <v>View</v>
      </c>
      <c r="V5204" s="8"/>
      <c r="W5204" s="8"/>
      <c r="X5204" s="8"/>
      <c r="Y5204" s="8"/>
      <c r="Z5204" s="8"/>
    </row>
    <row r="5205" spans="1:26" ht="12.75">
      <c r="A5205" s="11">
        <v>43747.093217592592</v>
      </c>
      <c r="B5205" s="12" t="str">
        <f>HYPERLINK("https://twitter.com/uykuluhepuykulu","@uykuluhepuykulu")</f>
        <v>@uykuluhepuykulu</v>
      </c>
      <c r="C5205" s="7" t="s">
        <v>24798</v>
      </c>
      <c r="D5205" s="7" t="s">
        <v>24799</v>
      </c>
      <c r="E5205" s="12" t="str">
        <f>HYPERLINK("https://twitter.com/uykuluhepuykulu/status/1181860408958828550","1181860408958828550")</f>
        <v>1181860408958828550</v>
      </c>
      <c r="F5205" s="14" t="s">
        <v>24800</v>
      </c>
      <c r="G5205" s="14" t="s">
        <v>24801</v>
      </c>
      <c r="H5205" s="8"/>
      <c r="I5205" s="15">
        <v>0</v>
      </c>
      <c r="J5205" s="15">
        <v>0</v>
      </c>
      <c r="K5205" s="12" t="str">
        <f>HYPERLINK("http://twitter.com/download/android","Twitter for Android")</f>
        <v>Twitter for Android</v>
      </c>
      <c r="L5205" s="16">
        <v>68</v>
      </c>
      <c r="M5205" s="16">
        <v>49</v>
      </c>
      <c r="N5205" s="16">
        <v>0</v>
      </c>
      <c r="O5205" s="17"/>
      <c r="P5205" s="18">
        <v>43428.00001157407</v>
      </c>
      <c r="Q5205" s="7" t="s">
        <v>15484</v>
      </c>
      <c r="R5205" s="7" t="s">
        <v>24802</v>
      </c>
      <c r="S5205" s="8"/>
      <c r="T5205" s="8"/>
      <c r="U5205" s="19" t="str">
        <f>HYPERLINK("https://pbs.twimg.com/profile_images/1181234045084151810/RZcSgW1v.jpg","View")</f>
        <v>View</v>
      </c>
      <c r="V5205" s="8"/>
      <c r="W5205" s="8"/>
      <c r="X5205" s="8"/>
      <c r="Y5205" s="8"/>
      <c r="Z5205" s="8"/>
    </row>
    <row r="5206" spans="1:26" ht="12.75">
      <c r="A5206" s="11">
        <v>43747.093206018515</v>
      </c>
      <c r="B5206" s="12" t="str">
        <f>HYPERLINK("https://twitter.com/bymn_34","@bymn_34")</f>
        <v>@bymn_34</v>
      </c>
      <c r="C5206" s="7" t="s">
        <v>24803</v>
      </c>
      <c r="D5206" s="7" t="s">
        <v>24804</v>
      </c>
      <c r="E5206" s="12" t="str">
        <f>HYPERLINK("https://twitter.com/bymn_34/status/1181860406379319296","1181860406379319296")</f>
        <v>1181860406379319296</v>
      </c>
      <c r="F5206" s="8"/>
      <c r="G5206" s="14" t="s">
        <v>24805</v>
      </c>
      <c r="H5206" s="8"/>
      <c r="I5206" s="15">
        <v>0</v>
      </c>
      <c r="J5206" s="15">
        <v>0</v>
      </c>
      <c r="K5206" s="12" t="str">
        <f>HYPERLINK("http://twitter.com/download/android","Twitter for Android")</f>
        <v>Twitter for Android</v>
      </c>
      <c r="L5206" s="16">
        <v>2205</v>
      </c>
      <c r="M5206" s="16">
        <v>2058</v>
      </c>
      <c r="N5206" s="16">
        <v>0</v>
      </c>
      <c r="O5206" s="17"/>
      <c r="P5206" s="18">
        <v>40523.200659722221</v>
      </c>
      <c r="Q5206" s="8" t="s">
        <v>313</v>
      </c>
      <c r="R5206" s="8" t="s">
        <v>24806</v>
      </c>
      <c r="S5206" s="8"/>
      <c r="T5206" s="8"/>
      <c r="U5206" s="19" t="str">
        <f>HYPERLINK("https://pbs.twimg.com/profile_images/1175899146479443969/fc8kojuj.jpg","View")</f>
        <v>View</v>
      </c>
      <c r="V5206" s="8"/>
      <c r="W5206" s="8"/>
      <c r="X5206" s="8"/>
      <c r="Y5206" s="8"/>
      <c r="Z5206" s="8"/>
    </row>
    <row r="5207" spans="1:26" ht="12.75">
      <c r="A5207" s="11">
        <v>43747.093136574069</v>
      </c>
      <c r="B5207" s="12" t="str">
        <f>HYPERLINK("https://twitter.com/serfirazki","@serfirazki")</f>
        <v>@serfirazki</v>
      </c>
      <c r="C5207" s="7" t="s">
        <v>24807</v>
      </c>
      <c r="D5207" s="7" t="s">
        <v>24808</v>
      </c>
      <c r="E5207" s="12" t="str">
        <f>HYPERLINK("https://twitter.com/serfirazki/status/1181860379934240768","1181860379934240768")</f>
        <v>1181860379934240768</v>
      </c>
      <c r="F5207" s="8"/>
      <c r="G5207" s="8"/>
      <c r="H5207" s="8"/>
      <c r="I5207" s="15">
        <v>0</v>
      </c>
      <c r="J5207" s="15">
        <v>0</v>
      </c>
      <c r="K5207" s="12" t="str">
        <f>HYPERLINK("http://twitter.com/download/android","Twitter for Android")</f>
        <v>Twitter for Android</v>
      </c>
      <c r="L5207" s="16">
        <v>354</v>
      </c>
      <c r="M5207" s="16">
        <v>110</v>
      </c>
      <c r="N5207" s="16">
        <v>0</v>
      </c>
      <c r="O5207" s="17"/>
      <c r="P5207" s="18">
        <v>42181.363263888888</v>
      </c>
      <c r="Q5207" s="7" t="s">
        <v>313</v>
      </c>
      <c r="R5207" s="7" t="s">
        <v>24809</v>
      </c>
      <c r="S5207" s="8"/>
      <c r="T5207" s="8"/>
      <c r="U5207" s="19" t="str">
        <f>HYPERLINK("https://pbs.twimg.com/profile_images/1180028488276942848/5Jt4FWgM.jpg","View")</f>
        <v>View</v>
      </c>
      <c r="V5207" s="8"/>
      <c r="W5207" s="8"/>
      <c r="X5207" s="8"/>
      <c r="Y5207" s="8"/>
      <c r="Z5207" s="8"/>
    </row>
    <row r="5208" spans="1:26" ht="12.75">
      <c r="A5208" s="11">
        <v>43747.09306712963</v>
      </c>
      <c r="B5208" s="12" t="str">
        <f>HYPERLINK("https://twitter.com/tolgaakpinar","@tolgaakpinar")</f>
        <v>@tolgaakpinar</v>
      </c>
      <c r="C5208" s="7" t="s">
        <v>24810</v>
      </c>
      <c r="D5208" s="7" t="s">
        <v>24811</v>
      </c>
      <c r="E5208" s="12" t="str">
        <f>HYPERLINK("https://twitter.com/tolgaakpinar/status/1181860356395802624","1181860356395802624")</f>
        <v>1181860356395802624</v>
      </c>
      <c r="F5208" s="8"/>
      <c r="G5208" s="8"/>
      <c r="H5208" s="8"/>
      <c r="I5208" s="15">
        <v>5</v>
      </c>
      <c r="J5208" s="15">
        <v>51</v>
      </c>
      <c r="K5208" s="12" t="str">
        <f>HYPERLINK("http://twitter.com/download/iphone","Twitter for iPhone")</f>
        <v>Twitter for iPhone</v>
      </c>
      <c r="L5208" s="16">
        <v>930778</v>
      </c>
      <c r="M5208" s="16">
        <v>487</v>
      </c>
      <c r="N5208" s="16">
        <v>717</v>
      </c>
      <c r="O5208" s="17" t="s">
        <v>984</v>
      </c>
      <c r="P5208" s="18">
        <v>40755.288530092592</v>
      </c>
      <c r="Q5208" s="7" t="s">
        <v>24812</v>
      </c>
      <c r="R5208" s="8" t="s">
        <v>24813</v>
      </c>
      <c r="S5208" s="14" t="s">
        <v>24814</v>
      </c>
      <c r="T5208" s="8"/>
      <c r="U5208" s="19" t="str">
        <f>HYPERLINK("https://pbs.twimg.com/profile_images/1163930045657886721/_6Bdghha.jpg","View")</f>
        <v>View</v>
      </c>
      <c r="V5208" s="8"/>
      <c r="W5208" s="8"/>
      <c r="X5208" s="8"/>
      <c r="Y5208" s="8"/>
      <c r="Z5208" s="8"/>
    </row>
    <row r="5209" spans="1:26" ht="12.75">
      <c r="A5209" s="11">
        <v>43747.092986111107</v>
      </c>
      <c r="B5209" s="12" t="str">
        <f>HYPERLINK("https://twitter.com/Mustafaenversar","@Mustafaenversar")</f>
        <v>@Mustafaenversar</v>
      </c>
      <c r="C5209" s="7" t="s">
        <v>24815</v>
      </c>
      <c r="D5209" s="7" t="s">
        <v>15689</v>
      </c>
      <c r="E5209" s="12" t="str">
        <f>HYPERLINK("https://twitter.com/Mustafaenversar/status/1181860326071050240","1181860326071050240")</f>
        <v>1181860326071050240</v>
      </c>
      <c r="F5209" s="15"/>
      <c r="G5209" s="14" t="s">
        <v>24816</v>
      </c>
      <c r="H5209" s="8"/>
      <c r="I5209" s="15">
        <v>1</v>
      </c>
      <c r="J5209" s="15">
        <v>2</v>
      </c>
      <c r="K5209" s="12" t="str">
        <f>HYPERLINK("http://twitter.com/download/android","Twitter for Android")</f>
        <v>Twitter for Android</v>
      </c>
      <c r="L5209" s="16">
        <v>29</v>
      </c>
      <c r="M5209" s="16">
        <v>119</v>
      </c>
      <c r="N5209" s="16">
        <v>0</v>
      </c>
      <c r="O5209" s="17"/>
      <c r="P5209" s="18">
        <v>42492.587627314817</v>
      </c>
      <c r="Q5209" s="7" t="s">
        <v>685</v>
      </c>
      <c r="R5209" s="8"/>
      <c r="S5209" s="8"/>
      <c r="T5209" s="8"/>
      <c r="U5209" s="19" t="str">
        <f>HYPERLINK("https://pbs.twimg.com/profile_images/975395177316716544/15k2NhH3.jpg","View")</f>
        <v>View</v>
      </c>
      <c r="V5209" s="8"/>
      <c r="W5209" s="8"/>
      <c r="X5209" s="8"/>
      <c r="Y5209" s="8"/>
      <c r="Z5209" s="8"/>
    </row>
    <row r="5210" spans="1:26" ht="12.75">
      <c r="A5210" s="11">
        <v>43747.092974537038</v>
      </c>
      <c r="B5210" s="12" t="str">
        <f>HYPERLINK("https://twitter.com/muratbudak58","@muratbudak58")</f>
        <v>@muratbudak58</v>
      </c>
      <c r="C5210" s="7" t="s">
        <v>24817</v>
      </c>
      <c r="D5210" s="7" t="s">
        <v>17947</v>
      </c>
      <c r="E5210" s="12" t="str">
        <f>HYPERLINK("https://twitter.com/muratbudak58/status/1181860321943785472","1181860321943785472")</f>
        <v>1181860321943785472</v>
      </c>
      <c r="F5210" s="8"/>
      <c r="G5210" s="8"/>
      <c r="H5210" s="8"/>
      <c r="I5210" s="15">
        <v>0</v>
      </c>
      <c r="J5210" s="15">
        <v>0</v>
      </c>
      <c r="K5210" s="12" t="str">
        <f>HYPERLINK("http://twitter.com/download/iphone","Twitter for iPhone")</f>
        <v>Twitter for iPhone</v>
      </c>
      <c r="L5210" s="16">
        <v>4210</v>
      </c>
      <c r="M5210" s="16">
        <v>3039</v>
      </c>
      <c r="N5210" s="16">
        <v>5</v>
      </c>
      <c r="O5210" s="17"/>
      <c r="P5210" s="18">
        <v>41312.502060185187</v>
      </c>
      <c r="Q5210" s="7"/>
      <c r="R5210" s="7" t="s">
        <v>24818</v>
      </c>
      <c r="S5210" s="8"/>
      <c r="T5210" s="8"/>
      <c r="U5210" s="19" t="str">
        <f>HYPERLINK("https://pbs.twimg.com/profile_images/1027293198123720705/2ATvtoa3.jpg","View")</f>
        <v>View</v>
      </c>
      <c r="V5210" s="8"/>
      <c r="W5210" s="8"/>
      <c r="X5210" s="8"/>
      <c r="Y5210" s="8"/>
      <c r="Z5210" s="8"/>
    </row>
    <row r="5211" spans="1:26" ht="12.75">
      <c r="A5211" s="11">
        <v>43747.092905092592</v>
      </c>
      <c r="B5211" s="12" t="str">
        <f>HYPERLINK("https://twitter.com/cerennnr","@cerennnr")</f>
        <v>@cerennnr</v>
      </c>
      <c r="C5211" s="7" t="s">
        <v>24819</v>
      </c>
      <c r="D5211" s="7" t="s">
        <v>160</v>
      </c>
      <c r="E5211" s="12" t="str">
        <f>HYPERLINK("https://twitter.com/cerennnr/status/1181860295934955520","1181860295934955520")</f>
        <v>1181860295934955520</v>
      </c>
      <c r="F5211" s="8"/>
      <c r="G5211" s="8"/>
      <c r="H5211" s="8"/>
      <c r="I5211" s="15">
        <v>0</v>
      </c>
      <c r="J5211" s="15">
        <v>1</v>
      </c>
      <c r="K5211" s="12" t="str">
        <f>HYPERLINK("http://twitter.com/download/android","Twitter for Android")</f>
        <v>Twitter for Android</v>
      </c>
      <c r="L5211" s="16">
        <v>114</v>
      </c>
      <c r="M5211" s="16">
        <v>116</v>
      </c>
      <c r="N5211" s="16">
        <v>0</v>
      </c>
      <c r="O5211" s="17"/>
      <c r="P5211" s="18">
        <v>43270.547013888892</v>
      </c>
      <c r="Q5211" s="8" t="s">
        <v>313</v>
      </c>
      <c r="R5211" s="7" t="s">
        <v>24820</v>
      </c>
      <c r="S5211" s="14" t="s">
        <v>24821</v>
      </c>
      <c r="T5211" s="8"/>
      <c r="U5211" s="19" t="str">
        <f>HYPERLINK("https://pbs.twimg.com/profile_images/1155909997886418946/B9niwMm2.jpg","View")</f>
        <v>View</v>
      </c>
      <c r="V5211" s="8"/>
      <c r="W5211" s="8"/>
      <c r="X5211" s="8"/>
      <c r="Y5211" s="8"/>
      <c r="Z5211" s="8"/>
    </row>
    <row r="5212" spans="1:26" ht="12.75">
      <c r="A5212" s="11">
        <v>43747.092893518522</v>
      </c>
      <c r="B5212" s="12" t="str">
        <f>HYPERLINK("https://twitter.com/ibrahimyZr","@ibrahimyZr")</f>
        <v>@ibrahimyZr</v>
      </c>
      <c r="C5212" s="7" t="s">
        <v>24822</v>
      </c>
      <c r="D5212" s="7" t="s">
        <v>24823</v>
      </c>
      <c r="E5212" s="12" t="str">
        <f>HYPERLINK("https://twitter.com/ibrahimyZr/status/1181860292889849856","1181860292889849856")</f>
        <v>1181860292889849856</v>
      </c>
      <c r="F5212" s="8"/>
      <c r="G5212" s="15"/>
      <c r="H5212" s="8"/>
      <c r="I5212" s="15">
        <v>0</v>
      </c>
      <c r="J5212" s="15">
        <v>1</v>
      </c>
      <c r="K5212" s="12" t="str">
        <f>HYPERLINK("http://twitter.com/download/iphone","Twitter for iPhone")</f>
        <v>Twitter for iPhone</v>
      </c>
      <c r="L5212" s="16">
        <v>273</v>
      </c>
      <c r="M5212" s="16">
        <v>527</v>
      </c>
      <c r="N5212" s="16">
        <v>2</v>
      </c>
      <c r="O5212" s="17"/>
      <c r="P5212" s="18">
        <v>40258.593009259261</v>
      </c>
      <c r="Q5212" s="7" t="s">
        <v>313</v>
      </c>
      <c r="R5212" s="7" t="s">
        <v>24824</v>
      </c>
      <c r="S5212" s="15"/>
      <c r="T5212" s="8"/>
      <c r="U5212" s="19" t="str">
        <f>HYPERLINK("https://pbs.twimg.com/profile_images/943897089062338560/NFuQaStX.jpg","View")</f>
        <v>View</v>
      </c>
      <c r="V5212" s="8"/>
      <c r="W5212" s="8"/>
      <c r="X5212" s="8"/>
      <c r="Y5212" s="8"/>
      <c r="Z5212" s="8"/>
    </row>
    <row r="5213" spans="1:26" ht="12.75">
      <c r="A5213" s="11">
        <v>43747.092800925922</v>
      </c>
      <c r="B5213" s="12" t="str">
        <f>HYPERLINK("https://twitter.com/rmznkpdl","@rmznkpdl")</f>
        <v>@rmznkpdl</v>
      </c>
      <c r="C5213" s="7" t="s">
        <v>24825</v>
      </c>
      <c r="D5213" s="7" t="s">
        <v>24826</v>
      </c>
      <c r="E5213" s="12" t="str">
        <f>HYPERLINK("https://twitter.com/rmznkpdl/status/1181860260673396736","1181860260673396736")</f>
        <v>1181860260673396736</v>
      </c>
      <c r="F5213" s="8"/>
      <c r="G5213" s="14" t="s">
        <v>24827</v>
      </c>
      <c r="H5213" s="8"/>
      <c r="I5213" s="15">
        <v>0</v>
      </c>
      <c r="J5213" s="15">
        <v>0</v>
      </c>
      <c r="K5213" s="12" t="str">
        <f>HYPERLINK("https://mobile.twitter.com","Twitter Web App")</f>
        <v>Twitter Web App</v>
      </c>
      <c r="L5213" s="16">
        <v>375</v>
      </c>
      <c r="M5213" s="16">
        <v>563</v>
      </c>
      <c r="N5213" s="16">
        <v>0</v>
      </c>
      <c r="O5213" s="17"/>
      <c r="P5213" s="18">
        <v>40842.526435185187</v>
      </c>
      <c r="Q5213" s="7" t="s">
        <v>18829</v>
      </c>
      <c r="R5213" s="7" t="s">
        <v>24828</v>
      </c>
      <c r="S5213" s="8"/>
      <c r="T5213" s="8"/>
      <c r="U5213" s="19" t="str">
        <f>HYPERLINK("https://pbs.twimg.com/profile_images/1086546245982846978/DQKtonsp.jpg","View")</f>
        <v>View</v>
      </c>
      <c r="V5213" s="8"/>
      <c r="W5213" s="8"/>
      <c r="X5213" s="8"/>
      <c r="Y5213" s="8"/>
      <c r="Z5213" s="8"/>
    </row>
    <row r="5214" spans="1:26" ht="12.75">
      <c r="A5214" s="11">
        <v>43747.092789351853</v>
      </c>
      <c r="B5214" s="12" t="str">
        <f>HYPERLINK("https://twitter.com/tamervp","@tamervp")</f>
        <v>@tamervp</v>
      </c>
      <c r="C5214" s="7" t="s">
        <v>24829</v>
      </c>
      <c r="D5214" s="7" t="s">
        <v>24830</v>
      </c>
      <c r="E5214" s="12" t="str">
        <f>HYPERLINK("https://twitter.com/tamervp/status/1181860254205779969","1181860254205779969")</f>
        <v>1181860254205779969</v>
      </c>
      <c r="F5214" s="15"/>
      <c r="G5214" s="14" t="s">
        <v>24831</v>
      </c>
      <c r="H5214" s="8"/>
      <c r="I5214" s="15">
        <v>1</v>
      </c>
      <c r="J5214" s="15">
        <v>3</v>
      </c>
      <c r="K5214" s="12" t="str">
        <f>HYPERLINK("https://mobile.twitter.com","Twitter Web App")</f>
        <v>Twitter Web App</v>
      </c>
      <c r="L5214" s="16">
        <v>1882</v>
      </c>
      <c r="M5214" s="16">
        <v>1440</v>
      </c>
      <c r="N5214" s="16">
        <v>5</v>
      </c>
      <c r="O5214" s="17"/>
      <c r="P5214" s="18">
        <v>41081.438715277778</v>
      </c>
      <c r="Q5214" s="8" t="s">
        <v>24832</v>
      </c>
      <c r="R5214" s="8" t="s">
        <v>24833</v>
      </c>
      <c r="S5214" s="14" t="s">
        <v>24834</v>
      </c>
      <c r="T5214" s="8"/>
      <c r="U5214" s="19" t="str">
        <f>HYPERLINK("https://pbs.twimg.com/profile_images/1172848546636279808/dU0fXkFN.jpg","View")</f>
        <v>View</v>
      </c>
      <c r="V5214" s="8"/>
      <c r="W5214" s="8"/>
      <c r="X5214" s="8"/>
      <c r="Y5214" s="8"/>
      <c r="Z5214" s="8"/>
    </row>
    <row r="5215" spans="1:26" ht="12.75">
      <c r="A5215" s="11">
        <v>43747.092777777776</v>
      </c>
      <c r="B5215" s="12" t="str">
        <f>HYPERLINK("https://twitter.com/erayyyNihal","@erayyyNihal")</f>
        <v>@erayyyNihal</v>
      </c>
      <c r="C5215" s="7" t="s">
        <v>807</v>
      </c>
      <c r="D5215" s="7" t="s">
        <v>24835</v>
      </c>
      <c r="E5215" s="12" t="str">
        <f>HYPERLINK("https://twitter.com/erayyyNihal/status/1181860251647332352","1181860251647332352")</f>
        <v>1181860251647332352</v>
      </c>
      <c r="F5215" s="8"/>
      <c r="G5215" s="14" t="s">
        <v>24836</v>
      </c>
      <c r="H5215" s="8"/>
      <c r="I5215" s="15">
        <v>41</v>
      </c>
      <c r="J5215" s="15">
        <v>53</v>
      </c>
      <c r="K5215" s="12" t="str">
        <f>HYPERLINK("http://twitter.com/download/android","Twitter for Android")</f>
        <v>Twitter for Android</v>
      </c>
      <c r="L5215" s="16">
        <v>13228</v>
      </c>
      <c r="M5215" s="16">
        <v>13779</v>
      </c>
      <c r="N5215" s="16">
        <v>18</v>
      </c>
      <c r="O5215" s="17"/>
      <c r="P5215" s="18">
        <v>42599.253379629634</v>
      </c>
      <c r="Q5215" s="8"/>
      <c r="R5215" s="8"/>
      <c r="S5215" s="8"/>
      <c r="T5215" s="8"/>
      <c r="U5215" s="19" t="str">
        <f>HYPERLINK("https://pbs.twimg.com/profile_images/765901958188240896/mgt5kKB9.jpg","View")</f>
        <v>View</v>
      </c>
      <c r="V5215" s="8"/>
      <c r="W5215" s="8"/>
      <c r="X5215" s="8"/>
      <c r="Y5215" s="8"/>
      <c r="Z5215" s="8"/>
    </row>
    <row r="5216" spans="1:26" ht="12.75">
      <c r="A5216" s="11">
        <v>43747.092731481476</v>
      </c>
      <c r="B5216" s="12" t="str">
        <f>HYPERLINK("https://twitter.com/RTEmurat55","@RTEmurat55")</f>
        <v>@RTEmurat55</v>
      </c>
      <c r="C5216" s="7" t="s">
        <v>24837</v>
      </c>
      <c r="D5216" s="7" t="s">
        <v>24838</v>
      </c>
      <c r="E5216" s="12" t="str">
        <f>HYPERLINK("https://twitter.com/RTEmurat55/status/1181860235704750080","1181860235704750080")</f>
        <v>1181860235704750080</v>
      </c>
      <c r="F5216" s="8"/>
      <c r="G5216" s="14" t="s">
        <v>24839</v>
      </c>
      <c r="H5216" s="8"/>
      <c r="I5216" s="15">
        <v>0</v>
      </c>
      <c r="J5216" s="15">
        <v>2</v>
      </c>
      <c r="K5216" s="12" t="str">
        <f>HYPERLINK("http://twitter.com/download/android","Twitter for Android")</f>
        <v>Twitter for Android</v>
      </c>
      <c r="L5216" s="16">
        <v>1450</v>
      </c>
      <c r="M5216" s="16">
        <v>3017</v>
      </c>
      <c r="N5216" s="16">
        <v>3</v>
      </c>
      <c r="O5216" s="17"/>
      <c r="P5216" s="18">
        <v>40483.438564814816</v>
      </c>
      <c r="Q5216" s="7" t="s">
        <v>24840</v>
      </c>
      <c r="R5216" s="7"/>
      <c r="S5216" s="8"/>
      <c r="T5216" s="8"/>
      <c r="U5216" s="19" t="str">
        <f>HYPERLINK("https://pbs.twimg.com/profile_images/1148183624509997056/BEsLnxiL.jpg","View")</f>
        <v>View</v>
      </c>
      <c r="V5216" s="8"/>
      <c r="W5216" s="8"/>
      <c r="X5216" s="8"/>
      <c r="Y5216" s="8"/>
      <c r="Z5216" s="8"/>
    </row>
    <row r="5217" spans="1:26" ht="12.75">
      <c r="A5217" s="11">
        <v>43747.092685185184</v>
      </c>
      <c r="B5217" s="12" t="str">
        <f>HYPERLINK("https://twitter.com/CengizB82429691","@CengizB82429691")</f>
        <v>@CengizB82429691</v>
      </c>
      <c r="C5217" s="7" t="s">
        <v>24841</v>
      </c>
      <c r="D5217" s="7" t="s">
        <v>24842</v>
      </c>
      <c r="E5217" s="12" t="str">
        <f>HYPERLINK("https://twitter.com/CengizB82429691/status/1181860219162447872","1181860219162447872")</f>
        <v>1181860219162447872</v>
      </c>
      <c r="F5217" s="8"/>
      <c r="G5217" s="14" t="s">
        <v>24843</v>
      </c>
      <c r="H5217" s="8"/>
      <c r="I5217" s="15">
        <v>0</v>
      </c>
      <c r="J5217" s="15">
        <v>1</v>
      </c>
      <c r="K5217" s="12" t="str">
        <f>HYPERLINK("http://twitter.com/download/android","Twitter for Android")</f>
        <v>Twitter for Android</v>
      </c>
      <c r="L5217" s="16">
        <v>265</v>
      </c>
      <c r="M5217" s="16">
        <v>515</v>
      </c>
      <c r="N5217" s="16">
        <v>1</v>
      </c>
      <c r="O5217" s="17"/>
      <c r="P5217" s="18">
        <v>43717.994351851856</v>
      </c>
      <c r="Q5217" s="8"/>
      <c r="R5217" s="7" t="s">
        <v>24844</v>
      </c>
      <c r="S5217" s="8"/>
      <c r="T5217" s="8"/>
      <c r="U5217" s="19" t="str">
        <f>HYPERLINK("https://pbs.twimg.com/profile_images/1174064315424550912/Q-GyyNwe.jpg","View")</f>
        <v>View</v>
      </c>
      <c r="V5217" s="8"/>
      <c r="W5217" s="8"/>
      <c r="X5217" s="8"/>
      <c r="Y5217" s="8"/>
      <c r="Z5217" s="8"/>
    </row>
    <row r="5218" spans="1:26" ht="12.75">
      <c r="A5218" s="11">
        <v>43747.092650462961</v>
      </c>
      <c r="B5218" s="12" t="str">
        <f>HYPERLINK("https://twitter.com/Mesahorlu1","@Mesahorlu1")</f>
        <v>@Mesahorlu1</v>
      </c>
      <c r="C5218" s="7" t="s">
        <v>24845</v>
      </c>
      <c r="D5218" s="7" t="s">
        <v>24846</v>
      </c>
      <c r="E5218" s="12" t="str">
        <f>HYPERLINK("https://twitter.com/Mesahorlu1/status/1181860205765767168","1181860205765767168")</f>
        <v>1181860205765767168</v>
      </c>
      <c r="F5218" s="8"/>
      <c r="G5218" s="14" t="s">
        <v>24847</v>
      </c>
      <c r="H5218" s="8"/>
      <c r="I5218" s="15">
        <v>0</v>
      </c>
      <c r="J5218" s="15">
        <v>0</v>
      </c>
      <c r="K5218" s="12" t="str">
        <f>HYPERLINK("http://twitter.com/download/android","Twitter for Android")</f>
        <v>Twitter for Android</v>
      </c>
      <c r="L5218" s="16">
        <v>9</v>
      </c>
      <c r="M5218" s="16">
        <v>52</v>
      </c>
      <c r="N5218" s="16">
        <v>0</v>
      </c>
      <c r="O5218" s="17"/>
      <c r="P5218" s="18">
        <v>43699.430439814816</v>
      </c>
      <c r="Q5218" s="7"/>
      <c r="R5218" s="7"/>
      <c r="S5218" s="8"/>
      <c r="T5218" s="8"/>
      <c r="U5218" s="19" t="str">
        <f>HYPERLINK("https://pbs.twimg.com/profile_images/1164589095701626882/JumymQx8.jpg","View")</f>
        <v>View</v>
      </c>
      <c r="V5218" s="8"/>
      <c r="W5218" s="8"/>
      <c r="X5218" s="8"/>
      <c r="Y5218" s="8"/>
      <c r="Z5218" s="8"/>
    </row>
    <row r="5219" spans="1:26" ht="12.75">
      <c r="A5219" s="11">
        <v>43747.092627314814</v>
      </c>
      <c r="B5219" s="12" t="str">
        <f>HYPERLINK("https://twitter.com/tepeozlem60","@tepeozlem60")</f>
        <v>@tepeozlem60</v>
      </c>
      <c r="C5219" s="7" t="s">
        <v>24848</v>
      </c>
      <c r="D5219" s="7" t="s">
        <v>24849</v>
      </c>
      <c r="E5219" s="12" t="str">
        <f>HYPERLINK("https://twitter.com/tepeozlem60/status/1181860197855301632","1181860197855301632")</f>
        <v>1181860197855301632</v>
      </c>
      <c r="F5219" s="8"/>
      <c r="G5219" s="14" t="s">
        <v>24850</v>
      </c>
      <c r="H5219" s="8"/>
      <c r="I5219" s="15">
        <v>0</v>
      </c>
      <c r="J5219" s="15">
        <v>0</v>
      </c>
      <c r="K5219" s="12" t="str">
        <f>HYPERLINK("http://twitter.com/download/android","Twitter for Android")</f>
        <v>Twitter for Android</v>
      </c>
      <c r="L5219" s="16">
        <v>19</v>
      </c>
      <c r="M5219" s="16">
        <v>55</v>
      </c>
      <c r="N5219" s="16">
        <v>0</v>
      </c>
      <c r="O5219" s="17"/>
      <c r="P5219" s="18">
        <v>42415.098587962959</v>
      </c>
      <c r="Q5219" s="7"/>
      <c r="R5219" s="7"/>
      <c r="S5219" s="8"/>
      <c r="T5219" s="8"/>
      <c r="U5219" s="19" t="str">
        <f>HYPERLINK("https://pbs.twimg.com/profile_images/999207635076333569/_wRRtl1K.jpg","View")</f>
        <v>View</v>
      </c>
      <c r="V5219" s="8"/>
      <c r="W5219" s="8"/>
      <c r="X5219" s="8"/>
      <c r="Y5219" s="8"/>
      <c r="Z5219" s="8"/>
    </row>
    <row r="5220" spans="1:26" ht="12.75">
      <c r="A5220" s="11">
        <v>43747.092604166668</v>
      </c>
      <c r="B5220" s="12" t="str">
        <f>HYPERLINK("https://twitter.com/KrauseForIowa","@KrauseForIowa")</f>
        <v>@KrauseForIowa</v>
      </c>
      <c r="C5220" s="7" t="s">
        <v>24851</v>
      </c>
      <c r="D5220" s="7" t="s">
        <v>24852</v>
      </c>
      <c r="E5220" s="12" t="str">
        <f>HYPERLINK("https://twitter.com/KrauseForIowa/status/1181860186832719873","1181860186832719873")</f>
        <v>1181860186832719873</v>
      </c>
      <c r="F5220" s="8" t="s">
        <v>24853</v>
      </c>
      <c r="G5220" s="8"/>
      <c r="H5220" s="8"/>
      <c r="I5220" s="15">
        <v>4</v>
      </c>
      <c r="J5220" s="15">
        <v>3</v>
      </c>
      <c r="K5220" s="12" t="str">
        <f>HYPERLINK("https://mobile.twitter.com","Twitter Web App")</f>
        <v>Twitter Web App</v>
      </c>
      <c r="L5220" s="16">
        <v>37690</v>
      </c>
      <c r="M5220" s="16">
        <v>38336</v>
      </c>
      <c r="N5220" s="16">
        <v>481</v>
      </c>
      <c r="O5220" s="17"/>
      <c r="P5220" s="18">
        <v>39971.550335648149</v>
      </c>
      <c r="Q5220" s="7" t="s">
        <v>24854</v>
      </c>
      <c r="R5220" s="7" t="s">
        <v>24855</v>
      </c>
      <c r="S5220" s="14" t="s">
        <v>24856</v>
      </c>
      <c r="T5220" s="8"/>
      <c r="U5220" s="19" t="str">
        <f>HYPERLINK("https://pbs.twimg.com/profile_images/957479863266390018/-UBNrWyF.jpg","View")</f>
        <v>View</v>
      </c>
      <c r="V5220" s="8"/>
      <c r="W5220" s="8"/>
      <c r="X5220" s="8"/>
      <c r="Y5220" s="8"/>
      <c r="Z5220" s="8"/>
    </row>
    <row r="5221" spans="1:26" ht="12.75">
      <c r="A5221" s="11">
        <v>43747.092569444445</v>
      </c>
      <c r="B5221" s="12" t="str">
        <f>HYPERLINK("https://twitter.com/aksacli57","@aksacli57")</f>
        <v>@aksacli57</v>
      </c>
      <c r="C5221" s="7" t="s">
        <v>24857</v>
      </c>
      <c r="D5221" s="7" t="s">
        <v>24858</v>
      </c>
      <c r="E5221" s="12" t="str">
        <f>HYPERLINK("https://twitter.com/aksacli57/status/1181860175034114049","1181860175034114049")</f>
        <v>1181860175034114049</v>
      </c>
      <c r="F5221" s="8"/>
      <c r="G5221" s="8"/>
      <c r="H5221" s="8"/>
      <c r="I5221" s="15">
        <v>0</v>
      </c>
      <c r="J5221" s="15">
        <v>0</v>
      </c>
      <c r="K5221" s="12" t="str">
        <f>HYPERLINK("http://twitter.com/download/iphone","Twitter for iPhone")</f>
        <v>Twitter for iPhone</v>
      </c>
      <c r="L5221" s="16">
        <v>9</v>
      </c>
      <c r="M5221" s="16">
        <v>56</v>
      </c>
      <c r="N5221" s="16">
        <v>0</v>
      </c>
      <c r="O5221" s="17"/>
      <c r="P5221" s="18">
        <v>43656.461643518516</v>
      </c>
      <c r="Q5221" s="7"/>
      <c r="R5221" s="7" t="s">
        <v>24859</v>
      </c>
      <c r="S5221" s="8"/>
      <c r="T5221" s="8"/>
      <c r="U5221" s="19" t="str">
        <f>HYPERLINK("https://pbs.twimg.com/profile_images/1149016801596104705/RiwaoFfQ.jpg","View")</f>
        <v>View</v>
      </c>
      <c r="V5221" s="8"/>
      <c r="W5221" s="8"/>
      <c r="X5221" s="8"/>
      <c r="Y5221" s="8"/>
      <c r="Z5221" s="8"/>
    </row>
    <row r="5222" spans="1:26" ht="12.75">
      <c r="A5222" s="11">
        <v>43747.092546296291</v>
      </c>
      <c r="B5222" s="12" t="str">
        <f>HYPERLINK("https://twitter.com/erayseker","@erayseker")</f>
        <v>@erayseker</v>
      </c>
      <c r="C5222" s="7" t="s">
        <v>24860</v>
      </c>
      <c r="D5222" s="7" t="s">
        <v>24861</v>
      </c>
      <c r="E5222" s="12" t="str">
        <f>HYPERLINK("https://twitter.com/erayseker/status/1181860167610228736","1181860167610228736")</f>
        <v>1181860167610228736</v>
      </c>
      <c r="F5222" s="8"/>
      <c r="G5222" s="15"/>
      <c r="H5222" s="8"/>
      <c r="I5222" s="15">
        <v>0</v>
      </c>
      <c r="J5222" s="15">
        <v>0</v>
      </c>
      <c r="K5222" s="12" t="str">
        <f>HYPERLINK("http://twitter.com/download/android","Twitter for Android")</f>
        <v>Twitter for Android</v>
      </c>
      <c r="L5222" s="16">
        <v>604</v>
      </c>
      <c r="M5222" s="16">
        <v>284</v>
      </c>
      <c r="N5222" s="16">
        <v>0</v>
      </c>
      <c r="O5222" s="17"/>
      <c r="P5222" s="18">
        <v>40527.306666666671</v>
      </c>
      <c r="Q5222" s="7" t="s">
        <v>860</v>
      </c>
      <c r="R5222" s="7" t="s">
        <v>24862</v>
      </c>
      <c r="S5222" s="15"/>
      <c r="T5222" s="8"/>
      <c r="U5222" s="19" t="str">
        <f>HYPERLINK("https://pbs.twimg.com/profile_images/864095163240644609/s7fow95H.jpg","View")</f>
        <v>View</v>
      </c>
      <c r="V5222" s="8"/>
      <c r="W5222" s="8"/>
      <c r="X5222" s="8"/>
      <c r="Y5222" s="8"/>
      <c r="Z5222" s="8"/>
    </row>
    <row r="5223" spans="1:26" ht="12.75">
      <c r="A5223" s="11">
        <v>43747.092523148152</v>
      </c>
      <c r="B5223" s="12" t="str">
        <f>HYPERLINK("https://twitter.com/mukaddes_dava","@mukaddes_dava")</f>
        <v>@mukaddes_dava</v>
      </c>
      <c r="C5223" s="7" t="s">
        <v>24863</v>
      </c>
      <c r="D5223" s="7" t="s">
        <v>24864</v>
      </c>
      <c r="E5223" s="12" t="str">
        <f>HYPERLINK("https://twitter.com/mukaddes_dava/status/1181860159829762048","1181860159829762048")</f>
        <v>1181860159829762048</v>
      </c>
      <c r="F5223" s="8"/>
      <c r="G5223" s="14" t="s">
        <v>24865</v>
      </c>
      <c r="H5223" s="8"/>
      <c r="I5223" s="15">
        <v>0</v>
      </c>
      <c r="J5223" s="15">
        <v>0</v>
      </c>
      <c r="K5223" s="12" t="str">
        <f>HYPERLINK("http://twitter.com/download/android","Twitter for Android")</f>
        <v>Twitter for Android</v>
      </c>
      <c r="L5223" s="16">
        <v>379</v>
      </c>
      <c r="M5223" s="16">
        <v>689</v>
      </c>
      <c r="N5223" s="16">
        <v>0</v>
      </c>
      <c r="O5223" s="17"/>
      <c r="P5223" s="18">
        <v>41183.424050925925</v>
      </c>
      <c r="Q5223" s="8" t="s">
        <v>24866</v>
      </c>
      <c r="R5223" s="7" t="s">
        <v>24867</v>
      </c>
      <c r="S5223" s="8"/>
      <c r="T5223" s="8"/>
      <c r="U5223" s="19" t="str">
        <f>HYPERLINK("https://pbs.twimg.com/profile_images/1181283321839591425/eUaiprLk.jpg","View")</f>
        <v>View</v>
      </c>
      <c r="V5223" s="8"/>
      <c r="W5223" s="8"/>
      <c r="X5223" s="8"/>
      <c r="Y5223" s="8"/>
      <c r="Z5223" s="8"/>
    </row>
    <row r="5224" spans="1:26" ht="12.75">
      <c r="A5224" s="11">
        <v>43747.092499999999</v>
      </c>
      <c r="B5224" s="12" t="str">
        <f>HYPERLINK("https://twitter.com/as_Nezaket","@as_Nezaket")</f>
        <v>@as_Nezaket</v>
      </c>
      <c r="C5224" s="7" t="s">
        <v>24868</v>
      </c>
      <c r="D5224" s="7" t="s">
        <v>24869</v>
      </c>
      <c r="E5224" s="12" t="str">
        <f>HYPERLINK("https://twitter.com/as_Nezaket/status/1181860150921121792","1181860150921121792")</f>
        <v>1181860150921121792</v>
      </c>
      <c r="F5224" s="8"/>
      <c r="G5224" s="14" t="s">
        <v>24870</v>
      </c>
      <c r="H5224" s="8"/>
      <c r="I5224" s="15">
        <v>0</v>
      </c>
      <c r="J5224" s="15">
        <v>1</v>
      </c>
      <c r="K5224" s="12" t="str">
        <f>HYPERLINK("http://twitter.com/download/android","Twitter for Android")</f>
        <v>Twitter for Android</v>
      </c>
      <c r="L5224" s="16">
        <v>116</v>
      </c>
      <c r="M5224" s="16">
        <v>147</v>
      </c>
      <c r="N5224" s="16">
        <v>0</v>
      </c>
      <c r="O5224" s="17"/>
      <c r="P5224" s="18">
        <v>42794.477893518517</v>
      </c>
      <c r="Q5224" s="7" t="s">
        <v>9932</v>
      </c>
      <c r="R5224" s="7" t="s">
        <v>24871</v>
      </c>
      <c r="S5224" s="15"/>
      <c r="T5224" s="8"/>
      <c r="U5224" s="19" t="str">
        <f>HYPERLINK("https://pbs.twimg.com/profile_images/1181646164304769024/JRqzjF5X.jpg","View")</f>
        <v>View</v>
      </c>
      <c r="V5224" s="8"/>
      <c r="W5224" s="8"/>
      <c r="X5224" s="8"/>
      <c r="Y5224" s="8"/>
      <c r="Z5224" s="8"/>
    </row>
    <row r="5225" spans="1:26" ht="12.75">
      <c r="A5225" s="11">
        <v>43747.092442129629</v>
      </c>
      <c r="B5225" s="12" t="str">
        <f>HYPERLINK("https://twitter.com/emregen","@emregen")</f>
        <v>@emregen</v>
      </c>
      <c r="C5225" s="7" t="s">
        <v>24872</v>
      </c>
      <c r="D5225" s="7" t="s">
        <v>24873</v>
      </c>
      <c r="E5225" s="12" t="str">
        <f>HYPERLINK("https://twitter.com/emregen/status/1181860129408520192","1181860129408520192")</f>
        <v>1181860129408520192</v>
      </c>
      <c r="F5225" s="8"/>
      <c r="G5225" s="15"/>
      <c r="H5225" s="8"/>
      <c r="I5225" s="15">
        <v>0</v>
      </c>
      <c r="J5225" s="15">
        <v>0</v>
      </c>
      <c r="K5225" s="12" t="str">
        <f>HYPERLINK("http://twitter.com/download/android","Twitter for Android")</f>
        <v>Twitter for Android</v>
      </c>
      <c r="L5225" s="16">
        <v>21</v>
      </c>
      <c r="M5225" s="16">
        <v>22</v>
      </c>
      <c r="N5225" s="16">
        <v>0</v>
      </c>
      <c r="O5225" s="17"/>
      <c r="P5225" s="18">
        <v>43640.995833333334</v>
      </c>
      <c r="Q5225" s="7"/>
      <c r="R5225" s="8" t="s">
        <v>24874</v>
      </c>
      <c r="S5225" s="8"/>
      <c r="T5225" s="8"/>
      <c r="U5225" s="19" t="str">
        <f>HYPERLINK("https://pbs.twimg.com/profile_images/1154109782506332160/rtPaqPcX.jpg","View")</f>
        <v>View</v>
      </c>
      <c r="V5225" s="8"/>
      <c r="W5225" s="8"/>
      <c r="X5225" s="8"/>
      <c r="Y5225" s="8"/>
      <c r="Z5225" s="8"/>
    </row>
    <row r="5226" spans="1:26" ht="12.75">
      <c r="A5226" s="11">
        <v>43747.092442129629</v>
      </c>
      <c r="B5226" s="12" t="str">
        <f>HYPERLINK("https://twitter.com/iam_burak","@iam_burak")</f>
        <v>@iam_burak</v>
      </c>
      <c r="C5226" s="7" t="s">
        <v>24875</v>
      </c>
      <c r="D5226" s="7" t="s">
        <v>24876</v>
      </c>
      <c r="E5226" s="12" t="str">
        <f>HYPERLINK("https://twitter.com/iam_burak/status/1181860128645156865","1181860128645156865")</f>
        <v>1181860128645156865</v>
      </c>
      <c r="F5226" s="8"/>
      <c r="G5226" s="14" t="s">
        <v>24877</v>
      </c>
      <c r="H5226" s="8"/>
      <c r="I5226" s="15">
        <v>0</v>
      </c>
      <c r="J5226" s="15">
        <v>0</v>
      </c>
      <c r="K5226" s="12" t="str">
        <f>HYPERLINK("http://twitter.com/download/android","Twitter for Android")</f>
        <v>Twitter for Android</v>
      </c>
      <c r="L5226" s="16">
        <v>14</v>
      </c>
      <c r="M5226" s="16">
        <v>89</v>
      </c>
      <c r="N5226" s="16">
        <v>0</v>
      </c>
      <c r="O5226" s="17"/>
      <c r="P5226" s="18">
        <v>42102.265150462961</v>
      </c>
      <c r="Q5226" s="8"/>
      <c r="R5226" s="8"/>
      <c r="S5226" s="8"/>
      <c r="T5226" s="8"/>
      <c r="U5226" s="20" t="s">
        <v>354</v>
      </c>
      <c r="V5226" s="8"/>
      <c r="W5226" s="8"/>
      <c r="X5226" s="8"/>
      <c r="Y5226" s="8"/>
      <c r="Z5226" s="8"/>
    </row>
    <row r="5227" spans="1:26" ht="12.75">
      <c r="A5227" s="11">
        <v>43747.092442129629</v>
      </c>
      <c r="B5227" s="12" t="str">
        <f>HYPERLINK("https://twitter.com/hanise16","@hanise16")</f>
        <v>@hanise16</v>
      </c>
      <c r="C5227" s="7" t="s">
        <v>24878</v>
      </c>
      <c r="D5227" s="7" t="s">
        <v>24879</v>
      </c>
      <c r="E5227" s="12" t="str">
        <f>HYPERLINK("https://twitter.com/hanise16/status/1181860128452202497","1181860128452202497")</f>
        <v>1181860128452202497</v>
      </c>
      <c r="F5227" s="8"/>
      <c r="G5227" s="14" t="s">
        <v>24880</v>
      </c>
      <c r="H5227" s="8"/>
      <c r="I5227" s="15">
        <v>0</v>
      </c>
      <c r="J5227" s="15">
        <v>1</v>
      </c>
      <c r="K5227" s="12" t="str">
        <f>HYPERLINK("http://twitter.com/download/android","Twitter for Android")</f>
        <v>Twitter for Android</v>
      </c>
      <c r="L5227" s="16">
        <v>43</v>
      </c>
      <c r="M5227" s="16">
        <v>315</v>
      </c>
      <c r="N5227" s="16">
        <v>0</v>
      </c>
      <c r="O5227" s="17"/>
      <c r="P5227" s="18">
        <v>42115.458831018521</v>
      </c>
      <c r="Q5227" s="7" t="s">
        <v>69</v>
      </c>
      <c r="R5227" s="8" t="s">
        <v>24881</v>
      </c>
      <c r="S5227" s="14" t="s">
        <v>24882</v>
      </c>
      <c r="T5227" s="8"/>
      <c r="U5227" s="19" t="str">
        <f>HYPERLINK("https://pbs.twimg.com/profile_images/1126392513491763201/yvR7xQ2r.jpg","View")</f>
        <v>View</v>
      </c>
      <c r="V5227" s="8"/>
      <c r="W5227" s="8"/>
      <c r="X5227" s="8"/>
      <c r="Y5227" s="8"/>
      <c r="Z5227" s="8"/>
    </row>
    <row r="5228" spans="1:26" ht="12.75">
      <c r="A5228" s="11">
        <v>43747.092442129629</v>
      </c>
      <c r="B5228" s="12" t="str">
        <f>HYPERLINK("https://twitter.com/mhdysr","@mhdysr")</f>
        <v>@mhdysr</v>
      </c>
      <c r="C5228" s="7" t="s">
        <v>24883</v>
      </c>
      <c r="D5228" s="7" t="s">
        <v>24884</v>
      </c>
      <c r="E5228" s="12" t="str">
        <f>HYPERLINK("https://twitter.com/mhdysr/status/1181860128049582080","1181860128049582080")</f>
        <v>1181860128049582080</v>
      </c>
      <c r="F5228" s="8"/>
      <c r="G5228" s="14" t="s">
        <v>24885</v>
      </c>
      <c r="H5228" s="8"/>
      <c r="I5228" s="15">
        <v>0</v>
      </c>
      <c r="J5228" s="15">
        <v>0</v>
      </c>
      <c r="K5228" s="12" t="str">
        <f>HYPERLINK("http://twitter.com/download/iphone","Twitter for iPhone")</f>
        <v>Twitter for iPhone</v>
      </c>
      <c r="L5228" s="16">
        <v>759</v>
      </c>
      <c r="M5228" s="16">
        <v>95</v>
      </c>
      <c r="N5228" s="16">
        <v>2</v>
      </c>
      <c r="O5228" s="17"/>
      <c r="P5228" s="18">
        <v>41209.271481481483</v>
      </c>
      <c r="Q5228" s="7"/>
      <c r="R5228" s="7" t="s">
        <v>24886</v>
      </c>
      <c r="S5228" s="8"/>
      <c r="T5228" s="8"/>
      <c r="U5228" s="19" t="str">
        <f>HYPERLINK("https://pbs.twimg.com/profile_images/1148201875768061952/M96PRB-L.jpg","View")</f>
        <v>View</v>
      </c>
      <c r="V5228" s="8"/>
      <c r="W5228" s="8"/>
      <c r="X5228" s="8"/>
      <c r="Y5228" s="8"/>
      <c r="Z5228" s="8"/>
    </row>
    <row r="5229" spans="1:26" ht="12.75">
      <c r="A5229" s="11">
        <v>43747.092418981483</v>
      </c>
      <c r="B5229" s="12" t="str">
        <f>HYPERLINK("https://twitter.com/demirli5361","@demirli5361")</f>
        <v>@demirli5361</v>
      </c>
      <c r="C5229" s="7" t="s">
        <v>24887</v>
      </c>
      <c r="D5229" s="7" t="s">
        <v>24888</v>
      </c>
      <c r="E5229" s="12" t="str">
        <f>HYPERLINK("https://twitter.com/demirli5361/status/1181860119405051904","1181860119405051904")</f>
        <v>1181860119405051904</v>
      </c>
      <c r="F5229" s="8"/>
      <c r="G5229" s="8"/>
      <c r="H5229" s="8"/>
      <c r="I5229" s="15">
        <v>0</v>
      </c>
      <c r="J5229" s="15">
        <v>0</v>
      </c>
      <c r="K5229" s="12" t="str">
        <f>HYPERLINK("http://twitter.com/download/iphone","Twitter for iPhone")</f>
        <v>Twitter for iPhone</v>
      </c>
      <c r="L5229" s="16">
        <v>9</v>
      </c>
      <c r="M5229" s="16">
        <v>38</v>
      </c>
      <c r="N5229" s="16">
        <v>0</v>
      </c>
      <c r="O5229" s="17"/>
      <c r="P5229" s="18">
        <v>42246.663877314815</v>
      </c>
      <c r="Q5229" s="8"/>
      <c r="R5229" s="7"/>
      <c r="S5229" s="8"/>
      <c r="T5229" s="8"/>
      <c r="U5229" s="19" t="str">
        <f>HYPERLINK("https://pbs.twimg.com/profile_images/1124222630872195072/7wyawaHI.jpg","View")</f>
        <v>View</v>
      </c>
      <c r="V5229" s="8"/>
      <c r="W5229" s="8"/>
      <c r="X5229" s="8"/>
      <c r="Y5229" s="8"/>
      <c r="Z5229" s="8"/>
    </row>
    <row r="5230" spans="1:26" ht="12.75">
      <c r="A5230" s="11">
        <v>43747.092372685191</v>
      </c>
      <c r="B5230" s="12" t="str">
        <f>HYPERLINK("https://twitter.com/Yusuf36484750","@Yusuf36484750")</f>
        <v>@Yusuf36484750</v>
      </c>
      <c r="C5230" s="7" t="s">
        <v>1607</v>
      </c>
      <c r="D5230" s="7" t="s">
        <v>24889</v>
      </c>
      <c r="E5230" s="12" t="str">
        <f>HYPERLINK("https://twitter.com/Yusuf36484750/status/1181860105312186368","1181860105312186368")</f>
        <v>1181860105312186368</v>
      </c>
      <c r="F5230" s="8"/>
      <c r="G5230" s="14" t="s">
        <v>24890</v>
      </c>
      <c r="H5230" s="8"/>
      <c r="I5230" s="15">
        <v>0</v>
      </c>
      <c r="J5230" s="15">
        <v>0</v>
      </c>
      <c r="K5230" s="12" t="str">
        <f>HYPERLINK("http://twitter.com/download/android","Twitter for Android")</f>
        <v>Twitter for Android</v>
      </c>
      <c r="L5230" s="16">
        <v>196</v>
      </c>
      <c r="M5230" s="16">
        <v>218</v>
      </c>
      <c r="N5230" s="16">
        <v>0</v>
      </c>
      <c r="O5230" s="17"/>
      <c r="P5230" s="18">
        <v>43457.927141203705</v>
      </c>
      <c r="Q5230" s="8"/>
      <c r="R5230" s="8"/>
      <c r="S5230" s="8"/>
      <c r="T5230" s="8"/>
      <c r="U5230" s="19" t="str">
        <f>HYPERLINK("https://pbs.twimg.com/profile_images/1077085554913746944/UHXG5ost.jpg","View")</f>
        <v>View</v>
      </c>
      <c r="V5230" s="8"/>
      <c r="W5230" s="8"/>
      <c r="X5230" s="8"/>
      <c r="Y5230" s="8"/>
      <c r="Z5230" s="8"/>
    </row>
    <row r="5231" spans="1:26" ht="12.75">
      <c r="A5231" s="11">
        <v>43747.092372685191</v>
      </c>
      <c r="B5231" s="12" t="str">
        <f>HYPERLINK("https://twitter.com/ertugrulakgn1","@ertugrulakgn1")</f>
        <v>@ertugrulakgn1</v>
      </c>
      <c r="C5231" s="7" t="s">
        <v>24891</v>
      </c>
      <c r="D5231" s="7" t="s">
        <v>160</v>
      </c>
      <c r="E5231" s="12" t="str">
        <f>HYPERLINK("https://twitter.com/ertugrulakgn1/status/1181860104720846849","1181860104720846849")</f>
        <v>1181860104720846849</v>
      </c>
      <c r="F5231" s="8"/>
      <c r="G5231" s="14" t="s">
        <v>24892</v>
      </c>
      <c r="H5231" s="8"/>
      <c r="I5231" s="15">
        <v>2</v>
      </c>
      <c r="J5231" s="15">
        <v>2</v>
      </c>
      <c r="K5231" s="12" t="str">
        <f>HYPERLINK("http://twitter.com/download/android","Twitter for Android")</f>
        <v>Twitter for Android</v>
      </c>
      <c r="L5231" s="16">
        <v>40</v>
      </c>
      <c r="M5231" s="16">
        <v>91</v>
      </c>
      <c r="N5231" s="16">
        <v>0</v>
      </c>
      <c r="O5231" s="17"/>
      <c r="P5231" s="18">
        <v>41210.599270833336</v>
      </c>
      <c r="Q5231" s="7" t="s">
        <v>24893</v>
      </c>
      <c r="R5231" s="7" t="s">
        <v>24894</v>
      </c>
      <c r="S5231" s="8"/>
      <c r="T5231" s="8"/>
      <c r="U5231" s="19" t="str">
        <f>HYPERLINK("https://pbs.twimg.com/profile_images/1058425381064187904/UsAFKoL3.jpg","View")</f>
        <v>View</v>
      </c>
      <c r="V5231" s="8"/>
      <c r="W5231" s="8"/>
      <c r="X5231" s="8"/>
      <c r="Y5231" s="8"/>
      <c r="Z5231" s="8"/>
    </row>
    <row r="5232" spans="1:26" ht="12.75">
      <c r="A5232" s="11">
        <v>43747.092349537037</v>
      </c>
      <c r="B5232" s="12" t="str">
        <f>HYPERLINK("https://twitter.com/kozlumert","@kozlumert")</f>
        <v>@kozlumert</v>
      </c>
      <c r="C5232" s="7" t="s">
        <v>24895</v>
      </c>
      <c r="D5232" s="7" t="s">
        <v>24896</v>
      </c>
      <c r="E5232" s="12" t="str">
        <f>HYPERLINK("https://twitter.com/kozlumert/status/1181860095992483841","1181860095992483841")</f>
        <v>1181860095992483841</v>
      </c>
      <c r="F5232" s="8"/>
      <c r="G5232" s="8"/>
      <c r="H5232" s="8"/>
      <c r="I5232" s="15">
        <v>0</v>
      </c>
      <c r="J5232" s="15">
        <v>0</v>
      </c>
      <c r="K5232" s="12" t="str">
        <f>HYPERLINK("http://twitter.com/download/android","Twitter for Android")</f>
        <v>Twitter for Android</v>
      </c>
      <c r="L5232" s="16">
        <v>63</v>
      </c>
      <c r="M5232" s="16">
        <v>304</v>
      </c>
      <c r="N5232" s="16">
        <v>0</v>
      </c>
      <c r="O5232" s="17"/>
      <c r="P5232" s="18">
        <v>43222.389027777783</v>
      </c>
      <c r="Q5232" s="7"/>
      <c r="R5232" s="7" t="s">
        <v>24897</v>
      </c>
      <c r="S5232" s="8"/>
      <c r="T5232" s="8"/>
      <c r="U5232" s="19" t="str">
        <f>HYPERLINK("https://pbs.twimg.com/profile_images/1148950878000431105/4isa54I2.jpg","View")</f>
        <v>View</v>
      </c>
      <c r="V5232" s="8"/>
      <c r="W5232" s="8"/>
      <c r="X5232" s="8"/>
      <c r="Y5232" s="8"/>
      <c r="Z5232" s="8"/>
    </row>
    <row r="5233" spans="1:26" ht="12.75">
      <c r="A5233" s="11">
        <v>43747.092337962968</v>
      </c>
      <c r="B5233" s="12" t="str">
        <f>HYPERLINK("https://twitter.com/YavuzEkiz5","@YavuzEkiz5")</f>
        <v>@YavuzEkiz5</v>
      </c>
      <c r="C5233" s="7" t="s">
        <v>24898</v>
      </c>
      <c r="D5233" s="7" t="s">
        <v>24899</v>
      </c>
      <c r="E5233" s="12" t="str">
        <f>HYPERLINK("https://twitter.com/YavuzEkiz5/status/1181860093580722176","1181860093580722176")</f>
        <v>1181860093580722176</v>
      </c>
      <c r="F5233" s="8"/>
      <c r="G5233" s="15"/>
      <c r="H5233" s="8"/>
      <c r="I5233" s="15">
        <v>0</v>
      </c>
      <c r="J5233" s="15">
        <v>0</v>
      </c>
      <c r="K5233" s="12" t="str">
        <f>HYPERLINK("http://twitter.com/download/iphone","Twitter for iPhone")</f>
        <v>Twitter for iPhone</v>
      </c>
      <c r="L5233" s="16">
        <v>9</v>
      </c>
      <c r="M5233" s="16">
        <v>18</v>
      </c>
      <c r="N5233" s="16">
        <v>0</v>
      </c>
      <c r="O5233" s="17"/>
      <c r="P5233" s="18">
        <v>43735.020254629635</v>
      </c>
      <c r="Q5233" s="7" t="s">
        <v>252</v>
      </c>
      <c r="R5233" s="7" t="s">
        <v>24900</v>
      </c>
      <c r="S5233" s="8"/>
      <c r="T5233" s="8"/>
      <c r="U5233" s="19" t="str">
        <f>HYPERLINK("https://pbs.twimg.com/profile_images/1177488017637773313/NRnAXQhR.jpg","View")</f>
        <v>View</v>
      </c>
      <c r="V5233" s="8"/>
      <c r="W5233" s="8"/>
      <c r="X5233" s="8"/>
      <c r="Y5233" s="8"/>
      <c r="Z5233" s="8"/>
    </row>
    <row r="5234" spans="1:26" ht="12.75">
      <c r="A5234" s="11">
        <v>43747.092291666668</v>
      </c>
      <c r="B5234" s="12" t="str">
        <f>HYPERLINK("https://twitter.com/Cigdem6858","@Cigdem6858")</f>
        <v>@Cigdem6858</v>
      </c>
      <c r="C5234" s="7" t="s">
        <v>24901</v>
      </c>
      <c r="D5234" s="7" t="s">
        <v>24902</v>
      </c>
      <c r="E5234" s="12" t="str">
        <f>HYPERLINK("https://twitter.com/Cigdem6858/status/1181860074945425409","1181860074945425409")</f>
        <v>1181860074945425409</v>
      </c>
      <c r="F5234" s="8"/>
      <c r="G5234" s="14" t="s">
        <v>24903</v>
      </c>
      <c r="H5234" s="8"/>
      <c r="I5234" s="15">
        <v>0</v>
      </c>
      <c r="J5234" s="15">
        <v>5</v>
      </c>
      <c r="K5234" s="12" t="str">
        <f>HYPERLINK("http://twitter.com/download/android","Twitter for Android")</f>
        <v>Twitter for Android</v>
      </c>
      <c r="L5234" s="16">
        <v>757</v>
      </c>
      <c r="M5234" s="16">
        <v>485</v>
      </c>
      <c r="N5234" s="16">
        <v>2</v>
      </c>
      <c r="O5234" s="17"/>
      <c r="P5234" s="18">
        <v>43037.185277777782</v>
      </c>
      <c r="Q5234" s="7" t="s">
        <v>24904</v>
      </c>
      <c r="R5234" s="13" t="s">
        <v>24905</v>
      </c>
      <c r="S5234" s="14" t="s">
        <v>24906</v>
      </c>
      <c r="T5234" s="8"/>
      <c r="U5234" s="19" t="str">
        <f>HYPERLINK("https://pbs.twimg.com/profile_images/1179693841525411840/okZw8sZo.jpg","View")</f>
        <v>View</v>
      </c>
      <c r="V5234" s="8"/>
      <c r="W5234" s="8"/>
      <c r="X5234" s="8"/>
      <c r="Y5234" s="8"/>
      <c r="Z5234" s="8"/>
    </row>
    <row r="5235" spans="1:26" ht="12.75">
      <c r="A5235" s="11">
        <v>43747.092280092591</v>
      </c>
      <c r="B5235" s="12" t="str">
        <f>HYPERLINK("https://twitter.com/GaripKomedya","@GaripKomedya")</f>
        <v>@GaripKomedya</v>
      </c>
      <c r="C5235" s="7" t="s">
        <v>24907</v>
      </c>
      <c r="D5235" s="7" t="s">
        <v>24908</v>
      </c>
      <c r="E5235" s="12" t="str">
        <f>HYPERLINK("https://twitter.com/GaripKomedya/status/1181860070847582208","1181860070847582208")</f>
        <v>1181860070847582208</v>
      </c>
      <c r="F5235" s="8"/>
      <c r="G5235" s="14" t="s">
        <v>24909</v>
      </c>
      <c r="H5235" s="8"/>
      <c r="I5235" s="15">
        <v>0</v>
      </c>
      <c r="J5235" s="15">
        <v>0</v>
      </c>
      <c r="K5235" s="12" t="str">
        <f>HYPERLINK("http://twitter.com/download/android","Twitter for Android")</f>
        <v>Twitter for Android</v>
      </c>
      <c r="L5235" s="16">
        <v>18</v>
      </c>
      <c r="M5235" s="16">
        <v>193</v>
      </c>
      <c r="N5235" s="16">
        <v>0</v>
      </c>
      <c r="O5235" s="17"/>
      <c r="P5235" s="18">
        <v>42358.52989583333</v>
      </c>
      <c r="Q5235" s="7"/>
      <c r="R5235" s="7" t="s">
        <v>24910</v>
      </c>
      <c r="S5235" s="15"/>
      <c r="T5235" s="8"/>
      <c r="U5235" s="19" t="str">
        <f>HYPERLINK("https://pbs.twimg.com/profile_images/1079856367240994816/X7VwtH0Z.jpg","View")</f>
        <v>View</v>
      </c>
      <c r="V5235" s="8"/>
      <c r="W5235" s="8"/>
      <c r="X5235" s="8"/>
      <c r="Y5235" s="8"/>
      <c r="Z5235" s="8"/>
    </row>
    <row r="5236" spans="1:26" ht="12.75">
      <c r="A5236" s="11">
        <v>43747.092280092591</v>
      </c>
      <c r="B5236" s="12" t="str">
        <f>HYPERLINK("https://twitter.com/zbamzbambam","@zbamzbambam")</f>
        <v>@zbamzbambam</v>
      </c>
      <c r="C5236" s="7" t="s">
        <v>24911</v>
      </c>
      <c r="D5236" s="7" t="s">
        <v>160</v>
      </c>
      <c r="E5236" s="12" t="str">
        <f>HYPERLINK("https://twitter.com/zbamzbambam/status/1181860069027336194","1181860069027336194")</f>
        <v>1181860069027336194</v>
      </c>
      <c r="F5236" s="8"/>
      <c r="G5236" s="14" t="s">
        <v>24912</v>
      </c>
      <c r="H5236" s="8"/>
      <c r="I5236" s="15">
        <v>0</v>
      </c>
      <c r="J5236" s="15">
        <v>0</v>
      </c>
      <c r="K5236" s="12" t="str">
        <f>HYPERLINK("http://twitter.com/download/iphone","Twitter for iPhone")</f>
        <v>Twitter for iPhone</v>
      </c>
      <c r="L5236" s="16">
        <v>10</v>
      </c>
      <c r="M5236" s="16">
        <v>85</v>
      </c>
      <c r="N5236" s="16">
        <v>0</v>
      </c>
      <c r="O5236" s="17"/>
      <c r="P5236" s="18">
        <v>43638.48600694444</v>
      </c>
      <c r="Q5236" s="7"/>
      <c r="R5236" s="7" t="s">
        <v>24913</v>
      </c>
      <c r="S5236" s="8"/>
      <c r="T5236" s="8"/>
      <c r="U5236" s="19" t="str">
        <f>HYPERLINK("https://pbs.twimg.com/profile_images/1142502784262168576/M2tXZmlu.jpg","View")</f>
        <v>View</v>
      </c>
      <c r="V5236" s="8"/>
      <c r="W5236" s="8"/>
      <c r="X5236" s="8"/>
      <c r="Y5236" s="8"/>
      <c r="Z5236" s="8"/>
    </row>
    <row r="5237" spans="1:26" ht="12.75">
      <c r="A5237" s="11">
        <v>43747.092256944445</v>
      </c>
      <c r="B5237" s="12" t="str">
        <f>HYPERLINK("https://twitter.com/maliguldas","@maliguldas")</f>
        <v>@maliguldas</v>
      </c>
      <c r="C5237" s="7" t="s">
        <v>24914</v>
      </c>
      <c r="D5237" s="7" t="s">
        <v>24915</v>
      </c>
      <c r="E5237" s="12" t="str">
        <f>HYPERLINK("https://twitter.com/maliguldas/status/1181860061540442112","1181860061540442112")</f>
        <v>1181860061540442112</v>
      </c>
      <c r="F5237" s="8"/>
      <c r="G5237" s="15"/>
      <c r="H5237" s="8"/>
      <c r="I5237" s="15">
        <v>0</v>
      </c>
      <c r="J5237" s="15">
        <v>2</v>
      </c>
      <c r="K5237" s="12" t="str">
        <f>HYPERLINK("http://twitter.com/download/iphone","Twitter for iPhone")</f>
        <v>Twitter for iPhone</v>
      </c>
      <c r="L5237" s="16">
        <v>530</v>
      </c>
      <c r="M5237" s="16">
        <v>1007</v>
      </c>
      <c r="N5237" s="16">
        <v>0</v>
      </c>
      <c r="O5237" s="17"/>
      <c r="P5237" s="18">
        <v>40680.289513888885</v>
      </c>
      <c r="Q5237" s="8" t="s">
        <v>200</v>
      </c>
      <c r="R5237" s="7" t="s">
        <v>24916</v>
      </c>
      <c r="S5237" s="8"/>
      <c r="T5237" s="8"/>
      <c r="U5237" s="19" t="str">
        <f>HYPERLINK("https://pbs.twimg.com/profile_images/1022588381249896450/BpjHy3xN.jpg","View")</f>
        <v>View</v>
      </c>
      <c r="V5237" s="8"/>
      <c r="W5237" s="8"/>
      <c r="X5237" s="8"/>
      <c r="Y5237" s="8"/>
      <c r="Z5237" s="8"/>
    </row>
    <row r="5238" spans="1:26" ht="12.75">
      <c r="A5238" s="11">
        <v>43747.092245370368</v>
      </c>
      <c r="B5238" s="12" t="str">
        <f>HYPERLINK("https://twitter.com/OguzzhanT","@OguzzhanT")</f>
        <v>@OguzzhanT</v>
      </c>
      <c r="C5238" s="7" t="s">
        <v>24917</v>
      </c>
      <c r="D5238" s="7" t="s">
        <v>24918</v>
      </c>
      <c r="E5238" s="12" t="str">
        <f>HYPERLINK("https://twitter.com/OguzzhanT/status/1181860057388060672","1181860057388060672")</f>
        <v>1181860057388060672</v>
      </c>
      <c r="F5238" s="8"/>
      <c r="G5238" s="14" t="s">
        <v>24919</v>
      </c>
      <c r="H5238" s="8"/>
      <c r="I5238" s="15">
        <v>0</v>
      </c>
      <c r="J5238" s="15">
        <v>0</v>
      </c>
      <c r="K5238" s="12" t="str">
        <f>HYPERLINK("http://twitter.com/download/iphone","Twitter for iPhone")</f>
        <v>Twitter for iPhone</v>
      </c>
      <c r="L5238" s="16">
        <v>8</v>
      </c>
      <c r="M5238" s="16">
        <v>22</v>
      </c>
      <c r="N5238" s="16">
        <v>0</v>
      </c>
      <c r="O5238" s="17"/>
      <c r="P5238" s="18">
        <v>43743.231828703705</v>
      </c>
      <c r="Q5238" s="7"/>
      <c r="R5238" s="7" t="s">
        <v>24920</v>
      </c>
      <c r="S5238" s="8"/>
      <c r="T5238" s="8"/>
      <c r="U5238" s="19" t="str">
        <f>HYPERLINK("https://pbs.twimg.com/profile_images/1181858512030355457/Nk9Xn8R2.jpg","View")</f>
        <v>View</v>
      </c>
      <c r="V5238" s="8"/>
      <c r="W5238" s="8"/>
      <c r="X5238" s="8"/>
      <c r="Y5238" s="8"/>
      <c r="Z5238" s="8"/>
    </row>
    <row r="5239" spans="1:26" ht="12.75">
      <c r="A5239" s="11">
        <v>43747.092222222222</v>
      </c>
      <c r="B5239" s="12" t="str">
        <f>HYPERLINK("https://twitter.com/d1froy","@d1froy")</f>
        <v>@d1froy</v>
      </c>
      <c r="C5239" s="7" t="s">
        <v>19685</v>
      </c>
      <c r="D5239" s="7" t="s">
        <v>16388</v>
      </c>
      <c r="E5239" s="12" t="str">
        <f>HYPERLINK("https://twitter.com/d1froy/status/1181860049301524480","1181860049301524480")</f>
        <v>1181860049301524480</v>
      </c>
      <c r="F5239" s="8"/>
      <c r="G5239" s="14" t="s">
        <v>24921</v>
      </c>
      <c r="H5239" s="8"/>
      <c r="I5239" s="15">
        <v>0</v>
      </c>
      <c r="J5239" s="15">
        <v>0</v>
      </c>
      <c r="K5239" s="12" t="str">
        <f>HYPERLINK("http://twitter.com/download/iphone","Twitter for iPhone")</f>
        <v>Twitter for iPhone</v>
      </c>
      <c r="L5239" s="16">
        <v>5</v>
      </c>
      <c r="M5239" s="16">
        <v>13</v>
      </c>
      <c r="N5239" s="16">
        <v>0</v>
      </c>
      <c r="O5239" s="17"/>
      <c r="P5239" s="18">
        <v>43676.583460648151</v>
      </c>
      <c r="Q5239" s="7"/>
      <c r="R5239" s="7" t="s">
        <v>24922</v>
      </c>
      <c r="S5239" s="8"/>
      <c r="T5239" s="8"/>
      <c r="U5239" s="19" t="str">
        <f>HYPERLINK("https://pbs.twimg.com/profile_images/1180472223125123072/BX_hL5Cj.jpg","View")</f>
        <v>View</v>
      </c>
      <c r="V5239" s="8"/>
      <c r="W5239" s="8"/>
      <c r="X5239" s="8"/>
      <c r="Y5239" s="8"/>
      <c r="Z5239" s="8"/>
    </row>
    <row r="5240" spans="1:26" ht="12.75">
      <c r="A5240" s="11">
        <v>43747.092141203699</v>
      </c>
      <c r="B5240" s="12" t="str">
        <f>HYPERLINK("https://twitter.com/tolgakarayigit","@tolgakarayigit")</f>
        <v>@tolgakarayigit</v>
      </c>
      <c r="C5240" s="7" t="s">
        <v>24923</v>
      </c>
      <c r="D5240" s="7" t="s">
        <v>24924</v>
      </c>
      <c r="E5240" s="12" t="str">
        <f>HYPERLINK("https://twitter.com/tolgakarayigit/status/1181860019865821184","1181860019865821184")</f>
        <v>1181860019865821184</v>
      </c>
      <c r="F5240" s="8"/>
      <c r="G5240" s="15"/>
      <c r="H5240" s="8"/>
      <c r="I5240" s="15">
        <v>0</v>
      </c>
      <c r="J5240" s="15">
        <v>0</v>
      </c>
      <c r="K5240" s="12" t="str">
        <f>HYPERLINK("http://twitter.com/download/android","Twitter for Android")</f>
        <v>Twitter for Android</v>
      </c>
      <c r="L5240" s="16">
        <v>550</v>
      </c>
      <c r="M5240" s="16">
        <v>538</v>
      </c>
      <c r="N5240" s="16">
        <v>1</v>
      </c>
      <c r="O5240" s="17"/>
      <c r="P5240" s="18">
        <v>41498.477824074071</v>
      </c>
      <c r="Q5240" s="7" t="s">
        <v>860</v>
      </c>
      <c r="R5240" s="8"/>
      <c r="S5240" s="8"/>
      <c r="T5240" s="8"/>
      <c r="U5240" s="19" t="str">
        <f>HYPERLINK("https://pbs.twimg.com/profile_images/775647438635995136/SY0UHNbf.jpg","View")</f>
        <v>View</v>
      </c>
      <c r="V5240" s="8"/>
      <c r="W5240" s="8"/>
      <c r="X5240" s="8"/>
      <c r="Y5240" s="8"/>
      <c r="Z5240" s="8"/>
    </row>
    <row r="5241" spans="1:26" ht="12.75">
      <c r="A5241" s="11">
        <v>43747.092094907406</v>
      </c>
      <c r="B5241" s="12" t="str">
        <f>HYPERLINK("https://twitter.com/HagiaSophia13","@HagiaSophia13")</f>
        <v>@HagiaSophia13</v>
      </c>
      <c r="C5241" s="7" t="s">
        <v>24925</v>
      </c>
      <c r="D5241" s="7" t="s">
        <v>24926</v>
      </c>
      <c r="E5241" s="12" t="str">
        <f>HYPERLINK("https://twitter.com/HagiaSophia13/status/1181860003914899458","1181860003914899458")</f>
        <v>1181860003914899458</v>
      </c>
      <c r="F5241" s="8"/>
      <c r="G5241" s="14" t="s">
        <v>24927</v>
      </c>
      <c r="H5241" s="8"/>
      <c r="I5241" s="15">
        <v>2</v>
      </c>
      <c r="J5241" s="15">
        <v>4</v>
      </c>
      <c r="K5241" s="12" t="str">
        <f>HYPERLINK("http://twitter.com/download/android","Twitter for Android")</f>
        <v>Twitter for Android</v>
      </c>
      <c r="L5241" s="16">
        <v>3838</v>
      </c>
      <c r="M5241" s="16">
        <v>3828</v>
      </c>
      <c r="N5241" s="16">
        <v>0</v>
      </c>
      <c r="O5241" s="17"/>
      <c r="P5241" s="18">
        <v>43425.912754629629</v>
      </c>
      <c r="Q5241" s="7" t="s">
        <v>24928</v>
      </c>
      <c r="R5241" s="7" t="s">
        <v>24929</v>
      </c>
      <c r="S5241" s="8"/>
      <c r="T5241" s="8"/>
      <c r="U5241" s="19" t="str">
        <f>HYPERLINK("https://pbs.twimg.com/profile_images/1181618489875992580/G-5VfyW8.jpg","View")</f>
        <v>View</v>
      </c>
      <c r="V5241" s="8"/>
      <c r="W5241" s="8"/>
      <c r="X5241" s="8"/>
      <c r="Y5241" s="8"/>
      <c r="Z5241" s="8"/>
    </row>
    <row r="5242" spans="1:26" ht="12.75">
      <c r="A5242" s="11">
        <v>43747.092094907406</v>
      </c>
      <c r="B5242" s="12" t="str">
        <f>HYPERLINK("https://twitter.com/SanliBatu","@SanliBatu")</f>
        <v>@SanliBatu</v>
      </c>
      <c r="C5242" s="7" t="s">
        <v>24930</v>
      </c>
      <c r="D5242" s="7" t="s">
        <v>24931</v>
      </c>
      <c r="E5242" s="12" t="str">
        <f>HYPERLINK("https://twitter.com/SanliBatu/status/1181860002891538433","1181860002891538433")</f>
        <v>1181860002891538433</v>
      </c>
      <c r="F5242" s="8"/>
      <c r="G5242" s="14" t="s">
        <v>24932</v>
      </c>
      <c r="H5242" s="8"/>
      <c r="I5242" s="15">
        <v>0</v>
      </c>
      <c r="J5242" s="15">
        <v>0</v>
      </c>
      <c r="K5242" s="12" t="str">
        <f>HYPERLINK("http://twitter.com/download/iphone","Twitter for iPhone")</f>
        <v>Twitter for iPhone</v>
      </c>
      <c r="L5242" s="16">
        <v>339</v>
      </c>
      <c r="M5242" s="16">
        <v>87</v>
      </c>
      <c r="N5242" s="16">
        <v>0</v>
      </c>
      <c r="O5242" s="17"/>
      <c r="P5242" s="18">
        <v>41017.608946759261</v>
      </c>
      <c r="Q5242" s="8" t="s">
        <v>576</v>
      </c>
      <c r="R5242" s="7"/>
      <c r="S5242" s="8"/>
      <c r="T5242" s="8"/>
      <c r="U5242" s="19" t="str">
        <f>HYPERLINK("https://pbs.twimg.com/profile_images/1158252758593675265/KTkjedqh.jpg","View")</f>
        <v>View</v>
      </c>
      <c r="V5242" s="8"/>
      <c r="W5242" s="8"/>
      <c r="X5242" s="8"/>
      <c r="Y5242" s="8"/>
      <c r="Z5242" s="8"/>
    </row>
    <row r="5243" spans="1:26" ht="12.75">
      <c r="A5243" s="11">
        <v>43747.092094907406</v>
      </c>
      <c r="B5243" s="12" t="str">
        <f>HYPERLINK("https://twitter.com/YenidevirGazete","@YenidevirGazete")</f>
        <v>@YenidevirGazete</v>
      </c>
      <c r="C5243" s="7" t="s">
        <v>24933</v>
      </c>
      <c r="D5243" s="7" t="s">
        <v>24934</v>
      </c>
      <c r="E5243" s="12" t="str">
        <f>HYPERLINK("https://twitter.com/YenidevirGazete/status/1181860002304335874","1181860002304335874")</f>
        <v>1181860002304335874</v>
      </c>
      <c r="F5243" s="8"/>
      <c r="G5243" s="14" t="s">
        <v>24935</v>
      </c>
      <c r="H5243" s="8"/>
      <c r="I5243" s="15">
        <v>2</v>
      </c>
      <c r="J5243" s="15">
        <v>9</v>
      </c>
      <c r="K5243" s="12" t="str">
        <f>HYPERLINK("https://mobile.twitter.com","Twitter Web App")</f>
        <v>Twitter Web App</v>
      </c>
      <c r="L5243" s="16">
        <v>583</v>
      </c>
      <c r="M5243" s="16">
        <v>35</v>
      </c>
      <c r="N5243" s="16">
        <v>0</v>
      </c>
      <c r="O5243" s="17"/>
      <c r="P5243" s="18">
        <v>43546.1950462963</v>
      </c>
      <c r="Q5243" s="7" t="s">
        <v>313</v>
      </c>
      <c r="R5243" s="7"/>
      <c r="S5243" s="14" t="s">
        <v>24936</v>
      </c>
      <c r="T5243" s="8"/>
      <c r="U5243" s="19" t="str">
        <f>HYPERLINK("https://pbs.twimg.com/profile_images/1109057500354134016/JwaJmDoi.png","View")</f>
        <v>View</v>
      </c>
      <c r="V5243" s="8"/>
      <c r="W5243" s="8"/>
      <c r="X5243" s="8"/>
      <c r="Y5243" s="8"/>
      <c r="Z5243" s="8"/>
    </row>
    <row r="5244" spans="1:26" ht="12.75">
      <c r="A5244" s="11">
        <v>43747.092060185183</v>
      </c>
      <c r="B5244" s="12" t="str">
        <f>HYPERLINK("https://twitter.com/YAkyasann","@YAkyasann")</f>
        <v>@YAkyasann</v>
      </c>
      <c r="C5244" s="7" t="s">
        <v>13296</v>
      </c>
      <c r="D5244" s="7" t="s">
        <v>24937</v>
      </c>
      <c r="E5244" s="12" t="str">
        <f>HYPERLINK("https://twitter.com/YAkyasann/status/1181859993320067072","1181859993320067072")</f>
        <v>1181859993320067072</v>
      </c>
      <c r="F5244" s="8"/>
      <c r="G5244" s="8"/>
      <c r="H5244" s="8"/>
      <c r="I5244" s="15">
        <v>0</v>
      </c>
      <c r="J5244" s="15">
        <v>0</v>
      </c>
      <c r="K5244" s="12" t="str">
        <f>HYPERLINK("http://twitter.com/download/android","Twitter for Android")</f>
        <v>Twitter for Android</v>
      </c>
      <c r="L5244" s="16">
        <v>5</v>
      </c>
      <c r="M5244" s="16">
        <v>29</v>
      </c>
      <c r="N5244" s="16">
        <v>0</v>
      </c>
      <c r="O5244" s="17"/>
      <c r="P5244" s="18">
        <v>43666.455347222218</v>
      </c>
      <c r="Q5244" s="7"/>
      <c r="R5244" s="7"/>
      <c r="S5244" s="15"/>
      <c r="T5244" s="8"/>
      <c r="U5244" s="19" t="str">
        <f>HYPERLINK("https://pbs.twimg.com/profile_images/1167890540269981701/T_tp8V6g.jpg","View")</f>
        <v>View</v>
      </c>
      <c r="V5244" s="8"/>
      <c r="W5244" s="8"/>
      <c r="X5244" s="8"/>
      <c r="Y5244" s="8"/>
      <c r="Z5244" s="8"/>
    </row>
    <row r="5245" spans="1:26" ht="12.75">
      <c r="A5245" s="11">
        <v>43747.092037037037</v>
      </c>
      <c r="B5245" s="12" t="str">
        <f>HYPERLINK("https://twitter.com/zehrasener60","@zehrasener60")</f>
        <v>@zehrasener60</v>
      </c>
      <c r="C5245" s="7" t="s">
        <v>24938</v>
      </c>
      <c r="D5245" s="7" t="s">
        <v>24939</v>
      </c>
      <c r="E5245" s="12" t="str">
        <f>HYPERLINK("https://twitter.com/zehrasener60/status/1181859984918880256","1181859984918880256")</f>
        <v>1181859984918880256</v>
      </c>
      <c r="F5245" s="8"/>
      <c r="G5245" s="15"/>
      <c r="H5245" s="8"/>
      <c r="I5245" s="15">
        <v>0</v>
      </c>
      <c r="J5245" s="15">
        <v>0</v>
      </c>
      <c r="K5245" s="12" t="str">
        <f>HYPERLINK("http://twitter.com/download/iphone","Twitter for iPhone")</f>
        <v>Twitter for iPhone</v>
      </c>
      <c r="L5245" s="16">
        <v>89</v>
      </c>
      <c r="M5245" s="16">
        <v>222</v>
      </c>
      <c r="N5245" s="16">
        <v>0</v>
      </c>
      <c r="O5245" s="17"/>
      <c r="P5245" s="18">
        <v>41624.21025462963</v>
      </c>
      <c r="Q5245" s="7"/>
      <c r="R5245" s="7"/>
      <c r="S5245" s="8"/>
      <c r="T5245" s="8"/>
      <c r="U5245" s="19" t="str">
        <f>HYPERLINK("https://pbs.twimg.com/profile_images/574969438446948352/B5FgpwPp.jpeg","View")</f>
        <v>View</v>
      </c>
      <c r="V5245" s="8"/>
      <c r="W5245" s="8"/>
      <c r="X5245" s="8"/>
      <c r="Y5245" s="8"/>
      <c r="Z5245" s="8"/>
    </row>
    <row r="5246" spans="1:26" ht="12.75">
      <c r="A5246" s="11">
        <v>43747.09202546296</v>
      </c>
      <c r="B5246" s="12" t="str">
        <f>HYPERLINK("https://twitter.com/ultraslan_1990","@ultraslan_1990")</f>
        <v>@ultraslan_1990</v>
      </c>
      <c r="C5246" s="7" t="s">
        <v>24940</v>
      </c>
      <c r="D5246" s="7" t="s">
        <v>24941</v>
      </c>
      <c r="E5246" s="12" t="str">
        <f>HYPERLINK("https://twitter.com/ultraslan_1990/status/1181859978572976128","1181859978572976128")</f>
        <v>1181859978572976128</v>
      </c>
      <c r="F5246" s="8"/>
      <c r="G5246" s="8"/>
      <c r="H5246" s="8"/>
      <c r="I5246" s="15">
        <v>0</v>
      </c>
      <c r="J5246" s="15">
        <v>0</v>
      </c>
      <c r="K5246" s="12" t="str">
        <f>HYPERLINK("https://mobile.twitter.com","Twitter Web App")</f>
        <v>Twitter Web App</v>
      </c>
      <c r="L5246" s="16">
        <v>76</v>
      </c>
      <c r="M5246" s="16">
        <v>460</v>
      </c>
      <c r="N5246" s="16">
        <v>0</v>
      </c>
      <c r="O5246" s="17"/>
      <c r="P5246" s="18">
        <v>40496.566747685181</v>
      </c>
      <c r="Q5246" s="7"/>
      <c r="R5246" s="7"/>
      <c r="S5246" s="8"/>
      <c r="T5246" s="8"/>
      <c r="U5246" s="19" t="str">
        <f>HYPERLINK("https://pbs.twimg.com/profile_images/653889958474813441/5pVCibQe.jpg","View")</f>
        <v>View</v>
      </c>
      <c r="V5246" s="8"/>
      <c r="W5246" s="8"/>
      <c r="X5246" s="8"/>
      <c r="Y5246" s="8"/>
      <c r="Z5246" s="8"/>
    </row>
    <row r="5247" spans="1:26" ht="12.75">
      <c r="A5247" s="11">
        <v>43747.092013888891</v>
      </c>
      <c r="B5247" s="12" t="str">
        <f>HYPERLINK("https://twitter.com/ohayalikarakter","@ohayalikarakter")</f>
        <v>@ohayalikarakter</v>
      </c>
      <c r="C5247" s="7" t="s">
        <v>24942</v>
      </c>
      <c r="D5247" s="7" t="s">
        <v>24943</v>
      </c>
      <c r="E5247" s="12" t="str">
        <f>HYPERLINK("https://twitter.com/ohayalikarakter/status/1181859976668680192","1181859976668680192")</f>
        <v>1181859976668680192</v>
      </c>
      <c r="F5247" s="8"/>
      <c r="G5247" s="14" t="s">
        <v>24944</v>
      </c>
      <c r="H5247" s="8"/>
      <c r="I5247" s="15">
        <v>0</v>
      </c>
      <c r="J5247" s="15">
        <v>0</v>
      </c>
      <c r="K5247" s="12" t="str">
        <f>HYPERLINK("http://twitter.com/download/iphone","Twitter for iPhone")</f>
        <v>Twitter for iPhone</v>
      </c>
      <c r="L5247" s="16">
        <v>1553</v>
      </c>
      <c r="M5247" s="16">
        <v>724</v>
      </c>
      <c r="N5247" s="16">
        <v>3</v>
      </c>
      <c r="O5247" s="17"/>
      <c r="P5247" s="18">
        <v>42079.39743055556</v>
      </c>
      <c r="Q5247" s="8" t="s">
        <v>24945</v>
      </c>
      <c r="R5247" s="8" t="s">
        <v>24946</v>
      </c>
      <c r="S5247" s="8"/>
      <c r="T5247" s="8"/>
      <c r="U5247" s="19" t="str">
        <f>HYPERLINK("https://pbs.twimg.com/profile_images/1137455562462023680/7Hwv9d9E.jpg","View")</f>
        <v>View</v>
      </c>
      <c r="V5247" s="8"/>
      <c r="W5247" s="8"/>
      <c r="X5247" s="8"/>
      <c r="Y5247" s="8"/>
      <c r="Z5247" s="8"/>
    </row>
    <row r="5248" spans="1:26" ht="12.75">
      <c r="A5248" s="11">
        <v>43747.092013888891</v>
      </c>
      <c r="B5248" s="12" t="str">
        <f>HYPERLINK("https://twitter.com/semcantek","@semcantek")</f>
        <v>@semcantek</v>
      </c>
      <c r="C5248" s="7" t="s">
        <v>24947</v>
      </c>
      <c r="D5248" s="7" t="s">
        <v>160</v>
      </c>
      <c r="E5248" s="12" t="str">
        <f>HYPERLINK("https://twitter.com/semcantek/status/1181859975355932674","1181859975355932674")</f>
        <v>1181859975355932674</v>
      </c>
      <c r="F5248" s="8"/>
      <c r="G5248" s="8"/>
      <c r="H5248" s="8"/>
      <c r="I5248" s="15">
        <v>0</v>
      </c>
      <c r="J5248" s="15">
        <v>0</v>
      </c>
      <c r="K5248" s="12" t="str">
        <f>HYPERLINK("http://twitter.com/download/iphone","Twitter for iPhone")</f>
        <v>Twitter for iPhone</v>
      </c>
      <c r="L5248" s="16">
        <v>0</v>
      </c>
      <c r="M5248" s="16">
        <v>5</v>
      </c>
      <c r="N5248" s="16">
        <v>0</v>
      </c>
      <c r="O5248" s="17"/>
      <c r="P5248" s="18">
        <v>43123.57675925926</v>
      </c>
      <c r="Q5248" s="8"/>
      <c r="R5248" s="8"/>
      <c r="S5248" s="15"/>
      <c r="T5248" s="8"/>
      <c r="U5248" s="19" t="str">
        <f>HYPERLINK("https://pbs.twimg.com/profile_images/1053412038289096711/4ERMT9kU.jpg","View")</f>
        <v>View</v>
      </c>
      <c r="V5248" s="8"/>
      <c r="W5248" s="8"/>
      <c r="X5248" s="8"/>
      <c r="Y5248" s="8"/>
      <c r="Z5248" s="8"/>
    </row>
    <row r="5249" spans="1:26" ht="12.75">
      <c r="A5249" s="11">
        <v>43747.091990740737</v>
      </c>
      <c r="B5249" s="12" t="str">
        <f>HYPERLINK("https://twitter.com/krhnsln","@krhnsln")</f>
        <v>@krhnsln</v>
      </c>
      <c r="C5249" s="7" t="s">
        <v>24948</v>
      </c>
      <c r="D5249" s="7" t="s">
        <v>24949</v>
      </c>
      <c r="E5249" s="12" t="str">
        <f>HYPERLINK("https://twitter.com/krhnsln/status/1181859966891769857","1181859966891769857")</f>
        <v>1181859966891769857</v>
      </c>
      <c r="F5249" s="8"/>
      <c r="G5249" s="15"/>
      <c r="H5249" s="8"/>
      <c r="I5249" s="15">
        <v>0</v>
      </c>
      <c r="J5249" s="15">
        <v>0</v>
      </c>
      <c r="K5249" s="12" t="str">
        <f>HYPERLINK("http://twitter.com/download/android","Twitter for Android")</f>
        <v>Twitter for Android</v>
      </c>
      <c r="L5249" s="16">
        <v>29</v>
      </c>
      <c r="M5249" s="16">
        <v>160</v>
      </c>
      <c r="N5249" s="16">
        <v>0</v>
      </c>
      <c r="O5249" s="17"/>
      <c r="P5249" s="18">
        <v>43552.408576388887</v>
      </c>
      <c r="Q5249" s="7"/>
      <c r="R5249" s="7" t="s">
        <v>24950</v>
      </c>
      <c r="S5249" s="8"/>
      <c r="T5249" s="8"/>
      <c r="U5249" s="19" t="str">
        <f>HYPERLINK("https://pbs.twimg.com/profile_images/1111311371143184387/yLfh_uF9.jpg","View")</f>
        <v>View</v>
      </c>
      <c r="V5249" s="8"/>
      <c r="W5249" s="8"/>
      <c r="X5249" s="8"/>
      <c r="Y5249" s="8"/>
      <c r="Z5249" s="8"/>
    </row>
    <row r="5250" spans="1:26" ht="12.75">
      <c r="A5250" s="11">
        <v>43747.091932870375</v>
      </c>
      <c r="B5250" s="12" t="str">
        <f>HYPERLINK("https://twitter.com/eybes1910","@eybes1910")</f>
        <v>@eybes1910</v>
      </c>
      <c r="C5250" s="7" t="s">
        <v>4867</v>
      </c>
      <c r="D5250" s="7" t="s">
        <v>24951</v>
      </c>
      <c r="E5250" s="12" t="str">
        <f>HYPERLINK("https://twitter.com/eybes1910/status/1181859945534365696","1181859945534365696")</f>
        <v>1181859945534365696</v>
      </c>
      <c r="F5250" s="8"/>
      <c r="G5250" s="14" t="s">
        <v>24952</v>
      </c>
      <c r="H5250" s="8"/>
      <c r="I5250" s="15">
        <v>1</v>
      </c>
      <c r="J5250" s="15">
        <v>6</v>
      </c>
      <c r="K5250" s="12" t="str">
        <f>HYPERLINK("http://twitter.com/download/android","Twitter for Android")</f>
        <v>Twitter for Android</v>
      </c>
      <c r="L5250" s="16">
        <v>456</v>
      </c>
      <c r="M5250" s="16">
        <v>256</v>
      </c>
      <c r="N5250" s="16">
        <v>1</v>
      </c>
      <c r="O5250" s="17"/>
      <c r="P5250" s="18">
        <v>41625.061678240745</v>
      </c>
      <c r="Q5250" s="8" t="s">
        <v>287</v>
      </c>
      <c r="R5250" s="8" t="s">
        <v>24953</v>
      </c>
      <c r="S5250" s="8"/>
      <c r="T5250" s="8"/>
      <c r="U5250" s="19" t="str">
        <f>HYPERLINK("https://pbs.twimg.com/profile_images/1180610438322634752/Ikv1f6ov.jpg","View")</f>
        <v>View</v>
      </c>
      <c r="V5250" s="8"/>
      <c r="W5250" s="8"/>
      <c r="X5250" s="8"/>
      <c r="Y5250" s="8"/>
      <c r="Z5250" s="8"/>
    </row>
    <row r="5251" spans="1:26" ht="12.75">
      <c r="A5251" s="11">
        <v>43747.091909722221</v>
      </c>
      <c r="B5251" s="12" t="str">
        <f>HYPERLINK("https://twitter.com/Osmansogutt7","@Osmansogutt7")</f>
        <v>@Osmansogutt7</v>
      </c>
      <c r="C5251" s="7" t="s">
        <v>4124</v>
      </c>
      <c r="D5251" s="7" t="s">
        <v>3552</v>
      </c>
      <c r="E5251" s="12" t="str">
        <f>HYPERLINK("https://twitter.com/Osmansogutt7/status/1181859938680868864","1181859938680868864")</f>
        <v>1181859938680868864</v>
      </c>
      <c r="F5251" s="8"/>
      <c r="G5251" s="14" t="s">
        <v>24954</v>
      </c>
      <c r="H5251" s="8"/>
      <c r="I5251" s="15">
        <v>0</v>
      </c>
      <c r="J5251" s="15">
        <v>0</v>
      </c>
      <c r="K5251" s="12" t="str">
        <f>HYPERLINK("http://twitter.com/download/android","Twitter for Android")</f>
        <v>Twitter for Android</v>
      </c>
      <c r="L5251" s="16">
        <v>27</v>
      </c>
      <c r="M5251" s="16">
        <v>86</v>
      </c>
      <c r="N5251" s="16">
        <v>0</v>
      </c>
      <c r="O5251" s="17"/>
      <c r="P5251" s="18">
        <v>43627.958425925928</v>
      </c>
      <c r="Q5251" s="8" t="s">
        <v>24955</v>
      </c>
      <c r="R5251" s="8" t="s">
        <v>24956</v>
      </c>
      <c r="S5251" s="15"/>
      <c r="T5251" s="8"/>
      <c r="U5251" s="19" t="str">
        <f>HYPERLINK("https://pbs.twimg.com/profile_images/1138892779847897090/ni60vsxM.jpg","View")</f>
        <v>View</v>
      </c>
      <c r="V5251" s="8"/>
      <c r="W5251" s="8"/>
      <c r="X5251" s="8"/>
      <c r="Y5251" s="8"/>
      <c r="Z5251" s="8"/>
    </row>
    <row r="5252" spans="1:26" ht="12.75">
      <c r="A5252" s="11">
        <v>43747.091886574075</v>
      </c>
      <c r="B5252" s="12" t="str">
        <f>HYPERLINK("https://twitter.com/ohaacokiyilaa","@ohaacokiyilaa")</f>
        <v>@ohaacokiyilaa</v>
      </c>
      <c r="C5252" s="7" t="s">
        <v>24957</v>
      </c>
      <c r="D5252" s="7" t="s">
        <v>24958</v>
      </c>
      <c r="E5252" s="12" t="str">
        <f>HYPERLINK("https://twitter.com/ohaacokiyilaa/status/1181859928144797696","1181859928144797696")</f>
        <v>1181859928144797696</v>
      </c>
      <c r="F5252" s="8"/>
      <c r="G5252" s="14" t="s">
        <v>24959</v>
      </c>
      <c r="H5252" s="8"/>
      <c r="I5252" s="15">
        <v>1</v>
      </c>
      <c r="J5252" s="15">
        <v>5</v>
      </c>
      <c r="K5252" s="12" t="str">
        <f>HYPERLINK("http://twitter.com/download/android","Twitter for Android")</f>
        <v>Twitter for Android</v>
      </c>
      <c r="L5252" s="16">
        <v>74</v>
      </c>
      <c r="M5252" s="16">
        <v>192</v>
      </c>
      <c r="N5252" s="16">
        <v>0</v>
      </c>
      <c r="O5252" s="17"/>
      <c r="P5252" s="18">
        <v>43718.672743055555</v>
      </c>
      <c r="Q5252" s="8"/>
      <c r="R5252" s="8" t="s">
        <v>24960</v>
      </c>
      <c r="S5252" s="14" t="s">
        <v>24961</v>
      </c>
      <c r="T5252" s="8"/>
      <c r="U5252" s="19" t="str">
        <f>HYPERLINK("https://pbs.twimg.com/profile_images/1175019130010984449/Jrti5Zg4.jpg","View")</f>
        <v>View</v>
      </c>
      <c r="V5252" s="8"/>
      <c r="W5252" s="8"/>
      <c r="X5252" s="8"/>
      <c r="Y5252" s="8"/>
      <c r="Z5252" s="8"/>
    </row>
    <row r="5253" spans="1:26" ht="12.75">
      <c r="A5253" s="11">
        <v>43747.091851851852</v>
      </c>
      <c r="B5253" s="12" t="str">
        <f>HYPERLINK("https://twitter.com/bekirsakarya","@bekirsakarya")</f>
        <v>@bekirsakarya</v>
      </c>
      <c r="C5253" s="7" t="s">
        <v>24962</v>
      </c>
      <c r="D5253" s="7" t="s">
        <v>24963</v>
      </c>
      <c r="E5253" s="12" t="str">
        <f>HYPERLINK("https://twitter.com/bekirsakarya/status/1181859917591928832","1181859917591928832")</f>
        <v>1181859917591928832</v>
      </c>
      <c r="F5253" s="8"/>
      <c r="G5253" s="14" t="s">
        <v>24964</v>
      </c>
      <c r="H5253" s="8"/>
      <c r="I5253" s="15">
        <v>0</v>
      </c>
      <c r="J5253" s="15">
        <v>1</v>
      </c>
      <c r="K5253" s="12" t="str">
        <f>HYPERLINK("http://twitter.com/download/android","Twitter for Android")</f>
        <v>Twitter for Android</v>
      </c>
      <c r="L5253" s="16">
        <v>128</v>
      </c>
      <c r="M5253" s="16">
        <v>106</v>
      </c>
      <c r="N5253" s="16">
        <v>0</v>
      </c>
      <c r="O5253" s="17"/>
      <c r="P5253" s="18">
        <v>40682.590914351851</v>
      </c>
      <c r="Q5253" s="7"/>
      <c r="R5253" s="7" t="s">
        <v>24965</v>
      </c>
      <c r="S5253" s="14" t="s">
        <v>24966</v>
      </c>
      <c r="T5253" s="8"/>
      <c r="U5253" s="19" t="str">
        <f>HYPERLINK("https://pbs.twimg.com/profile_images/1071809523395018753/QbJNabQX.jpg","View")</f>
        <v>View</v>
      </c>
      <c r="V5253" s="8"/>
      <c r="W5253" s="8"/>
      <c r="X5253" s="8"/>
      <c r="Y5253" s="8"/>
      <c r="Z5253" s="8"/>
    </row>
    <row r="5254" spans="1:26" ht="12.75">
      <c r="A5254" s="11">
        <v>43747.091851851852</v>
      </c>
      <c r="B5254" s="12" t="str">
        <f>HYPERLINK("https://twitter.com/karahannnbey","@karahannnbey")</f>
        <v>@karahannnbey</v>
      </c>
      <c r="C5254" s="7" t="s">
        <v>24967</v>
      </c>
      <c r="D5254" s="7" t="s">
        <v>24968</v>
      </c>
      <c r="E5254" s="12" t="str">
        <f>HYPERLINK("https://twitter.com/karahannnbey/status/1181859917294112769","1181859917294112769")</f>
        <v>1181859917294112769</v>
      </c>
      <c r="F5254" s="8"/>
      <c r="G5254" s="14" t="s">
        <v>24969</v>
      </c>
      <c r="H5254" s="8"/>
      <c r="I5254" s="15">
        <v>2</v>
      </c>
      <c r="J5254" s="15">
        <v>2</v>
      </c>
      <c r="K5254" s="12" t="str">
        <f>HYPERLINK("http://twitter.com/download/iphone","Twitter for iPhone")</f>
        <v>Twitter for iPhone</v>
      </c>
      <c r="L5254" s="16">
        <v>9</v>
      </c>
      <c r="M5254" s="16">
        <v>169</v>
      </c>
      <c r="N5254" s="16">
        <v>0</v>
      </c>
      <c r="O5254" s="17"/>
      <c r="P5254" s="18">
        <v>43324.222152777773</v>
      </c>
      <c r="Q5254" s="7" t="s">
        <v>313</v>
      </c>
      <c r="R5254" s="7"/>
      <c r="S5254" s="8"/>
      <c r="T5254" s="8"/>
      <c r="U5254" s="19" t="str">
        <f>HYPERLINK("https://pbs.twimg.com/profile_images/1028629018621485058/inTf6mRb.jpg","View")</f>
        <v>View</v>
      </c>
      <c r="V5254" s="8"/>
      <c r="W5254" s="8"/>
      <c r="X5254" s="8"/>
      <c r="Y5254" s="8"/>
      <c r="Z5254" s="8"/>
    </row>
    <row r="5255" spans="1:26" ht="12.75">
      <c r="A5255" s="11">
        <v>43747.091828703706</v>
      </c>
      <c r="B5255" s="12" t="str">
        <f>HYPERLINK("https://twitter.com/turkaskeri09","@turkaskeri09")</f>
        <v>@turkaskeri09</v>
      </c>
      <c r="C5255" s="7" t="s">
        <v>24970</v>
      </c>
      <c r="D5255" s="7" t="s">
        <v>24971</v>
      </c>
      <c r="E5255" s="12" t="str">
        <f>HYPERLINK("https://twitter.com/turkaskeri09/status/1181859908557459456","1181859908557459456")</f>
        <v>1181859908557459456</v>
      </c>
      <c r="F5255" s="8"/>
      <c r="G5255" s="14" t="s">
        <v>24972</v>
      </c>
      <c r="H5255" s="8"/>
      <c r="I5255" s="15">
        <v>2</v>
      </c>
      <c r="J5255" s="15">
        <v>6</v>
      </c>
      <c r="K5255" s="12" t="str">
        <f>HYPERLINK("https://mobile.twitter.com","Twitter Web App")</f>
        <v>Twitter Web App</v>
      </c>
      <c r="L5255" s="16">
        <v>154</v>
      </c>
      <c r="M5255" s="16">
        <v>501</v>
      </c>
      <c r="N5255" s="16">
        <v>0</v>
      </c>
      <c r="O5255" s="17"/>
      <c r="P5255" s="18">
        <v>43740.102511574078</v>
      </c>
      <c r="Q5255" s="8" t="s">
        <v>200</v>
      </c>
      <c r="R5255" s="8" t="s">
        <v>24973</v>
      </c>
      <c r="S5255" s="8"/>
      <c r="T5255" s="8"/>
      <c r="U5255" s="19" t="str">
        <f>HYPERLINK("https://pbs.twimg.com/profile_images/1179507578834956289/RyprQYtp.jpg","View")</f>
        <v>View</v>
      </c>
      <c r="V5255" s="8"/>
      <c r="W5255" s="8"/>
      <c r="X5255" s="8"/>
      <c r="Y5255" s="8"/>
      <c r="Z5255" s="8"/>
    </row>
    <row r="5256" spans="1:26" ht="12.75">
      <c r="A5256" s="11">
        <v>43747.091782407406</v>
      </c>
      <c r="B5256" s="12" t="str">
        <f>HYPERLINK("https://twitter.com/Kaptaniderya78","@Kaptaniderya78")</f>
        <v>@Kaptaniderya78</v>
      </c>
      <c r="C5256" s="7" t="s">
        <v>24974</v>
      </c>
      <c r="D5256" s="7" t="s">
        <v>24975</v>
      </c>
      <c r="E5256" s="12" t="str">
        <f>HYPERLINK("https://twitter.com/Kaptaniderya78/status/1181859891562110976","1181859891562110976")</f>
        <v>1181859891562110976</v>
      </c>
      <c r="F5256" s="15"/>
      <c r="G5256" s="8"/>
      <c r="H5256" s="8"/>
      <c r="I5256" s="15">
        <v>0</v>
      </c>
      <c r="J5256" s="15">
        <v>1</v>
      </c>
      <c r="K5256" s="12" t="str">
        <f>HYPERLINK("http://twitter.com/download/iphone","Twitter for iPhone")</f>
        <v>Twitter for iPhone</v>
      </c>
      <c r="L5256" s="16">
        <v>329</v>
      </c>
      <c r="M5256" s="16">
        <v>730</v>
      </c>
      <c r="N5256" s="16">
        <v>0</v>
      </c>
      <c r="O5256" s="17"/>
      <c r="P5256" s="18">
        <v>42882.613321759258</v>
      </c>
      <c r="Q5256" s="7" t="s">
        <v>200</v>
      </c>
      <c r="R5256" s="7" t="s">
        <v>24976</v>
      </c>
      <c r="S5256" s="15"/>
      <c r="T5256" s="8"/>
      <c r="U5256" s="19" t="str">
        <f>HYPERLINK("https://pbs.twimg.com/profile_images/1137635656958713856/w0hjBtl8.jpg","View")</f>
        <v>View</v>
      </c>
      <c r="V5256" s="8"/>
      <c r="W5256" s="8"/>
      <c r="X5256" s="8"/>
      <c r="Y5256" s="8"/>
      <c r="Z5256" s="8"/>
    </row>
    <row r="5257" spans="1:26" ht="12.75">
      <c r="A5257" s="11">
        <v>43747.091782407406</v>
      </c>
      <c r="B5257" s="12" t="str">
        <f>HYPERLINK("https://twitter.com/adilyigiter","@adilyigiter")</f>
        <v>@adilyigiter</v>
      </c>
      <c r="C5257" s="7" t="s">
        <v>24977</v>
      </c>
      <c r="D5257" s="7" t="s">
        <v>24978</v>
      </c>
      <c r="E5257" s="12" t="str">
        <f>HYPERLINK("https://twitter.com/adilyigiter/status/1181859889926332417","1181859889926332417")</f>
        <v>1181859889926332417</v>
      </c>
      <c r="F5257" s="8"/>
      <c r="G5257" s="14" t="s">
        <v>24979</v>
      </c>
      <c r="H5257" s="8"/>
      <c r="I5257" s="15">
        <v>0</v>
      </c>
      <c r="J5257" s="15">
        <v>1</v>
      </c>
      <c r="K5257" s="12" t="str">
        <f>HYPERLINK("http://twitter.com/download/android","Twitter for Android")</f>
        <v>Twitter for Android</v>
      </c>
      <c r="L5257" s="16">
        <v>271</v>
      </c>
      <c r="M5257" s="16">
        <v>386</v>
      </c>
      <c r="N5257" s="16">
        <v>1</v>
      </c>
      <c r="O5257" s="17"/>
      <c r="P5257" s="18">
        <v>40672.66783564815</v>
      </c>
      <c r="Q5257" s="7" t="s">
        <v>11142</v>
      </c>
      <c r="R5257" s="7"/>
      <c r="S5257" s="8"/>
      <c r="T5257" s="8"/>
      <c r="U5257" s="19" t="str">
        <f>HYPERLINK("https://pbs.twimg.com/profile_images/873417732712263680/D2msQ5Wh.jpg","View")</f>
        <v>View</v>
      </c>
      <c r="V5257" s="8"/>
      <c r="W5257" s="8"/>
      <c r="X5257" s="8"/>
      <c r="Y5257" s="8"/>
      <c r="Z5257" s="8"/>
    </row>
    <row r="5258" spans="1:26" ht="12.75">
      <c r="A5258" s="11">
        <v>43747.091736111106</v>
      </c>
      <c r="B5258" s="12" t="str">
        <f>HYPERLINK("https://twitter.com/ykpemreckmk","@ykpemreckmk")</f>
        <v>@ykpemreckmk</v>
      </c>
      <c r="C5258" s="7" t="s">
        <v>24980</v>
      </c>
      <c r="D5258" s="7" t="s">
        <v>24981</v>
      </c>
      <c r="E5258" s="12" t="str">
        <f>HYPERLINK("https://twitter.com/ykpemreckmk/status/1181859871953707008","1181859871953707008")</f>
        <v>1181859871953707008</v>
      </c>
      <c r="F5258" s="14" t="s">
        <v>15165</v>
      </c>
      <c r="G5258" s="14" t="s">
        <v>15166</v>
      </c>
      <c r="H5258" s="8"/>
      <c r="I5258" s="15">
        <v>0</v>
      </c>
      <c r="J5258" s="15">
        <v>2</v>
      </c>
      <c r="K5258" s="12" t="str">
        <f>HYPERLINK("http://twitter.com/download/android","Twitter for Android")</f>
        <v>Twitter for Android</v>
      </c>
      <c r="L5258" s="16">
        <v>69</v>
      </c>
      <c r="M5258" s="16">
        <v>124</v>
      </c>
      <c r="N5258" s="16">
        <v>0</v>
      </c>
      <c r="O5258" s="17"/>
      <c r="P5258" s="18">
        <v>41622.425462962965</v>
      </c>
      <c r="Q5258" s="8" t="s">
        <v>24982</v>
      </c>
      <c r="R5258" s="7" t="s">
        <v>24983</v>
      </c>
      <c r="S5258" s="8"/>
      <c r="T5258" s="8"/>
      <c r="U5258" s="19" t="str">
        <f>HYPERLINK("https://pbs.twimg.com/profile_images/1178883462863958017/LJ2NLLod.jpg","View")</f>
        <v>View</v>
      </c>
      <c r="V5258" s="8"/>
      <c r="W5258" s="8"/>
      <c r="X5258" s="8"/>
      <c r="Y5258" s="8"/>
      <c r="Z5258" s="8"/>
    </row>
    <row r="5259" spans="1:26" ht="12.75">
      <c r="A5259" s="11">
        <v>43747.091689814813</v>
      </c>
      <c r="B5259" s="12" t="str">
        <f>HYPERLINK("https://twitter.com/evp1982","@evp1982")</f>
        <v>@evp1982</v>
      </c>
      <c r="C5259" s="7" t="s">
        <v>24984</v>
      </c>
      <c r="D5259" s="7" t="s">
        <v>24985</v>
      </c>
      <c r="E5259" s="12" t="str">
        <f>HYPERLINK("https://twitter.com/evp1982/status/1181859855600095234","1181859855600095234")</f>
        <v>1181859855600095234</v>
      </c>
      <c r="F5259" s="8"/>
      <c r="G5259" s="14" t="s">
        <v>24986</v>
      </c>
      <c r="H5259" s="8"/>
      <c r="I5259" s="15">
        <v>1</v>
      </c>
      <c r="J5259" s="15">
        <v>14</v>
      </c>
      <c r="K5259" s="12" t="str">
        <f>HYPERLINK("http://twitter.com/download/android","Twitter for Android")</f>
        <v>Twitter for Android</v>
      </c>
      <c r="L5259" s="16">
        <v>5303</v>
      </c>
      <c r="M5259" s="16">
        <v>4487</v>
      </c>
      <c r="N5259" s="16">
        <v>3</v>
      </c>
      <c r="O5259" s="17"/>
      <c r="P5259" s="18">
        <v>41193.094537037039</v>
      </c>
      <c r="Q5259" s="8"/>
      <c r="R5259" s="7" t="s">
        <v>24987</v>
      </c>
      <c r="S5259" s="8"/>
      <c r="T5259" s="8"/>
      <c r="U5259" s="19" t="str">
        <f>HYPERLINK("https://pbs.twimg.com/profile_images/1177199286901268480/NdLBeqJA.jpg","View")</f>
        <v>View</v>
      </c>
      <c r="V5259" s="8"/>
      <c r="W5259" s="8"/>
      <c r="X5259" s="8"/>
      <c r="Y5259" s="8"/>
      <c r="Z5259" s="8"/>
    </row>
    <row r="5260" spans="1:26" ht="12.75">
      <c r="A5260" s="11">
        <v>43747.091678240744</v>
      </c>
      <c r="B5260" s="12" t="str">
        <f>HYPERLINK("https://twitter.com/vollkanGNY","@vollkanGNY")</f>
        <v>@vollkanGNY</v>
      </c>
      <c r="C5260" s="7" t="s">
        <v>24988</v>
      </c>
      <c r="D5260" s="7" t="s">
        <v>24989</v>
      </c>
      <c r="E5260" s="12" t="str">
        <f>HYPERLINK("https://twitter.com/vollkanGNY/status/1181859853729517569","1181859853729517569")</f>
        <v>1181859853729517569</v>
      </c>
      <c r="F5260" s="8"/>
      <c r="G5260" s="14" t="s">
        <v>24990</v>
      </c>
      <c r="H5260" s="8"/>
      <c r="I5260" s="15">
        <v>0</v>
      </c>
      <c r="J5260" s="15">
        <v>0</v>
      </c>
      <c r="K5260" s="12" t="str">
        <f>HYPERLINK("http://twitter.com/download/iphone","Twitter for iPhone")</f>
        <v>Twitter for iPhone</v>
      </c>
      <c r="L5260" s="16">
        <v>1998</v>
      </c>
      <c r="M5260" s="16">
        <v>1084</v>
      </c>
      <c r="N5260" s="16">
        <v>5</v>
      </c>
      <c r="O5260" s="17"/>
      <c r="P5260" s="18">
        <v>40389.514768518522</v>
      </c>
      <c r="Q5260" s="14" t="s">
        <v>24991</v>
      </c>
      <c r="R5260" s="7" t="s">
        <v>24992</v>
      </c>
      <c r="S5260" s="14" t="s">
        <v>24993</v>
      </c>
      <c r="T5260" s="8"/>
      <c r="U5260" s="19" t="str">
        <f>HYPERLINK("https://pbs.twimg.com/profile_images/1180911767834247170/APZj0u9N.jpg","View")</f>
        <v>View</v>
      </c>
      <c r="V5260" s="8"/>
      <c r="W5260" s="8"/>
      <c r="X5260" s="8"/>
      <c r="Y5260" s="8"/>
      <c r="Z5260" s="8"/>
    </row>
    <row r="5261" spans="1:26" ht="12.75">
      <c r="A5261" s="11">
        <v>43747.091585648144</v>
      </c>
      <c r="B5261" s="12" t="str">
        <f>HYPERLINK("https://twitter.com/Burakkazaanc_","@Burakkazaanc_")</f>
        <v>@Burakkazaanc_</v>
      </c>
      <c r="C5261" s="7" t="s">
        <v>11801</v>
      </c>
      <c r="D5261" s="15" t="s">
        <v>3552</v>
      </c>
      <c r="E5261" s="12" t="str">
        <f>HYPERLINK("https://twitter.com/Burakkazaanc_/status/1181859819206119426","1181859819206119426")</f>
        <v>1181859819206119426</v>
      </c>
      <c r="F5261" s="8"/>
      <c r="G5261" s="14" t="s">
        <v>24994</v>
      </c>
      <c r="H5261" s="8"/>
      <c r="I5261" s="15">
        <v>0</v>
      </c>
      <c r="J5261" s="15">
        <v>3</v>
      </c>
      <c r="K5261" s="12" t="str">
        <f>HYPERLINK("http://twitter.com/download/iphone","Twitter for iPhone")</f>
        <v>Twitter for iPhone</v>
      </c>
      <c r="L5261" s="16">
        <v>100</v>
      </c>
      <c r="M5261" s="16">
        <v>111</v>
      </c>
      <c r="N5261" s="16">
        <v>0</v>
      </c>
      <c r="O5261" s="17"/>
      <c r="P5261" s="18">
        <v>43395.25099537037</v>
      </c>
      <c r="Q5261" s="7" t="s">
        <v>10095</v>
      </c>
      <c r="R5261" s="14" t="s">
        <v>24995</v>
      </c>
      <c r="S5261" s="8"/>
      <c r="T5261" s="8"/>
      <c r="U5261" s="19" t="str">
        <f>HYPERLINK("https://pbs.twimg.com/profile_images/1123376036035596290/uDAFQda9.jpg","View")</f>
        <v>View</v>
      </c>
      <c r="V5261" s="8"/>
      <c r="W5261" s="8"/>
      <c r="X5261" s="8"/>
      <c r="Y5261" s="8"/>
      <c r="Z5261" s="8"/>
    </row>
    <row r="5262" spans="1:26" ht="12.75">
      <c r="A5262" s="11">
        <v>43747.091562500005</v>
      </c>
      <c r="B5262" s="12" t="str">
        <f>HYPERLINK("https://twitter.com/pekideyin","@pekideyin")</f>
        <v>@pekideyin</v>
      </c>
      <c r="C5262" s="7" t="s">
        <v>24996</v>
      </c>
      <c r="D5262" s="7" t="s">
        <v>24997</v>
      </c>
      <c r="E5262" s="12" t="str">
        <f>HYPERLINK("https://twitter.com/pekideyin/status/1181859811966816256","1181859811966816256")</f>
        <v>1181859811966816256</v>
      </c>
      <c r="F5262" s="8"/>
      <c r="G5262" s="15"/>
      <c r="H5262" s="8"/>
      <c r="I5262" s="15">
        <v>0</v>
      </c>
      <c r="J5262" s="15">
        <v>1</v>
      </c>
      <c r="K5262" s="12" t="str">
        <f>HYPERLINK("http://twitter.com/download/android","Twitter for Android")</f>
        <v>Twitter for Android</v>
      </c>
      <c r="L5262" s="16">
        <v>161</v>
      </c>
      <c r="M5262" s="16">
        <v>450</v>
      </c>
      <c r="N5262" s="16">
        <v>0</v>
      </c>
      <c r="O5262" s="17"/>
      <c r="P5262" s="18">
        <v>42116.713090277779</v>
      </c>
      <c r="Q5262" s="8"/>
      <c r="R5262" s="8"/>
      <c r="S5262" s="8"/>
      <c r="T5262" s="8"/>
      <c r="U5262" s="19" t="str">
        <f>HYPERLINK("https://pbs.twimg.com/profile_images/1156943312319930369/weJ398GK.jpg","View")</f>
        <v>View</v>
      </c>
      <c r="V5262" s="8"/>
      <c r="W5262" s="8"/>
      <c r="X5262" s="8"/>
      <c r="Y5262" s="8"/>
      <c r="Z5262" s="8"/>
    </row>
    <row r="5263" spans="1:26" ht="12.75">
      <c r="A5263" s="11">
        <v>43747.091550925921</v>
      </c>
      <c r="B5263" s="12" t="str">
        <f>HYPERLINK("https://twitter.com/mhmttondr","@mhmttondr")</f>
        <v>@mhmttondr</v>
      </c>
      <c r="C5263" s="7" t="s">
        <v>24998</v>
      </c>
      <c r="D5263" s="7" t="s">
        <v>24838</v>
      </c>
      <c r="E5263" s="12" t="str">
        <f>HYPERLINK("https://twitter.com/mhmttondr/status/1181859808653316096","1181859808653316096")</f>
        <v>1181859808653316096</v>
      </c>
      <c r="F5263" s="8"/>
      <c r="G5263" s="14" t="s">
        <v>24999</v>
      </c>
      <c r="H5263" s="8"/>
      <c r="I5263" s="15">
        <v>0</v>
      </c>
      <c r="J5263" s="15">
        <v>2</v>
      </c>
      <c r="K5263" s="12" t="str">
        <f>HYPERLINK("http://twitter.com/download/android","Twitter for Android")</f>
        <v>Twitter for Android</v>
      </c>
      <c r="L5263" s="16">
        <v>68</v>
      </c>
      <c r="M5263" s="16">
        <v>55</v>
      </c>
      <c r="N5263" s="16">
        <v>0</v>
      </c>
      <c r="O5263" s="17"/>
      <c r="P5263" s="18">
        <v>41483.646469907406</v>
      </c>
      <c r="Q5263" s="7" t="s">
        <v>860</v>
      </c>
      <c r="R5263" s="7" t="s">
        <v>25000</v>
      </c>
      <c r="S5263" s="8"/>
      <c r="T5263" s="8"/>
      <c r="U5263" s="19" t="str">
        <f>HYPERLINK("https://pbs.twimg.com/profile_images/1166256712447385602/8DZvrZtr.jpg","View")</f>
        <v>View</v>
      </c>
      <c r="V5263" s="8"/>
      <c r="W5263" s="8"/>
      <c r="X5263" s="8"/>
      <c r="Y5263" s="8"/>
      <c r="Z5263" s="8"/>
    </row>
    <row r="5264" spans="1:26" ht="12.75">
      <c r="A5264" s="11">
        <v>43747.091527777782</v>
      </c>
      <c r="B5264" s="12" t="str">
        <f>HYPERLINK("https://twitter.com/EmreSln1","@EmreSln1")</f>
        <v>@EmreSln1</v>
      </c>
      <c r="C5264" s="7" t="s">
        <v>25001</v>
      </c>
      <c r="D5264" s="7" t="s">
        <v>160</v>
      </c>
      <c r="E5264" s="12" t="str">
        <f>HYPERLINK("https://twitter.com/EmreSln1/status/1181859800214392833","1181859800214392833")</f>
        <v>1181859800214392833</v>
      </c>
      <c r="F5264" s="8"/>
      <c r="G5264" s="14" t="s">
        <v>25002</v>
      </c>
      <c r="H5264" s="8"/>
      <c r="I5264" s="15">
        <v>0</v>
      </c>
      <c r="J5264" s="15">
        <v>3</v>
      </c>
      <c r="K5264" s="12" t="str">
        <f>HYPERLINK("http://twitter.com/download/iphone","Twitter for iPhone")</f>
        <v>Twitter for iPhone</v>
      </c>
      <c r="L5264" s="16">
        <v>620</v>
      </c>
      <c r="M5264" s="16">
        <v>456</v>
      </c>
      <c r="N5264" s="16">
        <v>2</v>
      </c>
      <c r="O5264" s="17"/>
      <c r="P5264" s="18">
        <v>40950.150925925926</v>
      </c>
      <c r="Q5264" s="7" t="s">
        <v>313</v>
      </c>
      <c r="R5264" s="7" t="s">
        <v>25003</v>
      </c>
      <c r="S5264" s="14" t="s">
        <v>25004</v>
      </c>
      <c r="T5264" s="8"/>
      <c r="U5264" s="19" t="str">
        <f>HYPERLINK("https://pbs.twimg.com/profile_images/1088527303129419776/3aFR29Z9.jpg","View")</f>
        <v>View</v>
      </c>
      <c r="V5264" s="8"/>
      <c r="W5264" s="8"/>
      <c r="X5264" s="8"/>
      <c r="Y5264" s="8"/>
      <c r="Z5264" s="8"/>
    </row>
    <row r="5265" spans="1:26" ht="12.75">
      <c r="A5265" s="11">
        <v>43747.091446759259</v>
      </c>
      <c r="B5265" s="12" t="str">
        <f>HYPERLINK("https://twitter.com/irfandls","@irfandls")</f>
        <v>@irfandls</v>
      </c>
      <c r="C5265" s="7" t="s">
        <v>25005</v>
      </c>
      <c r="D5265" s="7" t="s">
        <v>160</v>
      </c>
      <c r="E5265" s="12" t="str">
        <f>HYPERLINK("https://twitter.com/irfandls/status/1181859769151315971","1181859769151315971")</f>
        <v>1181859769151315971</v>
      </c>
      <c r="F5265" s="8"/>
      <c r="G5265" s="14" t="s">
        <v>25006</v>
      </c>
      <c r="H5265" s="8"/>
      <c r="I5265" s="15">
        <v>0</v>
      </c>
      <c r="J5265" s="15">
        <v>2</v>
      </c>
      <c r="K5265" s="12" t="str">
        <f>HYPERLINK("http://twitter.com/download/iphone","Twitter for iPhone")</f>
        <v>Twitter for iPhone</v>
      </c>
      <c r="L5265" s="16">
        <v>13</v>
      </c>
      <c r="M5265" s="16">
        <v>32</v>
      </c>
      <c r="N5265" s="16">
        <v>0</v>
      </c>
      <c r="O5265" s="17"/>
      <c r="P5265" s="18">
        <v>43318.288715277777</v>
      </c>
      <c r="Q5265" s="8"/>
      <c r="R5265" s="8" t="s">
        <v>807</v>
      </c>
      <c r="S5265" s="8"/>
      <c r="T5265" s="8"/>
      <c r="U5265" s="19" t="str">
        <f>HYPERLINK("https://pbs.twimg.com/profile_images/1149235912175435776/e3x4digc.jpg","View")</f>
        <v>View</v>
      </c>
      <c r="V5265" s="8"/>
      <c r="W5265" s="8"/>
      <c r="X5265" s="8"/>
      <c r="Y5265" s="8"/>
      <c r="Z5265" s="8"/>
    </row>
    <row r="5266" spans="1:26" ht="12.75">
      <c r="A5266" s="11">
        <v>43747.091446759259</v>
      </c>
      <c r="B5266" s="12" t="str">
        <f>HYPERLINK("https://twitter.com/justFBycl55","@justFBycl55")</f>
        <v>@justFBycl55</v>
      </c>
      <c r="C5266" s="7" t="s">
        <v>25007</v>
      </c>
      <c r="D5266" s="7" t="s">
        <v>20866</v>
      </c>
      <c r="E5266" s="12" t="str">
        <f>HYPERLINK("https://twitter.com/justFBycl55/status/1181859769071603712","1181859769071603712")</f>
        <v>1181859769071603712</v>
      </c>
      <c r="F5266" s="8"/>
      <c r="G5266" s="15"/>
      <c r="H5266" s="8"/>
      <c r="I5266" s="15">
        <v>0</v>
      </c>
      <c r="J5266" s="15">
        <v>0</v>
      </c>
      <c r="K5266" s="12" t="str">
        <f>HYPERLINK("http://twitter.com/download/android","Twitter for Android")</f>
        <v>Twitter for Android</v>
      </c>
      <c r="L5266" s="16">
        <v>856</v>
      </c>
      <c r="M5266" s="16">
        <v>268</v>
      </c>
      <c r="N5266" s="16">
        <v>0</v>
      </c>
      <c r="O5266" s="17"/>
      <c r="P5266" s="18">
        <v>40766.312523148146</v>
      </c>
      <c r="Q5266" s="7"/>
      <c r="R5266" s="7" t="s">
        <v>25008</v>
      </c>
      <c r="S5266" s="8"/>
      <c r="T5266" s="8"/>
      <c r="U5266" s="19" t="str">
        <f>HYPERLINK("https://pbs.twimg.com/profile_images/1170630335962501120/9Yz7WQf2.jpg","View")</f>
        <v>View</v>
      </c>
      <c r="V5266" s="8"/>
      <c r="W5266" s="8"/>
      <c r="X5266" s="8"/>
      <c r="Y5266" s="8"/>
      <c r="Z5266" s="8"/>
    </row>
    <row r="5267" spans="1:26" ht="12.75">
      <c r="A5267" s="11">
        <v>43747.091435185182</v>
      </c>
      <c r="B5267" s="12" t="str">
        <f>HYPERLINK("https://twitter.com/SiyasetCafe_com","@SiyasetCafe_com")</f>
        <v>@SiyasetCafe_com</v>
      </c>
      <c r="C5267" s="7" t="s">
        <v>25009</v>
      </c>
      <c r="D5267" s="7" t="s">
        <v>25010</v>
      </c>
      <c r="E5267" s="12" t="str">
        <f>HYPERLINK("https://twitter.com/SiyasetCafe_com/status/1181859766722801664","1181859766722801664")</f>
        <v>1181859766722801664</v>
      </c>
      <c r="F5267" s="14" t="s">
        <v>25011</v>
      </c>
      <c r="G5267" s="8"/>
      <c r="H5267" s="8"/>
      <c r="I5267" s="15">
        <v>1</v>
      </c>
      <c r="J5267" s="15">
        <v>0</v>
      </c>
      <c r="K5267" s="12" t="str">
        <f>HYPERLINK("http://twitter.com","Twitter Web Client")</f>
        <v>Twitter Web Client</v>
      </c>
      <c r="L5267" s="16">
        <v>1213</v>
      </c>
      <c r="M5267" s="16">
        <v>0</v>
      </c>
      <c r="N5267" s="16">
        <v>1</v>
      </c>
      <c r="O5267" s="17"/>
      <c r="P5267" s="18">
        <v>43419.129837962959</v>
      </c>
      <c r="Q5267" s="7"/>
      <c r="R5267" s="7" t="s">
        <v>25012</v>
      </c>
      <c r="S5267" s="14" t="s">
        <v>25013</v>
      </c>
      <c r="T5267" s="8"/>
      <c r="U5267" s="19" t="str">
        <f>HYPERLINK("https://pbs.twimg.com/profile_images/1063027320750071809/6gtveMMQ.jpg","View")</f>
        <v>View</v>
      </c>
      <c r="V5267" s="8"/>
      <c r="W5267" s="8"/>
      <c r="X5267" s="8"/>
      <c r="Y5267" s="8"/>
      <c r="Z5267" s="8"/>
    </row>
    <row r="5268" spans="1:26" ht="12.75">
      <c r="A5268" s="11">
        <v>43747.091435185182</v>
      </c>
      <c r="B5268" s="12" t="str">
        <f>HYPERLINK("https://twitter.com/ilkyusta","@ilkyusta")</f>
        <v>@ilkyusta</v>
      </c>
      <c r="C5268" s="7" t="s">
        <v>25014</v>
      </c>
      <c r="D5268" s="7" t="s">
        <v>25015</v>
      </c>
      <c r="E5268" s="12" t="str">
        <f>HYPERLINK("https://twitter.com/ilkyusta/status/1181859766534098945","1181859766534098945")</f>
        <v>1181859766534098945</v>
      </c>
      <c r="F5268" s="8"/>
      <c r="G5268" s="14" t="s">
        <v>25016</v>
      </c>
      <c r="H5268" s="8"/>
      <c r="I5268" s="15">
        <v>0</v>
      </c>
      <c r="J5268" s="15">
        <v>0</v>
      </c>
      <c r="K5268" s="12" t="str">
        <f>HYPERLINK("http://twitter.com/download/iphone","Twitter for iPhone")</f>
        <v>Twitter for iPhone</v>
      </c>
      <c r="L5268" s="16">
        <v>37</v>
      </c>
      <c r="M5268" s="16">
        <v>44</v>
      </c>
      <c r="N5268" s="16">
        <v>0</v>
      </c>
      <c r="O5268" s="17"/>
      <c r="P5268" s="18">
        <v>43275.53633101852</v>
      </c>
      <c r="Q5268" s="7"/>
      <c r="R5268" s="7"/>
      <c r="S5268" s="8"/>
      <c r="T5268" s="8"/>
      <c r="U5268" s="19" t="str">
        <f>HYPERLINK("https://pbs.twimg.com/profile_images/1024357884216438784/Hhkrpscd.jpg","View")</f>
        <v>View</v>
      </c>
      <c r="V5268" s="8"/>
      <c r="W5268" s="8"/>
      <c r="X5268" s="8"/>
      <c r="Y5268" s="8"/>
      <c r="Z5268" s="8"/>
    </row>
    <row r="5269" spans="1:26" ht="12.75">
      <c r="A5269" s="11">
        <v>43747.091435185182</v>
      </c>
      <c r="B5269" s="12" t="str">
        <f>HYPERLINK("https://twitter.com/BayBaykoz","@BayBaykoz")</f>
        <v>@BayBaykoz</v>
      </c>
      <c r="C5269" s="7" t="s">
        <v>25017</v>
      </c>
      <c r="D5269" s="7" t="s">
        <v>160</v>
      </c>
      <c r="E5269" s="12" t="str">
        <f>HYPERLINK("https://twitter.com/BayBaykoz/status/1181859763786846209","1181859763786846209")</f>
        <v>1181859763786846209</v>
      </c>
      <c r="F5269" s="8"/>
      <c r="G5269" s="14" t="s">
        <v>25018</v>
      </c>
      <c r="H5269" s="8"/>
      <c r="I5269" s="15">
        <v>0</v>
      </c>
      <c r="J5269" s="15">
        <v>1</v>
      </c>
      <c r="K5269" s="12" t="str">
        <f>HYPERLINK("http://twitter.com/download/android","Twitter for Android")</f>
        <v>Twitter for Android</v>
      </c>
      <c r="L5269" s="16">
        <v>658</v>
      </c>
      <c r="M5269" s="16">
        <v>412</v>
      </c>
      <c r="N5269" s="16">
        <v>0</v>
      </c>
      <c r="O5269" s="17"/>
      <c r="P5269" s="18">
        <v>41578.299398148149</v>
      </c>
      <c r="Q5269" s="7"/>
      <c r="R5269" s="8" t="s">
        <v>25019</v>
      </c>
      <c r="S5269" s="8"/>
      <c r="T5269" s="8"/>
      <c r="U5269" s="19" t="str">
        <f>HYPERLINK("https://pbs.twimg.com/profile_images/853945822874136577/WnJ1asFp.jpg","View")</f>
        <v>View</v>
      </c>
      <c r="V5269" s="8"/>
      <c r="W5269" s="8"/>
      <c r="X5269" s="8"/>
      <c r="Y5269" s="8"/>
      <c r="Z5269" s="8"/>
    </row>
    <row r="5270" spans="1:26" ht="12.75">
      <c r="A5270" s="11">
        <v>43747.091412037036</v>
      </c>
      <c r="B5270" s="12" t="str">
        <f>HYPERLINK("https://twitter.com/Ahmedveysidemir","@Ahmedveysidemir")</f>
        <v>@Ahmedveysidemir</v>
      </c>
      <c r="C5270" s="7" t="s">
        <v>25020</v>
      </c>
      <c r="D5270" s="7" t="s">
        <v>25021</v>
      </c>
      <c r="E5270" s="12" t="str">
        <f>HYPERLINK("https://twitter.com/Ahmedveysidemir/status/1181859756933296128","1181859756933296128")</f>
        <v>1181859756933296128</v>
      </c>
      <c r="F5270" s="8"/>
      <c r="G5270" s="15"/>
      <c r="H5270" s="8"/>
      <c r="I5270" s="15">
        <v>0</v>
      </c>
      <c r="J5270" s="15">
        <v>0</v>
      </c>
      <c r="K5270" s="12" t="str">
        <f>HYPERLINK("http://twitter.com/download/android","Twitter for Android")</f>
        <v>Twitter for Android</v>
      </c>
      <c r="L5270" s="16">
        <v>58</v>
      </c>
      <c r="M5270" s="16">
        <v>45</v>
      </c>
      <c r="N5270" s="16">
        <v>0</v>
      </c>
      <c r="O5270" s="17"/>
      <c r="P5270" s="18">
        <v>42484.333900462967</v>
      </c>
      <c r="Q5270" s="7" t="s">
        <v>200</v>
      </c>
      <c r="R5270" s="7" t="s">
        <v>25022</v>
      </c>
      <c r="S5270" s="15"/>
      <c r="T5270" s="8"/>
      <c r="U5270" s="19" t="str">
        <f>HYPERLINK("https://pbs.twimg.com/profile_images/1181480127328395266/0l7DgxP0.jpg","View")</f>
        <v>View</v>
      </c>
      <c r="V5270" s="8"/>
      <c r="W5270" s="8"/>
      <c r="X5270" s="8"/>
      <c r="Y5270" s="8"/>
      <c r="Z5270" s="8"/>
    </row>
    <row r="5271" spans="1:26" ht="12.75">
      <c r="A5271" s="11">
        <v>43747.091354166667</v>
      </c>
      <c r="B5271" s="12" t="str">
        <f>HYPERLINK("https://twitter.com/19_5_Atam","@19_5_Atam")</f>
        <v>@19_5_Atam</v>
      </c>
      <c r="C5271" s="7" t="s">
        <v>25023</v>
      </c>
      <c r="D5271" s="7" t="s">
        <v>25024</v>
      </c>
      <c r="E5271" s="12" t="str">
        <f>HYPERLINK("https://twitter.com/19_5_Atam/status/1181859736288841728","1181859736288841728")</f>
        <v>1181859736288841728</v>
      </c>
      <c r="F5271" s="8"/>
      <c r="G5271" s="8"/>
      <c r="H5271" s="8"/>
      <c r="I5271" s="15">
        <v>0</v>
      </c>
      <c r="J5271" s="15">
        <v>1</v>
      </c>
      <c r="K5271" s="12" t="str">
        <f>HYPERLINK("http://twitter.com/download/iphone","Twitter for iPhone")</f>
        <v>Twitter for iPhone</v>
      </c>
      <c r="L5271" s="16">
        <v>171</v>
      </c>
      <c r="M5271" s="16">
        <v>172</v>
      </c>
      <c r="N5271" s="16">
        <v>0</v>
      </c>
      <c r="O5271" s="17"/>
      <c r="P5271" s="18">
        <v>43638.099074074074</v>
      </c>
      <c r="Q5271" s="7" t="s">
        <v>25025</v>
      </c>
      <c r="R5271" s="7" t="s">
        <v>25026</v>
      </c>
      <c r="S5271" s="8"/>
      <c r="T5271" s="8"/>
      <c r="U5271" s="19" t="str">
        <f>HYPERLINK("https://pbs.twimg.com/profile_images/1178988476101881856/6q_7Y4O1.jpg","View")</f>
        <v>View</v>
      </c>
      <c r="V5271" s="8"/>
      <c r="W5271" s="8"/>
      <c r="X5271" s="8"/>
      <c r="Y5271" s="8"/>
      <c r="Z5271" s="8"/>
    </row>
    <row r="5272" spans="1:26" ht="12.75">
      <c r="A5272" s="11">
        <v>43747.091273148151</v>
      </c>
      <c r="B5272" s="12" t="str">
        <f>HYPERLINK("https://twitter.com/MustafaEkin","@MustafaEkin")</f>
        <v>@MustafaEkin</v>
      </c>
      <c r="C5272" s="7" t="s">
        <v>25027</v>
      </c>
      <c r="D5272" s="7" t="s">
        <v>25028</v>
      </c>
      <c r="E5272" s="12" t="str">
        <f>HYPERLINK("https://twitter.com/MustafaEkin/status/1181859704168951809","1181859704168951809")</f>
        <v>1181859704168951809</v>
      </c>
      <c r="F5272" s="14" t="s">
        <v>25029</v>
      </c>
      <c r="G5272" s="15"/>
      <c r="H5272" s="8"/>
      <c r="I5272" s="15">
        <v>1</v>
      </c>
      <c r="J5272" s="15">
        <v>4</v>
      </c>
      <c r="K5272" s="12" t="str">
        <f>HYPERLINK("http://twitter.com/download/iphone","Twitter for iPhone")</f>
        <v>Twitter for iPhone</v>
      </c>
      <c r="L5272" s="16">
        <v>23572</v>
      </c>
      <c r="M5272" s="16">
        <v>13702</v>
      </c>
      <c r="N5272" s="16">
        <v>17</v>
      </c>
      <c r="O5272" s="17"/>
      <c r="P5272" s="18">
        <v>40024.524155092593</v>
      </c>
      <c r="Q5272" s="7" t="s">
        <v>25030</v>
      </c>
      <c r="R5272" s="8" t="s">
        <v>25031</v>
      </c>
      <c r="S5272" s="14" t="s">
        <v>25032</v>
      </c>
      <c r="T5272" s="8"/>
      <c r="U5272" s="19" t="str">
        <f>HYPERLINK("https://pbs.twimg.com/profile_images/1180368079127240704/4-jMjPnM.jpg","View")</f>
        <v>View</v>
      </c>
      <c r="V5272" s="8"/>
      <c r="W5272" s="8"/>
      <c r="X5272" s="8"/>
      <c r="Y5272" s="8"/>
      <c r="Z5272" s="8"/>
    </row>
    <row r="5273" spans="1:26" ht="12.75">
      <c r="A5273" s="11">
        <v>43747.091249999998</v>
      </c>
      <c r="B5273" s="12" t="str">
        <f>HYPERLINK("https://twitter.com/mrngstrluci","@mrngstrluci")</f>
        <v>@mrngstrluci</v>
      </c>
      <c r="C5273" s="7" t="s">
        <v>25033</v>
      </c>
      <c r="D5273" s="7" t="s">
        <v>25034</v>
      </c>
      <c r="E5273" s="12" t="str">
        <f>HYPERLINK("https://twitter.com/mrngstrluci/status/1181859696388575232","1181859696388575232")</f>
        <v>1181859696388575232</v>
      </c>
      <c r="F5273" s="8"/>
      <c r="G5273" s="14" t="s">
        <v>25035</v>
      </c>
      <c r="H5273" s="8"/>
      <c r="I5273" s="15">
        <v>0</v>
      </c>
      <c r="J5273" s="15">
        <v>1</v>
      </c>
      <c r="K5273" s="12" t="str">
        <f>HYPERLINK("http://twitter.com/download/iphone","Twitter for iPhone")</f>
        <v>Twitter for iPhone</v>
      </c>
      <c r="L5273" s="16">
        <v>545</v>
      </c>
      <c r="M5273" s="16">
        <v>542</v>
      </c>
      <c r="N5273" s="16">
        <v>0</v>
      </c>
      <c r="O5273" s="17"/>
      <c r="P5273" s="18">
        <v>42973.238842592589</v>
      </c>
      <c r="Q5273" s="7" t="s">
        <v>15181</v>
      </c>
      <c r="R5273" s="7" t="s">
        <v>25036</v>
      </c>
      <c r="S5273" s="15"/>
      <c r="T5273" s="8"/>
      <c r="U5273" s="19" t="str">
        <f>HYPERLINK("https://pbs.twimg.com/profile_images/1178265219040194561/FLEKqViu.jpg","View")</f>
        <v>View</v>
      </c>
      <c r="V5273" s="8"/>
      <c r="W5273" s="8"/>
      <c r="X5273" s="8"/>
      <c r="Y5273" s="8"/>
      <c r="Z5273" s="8"/>
    </row>
    <row r="5274" spans="1:26" ht="12.75">
      <c r="A5274" s="11">
        <v>43747.091215277775</v>
      </c>
      <c r="B5274" s="12" t="str">
        <f>HYPERLINK("https://twitter.com/CumaGUZEL16","@CumaGUZEL16")</f>
        <v>@CumaGUZEL16</v>
      </c>
      <c r="C5274" s="7" t="s">
        <v>25037</v>
      </c>
      <c r="D5274" s="7" t="s">
        <v>25038</v>
      </c>
      <c r="E5274" s="12" t="str">
        <f>HYPERLINK("https://twitter.com/CumaGUZEL16/status/1181859683197493248","1181859683197493248")</f>
        <v>1181859683197493248</v>
      </c>
      <c r="F5274" s="14" t="s">
        <v>25039</v>
      </c>
      <c r="G5274" s="14" t="s">
        <v>25040</v>
      </c>
      <c r="H5274" s="8"/>
      <c r="I5274" s="15">
        <v>0</v>
      </c>
      <c r="J5274" s="15">
        <v>2</v>
      </c>
      <c r="K5274" s="12" t="str">
        <f>HYPERLINK("http://twitter.com/download/android","Twitter for Android")</f>
        <v>Twitter for Android</v>
      </c>
      <c r="L5274" s="16">
        <v>1192</v>
      </c>
      <c r="M5274" s="16">
        <v>423</v>
      </c>
      <c r="N5274" s="16">
        <v>0</v>
      </c>
      <c r="O5274" s="17"/>
      <c r="P5274" s="18">
        <v>43053.457615740743</v>
      </c>
      <c r="Q5274" s="7" t="s">
        <v>69</v>
      </c>
      <c r="R5274" s="7" t="s">
        <v>25041</v>
      </c>
      <c r="S5274" s="8"/>
      <c r="T5274" s="8"/>
      <c r="U5274" s="19" t="str">
        <f>HYPERLINK("https://pbs.twimg.com/profile_images/1162725367150534656/d5rGN6YR.jpg","View")</f>
        <v>View</v>
      </c>
      <c r="V5274" s="8"/>
      <c r="W5274" s="8"/>
      <c r="X5274" s="8"/>
      <c r="Y5274" s="8"/>
      <c r="Z5274" s="8"/>
    </row>
    <row r="5275" spans="1:26" ht="12.75">
      <c r="A5275" s="11">
        <v>43747.091192129628</v>
      </c>
      <c r="B5275" s="12" t="str">
        <f>HYPERLINK("https://twitter.com/bahri_ozuylasi","@bahri_ozuylasi")</f>
        <v>@bahri_ozuylasi</v>
      </c>
      <c r="C5275" s="7" t="s">
        <v>25042</v>
      </c>
      <c r="D5275" s="7" t="s">
        <v>25043</v>
      </c>
      <c r="E5275" s="12" t="str">
        <f>HYPERLINK("https://twitter.com/bahri_ozuylasi/status/1181859677958746112","1181859677958746112")</f>
        <v>1181859677958746112</v>
      </c>
      <c r="F5275" s="8"/>
      <c r="G5275" s="14" t="s">
        <v>25044</v>
      </c>
      <c r="H5275" s="8"/>
      <c r="I5275" s="15">
        <v>0</v>
      </c>
      <c r="J5275" s="15">
        <v>1</v>
      </c>
      <c r="K5275" s="12" t="str">
        <f>HYPERLINK("http://twitter.com/download/android","Twitter for Android")</f>
        <v>Twitter for Android</v>
      </c>
      <c r="L5275" s="16">
        <v>28</v>
      </c>
      <c r="M5275" s="16">
        <v>72</v>
      </c>
      <c r="N5275" s="16">
        <v>0</v>
      </c>
      <c r="O5275" s="17"/>
      <c r="P5275" s="18">
        <v>43562.038449074069</v>
      </c>
      <c r="Q5275" s="7"/>
      <c r="R5275" s="7" t="s">
        <v>25045</v>
      </c>
      <c r="S5275" s="8"/>
      <c r="T5275" s="8"/>
      <c r="U5275" s="19" t="str">
        <f>HYPERLINK("https://pbs.twimg.com/profile_images/1114842175601303552/f_wr44Ny.jpg","View")</f>
        <v>View</v>
      </c>
      <c r="V5275" s="8"/>
      <c r="W5275" s="8"/>
      <c r="X5275" s="8"/>
      <c r="Y5275" s="8"/>
      <c r="Z5275" s="8"/>
    </row>
    <row r="5276" spans="1:26" ht="12.75">
      <c r="A5276" s="11">
        <v>43747.091180555552</v>
      </c>
      <c r="B5276" s="12" t="str">
        <f>HYPERLINK("https://twitter.com/jonturknet","@jonturknet")</f>
        <v>@jonturknet</v>
      </c>
      <c r="C5276" s="7" t="s">
        <v>25046</v>
      </c>
      <c r="D5276" s="7" t="s">
        <v>25047</v>
      </c>
      <c r="E5276" s="12" t="str">
        <f>HYPERLINK("https://twitter.com/jonturknet/status/1181859672300642307","1181859672300642307")</f>
        <v>1181859672300642307</v>
      </c>
      <c r="F5276" s="14" t="s">
        <v>25048</v>
      </c>
      <c r="G5276" s="14" t="s">
        <v>25049</v>
      </c>
      <c r="H5276" s="8"/>
      <c r="I5276" s="15">
        <v>0</v>
      </c>
      <c r="J5276" s="15">
        <v>2</v>
      </c>
      <c r="K5276" s="12" t="str">
        <f>HYPERLINK("https://mobile.twitter.com","Twitter Web App")</f>
        <v>Twitter Web App</v>
      </c>
      <c r="L5276" s="16">
        <v>5924</v>
      </c>
      <c r="M5276" s="16">
        <v>31</v>
      </c>
      <c r="N5276" s="16">
        <v>29</v>
      </c>
      <c r="O5276" s="17"/>
      <c r="P5276" s="18">
        <v>40121.610879629632</v>
      </c>
      <c r="Q5276" s="7" t="s">
        <v>25050</v>
      </c>
      <c r="R5276" s="7" t="s">
        <v>25051</v>
      </c>
      <c r="S5276" s="14" t="s">
        <v>25052</v>
      </c>
      <c r="T5276" s="8"/>
      <c r="U5276" s="19" t="str">
        <f>HYPERLINK("https://pbs.twimg.com/profile_images/510363130/jonturk.jpg","View")</f>
        <v>View</v>
      </c>
      <c r="V5276" s="8"/>
      <c r="W5276" s="8"/>
      <c r="X5276" s="8"/>
      <c r="Y5276" s="8"/>
      <c r="Z5276" s="8"/>
    </row>
    <row r="5277" spans="1:26" ht="12.75">
      <c r="A5277" s="11">
        <v>43747.091168981482</v>
      </c>
      <c r="B5277" s="12" t="str">
        <f>HYPERLINK("https://twitter.com/aysena_ay","@aysena_ay")</f>
        <v>@aysena_ay</v>
      </c>
      <c r="C5277" s="7" t="s">
        <v>25053</v>
      </c>
      <c r="D5277" s="7" t="s">
        <v>25054</v>
      </c>
      <c r="E5277" s="12" t="str">
        <f>HYPERLINK("https://twitter.com/aysena_ay/status/1181859667707908096","1181859667707908096")</f>
        <v>1181859667707908096</v>
      </c>
      <c r="F5277" s="8"/>
      <c r="G5277" s="15"/>
      <c r="H5277" s="8"/>
      <c r="I5277" s="15">
        <v>3</v>
      </c>
      <c r="J5277" s="15">
        <v>11</v>
      </c>
      <c r="K5277" s="12" t="str">
        <f>HYPERLINK("http://twitter.com/download/android","Twitter for Android")</f>
        <v>Twitter for Android</v>
      </c>
      <c r="L5277" s="16">
        <v>4599</v>
      </c>
      <c r="M5277" s="16">
        <v>5015</v>
      </c>
      <c r="N5277" s="16">
        <v>2</v>
      </c>
      <c r="O5277" s="17"/>
      <c r="P5277" s="18">
        <v>43133.39472222222</v>
      </c>
      <c r="Q5277" s="8"/>
      <c r="R5277" s="7" t="s">
        <v>25055</v>
      </c>
      <c r="S5277" s="15"/>
      <c r="T5277" s="8"/>
      <c r="U5277" s="19" t="str">
        <f>HYPERLINK("https://pbs.twimg.com/profile_images/1150722252683522049/ScREDk05.jpg","View")</f>
        <v>View</v>
      </c>
      <c r="V5277" s="8"/>
      <c r="W5277" s="8"/>
      <c r="X5277" s="8"/>
      <c r="Y5277" s="8"/>
      <c r="Z5277" s="8"/>
    </row>
    <row r="5278" spans="1:26" ht="12.75">
      <c r="A5278" s="11">
        <v>43747.091134259259</v>
      </c>
      <c r="B5278" s="12" t="str">
        <f>HYPERLINK("https://twitter.com/fyusufistek","@fyusufistek")</f>
        <v>@fyusufistek</v>
      </c>
      <c r="C5278" s="7" t="s">
        <v>1607</v>
      </c>
      <c r="D5278" s="7" t="s">
        <v>14293</v>
      </c>
      <c r="E5278" s="12" t="str">
        <f>HYPERLINK("https://twitter.com/fyusufistek/status/1181859654600728576","1181859654600728576")</f>
        <v>1181859654600728576</v>
      </c>
      <c r="F5278" s="15"/>
      <c r="G5278" s="14" t="s">
        <v>25056</v>
      </c>
      <c r="H5278" s="8"/>
      <c r="I5278" s="15">
        <v>0</v>
      </c>
      <c r="J5278" s="15">
        <v>3</v>
      </c>
      <c r="K5278" s="12" t="str">
        <f>HYPERLINK("http://twitter.com/download/iphone","Twitter for iPhone")</f>
        <v>Twitter for iPhone</v>
      </c>
      <c r="L5278" s="16">
        <v>69</v>
      </c>
      <c r="M5278" s="16">
        <v>288</v>
      </c>
      <c r="N5278" s="16">
        <v>0</v>
      </c>
      <c r="O5278" s="17"/>
      <c r="P5278" s="18">
        <v>40221.33084490741</v>
      </c>
      <c r="Q5278" s="8" t="s">
        <v>2592</v>
      </c>
      <c r="R5278" s="8" t="s">
        <v>25057</v>
      </c>
      <c r="S5278" s="8"/>
      <c r="T5278" s="8"/>
      <c r="U5278" s="19" t="str">
        <f>HYPERLINK("https://pbs.twimg.com/profile_images/1173222921155874819/c2wDwkYE.jpg","View")</f>
        <v>View</v>
      </c>
      <c r="V5278" s="8"/>
      <c r="W5278" s="8"/>
      <c r="X5278" s="8"/>
      <c r="Y5278" s="8"/>
      <c r="Z5278" s="8"/>
    </row>
    <row r="5279" spans="1:26" ht="12.75">
      <c r="A5279" s="11">
        <v>43747.091122685189</v>
      </c>
      <c r="B5279" s="12" t="str">
        <f>HYPERLINK("https://twitter.com/Kenaaan1905","@Kenaaan1905")</f>
        <v>@Kenaaan1905</v>
      </c>
      <c r="C5279" s="7" t="s">
        <v>25058</v>
      </c>
      <c r="D5279" s="7" t="s">
        <v>25059</v>
      </c>
      <c r="E5279" s="12" t="str">
        <f>HYPERLINK("https://twitter.com/Kenaaan1905/status/1181859653736681472","1181859653736681472")</f>
        <v>1181859653736681472</v>
      </c>
      <c r="F5279" s="8"/>
      <c r="G5279" s="14" t="s">
        <v>25060</v>
      </c>
      <c r="H5279" s="8"/>
      <c r="I5279" s="15">
        <v>0</v>
      </c>
      <c r="J5279" s="15">
        <v>4</v>
      </c>
      <c r="K5279" s="12" t="str">
        <f>HYPERLINK("http://twitter.com/download/android","Twitter for Android")</f>
        <v>Twitter for Android</v>
      </c>
      <c r="L5279" s="16">
        <v>1985</v>
      </c>
      <c r="M5279" s="16">
        <v>1946</v>
      </c>
      <c r="N5279" s="16">
        <v>0</v>
      </c>
      <c r="O5279" s="17"/>
      <c r="P5279" s="18">
        <v>42856.579791666663</v>
      </c>
      <c r="Q5279" s="7" t="s">
        <v>2050</v>
      </c>
      <c r="R5279" s="7" t="s">
        <v>25061</v>
      </c>
      <c r="S5279" s="15"/>
      <c r="T5279" s="8"/>
      <c r="U5279" s="19" t="str">
        <f>HYPERLINK("https://pbs.twimg.com/profile_images/1151183083531657216/S_o89b3-.jpg","View")</f>
        <v>View</v>
      </c>
      <c r="V5279" s="8"/>
      <c r="W5279" s="8"/>
      <c r="X5279" s="8"/>
      <c r="Y5279" s="8"/>
      <c r="Z5279" s="8"/>
    </row>
    <row r="5280" spans="1:26" ht="12.75">
      <c r="A5280" s="11">
        <v>43747.091122685189</v>
      </c>
      <c r="B5280" s="12" t="str">
        <f>HYPERLINK("https://twitter.com/Ahmt_Akcy1","@Ahmt_Akcy1")</f>
        <v>@Ahmt_Akcy1</v>
      </c>
      <c r="C5280" s="7" t="s">
        <v>25062</v>
      </c>
      <c r="D5280" s="7" t="s">
        <v>25063</v>
      </c>
      <c r="E5280" s="12" t="str">
        <f>HYPERLINK("https://twitter.com/Ahmt_Akcy1/status/1181859651685699584","1181859651685699584")</f>
        <v>1181859651685699584</v>
      </c>
      <c r="F5280" s="8"/>
      <c r="G5280" s="15"/>
      <c r="H5280" s="8"/>
      <c r="I5280" s="15">
        <v>0</v>
      </c>
      <c r="J5280" s="15">
        <v>0</v>
      </c>
      <c r="K5280" s="12" t="str">
        <f>HYPERLINK("http://twitter.com/download/android","Twitter for Android")</f>
        <v>Twitter for Android</v>
      </c>
      <c r="L5280" s="16">
        <v>5</v>
      </c>
      <c r="M5280" s="16">
        <v>73</v>
      </c>
      <c r="N5280" s="16">
        <v>0</v>
      </c>
      <c r="O5280" s="17"/>
      <c r="P5280" s="18">
        <v>43302.508703703701</v>
      </c>
      <c r="Q5280" s="7"/>
      <c r="R5280" s="7"/>
      <c r="S5280" s="8"/>
      <c r="T5280" s="8"/>
      <c r="U5280" s="19" t="str">
        <f>HYPERLINK("https://pbs.twimg.com/profile_images/1020749654193995778/1g8sqJN4.jpg","View")</f>
        <v>View</v>
      </c>
      <c r="V5280" s="8"/>
      <c r="W5280" s="8"/>
      <c r="X5280" s="8"/>
      <c r="Y5280" s="8"/>
      <c r="Z5280" s="8"/>
    </row>
    <row r="5281" spans="1:26" ht="12.75">
      <c r="A5281" s="11">
        <v>43747.091099537036</v>
      </c>
      <c r="B5281" s="12" t="str">
        <f>HYPERLINK("https://twitter.com/topuzk5","@topuzk5")</f>
        <v>@topuzk5</v>
      </c>
      <c r="C5281" s="7" t="s">
        <v>25064</v>
      </c>
      <c r="D5281" s="7" t="s">
        <v>13999</v>
      </c>
      <c r="E5281" s="12" t="str">
        <f>HYPERLINK("https://twitter.com/topuzk5/status/1181859644689571842","1181859644689571842")</f>
        <v>1181859644689571842</v>
      </c>
      <c r="F5281" s="8"/>
      <c r="G5281" s="14" t="s">
        <v>25065</v>
      </c>
      <c r="H5281" s="8"/>
      <c r="I5281" s="15">
        <v>0</v>
      </c>
      <c r="J5281" s="15">
        <v>4</v>
      </c>
      <c r="K5281" s="12" t="str">
        <f>HYPERLINK("http://twitter.com/download/iphone","Twitter for iPhone")</f>
        <v>Twitter for iPhone</v>
      </c>
      <c r="L5281" s="16">
        <v>762</v>
      </c>
      <c r="M5281" s="16">
        <v>693</v>
      </c>
      <c r="N5281" s="16">
        <v>0</v>
      </c>
      <c r="O5281" s="17"/>
      <c r="P5281" s="18">
        <v>41687.491168981483</v>
      </c>
      <c r="Q5281" s="8" t="s">
        <v>25066</v>
      </c>
      <c r="R5281" s="7" t="s">
        <v>25067</v>
      </c>
      <c r="S5281" s="8"/>
      <c r="T5281" s="8"/>
      <c r="U5281" s="19" t="str">
        <f>HYPERLINK("https://pbs.twimg.com/profile_images/1151410747651567616/hchHFDXp.jpg","View")</f>
        <v>View</v>
      </c>
      <c r="V5281" s="8"/>
      <c r="W5281" s="8"/>
      <c r="X5281" s="8"/>
      <c r="Y5281" s="8"/>
      <c r="Z5281" s="8"/>
    </row>
    <row r="5282" spans="1:26" ht="12.75">
      <c r="A5282" s="11">
        <v>43747.09107638889</v>
      </c>
      <c r="B5282" s="12" t="str">
        <f>HYPERLINK("https://twitter.com/furkanthemosby","@furkanthemosby")</f>
        <v>@furkanthemosby</v>
      </c>
      <c r="C5282" s="7" t="s">
        <v>25068</v>
      </c>
      <c r="D5282" s="7" t="s">
        <v>25069</v>
      </c>
      <c r="E5282" s="12" t="str">
        <f>HYPERLINK("https://twitter.com/furkanthemosby/status/1181859635374022656","1181859635374022656")</f>
        <v>1181859635374022656</v>
      </c>
      <c r="F5282" s="14" t="s">
        <v>25070</v>
      </c>
      <c r="G5282" s="15"/>
      <c r="H5282" s="8"/>
      <c r="I5282" s="15">
        <v>0</v>
      </c>
      <c r="J5282" s="15">
        <v>0</v>
      </c>
      <c r="K5282" s="12" t="str">
        <f>HYPERLINK("http://twitter.com/download/android","Twitter for Android")</f>
        <v>Twitter for Android</v>
      </c>
      <c r="L5282" s="16">
        <v>120</v>
      </c>
      <c r="M5282" s="16">
        <v>191</v>
      </c>
      <c r="N5282" s="16">
        <v>0</v>
      </c>
      <c r="O5282" s="17"/>
      <c r="P5282" s="18">
        <v>43293.54650462963</v>
      </c>
      <c r="Q5282" s="7"/>
      <c r="R5282" s="7" t="s">
        <v>25071</v>
      </c>
      <c r="S5282" s="8"/>
      <c r="T5282" s="8"/>
      <c r="U5282" s="19" t="str">
        <f>HYPERLINK("https://pbs.twimg.com/profile_images/1017502339094245377/B38YeccM.jpg","View")</f>
        <v>View</v>
      </c>
      <c r="V5282" s="8"/>
      <c r="W5282" s="8"/>
      <c r="X5282" s="8"/>
      <c r="Y5282" s="8"/>
      <c r="Z5282" s="8"/>
    </row>
    <row r="5283" spans="1:26" ht="12.75">
      <c r="A5283" s="11">
        <v>43747.091064814813</v>
      </c>
      <c r="B5283" s="12" t="str">
        <f>HYPERLINK("https://twitter.com/eaglemman","@eaglemman")</f>
        <v>@eaglemman</v>
      </c>
      <c r="C5283" s="7" t="s">
        <v>25072</v>
      </c>
      <c r="D5283" s="7" t="s">
        <v>25073</v>
      </c>
      <c r="E5283" s="12" t="str">
        <f>HYPERLINK("https://twitter.com/eaglemman/status/1181859628617015297","1181859628617015297")</f>
        <v>1181859628617015297</v>
      </c>
      <c r="F5283" s="8"/>
      <c r="G5283" s="14" t="s">
        <v>25074</v>
      </c>
      <c r="H5283" s="8"/>
      <c r="I5283" s="15">
        <v>0</v>
      </c>
      <c r="J5283" s="15">
        <v>3</v>
      </c>
      <c r="K5283" s="12" t="str">
        <f>HYPERLINK("http://twitter.com/download/iphone","Twitter for iPhone")</f>
        <v>Twitter for iPhone</v>
      </c>
      <c r="L5283" s="16">
        <v>59</v>
      </c>
      <c r="M5283" s="16">
        <v>68</v>
      </c>
      <c r="N5283" s="16">
        <v>0</v>
      </c>
      <c r="O5283" s="17"/>
      <c r="P5283" s="18">
        <v>42954.44667824074</v>
      </c>
      <c r="Q5283" s="8" t="s">
        <v>200</v>
      </c>
      <c r="R5283" s="8" t="s">
        <v>25075</v>
      </c>
      <c r="S5283" s="14" t="s">
        <v>25076</v>
      </c>
      <c r="T5283" s="8"/>
      <c r="U5283" s="19" t="str">
        <f>HYPERLINK("https://pbs.twimg.com/profile_images/1151471864906227712/JaEOY-Il.jpg","View")</f>
        <v>View</v>
      </c>
      <c r="V5283" s="8"/>
      <c r="W5283" s="8"/>
      <c r="X5283" s="8"/>
      <c r="Y5283" s="8"/>
      <c r="Z5283" s="8"/>
    </row>
    <row r="5284" spans="1:26" ht="12.75">
      <c r="A5284" s="11">
        <v>43747.091053240743</v>
      </c>
      <c r="B5284" s="12" t="str">
        <f>HYPERLINK("https://twitter.com/41incier","@41incier")</f>
        <v>@41incier</v>
      </c>
      <c r="C5284" s="7" t="s">
        <v>25077</v>
      </c>
      <c r="D5284" s="7" t="s">
        <v>25078</v>
      </c>
      <c r="E5284" s="12" t="str">
        <f>HYPERLINK("https://twitter.com/41incier/status/1181859626964459521","1181859626964459521")</f>
        <v>1181859626964459521</v>
      </c>
      <c r="F5284" s="8"/>
      <c r="G5284" s="14" t="s">
        <v>25079</v>
      </c>
      <c r="H5284" s="8"/>
      <c r="I5284" s="15">
        <v>0</v>
      </c>
      <c r="J5284" s="15">
        <v>5</v>
      </c>
      <c r="K5284" s="12" t="str">
        <f>HYPERLINK("http://twitter.com/download/android","Twitter for Android")</f>
        <v>Twitter for Android</v>
      </c>
      <c r="L5284" s="16">
        <v>239</v>
      </c>
      <c r="M5284" s="16">
        <v>196</v>
      </c>
      <c r="N5284" s="16">
        <v>0</v>
      </c>
      <c r="O5284" s="17"/>
      <c r="P5284" s="18">
        <v>40938.134606481479</v>
      </c>
      <c r="Q5284" s="8" t="s">
        <v>25080</v>
      </c>
      <c r="R5284" s="8" t="s">
        <v>25081</v>
      </c>
      <c r="S5284" s="8"/>
      <c r="T5284" s="8"/>
      <c r="U5284" s="19" t="str">
        <f>HYPERLINK("https://pbs.twimg.com/profile_images/1127601190697676800/r8P9CLdr.jpg","View")</f>
        <v>View</v>
      </c>
      <c r="V5284" s="8"/>
      <c r="W5284" s="8"/>
      <c r="X5284" s="8"/>
      <c r="Y5284" s="8"/>
      <c r="Z5284" s="8"/>
    </row>
    <row r="5285" spans="1:26" ht="12.75">
      <c r="A5285" s="11">
        <v>43747.091006944444</v>
      </c>
      <c r="B5285" s="12" t="str">
        <f>HYPERLINK("https://twitter.com/burcu_VII","@burcu_VII")</f>
        <v>@burcu_VII</v>
      </c>
      <c r="C5285" s="7" t="s">
        <v>25082</v>
      </c>
      <c r="D5285" s="7" t="s">
        <v>25083</v>
      </c>
      <c r="E5285" s="12" t="str">
        <f>HYPERLINK("https://twitter.com/burcu_VII/status/1181859608975028225","1181859608975028225")</f>
        <v>1181859608975028225</v>
      </c>
      <c r="F5285" s="8"/>
      <c r="G5285" s="14" t="s">
        <v>25084</v>
      </c>
      <c r="H5285" s="8"/>
      <c r="I5285" s="15">
        <v>0</v>
      </c>
      <c r="J5285" s="15">
        <v>4</v>
      </c>
      <c r="K5285" s="12" t="str">
        <f>HYPERLINK("http://twitter.com/download/iphone","Twitter for iPhone")</f>
        <v>Twitter for iPhone</v>
      </c>
      <c r="L5285" s="16">
        <v>101</v>
      </c>
      <c r="M5285" s="16">
        <v>24</v>
      </c>
      <c r="N5285" s="16">
        <v>0</v>
      </c>
      <c r="O5285" s="17"/>
      <c r="P5285" s="18">
        <v>43380.100416666668</v>
      </c>
      <c r="Q5285" s="7"/>
      <c r="R5285" s="7" t="s">
        <v>25085</v>
      </c>
      <c r="S5285" s="8"/>
      <c r="T5285" s="8"/>
      <c r="U5285" s="19" t="str">
        <f>HYPERLINK("https://pbs.twimg.com/profile_images/1162464424558551046/BJruV0t5.jpg","View")</f>
        <v>View</v>
      </c>
      <c r="V5285" s="8"/>
      <c r="W5285" s="8"/>
      <c r="X5285" s="8"/>
      <c r="Y5285" s="8"/>
      <c r="Z5285" s="8"/>
    </row>
    <row r="5286" spans="1:26" ht="12.75">
      <c r="A5286" s="11">
        <v>43747.09097222222</v>
      </c>
      <c r="B5286" s="12" t="str">
        <f>HYPERLINK("https://twitter.com/mr_enees","@mr_enees")</f>
        <v>@mr_enees</v>
      </c>
      <c r="C5286" s="7" t="s">
        <v>25086</v>
      </c>
      <c r="D5286" s="7" t="s">
        <v>25087</v>
      </c>
      <c r="E5286" s="12" t="str">
        <f>HYPERLINK("https://twitter.com/mr_enees/status/1181859598476730368","1181859598476730368")</f>
        <v>1181859598476730368</v>
      </c>
      <c r="F5286" s="8"/>
      <c r="G5286" s="14" t="s">
        <v>25088</v>
      </c>
      <c r="H5286" s="8"/>
      <c r="I5286" s="15">
        <v>0</v>
      </c>
      <c r="J5286" s="15">
        <v>2</v>
      </c>
      <c r="K5286" s="12" t="str">
        <f>HYPERLINK("http://twitter.com/download/android","Twitter for Android")</f>
        <v>Twitter for Android</v>
      </c>
      <c r="L5286" s="16">
        <v>594</v>
      </c>
      <c r="M5286" s="16">
        <v>436</v>
      </c>
      <c r="N5286" s="16">
        <v>0</v>
      </c>
      <c r="O5286" s="17"/>
      <c r="P5286" s="18">
        <v>43439.513194444444</v>
      </c>
      <c r="Q5286" s="7" t="s">
        <v>2277</v>
      </c>
      <c r="R5286" s="7" t="s">
        <v>25089</v>
      </c>
      <c r="S5286" s="14" t="s">
        <v>25090</v>
      </c>
      <c r="T5286" s="8"/>
      <c r="U5286" s="19" t="str">
        <f>HYPERLINK("https://pbs.twimg.com/profile_images/1112089918287872001/xgqAN3Yp.jpg","View")</f>
        <v>View</v>
      </c>
      <c r="V5286" s="8"/>
      <c r="W5286" s="8"/>
      <c r="X5286" s="8"/>
      <c r="Y5286" s="8"/>
      <c r="Z5286" s="8"/>
    </row>
    <row r="5287" spans="1:26" ht="12.75">
      <c r="A5287" s="11">
        <v>43747.090960648144</v>
      </c>
      <c r="B5287" s="12" t="str">
        <f>HYPERLINK("https://twitter.com/Patara78digomi","@Patara78digomi")</f>
        <v>@Patara78digomi</v>
      </c>
      <c r="C5287" s="7" t="s">
        <v>25091</v>
      </c>
      <c r="D5287" s="7" t="s">
        <v>25092</v>
      </c>
      <c r="E5287" s="12" t="str">
        <f>HYPERLINK("https://twitter.com/Patara78digomi/status/1181859591019270145","1181859591019270145")</f>
        <v>1181859591019270145</v>
      </c>
      <c r="F5287" s="15"/>
      <c r="G5287" s="15"/>
      <c r="H5287" s="8"/>
      <c r="I5287" s="15">
        <v>0</v>
      </c>
      <c r="J5287" s="15">
        <v>0</v>
      </c>
      <c r="K5287" s="12" t="str">
        <f>HYPERLINK("http://twitter.com/download/iphone","Twitter for iPhone")</f>
        <v>Twitter for iPhone</v>
      </c>
      <c r="L5287" s="16">
        <v>140</v>
      </c>
      <c r="M5287" s="16">
        <v>658</v>
      </c>
      <c r="N5287" s="16">
        <v>0</v>
      </c>
      <c r="O5287" s="17"/>
      <c r="P5287" s="18">
        <v>42918.947881944448</v>
      </c>
      <c r="Q5287" s="8" t="s">
        <v>25093</v>
      </c>
      <c r="R5287" s="7" t="s">
        <v>25094</v>
      </c>
      <c r="S5287" s="14" t="s">
        <v>25095</v>
      </c>
      <c r="T5287" s="8"/>
      <c r="U5287" s="19" t="str">
        <f>HYPERLINK("https://pbs.twimg.com/profile_images/1130734583874490369/UPw1FRYy.jpg","View")</f>
        <v>View</v>
      </c>
      <c r="V5287" s="8"/>
      <c r="W5287" s="8"/>
      <c r="X5287" s="8"/>
      <c r="Y5287" s="8"/>
      <c r="Z5287" s="8"/>
    </row>
    <row r="5288" spans="1:26" ht="12.75">
      <c r="A5288" s="11">
        <v>43747.090879629628</v>
      </c>
      <c r="B5288" s="12" t="str">
        <f>HYPERLINK("https://twitter.com/gleam1310","@gleam1310")</f>
        <v>@gleam1310</v>
      </c>
      <c r="C5288" s="7" t="s">
        <v>3662</v>
      </c>
      <c r="D5288" s="7" t="s">
        <v>160</v>
      </c>
      <c r="E5288" s="12" t="str">
        <f>HYPERLINK("https://twitter.com/gleam1310/status/1181859562451808256","1181859562451808256")</f>
        <v>1181859562451808256</v>
      </c>
      <c r="F5288" s="8"/>
      <c r="G5288" s="8"/>
      <c r="H5288" s="8"/>
      <c r="I5288" s="15">
        <v>0</v>
      </c>
      <c r="J5288" s="15">
        <v>1</v>
      </c>
      <c r="K5288" s="12" t="str">
        <f>HYPERLINK("http://twitter.com/download/iphone","Twitter for iPhone")</f>
        <v>Twitter for iPhone</v>
      </c>
      <c r="L5288" s="16">
        <v>4</v>
      </c>
      <c r="M5288" s="16">
        <v>40</v>
      </c>
      <c r="N5288" s="16">
        <v>0</v>
      </c>
      <c r="O5288" s="17"/>
      <c r="P5288" s="18">
        <v>43326.308530092589</v>
      </c>
      <c r="Q5288" s="8" t="s">
        <v>313</v>
      </c>
      <c r="R5288" s="8"/>
      <c r="S5288" s="8"/>
      <c r="T5288" s="8"/>
      <c r="U5288" s="19" t="str">
        <f>HYPERLINK("https://pbs.twimg.com/profile_images/1041698718225973249/ARlYpdjP.jpg","View")</f>
        <v>View</v>
      </c>
      <c r="V5288" s="8"/>
      <c r="W5288" s="8"/>
      <c r="X5288" s="8"/>
      <c r="Y5288" s="8"/>
      <c r="Z5288" s="8"/>
    </row>
    <row r="5289" spans="1:26" ht="12.75">
      <c r="A5289" s="11">
        <v>43747.090821759259</v>
      </c>
      <c r="B5289" s="12" t="str">
        <f>HYPERLINK("https://twitter.com/yesimmorhan","@yesimmorhan")</f>
        <v>@yesimmorhan</v>
      </c>
      <c r="C5289" s="7" t="s">
        <v>25096</v>
      </c>
      <c r="D5289" s="7" t="s">
        <v>25097</v>
      </c>
      <c r="E5289" s="12" t="str">
        <f>HYPERLINK("https://twitter.com/yesimmorhan/status/1181859542390497280","1181859542390497280")</f>
        <v>1181859542390497280</v>
      </c>
      <c r="F5289" s="8"/>
      <c r="G5289" s="15"/>
      <c r="H5289" s="8"/>
      <c r="I5289" s="15">
        <v>0</v>
      </c>
      <c r="J5289" s="15">
        <v>1</v>
      </c>
      <c r="K5289" s="12" t="str">
        <f>HYPERLINK("http://twitter.com/download/android","Twitter for Android")</f>
        <v>Twitter for Android</v>
      </c>
      <c r="L5289" s="16">
        <v>167</v>
      </c>
      <c r="M5289" s="16">
        <v>134</v>
      </c>
      <c r="N5289" s="16">
        <v>0</v>
      </c>
      <c r="O5289" s="17"/>
      <c r="P5289" s="18">
        <v>42102.585173611107</v>
      </c>
      <c r="Q5289" s="7" t="s">
        <v>576</v>
      </c>
      <c r="R5289" s="7" t="s">
        <v>25098</v>
      </c>
      <c r="S5289" s="8"/>
      <c r="T5289" s="8"/>
      <c r="U5289" s="19" t="str">
        <f>HYPERLINK("https://pbs.twimg.com/profile_images/1043086479013109760/j21-Z_2I.jpg","View")</f>
        <v>View</v>
      </c>
      <c r="V5289" s="8"/>
      <c r="W5289" s="8"/>
      <c r="X5289" s="8"/>
      <c r="Y5289" s="8"/>
      <c r="Z5289" s="8"/>
    </row>
    <row r="5290" spans="1:26" ht="12.75">
      <c r="A5290" s="11">
        <v>43747.090810185182</v>
      </c>
      <c r="B5290" s="12" t="str">
        <f>HYPERLINK("https://twitter.com/pozitif1903","@pozitif1903")</f>
        <v>@pozitif1903</v>
      </c>
      <c r="C5290" s="7" t="s">
        <v>25099</v>
      </c>
      <c r="D5290" s="7" t="s">
        <v>25100</v>
      </c>
      <c r="E5290" s="12" t="str">
        <f>HYPERLINK("https://twitter.com/pozitif1903/status/1181859539072819200","1181859539072819200")</f>
        <v>1181859539072819200</v>
      </c>
      <c r="F5290" s="8"/>
      <c r="G5290" s="15"/>
      <c r="H5290" s="8"/>
      <c r="I5290" s="15">
        <v>0</v>
      </c>
      <c r="J5290" s="15">
        <v>0</v>
      </c>
      <c r="K5290" s="12" t="str">
        <f>HYPERLINK("http://twitter.com/download/android","Twitter for Android")</f>
        <v>Twitter for Android</v>
      </c>
      <c r="L5290" s="16">
        <v>61</v>
      </c>
      <c r="M5290" s="16">
        <v>261</v>
      </c>
      <c r="N5290" s="16">
        <v>0</v>
      </c>
      <c r="O5290" s="17"/>
      <c r="P5290" s="18">
        <v>41217.632557870369</v>
      </c>
      <c r="Q5290" s="7" t="s">
        <v>6551</v>
      </c>
      <c r="R5290" s="7"/>
      <c r="S5290" s="8"/>
      <c r="T5290" s="8"/>
      <c r="U5290" s="19" t="str">
        <f>HYPERLINK("https://pbs.twimg.com/profile_images/1145009920951115776/egmM0HT6.jpg","View")</f>
        <v>View</v>
      </c>
      <c r="V5290" s="8"/>
      <c r="W5290" s="8"/>
      <c r="X5290" s="8"/>
      <c r="Y5290" s="8"/>
      <c r="Z5290" s="8"/>
    </row>
    <row r="5291" spans="1:26" ht="12.75">
      <c r="A5291" s="11">
        <v>43747.090810185182</v>
      </c>
      <c r="B5291" s="12" t="str">
        <f>HYPERLINK("https://twitter.com/Samet79974253","@Samet79974253")</f>
        <v>@Samet79974253</v>
      </c>
      <c r="C5291" s="7" t="s">
        <v>20230</v>
      </c>
      <c r="D5291" s="7" t="s">
        <v>25101</v>
      </c>
      <c r="E5291" s="12" t="str">
        <f>HYPERLINK("https://twitter.com/Samet79974253/status/1181859537453768709","1181859537453768709")</f>
        <v>1181859537453768709</v>
      </c>
      <c r="F5291" s="8"/>
      <c r="G5291" s="14" t="s">
        <v>25102</v>
      </c>
      <c r="H5291" s="8"/>
      <c r="I5291" s="15">
        <v>0</v>
      </c>
      <c r="J5291" s="15">
        <v>0</v>
      </c>
      <c r="K5291" s="12" t="str">
        <f>HYPERLINK("http://twitter.com/download/android","Twitter for Android")</f>
        <v>Twitter for Android</v>
      </c>
      <c r="L5291" s="16">
        <v>13</v>
      </c>
      <c r="M5291" s="16">
        <v>17</v>
      </c>
      <c r="N5291" s="16">
        <v>0</v>
      </c>
      <c r="O5291" s="17"/>
      <c r="P5291" s="18">
        <v>43709.333530092597</v>
      </c>
      <c r="Q5291" s="8" t="s">
        <v>6543</v>
      </c>
      <c r="R5291" s="7"/>
      <c r="S5291" s="8"/>
      <c r="T5291" s="8"/>
      <c r="U5291" s="19" t="str">
        <f>HYPERLINK("https://pbs.twimg.com/profile_images/1168177227693010944/QNgaYbzf.jpg","View")</f>
        <v>View</v>
      </c>
      <c r="V5291" s="8"/>
      <c r="W5291" s="8"/>
      <c r="X5291" s="8"/>
      <c r="Y5291" s="8"/>
      <c r="Z5291" s="8"/>
    </row>
    <row r="5292" spans="1:26" ht="12.75">
      <c r="A5292" s="11">
        <v>43747.090810185182</v>
      </c>
      <c r="B5292" s="12" t="str">
        <f>HYPERLINK("https://twitter.com/kbrckroglu","@kbrckroglu")</f>
        <v>@kbrckroglu</v>
      </c>
      <c r="C5292" s="7" t="s">
        <v>25103</v>
      </c>
      <c r="D5292" s="7" t="s">
        <v>25104</v>
      </c>
      <c r="E5292" s="12" t="str">
        <f>HYPERLINK("https://twitter.com/kbrckroglu/status/1181859537143422976","1181859537143422976")</f>
        <v>1181859537143422976</v>
      </c>
      <c r="F5292" s="15"/>
      <c r="G5292" s="8"/>
      <c r="H5292" s="8"/>
      <c r="I5292" s="15">
        <v>0</v>
      </c>
      <c r="J5292" s="15">
        <v>1</v>
      </c>
      <c r="K5292" s="12" t="str">
        <f>HYPERLINK("http://twitter.com/download/iphone","Twitter for iPhone")</f>
        <v>Twitter for iPhone</v>
      </c>
      <c r="L5292" s="16">
        <v>215</v>
      </c>
      <c r="M5292" s="16">
        <v>90</v>
      </c>
      <c r="N5292" s="16">
        <v>3</v>
      </c>
      <c r="O5292" s="17"/>
      <c r="P5292" s="18">
        <v>40627.69258101852</v>
      </c>
      <c r="Q5292" s="7" t="s">
        <v>25105</v>
      </c>
      <c r="R5292" s="7"/>
      <c r="S5292" s="15"/>
      <c r="T5292" s="8"/>
      <c r="U5292" s="19" t="str">
        <f>HYPERLINK("https://pbs.twimg.com/profile_images/1170433059050668037/c9xiLY93.jpg","View")</f>
        <v>View</v>
      </c>
      <c r="V5292" s="8"/>
      <c r="W5292" s="8"/>
      <c r="X5292" s="8"/>
      <c r="Y5292" s="8"/>
      <c r="Z5292" s="8"/>
    </row>
    <row r="5293" spans="1:26" ht="12.75">
      <c r="A5293" s="11">
        <v>43747.090798611112</v>
      </c>
      <c r="B5293" s="12" t="str">
        <f>HYPERLINK("https://twitter.com/alpblc","@alpblc")</f>
        <v>@alpblc</v>
      </c>
      <c r="C5293" s="7" t="s">
        <v>25106</v>
      </c>
      <c r="D5293" s="7" t="s">
        <v>19221</v>
      </c>
      <c r="E5293" s="12" t="str">
        <f>HYPERLINK("https://twitter.com/alpblc/status/1181859535927087104","1181859535927087104")</f>
        <v>1181859535927087104</v>
      </c>
      <c r="F5293" s="8"/>
      <c r="G5293" s="8"/>
      <c r="H5293" s="8"/>
      <c r="I5293" s="15">
        <v>0</v>
      </c>
      <c r="J5293" s="15">
        <v>0</v>
      </c>
      <c r="K5293" s="12" t="str">
        <f>HYPERLINK("http://twitter.com/download/android","Twitter for Android")</f>
        <v>Twitter for Android</v>
      </c>
      <c r="L5293" s="16">
        <v>79</v>
      </c>
      <c r="M5293" s="16">
        <v>638</v>
      </c>
      <c r="N5293" s="16">
        <v>0</v>
      </c>
      <c r="O5293" s="17"/>
      <c r="P5293" s="18">
        <v>40393.57335648148</v>
      </c>
      <c r="Q5293" s="8" t="s">
        <v>918</v>
      </c>
      <c r="R5293" s="8"/>
      <c r="S5293" s="8"/>
      <c r="T5293" s="8"/>
      <c r="U5293" s="19" t="str">
        <f>HYPERLINK("https://pbs.twimg.com/profile_images/901125798035427328/uPwhortJ.jpg","View")</f>
        <v>View</v>
      </c>
      <c r="V5293" s="8"/>
      <c r="W5293" s="8"/>
      <c r="X5293" s="8"/>
      <c r="Y5293" s="8"/>
      <c r="Z5293" s="8"/>
    </row>
    <row r="5294" spans="1:26" ht="12.75">
      <c r="A5294" s="11">
        <v>43747.090775462959</v>
      </c>
      <c r="B5294" s="12" t="str">
        <f>HYPERLINK("https://twitter.com/zhezhu_","@zhezhu_")</f>
        <v>@zhezhu_</v>
      </c>
      <c r="C5294" s="7" t="s">
        <v>25107</v>
      </c>
      <c r="D5294" s="7" t="s">
        <v>25108</v>
      </c>
      <c r="E5294" s="12" t="str">
        <f>HYPERLINK("https://twitter.com/zhezhu_/status/1181859527593021441","1181859527593021441")</f>
        <v>1181859527593021441</v>
      </c>
      <c r="F5294" s="8"/>
      <c r="G5294" s="8"/>
      <c r="H5294" s="8"/>
      <c r="I5294" s="15">
        <v>0</v>
      </c>
      <c r="J5294" s="15">
        <v>0</v>
      </c>
      <c r="K5294" s="12" t="str">
        <f>HYPERLINK("http://twitter.com/download/android","Twitter for Android")</f>
        <v>Twitter for Android</v>
      </c>
      <c r="L5294" s="16">
        <v>296</v>
      </c>
      <c r="M5294" s="16">
        <v>353</v>
      </c>
      <c r="N5294" s="16">
        <v>0</v>
      </c>
      <c r="O5294" s="17"/>
      <c r="P5294" s="18">
        <v>43093.47</v>
      </c>
      <c r="Q5294" s="7"/>
      <c r="R5294" s="8" t="s">
        <v>25109</v>
      </c>
      <c r="S5294" s="8"/>
      <c r="T5294" s="8"/>
      <c r="U5294" s="19" t="str">
        <f>HYPERLINK("https://pbs.twimg.com/profile_images/945012397256990720/PrUc5b4n.jpg","View")</f>
        <v>View</v>
      </c>
      <c r="V5294" s="8"/>
      <c r="W5294" s="8"/>
      <c r="X5294" s="8"/>
      <c r="Y5294" s="8"/>
      <c r="Z5294" s="8"/>
    </row>
    <row r="5295" spans="1:26" ht="12.75">
      <c r="A5295" s="11">
        <v>43747.090763888889</v>
      </c>
      <c r="B5295" s="12" t="str">
        <f>HYPERLINK("https://twitter.com/hemresamiloglu","@hemresamiloglu")</f>
        <v>@hemresamiloglu</v>
      </c>
      <c r="C5295" s="7" t="s">
        <v>25110</v>
      </c>
      <c r="D5295" s="7" t="s">
        <v>25111</v>
      </c>
      <c r="E5295" s="12" t="str">
        <f>HYPERLINK("https://twitter.com/hemresamiloglu/status/1181859522052182016","1181859522052182016")</f>
        <v>1181859522052182016</v>
      </c>
      <c r="F5295" s="8"/>
      <c r="G5295" s="8"/>
      <c r="H5295" s="8"/>
      <c r="I5295" s="15">
        <v>0</v>
      </c>
      <c r="J5295" s="15">
        <v>1</v>
      </c>
      <c r="K5295" s="12" t="str">
        <f>HYPERLINK("http://twitter.com/download/android","Twitter for Android")</f>
        <v>Twitter for Android</v>
      </c>
      <c r="L5295" s="16">
        <v>650</v>
      </c>
      <c r="M5295" s="16">
        <v>787</v>
      </c>
      <c r="N5295" s="16">
        <v>2</v>
      </c>
      <c r="O5295" s="17"/>
      <c r="P5295" s="18">
        <v>41138.600127314814</v>
      </c>
      <c r="Q5295" s="8" t="s">
        <v>200</v>
      </c>
      <c r="R5295" s="8"/>
      <c r="S5295" s="8"/>
      <c r="T5295" s="8"/>
      <c r="U5295" s="19" t="str">
        <f>HYPERLINK("https://pbs.twimg.com/profile_images/1027156775794106368/Efifxu5x.jpg","View")</f>
        <v>View</v>
      </c>
      <c r="V5295" s="8"/>
      <c r="W5295" s="8"/>
      <c r="X5295" s="8"/>
      <c r="Y5295" s="8"/>
      <c r="Z5295" s="8"/>
    </row>
    <row r="5296" spans="1:26" ht="12.75">
      <c r="A5296" s="11">
        <v>43747.09075231482</v>
      </c>
      <c r="B5296" s="12" t="str">
        <f>HYPERLINK("https://twitter.com/burakcalikoglu","@burakcalikoglu")</f>
        <v>@burakcalikoglu</v>
      </c>
      <c r="C5296" s="7" t="s">
        <v>25112</v>
      </c>
      <c r="D5296" s="7" t="s">
        <v>25113</v>
      </c>
      <c r="E5296" s="12" t="str">
        <f>HYPERLINK("https://twitter.com/burakcalikoglu/status/1181859517837000704","1181859517837000704")</f>
        <v>1181859517837000704</v>
      </c>
      <c r="F5296" s="8"/>
      <c r="G5296" s="15"/>
      <c r="H5296" s="8"/>
      <c r="I5296" s="15">
        <v>3</v>
      </c>
      <c r="J5296" s="15">
        <v>13</v>
      </c>
      <c r="K5296" s="12" t="str">
        <f>HYPERLINK("http://twitter.com/download/android","Twitter for Android")</f>
        <v>Twitter for Android</v>
      </c>
      <c r="L5296" s="16">
        <v>3216</v>
      </c>
      <c r="M5296" s="16">
        <v>2969</v>
      </c>
      <c r="N5296" s="16">
        <v>0</v>
      </c>
      <c r="O5296" s="17"/>
      <c r="P5296" s="18">
        <v>40522.974351851852</v>
      </c>
      <c r="Q5296" s="8"/>
      <c r="R5296" s="7" t="s">
        <v>25114</v>
      </c>
      <c r="S5296" s="14" t="s">
        <v>25115</v>
      </c>
      <c r="T5296" s="8"/>
      <c r="U5296" s="19" t="str">
        <f>HYPERLINK("https://pbs.twimg.com/profile_images/1181329672711356419/Mp8zDuGJ.jpg","View")</f>
        <v>View</v>
      </c>
      <c r="V5296" s="8"/>
      <c r="W5296" s="8"/>
      <c r="X5296" s="8"/>
      <c r="Y5296" s="8"/>
      <c r="Z5296" s="8"/>
    </row>
    <row r="5297" spans="1:26" ht="12.75">
      <c r="A5297" s="11">
        <v>43747.090729166666</v>
      </c>
      <c r="B5297" s="12" t="str">
        <f>HYPERLINK("https://twitter.com/laedritaf","@laedritaf")</f>
        <v>@laedritaf</v>
      </c>
      <c r="C5297" s="7" t="s">
        <v>21409</v>
      </c>
      <c r="D5297" s="7" t="s">
        <v>25116</v>
      </c>
      <c r="E5297" s="12" t="str">
        <f>HYPERLINK("https://twitter.com/laedritaf/status/1181859507762335744","1181859507762335744")</f>
        <v>1181859507762335744</v>
      </c>
      <c r="F5297" s="8"/>
      <c r="G5297" s="15"/>
      <c r="H5297" s="8"/>
      <c r="I5297" s="15">
        <v>0</v>
      </c>
      <c r="J5297" s="15">
        <v>1</v>
      </c>
      <c r="K5297" s="12" t="str">
        <f>HYPERLINK("http://twitter.com/download/iphone","Twitter for iPhone")</f>
        <v>Twitter for iPhone</v>
      </c>
      <c r="L5297" s="16">
        <v>10</v>
      </c>
      <c r="M5297" s="16">
        <v>29</v>
      </c>
      <c r="N5297" s="16">
        <v>0</v>
      </c>
      <c r="O5297" s="17"/>
      <c r="P5297" s="18">
        <v>42580.340289351851</v>
      </c>
      <c r="Q5297" s="7" t="s">
        <v>10837</v>
      </c>
      <c r="R5297" s="7"/>
      <c r="S5297" s="8"/>
      <c r="T5297" s="8"/>
      <c r="U5297" s="19" t="str">
        <f>HYPERLINK("https://pbs.twimg.com/profile_images/765955248955555840/_Q-n_FiK.jpg","View")</f>
        <v>View</v>
      </c>
      <c r="V5297" s="8"/>
      <c r="W5297" s="8"/>
      <c r="X5297" s="8"/>
      <c r="Y5297" s="8"/>
      <c r="Z5297" s="8"/>
    </row>
    <row r="5298" spans="1:26" ht="12.75">
      <c r="A5298" s="11">
        <v>43747.090671296297</v>
      </c>
      <c r="B5298" s="12" t="str">
        <f>HYPERLINK("https://twitter.com/oktayuysalx","@oktayuysalx")</f>
        <v>@oktayuysalx</v>
      </c>
      <c r="C5298" s="7" t="s">
        <v>25117</v>
      </c>
      <c r="D5298" s="7" t="s">
        <v>25118</v>
      </c>
      <c r="E5298" s="12" t="str">
        <f>HYPERLINK("https://twitter.com/oktayuysalx/status/1181859487298281472","1181859487298281472")</f>
        <v>1181859487298281472</v>
      </c>
      <c r="F5298" s="8"/>
      <c r="G5298" s="14" t="s">
        <v>25119</v>
      </c>
      <c r="H5298" s="8"/>
      <c r="I5298" s="15">
        <v>0</v>
      </c>
      <c r="J5298" s="15">
        <v>2</v>
      </c>
      <c r="K5298" s="12" t="str">
        <f>HYPERLINK("http://twitter.com/download/iphone","Twitter for iPhone")</f>
        <v>Twitter for iPhone</v>
      </c>
      <c r="L5298" s="16">
        <v>3</v>
      </c>
      <c r="M5298" s="16">
        <v>33</v>
      </c>
      <c r="N5298" s="16">
        <v>0</v>
      </c>
      <c r="O5298" s="17"/>
      <c r="P5298" s="18">
        <v>43624.628877314812</v>
      </c>
      <c r="Q5298" s="8"/>
      <c r="R5298" s="8"/>
      <c r="S5298" s="8"/>
      <c r="T5298" s="8"/>
      <c r="U5298" s="19" t="str">
        <f>HYPERLINK("https://pbs.twimg.com/profile_images/1155021105557622784/mVshiBOx.jpg","View")</f>
        <v>View</v>
      </c>
      <c r="V5298" s="8"/>
      <c r="W5298" s="8"/>
      <c r="X5298" s="8"/>
      <c r="Y5298" s="8"/>
      <c r="Z5298" s="8"/>
    </row>
    <row r="5299" spans="1:26" ht="12.75">
      <c r="A5299" s="11">
        <v>43747.090671296297</v>
      </c>
      <c r="B5299" s="12" t="str">
        <f>HYPERLINK("https://twitter.com/GoldenBrownie34","@GoldenBrownie34")</f>
        <v>@GoldenBrownie34</v>
      </c>
      <c r="C5299" s="7" t="s">
        <v>25120</v>
      </c>
      <c r="D5299" s="7" t="s">
        <v>25121</v>
      </c>
      <c r="E5299" s="12" t="str">
        <f>HYPERLINK("https://twitter.com/GoldenBrownie34/status/1181859486581116930","1181859486581116930")</f>
        <v>1181859486581116930</v>
      </c>
      <c r="F5299" s="8"/>
      <c r="G5299" s="8"/>
      <c r="H5299" s="8"/>
      <c r="I5299" s="15">
        <v>0</v>
      </c>
      <c r="J5299" s="15">
        <v>1</v>
      </c>
      <c r="K5299" s="12" t="str">
        <f>HYPERLINK("https://mobile.twitter.com","Twitter Web App")</f>
        <v>Twitter Web App</v>
      </c>
      <c r="L5299" s="16">
        <v>0</v>
      </c>
      <c r="M5299" s="16">
        <v>29</v>
      </c>
      <c r="N5299" s="16">
        <v>0</v>
      </c>
      <c r="O5299" s="17"/>
      <c r="P5299" s="18">
        <v>43556.663622685184</v>
      </c>
      <c r="Q5299" s="8"/>
      <c r="R5299" s="7" t="s">
        <v>25122</v>
      </c>
      <c r="S5299" s="8"/>
      <c r="T5299" s="8"/>
      <c r="U5299" s="19" t="str">
        <f>HYPERLINK("https://pbs.twimg.com/profile_images/1112855339387502592/U2TMqcGL.png","View")</f>
        <v>View</v>
      </c>
      <c r="V5299" s="8"/>
      <c r="W5299" s="8"/>
      <c r="X5299" s="8"/>
      <c r="Y5299" s="8"/>
      <c r="Z5299" s="8"/>
    </row>
    <row r="5300" spans="1:26" ht="12.75">
      <c r="A5300" s="11">
        <v>43747.09065972222</v>
      </c>
      <c r="B5300" s="12" t="str">
        <f>HYPERLINK("https://twitter.com/kurdflzf","@kurdflzf")</f>
        <v>@kurdflzf</v>
      </c>
      <c r="C5300" s="7" t="s">
        <v>25123</v>
      </c>
      <c r="D5300" s="7" t="s">
        <v>25124</v>
      </c>
      <c r="E5300" s="12" t="str">
        <f>HYPERLINK("https://twitter.com/kurdflzf/status/1181859484366446592","1181859484366446592")</f>
        <v>1181859484366446592</v>
      </c>
      <c r="F5300" s="8"/>
      <c r="G5300" s="15"/>
      <c r="H5300" s="8"/>
      <c r="I5300" s="15">
        <v>0</v>
      </c>
      <c r="J5300" s="15">
        <v>1</v>
      </c>
      <c r="K5300" s="12" t="str">
        <f>HYPERLINK("http://twitter.com/download/android","Twitter for Android")</f>
        <v>Twitter for Android</v>
      </c>
      <c r="L5300" s="16">
        <v>3</v>
      </c>
      <c r="M5300" s="16">
        <v>86</v>
      </c>
      <c r="N5300" s="16">
        <v>0</v>
      </c>
      <c r="O5300" s="17"/>
      <c r="P5300" s="18">
        <v>43703.301724537036</v>
      </c>
      <c r="Q5300" s="7"/>
      <c r="R5300" s="8" t="s">
        <v>25125</v>
      </c>
      <c r="S5300" s="15"/>
      <c r="T5300" s="8"/>
      <c r="U5300" s="19" t="str">
        <f>HYPERLINK("https://pbs.twimg.com/profile_images/1165991183170101249/qzN6zFSz.jpg","View")</f>
        <v>View</v>
      </c>
      <c r="V5300" s="8"/>
      <c r="W5300" s="8"/>
      <c r="X5300" s="8"/>
      <c r="Y5300" s="8"/>
      <c r="Z5300" s="8"/>
    </row>
    <row r="5301" spans="1:26" ht="12.75">
      <c r="A5301" s="11">
        <v>43747.090613425928</v>
      </c>
      <c r="B5301" s="12" t="str">
        <f>HYPERLINK("https://twitter.com/a24comtr_","@a24comtr_")</f>
        <v>@a24comtr_</v>
      </c>
      <c r="C5301" s="14" t="s">
        <v>25126</v>
      </c>
      <c r="D5301" s="7" t="s">
        <v>25127</v>
      </c>
      <c r="E5301" s="12" t="str">
        <f>HYPERLINK("https://twitter.com/a24comtr_/status/1181859467866054656","1181859467866054656")</f>
        <v>1181859467866054656</v>
      </c>
      <c r="F5301" s="14" t="s">
        <v>25128</v>
      </c>
      <c r="G5301" s="8"/>
      <c r="H5301" s="8"/>
      <c r="I5301" s="15">
        <v>0</v>
      </c>
      <c r="J5301" s="15">
        <v>0</v>
      </c>
      <c r="K5301" s="12" t="str">
        <f>HYPERLINK("https://about.twitter.com/products/tweetdeck","TweetDeck")</f>
        <v>TweetDeck</v>
      </c>
      <c r="L5301" s="16">
        <v>5967</v>
      </c>
      <c r="M5301" s="16">
        <v>384</v>
      </c>
      <c r="N5301" s="16">
        <v>20</v>
      </c>
      <c r="O5301" s="17"/>
      <c r="P5301" s="18">
        <v>40674.417245370372</v>
      </c>
      <c r="Q5301" s="7" t="s">
        <v>200</v>
      </c>
      <c r="R5301" s="7" t="s">
        <v>25129</v>
      </c>
      <c r="S5301" s="14" t="s">
        <v>25130</v>
      </c>
      <c r="T5301" s="8"/>
      <c r="U5301" s="19" t="str">
        <f>HYPERLINK("https://pbs.twimg.com/profile_images/517606340336701440/xnHr3be8.jpeg","View")</f>
        <v>View</v>
      </c>
      <c r="V5301" s="8"/>
      <c r="W5301" s="8"/>
      <c r="X5301" s="8"/>
      <c r="Y5301" s="8"/>
      <c r="Z5301" s="8"/>
    </row>
    <row r="5302" spans="1:26" ht="12.75">
      <c r="A5302" s="11">
        <v>43747.090578703705</v>
      </c>
      <c r="B5302" s="12" t="str">
        <f>HYPERLINK("https://twitter.com/sahbaz_uzun","@sahbaz_uzun")</f>
        <v>@sahbaz_uzun</v>
      </c>
      <c r="C5302" s="7" t="s">
        <v>25131</v>
      </c>
      <c r="D5302" s="7" t="s">
        <v>25132</v>
      </c>
      <c r="E5302" s="12" t="str">
        <f>HYPERLINK("https://twitter.com/sahbaz_uzun/status/1181859455190917120","1181859455190917120")</f>
        <v>1181859455190917120</v>
      </c>
      <c r="F5302" s="8"/>
      <c r="G5302" s="15"/>
      <c r="H5302" s="8"/>
      <c r="I5302" s="15">
        <v>0</v>
      </c>
      <c r="J5302" s="15">
        <v>1</v>
      </c>
      <c r="K5302" s="12" t="str">
        <f>HYPERLINK("http://twitter.com/download/android","Twitter for Android")</f>
        <v>Twitter for Android</v>
      </c>
      <c r="L5302" s="16">
        <v>28</v>
      </c>
      <c r="M5302" s="16">
        <v>25</v>
      </c>
      <c r="N5302" s="16">
        <v>0</v>
      </c>
      <c r="O5302" s="17"/>
      <c r="P5302" s="18">
        <v>40661.011828703704</v>
      </c>
      <c r="Q5302" s="7" t="s">
        <v>25133</v>
      </c>
      <c r="R5302" s="7"/>
      <c r="S5302" s="8"/>
      <c r="T5302" s="8"/>
      <c r="U5302" s="19" t="str">
        <f>HYPERLINK("https://pbs.twimg.com/profile_images/1139904815952277504/JtUyzAgc.jpg","View")</f>
        <v>View</v>
      </c>
      <c r="V5302" s="8"/>
      <c r="W5302" s="8"/>
      <c r="X5302" s="8"/>
      <c r="Y5302" s="8"/>
      <c r="Z5302" s="8"/>
    </row>
    <row r="5303" spans="1:26" ht="12.75">
      <c r="A5303" s="11">
        <v>43747.090532407412</v>
      </c>
      <c r="B5303" s="12" t="str">
        <f>HYPERLINK("https://twitter.com/muratakdnzzz","@muratakdnzzz")</f>
        <v>@muratakdnzzz</v>
      </c>
      <c r="C5303" s="7" t="s">
        <v>25134</v>
      </c>
      <c r="D5303" s="7" t="s">
        <v>160</v>
      </c>
      <c r="E5303" s="12" t="str">
        <f>HYPERLINK("https://twitter.com/muratakdnzzz/status/1181859436878581761","1181859436878581761")</f>
        <v>1181859436878581761</v>
      </c>
      <c r="F5303" s="8"/>
      <c r="G5303" s="14" t="s">
        <v>25135</v>
      </c>
      <c r="H5303" s="8"/>
      <c r="I5303" s="15">
        <v>0</v>
      </c>
      <c r="J5303" s="15">
        <v>0</v>
      </c>
      <c r="K5303" s="12" t="str">
        <f>HYPERLINK("http://twitter.com/download/iphone","Twitter for iPhone")</f>
        <v>Twitter for iPhone</v>
      </c>
      <c r="L5303" s="16">
        <v>313</v>
      </c>
      <c r="M5303" s="16">
        <v>282</v>
      </c>
      <c r="N5303" s="16">
        <v>0</v>
      </c>
      <c r="O5303" s="17"/>
      <c r="P5303" s="18">
        <v>43257.352256944447</v>
      </c>
      <c r="Q5303" s="8" t="s">
        <v>6808</v>
      </c>
      <c r="R5303" s="8" t="s">
        <v>25136</v>
      </c>
      <c r="S5303" s="8"/>
      <c r="T5303" s="8"/>
      <c r="U5303" s="19" t="str">
        <f>HYPERLINK("https://pbs.twimg.com/profile_images/1180639822706331648/XOWlCmxE.jpg","View")</f>
        <v>View</v>
      </c>
      <c r="V5303" s="8"/>
      <c r="W5303" s="8"/>
      <c r="X5303" s="8"/>
      <c r="Y5303" s="8"/>
      <c r="Z5303" s="8"/>
    </row>
    <row r="5304" spans="1:26" ht="12.75">
      <c r="A5304" s="11">
        <v>43747.090497685189</v>
      </c>
      <c r="B5304" s="12" t="str">
        <f>HYPERLINK("https://twitter.com/SerimBirol","@SerimBirol")</f>
        <v>@SerimBirol</v>
      </c>
      <c r="C5304" s="7" t="s">
        <v>25137</v>
      </c>
      <c r="D5304" s="7" t="s">
        <v>25138</v>
      </c>
      <c r="E5304" s="12" t="str">
        <f>HYPERLINK("https://twitter.com/SerimBirol/status/1181859426694844416","1181859426694844416")</f>
        <v>1181859426694844416</v>
      </c>
      <c r="F5304" s="8"/>
      <c r="G5304" s="15"/>
      <c r="H5304" s="8"/>
      <c r="I5304" s="15">
        <v>0</v>
      </c>
      <c r="J5304" s="15">
        <v>0</v>
      </c>
      <c r="K5304" s="12" t="str">
        <f>HYPERLINK("http://twitter.com/download/android","Twitter for Android")</f>
        <v>Twitter for Android</v>
      </c>
      <c r="L5304" s="16">
        <v>59</v>
      </c>
      <c r="M5304" s="16">
        <v>112</v>
      </c>
      <c r="N5304" s="16">
        <v>1</v>
      </c>
      <c r="O5304" s="17"/>
      <c r="P5304" s="18">
        <v>42967.545729166668</v>
      </c>
      <c r="Q5304" s="7" t="s">
        <v>8801</v>
      </c>
      <c r="R5304" s="7" t="s">
        <v>25139</v>
      </c>
      <c r="S5304" s="8"/>
      <c r="T5304" s="8"/>
      <c r="U5304" s="19" t="str">
        <f>HYPERLINK("https://pbs.twimg.com/profile_images/1162426705425960960/age7xxdJ.jpg","View")</f>
        <v>View</v>
      </c>
      <c r="V5304" s="8"/>
      <c r="W5304" s="8"/>
      <c r="X5304" s="8"/>
      <c r="Y5304" s="8"/>
      <c r="Z5304" s="8"/>
    </row>
    <row r="5305" spans="1:26" ht="12.75">
      <c r="A5305" s="11">
        <v>43747.090497685189</v>
      </c>
      <c r="B5305" s="12" t="str">
        <f>HYPERLINK("https://twitter.com/kurtoglu_ugur","@kurtoglu_ugur")</f>
        <v>@kurtoglu_ugur</v>
      </c>
      <c r="C5305" s="13" t="s">
        <v>25140</v>
      </c>
      <c r="D5305" s="7" t="s">
        <v>160</v>
      </c>
      <c r="E5305" s="12" t="str">
        <f>HYPERLINK("https://twitter.com/kurtoglu_ugur/status/1181859424346005504","1181859424346005504")</f>
        <v>1181859424346005504</v>
      </c>
      <c r="F5305" s="8"/>
      <c r="G5305" s="14" t="s">
        <v>25141</v>
      </c>
      <c r="H5305" s="8"/>
      <c r="I5305" s="15">
        <v>0</v>
      </c>
      <c r="J5305" s="15">
        <v>3</v>
      </c>
      <c r="K5305" s="12" t="str">
        <f>HYPERLINK("http://twitter.com/download/iphone","Twitter for iPhone")</f>
        <v>Twitter for iPhone</v>
      </c>
      <c r="L5305" s="16">
        <v>23</v>
      </c>
      <c r="M5305" s="16">
        <v>51</v>
      </c>
      <c r="N5305" s="16">
        <v>0</v>
      </c>
      <c r="O5305" s="17"/>
      <c r="P5305" s="18">
        <v>41680.600057870368</v>
      </c>
      <c r="Q5305" s="7"/>
      <c r="R5305" s="7" t="s">
        <v>25142</v>
      </c>
      <c r="S5305" s="8"/>
      <c r="T5305" s="8"/>
      <c r="U5305" s="19" t="str">
        <f>HYPERLINK("https://pbs.twimg.com/profile_images/1060853648572510208/Bo7lEzXx.jpg","View")</f>
        <v>View</v>
      </c>
      <c r="V5305" s="8"/>
      <c r="W5305" s="8"/>
      <c r="X5305" s="8"/>
      <c r="Y5305" s="8"/>
      <c r="Z5305" s="8"/>
    </row>
    <row r="5306" spans="1:26" ht="12.75">
      <c r="A5306" s="11">
        <v>43747.090451388889</v>
      </c>
      <c r="B5306" s="12" t="str">
        <f>HYPERLINK("https://twitter.com/FatihKaplan42","@FatihKaplan42")</f>
        <v>@FatihKaplan42</v>
      </c>
      <c r="C5306" s="7" t="s">
        <v>25143</v>
      </c>
      <c r="D5306" s="7" t="s">
        <v>25144</v>
      </c>
      <c r="E5306" s="12" t="str">
        <f>HYPERLINK("https://twitter.com/FatihKaplan42/status/1181859409254895616","1181859409254895616")</f>
        <v>1181859409254895616</v>
      </c>
      <c r="F5306" s="8"/>
      <c r="G5306" s="8"/>
      <c r="H5306" s="8"/>
      <c r="I5306" s="15">
        <v>0</v>
      </c>
      <c r="J5306" s="15">
        <v>1</v>
      </c>
      <c r="K5306" s="12" t="str">
        <f>HYPERLINK("https://mobile.twitter.com","Twitter Web App")</f>
        <v>Twitter Web App</v>
      </c>
      <c r="L5306" s="16">
        <v>83</v>
      </c>
      <c r="M5306" s="16">
        <v>386</v>
      </c>
      <c r="N5306" s="16">
        <v>0</v>
      </c>
      <c r="O5306" s="17"/>
      <c r="P5306" s="18">
        <v>40894.240590277775</v>
      </c>
      <c r="Q5306" s="8" t="s">
        <v>25145</v>
      </c>
      <c r="R5306" s="8" t="s">
        <v>25146</v>
      </c>
      <c r="S5306" s="8"/>
      <c r="T5306" s="8"/>
      <c r="U5306" s="19" t="str">
        <f>HYPERLINK("https://pbs.twimg.com/profile_images/1097512900489551873/pZp3YWff.jpg","View")</f>
        <v>View</v>
      </c>
      <c r="V5306" s="8"/>
      <c r="W5306" s="8"/>
      <c r="X5306" s="8"/>
      <c r="Y5306" s="8"/>
      <c r="Z5306" s="8"/>
    </row>
    <row r="5307" spans="1:26" ht="12.75">
      <c r="A5307" s="11">
        <v>43747.090428240743</v>
      </c>
      <c r="B5307" s="12" t="str">
        <f>HYPERLINK("https://twitter.com/chamomile1903","@chamomile1903")</f>
        <v>@chamomile1903</v>
      </c>
      <c r="C5307" s="7" t="s">
        <v>25147</v>
      </c>
      <c r="D5307" s="7" t="s">
        <v>25148</v>
      </c>
      <c r="E5307" s="12" t="str">
        <f>HYPERLINK("https://twitter.com/chamomile1903/status/1181859400329371648","1181859400329371648")</f>
        <v>1181859400329371648</v>
      </c>
      <c r="F5307" s="8"/>
      <c r="G5307" s="8"/>
      <c r="H5307" s="8"/>
      <c r="I5307" s="15">
        <v>0</v>
      </c>
      <c r="J5307" s="15">
        <v>1</v>
      </c>
      <c r="K5307" s="12" t="str">
        <f>HYPERLINK("http://twitter.com/download/iphone","Twitter for iPhone")</f>
        <v>Twitter for iPhone</v>
      </c>
      <c r="L5307" s="16">
        <v>10</v>
      </c>
      <c r="M5307" s="16">
        <v>59</v>
      </c>
      <c r="N5307" s="16">
        <v>0</v>
      </c>
      <c r="O5307" s="20"/>
      <c r="P5307" s="18">
        <v>43737.346122685187</v>
      </c>
      <c r="Q5307" s="7"/>
      <c r="R5307" s="7"/>
      <c r="S5307" s="15"/>
      <c r="T5307" s="8"/>
      <c r="U5307" s="19" t="str">
        <f>HYPERLINK("https://pbs.twimg.com/profile_images/1179119010744602625/NTP6gNSC.jpg","View")</f>
        <v>View</v>
      </c>
      <c r="V5307" s="8"/>
      <c r="W5307" s="8"/>
      <c r="X5307" s="8"/>
      <c r="Y5307" s="8"/>
      <c r="Z5307" s="8"/>
    </row>
    <row r="5308" spans="1:26" ht="12.75">
      <c r="A5308" s="11">
        <v>43747.090428240743</v>
      </c>
      <c r="B5308" s="12" t="str">
        <f>HYPERLINK("https://twitter.com/serifinyeri","@serifinyeri")</f>
        <v>@serifinyeri</v>
      </c>
      <c r="C5308" s="7" t="s">
        <v>25149</v>
      </c>
      <c r="D5308" s="7" t="s">
        <v>25150</v>
      </c>
      <c r="E5308" s="12" t="str">
        <f>HYPERLINK("https://twitter.com/serifinyeri/status/1181859399633125376","1181859399633125376")</f>
        <v>1181859399633125376</v>
      </c>
      <c r="F5308" s="8"/>
      <c r="G5308" s="15"/>
      <c r="H5308" s="8"/>
      <c r="I5308" s="15">
        <v>0</v>
      </c>
      <c r="J5308" s="15">
        <v>0</v>
      </c>
      <c r="K5308" s="12" t="str">
        <f>HYPERLINK("http://twitter.com/download/android","Twitter for Android")</f>
        <v>Twitter for Android</v>
      </c>
      <c r="L5308" s="16">
        <v>279</v>
      </c>
      <c r="M5308" s="16">
        <v>488</v>
      </c>
      <c r="N5308" s="16">
        <v>0</v>
      </c>
      <c r="O5308" s="17"/>
      <c r="P5308" s="18">
        <v>43718.11347222222</v>
      </c>
      <c r="Q5308" s="8"/>
      <c r="R5308" s="7" t="s">
        <v>25151</v>
      </c>
      <c r="S5308" s="8"/>
      <c r="T5308" s="8"/>
      <c r="U5308" s="19" t="str">
        <f>HYPERLINK("https://pbs.twimg.com/profile_images/1171358760167727104/hNrcjF0_.jpg","View")</f>
        <v>View</v>
      </c>
      <c r="V5308" s="8"/>
      <c r="W5308" s="8"/>
      <c r="X5308" s="8"/>
      <c r="Y5308" s="8"/>
      <c r="Z5308" s="8"/>
    </row>
    <row r="5309" spans="1:26" ht="12.75">
      <c r="A5309" s="11">
        <v>43747.090405092589</v>
      </c>
      <c r="B5309" s="12" t="str">
        <f>HYPERLINK("https://twitter.com/yasarsahin1453","@yasarsahin1453")</f>
        <v>@yasarsahin1453</v>
      </c>
      <c r="C5309" s="7" t="s">
        <v>25152</v>
      </c>
      <c r="D5309" s="7" t="s">
        <v>25153</v>
      </c>
      <c r="E5309" s="12" t="str">
        <f>HYPERLINK("https://twitter.com/yasarsahin1453/status/1181859393484271616","1181859393484271616")</f>
        <v>1181859393484271616</v>
      </c>
      <c r="F5309" s="8"/>
      <c r="G5309" s="14" t="s">
        <v>25154</v>
      </c>
      <c r="H5309" s="8"/>
      <c r="I5309" s="15">
        <v>0</v>
      </c>
      <c r="J5309" s="15">
        <v>0</v>
      </c>
      <c r="K5309" s="12" t="str">
        <f>HYPERLINK("http://twitter.com/download/android","Twitter for Android")</f>
        <v>Twitter for Android</v>
      </c>
      <c r="L5309" s="16">
        <v>16</v>
      </c>
      <c r="M5309" s="16">
        <v>33</v>
      </c>
      <c r="N5309" s="16">
        <v>0</v>
      </c>
      <c r="O5309" s="17"/>
      <c r="P5309" s="18">
        <v>42515.554641203707</v>
      </c>
      <c r="Q5309" s="8" t="s">
        <v>25155</v>
      </c>
      <c r="R5309" s="7"/>
      <c r="S5309" s="8"/>
      <c r="T5309" s="8"/>
      <c r="U5309" s="19" t="str">
        <f>HYPERLINK("https://pbs.twimg.com/profile_images/1099355902455570436/xkmxk9iY.jpg","View")</f>
        <v>View</v>
      </c>
      <c r="V5309" s="8"/>
      <c r="W5309" s="8"/>
      <c r="X5309" s="8"/>
      <c r="Y5309" s="8"/>
      <c r="Z5309" s="8"/>
    </row>
    <row r="5310" spans="1:26" ht="12.75">
      <c r="A5310" s="11">
        <v>43747.090370370366</v>
      </c>
      <c r="B5310" s="12" t="str">
        <f>HYPERLINK("https://twitter.com/MuratEfeBilgi1","@MuratEfeBilgi1")</f>
        <v>@MuratEfeBilgi1</v>
      </c>
      <c r="C5310" s="7" t="s">
        <v>25156</v>
      </c>
      <c r="D5310" s="7" t="s">
        <v>25157</v>
      </c>
      <c r="E5310" s="12" t="str">
        <f>HYPERLINK("https://twitter.com/MuratEfeBilgi1/status/1181859380746215424","1181859380746215424")</f>
        <v>1181859380746215424</v>
      </c>
      <c r="F5310" s="8"/>
      <c r="G5310" s="14" t="s">
        <v>25158</v>
      </c>
      <c r="H5310" s="8"/>
      <c r="I5310" s="15">
        <v>1</v>
      </c>
      <c r="J5310" s="15">
        <v>1</v>
      </c>
      <c r="K5310" s="12" t="str">
        <f>HYPERLINK("http://twitter.com/download/android","Twitter for Android")</f>
        <v>Twitter for Android</v>
      </c>
      <c r="L5310" s="16">
        <v>44</v>
      </c>
      <c r="M5310" s="16">
        <v>93</v>
      </c>
      <c r="N5310" s="16">
        <v>0</v>
      </c>
      <c r="O5310" s="17"/>
      <c r="P5310" s="18">
        <v>43397.422719907408</v>
      </c>
      <c r="Q5310" s="8" t="s">
        <v>685</v>
      </c>
      <c r="R5310" s="8" t="s">
        <v>25159</v>
      </c>
      <c r="S5310" s="14" t="s">
        <v>25160</v>
      </c>
      <c r="T5310" s="8"/>
      <c r="U5310" s="19" t="str">
        <f>HYPERLINK("https://pbs.twimg.com/profile_images/1180940374258388992/bR_nsNsv.jpg","View")</f>
        <v>View</v>
      </c>
      <c r="V5310" s="8"/>
      <c r="W5310" s="8"/>
      <c r="X5310" s="8"/>
      <c r="Y5310" s="8"/>
      <c r="Z5310" s="8"/>
    </row>
    <row r="5311" spans="1:26" ht="12.75">
      <c r="A5311" s="11">
        <v>43747.090335648143</v>
      </c>
      <c r="B5311" s="12" t="str">
        <f>HYPERLINK("https://twitter.com/ftmnrbay55","@ftmnrbay55")</f>
        <v>@ftmnrbay55</v>
      </c>
      <c r="C5311" s="7" t="s">
        <v>25161</v>
      </c>
      <c r="D5311" s="7" t="s">
        <v>25162</v>
      </c>
      <c r="E5311" s="12" t="str">
        <f>HYPERLINK("https://twitter.com/ftmnrbay55/status/1181859366301048832","1181859366301048832")</f>
        <v>1181859366301048832</v>
      </c>
      <c r="F5311" s="8"/>
      <c r="G5311" s="14" t="s">
        <v>25163</v>
      </c>
      <c r="H5311" s="8"/>
      <c r="I5311" s="15">
        <v>0</v>
      </c>
      <c r="J5311" s="15">
        <v>3</v>
      </c>
      <c r="K5311" s="12" t="str">
        <f>HYPERLINK("http://twitter.com/download/android","Twitter for Android")</f>
        <v>Twitter for Android</v>
      </c>
      <c r="L5311" s="16">
        <v>385</v>
      </c>
      <c r="M5311" s="16">
        <v>188</v>
      </c>
      <c r="N5311" s="16">
        <v>0</v>
      </c>
      <c r="O5311" s="17"/>
      <c r="P5311" s="18">
        <v>41513.663587962961</v>
      </c>
      <c r="Q5311" s="7" t="s">
        <v>1850</v>
      </c>
      <c r="R5311" s="7" t="s">
        <v>25164</v>
      </c>
      <c r="S5311" s="8"/>
      <c r="T5311" s="8"/>
      <c r="U5311" s="19" t="str">
        <f>HYPERLINK("https://pbs.twimg.com/profile_images/1180910465020502016/rFuEcjmb.jpg","View")</f>
        <v>View</v>
      </c>
      <c r="V5311" s="8"/>
      <c r="W5311" s="8"/>
      <c r="X5311" s="8"/>
      <c r="Y5311" s="8"/>
      <c r="Z5311" s="8"/>
    </row>
    <row r="5312" spans="1:26" ht="12.75">
      <c r="A5312" s="11">
        <v>43747.090312500004</v>
      </c>
      <c r="B5312" s="12" t="str">
        <f>HYPERLINK("https://twitter.com/jannee21","@jannee21")</f>
        <v>@jannee21</v>
      </c>
      <c r="C5312" s="7" t="s">
        <v>25165</v>
      </c>
      <c r="D5312" s="7" t="s">
        <v>25166</v>
      </c>
      <c r="E5312" s="12" t="str">
        <f>HYPERLINK("https://twitter.com/jannee21/status/1181859358508011521","1181859358508011521")</f>
        <v>1181859358508011521</v>
      </c>
      <c r="F5312" s="8"/>
      <c r="G5312" s="8"/>
      <c r="H5312" s="8"/>
      <c r="I5312" s="15">
        <v>0</v>
      </c>
      <c r="J5312" s="15">
        <v>0</v>
      </c>
      <c r="K5312" s="12" t="str">
        <f>HYPERLINK("http://twitter.com/download/iphone","Twitter for iPhone")</f>
        <v>Twitter for iPhone</v>
      </c>
      <c r="L5312" s="16">
        <v>34</v>
      </c>
      <c r="M5312" s="16">
        <v>108</v>
      </c>
      <c r="N5312" s="16">
        <v>0</v>
      </c>
      <c r="O5312" s="17"/>
      <c r="P5312" s="18">
        <v>42653.15115740741</v>
      </c>
      <c r="Q5312" s="8"/>
      <c r="R5312" s="8" t="s">
        <v>25167</v>
      </c>
      <c r="S5312" s="8"/>
      <c r="T5312" s="8"/>
      <c r="U5312" s="19" t="str">
        <f>HYPERLINK("https://pbs.twimg.com/profile_images/1105863319540428800/GEY1or-S.jpg","View")</f>
        <v>View</v>
      </c>
      <c r="V5312" s="8"/>
      <c r="W5312" s="8"/>
      <c r="X5312" s="8"/>
      <c r="Y5312" s="8"/>
      <c r="Z5312" s="8"/>
    </row>
    <row r="5313" spans="1:26" ht="12.75">
      <c r="A5313" s="11">
        <v>43747.090300925927</v>
      </c>
      <c r="B5313" s="12" t="str">
        <f>HYPERLINK("https://twitter.com/Muhalefetunlil","@Muhalefetunlil")</f>
        <v>@Muhalefetunlil</v>
      </c>
      <c r="C5313" s="7" t="s">
        <v>25168</v>
      </c>
      <c r="D5313" s="7" t="s">
        <v>25169</v>
      </c>
      <c r="E5313" s="12" t="str">
        <f>HYPERLINK("https://twitter.com/Muhalefetunlil/status/1181859353328017411","1181859353328017411")</f>
        <v>1181859353328017411</v>
      </c>
      <c r="F5313" s="8"/>
      <c r="G5313" s="14" t="s">
        <v>25170</v>
      </c>
      <c r="H5313" s="8"/>
      <c r="I5313" s="15">
        <v>0</v>
      </c>
      <c r="J5313" s="15">
        <v>1</v>
      </c>
      <c r="K5313" s="12" t="str">
        <f>HYPERLINK("http://twitter.com/download/android","Twitter for Android")</f>
        <v>Twitter for Android</v>
      </c>
      <c r="L5313" s="16">
        <v>27</v>
      </c>
      <c r="M5313" s="16">
        <v>33</v>
      </c>
      <c r="N5313" s="16">
        <v>0</v>
      </c>
      <c r="O5313" s="17"/>
      <c r="P5313" s="18">
        <v>43700.213090277779</v>
      </c>
      <c r="Q5313" s="7"/>
      <c r="R5313" s="7"/>
      <c r="S5313" s="8"/>
      <c r="T5313" s="8"/>
      <c r="U5313" s="19" t="str">
        <f>HYPERLINK("https://pbs.twimg.com/profile_images/1164999817472487424/AlbBpo-I.jpg","View")</f>
        <v>View</v>
      </c>
      <c r="V5313" s="8"/>
      <c r="W5313" s="8"/>
      <c r="X5313" s="8"/>
      <c r="Y5313" s="8"/>
      <c r="Z5313" s="8"/>
    </row>
    <row r="5314" spans="1:26" ht="12.75">
      <c r="A5314" s="11">
        <v>43747.090266203704</v>
      </c>
      <c r="B5314" s="12" t="str">
        <f>HYPERLINK("https://twitter.com/IttihatHaber","@IttihatHaber")</f>
        <v>@IttihatHaber</v>
      </c>
      <c r="C5314" s="7" t="s">
        <v>25171</v>
      </c>
      <c r="D5314" s="7" t="s">
        <v>25172</v>
      </c>
      <c r="E5314" s="12" t="str">
        <f>HYPERLINK("https://twitter.com/IttihatHaber/status/1181859341990711296","1181859341990711296")</f>
        <v>1181859341990711296</v>
      </c>
      <c r="F5314" s="8"/>
      <c r="G5314" s="14" t="s">
        <v>25173</v>
      </c>
      <c r="H5314" s="8"/>
      <c r="I5314" s="15">
        <v>10</v>
      </c>
      <c r="J5314" s="15">
        <v>74</v>
      </c>
      <c r="K5314" s="12" t="str">
        <f>HYPERLINK("http://twitter.com/download/android","Twitter for Android")</f>
        <v>Twitter for Android</v>
      </c>
      <c r="L5314" s="16">
        <v>64043</v>
      </c>
      <c r="M5314" s="16">
        <v>36</v>
      </c>
      <c r="N5314" s="16">
        <v>44</v>
      </c>
      <c r="O5314" s="17"/>
      <c r="P5314" s="18">
        <v>40687.506597222222</v>
      </c>
      <c r="Q5314" s="8" t="s">
        <v>25174</v>
      </c>
      <c r="R5314" s="7" t="s">
        <v>25175</v>
      </c>
      <c r="S5314" s="8"/>
      <c r="T5314" s="8"/>
      <c r="U5314" s="19" t="str">
        <f>HYPERLINK("https://pbs.twimg.com/profile_images/1120045122635423745/NpXGN1ym.jpg","View")</f>
        <v>View</v>
      </c>
      <c r="V5314" s="8"/>
      <c r="W5314" s="8"/>
      <c r="X5314" s="8"/>
      <c r="Y5314" s="8"/>
      <c r="Z5314" s="8"/>
    </row>
    <row r="5315" spans="1:26" ht="12.75">
      <c r="A5315" s="11">
        <v>43747.090219907404</v>
      </c>
      <c r="B5315" s="12" t="str">
        <f>HYPERLINK("https://twitter.com/girdap1988","@girdap1988")</f>
        <v>@girdap1988</v>
      </c>
      <c r="C5315" s="7" t="s">
        <v>25176</v>
      </c>
      <c r="D5315" s="7" t="s">
        <v>160</v>
      </c>
      <c r="E5315" s="12" t="str">
        <f>HYPERLINK("https://twitter.com/girdap1988/status/1181859324718657536","1181859324718657536")</f>
        <v>1181859324718657536</v>
      </c>
      <c r="F5315" s="8"/>
      <c r="G5315" s="14" t="s">
        <v>25177</v>
      </c>
      <c r="H5315" s="8"/>
      <c r="I5315" s="15">
        <v>0</v>
      </c>
      <c r="J5315" s="15">
        <v>0</v>
      </c>
      <c r="K5315" s="12" t="str">
        <f>HYPERLINK("http://twitter.com/download/iphone","Twitter for iPhone")</f>
        <v>Twitter for iPhone</v>
      </c>
      <c r="L5315" s="16">
        <v>20</v>
      </c>
      <c r="M5315" s="16">
        <v>19</v>
      </c>
      <c r="N5315" s="16">
        <v>0</v>
      </c>
      <c r="O5315" s="17"/>
      <c r="P5315" s="18">
        <v>42897.432858796295</v>
      </c>
      <c r="Q5315" s="8" t="s">
        <v>200</v>
      </c>
      <c r="R5315" s="7" t="s">
        <v>25178</v>
      </c>
      <c r="S5315" s="8"/>
      <c r="T5315" s="8"/>
      <c r="U5315" s="19" t="str">
        <f>HYPERLINK("https://pbs.twimg.com/profile_images/1164750706227601410/0B0q1XhQ.jpg","View")</f>
        <v>View</v>
      </c>
      <c r="V5315" s="8"/>
      <c r="W5315" s="8"/>
      <c r="X5315" s="8"/>
      <c r="Y5315" s="8"/>
      <c r="Z5315" s="8"/>
    </row>
    <row r="5316" spans="1:26" ht="12.75">
      <c r="A5316" s="11">
        <v>43747.090127314819</v>
      </c>
      <c r="B5316" s="12" t="str">
        <f>HYPERLINK("https://twitter.com/kasabam45","@kasabam45")</f>
        <v>@kasabam45</v>
      </c>
      <c r="C5316" s="7" t="s">
        <v>25179</v>
      </c>
      <c r="D5316" s="7" t="s">
        <v>160</v>
      </c>
      <c r="E5316" s="12" t="str">
        <f>HYPERLINK("https://twitter.com/kasabam45/status/1181859290975526915","1181859290975526915")</f>
        <v>1181859290975526915</v>
      </c>
      <c r="F5316" s="8"/>
      <c r="G5316" s="14" t="s">
        <v>25180</v>
      </c>
      <c r="H5316" s="8"/>
      <c r="I5316" s="15">
        <v>0</v>
      </c>
      <c r="J5316" s="15">
        <v>0</v>
      </c>
      <c r="K5316" s="12" t="str">
        <f>HYPERLINK("http://twitter.com/download/android","Twitter for Android")</f>
        <v>Twitter for Android</v>
      </c>
      <c r="L5316" s="16">
        <v>20</v>
      </c>
      <c r="M5316" s="16">
        <v>100</v>
      </c>
      <c r="N5316" s="16">
        <v>0</v>
      </c>
      <c r="O5316" s="17"/>
      <c r="P5316" s="18">
        <v>42669.699756944443</v>
      </c>
      <c r="Q5316" s="7"/>
      <c r="R5316" s="7"/>
      <c r="S5316" s="8"/>
      <c r="T5316" s="8"/>
      <c r="U5316" s="19" t="str">
        <f>HYPERLINK("https://pbs.twimg.com/profile_images/1116643000858357760/ar6nYIUm.jpg","View")</f>
        <v>View</v>
      </c>
      <c r="V5316" s="8"/>
      <c r="W5316" s="8"/>
      <c r="X5316" s="8"/>
      <c r="Y5316" s="8"/>
      <c r="Z5316" s="8"/>
    </row>
    <row r="5317" spans="1:26" ht="12.75">
      <c r="A5317" s="11">
        <v>43747.090104166666</v>
      </c>
      <c r="B5317" s="12" t="str">
        <f>HYPERLINK("https://twitter.com/y_ozlemnur","@y_ozlemnur")</f>
        <v>@y_ozlemnur</v>
      </c>
      <c r="C5317" s="7" t="s">
        <v>25181</v>
      </c>
      <c r="D5317" s="7" t="s">
        <v>25182</v>
      </c>
      <c r="E5317" s="12" t="str">
        <f>HYPERLINK("https://twitter.com/y_ozlemnur/status/1181859283794829312","1181859283794829312")</f>
        <v>1181859283794829312</v>
      </c>
      <c r="F5317" s="8"/>
      <c r="G5317" s="14" t="s">
        <v>25183</v>
      </c>
      <c r="H5317" s="8"/>
      <c r="I5317" s="15">
        <v>1</v>
      </c>
      <c r="J5317" s="15">
        <v>1</v>
      </c>
      <c r="K5317" s="12" t="str">
        <f>HYPERLINK("http://twitter.com/download/iphone","Twitter for iPhone")</f>
        <v>Twitter for iPhone</v>
      </c>
      <c r="L5317" s="16">
        <v>165</v>
      </c>
      <c r="M5317" s="16">
        <v>176</v>
      </c>
      <c r="N5317" s="16">
        <v>0</v>
      </c>
      <c r="O5317" s="17"/>
      <c r="P5317" s="18">
        <v>42760.163194444445</v>
      </c>
      <c r="Q5317" s="7"/>
      <c r="R5317" s="7" t="s">
        <v>25184</v>
      </c>
      <c r="S5317" s="8"/>
      <c r="T5317" s="8"/>
      <c r="U5317" s="19" t="str">
        <f>HYPERLINK("https://pbs.twimg.com/profile_images/1091994869902524417/ct3hWdI3.jpg","View")</f>
        <v>View</v>
      </c>
      <c r="V5317" s="8"/>
      <c r="W5317" s="8"/>
      <c r="X5317" s="8"/>
      <c r="Y5317" s="8"/>
      <c r="Z5317" s="8"/>
    </row>
    <row r="5318" spans="1:26" ht="12.75">
      <c r="A5318" s="11">
        <v>43747.090069444443</v>
      </c>
      <c r="B5318" s="12" t="str">
        <f>HYPERLINK("https://twitter.com/BarisPinari_","@BarisPinari_")</f>
        <v>@BarisPinari_</v>
      </c>
      <c r="C5318" s="7" t="s">
        <v>25185</v>
      </c>
      <c r="D5318" s="7" t="s">
        <v>25186</v>
      </c>
      <c r="E5318" s="12" t="str">
        <f>HYPERLINK("https://twitter.com/BarisPinari_/status/1181859268485668867","1181859268485668867")</f>
        <v>1181859268485668867</v>
      </c>
      <c r="F5318" s="8"/>
      <c r="G5318" s="8"/>
      <c r="H5318" s="8"/>
      <c r="I5318" s="15">
        <v>3</v>
      </c>
      <c r="J5318" s="15">
        <v>4</v>
      </c>
      <c r="K5318" s="12" t="str">
        <f>HYPERLINK("http://twitter.com/download/android","Twitter for Android")</f>
        <v>Twitter for Android</v>
      </c>
      <c r="L5318" s="16">
        <v>1931</v>
      </c>
      <c r="M5318" s="16">
        <v>556</v>
      </c>
      <c r="N5318" s="16">
        <v>1</v>
      </c>
      <c r="O5318" s="17"/>
      <c r="P5318" s="18">
        <v>43066.621562500004</v>
      </c>
      <c r="Q5318" s="7" t="s">
        <v>200</v>
      </c>
      <c r="R5318" s="7" t="s">
        <v>25187</v>
      </c>
      <c r="S5318" s="8"/>
      <c r="T5318" s="8"/>
      <c r="U5318" s="19" t="str">
        <f>HYPERLINK("https://pbs.twimg.com/profile_images/1181656720080343040/tSx4ffMG.jpg","View")</f>
        <v>View</v>
      </c>
      <c r="V5318" s="8"/>
      <c r="W5318" s="8"/>
      <c r="X5318" s="8"/>
      <c r="Y5318" s="8"/>
      <c r="Z5318" s="8"/>
    </row>
    <row r="5319" spans="1:26" ht="12.75">
      <c r="A5319" s="11">
        <v>43747.090069444443</v>
      </c>
      <c r="B5319" s="12" t="str">
        <f>HYPERLINK("https://twitter.com/Lordfloki2","@Lordfloki2")</f>
        <v>@Lordfloki2</v>
      </c>
      <c r="C5319" s="7" t="s">
        <v>25188</v>
      </c>
      <c r="D5319" s="7" t="s">
        <v>160</v>
      </c>
      <c r="E5319" s="12" t="str">
        <f>HYPERLINK("https://twitter.com/Lordfloki2/status/1181859267957186560","1181859267957186560")</f>
        <v>1181859267957186560</v>
      </c>
      <c r="F5319" s="8"/>
      <c r="G5319" s="14" t="s">
        <v>25189</v>
      </c>
      <c r="H5319" s="8"/>
      <c r="I5319" s="15">
        <v>0</v>
      </c>
      <c r="J5319" s="15">
        <v>1</v>
      </c>
      <c r="K5319" s="12" t="str">
        <f>HYPERLINK("http://twitter.com/download/android","Twitter for Android")</f>
        <v>Twitter for Android</v>
      </c>
      <c r="L5319" s="16">
        <v>10</v>
      </c>
      <c r="M5319" s="16">
        <v>60</v>
      </c>
      <c r="N5319" s="16">
        <v>0</v>
      </c>
      <c r="O5319" s="17"/>
      <c r="P5319" s="18">
        <v>43722.564733796295</v>
      </c>
      <c r="Q5319" s="7"/>
      <c r="R5319" s="7"/>
      <c r="S5319" s="8"/>
      <c r="T5319" s="8"/>
      <c r="U5319" s="19" t="str">
        <f>HYPERLINK("https://pbs.twimg.com/profile_images/1181129764431695872/SZ__17JA.jpg","View")</f>
        <v>View</v>
      </c>
      <c r="V5319" s="8"/>
      <c r="W5319" s="8"/>
      <c r="X5319" s="8"/>
      <c r="Y5319" s="8"/>
      <c r="Z5319" s="8"/>
    </row>
    <row r="5320" spans="1:26" ht="12.75">
      <c r="A5320" s="11">
        <v>43747.090046296296</v>
      </c>
      <c r="B5320" s="12" t="str">
        <f>HYPERLINK("https://twitter.com/zgrdrmz","@zgrdrmz")</f>
        <v>@zgrdrmz</v>
      </c>
      <c r="C5320" s="7" t="s">
        <v>25190</v>
      </c>
      <c r="D5320" s="7" t="s">
        <v>25191</v>
      </c>
      <c r="E5320" s="12" t="str">
        <f>HYPERLINK("https://twitter.com/zgrdrmz/status/1181859261254717442","1181859261254717442")</f>
        <v>1181859261254717442</v>
      </c>
      <c r="F5320" s="8"/>
      <c r="G5320" s="8"/>
      <c r="H5320" s="8"/>
      <c r="I5320" s="15">
        <v>0</v>
      </c>
      <c r="J5320" s="15">
        <v>1</v>
      </c>
      <c r="K5320" s="12" t="str">
        <f>HYPERLINK("http://twitter.com/download/android","Twitter for Android")</f>
        <v>Twitter for Android</v>
      </c>
      <c r="L5320" s="16">
        <v>103</v>
      </c>
      <c r="M5320" s="16">
        <v>153</v>
      </c>
      <c r="N5320" s="16">
        <v>0</v>
      </c>
      <c r="O5320" s="17"/>
      <c r="P5320" s="18">
        <v>42296.103136574078</v>
      </c>
      <c r="Q5320" s="7" t="s">
        <v>14533</v>
      </c>
      <c r="R5320" s="7" t="s">
        <v>25192</v>
      </c>
      <c r="S5320" s="8"/>
      <c r="T5320" s="8"/>
      <c r="U5320" s="19" t="str">
        <f>HYPERLINK("https://pbs.twimg.com/profile_images/1133775641755750400/ihHzJHyO.jpg","View")</f>
        <v>View</v>
      </c>
      <c r="V5320" s="8"/>
      <c r="W5320" s="8"/>
      <c r="X5320" s="8"/>
      <c r="Y5320" s="8"/>
      <c r="Z5320" s="8"/>
    </row>
    <row r="5321" spans="1:26" ht="12.75">
      <c r="A5321" s="11">
        <v>43747.090011574073</v>
      </c>
      <c r="B5321" s="12" t="str">
        <f>HYPERLINK("https://twitter.com/seydieser","@seydieser")</f>
        <v>@seydieser</v>
      </c>
      <c r="C5321" s="7" t="s">
        <v>25193</v>
      </c>
      <c r="D5321" s="7" t="s">
        <v>25194</v>
      </c>
      <c r="E5321" s="12" t="str">
        <f>HYPERLINK("https://twitter.com/seydieser/status/1181859248004878341","1181859248004878341")</f>
        <v>1181859248004878341</v>
      </c>
      <c r="F5321" s="8"/>
      <c r="G5321" s="8"/>
      <c r="H5321" s="8"/>
      <c r="I5321" s="15">
        <v>1</v>
      </c>
      <c r="J5321" s="15">
        <v>1</v>
      </c>
      <c r="K5321" s="12" t="str">
        <f>HYPERLINK("https://mobile.twitter.com","Twitter Web App")</f>
        <v>Twitter Web App</v>
      </c>
      <c r="L5321" s="16">
        <v>164</v>
      </c>
      <c r="M5321" s="16">
        <v>407</v>
      </c>
      <c r="N5321" s="16">
        <v>0</v>
      </c>
      <c r="O5321" s="17"/>
      <c r="P5321" s="18">
        <v>40914.326840277776</v>
      </c>
      <c r="Q5321" s="8"/>
      <c r="R5321" s="7" t="s">
        <v>807</v>
      </c>
      <c r="S5321" s="8"/>
      <c r="T5321" s="8"/>
      <c r="U5321" s="19" t="str">
        <f>HYPERLINK("https://pbs.twimg.com/profile_images/1031940878577934337/dF7j8tcL.jpg","View")</f>
        <v>View</v>
      </c>
      <c r="V5321" s="8"/>
      <c r="W5321" s="8"/>
      <c r="X5321" s="8"/>
      <c r="Y5321" s="8"/>
      <c r="Z5321" s="8"/>
    </row>
    <row r="5322" spans="1:26" ht="12.75">
      <c r="A5322" s="11">
        <v>43747.089988425927</v>
      </c>
      <c r="B5322" s="12" t="str">
        <f>HYPERLINK("https://twitter.com/HalilYahyaGrer","@HalilYahyaGrer")</f>
        <v>@HalilYahyaGrer</v>
      </c>
      <c r="C5322" s="7" t="s">
        <v>25195</v>
      </c>
      <c r="D5322" s="7" t="s">
        <v>25196</v>
      </c>
      <c r="E5322" s="12" t="str">
        <f>HYPERLINK("https://twitter.com/HalilYahyaGrer/status/1181859240526454784","1181859240526454784")</f>
        <v>1181859240526454784</v>
      </c>
      <c r="F5322" s="8"/>
      <c r="G5322" s="14" t="s">
        <v>25197</v>
      </c>
      <c r="H5322" s="8"/>
      <c r="I5322" s="15">
        <v>1</v>
      </c>
      <c r="J5322" s="15">
        <v>5</v>
      </c>
      <c r="K5322" s="12" t="str">
        <f>HYPERLINK("http://twitter.com/download/android","Twitter for Android")</f>
        <v>Twitter for Android</v>
      </c>
      <c r="L5322" s="16">
        <v>693</v>
      </c>
      <c r="M5322" s="16">
        <v>112</v>
      </c>
      <c r="N5322" s="16">
        <v>0</v>
      </c>
      <c r="O5322" s="17"/>
      <c r="P5322" s="18">
        <v>41466.59883101852</v>
      </c>
      <c r="Q5322" s="8" t="s">
        <v>25198</v>
      </c>
      <c r="R5322" s="8" t="s">
        <v>25199</v>
      </c>
      <c r="S5322" s="14" t="s">
        <v>25200</v>
      </c>
      <c r="T5322" s="8"/>
      <c r="U5322" s="19" t="str">
        <f>HYPERLINK("https://pbs.twimg.com/profile_images/1170910520607674368/MHvyG8eG.jpg","View")</f>
        <v>View</v>
      </c>
      <c r="V5322" s="8"/>
      <c r="W5322" s="8"/>
      <c r="X5322" s="8"/>
      <c r="Y5322" s="8"/>
      <c r="Z5322" s="8"/>
    </row>
    <row r="5323" spans="1:26" ht="12.75">
      <c r="A5323" s="11">
        <v>43747.089849537035</v>
      </c>
      <c r="B5323" s="12" t="str">
        <f>HYPERLINK("https://twitter.com/muti_Guven06","@muti_Guven06")</f>
        <v>@muti_Guven06</v>
      </c>
      <c r="C5323" s="7" t="s">
        <v>25201</v>
      </c>
      <c r="D5323" s="7" t="s">
        <v>25202</v>
      </c>
      <c r="E5323" s="12" t="str">
        <f>HYPERLINK("https://twitter.com/muti_Guven06/status/1181859192103215104","1181859192103215104")</f>
        <v>1181859192103215104</v>
      </c>
      <c r="F5323" s="8"/>
      <c r="G5323" s="14" t="s">
        <v>25203</v>
      </c>
      <c r="H5323" s="8"/>
      <c r="I5323" s="15">
        <v>1</v>
      </c>
      <c r="J5323" s="15">
        <v>4</v>
      </c>
      <c r="K5323" s="12" t="str">
        <f>HYPERLINK("http://twitter.com/download/iphone","Twitter for iPhone")</f>
        <v>Twitter for iPhone</v>
      </c>
      <c r="L5323" s="16">
        <v>10</v>
      </c>
      <c r="M5323" s="16">
        <v>64</v>
      </c>
      <c r="N5323" s="16">
        <v>0</v>
      </c>
      <c r="O5323" s="17"/>
      <c r="P5323" s="18">
        <v>43508.526284722218</v>
      </c>
      <c r="Q5323" s="7"/>
      <c r="R5323" s="7" t="s">
        <v>25204</v>
      </c>
      <c r="S5323" s="15"/>
      <c r="T5323" s="8"/>
      <c r="U5323" s="19" t="str">
        <f>HYPERLINK("https://pbs.twimg.com/profile_images/1138765686849884161/hbbYbRSY.jpg","View")</f>
        <v>View</v>
      </c>
      <c r="V5323" s="8"/>
      <c r="W5323" s="8"/>
      <c r="X5323" s="8"/>
      <c r="Y5323" s="8"/>
      <c r="Z5323" s="8"/>
    </row>
    <row r="5324" spans="1:26" ht="12.75">
      <c r="A5324" s="11">
        <v>43747.089849537035</v>
      </c>
      <c r="B5324" s="12" t="str">
        <f>HYPERLINK("https://twitter.com/mrborsa2","@mrborsa2")</f>
        <v>@mrborsa2</v>
      </c>
      <c r="C5324" s="7" t="s">
        <v>25205</v>
      </c>
      <c r="D5324" s="7" t="s">
        <v>160</v>
      </c>
      <c r="E5324" s="12" t="str">
        <f>HYPERLINK("https://twitter.com/mrborsa2/status/1181859191855751168","1181859191855751168")</f>
        <v>1181859191855751168</v>
      </c>
      <c r="F5324" s="8"/>
      <c r="G5324" s="14" t="s">
        <v>25206</v>
      </c>
      <c r="H5324" s="8"/>
      <c r="I5324" s="15">
        <v>0</v>
      </c>
      <c r="J5324" s="15">
        <v>0</v>
      </c>
      <c r="K5324" s="12" t="str">
        <f>HYPERLINK("http://twitter.com/download/iphone","Twitter for iPhone")</f>
        <v>Twitter for iPhone</v>
      </c>
      <c r="L5324" s="16">
        <v>11</v>
      </c>
      <c r="M5324" s="16">
        <v>20</v>
      </c>
      <c r="N5324" s="16">
        <v>0</v>
      </c>
      <c r="O5324" s="17"/>
      <c r="P5324" s="18">
        <v>43705.507395833338</v>
      </c>
      <c r="Q5324" s="7"/>
      <c r="R5324" s="8" t="s">
        <v>25207</v>
      </c>
      <c r="S5324" s="8"/>
      <c r="T5324" s="8"/>
      <c r="U5324" s="19" t="str">
        <f>HYPERLINK("https://pbs.twimg.com/profile_images/1169845306650812418/lLzCWL8C.jpg","View")</f>
        <v>View</v>
      </c>
      <c r="V5324" s="8"/>
      <c r="W5324" s="8"/>
      <c r="X5324" s="8"/>
      <c r="Y5324" s="8"/>
      <c r="Z5324" s="8"/>
    </row>
    <row r="5325" spans="1:26" ht="12.75">
      <c r="A5325" s="11">
        <v>43747.089849537035</v>
      </c>
      <c r="B5325" s="12" t="str">
        <f>HYPERLINK("https://twitter.com/Mehmet_Aygun10","@Mehmet_Aygun10")</f>
        <v>@Mehmet_Aygun10</v>
      </c>
      <c r="C5325" s="7" t="s">
        <v>4984</v>
      </c>
      <c r="D5325" s="7" t="s">
        <v>25208</v>
      </c>
      <c r="E5325" s="12" t="str">
        <f>HYPERLINK("https://twitter.com/Mehmet_Aygun10/status/1181859191172022272","1181859191172022272")</f>
        <v>1181859191172022272</v>
      </c>
      <c r="F5325" s="8"/>
      <c r="G5325" s="8"/>
      <c r="H5325" s="8"/>
      <c r="I5325" s="15">
        <v>0</v>
      </c>
      <c r="J5325" s="15">
        <v>0</v>
      </c>
      <c r="K5325" s="12" t="str">
        <f>HYPERLINK("http://twitter.com/download/android","Twitter for Android")</f>
        <v>Twitter for Android</v>
      </c>
      <c r="L5325" s="16">
        <v>15</v>
      </c>
      <c r="M5325" s="16">
        <v>71</v>
      </c>
      <c r="N5325" s="16">
        <v>0</v>
      </c>
      <c r="O5325" s="17"/>
      <c r="P5325" s="18">
        <v>42489.36001157407</v>
      </c>
      <c r="Q5325" s="8"/>
      <c r="R5325" s="7" t="s">
        <v>25209</v>
      </c>
      <c r="S5325" s="8"/>
      <c r="T5325" s="8"/>
      <c r="U5325" s="19" t="str">
        <f>HYPERLINK("https://pbs.twimg.com/profile_images/726076163257470976/h0SWCSr4.jpg","View")</f>
        <v>View</v>
      </c>
      <c r="V5325" s="8"/>
      <c r="W5325" s="8"/>
      <c r="X5325" s="8"/>
      <c r="Y5325" s="8"/>
      <c r="Z5325" s="8"/>
    </row>
    <row r="5326" spans="1:26" ht="12.75">
      <c r="A5326" s="11">
        <v>43747.089837962965</v>
      </c>
      <c r="B5326" s="12" t="str">
        <f>HYPERLINK("https://twitter.com/3Duh4","@3Duh4")</f>
        <v>@3Duh4</v>
      </c>
      <c r="C5326" s="7" t="s">
        <v>25210</v>
      </c>
      <c r="D5326" s="7" t="s">
        <v>25211</v>
      </c>
      <c r="E5326" s="12" t="str">
        <f>HYPERLINK("https://twitter.com/3Duh4/status/1181859184557600768","1181859184557600768")</f>
        <v>1181859184557600768</v>
      </c>
      <c r="F5326" s="8"/>
      <c r="G5326" s="14" t="s">
        <v>25212</v>
      </c>
      <c r="H5326" s="8"/>
      <c r="I5326" s="15">
        <v>3</v>
      </c>
      <c r="J5326" s="15">
        <v>7</v>
      </c>
      <c r="K5326" s="12" t="str">
        <f>HYPERLINK("http://twitter.com/download/iphone","Twitter for iPhone")</f>
        <v>Twitter for iPhone</v>
      </c>
      <c r="L5326" s="16">
        <v>3869</v>
      </c>
      <c r="M5326" s="16">
        <v>3456</v>
      </c>
      <c r="N5326" s="16">
        <v>12</v>
      </c>
      <c r="O5326" s="17"/>
      <c r="P5326" s="18">
        <v>40857.487037037034</v>
      </c>
      <c r="Q5326" s="7"/>
      <c r="R5326" s="7" t="s">
        <v>25213</v>
      </c>
      <c r="S5326" s="8"/>
      <c r="T5326" s="8"/>
      <c r="U5326" s="19" t="str">
        <f>HYPERLINK("https://pbs.twimg.com/profile_images/1178774127001387008/2NfJn38O.jpg","View")</f>
        <v>View</v>
      </c>
      <c r="V5326" s="8"/>
      <c r="W5326" s="8"/>
      <c r="X5326" s="8"/>
      <c r="Y5326" s="8"/>
      <c r="Z5326" s="8"/>
    </row>
    <row r="5327" spans="1:26" ht="12.75">
      <c r="A5327" s="11">
        <v>43747.089803240742</v>
      </c>
      <c r="B5327" s="12" t="str">
        <f>HYPERLINK("https://twitter.com/drbgz_tv","@drbgz_tv")</f>
        <v>@drbgz_tv</v>
      </c>
      <c r="C5327" s="7" t="s">
        <v>25214</v>
      </c>
      <c r="D5327" s="7" t="s">
        <v>25215</v>
      </c>
      <c r="E5327" s="12" t="str">
        <f>HYPERLINK("https://twitter.com/drbgz_tv/status/1181859174055075840","1181859174055075840")</f>
        <v>1181859174055075840</v>
      </c>
      <c r="F5327" s="8"/>
      <c r="G5327" s="14" t="s">
        <v>25216</v>
      </c>
      <c r="H5327" s="8"/>
      <c r="I5327" s="15">
        <v>0</v>
      </c>
      <c r="J5327" s="15">
        <v>2</v>
      </c>
      <c r="K5327" s="12" t="str">
        <f>HYPERLINK("http://twitter.com/download/android","Twitter for Android")</f>
        <v>Twitter for Android</v>
      </c>
      <c r="L5327" s="16">
        <v>640</v>
      </c>
      <c r="M5327" s="16">
        <v>884</v>
      </c>
      <c r="N5327" s="16">
        <v>0</v>
      </c>
      <c r="O5327" s="17"/>
      <c r="P5327" s="18">
        <v>42854.672384259262</v>
      </c>
      <c r="Q5327" s="7"/>
      <c r="R5327" s="7" t="s">
        <v>25217</v>
      </c>
      <c r="S5327" s="8"/>
      <c r="T5327" s="8"/>
      <c r="U5327" s="19" t="str">
        <f>HYPERLINK("https://pbs.twimg.com/profile_images/1111736600340430849/2oIsONS1.jpg","View")</f>
        <v>View</v>
      </c>
      <c r="V5327" s="8"/>
      <c r="W5327" s="8"/>
      <c r="X5327" s="8"/>
      <c r="Y5327" s="8"/>
      <c r="Z5327" s="8"/>
    </row>
    <row r="5328" spans="1:26" ht="12.75">
      <c r="A5328" s="11">
        <v>43747.089791666665</v>
      </c>
      <c r="B5328" s="12" t="str">
        <f>HYPERLINK("https://twitter.com/eviltesla_","@eviltesla_")</f>
        <v>@eviltesla_</v>
      </c>
      <c r="C5328" s="7" t="s">
        <v>25218</v>
      </c>
      <c r="D5328" s="7" t="s">
        <v>25219</v>
      </c>
      <c r="E5328" s="12" t="str">
        <f>HYPERLINK("https://twitter.com/eviltesla_/status/1181859168057282560","1181859168057282560")</f>
        <v>1181859168057282560</v>
      </c>
      <c r="F5328" s="8"/>
      <c r="G5328" s="8"/>
      <c r="H5328" s="8"/>
      <c r="I5328" s="15">
        <v>1</v>
      </c>
      <c r="J5328" s="15">
        <v>9</v>
      </c>
      <c r="K5328" s="12" t="str">
        <f>HYPERLINK("http://twitter.com/download/android","Twitter for Android")</f>
        <v>Twitter for Android</v>
      </c>
      <c r="L5328" s="16">
        <v>4698</v>
      </c>
      <c r="M5328" s="16">
        <v>3759</v>
      </c>
      <c r="N5328" s="16">
        <v>4</v>
      </c>
      <c r="O5328" s="17"/>
      <c r="P5328" s="18">
        <v>42105.614814814813</v>
      </c>
      <c r="Q5328" s="7" t="s">
        <v>25220</v>
      </c>
      <c r="R5328" s="7" t="s">
        <v>25221</v>
      </c>
      <c r="S5328" s="8"/>
      <c r="T5328" s="8"/>
      <c r="U5328" s="19" t="str">
        <f>HYPERLINK("https://pbs.twimg.com/profile_images/1134926583125467141/mjW1zlHv.jpg","View")</f>
        <v>View</v>
      </c>
      <c r="V5328" s="8"/>
      <c r="W5328" s="8"/>
      <c r="X5328" s="8"/>
      <c r="Y5328" s="8"/>
      <c r="Z5328" s="8"/>
    </row>
    <row r="5329" spans="1:26" ht="12.75">
      <c r="A5329" s="11">
        <v>43747.08975694445</v>
      </c>
      <c r="B5329" s="12" t="str">
        <f>HYPERLINK("https://twitter.com/t_ataturkcu","@t_ataturkcu")</f>
        <v>@t_ataturkcu</v>
      </c>
      <c r="C5329" s="7" t="s">
        <v>25222</v>
      </c>
      <c r="D5329" s="7" t="s">
        <v>25223</v>
      </c>
      <c r="E5329" s="12" t="str">
        <f>HYPERLINK("https://twitter.com/t_ataturkcu/status/1181859158175502336","1181859158175502336")</f>
        <v>1181859158175502336</v>
      </c>
      <c r="F5329" s="8"/>
      <c r="G5329" s="15"/>
      <c r="H5329" s="8"/>
      <c r="I5329" s="15">
        <v>0</v>
      </c>
      <c r="J5329" s="15">
        <v>0</v>
      </c>
      <c r="K5329" s="12" t="str">
        <f>HYPERLINK("http://twitter.com/download/android","Twitter for Android")</f>
        <v>Twitter for Android</v>
      </c>
      <c r="L5329" s="16">
        <v>46</v>
      </c>
      <c r="M5329" s="16">
        <v>325</v>
      </c>
      <c r="N5329" s="16">
        <v>0</v>
      </c>
      <c r="O5329" s="17"/>
      <c r="P5329" s="18">
        <v>41929.286990740744</v>
      </c>
      <c r="Q5329" s="8"/>
      <c r="R5329" s="7" t="s">
        <v>25224</v>
      </c>
      <c r="S5329" s="8"/>
      <c r="T5329" s="8"/>
      <c r="U5329" s="19" t="str">
        <f>HYPERLINK("https://pbs.twimg.com/profile_images/1062436338581024768/2KzP2rbt.jpg","View")</f>
        <v>View</v>
      </c>
      <c r="V5329" s="8"/>
      <c r="W5329" s="8"/>
      <c r="X5329" s="8"/>
      <c r="Y5329" s="8"/>
      <c r="Z5329" s="8"/>
    </row>
    <row r="5330" spans="1:26" ht="12.75">
      <c r="A5330" s="11">
        <v>43747.089745370366</v>
      </c>
      <c r="B5330" s="12" t="str">
        <f>HYPERLINK("https://twitter.com/6rsinliakreap1","@6rsinliakreap1")</f>
        <v>@6rsinliakreap1</v>
      </c>
      <c r="C5330" s="7" t="s">
        <v>25225</v>
      </c>
      <c r="D5330" s="7" t="s">
        <v>160</v>
      </c>
      <c r="E5330" s="12" t="str">
        <f>HYPERLINK("https://twitter.com/6rsinliakreap1/status/1181859151753940992","1181859151753940992")</f>
        <v>1181859151753940992</v>
      </c>
      <c r="F5330" s="8"/>
      <c r="G5330" s="14" t="s">
        <v>25226</v>
      </c>
      <c r="H5330" s="8"/>
      <c r="I5330" s="15">
        <v>0</v>
      </c>
      <c r="J5330" s="15">
        <v>0</v>
      </c>
      <c r="K5330" s="12" t="str">
        <f>HYPERLINK("http://twitter.com/download/android","Twitter for Android")</f>
        <v>Twitter for Android</v>
      </c>
      <c r="L5330" s="16">
        <v>4</v>
      </c>
      <c r="M5330" s="16">
        <v>4</v>
      </c>
      <c r="N5330" s="16">
        <v>0</v>
      </c>
      <c r="O5330" s="17"/>
      <c r="P5330" s="18">
        <v>43713.186435185184</v>
      </c>
      <c r="Q5330" s="7"/>
      <c r="R5330" s="7"/>
      <c r="S5330" s="8"/>
      <c r="T5330" s="8"/>
      <c r="U5330" s="19" t="str">
        <f>HYPERLINK("https://pbs.twimg.com/profile_images/1180947224987078657/wgxgcZK_.jpg","View")</f>
        <v>View</v>
      </c>
      <c r="V5330" s="8"/>
      <c r="W5330" s="8"/>
      <c r="X5330" s="8"/>
      <c r="Y5330" s="8"/>
      <c r="Z5330" s="8"/>
    </row>
    <row r="5331" spans="1:26" ht="12.75">
      <c r="A5331" s="11">
        <v>43747.089745370366</v>
      </c>
      <c r="B5331" s="12" t="str">
        <f>HYPERLINK("https://twitter.com/AliTunaBozkurt1","@AliTunaBozkurt1")</f>
        <v>@AliTunaBozkurt1</v>
      </c>
      <c r="C5331" s="7" t="s">
        <v>25227</v>
      </c>
      <c r="D5331" s="7" t="s">
        <v>25228</v>
      </c>
      <c r="E5331" s="12" t="str">
        <f>HYPERLINK("https://twitter.com/AliTunaBozkurt1/status/1181859151254831105","1181859151254831105")</f>
        <v>1181859151254831105</v>
      </c>
      <c r="F5331" s="8"/>
      <c r="G5331" s="15"/>
      <c r="H5331" s="8"/>
      <c r="I5331" s="15">
        <v>0</v>
      </c>
      <c r="J5331" s="15">
        <v>0</v>
      </c>
      <c r="K5331" s="12" t="str">
        <f>HYPERLINK("https://mobile.twitter.com","Twitter Web App")</f>
        <v>Twitter Web App</v>
      </c>
      <c r="L5331" s="16">
        <v>6</v>
      </c>
      <c r="M5331" s="16">
        <v>46</v>
      </c>
      <c r="N5331" s="16">
        <v>0</v>
      </c>
      <c r="O5331" s="17"/>
      <c r="P5331" s="18">
        <v>43625.027002314819</v>
      </c>
      <c r="Q5331" s="7"/>
      <c r="R5331" s="7"/>
      <c r="S5331" s="8"/>
      <c r="T5331" s="8"/>
      <c r="U5331" s="19" t="str">
        <f>HYPERLINK("https://pbs.twimg.com/profile_images/1170810701750947840/1nVjH0Vh.jpg","View")</f>
        <v>View</v>
      </c>
      <c r="V5331" s="8"/>
      <c r="W5331" s="8"/>
      <c r="X5331" s="8"/>
      <c r="Y5331" s="8"/>
      <c r="Z5331" s="8"/>
    </row>
    <row r="5332" spans="1:26" ht="12.75">
      <c r="A5332" s="11">
        <v>43747.089641203704</v>
      </c>
      <c r="B5332" s="12" t="str">
        <f>HYPERLINK("https://twitter.com/Mydorukann","@Mydorukann")</f>
        <v>@Mydorukann</v>
      </c>
      <c r="C5332" s="7" t="s">
        <v>25229</v>
      </c>
      <c r="D5332" s="7" t="s">
        <v>25230</v>
      </c>
      <c r="E5332" s="12" t="str">
        <f>HYPERLINK("https://twitter.com/Mydorukann/status/1181859116215685120","1181859116215685120")</f>
        <v>1181859116215685120</v>
      </c>
      <c r="F5332" s="8"/>
      <c r="G5332" s="14" t="s">
        <v>25231</v>
      </c>
      <c r="H5332" s="8"/>
      <c r="I5332" s="15">
        <v>0</v>
      </c>
      <c r="J5332" s="15">
        <v>0</v>
      </c>
      <c r="K5332" s="12" t="str">
        <f>HYPERLINK("http://twitter.com/download/iphone","Twitter for iPhone")</f>
        <v>Twitter for iPhone</v>
      </c>
      <c r="L5332" s="16">
        <v>352</v>
      </c>
      <c r="M5332" s="16">
        <v>343</v>
      </c>
      <c r="N5332" s="16">
        <v>0</v>
      </c>
      <c r="O5332" s="17"/>
      <c r="P5332" s="18">
        <v>42770.204629629632</v>
      </c>
      <c r="Q5332" s="8" t="s">
        <v>25232</v>
      </c>
      <c r="R5332" s="7" t="s">
        <v>25233</v>
      </c>
      <c r="S5332" s="14" t="s">
        <v>25234</v>
      </c>
      <c r="T5332" s="8"/>
      <c r="U5332" s="19" t="str">
        <f>HYPERLINK("https://pbs.twimg.com/profile_images/1123671698593783810/TO62S0G2.jpg","View")</f>
        <v>View</v>
      </c>
      <c r="V5332" s="8"/>
      <c r="W5332" s="8"/>
      <c r="X5332" s="8"/>
      <c r="Y5332" s="8"/>
      <c r="Z5332" s="8"/>
    </row>
    <row r="5333" spans="1:26" ht="12.75">
      <c r="A5333" s="11">
        <v>43747.089629629627</v>
      </c>
      <c r="B5333" s="12" t="str">
        <f>HYPERLINK("https://twitter.com/ahmetgulhalil","@ahmetgulhalil")</f>
        <v>@ahmetgulhalil</v>
      </c>
      <c r="C5333" s="7" t="s">
        <v>25235</v>
      </c>
      <c r="D5333" s="7" t="s">
        <v>25236</v>
      </c>
      <c r="E5333" s="12" t="str">
        <f>HYPERLINK("https://twitter.com/ahmetgulhalil/status/1181859110280671232","1181859110280671232")</f>
        <v>1181859110280671232</v>
      </c>
      <c r="F5333" s="8"/>
      <c r="G5333" s="14" t="s">
        <v>25237</v>
      </c>
      <c r="H5333" s="8"/>
      <c r="I5333" s="15">
        <v>0</v>
      </c>
      <c r="J5333" s="15">
        <v>2</v>
      </c>
      <c r="K5333" s="12" t="str">
        <f>HYPERLINK("http://twitter.com/download/android","Twitter for Android")</f>
        <v>Twitter for Android</v>
      </c>
      <c r="L5333" s="16">
        <v>81</v>
      </c>
      <c r="M5333" s="16">
        <v>475</v>
      </c>
      <c r="N5333" s="16">
        <v>0</v>
      </c>
      <c r="O5333" s="17"/>
      <c r="P5333" s="18">
        <v>43259.423680555556</v>
      </c>
      <c r="Q5333" s="8" t="s">
        <v>4645</v>
      </c>
      <c r="R5333" s="8" t="s">
        <v>25238</v>
      </c>
      <c r="S5333" s="8"/>
      <c r="T5333" s="8"/>
      <c r="U5333" s="19" t="str">
        <f>HYPERLINK("https://pbs.twimg.com/profile_images/1153299656585220098/WV2jp0Yp.jpg","View")</f>
        <v>View</v>
      </c>
      <c r="V5333" s="8"/>
      <c r="W5333" s="8"/>
      <c r="X5333" s="8"/>
      <c r="Y5333" s="8"/>
      <c r="Z5333" s="8"/>
    </row>
    <row r="5334" spans="1:26" ht="12.75">
      <c r="A5334" s="11">
        <v>43747.089560185181</v>
      </c>
      <c r="B5334" s="12" t="str">
        <f>HYPERLINK("https://twitter.com/srdrgnydn","@srdrgnydn")</f>
        <v>@srdrgnydn</v>
      </c>
      <c r="C5334" s="7" t="s">
        <v>25239</v>
      </c>
      <c r="D5334" s="7" t="s">
        <v>25240</v>
      </c>
      <c r="E5334" s="12" t="str">
        <f>HYPERLINK("https://twitter.com/srdrgnydn/status/1181859086482202624","1181859086482202624")</f>
        <v>1181859086482202624</v>
      </c>
      <c r="F5334" s="8"/>
      <c r="G5334" s="14" t="s">
        <v>25241</v>
      </c>
      <c r="H5334" s="8"/>
      <c r="I5334" s="15">
        <v>1</v>
      </c>
      <c r="J5334" s="15">
        <v>1</v>
      </c>
      <c r="K5334" s="12" t="str">
        <f>HYPERLINK("http://twitter.com/download/iphone","Twitter for iPhone")</f>
        <v>Twitter for iPhone</v>
      </c>
      <c r="L5334" s="16">
        <v>731</v>
      </c>
      <c r="M5334" s="16">
        <v>224</v>
      </c>
      <c r="N5334" s="16">
        <v>5</v>
      </c>
      <c r="O5334" s="17"/>
      <c r="P5334" s="18">
        <v>41135.352453703701</v>
      </c>
      <c r="Q5334" s="7"/>
      <c r="R5334" s="7" t="s">
        <v>25242</v>
      </c>
      <c r="S5334" s="8"/>
      <c r="T5334" s="8"/>
      <c r="U5334" s="19" t="str">
        <f>HYPERLINK("https://pbs.twimg.com/profile_images/1150535113597476865/eD93qIHS.jpg","View")</f>
        <v>View</v>
      </c>
      <c r="V5334" s="8"/>
      <c r="W5334" s="8"/>
      <c r="X5334" s="8"/>
      <c r="Y5334" s="8"/>
      <c r="Z5334" s="8"/>
    </row>
    <row r="5335" spans="1:26" ht="12.75">
      <c r="A5335" s="11">
        <v>43747.089560185181</v>
      </c>
      <c r="B5335" s="12" t="str">
        <f>HYPERLINK("https://twitter.com/mkamilyldz","@mkamilyldz")</f>
        <v>@mkamilyldz</v>
      </c>
      <c r="C5335" s="7" t="s">
        <v>25243</v>
      </c>
      <c r="D5335" s="7" t="s">
        <v>25244</v>
      </c>
      <c r="E5335" s="12" t="str">
        <f>HYPERLINK("https://twitter.com/mkamilyldz/status/1181859084267659264","1181859084267659264")</f>
        <v>1181859084267659264</v>
      </c>
      <c r="F5335" s="8"/>
      <c r="G5335" s="14" t="s">
        <v>25245</v>
      </c>
      <c r="H5335" s="8"/>
      <c r="I5335" s="15">
        <v>4</v>
      </c>
      <c r="J5335" s="15">
        <v>13</v>
      </c>
      <c r="K5335" s="12" t="str">
        <f>HYPERLINK("http://twitter.com/download/android","Twitter for Android")</f>
        <v>Twitter for Android</v>
      </c>
      <c r="L5335" s="16">
        <v>159</v>
      </c>
      <c r="M5335" s="16">
        <v>143</v>
      </c>
      <c r="N5335" s="16">
        <v>0</v>
      </c>
      <c r="O5335" s="17"/>
      <c r="P5335" s="18">
        <v>40880.565358796295</v>
      </c>
      <c r="Q5335" s="7"/>
      <c r="R5335" s="7"/>
      <c r="S5335" s="8"/>
      <c r="T5335" s="8"/>
      <c r="U5335" s="19" t="str">
        <f>HYPERLINK("https://pbs.twimg.com/profile_images/1125804844453855232/O-6vmuIT.jpg","View")</f>
        <v>View</v>
      </c>
      <c r="V5335" s="8"/>
      <c r="W5335" s="8"/>
      <c r="X5335" s="8"/>
      <c r="Y5335" s="8"/>
      <c r="Z5335" s="8"/>
    </row>
    <row r="5336" spans="1:26" ht="12.75">
      <c r="A5336" s="11">
        <v>43747.089537037042</v>
      </c>
      <c r="B5336" s="12" t="str">
        <f>HYPERLINK("https://twitter.com/tespitkopat","@tespitkopat")</f>
        <v>@tespitkopat</v>
      </c>
      <c r="C5336" s="7" t="s">
        <v>25246</v>
      </c>
      <c r="D5336" s="7" t="s">
        <v>25247</v>
      </c>
      <c r="E5336" s="12" t="str">
        <f>HYPERLINK("https://twitter.com/tespitkopat/status/1181859078852825090","1181859078852825090")</f>
        <v>1181859078852825090</v>
      </c>
      <c r="F5336" s="8"/>
      <c r="G5336" s="15"/>
      <c r="H5336" s="8"/>
      <c r="I5336" s="15">
        <v>0</v>
      </c>
      <c r="J5336" s="15">
        <v>0</v>
      </c>
      <c r="K5336" s="12" t="str">
        <f>HYPERLINK("http://twitter.com/download/iphone","Twitter for iPhone")</f>
        <v>Twitter for iPhone</v>
      </c>
      <c r="L5336" s="16">
        <v>3</v>
      </c>
      <c r="M5336" s="16">
        <v>28</v>
      </c>
      <c r="N5336" s="16">
        <v>0</v>
      </c>
      <c r="O5336" s="17"/>
      <c r="P5336" s="18">
        <v>43060.455381944441</v>
      </c>
      <c r="Q5336" s="7" t="s">
        <v>252</v>
      </c>
      <c r="R5336" s="8" t="s">
        <v>25248</v>
      </c>
      <c r="S5336" s="8"/>
      <c r="T5336" s="8"/>
      <c r="U5336" s="20" t="s">
        <v>354</v>
      </c>
      <c r="V5336" s="8"/>
      <c r="W5336" s="8"/>
      <c r="X5336" s="8"/>
      <c r="Y5336" s="8"/>
      <c r="Z5336" s="8"/>
    </row>
    <row r="5337" spans="1:26" ht="12.75">
      <c r="A5337" s="11">
        <v>43747.089513888888</v>
      </c>
      <c r="B5337" s="12" t="str">
        <f>HYPERLINK("https://twitter.com/GSerdem25","@GSerdem25")</f>
        <v>@GSerdem25</v>
      </c>
      <c r="C5337" s="7" t="s">
        <v>25249</v>
      </c>
      <c r="D5337" s="7" t="s">
        <v>25250</v>
      </c>
      <c r="E5337" s="12" t="str">
        <f>HYPERLINK("https://twitter.com/GSerdem25/status/1181859069231009793","1181859069231009793")</f>
        <v>1181859069231009793</v>
      </c>
      <c r="F5337" s="8"/>
      <c r="G5337" s="15"/>
      <c r="H5337" s="8"/>
      <c r="I5337" s="15">
        <v>0</v>
      </c>
      <c r="J5337" s="15">
        <v>0</v>
      </c>
      <c r="K5337" s="12" t="str">
        <f>HYPERLINK("http://twitter.com/download/android","Twitter for Android")</f>
        <v>Twitter for Android</v>
      </c>
      <c r="L5337" s="16">
        <v>1808</v>
      </c>
      <c r="M5337" s="16">
        <v>2015</v>
      </c>
      <c r="N5337" s="16">
        <v>0</v>
      </c>
      <c r="O5337" s="17"/>
      <c r="P5337" s="18">
        <v>40984.586412037039</v>
      </c>
      <c r="Q5337" s="8" t="s">
        <v>200</v>
      </c>
      <c r="R5337" s="7" t="s">
        <v>25251</v>
      </c>
      <c r="S5337" s="8"/>
      <c r="T5337" s="8"/>
      <c r="U5337" s="19" t="str">
        <f>HYPERLINK("https://pbs.twimg.com/profile_images/1095957152924082176/cYvb-w37.jpg","View")</f>
        <v>View</v>
      </c>
      <c r="V5337" s="8"/>
      <c r="W5337" s="8"/>
      <c r="X5337" s="8"/>
      <c r="Y5337" s="8"/>
      <c r="Z5337" s="8"/>
    </row>
    <row r="5338" spans="1:26" ht="12.75">
      <c r="A5338" s="11">
        <v>43747.089502314819</v>
      </c>
      <c r="B5338" s="12" t="str">
        <f>HYPERLINK("https://twitter.com/cagribatigucu","@cagribatigucu")</f>
        <v>@cagribatigucu</v>
      </c>
      <c r="C5338" s="7" t="s">
        <v>25252</v>
      </c>
      <c r="D5338" s="7" t="s">
        <v>151</v>
      </c>
      <c r="E5338" s="12" t="str">
        <f>HYPERLINK("https://twitter.com/cagribatigucu/status/1181859066295078912","1181859066295078912")</f>
        <v>1181859066295078912</v>
      </c>
      <c r="F5338" s="8"/>
      <c r="G5338" s="15"/>
      <c r="H5338" s="8"/>
      <c r="I5338" s="15">
        <v>0</v>
      </c>
      <c r="J5338" s="15">
        <v>0</v>
      </c>
      <c r="K5338" s="12" t="str">
        <f>HYPERLINK("http://twitter.com/download/iphone","Twitter for iPhone")</f>
        <v>Twitter for iPhone</v>
      </c>
      <c r="L5338" s="16">
        <v>87</v>
      </c>
      <c r="M5338" s="16">
        <v>66</v>
      </c>
      <c r="N5338" s="16">
        <v>0</v>
      </c>
      <c r="O5338" s="17"/>
      <c r="P5338" s="18">
        <v>41568.526354166665</v>
      </c>
      <c r="Q5338" s="8" t="s">
        <v>2881</v>
      </c>
      <c r="R5338" s="7" t="s">
        <v>25253</v>
      </c>
      <c r="S5338" s="8"/>
      <c r="T5338" s="8"/>
      <c r="U5338" s="19" t="str">
        <f>HYPERLINK("https://pbs.twimg.com/profile_images/1151131187018027011/A3ukDgCo.jpg","View")</f>
        <v>View</v>
      </c>
      <c r="V5338" s="8"/>
      <c r="W5338" s="8"/>
      <c r="X5338" s="8"/>
      <c r="Y5338" s="8"/>
      <c r="Z5338" s="8"/>
    </row>
    <row r="5339" spans="1:26" ht="12.75">
      <c r="A5339" s="11">
        <v>43747.089490740742</v>
      </c>
      <c r="B5339" s="12" t="str">
        <f>HYPERLINK("https://twitter.com/tarihcihaniim","@tarihcihaniim")</f>
        <v>@tarihcihaniim</v>
      </c>
      <c r="C5339" s="7" t="s">
        <v>25254</v>
      </c>
      <c r="D5339" s="7" t="s">
        <v>160</v>
      </c>
      <c r="E5339" s="12" t="str">
        <f>HYPERLINK("https://twitter.com/tarihcihaniim/status/1181859062306217984","1181859062306217984")</f>
        <v>1181859062306217984</v>
      </c>
      <c r="F5339" s="8"/>
      <c r="G5339" s="14" t="s">
        <v>25255</v>
      </c>
      <c r="H5339" s="8"/>
      <c r="I5339" s="15">
        <v>0</v>
      </c>
      <c r="J5339" s="15">
        <v>0</v>
      </c>
      <c r="K5339" s="12" t="str">
        <f>HYPERLINK("http://twitter.com/download/android","Twitter for Android")</f>
        <v>Twitter for Android</v>
      </c>
      <c r="L5339" s="16">
        <v>169</v>
      </c>
      <c r="M5339" s="16">
        <v>166</v>
      </c>
      <c r="N5339" s="16">
        <v>0</v>
      </c>
      <c r="O5339" s="17"/>
      <c r="P5339" s="18">
        <v>42369.522199074076</v>
      </c>
      <c r="Q5339" s="7"/>
      <c r="R5339" s="7" t="s">
        <v>25256</v>
      </c>
      <c r="S5339" s="14" t="s">
        <v>25257</v>
      </c>
      <c r="T5339" s="8"/>
      <c r="U5339" s="19" t="str">
        <f>HYPERLINK("https://pbs.twimg.com/profile_images/1172421383281762306/dLjmnKcW.jpg","View")</f>
        <v>View</v>
      </c>
      <c r="V5339" s="8"/>
      <c r="W5339" s="8"/>
      <c r="X5339" s="8"/>
      <c r="Y5339" s="8"/>
      <c r="Z5339" s="8"/>
    </row>
    <row r="5340" spans="1:26" ht="12.75">
      <c r="A5340" s="11">
        <v>43747.089467592596</v>
      </c>
      <c r="B5340" s="12" t="str">
        <f>HYPERLINK("https://twitter.com/temizlikny","@temizlikny")</f>
        <v>@temizlikny</v>
      </c>
      <c r="C5340" s="7" t="s">
        <v>25258</v>
      </c>
      <c r="D5340" s="15" t="s">
        <v>25259</v>
      </c>
      <c r="E5340" s="12" t="str">
        <f>HYPERLINK("https://twitter.com/temizlikny/status/1181859051807924224","1181859051807924224")</f>
        <v>1181859051807924224</v>
      </c>
      <c r="F5340" s="14" t="s">
        <v>25260</v>
      </c>
      <c r="G5340" s="14" t="s">
        <v>25261</v>
      </c>
      <c r="H5340" s="8"/>
      <c r="I5340" s="15">
        <v>0</v>
      </c>
      <c r="J5340" s="15">
        <v>0</v>
      </c>
      <c r="K5340" s="12" t="str">
        <f>HYPERLINK("https://mobile.twitter.com","Twitter Web App")</f>
        <v>Twitter Web App</v>
      </c>
      <c r="L5340" s="16">
        <v>8630</v>
      </c>
      <c r="M5340" s="16">
        <v>0</v>
      </c>
      <c r="N5340" s="16">
        <v>0</v>
      </c>
      <c r="O5340" s="17"/>
      <c r="P5340" s="18">
        <v>43742.275034722217</v>
      </c>
      <c r="Q5340" s="7"/>
      <c r="R5340" s="7" t="s">
        <v>25262</v>
      </c>
      <c r="S5340" s="14" t="s">
        <v>25263</v>
      </c>
      <c r="T5340" s="8"/>
      <c r="U5340" s="19" t="str">
        <f>HYPERLINK("https://pbs.twimg.com/profile_images/1181220172335652871/dVeaWXCq.jpg","View")</f>
        <v>View</v>
      </c>
      <c r="V5340" s="8"/>
      <c r="W5340" s="8"/>
      <c r="X5340" s="8"/>
      <c r="Y5340" s="8"/>
      <c r="Z5340" s="8"/>
    </row>
    <row r="5341" spans="1:26" ht="12.75">
      <c r="A5341" s="11">
        <v>43747.089421296296</v>
      </c>
      <c r="B5341" s="12" t="str">
        <f>HYPERLINK("https://twitter.com/kasva52","@kasva52")</f>
        <v>@kasva52</v>
      </c>
      <c r="C5341" s="7" t="s">
        <v>25264</v>
      </c>
      <c r="D5341" s="7" t="s">
        <v>25265</v>
      </c>
      <c r="E5341" s="12" t="str">
        <f>HYPERLINK("https://twitter.com/kasva52/status/1181859036599324672","1181859036599324672")</f>
        <v>1181859036599324672</v>
      </c>
      <c r="F5341" s="15"/>
      <c r="G5341" s="14" t="s">
        <v>25266</v>
      </c>
      <c r="H5341" s="8"/>
      <c r="I5341" s="15">
        <v>0</v>
      </c>
      <c r="J5341" s="15">
        <v>0</v>
      </c>
      <c r="K5341" s="12" t="str">
        <f>HYPERLINK("https://mobile.twitter.com","Twitter Web App")</f>
        <v>Twitter Web App</v>
      </c>
      <c r="L5341" s="16">
        <v>55</v>
      </c>
      <c r="M5341" s="16">
        <v>6</v>
      </c>
      <c r="N5341" s="16">
        <v>0</v>
      </c>
      <c r="O5341" s="17"/>
      <c r="P5341" s="18">
        <v>42706.127847222218</v>
      </c>
      <c r="Q5341" s="7" t="s">
        <v>313</v>
      </c>
      <c r="R5341" s="7" t="s">
        <v>25267</v>
      </c>
      <c r="S5341" s="8"/>
      <c r="T5341" s="8"/>
      <c r="U5341" s="19" t="str">
        <f>HYPERLINK("https://pbs.twimg.com/profile_images/1176071716566720513/H6Fzvvhi.jpg","View")</f>
        <v>View</v>
      </c>
      <c r="V5341" s="8"/>
      <c r="W5341" s="8"/>
      <c r="X5341" s="8"/>
      <c r="Y5341" s="8"/>
      <c r="Z5341" s="8"/>
    </row>
    <row r="5342" spans="1:26" ht="12.75">
      <c r="A5342" s="11">
        <v>43747.089421296296</v>
      </c>
      <c r="B5342" s="12" t="str">
        <f>HYPERLINK("https://twitter.com/furkanzzz3","@furkanzzz3")</f>
        <v>@furkanzzz3</v>
      </c>
      <c r="C5342" s="7" t="s">
        <v>16315</v>
      </c>
      <c r="D5342" s="7" t="s">
        <v>160</v>
      </c>
      <c r="E5342" s="12" t="str">
        <f>HYPERLINK("https://twitter.com/furkanzzz3/status/1181859035559190529","1181859035559190529")</f>
        <v>1181859035559190529</v>
      </c>
      <c r="F5342" s="8"/>
      <c r="G5342" s="8"/>
      <c r="H5342" s="8"/>
      <c r="I5342" s="15">
        <v>0</v>
      </c>
      <c r="J5342" s="15">
        <v>1</v>
      </c>
      <c r="K5342" s="12" t="str">
        <f>HYPERLINK("http://twitter.com/download/iphone","Twitter for iPhone")</f>
        <v>Twitter for iPhone</v>
      </c>
      <c r="L5342" s="16">
        <v>196</v>
      </c>
      <c r="M5342" s="16">
        <v>87</v>
      </c>
      <c r="N5342" s="16">
        <v>0</v>
      </c>
      <c r="O5342" s="17"/>
      <c r="P5342" s="18">
        <v>42303.288287037038</v>
      </c>
      <c r="Q5342" s="7" t="s">
        <v>1622</v>
      </c>
      <c r="R5342" s="7" t="s">
        <v>25268</v>
      </c>
      <c r="S5342" s="8"/>
      <c r="T5342" s="8"/>
      <c r="U5342" s="19" t="str">
        <f>HYPERLINK("https://pbs.twimg.com/profile_images/1172417163312844800/m4_-_h7H.jpg","View")</f>
        <v>View</v>
      </c>
      <c r="V5342" s="8"/>
      <c r="W5342" s="8"/>
      <c r="X5342" s="8"/>
      <c r="Y5342" s="8"/>
      <c r="Z5342" s="8"/>
    </row>
    <row r="5343" spans="1:26" ht="12.75">
      <c r="A5343" s="11">
        <v>43747.089421296296</v>
      </c>
      <c r="B5343" s="12" t="str">
        <f>HYPERLINK("https://twitter.com/skykhan73","@skykhan73")</f>
        <v>@skykhan73</v>
      </c>
      <c r="C5343" s="7" t="s">
        <v>25269</v>
      </c>
      <c r="D5343" s="7" t="s">
        <v>25270</v>
      </c>
      <c r="E5343" s="12" t="str">
        <f>HYPERLINK("https://twitter.com/skykhan73/status/1181859035500486656","1181859035500486656")</f>
        <v>1181859035500486656</v>
      </c>
      <c r="F5343" s="8"/>
      <c r="G5343" s="15"/>
      <c r="H5343" s="8"/>
      <c r="I5343" s="15">
        <v>0</v>
      </c>
      <c r="J5343" s="15">
        <v>1</v>
      </c>
      <c r="K5343" s="12" t="str">
        <f>HYPERLINK("http://twitter.com/download/android","Twitter for Android")</f>
        <v>Twitter for Android</v>
      </c>
      <c r="L5343" s="16">
        <v>2718</v>
      </c>
      <c r="M5343" s="16">
        <v>2371</v>
      </c>
      <c r="N5343" s="16">
        <v>2</v>
      </c>
      <c r="O5343" s="17"/>
      <c r="P5343" s="18">
        <v>41334.539224537039</v>
      </c>
      <c r="Q5343" s="7" t="s">
        <v>2026</v>
      </c>
      <c r="R5343" s="7" t="s">
        <v>25271</v>
      </c>
      <c r="S5343" s="14" t="s">
        <v>25272</v>
      </c>
      <c r="T5343" s="8"/>
      <c r="U5343" s="19" t="str">
        <f>HYPERLINK("https://pbs.twimg.com/profile_images/478616159856496640/6zsuNjCg.jpeg","View")</f>
        <v>View</v>
      </c>
      <c r="V5343" s="8"/>
      <c r="W5343" s="8"/>
      <c r="X5343" s="8"/>
      <c r="Y5343" s="8"/>
      <c r="Z5343" s="8"/>
    </row>
    <row r="5344" spans="1:26" ht="12.75">
      <c r="A5344" s="11">
        <v>43747.089421296296</v>
      </c>
      <c r="B5344" s="12" t="str">
        <f>HYPERLINK("https://twitter.com/erenmeh","@erenmeh")</f>
        <v>@erenmeh</v>
      </c>
      <c r="C5344" s="7" t="s">
        <v>25273</v>
      </c>
      <c r="D5344" s="7" t="s">
        <v>14057</v>
      </c>
      <c r="E5344" s="12" t="str">
        <f>HYPERLINK("https://twitter.com/erenmeh/status/1181859035160686593","1181859035160686593")</f>
        <v>1181859035160686593</v>
      </c>
      <c r="F5344" s="8"/>
      <c r="G5344" s="15"/>
      <c r="H5344" s="8"/>
      <c r="I5344" s="15">
        <v>0</v>
      </c>
      <c r="J5344" s="15">
        <v>0</v>
      </c>
      <c r="K5344" s="12" t="str">
        <f>HYPERLINK("http://twitter.com/download/android","Twitter for Android")</f>
        <v>Twitter for Android</v>
      </c>
      <c r="L5344" s="16">
        <v>151</v>
      </c>
      <c r="M5344" s="16">
        <v>396</v>
      </c>
      <c r="N5344" s="16">
        <v>1</v>
      </c>
      <c r="O5344" s="17"/>
      <c r="P5344" s="18">
        <v>40251.224976851852</v>
      </c>
      <c r="Q5344" s="8" t="s">
        <v>860</v>
      </c>
      <c r="R5344" s="7" t="s">
        <v>25274</v>
      </c>
      <c r="S5344" s="8"/>
      <c r="T5344" s="8"/>
      <c r="U5344" s="19" t="str">
        <f>HYPERLINK("https://pbs.twimg.com/profile_images/378800000254723540/d79181d3dffb023dfa6d99dc143182da.jpeg","View")</f>
        <v>View</v>
      </c>
      <c r="V5344" s="8"/>
      <c r="W5344" s="8"/>
      <c r="X5344" s="8"/>
      <c r="Y5344" s="8"/>
      <c r="Z5344" s="8"/>
    </row>
    <row r="5345" spans="1:26" ht="12.75">
      <c r="A5345" s="11">
        <v>43747.089398148149</v>
      </c>
      <c r="B5345" s="12" t="str">
        <f>HYPERLINK("https://twitter.com/oba_war","@oba_war")</f>
        <v>@oba_war</v>
      </c>
      <c r="C5345" s="7" t="s">
        <v>25275</v>
      </c>
      <c r="D5345" s="7" t="s">
        <v>25276</v>
      </c>
      <c r="E5345" s="12" t="str">
        <f>HYPERLINK("https://twitter.com/oba_war/status/1181859026130407424","1181859026130407424")</f>
        <v>1181859026130407424</v>
      </c>
      <c r="F5345" s="8"/>
      <c r="G5345" s="14" t="s">
        <v>25277</v>
      </c>
      <c r="H5345" s="8"/>
      <c r="I5345" s="15">
        <v>3</v>
      </c>
      <c r="J5345" s="15">
        <v>29</v>
      </c>
      <c r="K5345" s="12" t="str">
        <f>HYPERLINK("http://twitter.com/download/iphone","Twitter for iPhone")</f>
        <v>Twitter for iPhone</v>
      </c>
      <c r="L5345" s="16">
        <v>2345</v>
      </c>
      <c r="M5345" s="16">
        <v>65</v>
      </c>
      <c r="N5345" s="16">
        <v>10</v>
      </c>
      <c r="O5345" s="17"/>
      <c r="P5345" s="18">
        <v>43683.512453703705</v>
      </c>
      <c r="Q5345" s="7"/>
      <c r="R5345" s="7" t="s">
        <v>25278</v>
      </c>
      <c r="S5345" s="8"/>
      <c r="T5345" s="8"/>
      <c r="U5345" s="19" t="str">
        <f>HYPERLINK("https://pbs.twimg.com/profile_images/1180844222917808129/HUYMLJQV.jpg","View")</f>
        <v>View</v>
      </c>
      <c r="V5345" s="8"/>
      <c r="W5345" s="8"/>
      <c r="X5345" s="8"/>
      <c r="Y5345" s="8"/>
      <c r="Z5345" s="8"/>
    </row>
    <row r="5346" spans="1:26" ht="12.75">
      <c r="A5346" s="11">
        <v>43747.089374999996</v>
      </c>
      <c r="B5346" s="12" t="str">
        <f>HYPERLINK("https://twitter.com/Nefer_3403","@Nefer_3403")</f>
        <v>@Nefer_3403</v>
      </c>
      <c r="C5346" s="7" t="s">
        <v>25279</v>
      </c>
      <c r="D5346" s="7" t="s">
        <v>25280</v>
      </c>
      <c r="E5346" s="12" t="str">
        <f>HYPERLINK("https://twitter.com/Nefer_3403/status/1181859019322986496","1181859019322986496")</f>
        <v>1181859019322986496</v>
      </c>
      <c r="F5346" s="8"/>
      <c r="G5346" s="14" t="s">
        <v>25281</v>
      </c>
      <c r="H5346" s="8"/>
      <c r="I5346" s="15">
        <v>2</v>
      </c>
      <c r="J5346" s="15">
        <v>4</v>
      </c>
      <c r="K5346" s="12" t="str">
        <f>HYPERLINK("http://twitter.com/#!/download/ipad","Twitter for iPad")</f>
        <v>Twitter for iPad</v>
      </c>
      <c r="L5346" s="16">
        <v>9861</v>
      </c>
      <c r="M5346" s="16">
        <v>7244</v>
      </c>
      <c r="N5346" s="16">
        <v>14</v>
      </c>
      <c r="O5346" s="17"/>
      <c r="P5346" s="18">
        <v>40950.388726851852</v>
      </c>
      <c r="Q5346" s="8" t="s">
        <v>25282</v>
      </c>
      <c r="R5346" s="8" t="s">
        <v>25283</v>
      </c>
      <c r="S5346" s="8"/>
      <c r="T5346" s="8"/>
      <c r="U5346" s="19" t="str">
        <f>HYPERLINK("https://pbs.twimg.com/profile_images/1151386765544120320/xoe0gjZS.jpg","View")</f>
        <v>View</v>
      </c>
      <c r="V5346" s="8"/>
      <c r="W5346" s="8"/>
      <c r="X5346" s="8"/>
      <c r="Y5346" s="8"/>
      <c r="Z5346" s="8"/>
    </row>
    <row r="5347" spans="1:26" ht="12.75">
      <c r="A5347" s="11">
        <v>43747.089374999996</v>
      </c>
      <c r="B5347" s="12" t="str">
        <f>HYPERLINK("https://twitter.com/firatbaydag","@firatbaydag")</f>
        <v>@firatbaydag</v>
      </c>
      <c r="C5347" s="7" t="s">
        <v>25284</v>
      </c>
      <c r="D5347" s="7" t="s">
        <v>25285</v>
      </c>
      <c r="E5347" s="12" t="str">
        <f>HYPERLINK("https://twitter.com/firatbaydag/status/1181859017204883456","1181859017204883456")</f>
        <v>1181859017204883456</v>
      </c>
      <c r="F5347" s="8"/>
      <c r="G5347" s="8"/>
      <c r="H5347" s="8"/>
      <c r="I5347" s="15">
        <v>0</v>
      </c>
      <c r="J5347" s="15">
        <v>0</v>
      </c>
      <c r="K5347" s="12" t="str">
        <f>HYPERLINK("http://twitter.com/download/iphone","Twitter for iPhone")</f>
        <v>Twitter for iPhone</v>
      </c>
      <c r="L5347" s="16">
        <v>26</v>
      </c>
      <c r="M5347" s="16">
        <v>427</v>
      </c>
      <c r="N5347" s="16">
        <v>0</v>
      </c>
      <c r="O5347" s="17"/>
      <c r="P5347" s="18">
        <v>40579.509247685186</v>
      </c>
      <c r="Q5347" s="8" t="s">
        <v>2026</v>
      </c>
      <c r="R5347" s="7"/>
      <c r="S5347" s="8"/>
      <c r="T5347" s="8"/>
      <c r="U5347" s="19" t="str">
        <f>HYPERLINK("https://pbs.twimg.com/profile_images/938768031441854465/UJ8vw3GM.jpg","View")</f>
        <v>View</v>
      </c>
      <c r="V5347" s="8"/>
      <c r="W5347" s="8"/>
      <c r="X5347" s="8"/>
      <c r="Y5347" s="8"/>
      <c r="Z5347" s="8"/>
    </row>
    <row r="5348" spans="1:26" ht="12.75">
      <c r="A5348" s="11">
        <v>43747.089374999996</v>
      </c>
      <c r="B5348" s="12" t="str">
        <f>HYPERLINK("https://twitter.com/Navymanmurat","@Navymanmurat")</f>
        <v>@Navymanmurat</v>
      </c>
      <c r="C5348" s="7" t="s">
        <v>25286</v>
      </c>
      <c r="D5348" s="7" t="s">
        <v>25287</v>
      </c>
      <c r="E5348" s="12" t="str">
        <f>HYPERLINK("https://twitter.com/Navymanmurat/status/1181859016848355329","1181859016848355329")</f>
        <v>1181859016848355329</v>
      </c>
      <c r="F5348" s="8"/>
      <c r="G5348" s="15"/>
      <c r="H5348" s="8"/>
      <c r="I5348" s="15">
        <v>0</v>
      </c>
      <c r="J5348" s="15">
        <v>0</v>
      </c>
      <c r="K5348" s="12" t="str">
        <f>HYPERLINK("http://twitter.com/download/android","Twitter for Android")</f>
        <v>Twitter for Android</v>
      </c>
      <c r="L5348" s="16">
        <v>1259</v>
      </c>
      <c r="M5348" s="16">
        <v>1060</v>
      </c>
      <c r="N5348" s="16">
        <v>0</v>
      </c>
      <c r="O5348" s="17"/>
      <c r="P5348" s="18">
        <v>43140.078229166669</v>
      </c>
      <c r="Q5348" s="8" t="s">
        <v>8299</v>
      </c>
      <c r="R5348" s="8"/>
      <c r="S5348" s="8"/>
      <c r="T5348" s="8"/>
      <c r="U5348" s="19" t="str">
        <f>HYPERLINK("https://pbs.twimg.com/profile_images/1172757723458543616/eQklbqKU.jpg","View")</f>
        <v>View</v>
      </c>
      <c r="V5348" s="8"/>
      <c r="W5348" s="8"/>
      <c r="X5348" s="8"/>
      <c r="Y5348" s="8"/>
      <c r="Z5348" s="8"/>
    </row>
    <row r="5349" spans="1:26" ht="12.75">
      <c r="A5349" s="11">
        <v>43747.089270833334</v>
      </c>
      <c r="B5349" s="12" t="str">
        <f>HYPERLINK("https://twitter.com/byerleyturk__","@byerleyturk__")</f>
        <v>@byerleyturk__</v>
      </c>
      <c r="C5349" s="7" t="s">
        <v>25288</v>
      </c>
      <c r="D5349" s="7" t="s">
        <v>25289</v>
      </c>
      <c r="E5349" s="12" t="str">
        <f>HYPERLINK("https://twitter.com/byerleyturk__/status/1181858979162546176","1181858979162546176")</f>
        <v>1181858979162546176</v>
      </c>
      <c r="F5349" s="8"/>
      <c r="G5349" s="14" t="s">
        <v>25290</v>
      </c>
      <c r="H5349" s="8"/>
      <c r="I5349" s="15">
        <v>0</v>
      </c>
      <c r="J5349" s="15">
        <v>0</v>
      </c>
      <c r="K5349" s="12" t="str">
        <f>HYPERLINK("http://twitter.com/download/android","Twitter for Android")</f>
        <v>Twitter for Android</v>
      </c>
      <c r="L5349" s="16">
        <v>525</v>
      </c>
      <c r="M5349" s="16">
        <v>579</v>
      </c>
      <c r="N5349" s="16">
        <v>1</v>
      </c>
      <c r="O5349" s="17"/>
      <c r="P5349" s="18">
        <v>40272.682685185187</v>
      </c>
      <c r="Q5349" s="7"/>
      <c r="R5349" s="8" t="s">
        <v>25291</v>
      </c>
      <c r="S5349" s="8"/>
      <c r="T5349" s="8"/>
      <c r="U5349" s="19" t="str">
        <f>HYPERLINK("https://pbs.twimg.com/profile_images/1159135603457482752/YBsA_6Pb.jpg","View")</f>
        <v>View</v>
      </c>
      <c r="V5349" s="8"/>
      <c r="W5349" s="8"/>
      <c r="X5349" s="8"/>
      <c r="Y5349" s="8"/>
      <c r="Z5349" s="8"/>
    </row>
    <row r="5350" spans="1:26" ht="12.75">
      <c r="A5350" s="11">
        <v>43747.089259259257</v>
      </c>
      <c r="B5350" s="12" t="str">
        <f>HYPERLINK("https://twitter.com/furkangunaydin","@furkangunaydin")</f>
        <v>@furkangunaydin</v>
      </c>
      <c r="C5350" s="7" t="s">
        <v>25292</v>
      </c>
      <c r="D5350" s="7" t="s">
        <v>25293</v>
      </c>
      <c r="E5350" s="12" t="str">
        <f>HYPERLINK("https://twitter.com/furkangunaydin/status/1181858974599192583","1181858974599192583")</f>
        <v>1181858974599192583</v>
      </c>
      <c r="F5350" s="8"/>
      <c r="G5350" s="8"/>
      <c r="H5350" s="8"/>
      <c r="I5350" s="15">
        <v>0</v>
      </c>
      <c r="J5350" s="15">
        <v>0</v>
      </c>
      <c r="K5350" s="12" t="str">
        <f>HYPERLINK("http://twitter.com/download/android","Twitter for Android")</f>
        <v>Twitter for Android</v>
      </c>
      <c r="L5350" s="16">
        <v>767</v>
      </c>
      <c r="M5350" s="16">
        <v>287</v>
      </c>
      <c r="N5350" s="16">
        <v>0</v>
      </c>
      <c r="O5350" s="17"/>
      <c r="P5350" s="18">
        <v>40581.489918981482</v>
      </c>
      <c r="Q5350" s="8" t="s">
        <v>80</v>
      </c>
      <c r="R5350" s="7" t="s">
        <v>25294</v>
      </c>
      <c r="S5350" s="8"/>
      <c r="T5350" s="8"/>
      <c r="U5350" s="19" t="str">
        <f>HYPERLINK("https://pbs.twimg.com/profile_images/1176287713160511488/W8UToLF6.jpg","View")</f>
        <v>View</v>
      </c>
      <c r="V5350" s="8"/>
      <c r="W5350" s="8"/>
      <c r="X5350" s="8"/>
      <c r="Y5350" s="8"/>
      <c r="Z5350" s="8"/>
    </row>
    <row r="5351" spans="1:26" ht="12.75">
      <c r="A5351" s="11">
        <v>43747.089143518519</v>
      </c>
      <c r="B5351" s="12" t="str">
        <f>HYPERLINK("https://twitter.com/YorumunMerkezi","@YorumunMerkezi")</f>
        <v>@YorumunMerkezi</v>
      </c>
      <c r="C5351" s="7" t="s">
        <v>25295</v>
      </c>
      <c r="D5351" s="7" t="s">
        <v>25296</v>
      </c>
      <c r="E5351" s="12" t="str">
        <f>HYPERLINK("https://twitter.com/YorumunMerkezi/status/1181858933193007104","1181858933193007104")</f>
        <v>1181858933193007104</v>
      </c>
      <c r="F5351" s="8"/>
      <c r="G5351" s="14" t="s">
        <v>25297</v>
      </c>
      <c r="H5351" s="8"/>
      <c r="I5351" s="15">
        <v>0</v>
      </c>
      <c r="J5351" s="15">
        <v>1</v>
      </c>
      <c r="K5351" s="12" t="str">
        <f>HYPERLINK("http://twitter.com/download/android","Twitter for Android")</f>
        <v>Twitter for Android</v>
      </c>
      <c r="L5351" s="16">
        <v>30</v>
      </c>
      <c r="M5351" s="16">
        <v>110</v>
      </c>
      <c r="N5351" s="16">
        <v>0</v>
      </c>
      <c r="O5351" s="17"/>
      <c r="P5351" s="18">
        <v>41873.248113425929</v>
      </c>
      <c r="Q5351" s="7" t="s">
        <v>287</v>
      </c>
      <c r="R5351" s="7" t="s">
        <v>25298</v>
      </c>
      <c r="S5351" s="15"/>
      <c r="T5351" s="8"/>
      <c r="U5351" s="19" t="str">
        <f>HYPERLINK("https://pbs.twimg.com/profile_images/1176214213804605441/sIwY7XLY.jpg","View")</f>
        <v>View</v>
      </c>
      <c r="V5351" s="8"/>
      <c r="W5351" s="8"/>
      <c r="X5351" s="8"/>
      <c r="Y5351" s="8"/>
      <c r="Z5351" s="8"/>
    </row>
    <row r="5352" spans="1:26" ht="12.75">
      <c r="A5352" s="11">
        <v>43747.089131944449</v>
      </c>
      <c r="B5352" s="12" t="str">
        <f>HYPERLINK("https://twitter.com/leylayimyahu","@leylayimyahu")</f>
        <v>@leylayimyahu</v>
      </c>
      <c r="C5352" s="7" t="s">
        <v>25299</v>
      </c>
      <c r="D5352" s="7" t="s">
        <v>25300</v>
      </c>
      <c r="E5352" s="12" t="str">
        <f>HYPERLINK("https://twitter.com/leylayimyahu/status/1181858928805715969","1181858928805715969")</f>
        <v>1181858928805715969</v>
      </c>
      <c r="F5352" s="8"/>
      <c r="G5352" s="14" t="s">
        <v>25301</v>
      </c>
      <c r="H5352" s="8"/>
      <c r="I5352" s="15">
        <v>0</v>
      </c>
      <c r="J5352" s="15">
        <v>7</v>
      </c>
      <c r="K5352" s="12" t="str">
        <f>HYPERLINK("http://twitter.com/download/iphone","Twitter for iPhone")</f>
        <v>Twitter for iPhone</v>
      </c>
      <c r="L5352" s="16">
        <v>1002</v>
      </c>
      <c r="M5352" s="16">
        <v>46</v>
      </c>
      <c r="N5352" s="16">
        <v>1</v>
      </c>
      <c r="O5352" s="17"/>
      <c r="P5352" s="18">
        <v>43263.381724537037</v>
      </c>
      <c r="Q5352" s="7"/>
      <c r="R5352" s="7"/>
      <c r="S5352" s="8"/>
      <c r="T5352" s="8"/>
      <c r="U5352" s="19" t="str">
        <f>HYPERLINK("https://pbs.twimg.com/profile_images/1180951430078894085/lJgZ4Jn5.jpg","View")</f>
        <v>View</v>
      </c>
      <c r="V5352" s="8"/>
      <c r="W5352" s="8"/>
      <c r="X5352" s="8"/>
      <c r="Y5352" s="8"/>
      <c r="Z5352" s="8"/>
    </row>
    <row r="5353" spans="1:26" ht="12.75">
      <c r="A5353" s="11">
        <v>43747.089131944449</v>
      </c>
      <c r="B5353" s="12" t="str">
        <f>HYPERLINK("https://twitter.com/AydnKarakuzu","@AydnKarakuzu")</f>
        <v>@AydnKarakuzu</v>
      </c>
      <c r="C5353" s="7" t="s">
        <v>25302</v>
      </c>
      <c r="D5353" s="7" t="s">
        <v>25303</v>
      </c>
      <c r="E5353" s="12" t="str">
        <f>HYPERLINK("https://twitter.com/AydnKarakuzu/status/1181858928210124801","1181858928210124801")</f>
        <v>1181858928210124801</v>
      </c>
      <c r="F5353" s="15"/>
      <c r="G5353" s="15"/>
      <c r="H5353" s="8"/>
      <c r="I5353" s="15">
        <v>0</v>
      </c>
      <c r="J5353" s="15">
        <v>0</v>
      </c>
      <c r="K5353" s="12" t="str">
        <f>HYPERLINK("http://twitter.com/download/android","Twitter for Android")</f>
        <v>Twitter for Android</v>
      </c>
      <c r="L5353" s="16">
        <v>57</v>
      </c>
      <c r="M5353" s="16">
        <v>270</v>
      </c>
      <c r="N5353" s="16">
        <v>0</v>
      </c>
      <c r="O5353" s="17"/>
      <c r="P5353" s="18">
        <v>42814.274930555555</v>
      </c>
      <c r="Q5353" s="8"/>
      <c r="R5353" s="7" t="s">
        <v>25304</v>
      </c>
      <c r="S5353" s="8"/>
      <c r="T5353" s="8"/>
      <c r="U5353" s="19" t="str">
        <f>HYPERLINK("https://pbs.twimg.com/profile_images/1041739845280903168/5xGGQwSH.jpg","View")</f>
        <v>View</v>
      </c>
      <c r="V5353" s="8"/>
      <c r="W5353" s="8"/>
      <c r="X5353" s="8"/>
      <c r="Y5353" s="8"/>
      <c r="Z5353" s="8"/>
    </row>
    <row r="5354" spans="1:26" ht="12.75">
      <c r="A5354" s="11">
        <v>43747.089108796295</v>
      </c>
      <c r="B5354" s="12" t="str">
        <f>HYPERLINK("https://twitter.com/SaimmSaim","@SaimmSaim")</f>
        <v>@SaimmSaim</v>
      </c>
      <c r="C5354" s="7" t="s">
        <v>25305</v>
      </c>
      <c r="D5354" s="7" t="s">
        <v>25306</v>
      </c>
      <c r="E5354" s="12" t="str">
        <f>HYPERLINK("https://twitter.com/SaimmSaim/status/1181858921612500992","1181858921612500992")</f>
        <v>1181858921612500992</v>
      </c>
      <c r="F5354" s="8"/>
      <c r="G5354" s="8"/>
      <c r="H5354" s="8"/>
      <c r="I5354" s="15">
        <v>0</v>
      </c>
      <c r="J5354" s="15">
        <v>1</v>
      </c>
      <c r="K5354" s="12" t="str">
        <f>HYPERLINK("https://mobile.twitter.com","Twitter Web App")</f>
        <v>Twitter Web App</v>
      </c>
      <c r="L5354" s="16">
        <v>2533</v>
      </c>
      <c r="M5354" s="16">
        <v>4843</v>
      </c>
      <c r="N5354" s="16">
        <v>0</v>
      </c>
      <c r="O5354" s="17"/>
      <c r="P5354" s="18">
        <v>43096.022303240738</v>
      </c>
      <c r="Q5354" s="7"/>
      <c r="R5354" s="7" t="s">
        <v>25307</v>
      </c>
      <c r="S5354" s="14" t="s">
        <v>25308</v>
      </c>
      <c r="T5354" s="8"/>
      <c r="U5354" s="19" t="str">
        <f>HYPERLINK("https://pbs.twimg.com/profile_images/1154514504958533632/6TI5F__6.jpg","View")</f>
        <v>View</v>
      </c>
      <c r="V5354" s="8"/>
      <c r="W5354" s="8"/>
      <c r="X5354" s="8"/>
      <c r="Y5354" s="8"/>
      <c r="Z5354" s="8"/>
    </row>
    <row r="5355" spans="1:26" ht="12.75">
      <c r="A5355" s="11">
        <v>43747.089085648149</v>
      </c>
      <c r="B5355" s="12" t="str">
        <f>HYPERLINK("https://twitter.com/kemalece1903","@kemalece1903")</f>
        <v>@kemalece1903</v>
      </c>
      <c r="C5355" s="7" t="s">
        <v>25309</v>
      </c>
      <c r="D5355" s="7" t="s">
        <v>25310</v>
      </c>
      <c r="E5355" s="12" t="str">
        <f>HYPERLINK("https://twitter.com/kemalece1903/status/1181858914855522304","1181858914855522304")</f>
        <v>1181858914855522304</v>
      </c>
      <c r="F5355" s="8"/>
      <c r="G5355" s="8"/>
      <c r="H5355" s="8"/>
      <c r="I5355" s="15">
        <v>0</v>
      </c>
      <c r="J5355" s="15">
        <v>7</v>
      </c>
      <c r="K5355" s="12" t="str">
        <f>HYPERLINK("http://twitter.com/download/android","Twitter for Android")</f>
        <v>Twitter for Android</v>
      </c>
      <c r="L5355" s="16">
        <v>2984</v>
      </c>
      <c r="M5355" s="16">
        <v>2599</v>
      </c>
      <c r="N5355" s="16">
        <v>6</v>
      </c>
      <c r="O5355" s="17"/>
      <c r="P5355" s="18">
        <v>40992.192731481482</v>
      </c>
      <c r="Q5355" s="8" t="s">
        <v>6551</v>
      </c>
      <c r="R5355" s="7" t="s">
        <v>25311</v>
      </c>
      <c r="S5355" s="8"/>
      <c r="T5355" s="8"/>
      <c r="U5355" s="19" t="str">
        <f>HYPERLINK("https://pbs.twimg.com/profile_images/1179798833666121728/guoyjTEC.jpg","View")</f>
        <v>View</v>
      </c>
      <c r="V5355" s="8"/>
      <c r="W5355" s="8"/>
      <c r="X5355" s="8"/>
      <c r="Y5355" s="8"/>
      <c r="Z5355" s="8"/>
    </row>
    <row r="5356" spans="1:26" ht="12.75">
      <c r="A5356" s="11">
        <v>43747.089050925926</v>
      </c>
      <c r="B5356" s="12" t="str">
        <f>HYPERLINK("https://twitter.com/limon_cicek_","@limon_cicek_")</f>
        <v>@limon_cicek_</v>
      </c>
      <c r="C5356" s="7" t="s">
        <v>25312</v>
      </c>
      <c r="D5356" s="7" t="s">
        <v>25313</v>
      </c>
      <c r="E5356" s="12" t="str">
        <f>HYPERLINK("https://twitter.com/limon_cicek_/status/1181858900942970881","1181858900942970881")</f>
        <v>1181858900942970881</v>
      </c>
      <c r="F5356" s="14" t="s">
        <v>25314</v>
      </c>
      <c r="G5356" s="14" t="s">
        <v>25315</v>
      </c>
      <c r="H5356" s="8"/>
      <c r="I5356" s="15">
        <v>2</v>
      </c>
      <c r="J5356" s="15">
        <v>12</v>
      </c>
      <c r="K5356" s="12" t="str">
        <f>HYPERLINK("http://twitter.com/download/android","Twitter for Android")</f>
        <v>Twitter for Android</v>
      </c>
      <c r="L5356" s="16">
        <v>2242</v>
      </c>
      <c r="M5356" s="16">
        <v>1052</v>
      </c>
      <c r="N5356" s="16">
        <v>4</v>
      </c>
      <c r="O5356" s="17"/>
      <c r="P5356" s="18">
        <v>42924.723043981481</v>
      </c>
      <c r="Q5356" s="7"/>
      <c r="R5356" s="7" t="s">
        <v>25316</v>
      </c>
      <c r="S5356" s="8"/>
      <c r="T5356" s="8"/>
      <c r="U5356" s="19" t="str">
        <f>HYPERLINK("https://pbs.twimg.com/profile_images/1173967118976638976/5wz8M_zy.jpg","View")</f>
        <v>View</v>
      </c>
      <c r="V5356" s="8"/>
      <c r="W5356" s="8"/>
      <c r="X5356" s="8"/>
      <c r="Y5356" s="8"/>
      <c r="Z5356" s="8"/>
    </row>
    <row r="5357" spans="1:26" ht="12.75">
      <c r="A5357" s="11">
        <v>43747.089050925926</v>
      </c>
      <c r="B5357" s="12" t="str">
        <f>HYPERLINK("https://twitter.com/HQerbasi","@HQerbasi")</f>
        <v>@HQerbasi</v>
      </c>
      <c r="C5357" s="7" t="s">
        <v>25317</v>
      </c>
      <c r="D5357" s="7" t="s">
        <v>160</v>
      </c>
      <c r="E5357" s="12" t="str">
        <f>HYPERLINK("https://twitter.com/HQerbasi/status/1181858899881840646","1181858899881840646")</f>
        <v>1181858899881840646</v>
      </c>
      <c r="F5357" s="8"/>
      <c r="G5357" s="14" t="s">
        <v>25318</v>
      </c>
      <c r="H5357" s="8"/>
      <c r="I5357" s="15">
        <v>0</v>
      </c>
      <c r="J5357" s="15">
        <v>0</v>
      </c>
      <c r="K5357" s="12" t="str">
        <f>HYPERLINK("http://twitter.com/download/android","Twitter for Android")</f>
        <v>Twitter for Android</v>
      </c>
      <c r="L5357" s="16">
        <v>18</v>
      </c>
      <c r="M5357" s="16">
        <v>106</v>
      </c>
      <c r="N5357" s="16">
        <v>0</v>
      </c>
      <c r="O5357" s="17"/>
      <c r="P5357" s="18">
        <v>43662.567916666667</v>
      </c>
      <c r="Q5357" s="7" t="s">
        <v>25319</v>
      </c>
      <c r="R5357" s="7" t="s">
        <v>25320</v>
      </c>
      <c r="S5357" s="15"/>
      <c r="T5357" s="8"/>
      <c r="U5357" s="19" t="str">
        <f>HYPERLINK("https://pbs.twimg.com/profile_images/1151230076496703488/Yf_Lp5mP.jpg","View")</f>
        <v>View</v>
      </c>
      <c r="V5357" s="8"/>
      <c r="W5357" s="8"/>
      <c r="X5357" s="8"/>
      <c r="Y5357" s="8"/>
      <c r="Z5357" s="8"/>
    </row>
    <row r="5358" spans="1:26" ht="12.75">
      <c r="A5358" s="11">
        <v>43747.089004629626</v>
      </c>
      <c r="B5358" s="12" t="str">
        <f>HYPERLINK("https://twitter.com/benionaanlat","@benionaanlat")</f>
        <v>@benionaanlat</v>
      </c>
      <c r="C5358" s="7" t="s">
        <v>25321</v>
      </c>
      <c r="D5358" s="7" t="s">
        <v>25322</v>
      </c>
      <c r="E5358" s="12" t="str">
        <f>HYPERLINK("https://twitter.com/benionaanlat/status/1181858884727853057","1181858884727853057")</f>
        <v>1181858884727853057</v>
      </c>
      <c r="F5358" s="8"/>
      <c r="G5358" s="15"/>
      <c r="H5358" s="8"/>
      <c r="I5358" s="15">
        <v>0</v>
      </c>
      <c r="J5358" s="15">
        <v>0</v>
      </c>
      <c r="K5358" s="12" t="str">
        <f>HYPERLINK("https://mobile.twitter.com","Twitter Web App")</f>
        <v>Twitter Web App</v>
      </c>
      <c r="L5358" s="16">
        <v>0</v>
      </c>
      <c r="M5358" s="16">
        <v>3</v>
      </c>
      <c r="N5358" s="16">
        <v>0</v>
      </c>
      <c r="O5358" s="17"/>
      <c r="P5358" s="18">
        <v>42750.242604166662</v>
      </c>
      <c r="Q5358" s="8"/>
      <c r="R5358" s="8" t="s">
        <v>25323</v>
      </c>
      <c r="S5358" s="8"/>
      <c r="T5358" s="8"/>
      <c r="U5358" s="19" t="str">
        <f>HYPERLINK("https://pbs.twimg.com/profile_images/865005568653533184/ET6PHiqI.jpg","View")</f>
        <v>View</v>
      </c>
      <c r="V5358" s="8"/>
      <c r="W5358" s="8"/>
      <c r="X5358" s="8"/>
      <c r="Y5358" s="8"/>
      <c r="Z5358" s="8"/>
    </row>
    <row r="5359" spans="1:26" ht="12.75">
      <c r="A5359" s="11">
        <v>43747.088969907403</v>
      </c>
      <c r="B5359" s="12" t="str">
        <f>HYPERLINK("https://twitter.com/zyazici5","@zyazici5")</f>
        <v>@zyazici5</v>
      </c>
      <c r="C5359" s="7" t="s">
        <v>25324</v>
      </c>
      <c r="D5359" s="7" t="s">
        <v>25325</v>
      </c>
      <c r="E5359" s="12" t="str">
        <f>HYPERLINK("https://twitter.com/zyazici5/status/1181858871297622016","1181858871297622016")</f>
        <v>1181858871297622016</v>
      </c>
      <c r="F5359" s="14" t="s">
        <v>25326</v>
      </c>
      <c r="G5359" s="14" t="s">
        <v>25327</v>
      </c>
      <c r="H5359" s="8"/>
      <c r="I5359" s="15">
        <v>0</v>
      </c>
      <c r="J5359" s="15">
        <v>1</v>
      </c>
      <c r="K5359" s="12" t="str">
        <f>HYPERLINK("https://mobile.twitter.com","Twitter Web App")</f>
        <v>Twitter Web App</v>
      </c>
      <c r="L5359" s="16">
        <v>215</v>
      </c>
      <c r="M5359" s="16">
        <v>171</v>
      </c>
      <c r="N5359" s="16">
        <v>0</v>
      </c>
      <c r="O5359" s="17"/>
      <c r="P5359" s="18">
        <v>43277.987997685181</v>
      </c>
      <c r="Q5359" s="8" t="s">
        <v>80</v>
      </c>
      <c r="R5359" s="7" t="s">
        <v>25328</v>
      </c>
      <c r="S5359" s="8"/>
      <c r="T5359" s="8"/>
      <c r="U5359" s="19" t="str">
        <f>HYPERLINK("https://pbs.twimg.com/profile_images/1014034813223886848/lWg9ehRp.jpg","View")</f>
        <v>View</v>
      </c>
      <c r="V5359" s="8"/>
      <c r="W5359" s="8"/>
      <c r="X5359" s="8"/>
      <c r="Y5359" s="8"/>
      <c r="Z5359" s="8"/>
    </row>
    <row r="5360" spans="1:26" ht="12.75">
      <c r="A5360" s="11">
        <v>43747.088946759264</v>
      </c>
      <c r="B5360" s="12" t="str">
        <f>HYPERLINK("https://twitter.com/Yusuffcolak1938","@Yusuffcolak1938")</f>
        <v>@Yusuffcolak1938</v>
      </c>
      <c r="C5360" s="7" t="s">
        <v>25329</v>
      </c>
      <c r="D5360" s="7" t="s">
        <v>25330</v>
      </c>
      <c r="E5360" s="12" t="str">
        <f>HYPERLINK("https://twitter.com/Yusuffcolak1938/status/1181858862703489024","1181858862703489024")</f>
        <v>1181858862703489024</v>
      </c>
      <c r="F5360" s="8"/>
      <c r="G5360" s="14" t="s">
        <v>25331</v>
      </c>
      <c r="H5360" s="8"/>
      <c r="I5360" s="15">
        <v>0</v>
      </c>
      <c r="J5360" s="15">
        <v>1</v>
      </c>
      <c r="K5360" s="12" t="str">
        <f>HYPERLINK("http://twitter.com/download/android","Twitter for Android")</f>
        <v>Twitter for Android</v>
      </c>
      <c r="L5360" s="16">
        <v>459</v>
      </c>
      <c r="M5360" s="16">
        <v>527</v>
      </c>
      <c r="N5360" s="16">
        <v>0</v>
      </c>
      <c r="O5360" s="17"/>
      <c r="P5360" s="18">
        <v>43031.626944444448</v>
      </c>
      <c r="Q5360" s="8"/>
      <c r="R5360" s="7" t="s">
        <v>25332</v>
      </c>
      <c r="S5360" s="8"/>
      <c r="T5360" s="8"/>
      <c r="U5360" s="19" t="str">
        <f>HYPERLINK("https://pbs.twimg.com/profile_images/1155944579562123264/pjhJUkQn.jpg","View")</f>
        <v>View</v>
      </c>
      <c r="V5360" s="8"/>
      <c r="W5360" s="8"/>
      <c r="X5360" s="8"/>
      <c r="Y5360" s="8"/>
      <c r="Z5360" s="8"/>
    </row>
    <row r="5361" spans="1:26" ht="12.75">
      <c r="A5361" s="11">
        <v>43747.088923611111</v>
      </c>
      <c r="B5361" s="12" t="str">
        <f>HYPERLINK("https://twitter.com/aademoren","@aademoren")</f>
        <v>@aademoren</v>
      </c>
      <c r="C5361" s="7" t="s">
        <v>25333</v>
      </c>
      <c r="D5361" s="7" t="s">
        <v>25334</v>
      </c>
      <c r="E5361" s="12" t="str">
        <f>HYPERLINK("https://twitter.com/aademoren/status/1181858854323326976","1181858854323326976")</f>
        <v>1181858854323326976</v>
      </c>
      <c r="F5361" s="8"/>
      <c r="G5361" s="14" t="s">
        <v>25335</v>
      </c>
      <c r="H5361" s="8"/>
      <c r="I5361" s="15">
        <v>0</v>
      </c>
      <c r="J5361" s="15">
        <v>1</v>
      </c>
      <c r="K5361" s="12" t="str">
        <f>HYPERLINK("http://twitter.com/download/iphone","Twitter for iPhone")</f>
        <v>Twitter for iPhone</v>
      </c>
      <c r="L5361" s="16">
        <v>151</v>
      </c>
      <c r="M5361" s="16">
        <v>203</v>
      </c>
      <c r="N5361" s="16">
        <v>0</v>
      </c>
      <c r="O5361" s="17"/>
      <c r="P5361" s="18">
        <v>41442.420439814814</v>
      </c>
      <c r="Q5361" s="7"/>
      <c r="R5361" s="7" t="s">
        <v>25336</v>
      </c>
      <c r="S5361" s="15"/>
      <c r="T5361" s="8"/>
      <c r="U5361" s="19" t="str">
        <f>HYPERLINK("https://pbs.twimg.com/profile_images/815569576402579456/_Pz8GElr.jpg","View")</f>
        <v>View</v>
      </c>
      <c r="V5361" s="8"/>
      <c r="W5361" s="8"/>
      <c r="X5361" s="8"/>
      <c r="Y5361" s="8"/>
      <c r="Z5361" s="8"/>
    </row>
    <row r="5362" spans="1:26" ht="12.75">
      <c r="A5362" s="11">
        <v>43747.088912037041</v>
      </c>
      <c r="B5362" s="12" t="str">
        <f>HYPERLINK("https://twitter.com/ERSOZMURAT","@ERSOZMURAT")</f>
        <v>@ERSOZMURAT</v>
      </c>
      <c r="C5362" s="7" t="s">
        <v>25337</v>
      </c>
      <c r="D5362" s="7" t="s">
        <v>25338</v>
      </c>
      <c r="E5362" s="12" t="str">
        <f>HYPERLINK("https://twitter.com/ERSOZMURAT/status/1181858851294978048","1181858851294978048")</f>
        <v>1181858851294978048</v>
      </c>
      <c r="F5362" s="8"/>
      <c r="G5362" s="14" t="s">
        <v>25339</v>
      </c>
      <c r="H5362" s="8"/>
      <c r="I5362" s="15">
        <v>0</v>
      </c>
      <c r="J5362" s="15">
        <v>2</v>
      </c>
      <c r="K5362" s="12" t="str">
        <f>HYPERLINK("http://twitter.com/download/iphone","Twitter for iPhone")</f>
        <v>Twitter for iPhone</v>
      </c>
      <c r="L5362" s="16">
        <v>998</v>
      </c>
      <c r="M5362" s="16">
        <v>317</v>
      </c>
      <c r="N5362" s="16">
        <v>1</v>
      </c>
      <c r="O5362" s="17"/>
      <c r="P5362" s="18">
        <v>40273.016053240739</v>
      </c>
      <c r="Q5362" s="8" t="s">
        <v>8902</v>
      </c>
      <c r="R5362" s="7" t="s">
        <v>25340</v>
      </c>
      <c r="S5362" s="8"/>
      <c r="T5362" s="8"/>
      <c r="U5362" s="19" t="str">
        <f>HYPERLINK("https://pbs.twimg.com/profile_images/761510214768140288/hUWTW-KW.jpg","View")</f>
        <v>View</v>
      </c>
      <c r="V5362" s="8"/>
      <c r="W5362" s="8"/>
      <c r="X5362" s="8"/>
      <c r="Y5362" s="8"/>
      <c r="Z5362" s="8"/>
    </row>
    <row r="5363" spans="1:26" ht="12.75">
      <c r="A5363" s="11">
        <v>43747.088912037041</v>
      </c>
      <c r="B5363" s="12" t="str">
        <f>HYPERLINK("https://twitter.com/Aye19191","@Aye19191")</f>
        <v>@Aye19191</v>
      </c>
      <c r="C5363" s="7" t="s">
        <v>25341</v>
      </c>
      <c r="D5363" s="7" t="s">
        <v>25342</v>
      </c>
      <c r="E5363" s="12" t="str">
        <f>HYPERLINK("https://twitter.com/Aye19191/status/1181858849218801664","1181858849218801664")</f>
        <v>1181858849218801664</v>
      </c>
      <c r="F5363" s="8"/>
      <c r="G5363" s="8"/>
      <c r="H5363" s="8"/>
      <c r="I5363" s="15">
        <v>0</v>
      </c>
      <c r="J5363" s="15">
        <v>2</v>
      </c>
      <c r="K5363" s="12" t="str">
        <f>HYPERLINK("http://twitter.com/download/android","Twitter for Android")</f>
        <v>Twitter for Android</v>
      </c>
      <c r="L5363" s="16">
        <v>182</v>
      </c>
      <c r="M5363" s="16">
        <v>214</v>
      </c>
      <c r="N5363" s="16">
        <v>1</v>
      </c>
      <c r="O5363" s="17"/>
      <c r="P5363" s="18">
        <v>43520.637233796297</v>
      </c>
      <c r="Q5363" s="7"/>
      <c r="R5363" s="7"/>
      <c r="S5363" s="8"/>
      <c r="T5363" s="8"/>
      <c r="U5363" s="19" t="str">
        <f>HYPERLINK("https://pbs.twimg.com/profile_images/1172897594642718726/Uss58Ud6.jpg","View")</f>
        <v>View</v>
      </c>
      <c r="V5363" s="8"/>
      <c r="W5363" s="8"/>
      <c r="X5363" s="8"/>
      <c r="Y5363" s="8"/>
      <c r="Z5363" s="8"/>
    </row>
    <row r="5364" spans="1:26" ht="12.75">
      <c r="A5364" s="11">
        <v>43747.088900462964</v>
      </c>
      <c r="B5364" s="12" t="str">
        <f>HYPERLINK("https://twitter.com/HknKarabacak","@HknKarabacak")</f>
        <v>@HknKarabacak</v>
      </c>
      <c r="C5364" s="7" t="s">
        <v>25343</v>
      </c>
      <c r="D5364" s="7" t="s">
        <v>25344</v>
      </c>
      <c r="E5364" s="12" t="str">
        <f>HYPERLINK("https://twitter.com/HknKarabacak/status/1181858846882635777","1181858846882635777")</f>
        <v>1181858846882635777</v>
      </c>
      <c r="F5364" s="8"/>
      <c r="G5364" s="14" t="s">
        <v>25345</v>
      </c>
      <c r="H5364" s="8"/>
      <c r="I5364" s="15">
        <v>2</v>
      </c>
      <c r="J5364" s="15">
        <v>7</v>
      </c>
      <c r="K5364" s="12" t="str">
        <f>HYPERLINK("http://twitter.com/download/iphone","Twitter for iPhone")</f>
        <v>Twitter for iPhone</v>
      </c>
      <c r="L5364" s="16">
        <v>15</v>
      </c>
      <c r="M5364" s="16">
        <v>81</v>
      </c>
      <c r="N5364" s="16">
        <v>0</v>
      </c>
      <c r="O5364" s="17"/>
      <c r="P5364" s="18">
        <v>42521.181099537032</v>
      </c>
      <c r="Q5364" s="7" t="s">
        <v>313</v>
      </c>
      <c r="R5364" s="7" t="s">
        <v>25346</v>
      </c>
      <c r="S5364" s="8"/>
      <c r="T5364" s="8"/>
      <c r="U5364" s="19" t="str">
        <f>HYPERLINK("https://pbs.twimg.com/profile_images/1099305442629554182/Gp0cClMe.jpg","View")</f>
        <v>View</v>
      </c>
      <c r="V5364" s="8"/>
      <c r="W5364" s="8"/>
      <c r="X5364" s="8"/>
      <c r="Y5364" s="8"/>
      <c r="Z5364" s="8"/>
    </row>
    <row r="5365" spans="1:26" ht="12.75">
      <c r="A5365" s="11">
        <v>43747.088796296295</v>
      </c>
      <c r="B5365" s="12" t="str">
        <f>HYPERLINK("https://twitter.com/GARBYELI","@GARBYELI")</f>
        <v>@GARBYELI</v>
      </c>
      <c r="C5365" s="7" t="s">
        <v>25347</v>
      </c>
      <c r="D5365" s="7" t="s">
        <v>25348</v>
      </c>
      <c r="E5365" s="12" t="str">
        <f>HYPERLINK("https://twitter.com/GARBYELI/status/1181858808144023552","1181858808144023552")</f>
        <v>1181858808144023552</v>
      </c>
      <c r="F5365" s="14" t="s">
        <v>25349</v>
      </c>
      <c r="G5365" s="8"/>
      <c r="H5365" s="8"/>
      <c r="I5365" s="15">
        <v>0</v>
      </c>
      <c r="J5365" s="15">
        <v>1</v>
      </c>
      <c r="K5365" s="12" t="str">
        <f>HYPERLINK("http://twitter.com/download/iphone","Twitter for iPhone")</f>
        <v>Twitter for iPhone</v>
      </c>
      <c r="L5365" s="16">
        <v>255</v>
      </c>
      <c r="M5365" s="16">
        <v>236</v>
      </c>
      <c r="N5365" s="16">
        <v>0</v>
      </c>
      <c r="O5365" s="17"/>
      <c r="P5365" s="18">
        <v>40339.957372685181</v>
      </c>
      <c r="Q5365" s="7" t="s">
        <v>576</v>
      </c>
      <c r="R5365" s="8"/>
      <c r="S5365" s="8"/>
      <c r="T5365" s="8"/>
      <c r="U5365" s="19" t="str">
        <f>HYPERLINK("https://pbs.twimg.com/profile_images/902905090649890817/S-xcFB0C.jpg","View")</f>
        <v>View</v>
      </c>
      <c r="V5365" s="8"/>
      <c r="W5365" s="8"/>
      <c r="X5365" s="8"/>
      <c r="Y5365" s="8"/>
      <c r="Z5365" s="8"/>
    </row>
    <row r="5366" spans="1:26" ht="12.75">
      <c r="A5366" s="11">
        <v>43747.088761574079</v>
      </c>
      <c r="B5366" s="12" t="str">
        <f>HYPERLINK("https://twitter.com/ceylan_cyln","@ceylan_cyln")</f>
        <v>@ceylan_cyln</v>
      </c>
      <c r="C5366" s="7" t="s">
        <v>25350</v>
      </c>
      <c r="D5366" s="7" t="s">
        <v>25351</v>
      </c>
      <c r="E5366" s="12" t="str">
        <f>HYPERLINK("https://twitter.com/ceylan_cyln/status/1181858796756451328","1181858796756451328")</f>
        <v>1181858796756451328</v>
      </c>
      <c r="F5366" s="8"/>
      <c r="G5366" s="14" t="s">
        <v>25352</v>
      </c>
      <c r="H5366" s="8"/>
      <c r="I5366" s="15">
        <v>1</v>
      </c>
      <c r="J5366" s="15">
        <v>3</v>
      </c>
      <c r="K5366" s="12" t="str">
        <f>HYPERLINK("http://twitter.com/download/android","Twitter for Android")</f>
        <v>Twitter for Android</v>
      </c>
      <c r="L5366" s="16">
        <v>182</v>
      </c>
      <c r="M5366" s="16">
        <v>201</v>
      </c>
      <c r="N5366" s="16">
        <v>0</v>
      </c>
      <c r="O5366" s="17"/>
      <c r="P5366" s="18">
        <v>43578.151932870373</v>
      </c>
      <c r="Q5366" s="7" t="s">
        <v>10009</v>
      </c>
      <c r="R5366" s="7" t="s">
        <v>25353</v>
      </c>
      <c r="S5366" s="8"/>
      <c r="T5366" s="8"/>
      <c r="U5366" s="19" t="str">
        <f>HYPERLINK("https://pbs.twimg.com/profile_images/1179708680096436225/hy-8GKqC.jpg","View")</f>
        <v>View</v>
      </c>
      <c r="V5366" s="8"/>
      <c r="W5366" s="8"/>
      <c r="X5366" s="8"/>
      <c r="Y5366" s="8"/>
      <c r="Z5366" s="8"/>
    </row>
    <row r="5367" spans="1:26" ht="12.75">
      <c r="A5367" s="11">
        <v>43747.088738425926</v>
      </c>
      <c r="B5367" s="12" t="str">
        <f>HYPERLINK("https://twitter.com/anlbozkurtt","@anlbozkurtt")</f>
        <v>@anlbozkurtt</v>
      </c>
      <c r="C5367" s="7" t="s">
        <v>25354</v>
      </c>
      <c r="D5367" s="7" t="s">
        <v>160</v>
      </c>
      <c r="E5367" s="12" t="str">
        <f>HYPERLINK("https://twitter.com/anlbozkurtt/status/1181858787159879680","1181858787159879680")</f>
        <v>1181858787159879680</v>
      </c>
      <c r="F5367" s="8"/>
      <c r="G5367" s="14" t="s">
        <v>25355</v>
      </c>
      <c r="H5367" s="8"/>
      <c r="I5367" s="15">
        <v>0</v>
      </c>
      <c r="J5367" s="15">
        <v>2</v>
      </c>
      <c r="K5367" s="12" t="str">
        <f>HYPERLINK("http://twitter.com/download/iphone","Twitter for iPhone")</f>
        <v>Twitter for iPhone</v>
      </c>
      <c r="L5367" s="16">
        <v>583</v>
      </c>
      <c r="M5367" s="16">
        <v>426</v>
      </c>
      <c r="N5367" s="16">
        <v>1</v>
      </c>
      <c r="O5367" s="17"/>
      <c r="P5367" s="18">
        <v>41711.510752314818</v>
      </c>
      <c r="Q5367" s="8" t="s">
        <v>80</v>
      </c>
      <c r="R5367" s="7"/>
      <c r="S5367" s="14" t="s">
        <v>25356</v>
      </c>
      <c r="T5367" s="8"/>
      <c r="U5367" s="19" t="str">
        <f>HYPERLINK("https://pbs.twimg.com/profile_images/1178361178365542402/kF6fjrFX.jpg","View")</f>
        <v>View</v>
      </c>
      <c r="V5367" s="8"/>
      <c r="W5367" s="8"/>
      <c r="X5367" s="8"/>
      <c r="Y5367" s="8"/>
      <c r="Z5367" s="8"/>
    </row>
    <row r="5368" spans="1:26" ht="12.75">
      <c r="A5368" s="11">
        <v>43747.088738425926</v>
      </c>
      <c r="B5368" s="12" t="str">
        <f>HYPERLINK("https://twitter.com/sheyda2","@sheyda2")</f>
        <v>@sheyda2</v>
      </c>
      <c r="C5368" s="7" t="s">
        <v>25357</v>
      </c>
      <c r="D5368" s="7" t="s">
        <v>25358</v>
      </c>
      <c r="E5368" s="12" t="str">
        <f>HYPERLINK("https://twitter.com/sheyda2/status/1181858786190991362","1181858786190991362")</f>
        <v>1181858786190991362</v>
      </c>
      <c r="F5368" s="15"/>
      <c r="G5368" s="15"/>
      <c r="H5368" s="8"/>
      <c r="I5368" s="15">
        <v>0</v>
      </c>
      <c r="J5368" s="15">
        <v>1</v>
      </c>
      <c r="K5368" s="12" t="str">
        <f>HYPERLINK("http://twitter.com/download/android","Twitter for Android")</f>
        <v>Twitter for Android</v>
      </c>
      <c r="L5368" s="16">
        <v>634</v>
      </c>
      <c r="M5368" s="16">
        <v>1042</v>
      </c>
      <c r="N5368" s="16">
        <v>0</v>
      </c>
      <c r="O5368" s="20"/>
      <c r="P5368" s="18">
        <v>40363.568784722222</v>
      </c>
      <c r="Q5368" s="7"/>
      <c r="R5368" s="7" t="s">
        <v>25359</v>
      </c>
      <c r="S5368" s="15"/>
      <c r="T5368" s="8"/>
      <c r="U5368" s="19" t="str">
        <f>HYPERLINK("https://pbs.twimg.com/profile_images/1043415321472913408/-pQ9eeJO.jpg","View")</f>
        <v>View</v>
      </c>
      <c r="V5368" s="8"/>
      <c r="W5368" s="8"/>
      <c r="X5368" s="8"/>
      <c r="Y5368" s="8"/>
      <c r="Z5368" s="8"/>
    </row>
    <row r="5369" spans="1:26" ht="12.75">
      <c r="A5369" s="11">
        <v>43747.088726851856</v>
      </c>
      <c r="B5369" s="12" t="str">
        <f>HYPERLINK("https://twitter.com/34macera34","@34macera34")</f>
        <v>@34macera34</v>
      </c>
      <c r="C5369" s="7" t="s">
        <v>25360</v>
      </c>
      <c r="D5369" s="7" t="s">
        <v>25361</v>
      </c>
      <c r="E5369" s="12" t="str">
        <f>HYPERLINK("https://twitter.com/34macera34/status/1181858784488103936","1181858784488103936")</f>
        <v>1181858784488103936</v>
      </c>
      <c r="F5369" s="8"/>
      <c r="G5369" s="8"/>
      <c r="H5369" s="8"/>
      <c r="I5369" s="15">
        <v>0</v>
      </c>
      <c r="J5369" s="15">
        <v>0</v>
      </c>
      <c r="K5369" s="12" t="str">
        <f>HYPERLINK("http://twitter.com/download/iphone","Twitter for iPhone")</f>
        <v>Twitter for iPhone</v>
      </c>
      <c r="L5369" s="16">
        <v>1981</v>
      </c>
      <c r="M5369" s="16">
        <v>4978</v>
      </c>
      <c r="N5369" s="16">
        <v>8</v>
      </c>
      <c r="O5369" s="17"/>
      <c r="P5369" s="18">
        <v>40676.519513888888</v>
      </c>
      <c r="Q5369" s="7" t="s">
        <v>313</v>
      </c>
      <c r="R5369" s="7" t="s">
        <v>25362</v>
      </c>
      <c r="S5369" s="8"/>
      <c r="T5369" s="8"/>
      <c r="U5369" s="19" t="str">
        <f>HYPERLINK("https://pbs.twimg.com/profile_images/1174955544794169346/UmITeXui.jpg","View")</f>
        <v>View</v>
      </c>
      <c r="V5369" s="8"/>
      <c r="W5369" s="8"/>
      <c r="X5369" s="8"/>
      <c r="Y5369" s="8"/>
      <c r="Z5369" s="8"/>
    </row>
    <row r="5370" spans="1:26" ht="12.75">
      <c r="A5370" s="11">
        <v>43747.088692129633</v>
      </c>
      <c r="B5370" s="12" t="str">
        <f>HYPERLINK("https://twitter.com/TahaAlpsoy","@TahaAlpsoy")</f>
        <v>@TahaAlpsoy</v>
      </c>
      <c r="C5370" s="7" t="s">
        <v>25363</v>
      </c>
      <c r="D5370" s="7" t="s">
        <v>160</v>
      </c>
      <c r="E5370" s="12" t="str">
        <f>HYPERLINK("https://twitter.com/TahaAlpsoy/status/1181858771590615040","1181858771590615040")</f>
        <v>1181858771590615040</v>
      </c>
      <c r="F5370" s="8"/>
      <c r="G5370" s="14" t="s">
        <v>25364</v>
      </c>
      <c r="H5370" s="8"/>
      <c r="I5370" s="15">
        <v>0</v>
      </c>
      <c r="J5370" s="15">
        <v>0</v>
      </c>
      <c r="K5370" s="12" t="str">
        <f>HYPERLINK("http://twitter.com/download/android","Twitter for Android")</f>
        <v>Twitter for Android</v>
      </c>
      <c r="L5370" s="16">
        <v>447</v>
      </c>
      <c r="M5370" s="16">
        <v>153</v>
      </c>
      <c r="N5370" s="16">
        <v>0</v>
      </c>
      <c r="O5370" s="17"/>
      <c r="P5370" s="18">
        <v>40854.191678240742</v>
      </c>
      <c r="Q5370" s="7" t="s">
        <v>8083</v>
      </c>
      <c r="R5370" s="7" t="s">
        <v>25365</v>
      </c>
      <c r="S5370" s="15"/>
      <c r="T5370" s="8"/>
      <c r="U5370" s="19" t="str">
        <f>HYPERLINK("https://pbs.twimg.com/profile_images/1134312220316192768/XokfQlVo.jpg","View")</f>
        <v>View</v>
      </c>
      <c r="V5370" s="8"/>
      <c r="W5370" s="8"/>
      <c r="X5370" s="8"/>
      <c r="Y5370" s="8"/>
      <c r="Z5370" s="8"/>
    </row>
    <row r="5371" spans="1:26" ht="12.75">
      <c r="A5371" s="11">
        <v>43747.088692129633</v>
      </c>
      <c r="B5371" s="12" t="str">
        <f>HYPERLINK("https://twitter.com/metedogan44","@metedogan44")</f>
        <v>@metedogan44</v>
      </c>
      <c r="C5371" s="7" t="s">
        <v>25366</v>
      </c>
      <c r="D5371" s="7" t="s">
        <v>25367</v>
      </c>
      <c r="E5371" s="12" t="str">
        <f>HYPERLINK("https://twitter.com/metedogan44/status/1181858771053764608","1181858771053764608")</f>
        <v>1181858771053764608</v>
      </c>
      <c r="F5371" s="8"/>
      <c r="G5371" s="8"/>
      <c r="H5371" s="8"/>
      <c r="I5371" s="15">
        <v>0</v>
      </c>
      <c r="J5371" s="15">
        <v>0</v>
      </c>
      <c r="K5371" s="12" t="str">
        <f>HYPERLINK("http://twitter.com/download/iphone","Twitter for iPhone")</f>
        <v>Twitter for iPhone</v>
      </c>
      <c r="L5371" s="16">
        <v>301</v>
      </c>
      <c r="M5371" s="16">
        <v>86</v>
      </c>
      <c r="N5371" s="16">
        <v>0</v>
      </c>
      <c r="O5371" s="17"/>
      <c r="P5371" s="18">
        <v>43448.335162037038</v>
      </c>
      <c r="Q5371" s="7" t="s">
        <v>200</v>
      </c>
      <c r="R5371" s="7"/>
      <c r="S5371" s="8"/>
      <c r="T5371" s="8"/>
      <c r="U5371" s="19" t="str">
        <f>HYPERLINK("https://pbs.twimg.com/profile_images/1180883182037749761/S2tqAR3f.jpg","View")</f>
        <v>View</v>
      </c>
      <c r="V5371" s="8"/>
      <c r="W5371" s="8"/>
      <c r="X5371" s="8"/>
      <c r="Y5371" s="8"/>
      <c r="Z5371" s="8"/>
    </row>
    <row r="5372" spans="1:26" ht="12.75">
      <c r="A5372" s="11">
        <v>43747.08865740741</v>
      </c>
      <c r="B5372" s="12" t="str">
        <f>HYPERLINK("https://twitter.com/ahmt_oncll","@ahmt_oncll")</f>
        <v>@ahmt_oncll</v>
      </c>
      <c r="C5372" s="7" t="s">
        <v>25368</v>
      </c>
      <c r="D5372" s="7" t="s">
        <v>25369</v>
      </c>
      <c r="E5372" s="12" t="str">
        <f>HYPERLINK("https://twitter.com/ahmt_oncll/status/1181858756612767745","1181858756612767745")</f>
        <v>1181858756612767745</v>
      </c>
      <c r="F5372" s="8"/>
      <c r="G5372" s="14" t="s">
        <v>25370</v>
      </c>
      <c r="H5372" s="8"/>
      <c r="I5372" s="15">
        <v>0</v>
      </c>
      <c r="J5372" s="15">
        <v>1</v>
      </c>
      <c r="K5372" s="12" t="str">
        <f>HYPERLINK("http://twitter.com/download/android","Twitter for Android")</f>
        <v>Twitter for Android</v>
      </c>
      <c r="L5372" s="16">
        <v>713</v>
      </c>
      <c r="M5372" s="16">
        <v>449</v>
      </c>
      <c r="N5372" s="16">
        <v>0</v>
      </c>
      <c r="O5372" s="17"/>
      <c r="P5372" s="18">
        <v>42885.25986111111</v>
      </c>
      <c r="Q5372" s="8" t="s">
        <v>10009</v>
      </c>
      <c r="R5372" s="7"/>
      <c r="S5372" s="14" t="s">
        <v>25371</v>
      </c>
      <c r="T5372" s="8"/>
      <c r="U5372" s="19" t="str">
        <f>HYPERLINK("https://pbs.twimg.com/profile_images/1075873258896019456/tT0nlgRG.jpg","View")</f>
        <v>View</v>
      </c>
      <c r="V5372" s="8"/>
      <c r="W5372" s="8"/>
      <c r="X5372" s="8"/>
      <c r="Y5372" s="8"/>
      <c r="Z5372" s="8"/>
    </row>
    <row r="5373" spans="1:26" ht="12.75">
      <c r="A5373" s="11">
        <v>43747.088645833333</v>
      </c>
      <c r="B5373" s="12" t="str">
        <f>HYPERLINK("https://twitter.com/GameOwer1907","@GameOwer1907")</f>
        <v>@GameOwer1907</v>
      </c>
      <c r="C5373" s="7" t="s">
        <v>24493</v>
      </c>
      <c r="D5373" s="7" t="s">
        <v>25372</v>
      </c>
      <c r="E5373" s="12" t="str">
        <f>HYPERLINK("https://twitter.com/GameOwer1907/status/1181858753664241669","1181858753664241669")</f>
        <v>1181858753664241669</v>
      </c>
      <c r="F5373" s="8"/>
      <c r="G5373" s="14" t="s">
        <v>25373</v>
      </c>
      <c r="H5373" s="8"/>
      <c r="I5373" s="15">
        <v>0</v>
      </c>
      <c r="J5373" s="15">
        <v>2</v>
      </c>
      <c r="K5373" s="12" t="str">
        <f>HYPERLINK("https://mobile.twitter.com","Twitter Web App")</f>
        <v>Twitter Web App</v>
      </c>
      <c r="L5373" s="16">
        <v>1306</v>
      </c>
      <c r="M5373" s="16">
        <v>3091</v>
      </c>
      <c r="N5373" s="16">
        <v>0</v>
      </c>
      <c r="O5373" s="17"/>
      <c r="P5373" s="18">
        <v>41002.420289351852</v>
      </c>
      <c r="Q5373" s="7" t="s">
        <v>25374</v>
      </c>
      <c r="R5373" s="7" t="s">
        <v>25375</v>
      </c>
      <c r="S5373" s="15"/>
      <c r="T5373" s="8"/>
      <c r="U5373" s="19" t="str">
        <f>HYPERLINK("https://pbs.twimg.com/profile_images/1103952131881660416/C53pvQVn.png","View")</f>
        <v>View</v>
      </c>
      <c r="V5373" s="8"/>
      <c r="W5373" s="8"/>
      <c r="X5373" s="8"/>
      <c r="Y5373" s="8"/>
      <c r="Z5373" s="8"/>
    </row>
    <row r="5374" spans="1:26" ht="12.75">
      <c r="A5374" s="11">
        <v>43747.088564814811</v>
      </c>
      <c r="B5374" s="12" t="str">
        <f>HYPERLINK("https://twitter.com/bjksorhan","@bjksorhan")</f>
        <v>@bjksorhan</v>
      </c>
      <c r="C5374" s="7" t="s">
        <v>25376</v>
      </c>
      <c r="D5374" s="7" t="s">
        <v>25377</v>
      </c>
      <c r="E5374" s="12" t="str">
        <f>HYPERLINK("https://twitter.com/bjksorhan/status/1181858723821756416","1181858723821756416")</f>
        <v>1181858723821756416</v>
      </c>
      <c r="F5374" s="8"/>
      <c r="G5374" s="14" t="s">
        <v>25378</v>
      </c>
      <c r="H5374" s="8"/>
      <c r="I5374" s="15">
        <v>0</v>
      </c>
      <c r="J5374" s="15">
        <v>3</v>
      </c>
      <c r="K5374" s="12" t="str">
        <f>HYPERLINK("http://twitter.com/download/iphone","Twitter for iPhone")</f>
        <v>Twitter for iPhone</v>
      </c>
      <c r="L5374" s="16">
        <v>234</v>
      </c>
      <c r="M5374" s="16">
        <v>86</v>
      </c>
      <c r="N5374" s="16">
        <v>0</v>
      </c>
      <c r="O5374" s="17"/>
      <c r="P5374" s="18">
        <v>43633.072951388887</v>
      </c>
      <c r="Q5374" s="7"/>
      <c r="R5374" s="7" t="s">
        <v>25379</v>
      </c>
      <c r="S5374" s="15"/>
      <c r="T5374" s="8"/>
      <c r="U5374" s="19" t="str">
        <f>HYPERLINK("https://pbs.twimg.com/profile_images/1180182347146305542/SiVcf_7q.jpg","View")</f>
        <v>View</v>
      </c>
      <c r="V5374" s="8"/>
      <c r="W5374" s="8"/>
      <c r="X5374" s="8"/>
      <c r="Y5374" s="8"/>
      <c r="Z5374" s="8"/>
    </row>
    <row r="5375" spans="1:26" ht="12.75">
      <c r="A5375" s="11">
        <v>43747.088506944448</v>
      </c>
      <c r="B5375" s="12" t="str">
        <f>HYPERLINK("https://twitter.com/FatihUSLU27","@FatihUSLU27")</f>
        <v>@FatihUSLU27</v>
      </c>
      <c r="C5375" s="7" t="s">
        <v>25380</v>
      </c>
      <c r="D5375" s="7" t="s">
        <v>25381</v>
      </c>
      <c r="E5375" s="12" t="str">
        <f>HYPERLINK("https://twitter.com/FatihUSLU27/status/1181858702988627969","1181858702988627969")</f>
        <v>1181858702988627969</v>
      </c>
      <c r="F5375" s="8"/>
      <c r="G5375" s="14" t="s">
        <v>25382</v>
      </c>
      <c r="H5375" s="8"/>
      <c r="I5375" s="15">
        <v>0</v>
      </c>
      <c r="J5375" s="15">
        <v>0</v>
      </c>
      <c r="K5375" s="12" t="str">
        <f>HYPERLINK("http://twitter.com/download/android","Twitter for Android")</f>
        <v>Twitter for Android</v>
      </c>
      <c r="L5375" s="16">
        <v>1</v>
      </c>
      <c r="M5375" s="16">
        <v>35</v>
      </c>
      <c r="N5375" s="16">
        <v>0</v>
      </c>
      <c r="O5375" s="17"/>
      <c r="P5375" s="18">
        <v>43738.022592592592</v>
      </c>
      <c r="Q5375" s="7"/>
      <c r="R5375" s="7"/>
      <c r="S5375" s="14" t="s">
        <v>25383</v>
      </c>
      <c r="T5375" s="8"/>
      <c r="U5375" s="19" t="str">
        <f>HYPERLINK("https://pbs.twimg.com/profile_images/1180962606531698688/0wIKjbEr.jpg","View")</f>
        <v>View</v>
      </c>
      <c r="V5375" s="8"/>
      <c r="W5375" s="8"/>
      <c r="X5375" s="8"/>
      <c r="Y5375" s="8"/>
      <c r="Z5375" s="8"/>
    </row>
    <row r="5376" spans="1:26" ht="12.75">
      <c r="A5376" s="11">
        <v>43747.088449074072</v>
      </c>
      <c r="B5376" s="12" t="str">
        <f>HYPERLINK("https://twitter.com/anpoliz","@anpoliz")</f>
        <v>@anpoliz</v>
      </c>
      <c r="C5376" s="7" t="s">
        <v>25384</v>
      </c>
      <c r="D5376" s="7" t="s">
        <v>25385</v>
      </c>
      <c r="E5376" s="12" t="str">
        <f>HYPERLINK("https://twitter.com/anpoliz/status/1181858683208323073","1181858683208323073")</f>
        <v>1181858683208323073</v>
      </c>
      <c r="F5376" s="15"/>
      <c r="G5376" s="15"/>
      <c r="H5376" s="8"/>
      <c r="I5376" s="15">
        <v>0</v>
      </c>
      <c r="J5376" s="15">
        <v>0</v>
      </c>
      <c r="K5376" s="12" t="str">
        <f>HYPERLINK("https://mobile.twitter.com","Twitter Web App")</f>
        <v>Twitter Web App</v>
      </c>
      <c r="L5376" s="16">
        <v>77</v>
      </c>
      <c r="M5376" s="16">
        <v>194</v>
      </c>
      <c r="N5376" s="16">
        <v>0</v>
      </c>
      <c r="O5376" s="17"/>
      <c r="P5376" s="18">
        <v>39824.368449074071</v>
      </c>
      <c r="Q5376" s="8" t="s">
        <v>200</v>
      </c>
      <c r="R5376" s="7"/>
      <c r="S5376" s="15"/>
      <c r="T5376" s="8"/>
      <c r="U5376" s="19" t="str">
        <f>HYPERLINK("https://pbs.twimg.com/profile_images/1093061880610983938/NOEKSDgI.jpg","View")</f>
        <v>View</v>
      </c>
      <c r="V5376" s="8"/>
      <c r="W5376" s="8"/>
      <c r="X5376" s="8"/>
      <c r="Y5376" s="8"/>
      <c r="Z5376" s="8"/>
    </row>
    <row r="5377" spans="1:26" ht="12.75">
      <c r="A5377" s="11">
        <v>43747.088449074072</v>
      </c>
      <c r="B5377" s="12" t="str">
        <f>HYPERLINK("https://twitter.com/SleymanTavanol2","@SleymanTavanol2")</f>
        <v>@SleymanTavanol2</v>
      </c>
      <c r="C5377" s="7" t="s">
        <v>25386</v>
      </c>
      <c r="D5377" s="7" t="s">
        <v>25387</v>
      </c>
      <c r="E5377" s="12" t="str">
        <f>HYPERLINK("https://twitter.com/SleymanTavanol2/status/1181858680796598272","1181858680796598272")</f>
        <v>1181858680796598272</v>
      </c>
      <c r="F5377" s="8"/>
      <c r="G5377" s="8"/>
      <c r="H5377" s="8"/>
      <c r="I5377" s="15">
        <v>0</v>
      </c>
      <c r="J5377" s="15">
        <v>1</v>
      </c>
      <c r="K5377" s="12" t="str">
        <f>HYPERLINK("http://twitter.com/download/android","Twitter for Android")</f>
        <v>Twitter for Android</v>
      </c>
      <c r="L5377" s="16">
        <v>25</v>
      </c>
      <c r="M5377" s="16">
        <v>44</v>
      </c>
      <c r="N5377" s="16">
        <v>0</v>
      </c>
      <c r="O5377" s="17"/>
      <c r="P5377" s="18">
        <v>42891.481886574074</v>
      </c>
      <c r="Q5377" s="8" t="s">
        <v>25388</v>
      </c>
      <c r="R5377" s="7" t="s">
        <v>25389</v>
      </c>
      <c r="S5377" s="15"/>
      <c r="T5377" s="8"/>
      <c r="U5377" s="19" t="str">
        <f>HYPERLINK("https://pbs.twimg.com/profile_images/1164926424354103297/-ZDcqf5u.jpg","View")</f>
        <v>View</v>
      </c>
      <c r="V5377" s="8"/>
      <c r="W5377" s="8"/>
      <c r="X5377" s="8"/>
      <c r="Y5377" s="8"/>
      <c r="Z5377" s="8"/>
    </row>
    <row r="5378" spans="1:26" ht="12.75">
      <c r="A5378" s="11">
        <v>43747.088437500002</v>
      </c>
      <c r="B5378" s="12" t="str">
        <f>HYPERLINK("https://twitter.com/Bayramca3000","@Bayramca3000")</f>
        <v>@Bayramca3000</v>
      </c>
      <c r="C5378" s="7" t="s">
        <v>25390</v>
      </c>
      <c r="D5378" s="7" t="s">
        <v>25391</v>
      </c>
      <c r="E5378" s="12" t="str">
        <f>HYPERLINK("https://twitter.com/Bayramca3000/status/1181858676694487042","1181858676694487042")</f>
        <v>1181858676694487042</v>
      </c>
      <c r="F5378" s="8"/>
      <c r="G5378" s="15"/>
      <c r="H5378" s="8"/>
      <c r="I5378" s="15">
        <v>0</v>
      </c>
      <c r="J5378" s="15">
        <v>1</v>
      </c>
      <c r="K5378" s="12" t="str">
        <f>HYPERLINK("http://twitter.com/download/android","Twitter for Android")</f>
        <v>Twitter for Android</v>
      </c>
      <c r="L5378" s="16">
        <v>174</v>
      </c>
      <c r="M5378" s="16">
        <v>63</v>
      </c>
      <c r="N5378" s="16">
        <v>0</v>
      </c>
      <c r="O5378" s="17"/>
      <c r="P5378" s="18">
        <v>40731.030428240745</v>
      </c>
      <c r="Q5378" s="7"/>
      <c r="R5378" s="7" t="s">
        <v>25392</v>
      </c>
      <c r="S5378" s="8"/>
      <c r="T5378" s="8"/>
      <c r="U5378" s="19" t="str">
        <f>HYPERLINK("https://pbs.twimg.com/profile_images/623926511150743553/D4CQIgJA.jpg","View")</f>
        <v>View</v>
      </c>
      <c r="V5378" s="8"/>
      <c r="W5378" s="8"/>
      <c r="X5378" s="8"/>
      <c r="Y5378" s="8"/>
      <c r="Z5378" s="8"/>
    </row>
    <row r="5379" spans="1:26" ht="12.75">
      <c r="A5379" s="11">
        <v>43747.088414351849</v>
      </c>
      <c r="B5379" s="12" t="str">
        <f>HYPERLINK("https://twitter.com/stevov22","@stevov22")</f>
        <v>@stevov22</v>
      </c>
      <c r="C5379" s="7" t="s">
        <v>25393</v>
      </c>
      <c r="D5379" s="7" t="s">
        <v>25394</v>
      </c>
      <c r="E5379" s="12" t="str">
        <f>HYPERLINK("https://twitter.com/stevov22/status/1181858668981227520","1181858668981227520")</f>
        <v>1181858668981227520</v>
      </c>
      <c r="F5379" s="14" t="s">
        <v>25395</v>
      </c>
      <c r="G5379" s="8"/>
      <c r="H5379" s="8"/>
      <c r="I5379" s="15">
        <v>0</v>
      </c>
      <c r="J5379" s="15">
        <v>1</v>
      </c>
      <c r="K5379" s="12" t="str">
        <f>HYPERLINK("https://ifttt.com","IFTTT")</f>
        <v>IFTTT</v>
      </c>
      <c r="L5379" s="16">
        <v>2</v>
      </c>
      <c r="M5379" s="16">
        <v>1</v>
      </c>
      <c r="N5379" s="16">
        <v>0</v>
      </c>
      <c r="O5379" s="17"/>
      <c r="P5379" s="18">
        <v>41833.674085648148</v>
      </c>
      <c r="Q5379" s="7"/>
      <c r="R5379" s="7"/>
      <c r="S5379" s="8"/>
      <c r="T5379" s="8"/>
      <c r="U5379" s="19" t="str">
        <f>HYPERLINK("https://pbs.twimg.com/profile_images/1181597527767957504/yd64pCm2.jpg","View")</f>
        <v>View</v>
      </c>
      <c r="V5379" s="8"/>
      <c r="W5379" s="8"/>
      <c r="X5379" s="8"/>
      <c r="Y5379" s="8"/>
      <c r="Z5379" s="8"/>
    </row>
    <row r="5380" spans="1:26" ht="12.75">
      <c r="A5380" s="11">
        <v>43747.088391203702</v>
      </c>
      <c r="B5380" s="12" t="str">
        <f>HYPERLINK("https://twitter.com/Ayasli_06","@Ayasli_06")</f>
        <v>@Ayasli_06</v>
      </c>
      <c r="C5380" s="7" t="s">
        <v>25396</v>
      </c>
      <c r="D5380" s="7" t="s">
        <v>25397</v>
      </c>
      <c r="E5380" s="12" t="str">
        <f>HYPERLINK("https://twitter.com/Ayasli_06/status/1181858663193075712","1181858663193075712")</f>
        <v>1181858663193075712</v>
      </c>
      <c r="F5380" s="8"/>
      <c r="G5380" s="14" t="s">
        <v>25398</v>
      </c>
      <c r="H5380" s="8"/>
      <c r="I5380" s="15">
        <v>0</v>
      </c>
      <c r="J5380" s="15">
        <v>2</v>
      </c>
      <c r="K5380" s="12" t="str">
        <f>HYPERLINK("http://twitter.com/download/iphone","Twitter for iPhone")</f>
        <v>Twitter for iPhone</v>
      </c>
      <c r="L5380" s="16">
        <v>204</v>
      </c>
      <c r="M5380" s="16">
        <v>314</v>
      </c>
      <c r="N5380" s="16">
        <v>0</v>
      </c>
      <c r="O5380" s="17"/>
      <c r="P5380" s="18">
        <v>40788.612430555557</v>
      </c>
      <c r="Q5380" s="8" t="s">
        <v>25399</v>
      </c>
      <c r="R5380" s="8" t="s">
        <v>25400</v>
      </c>
      <c r="S5380" s="14" t="s">
        <v>25401</v>
      </c>
      <c r="T5380" s="8"/>
      <c r="U5380" s="19" t="str">
        <f>HYPERLINK("https://pbs.twimg.com/profile_images/1176949415849996292/5_pDc0xa.jpg","View")</f>
        <v>View</v>
      </c>
      <c r="V5380" s="8"/>
      <c r="W5380" s="8"/>
      <c r="X5380" s="8"/>
      <c r="Y5380" s="8"/>
      <c r="Z5380" s="8"/>
    </row>
    <row r="5381" spans="1:26" ht="12.75">
      <c r="A5381" s="11">
        <v>43747.088356481487</v>
      </c>
      <c r="B5381" s="12" t="str">
        <f>HYPERLINK("https://twitter.com/nihats_61","@nihats_61")</f>
        <v>@nihats_61</v>
      </c>
      <c r="C5381" s="7" t="s">
        <v>25402</v>
      </c>
      <c r="D5381" s="7" t="s">
        <v>13999</v>
      </c>
      <c r="E5381" s="12" t="str">
        <f>HYPERLINK("https://twitter.com/nihats_61/status/1181858649943281664","1181858649943281664")</f>
        <v>1181858649943281664</v>
      </c>
      <c r="F5381" s="8"/>
      <c r="G5381" s="14" t="s">
        <v>25403</v>
      </c>
      <c r="H5381" s="8"/>
      <c r="I5381" s="15">
        <v>0</v>
      </c>
      <c r="J5381" s="15">
        <v>9</v>
      </c>
      <c r="K5381" s="12" t="str">
        <f>HYPERLINK("http://twitter.com/download/android","Twitter for Android")</f>
        <v>Twitter for Android</v>
      </c>
      <c r="L5381" s="16">
        <v>1305</v>
      </c>
      <c r="M5381" s="16">
        <v>1172</v>
      </c>
      <c r="N5381" s="16">
        <v>0</v>
      </c>
      <c r="O5381" s="17"/>
      <c r="P5381" s="18">
        <v>43164.113981481481</v>
      </c>
      <c r="Q5381" s="7"/>
      <c r="R5381" s="8" t="s">
        <v>25404</v>
      </c>
      <c r="S5381" s="8"/>
      <c r="T5381" s="8"/>
      <c r="U5381" s="19" t="str">
        <f>HYPERLINK("https://pbs.twimg.com/profile_images/1175806492722782208/AlnqeqsG.jpg","View")</f>
        <v>View</v>
      </c>
      <c r="V5381" s="8"/>
      <c r="W5381" s="8"/>
      <c r="X5381" s="8"/>
      <c r="Y5381" s="8"/>
      <c r="Z5381" s="8"/>
    </row>
    <row r="5382" spans="1:26" ht="12.75">
      <c r="A5382" s="11">
        <v>43747.088321759264</v>
      </c>
      <c r="B5382" s="12" t="str">
        <f>HYPERLINK("https://twitter.com/synknt1","@synknt1")</f>
        <v>@synknt1</v>
      </c>
      <c r="C5382" s="7" t="s">
        <v>25405</v>
      </c>
      <c r="D5382" s="7" t="s">
        <v>25406</v>
      </c>
      <c r="E5382" s="12" t="str">
        <f>HYPERLINK("https://twitter.com/synknt1/status/1181858637314236417","1181858637314236417")</f>
        <v>1181858637314236417</v>
      </c>
      <c r="F5382" s="8"/>
      <c r="G5382" s="8"/>
      <c r="H5382" s="8"/>
      <c r="I5382" s="15">
        <v>0</v>
      </c>
      <c r="J5382" s="15">
        <v>1</v>
      </c>
      <c r="K5382" s="12" t="str">
        <f>HYPERLINK("http://twitter.com/download/iphone","Twitter for iPhone")</f>
        <v>Twitter for iPhone</v>
      </c>
      <c r="L5382" s="16">
        <v>26</v>
      </c>
      <c r="M5382" s="16">
        <v>51</v>
      </c>
      <c r="N5382" s="16">
        <v>0</v>
      </c>
      <c r="O5382" s="17"/>
      <c r="P5382" s="18">
        <v>43526.474409722221</v>
      </c>
      <c r="Q5382" s="8"/>
      <c r="R5382" s="7"/>
      <c r="S5382" s="8"/>
      <c r="T5382" s="8"/>
      <c r="U5382" s="19" t="str">
        <f>HYPERLINK("https://pbs.twimg.com/profile_images/1101926279174078465/Rg9m5ZTI.jpg","View")</f>
        <v>View</v>
      </c>
      <c r="V5382" s="8"/>
      <c r="W5382" s="8"/>
      <c r="X5382" s="8"/>
      <c r="Y5382" s="8"/>
      <c r="Z5382" s="8"/>
    </row>
    <row r="5383" spans="1:26" ht="12.75">
      <c r="A5383" s="11">
        <v>43747.08829861111</v>
      </c>
      <c r="B5383" s="12" t="str">
        <f>HYPERLINK("https://twitter.com/target_53","@target_53")</f>
        <v>@target_53</v>
      </c>
      <c r="C5383" s="7" t="s">
        <v>25407</v>
      </c>
      <c r="D5383" s="7" t="s">
        <v>25408</v>
      </c>
      <c r="E5383" s="12" t="str">
        <f>HYPERLINK("https://twitter.com/target_53/status/1181858628933959680","1181858628933959680")</f>
        <v>1181858628933959680</v>
      </c>
      <c r="F5383" s="8"/>
      <c r="G5383" s="15"/>
      <c r="H5383" s="8"/>
      <c r="I5383" s="15">
        <v>0</v>
      </c>
      <c r="J5383" s="15">
        <v>3</v>
      </c>
      <c r="K5383" s="12" t="str">
        <f>HYPERLINK("http://twitter.com/download/android","Twitter for Android")</f>
        <v>Twitter for Android</v>
      </c>
      <c r="L5383" s="16">
        <v>88</v>
      </c>
      <c r="M5383" s="16">
        <v>558</v>
      </c>
      <c r="N5383" s="16">
        <v>0</v>
      </c>
      <c r="O5383" s="17"/>
      <c r="P5383" s="18">
        <v>40239.648391203707</v>
      </c>
      <c r="Q5383" s="7" t="s">
        <v>313</v>
      </c>
      <c r="R5383" s="7" t="s">
        <v>25409</v>
      </c>
      <c r="S5383" s="8"/>
      <c r="T5383" s="8"/>
      <c r="U5383" s="19" t="str">
        <f>HYPERLINK("https://pbs.twimg.com/profile_images/616860396750827520/IkmZl4ZN.jpg","View")</f>
        <v>View</v>
      </c>
      <c r="V5383" s="8"/>
      <c r="W5383" s="8"/>
      <c r="X5383" s="8"/>
      <c r="Y5383" s="8"/>
      <c r="Z5383" s="8"/>
    </row>
    <row r="5384" spans="1:26" ht="12.75">
      <c r="A5384" s="11">
        <v>43747.088275462964</v>
      </c>
      <c r="B5384" s="12" t="str">
        <f>HYPERLINK("https://twitter.com/OzanKorkmaz02","@OzanKorkmaz02")</f>
        <v>@OzanKorkmaz02</v>
      </c>
      <c r="C5384" s="7" t="s">
        <v>25410</v>
      </c>
      <c r="D5384" s="7" t="s">
        <v>25411</v>
      </c>
      <c r="E5384" s="12" t="str">
        <f>HYPERLINK("https://twitter.com/OzanKorkmaz02/status/1181858619958185984","1181858619958185984")</f>
        <v>1181858619958185984</v>
      </c>
      <c r="F5384" s="8"/>
      <c r="G5384" s="14" t="s">
        <v>25412</v>
      </c>
      <c r="H5384" s="8"/>
      <c r="I5384" s="15">
        <v>0</v>
      </c>
      <c r="J5384" s="15">
        <v>1</v>
      </c>
      <c r="K5384" s="12" t="str">
        <f>HYPERLINK("http://twitter.com/download/android","Twitter for Android")</f>
        <v>Twitter for Android</v>
      </c>
      <c r="L5384" s="16">
        <v>9</v>
      </c>
      <c r="M5384" s="16">
        <v>22</v>
      </c>
      <c r="N5384" s="16">
        <v>0</v>
      </c>
      <c r="O5384" s="17"/>
      <c r="P5384" s="18">
        <v>43747.017881944441</v>
      </c>
      <c r="Q5384" s="8"/>
      <c r="R5384" s="8" t="s">
        <v>25413</v>
      </c>
      <c r="S5384" s="8"/>
      <c r="T5384" s="8"/>
      <c r="U5384" s="19" t="str">
        <f>HYPERLINK("https://pbs.twimg.com/profile_images/1181833451688878080/jUAOGnN3.jpg","View")</f>
        <v>View</v>
      </c>
      <c r="V5384" s="8"/>
      <c r="W5384" s="8"/>
      <c r="X5384" s="8"/>
      <c r="Y5384" s="8"/>
      <c r="Z5384" s="8"/>
    </row>
    <row r="5385" spans="1:26" ht="12.75">
      <c r="A5385" s="11">
        <v>43747.088263888887</v>
      </c>
      <c r="B5385" s="12" t="str">
        <f>HYPERLINK("https://twitter.com/berkeerdogan1_","@berkeerdogan1_")</f>
        <v>@berkeerdogan1_</v>
      </c>
      <c r="C5385" s="7" t="s">
        <v>25414</v>
      </c>
      <c r="D5385" s="7" t="s">
        <v>25415</v>
      </c>
      <c r="E5385" s="12" t="str">
        <f>HYPERLINK("https://twitter.com/berkeerdogan1_/status/1181858616963403776","1181858616963403776")</f>
        <v>1181858616963403776</v>
      </c>
      <c r="F5385" s="14" t="s">
        <v>24800</v>
      </c>
      <c r="G5385" s="14" t="s">
        <v>24801</v>
      </c>
      <c r="H5385" s="8"/>
      <c r="I5385" s="15">
        <v>0</v>
      </c>
      <c r="J5385" s="15">
        <v>6</v>
      </c>
      <c r="K5385" s="12" t="str">
        <f>HYPERLINK("http://twitter.com/download/android","Twitter for Android")</f>
        <v>Twitter for Android</v>
      </c>
      <c r="L5385" s="16">
        <v>84</v>
      </c>
      <c r="M5385" s="16">
        <v>214</v>
      </c>
      <c r="N5385" s="16">
        <v>0</v>
      </c>
      <c r="O5385" s="17"/>
      <c r="P5385" s="18">
        <v>43427.119791666672</v>
      </c>
      <c r="Q5385" s="7" t="s">
        <v>287</v>
      </c>
      <c r="R5385" s="7" t="s">
        <v>25416</v>
      </c>
      <c r="S5385" s="8"/>
      <c r="T5385" s="8"/>
      <c r="U5385" s="19" t="str">
        <f>HYPERLINK("https://pbs.twimg.com/profile_images/1093508006820671488/xH1NlonX.jpg","View")</f>
        <v>View</v>
      </c>
      <c r="V5385" s="8"/>
      <c r="W5385" s="8"/>
      <c r="X5385" s="8"/>
      <c r="Y5385" s="8"/>
      <c r="Z5385" s="8"/>
    </row>
    <row r="5386" spans="1:26" ht="12.75">
      <c r="A5386" s="11">
        <v>43747.088252314818</v>
      </c>
      <c r="B5386" s="12" t="str">
        <f>HYPERLINK("https://twitter.com/omeraaaydn","@omeraaaydn")</f>
        <v>@omeraaaydn</v>
      </c>
      <c r="C5386" s="7" t="s">
        <v>1069</v>
      </c>
      <c r="D5386" s="7" t="s">
        <v>25417</v>
      </c>
      <c r="E5386" s="12" t="str">
        <f>HYPERLINK("https://twitter.com/omeraaaydn/status/1181858609745006593","1181858609745006593")</f>
        <v>1181858609745006593</v>
      </c>
      <c r="F5386" s="8"/>
      <c r="G5386" s="15"/>
      <c r="H5386" s="8"/>
      <c r="I5386" s="15">
        <v>0</v>
      </c>
      <c r="J5386" s="15">
        <v>1</v>
      </c>
      <c r="K5386" s="12" t="str">
        <f>HYPERLINK("http://twitter.com/download/iphone","Twitter for iPhone")</f>
        <v>Twitter for iPhone</v>
      </c>
      <c r="L5386" s="16">
        <v>738</v>
      </c>
      <c r="M5386" s="16">
        <v>602</v>
      </c>
      <c r="N5386" s="16">
        <v>0</v>
      </c>
      <c r="O5386" s="17"/>
      <c r="P5386" s="18">
        <v>43350.366724537038</v>
      </c>
      <c r="Q5386" s="8" t="s">
        <v>313</v>
      </c>
      <c r="R5386" s="8" t="s">
        <v>25418</v>
      </c>
      <c r="S5386" s="8"/>
      <c r="T5386" s="8"/>
      <c r="U5386" s="19" t="str">
        <f>HYPERLINK("https://pbs.twimg.com/profile_images/1140334712759685120/wgbvqOD7.jpg","View")</f>
        <v>View</v>
      </c>
      <c r="V5386" s="8"/>
      <c r="W5386" s="8"/>
      <c r="X5386" s="8"/>
      <c r="Y5386" s="8"/>
      <c r="Z5386" s="8"/>
    </row>
    <row r="5387" spans="1:26" ht="12.75">
      <c r="A5387" s="11">
        <v>43747.088240740741</v>
      </c>
      <c r="B5387" s="12" t="str">
        <f>HYPERLINK("https://twitter.com/mithat_soysal","@mithat_soysal")</f>
        <v>@mithat_soysal</v>
      </c>
      <c r="C5387" s="7" t="s">
        <v>25419</v>
      </c>
      <c r="D5387" s="7" t="s">
        <v>25420</v>
      </c>
      <c r="E5387" s="12" t="str">
        <f>HYPERLINK("https://twitter.com/mithat_soysal/status/1181858605512953856","1181858605512953856")</f>
        <v>1181858605512953856</v>
      </c>
      <c r="F5387" s="8"/>
      <c r="G5387" s="15"/>
      <c r="H5387" s="8"/>
      <c r="I5387" s="15">
        <v>0</v>
      </c>
      <c r="J5387" s="15">
        <v>0</v>
      </c>
      <c r="K5387" s="12" t="str">
        <f>HYPERLINK("http://twitter.com/download/android","Twitter for Android")</f>
        <v>Twitter for Android</v>
      </c>
      <c r="L5387" s="16">
        <v>1</v>
      </c>
      <c r="M5387" s="16">
        <v>12</v>
      </c>
      <c r="N5387" s="16">
        <v>0</v>
      </c>
      <c r="O5387" s="17"/>
      <c r="P5387" s="18">
        <v>43745.37228009259</v>
      </c>
      <c r="Q5387" s="8"/>
      <c r="R5387" s="8"/>
      <c r="S5387" s="8"/>
      <c r="T5387" s="8"/>
      <c r="U5387" s="20" t="s">
        <v>354</v>
      </c>
      <c r="V5387" s="8"/>
      <c r="W5387" s="8"/>
      <c r="X5387" s="8"/>
      <c r="Y5387" s="8"/>
      <c r="Z5387" s="8"/>
    </row>
    <row r="5388" spans="1:26" ht="12.75">
      <c r="A5388" s="11">
        <v>43747.088229166664</v>
      </c>
      <c r="B5388" s="12" t="str">
        <f>HYPERLINK("https://twitter.com/sadevatndas","@sadevatndas")</f>
        <v>@sadevatndas</v>
      </c>
      <c r="C5388" s="7" t="s">
        <v>25421</v>
      </c>
      <c r="D5388" s="7" t="s">
        <v>160</v>
      </c>
      <c r="E5388" s="12" t="str">
        <f>HYPERLINK("https://twitter.com/sadevatndas/status/1181858601381617665","1181858601381617665")</f>
        <v>1181858601381617665</v>
      </c>
      <c r="F5388" s="8"/>
      <c r="G5388" s="8"/>
      <c r="H5388" s="8"/>
      <c r="I5388" s="15">
        <v>0</v>
      </c>
      <c r="J5388" s="15">
        <v>0</v>
      </c>
      <c r="K5388" s="12" t="str">
        <f>HYPERLINK("http://twitter.com/download/iphone","Twitter for iPhone")</f>
        <v>Twitter for iPhone</v>
      </c>
      <c r="L5388" s="16">
        <v>126</v>
      </c>
      <c r="M5388" s="16">
        <v>265</v>
      </c>
      <c r="N5388" s="16">
        <v>0</v>
      </c>
      <c r="O5388" s="17"/>
      <c r="P5388" s="18">
        <v>41234.485810185186</v>
      </c>
      <c r="Q5388" s="7"/>
      <c r="R5388" s="8"/>
      <c r="S5388" s="8"/>
      <c r="T5388" s="8"/>
      <c r="U5388" s="19" t="str">
        <f>HYPERLINK("https://pbs.twimg.com/profile_images/1178690934214729731/nh6k0wcn.jpg","View")</f>
        <v>View</v>
      </c>
      <c r="V5388" s="8"/>
      <c r="W5388" s="8"/>
      <c r="X5388" s="8"/>
      <c r="Y5388" s="8"/>
      <c r="Z5388" s="8"/>
    </row>
    <row r="5389" spans="1:26" ht="12.75">
      <c r="A5389" s="11">
        <v>43747.088217592594</v>
      </c>
      <c r="B5389" s="12" t="str">
        <f>HYPERLINK("https://twitter.com/EmirhanGuven_","@EmirhanGuven_")</f>
        <v>@EmirhanGuven_</v>
      </c>
      <c r="C5389" s="7" t="s">
        <v>25422</v>
      </c>
      <c r="D5389" s="7" t="s">
        <v>25423</v>
      </c>
      <c r="E5389" s="12" t="str">
        <f>HYPERLINK("https://twitter.com/EmirhanGuven_/status/1181858596939878400","1181858596939878400")</f>
        <v>1181858596939878400</v>
      </c>
      <c r="F5389" s="8"/>
      <c r="G5389" s="15"/>
      <c r="H5389" s="8"/>
      <c r="I5389" s="15">
        <v>0</v>
      </c>
      <c r="J5389" s="15">
        <v>1</v>
      </c>
      <c r="K5389" s="12" t="str">
        <f>HYPERLINK("http://twitter.com/download/iphone","Twitter for iPhone")</f>
        <v>Twitter for iPhone</v>
      </c>
      <c r="L5389" s="16">
        <v>141</v>
      </c>
      <c r="M5389" s="16">
        <v>229</v>
      </c>
      <c r="N5389" s="16">
        <v>0</v>
      </c>
      <c r="O5389" s="17"/>
      <c r="P5389" s="18">
        <v>43509.275034722217</v>
      </c>
      <c r="Q5389" s="7" t="s">
        <v>313</v>
      </c>
      <c r="R5389" s="7" t="s">
        <v>25424</v>
      </c>
      <c r="S5389" s="8"/>
      <c r="T5389" s="8"/>
      <c r="U5389" s="19" t="str">
        <f>HYPERLINK("https://pbs.twimg.com/profile_images/1143535044830609408/14dpsyN4.jpg","View")</f>
        <v>View</v>
      </c>
      <c r="V5389" s="8"/>
      <c r="W5389" s="8"/>
      <c r="X5389" s="8"/>
      <c r="Y5389" s="8"/>
      <c r="Z5389" s="8"/>
    </row>
    <row r="5390" spans="1:26" ht="12.75">
      <c r="A5390" s="11">
        <v>43747.088182870371</v>
      </c>
      <c r="B5390" s="12" t="str">
        <f>HYPERLINK("https://twitter.com/Sevenmi9","@Sevenmi9")</f>
        <v>@Sevenmi9</v>
      </c>
      <c r="C5390" s="7" t="s">
        <v>25425</v>
      </c>
      <c r="D5390" s="7" t="s">
        <v>25426</v>
      </c>
      <c r="E5390" s="12" t="str">
        <f>HYPERLINK("https://twitter.com/Sevenmi9/status/1181858586860933121","1181858586860933121")</f>
        <v>1181858586860933121</v>
      </c>
      <c r="F5390" s="8"/>
      <c r="G5390" s="15"/>
      <c r="H5390" s="8"/>
      <c r="I5390" s="15">
        <v>1</v>
      </c>
      <c r="J5390" s="15">
        <v>0</v>
      </c>
      <c r="K5390" s="12" t="str">
        <f>HYPERLINK("http://twitter.com/download/android","Twitter for Android")</f>
        <v>Twitter for Android</v>
      </c>
      <c r="L5390" s="16">
        <v>0</v>
      </c>
      <c r="M5390" s="16">
        <v>1</v>
      </c>
      <c r="N5390" s="16">
        <v>0</v>
      </c>
      <c r="O5390" s="17"/>
      <c r="P5390" s="18">
        <v>43743.817511574074</v>
      </c>
      <c r="Q5390" s="13"/>
      <c r="R5390" s="7" t="s">
        <v>25427</v>
      </c>
      <c r="S5390" s="8"/>
      <c r="T5390" s="8"/>
      <c r="U5390" s="19" t="str">
        <f>HYPERLINK("https://pbs.twimg.com/profile_images/1180697627001798663/WeTCwV_l.jpg","View")</f>
        <v>View</v>
      </c>
      <c r="V5390" s="8"/>
      <c r="W5390" s="8"/>
      <c r="X5390" s="8"/>
      <c r="Y5390" s="8"/>
      <c r="Z5390" s="8"/>
    </row>
    <row r="5391" spans="1:26" ht="12.75">
      <c r="A5391" s="11">
        <v>43747.088159722218</v>
      </c>
      <c r="B5391" s="12" t="str">
        <f>HYPERLINK("https://twitter.com/Bydermisim","@Bydermisim")</f>
        <v>@Bydermisim</v>
      </c>
      <c r="C5391" s="13" t="s">
        <v>25428</v>
      </c>
      <c r="D5391" s="7" t="s">
        <v>25429</v>
      </c>
      <c r="E5391" s="12" t="str">
        <f>HYPERLINK("https://twitter.com/Bydermisim/status/1181858575943163904","1181858575943163904")</f>
        <v>1181858575943163904</v>
      </c>
      <c r="F5391" s="14" t="s">
        <v>25430</v>
      </c>
      <c r="G5391" s="14" t="s">
        <v>25431</v>
      </c>
      <c r="H5391" s="8"/>
      <c r="I5391" s="15">
        <v>0</v>
      </c>
      <c r="J5391" s="15">
        <v>2</v>
      </c>
      <c r="K5391" s="12" t="str">
        <f>HYPERLINK("https://mobile.twitter.com","Twitter Web App")</f>
        <v>Twitter Web App</v>
      </c>
      <c r="L5391" s="16">
        <v>113</v>
      </c>
      <c r="M5391" s="16">
        <v>220</v>
      </c>
      <c r="N5391" s="16">
        <v>0</v>
      </c>
      <c r="O5391" s="17"/>
      <c r="P5391" s="18">
        <v>43293.765092592592</v>
      </c>
      <c r="Q5391" s="8" t="s">
        <v>668</v>
      </c>
      <c r="R5391" s="13" t="s">
        <v>25432</v>
      </c>
      <c r="S5391" s="14" t="s">
        <v>25433</v>
      </c>
      <c r="T5391" s="8"/>
      <c r="U5391" s="19" t="str">
        <f>HYPERLINK("https://pbs.twimg.com/profile_images/1017581798103179265/oDhTn_O3.jpg","View")</f>
        <v>View</v>
      </c>
      <c r="V5391" s="8"/>
      <c r="W5391" s="8"/>
      <c r="X5391" s="8"/>
      <c r="Y5391" s="8"/>
      <c r="Z5391" s="8"/>
    </row>
    <row r="5392" spans="1:26" ht="12.75">
      <c r="A5392" s="11">
        <v>43747.088148148148</v>
      </c>
      <c r="B5392" s="12" t="str">
        <f>HYPERLINK("https://twitter.com/generalangelos","@generalangelos")</f>
        <v>@generalangelos</v>
      </c>
      <c r="C5392" s="7" t="s">
        <v>25434</v>
      </c>
      <c r="D5392" s="7" t="s">
        <v>25435</v>
      </c>
      <c r="E5392" s="12" t="str">
        <f>HYPERLINK("https://twitter.com/generalangelos/status/1181858572621221889","1181858572621221889")</f>
        <v>1181858572621221889</v>
      </c>
      <c r="F5392" s="8"/>
      <c r="G5392" s="15"/>
      <c r="H5392" s="8"/>
      <c r="I5392" s="15">
        <v>0</v>
      </c>
      <c r="J5392" s="15">
        <v>1</v>
      </c>
      <c r="K5392" s="12" t="str">
        <f>HYPERLINK("http://twitter.com/download/android","Twitter for Android")</f>
        <v>Twitter for Android</v>
      </c>
      <c r="L5392" s="16">
        <v>52</v>
      </c>
      <c r="M5392" s="16">
        <v>159</v>
      </c>
      <c r="N5392" s="16">
        <v>0</v>
      </c>
      <c r="O5392" s="17"/>
      <c r="P5392" s="18">
        <v>41548.335648148146</v>
      </c>
      <c r="Q5392" s="7"/>
      <c r="R5392" s="7" t="s">
        <v>25436</v>
      </c>
      <c r="S5392" s="8"/>
      <c r="T5392" s="8"/>
      <c r="U5392" s="19" t="str">
        <f>HYPERLINK("https://pbs.twimg.com/profile_images/912671893836230658/GmnF2QaL.jpg","View")</f>
        <v>View</v>
      </c>
      <c r="V5392" s="8"/>
      <c r="W5392" s="8"/>
      <c r="X5392" s="8"/>
      <c r="Y5392" s="8"/>
      <c r="Z5392" s="8"/>
    </row>
    <row r="5393" spans="1:26" ht="12.75">
      <c r="A5393" s="11">
        <v>43747.088101851856</v>
      </c>
      <c r="B5393" s="12" t="str">
        <f>HYPERLINK("https://twitter.com/johpoh45","@johpoh45")</f>
        <v>@johpoh45</v>
      </c>
      <c r="C5393" s="7" t="s">
        <v>25437</v>
      </c>
      <c r="D5393" s="7" t="s">
        <v>25438</v>
      </c>
      <c r="E5393" s="12" t="str">
        <f>HYPERLINK("https://twitter.com/johpoh45/status/1181858558960386049","1181858558960386049")</f>
        <v>1181858558960386049</v>
      </c>
      <c r="F5393" s="8"/>
      <c r="G5393" s="14" t="s">
        <v>25439</v>
      </c>
      <c r="H5393" s="8"/>
      <c r="I5393" s="15">
        <v>0</v>
      </c>
      <c r="J5393" s="15">
        <v>0</v>
      </c>
      <c r="K5393" s="12" t="str">
        <f>HYPERLINK("https://mobile.twitter.com","Twitter Web App")</f>
        <v>Twitter Web App</v>
      </c>
      <c r="L5393" s="16">
        <v>2</v>
      </c>
      <c r="M5393" s="16">
        <v>47</v>
      </c>
      <c r="N5393" s="16">
        <v>0</v>
      </c>
      <c r="O5393" s="17"/>
      <c r="P5393" s="18">
        <v>41700.479710648149</v>
      </c>
      <c r="Q5393" s="7"/>
      <c r="R5393" s="7" t="s">
        <v>25440</v>
      </c>
      <c r="S5393" s="8"/>
      <c r="T5393" s="8"/>
      <c r="U5393" s="19" t="str">
        <f>HYPERLINK("https://pbs.twimg.com/profile_images/1132696144365215750/UnzGpoXf.jpg","View")</f>
        <v>View</v>
      </c>
      <c r="V5393" s="8"/>
      <c r="W5393" s="8"/>
      <c r="X5393" s="8"/>
      <c r="Y5393" s="8"/>
      <c r="Z5393" s="8"/>
    </row>
    <row r="5394" spans="1:26" ht="12.75">
      <c r="A5394" s="11">
        <v>43747.088090277779</v>
      </c>
      <c r="B5394" s="12" t="str">
        <f>HYPERLINK("https://twitter.com/GazetemBayrakl1","@GazetemBayrakl1")</f>
        <v>@GazetemBayrakl1</v>
      </c>
      <c r="C5394" s="14" t="s">
        <v>25441</v>
      </c>
      <c r="D5394" s="7" t="s">
        <v>25442</v>
      </c>
      <c r="E5394" s="12" t="str">
        <f>HYPERLINK("https://twitter.com/GazetemBayrakl1/status/1181858552173993984","1181858552173993984")</f>
        <v>1181858552173993984</v>
      </c>
      <c r="F5394" s="14" t="s">
        <v>25443</v>
      </c>
      <c r="G5394" s="14" t="s">
        <v>25444</v>
      </c>
      <c r="H5394" s="8"/>
      <c r="I5394" s="15">
        <v>0</v>
      </c>
      <c r="J5394" s="15">
        <v>1</v>
      </c>
      <c r="K5394" s="12" t="str">
        <f>HYPERLINK("https://mobile.twitter.com","Twitter Web App")</f>
        <v>Twitter Web App</v>
      </c>
      <c r="L5394" s="16">
        <v>17</v>
      </c>
      <c r="M5394" s="16">
        <v>22</v>
      </c>
      <c r="N5394" s="16">
        <v>0</v>
      </c>
      <c r="O5394" s="17"/>
      <c r="P5394" s="18">
        <v>43591.99664351852</v>
      </c>
      <c r="Q5394" s="7"/>
      <c r="R5394" s="14" t="s">
        <v>25445</v>
      </c>
      <c r="S5394" s="8"/>
      <c r="T5394" s="8"/>
      <c r="U5394" s="19" t="str">
        <f>HYPERLINK("https://pbs.twimg.com/profile_images/1125656992784297984/pwEoiytM.jpg","View")</f>
        <v>View</v>
      </c>
      <c r="V5394" s="8"/>
      <c r="W5394" s="8"/>
      <c r="X5394" s="8"/>
      <c r="Y5394" s="8"/>
      <c r="Z5394" s="8"/>
    </row>
    <row r="5395" spans="1:26" ht="12.75">
      <c r="A5395" s="11">
        <v>43747.088067129633</v>
      </c>
      <c r="B5395" s="12" t="str">
        <f>HYPERLINK("https://twitter.com/Emrah1509","@Emrah1509")</f>
        <v>@Emrah1509</v>
      </c>
      <c r="C5395" s="7" t="s">
        <v>25446</v>
      </c>
      <c r="D5395" s="7" t="s">
        <v>25447</v>
      </c>
      <c r="E5395" s="12" t="str">
        <f>HYPERLINK("https://twitter.com/Emrah1509/status/1181858545203105797","1181858545203105797")</f>
        <v>1181858545203105797</v>
      </c>
      <c r="F5395" s="8"/>
      <c r="G5395" s="14" t="s">
        <v>25448</v>
      </c>
      <c r="H5395" s="8"/>
      <c r="I5395" s="15">
        <v>0</v>
      </c>
      <c r="J5395" s="15">
        <v>0</v>
      </c>
      <c r="K5395" s="12" t="str">
        <f>HYPERLINK("http://twitter.com/download/iphone","Twitter for iPhone")</f>
        <v>Twitter for iPhone</v>
      </c>
      <c r="L5395" s="16">
        <v>54</v>
      </c>
      <c r="M5395" s="16">
        <v>81</v>
      </c>
      <c r="N5395" s="16">
        <v>0</v>
      </c>
      <c r="O5395" s="17"/>
      <c r="P5395" s="18">
        <v>43496.655543981484</v>
      </c>
      <c r="Q5395" s="8"/>
      <c r="R5395" s="8"/>
      <c r="S5395" s="8"/>
      <c r="T5395" s="8"/>
      <c r="U5395" s="19" t="str">
        <f>HYPERLINK("https://pbs.twimg.com/profile_images/1091120085060734978/JTcIPHcY.jpg","View")</f>
        <v>View</v>
      </c>
      <c r="V5395" s="8"/>
      <c r="W5395" s="8"/>
      <c r="X5395" s="8"/>
      <c r="Y5395" s="8"/>
      <c r="Z5395" s="8"/>
    </row>
    <row r="5396" spans="1:26" ht="12.75">
      <c r="A5396" s="11">
        <v>43747.088067129633</v>
      </c>
      <c r="B5396" s="12" t="str">
        <f>HYPERLINK("https://twitter.com/yunuscan_00","@yunuscan_00")</f>
        <v>@yunuscan_00</v>
      </c>
      <c r="C5396" s="7" t="s">
        <v>25449</v>
      </c>
      <c r="D5396" s="7" t="s">
        <v>25450</v>
      </c>
      <c r="E5396" s="12" t="str">
        <f>HYPERLINK("https://twitter.com/yunuscan_00/status/1181858543055577088","1181858543055577088")</f>
        <v>1181858543055577088</v>
      </c>
      <c r="F5396" s="15"/>
      <c r="G5396" s="15"/>
      <c r="H5396" s="8"/>
      <c r="I5396" s="15">
        <v>0</v>
      </c>
      <c r="J5396" s="15">
        <v>0</v>
      </c>
      <c r="K5396" s="12" t="str">
        <f>HYPERLINK("http://twitter.com/download/android","Twitter for Android")</f>
        <v>Twitter for Android</v>
      </c>
      <c r="L5396" s="16">
        <v>289</v>
      </c>
      <c r="M5396" s="16">
        <v>33</v>
      </c>
      <c r="N5396" s="16">
        <v>1</v>
      </c>
      <c r="O5396" s="17"/>
      <c r="P5396" s="18">
        <v>41436.97384259259</v>
      </c>
      <c r="Q5396" s="8"/>
      <c r="R5396" s="7" t="s">
        <v>25451</v>
      </c>
      <c r="S5396" s="15"/>
      <c r="T5396" s="8"/>
      <c r="U5396" s="19" t="str">
        <f>HYPERLINK("https://pbs.twimg.com/profile_images/1179344648508203008/pTIj18S3.jpg","View")</f>
        <v>View</v>
      </c>
      <c r="V5396" s="8"/>
      <c r="W5396" s="8"/>
      <c r="X5396" s="8"/>
      <c r="Y5396" s="8"/>
      <c r="Z5396" s="8"/>
    </row>
    <row r="5397" spans="1:26" ht="12.75">
      <c r="A5397" s="11">
        <v>43747.08803240741</v>
      </c>
      <c r="B5397" s="12" t="str">
        <f>HYPERLINK("https://twitter.com/smter60","@smter60")</f>
        <v>@smter60</v>
      </c>
      <c r="C5397" s="7" t="s">
        <v>20230</v>
      </c>
      <c r="D5397" s="7" t="s">
        <v>21168</v>
      </c>
      <c r="E5397" s="12" t="str">
        <f>HYPERLINK("https://twitter.com/smter60/status/1181858532142002176","1181858532142002176")</f>
        <v>1181858532142002176</v>
      </c>
      <c r="F5397" s="8"/>
      <c r="G5397" s="14" t="s">
        <v>25452</v>
      </c>
      <c r="H5397" s="8"/>
      <c r="I5397" s="15">
        <v>0</v>
      </c>
      <c r="J5397" s="15">
        <v>1</v>
      </c>
      <c r="K5397" s="12" t="str">
        <f>HYPERLINK("http://twitter.com/download/android","Twitter for Android")</f>
        <v>Twitter for Android</v>
      </c>
      <c r="L5397" s="16">
        <v>8</v>
      </c>
      <c r="M5397" s="16">
        <v>30</v>
      </c>
      <c r="N5397" s="16">
        <v>0</v>
      </c>
      <c r="O5397" s="17"/>
      <c r="P5397" s="18">
        <v>43539.468715277777</v>
      </c>
      <c r="Q5397" s="7"/>
      <c r="R5397" s="7" t="s">
        <v>25453</v>
      </c>
      <c r="S5397" s="8"/>
      <c r="T5397" s="8"/>
      <c r="U5397" s="19" t="str">
        <f>HYPERLINK("https://pbs.twimg.com/profile_images/1177692382525054977/zZhUrgO0.jpg","View")</f>
        <v>View</v>
      </c>
      <c r="V5397" s="8"/>
      <c r="W5397" s="8"/>
      <c r="X5397" s="8"/>
      <c r="Y5397" s="8"/>
      <c r="Z5397" s="8"/>
    </row>
    <row r="5398" spans="1:26" ht="12.75">
      <c r="A5398" s="11">
        <v>43747.08803240741</v>
      </c>
      <c r="B5398" s="12" t="str">
        <f>HYPERLINK("https://twitter.com/yunusbeyhann","@yunusbeyhann")</f>
        <v>@yunusbeyhann</v>
      </c>
      <c r="C5398" s="7" t="s">
        <v>25454</v>
      </c>
      <c r="D5398" s="7" t="s">
        <v>25455</v>
      </c>
      <c r="E5398" s="12" t="str">
        <f>HYPERLINK("https://twitter.com/yunusbeyhann/status/1181858531525435392","1181858531525435392")</f>
        <v>1181858531525435392</v>
      </c>
      <c r="F5398" s="8"/>
      <c r="G5398" s="15"/>
      <c r="H5398" s="8"/>
      <c r="I5398" s="15">
        <v>0</v>
      </c>
      <c r="J5398" s="15">
        <v>1</v>
      </c>
      <c r="K5398" s="12" t="str">
        <f>HYPERLINK("http://twitter.com/download/iphone","Twitter for iPhone")</f>
        <v>Twitter for iPhone</v>
      </c>
      <c r="L5398" s="16">
        <v>180</v>
      </c>
      <c r="M5398" s="16">
        <v>293</v>
      </c>
      <c r="N5398" s="16">
        <v>0</v>
      </c>
      <c r="O5398" s="17"/>
      <c r="P5398" s="18">
        <v>43384.567141203705</v>
      </c>
      <c r="Q5398" s="8" t="s">
        <v>2576</v>
      </c>
      <c r="R5398" s="7" t="s">
        <v>25456</v>
      </c>
      <c r="S5398" s="8"/>
      <c r="T5398" s="8"/>
      <c r="U5398" s="19" t="str">
        <f>HYPERLINK("https://pbs.twimg.com/profile_images/1178210010125484034/4pC-geHq.jpg","View")</f>
        <v>View</v>
      </c>
      <c r="V5398" s="8"/>
      <c r="W5398" s="8"/>
      <c r="X5398" s="8"/>
      <c r="Y5398" s="8"/>
      <c r="Z5398" s="8"/>
    </row>
    <row r="5399" spans="1:26" ht="12.75">
      <c r="A5399" s="11">
        <v>43747.088020833333</v>
      </c>
      <c r="B5399" s="12" t="str">
        <f>HYPERLINK("https://twitter.com/TCn_asena","@TCn_asena")</f>
        <v>@TCn_asena</v>
      </c>
      <c r="C5399" s="7" t="s">
        <v>25457</v>
      </c>
      <c r="D5399" s="7" t="s">
        <v>160</v>
      </c>
      <c r="E5399" s="12" t="str">
        <f>HYPERLINK("https://twitter.com/TCn_asena/status/1181858527805087752","1181858527805087752")</f>
        <v>1181858527805087752</v>
      </c>
      <c r="F5399" s="8"/>
      <c r="G5399" s="14" t="s">
        <v>25458</v>
      </c>
      <c r="H5399" s="8"/>
      <c r="I5399" s="15">
        <v>0</v>
      </c>
      <c r="J5399" s="15">
        <v>3</v>
      </c>
      <c r="K5399" s="12" t="str">
        <f>HYPERLINK("https://mobile.twitter.com","Twitter Web App")</f>
        <v>Twitter Web App</v>
      </c>
      <c r="L5399" s="16">
        <v>10121</v>
      </c>
      <c r="M5399" s="16">
        <v>2099</v>
      </c>
      <c r="N5399" s="16">
        <v>22</v>
      </c>
      <c r="O5399" s="17"/>
      <c r="P5399" s="18">
        <v>40969.467638888891</v>
      </c>
      <c r="Q5399" s="7"/>
      <c r="R5399" s="7" t="s">
        <v>25459</v>
      </c>
      <c r="S5399" s="8"/>
      <c r="T5399" s="8"/>
      <c r="U5399" s="19" t="str">
        <f>HYPERLINK("https://pbs.twimg.com/profile_images/1119616974559023104/hdhe5CH-.png","View")</f>
        <v>View</v>
      </c>
      <c r="V5399" s="8"/>
      <c r="W5399" s="8"/>
      <c r="X5399" s="8"/>
      <c r="Y5399" s="8"/>
      <c r="Z5399" s="8"/>
    </row>
    <row r="5400" spans="1:26" ht="12.75">
      <c r="A5400" s="11">
        <v>43747.088009259256</v>
      </c>
      <c r="B5400" s="12" t="str">
        <f>HYPERLINK("https://twitter.com/admgedix","@admgedix")</f>
        <v>@admgedix</v>
      </c>
      <c r="C5400" s="7" t="s">
        <v>25460</v>
      </c>
      <c r="D5400" s="7" t="s">
        <v>25461</v>
      </c>
      <c r="E5400" s="12" t="str">
        <f>HYPERLINK("https://twitter.com/admgedix/status/1181858521517903872","1181858521517903872")</f>
        <v>1181858521517903872</v>
      </c>
      <c r="F5400" s="15"/>
      <c r="G5400" s="8"/>
      <c r="H5400" s="8"/>
      <c r="I5400" s="15">
        <v>0</v>
      </c>
      <c r="J5400" s="15">
        <v>0</v>
      </c>
      <c r="K5400" s="12" t="str">
        <f>HYPERLINK("http://twitter.com/download/iphone","Twitter for iPhone")</f>
        <v>Twitter for iPhone</v>
      </c>
      <c r="L5400" s="16">
        <v>76</v>
      </c>
      <c r="M5400" s="16">
        <v>304</v>
      </c>
      <c r="N5400" s="16">
        <v>0</v>
      </c>
      <c r="O5400" s="17"/>
      <c r="P5400" s="18">
        <v>41751.511932870373</v>
      </c>
      <c r="Q5400" s="7"/>
      <c r="R5400" s="7" t="s">
        <v>8835</v>
      </c>
      <c r="S5400" s="8"/>
      <c r="T5400" s="8"/>
      <c r="U5400" s="19" t="str">
        <f>HYPERLINK("https://pbs.twimg.com/profile_images/1159790081798000641/m0fsnk45.jpg","View")</f>
        <v>View</v>
      </c>
      <c r="V5400" s="8"/>
      <c r="W5400" s="8"/>
      <c r="X5400" s="8"/>
      <c r="Y5400" s="8"/>
      <c r="Z5400" s="8"/>
    </row>
    <row r="5401" spans="1:26" ht="12.75">
      <c r="A5401" s="11">
        <v>43747.08792824074</v>
      </c>
      <c r="B5401" s="12" t="str">
        <f>HYPERLINK("https://twitter.com/Baylansmoke","@Baylansmoke")</f>
        <v>@Baylansmoke</v>
      </c>
      <c r="C5401" s="7" t="s">
        <v>25462</v>
      </c>
      <c r="D5401" s="7" t="s">
        <v>25463</v>
      </c>
      <c r="E5401" s="12" t="str">
        <f>HYPERLINK("https://twitter.com/Baylansmoke/status/1181858495886499845","1181858495886499845")</f>
        <v>1181858495886499845</v>
      </c>
      <c r="F5401" s="15"/>
      <c r="G5401" s="15"/>
      <c r="H5401" s="8"/>
      <c r="I5401" s="15">
        <v>0</v>
      </c>
      <c r="J5401" s="15">
        <v>0</v>
      </c>
      <c r="K5401" s="12" t="str">
        <f>HYPERLINK("https://mobile.twitter.com","Twitter Web App")</f>
        <v>Twitter Web App</v>
      </c>
      <c r="L5401" s="16">
        <v>37</v>
      </c>
      <c r="M5401" s="16">
        <v>82</v>
      </c>
      <c r="N5401" s="16">
        <v>0</v>
      </c>
      <c r="O5401" s="17"/>
      <c r="P5401" s="18">
        <v>43730.153622685189</v>
      </c>
      <c r="Q5401" s="7" t="s">
        <v>25464</v>
      </c>
      <c r="R5401" s="7"/>
      <c r="S5401" s="15"/>
      <c r="T5401" s="8"/>
      <c r="U5401" s="19" t="str">
        <f>HYPERLINK("https://pbs.twimg.com/profile_images/1180072335187030021/9bg6EJqI.jpg","View")</f>
        <v>View</v>
      </c>
      <c r="V5401" s="8"/>
      <c r="W5401" s="8"/>
      <c r="X5401" s="8"/>
      <c r="Y5401" s="8"/>
      <c r="Z5401" s="8"/>
    </row>
    <row r="5402" spans="1:26" ht="12.75">
      <c r="A5402" s="11">
        <v>43747.087881944448</v>
      </c>
      <c r="B5402" s="12" t="str">
        <f>HYPERLINK("https://twitter.com/altintass06","@altintass06")</f>
        <v>@altintass06</v>
      </c>
      <c r="C5402" s="7" t="s">
        <v>25465</v>
      </c>
      <c r="D5402" s="7" t="s">
        <v>25466</v>
      </c>
      <c r="E5402" s="12" t="str">
        <f>HYPERLINK("https://twitter.com/altintass06/status/1181858478371082240","1181858478371082240")</f>
        <v>1181858478371082240</v>
      </c>
      <c r="F5402" s="8"/>
      <c r="G5402" s="14" t="s">
        <v>25467</v>
      </c>
      <c r="H5402" s="8"/>
      <c r="I5402" s="15">
        <v>0</v>
      </c>
      <c r="J5402" s="15">
        <v>2</v>
      </c>
      <c r="K5402" s="12" t="str">
        <f>HYPERLINK("http://twitter.com/download/android","Twitter for Android")</f>
        <v>Twitter for Android</v>
      </c>
      <c r="L5402" s="16">
        <v>66</v>
      </c>
      <c r="M5402" s="16">
        <v>66</v>
      </c>
      <c r="N5402" s="16">
        <v>0</v>
      </c>
      <c r="O5402" s="17"/>
      <c r="P5402" s="18">
        <v>43584.05190972222</v>
      </c>
      <c r="Q5402" s="7"/>
      <c r="R5402" s="7" t="s">
        <v>918</v>
      </c>
      <c r="S5402" s="15"/>
      <c r="T5402" s="8"/>
      <c r="U5402" s="19" t="str">
        <f>HYPERLINK("https://pbs.twimg.com/profile_images/1123094859097759745/GoM1U1s1.jpg","View")</f>
        <v>View</v>
      </c>
      <c r="V5402" s="8"/>
      <c r="W5402" s="8"/>
      <c r="X5402" s="8"/>
      <c r="Y5402" s="8"/>
      <c r="Z5402" s="8"/>
    </row>
    <row r="5403" spans="1:26" ht="12.75">
      <c r="A5403" s="11">
        <v>43747.087881944448</v>
      </c>
      <c r="B5403" s="12" t="str">
        <f>HYPERLINK("https://twitter.com/igor1010g","@igor1010g")</f>
        <v>@igor1010g</v>
      </c>
      <c r="C5403" s="7" t="s">
        <v>25468</v>
      </c>
      <c r="D5403" s="7" t="s">
        <v>25469</v>
      </c>
      <c r="E5403" s="12" t="str">
        <f>HYPERLINK("https://twitter.com/igor1010g/status/1181858477301518336","1181858477301518336")</f>
        <v>1181858477301518336</v>
      </c>
      <c r="F5403" s="8"/>
      <c r="G5403" s="8"/>
      <c r="H5403" s="8"/>
      <c r="I5403" s="15">
        <v>0</v>
      </c>
      <c r="J5403" s="15">
        <v>0</v>
      </c>
      <c r="K5403" s="12" t="str">
        <f>HYPERLINK("http://twitter.com/download/android","Twitter for Android")</f>
        <v>Twitter for Android</v>
      </c>
      <c r="L5403" s="16">
        <v>354</v>
      </c>
      <c r="M5403" s="16">
        <v>335</v>
      </c>
      <c r="N5403" s="16">
        <v>0</v>
      </c>
      <c r="O5403" s="17"/>
      <c r="P5403" s="18">
        <v>41693.547303240739</v>
      </c>
      <c r="Q5403" s="7"/>
      <c r="R5403" s="8" t="s">
        <v>25470</v>
      </c>
      <c r="S5403" s="8"/>
      <c r="T5403" s="8"/>
      <c r="U5403" s="19" t="str">
        <f>HYPERLINK("https://pbs.twimg.com/profile_images/1181154403627216896/Ww5afXfq.jpg","View")</f>
        <v>View</v>
      </c>
      <c r="V5403" s="8"/>
      <c r="W5403" s="8"/>
      <c r="X5403" s="8"/>
      <c r="Y5403" s="8"/>
      <c r="Z5403" s="8"/>
    </row>
    <row r="5404" spans="1:26" ht="12.75">
      <c r="A5404" s="11">
        <v>43747.087847222225</v>
      </c>
      <c r="B5404" s="12" t="str">
        <f>HYPERLINK("https://twitter.com/bettercallburak","@bettercallburak")</f>
        <v>@bettercallburak</v>
      </c>
      <c r="C5404" s="7" t="s">
        <v>25471</v>
      </c>
      <c r="D5404" s="7" t="s">
        <v>25472</v>
      </c>
      <c r="E5404" s="12" t="str">
        <f>HYPERLINK("https://twitter.com/bettercallburak/status/1181858466681544704","1181858466681544704")</f>
        <v>1181858466681544704</v>
      </c>
      <c r="F5404" s="8"/>
      <c r="G5404" s="14" t="s">
        <v>25473</v>
      </c>
      <c r="H5404" s="8"/>
      <c r="I5404" s="15">
        <v>0</v>
      </c>
      <c r="J5404" s="15">
        <v>0</v>
      </c>
      <c r="K5404" s="12" t="str">
        <f>HYPERLINK("http://twitter.com/download/android","Twitter for Android")</f>
        <v>Twitter for Android</v>
      </c>
      <c r="L5404" s="16">
        <v>2</v>
      </c>
      <c r="M5404" s="16">
        <v>13</v>
      </c>
      <c r="N5404" s="16">
        <v>0</v>
      </c>
      <c r="O5404" s="17"/>
      <c r="P5404" s="18">
        <v>43684.635254629626</v>
      </c>
      <c r="Q5404" s="8"/>
      <c r="R5404" s="7" t="s">
        <v>25474</v>
      </c>
      <c r="S5404" s="8"/>
      <c r="T5404" s="8"/>
      <c r="U5404" s="19" t="str">
        <f>HYPERLINK("https://pbs.twimg.com/profile_images/1162274133645774849/y8ILlL5D.jpg","View")</f>
        <v>View</v>
      </c>
      <c r="V5404" s="8"/>
      <c r="W5404" s="8"/>
      <c r="X5404" s="8"/>
      <c r="Y5404" s="8"/>
      <c r="Z5404" s="8"/>
    </row>
    <row r="5405" spans="1:26" ht="12.75">
      <c r="A5405" s="11">
        <v>43747.087847222225</v>
      </c>
      <c r="B5405" s="12" t="str">
        <f>HYPERLINK("https://twitter.com/f_atiiiiiiiiii","@f_atiiiiiiiiii")</f>
        <v>@f_atiiiiiiiiii</v>
      </c>
      <c r="C5405" s="7" t="s">
        <v>25475</v>
      </c>
      <c r="D5405" s="7" t="s">
        <v>25476</v>
      </c>
      <c r="E5405" s="12" t="str">
        <f>HYPERLINK("https://twitter.com/f_atiiiiiiiiii/status/1181858465716801536","1181858465716801536")</f>
        <v>1181858465716801536</v>
      </c>
      <c r="F5405" s="8"/>
      <c r="G5405" s="8"/>
      <c r="H5405" s="8"/>
      <c r="I5405" s="15">
        <v>1</v>
      </c>
      <c r="J5405" s="15">
        <v>5</v>
      </c>
      <c r="K5405" s="12" t="str">
        <f>HYPERLINK("https://mobile.twitter.com","Twitter Web App")</f>
        <v>Twitter Web App</v>
      </c>
      <c r="L5405" s="16">
        <v>547</v>
      </c>
      <c r="M5405" s="16">
        <v>753</v>
      </c>
      <c r="N5405" s="16">
        <v>0</v>
      </c>
      <c r="O5405" s="17"/>
      <c r="P5405" s="18">
        <v>42388.817060185189</v>
      </c>
      <c r="Q5405" s="7"/>
      <c r="R5405" s="8" t="s">
        <v>25477</v>
      </c>
      <c r="S5405" s="8"/>
      <c r="T5405" s="8"/>
      <c r="U5405" s="19" t="str">
        <f>HYPERLINK("https://pbs.twimg.com/profile_images/1158303186895220741/19b99XLQ.jpg","View")</f>
        <v>View</v>
      </c>
      <c r="V5405" s="8"/>
      <c r="W5405" s="8"/>
      <c r="X5405" s="8"/>
      <c r="Y5405" s="8"/>
      <c r="Z5405" s="8"/>
    </row>
    <row r="5406" spans="1:26" ht="12.75">
      <c r="A5406" s="11">
        <v>43747.087847222225</v>
      </c>
      <c r="B5406" s="12" t="str">
        <f>HYPERLINK("https://twitter.com/yaldiz_ibrahim","@yaldiz_ibrahim")</f>
        <v>@yaldiz_ibrahim</v>
      </c>
      <c r="C5406" s="7" t="s">
        <v>25478</v>
      </c>
      <c r="D5406" s="7" t="s">
        <v>25479</v>
      </c>
      <c r="E5406" s="12" t="str">
        <f>HYPERLINK("https://twitter.com/yaldiz_ibrahim/status/1181858463980412929","1181858463980412929")</f>
        <v>1181858463980412929</v>
      </c>
      <c r="F5406" s="8"/>
      <c r="G5406" s="14" t="s">
        <v>25480</v>
      </c>
      <c r="H5406" s="8"/>
      <c r="I5406" s="15">
        <v>0</v>
      </c>
      <c r="J5406" s="15">
        <v>1</v>
      </c>
      <c r="K5406" s="12" t="str">
        <f>HYPERLINK("http://twitter.com/download/iphone","Twitter for iPhone")</f>
        <v>Twitter for iPhone</v>
      </c>
      <c r="L5406" s="16">
        <v>53</v>
      </c>
      <c r="M5406" s="16">
        <v>116</v>
      </c>
      <c r="N5406" s="16">
        <v>0</v>
      </c>
      <c r="O5406" s="17"/>
      <c r="P5406" s="18">
        <v>40988.584155092591</v>
      </c>
      <c r="Q5406" s="7"/>
      <c r="R5406" s="7" t="s">
        <v>25481</v>
      </c>
      <c r="S5406" s="8"/>
      <c r="T5406" s="8"/>
      <c r="U5406" s="19" t="str">
        <f>HYPERLINK("https://pbs.twimg.com/profile_images/1163878402128003072/yyJNM7g-.jpg","View")</f>
        <v>View</v>
      </c>
      <c r="V5406" s="8"/>
      <c r="W5406" s="8"/>
      <c r="X5406" s="8"/>
      <c r="Y5406" s="8"/>
      <c r="Z5406" s="8"/>
    </row>
    <row r="5407" spans="1:26" ht="12.75">
      <c r="A5407" s="11">
        <v>43747.087824074071</v>
      </c>
      <c r="B5407" s="12" t="str">
        <f>HYPERLINK("https://twitter.com/OkanBalaz","@OkanBalaz")</f>
        <v>@OkanBalaz</v>
      </c>
      <c r="C5407" s="7" t="s">
        <v>25482</v>
      </c>
      <c r="D5407" s="7" t="s">
        <v>25483</v>
      </c>
      <c r="E5407" s="12" t="str">
        <f>HYPERLINK("https://twitter.com/OkanBalaz/status/1181858457852534784","1181858457852534784")</f>
        <v>1181858457852534784</v>
      </c>
      <c r="F5407" s="8"/>
      <c r="G5407" s="14" t="s">
        <v>25484</v>
      </c>
      <c r="H5407" s="8"/>
      <c r="I5407" s="15">
        <v>0</v>
      </c>
      <c r="J5407" s="15">
        <v>0</v>
      </c>
      <c r="K5407" s="12" t="str">
        <f>HYPERLINK("http://twitter.com/download/android","Twitter for Android")</f>
        <v>Twitter for Android</v>
      </c>
      <c r="L5407" s="16">
        <v>59</v>
      </c>
      <c r="M5407" s="16">
        <v>47</v>
      </c>
      <c r="N5407" s="16">
        <v>0</v>
      </c>
      <c r="O5407" s="17"/>
      <c r="P5407" s="18">
        <v>43422.38118055556</v>
      </c>
      <c r="Q5407" s="7" t="s">
        <v>1639</v>
      </c>
      <c r="R5407" s="7" t="s">
        <v>25485</v>
      </c>
      <c r="S5407" s="8"/>
      <c r="T5407" s="8"/>
      <c r="U5407" s="19" t="str">
        <f>HYPERLINK("https://pbs.twimg.com/profile_images/1150145023415148549/GOeXyHux.jpg","View")</f>
        <v>View</v>
      </c>
      <c r="V5407" s="8"/>
      <c r="W5407" s="8"/>
      <c r="X5407" s="8"/>
      <c r="Y5407" s="8"/>
      <c r="Z5407" s="8"/>
    </row>
    <row r="5408" spans="1:26" ht="12.75">
      <c r="A5408" s="11">
        <v>43747.087777777779</v>
      </c>
      <c r="B5408" s="12" t="str">
        <f>HYPERLINK("https://twitter.com/adyumedya","@adyumedya")</f>
        <v>@adyumedya</v>
      </c>
      <c r="C5408" s="7" t="s">
        <v>25486</v>
      </c>
      <c r="D5408" s="7" t="s">
        <v>25487</v>
      </c>
      <c r="E5408" s="12" t="str">
        <f>HYPERLINK("https://twitter.com/adyumedya/status/1181858440202899457","1181858440202899457")</f>
        <v>1181858440202899457</v>
      </c>
      <c r="F5408" s="15"/>
      <c r="G5408" s="14" t="s">
        <v>25488</v>
      </c>
      <c r="H5408" s="8"/>
      <c r="I5408" s="15">
        <v>0</v>
      </c>
      <c r="J5408" s="15">
        <v>8</v>
      </c>
      <c r="K5408" s="12" t="str">
        <f>HYPERLINK("http://twitter.com/download/iphone","Twitter for iPhone")</f>
        <v>Twitter for iPhone</v>
      </c>
      <c r="L5408" s="16">
        <v>270</v>
      </c>
      <c r="M5408" s="16">
        <v>544</v>
      </c>
      <c r="N5408" s="16">
        <v>0</v>
      </c>
      <c r="O5408" s="17"/>
      <c r="P5408" s="18">
        <v>43670.365300925929</v>
      </c>
      <c r="Q5408" s="7" t="s">
        <v>25489</v>
      </c>
      <c r="R5408" s="7" t="s">
        <v>25490</v>
      </c>
      <c r="S5408" s="14" t="s">
        <v>25491</v>
      </c>
      <c r="T5408" s="8"/>
      <c r="U5408" s="19" t="str">
        <f>HYPERLINK("https://pbs.twimg.com/profile_images/1154088367862292480/PaWO09S8.jpg","View")</f>
        <v>View</v>
      </c>
      <c r="V5408" s="8"/>
      <c r="W5408" s="8"/>
      <c r="X5408" s="8"/>
      <c r="Y5408" s="8"/>
      <c r="Z5408" s="8"/>
    </row>
    <row r="5409" spans="1:26" ht="12.75">
      <c r="A5409" s="11">
        <v>43747.087731481486</v>
      </c>
      <c r="B5409" s="12" t="str">
        <f>HYPERLINK("https://twitter.com/muhammetnihas","@muhammetnihas")</f>
        <v>@muhammetnihas</v>
      </c>
      <c r="C5409" s="7" t="s">
        <v>6691</v>
      </c>
      <c r="D5409" s="7" t="s">
        <v>25492</v>
      </c>
      <c r="E5409" s="12" t="str">
        <f>HYPERLINK("https://twitter.com/muhammetnihas/status/1181858423287234560","1181858423287234560")</f>
        <v>1181858423287234560</v>
      </c>
      <c r="F5409" s="8"/>
      <c r="G5409" s="8"/>
      <c r="H5409" s="8"/>
      <c r="I5409" s="15">
        <v>0</v>
      </c>
      <c r="J5409" s="15">
        <v>2</v>
      </c>
      <c r="K5409" s="12" t="str">
        <f>HYPERLINK("https://mobile.twitter.com","Twitter Web App")</f>
        <v>Twitter Web App</v>
      </c>
      <c r="L5409" s="16">
        <v>155</v>
      </c>
      <c r="M5409" s="16">
        <v>183</v>
      </c>
      <c r="N5409" s="16">
        <v>0</v>
      </c>
      <c r="O5409" s="17"/>
      <c r="P5409" s="18">
        <v>43640.493344907409</v>
      </c>
      <c r="Q5409" s="8" t="s">
        <v>313</v>
      </c>
      <c r="R5409" s="8" t="s">
        <v>25493</v>
      </c>
      <c r="S5409" s="8"/>
      <c r="T5409" s="8"/>
      <c r="U5409" s="19" t="str">
        <f>HYPERLINK("https://pbs.twimg.com/profile_images/1146696420545748996/qpzhhR-C.jpg","View")</f>
        <v>View</v>
      </c>
      <c r="V5409" s="8"/>
      <c r="W5409" s="8"/>
      <c r="X5409" s="8"/>
      <c r="Y5409" s="8"/>
      <c r="Z5409" s="8"/>
    </row>
    <row r="5410" spans="1:26" ht="12.75">
      <c r="A5410" s="11">
        <v>43747.087719907402</v>
      </c>
      <c r="B5410" s="12" t="str">
        <f>HYPERLINK("https://twitter.com/EmreSan11487901","@EmreSan11487901")</f>
        <v>@EmreSan11487901</v>
      </c>
      <c r="C5410" s="7" t="s">
        <v>25494</v>
      </c>
      <c r="D5410" s="7" t="s">
        <v>25495</v>
      </c>
      <c r="E5410" s="12" t="str">
        <f>HYPERLINK("https://twitter.com/EmreSan11487901/status/1181858419659153409","1181858419659153409")</f>
        <v>1181858419659153409</v>
      </c>
      <c r="F5410" s="8"/>
      <c r="G5410" s="15"/>
      <c r="H5410" s="8"/>
      <c r="I5410" s="15">
        <v>0</v>
      </c>
      <c r="J5410" s="15">
        <v>0</v>
      </c>
      <c r="K5410" s="12" t="str">
        <f>HYPERLINK("http://twitter.com/download/iphone","Twitter for iPhone")</f>
        <v>Twitter for iPhone</v>
      </c>
      <c r="L5410" s="16">
        <v>4</v>
      </c>
      <c r="M5410" s="16">
        <v>18</v>
      </c>
      <c r="N5410" s="16">
        <v>0</v>
      </c>
      <c r="O5410" s="17"/>
      <c r="P5410" s="18">
        <v>43717.514189814814</v>
      </c>
      <c r="Q5410" s="7"/>
      <c r="R5410" s="7" t="s">
        <v>8835</v>
      </c>
      <c r="S5410" s="8"/>
      <c r="T5410" s="8"/>
      <c r="U5410" s="19" t="str">
        <f>HYPERLINK("https://pbs.twimg.com/profile_images/1171141518163357698/ir0pGC4A.jpg","View")</f>
        <v>View</v>
      </c>
      <c r="V5410" s="8"/>
      <c r="W5410" s="8"/>
      <c r="X5410" s="8"/>
      <c r="Y5410" s="8"/>
      <c r="Z5410" s="8"/>
    </row>
    <row r="5411" spans="1:26" ht="12.75">
      <c r="A5411" s="11">
        <v>43747.087696759263</v>
      </c>
      <c r="B5411" s="12" t="str">
        <f>HYPERLINK("https://twitter.com/Firtina01429205","@Firtina01429205")</f>
        <v>@Firtina01429205</v>
      </c>
      <c r="C5411" s="7" t="s">
        <v>25496</v>
      </c>
      <c r="D5411" s="7" t="s">
        <v>25497</v>
      </c>
      <c r="E5411" s="12" t="str">
        <f>HYPERLINK("https://twitter.com/Firtina01429205/status/1181858411731968000","1181858411731968000")</f>
        <v>1181858411731968000</v>
      </c>
      <c r="F5411" s="8"/>
      <c r="G5411" s="14" t="s">
        <v>25498</v>
      </c>
      <c r="H5411" s="8"/>
      <c r="I5411" s="15">
        <v>0</v>
      </c>
      <c r="J5411" s="15">
        <v>1</v>
      </c>
      <c r="K5411" s="12" t="str">
        <f>HYPERLINK("http://twitter.com/download/android","Twitter for Android")</f>
        <v>Twitter for Android</v>
      </c>
      <c r="L5411" s="16">
        <v>6</v>
      </c>
      <c r="M5411" s="16">
        <v>20</v>
      </c>
      <c r="N5411" s="16">
        <v>0</v>
      </c>
      <c r="O5411" s="17"/>
      <c r="P5411" s="18">
        <v>43713.234039351853</v>
      </c>
      <c r="Q5411" s="8"/>
      <c r="R5411" s="7" t="s">
        <v>25499</v>
      </c>
      <c r="S5411" s="8"/>
      <c r="T5411" s="8"/>
      <c r="U5411" s="19" t="str">
        <f>HYPERLINK("https://pbs.twimg.com/profile_images/1169602494684696576/bvYuBhDO.jpg","View")</f>
        <v>View</v>
      </c>
      <c r="V5411" s="8"/>
      <c r="W5411" s="8"/>
      <c r="X5411" s="8"/>
      <c r="Y5411" s="8"/>
      <c r="Z5411" s="8"/>
    </row>
    <row r="5412" spans="1:26" ht="12.75">
      <c r="A5412" s="11">
        <v>43747.087696759263</v>
      </c>
      <c r="B5412" s="12" t="str">
        <f>HYPERLINK("https://twitter.com/m_aykan_","@m_aykan_")</f>
        <v>@m_aykan_</v>
      </c>
      <c r="C5412" s="7" t="s">
        <v>25500</v>
      </c>
      <c r="D5412" s="7" t="s">
        <v>25501</v>
      </c>
      <c r="E5412" s="12" t="str">
        <f>HYPERLINK("https://twitter.com/m_aykan_/status/1181858410540736514","1181858410540736514")</f>
        <v>1181858410540736514</v>
      </c>
      <c r="F5412" s="8"/>
      <c r="G5412" s="8"/>
      <c r="H5412" s="8"/>
      <c r="I5412" s="15">
        <v>1</v>
      </c>
      <c r="J5412" s="15">
        <v>2</v>
      </c>
      <c r="K5412" s="12" t="str">
        <f>HYPERLINK("http://twitter.com/download/android","Twitter for Android")</f>
        <v>Twitter for Android</v>
      </c>
      <c r="L5412" s="16">
        <v>183</v>
      </c>
      <c r="M5412" s="16">
        <v>853</v>
      </c>
      <c r="N5412" s="16">
        <v>0</v>
      </c>
      <c r="O5412" s="17"/>
      <c r="P5412" s="18">
        <v>42252.194363425922</v>
      </c>
      <c r="Q5412" s="7" t="s">
        <v>25502</v>
      </c>
      <c r="R5412" s="7" t="s">
        <v>25503</v>
      </c>
      <c r="S5412" s="8"/>
      <c r="T5412" s="8"/>
      <c r="U5412" s="19" t="str">
        <f>HYPERLINK("https://pbs.twimg.com/profile_images/1159933016308899842/J6mawVz0.jpg","View")</f>
        <v>View</v>
      </c>
      <c r="V5412" s="8"/>
      <c r="W5412" s="8"/>
      <c r="X5412" s="8"/>
      <c r="Y5412" s="8"/>
      <c r="Z5412" s="8"/>
    </row>
    <row r="5413" spans="1:26" ht="12.75">
      <c r="A5413" s="11">
        <v>43747.087685185186</v>
      </c>
      <c r="B5413" s="12" t="str">
        <f>HYPERLINK("https://twitter.com/EkremAlpGnay1","@EkremAlpGnay1")</f>
        <v>@EkremAlpGnay1</v>
      </c>
      <c r="C5413" s="7" t="s">
        <v>25504</v>
      </c>
      <c r="D5413" s="7" t="s">
        <v>25505</v>
      </c>
      <c r="E5413" s="12" t="str">
        <f>HYPERLINK("https://twitter.com/EkremAlpGnay1/status/1181858406648487936","1181858406648487936")</f>
        <v>1181858406648487936</v>
      </c>
      <c r="F5413" s="14" t="s">
        <v>25506</v>
      </c>
      <c r="G5413" s="8"/>
      <c r="H5413" s="8"/>
      <c r="I5413" s="15">
        <v>0</v>
      </c>
      <c r="J5413" s="15">
        <v>0</v>
      </c>
      <c r="K5413" s="12" t="str">
        <f>HYPERLINK("http://twitter.com/download/android","Twitter for Android")</f>
        <v>Twitter for Android</v>
      </c>
      <c r="L5413" s="16">
        <v>224</v>
      </c>
      <c r="M5413" s="16">
        <v>179</v>
      </c>
      <c r="N5413" s="16">
        <v>0</v>
      </c>
      <c r="O5413" s="17"/>
      <c r="P5413" s="18">
        <v>43609.437534722223</v>
      </c>
      <c r="Q5413" s="8" t="s">
        <v>1150</v>
      </c>
      <c r="R5413" s="7" t="s">
        <v>25507</v>
      </c>
      <c r="S5413" s="14" t="s">
        <v>25508</v>
      </c>
      <c r="T5413" s="8"/>
      <c r="U5413" s="19" t="str">
        <f>HYPERLINK("https://pbs.twimg.com/profile_images/1152130605225840640/szugijYs.jpg","View")</f>
        <v>View</v>
      </c>
      <c r="V5413" s="8"/>
      <c r="W5413" s="8"/>
      <c r="X5413" s="8"/>
      <c r="Y5413" s="8"/>
      <c r="Z5413" s="8"/>
    </row>
    <row r="5414" spans="1:26" ht="12.75">
      <c r="A5414" s="11">
        <v>43747.087604166663</v>
      </c>
      <c r="B5414" s="12" t="str">
        <f>HYPERLINK("https://twitter.com/merUar47240071","@merUar47240071")</f>
        <v>@merUar47240071</v>
      </c>
      <c r="C5414" s="7" t="s">
        <v>25509</v>
      </c>
      <c r="D5414" s="7" t="s">
        <v>25510</v>
      </c>
      <c r="E5414" s="12" t="str">
        <f>HYPERLINK("https://twitter.com/merUar47240071/status/1181858376508162048","1181858376508162048")</f>
        <v>1181858376508162048</v>
      </c>
      <c r="F5414" s="8"/>
      <c r="G5414" s="15"/>
      <c r="H5414" s="8"/>
      <c r="I5414" s="15">
        <v>0</v>
      </c>
      <c r="J5414" s="15">
        <v>0</v>
      </c>
      <c r="K5414" s="12" t="str">
        <f>HYPERLINK("http://twitter.com/download/android","Twitter for Android")</f>
        <v>Twitter for Android</v>
      </c>
      <c r="L5414" s="16">
        <v>12</v>
      </c>
      <c r="M5414" s="16">
        <v>98</v>
      </c>
      <c r="N5414" s="16">
        <v>0</v>
      </c>
      <c r="O5414" s="17"/>
      <c r="P5414" s="18">
        <v>43592.867407407408</v>
      </c>
      <c r="Q5414" s="8"/>
      <c r="R5414" s="8" t="s">
        <v>25511</v>
      </c>
      <c r="S5414" s="8"/>
      <c r="T5414" s="8"/>
      <c r="U5414" s="19" t="str">
        <f>HYPERLINK("https://pbs.twimg.com/profile_images/1125971378950291456/QHlu0MMT.jpg","View")</f>
        <v>View</v>
      </c>
      <c r="V5414" s="8"/>
      <c r="W5414" s="8"/>
      <c r="X5414" s="8"/>
      <c r="Y5414" s="8"/>
      <c r="Z5414" s="8"/>
    </row>
    <row r="5415" spans="1:26" ht="12.75">
      <c r="A5415" s="11">
        <v>43747.087511574078</v>
      </c>
      <c r="B5415" s="12" t="str">
        <f>HYPERLINK("https://twitter.com/akrepysuf","@akrepysuf")</f>
        <v>@akrepysuf</v>
      </c>
      <c r="C5415" s="7" t="s">
        <v>25512</v>
      </c>
      <c r="D5415" s="7" t="s">
        <v>25513</v>
      </c>
      <c r="E5415" s="12" t="str">
        <f>HYPERLINK("https://twitter.com/akrepysuf/status/1181858343452889088","1181858343452889088")</f>
        <v>1181858343452889088</v>
      </c>
      <c r="F5415" s="8"/>
      <c r="G5415" s="15"/>
      <c r="H5415" s="8"/>
      <c r="I5415" s="15">
        <v>0</v>
      </c>
      <c r="J5415" s="15">
        <v>0</v>
      </c>
      <c r="K5415" s="12" t="str">
        <f>HYPERLINK("http://twitter.com/download/iphone","Twitter for iPhone")</f>
        <v>Twitter for iPhone</v>
      </c>
      <c r="L5415" s="16">
        <v>14</v>
      </c>
      <c r="M5415" s="16">
        <v>115</v>
      </c>
      <c r="N5415" s="16">
        <v>0</v>
      </c>
      <c r="O5415" s="17"/>
      <c r="P5415" s="18">
        <v>41426.534502314811</v>
      </c>
      <c r="Q5415" s="7"/>
      <c r="R5415" s="7" t="s">
        <v>25514</v>
      </c>
      <c r="S5415" s="15"/>
      <c r="T5415" s="8"/>
      <c r="U5415" s="19" t="str">
        <f>HYPERLINK("https://pbs.twimg.com/profile_images/3756048222/da3e5c66b742f13cc4873e868915dcb8.jpeg","View")</f>
        <v>View</v>
      </c>
      <c r="V5415" s="8"/>
      <c r="W5415" s="8"/>
      <c r="X5415" s="8"/>
      <c r="Y5415" s="8"/>
      <c r="Z5415" s="8"/>
    </row>
    <row r="5416" spans="1:26" ht="12.75">
      <c r="A5416" s="11">
        <v>43747.087511574078</v>
      </c>
      <c r="B5416" s="12" t="str">
        <f>HYPERLINK("https://twitter.com/turancigrafik_","@turancigrafik_")</f>
        <v>@turancigrafik_</v>
      </c>
      <c r="C5416" s="7" t="s">
        <v>25515</v>
      </c>
      <c r="D5416" s="7" t="s">
        <v>25516</v>
      </c>
      <c r="E5416" s="12" t="str">
        <f>HYPERLINK("https://twitter.com/turancigrafik_/status/1181858342882480128","1181858342882480128")</f>
        <v>1181858342882480128</v>
      </c>
      <c r="F5416" s="8"/>
      <c r="G5416" s="14" t="s">
        <v>25517</v>
      </c>
      <c r="H5416" s="8"/>
      <c r="I5416" s="15">
        <v>0</v>
      </c>
      <c r="J5416" s="15">
        <v>9</v>
      </c>
      <c r="K5416" s="12" t="str">
        <f>HYPERLINK("http://twitter.com/download/android","Twitter for Android")</f>
        <v>Twitter for Android</v>
      </c>
      <c r="L5416" s="16">
        <v>388</v>
      </c>
      <c r="M5416" s="16">
        <v>16</v>
      </c>
      <c r="N5416" s="16">
        <v>1</v>
      </c>
      <c r="O5416" s="17"/>
      <c r="P5416" s="18">
        <v>43032.247129629628</v>
      </c>
      <c r="Q5416" s="7" t="s">
        <v>313</v>
      </c>
      <c r="R5416" s="8" t="s">
        <v>25518</v>
      </c>
      <c r="S5416" s="14" t="s">
        <v>25519</v>
      </c>
      <c r="T5416" s="8"/>
      <c r="U5416" s="19" t="str">
        <f>HYPERLINK("https://pbs.twimg.com/profile_images/1124595665634516992/g1FG4dV6.jpg","View")</f>
        <v>View</v>
      </c>
      <c r="V5416" s="8"/>
      <c r="W5416" s="8"/>
      <c r="X5416" s="8"/>
      <c r="Y5416" s="8"/>
      <c r="Z5416" s="8"/>
    </row>
    <row r="5417" spans="1:26" ht="12.75">
      <c r="A5417" s="11">
        <v>43747.087511574078</v>
      </c>
      <c r="B5417" s="12" t="str">
        <f>HYPERLINK("https://twitter.com/duygusalsehpa","@duygusalsehpa")</f>
        <v>@duygusalsehpa</v>
      </c>
      <c r="C5417" s="7" t="s">
        <v>25520</v>
      </c>
      <c r="D5417" s="7" t="s">
        <v>20786</v>
      </c>
      <c r="E5417" s="12" t="str">
        <f>HYPERLINK("https://twitter.com/duygusalsehpa/status/1181858341754155008","1181858341754155008")</f>
        <v>1181858341754155008</v>
      </c>
      <c r="F5417" s="8"/>
      <c r="G5417" s="14" t="s">
        <v>20787</v>
      </c>
      <c r="H5417" s="8"/>
      <c r="I5417" s="15">
        <v>125</v>
      </c>
      <c r="J5417" s="15">
        <v>613</v>
      </c>
      <c r="K5417" s="12" t="str">
        <f>HYPERLINK("http://twitter.com/download/android","Twitter for Android")</f>
        <v>Twitter for Android</v>
      </c>
      <c r="L5417" s="16">
        <v>21130</v>
      </c>
      <c r="M5417" s="16">
        <v>20437</v>
      </c>
      <c r="N5417" s="16">
        <v>5</v>
      </c>
      <c r="O5417" s="17"/>
      <c r="P5417" s="18">
        <v>41654.589814814812</v>
      </c>
      <c r="Q5417" s="7"/>
      <c r="R5417" s="7" t="s">
        <v>25521</v>
      </c>
      <c r="S5417" s="8"/>
      <c r="T5417" s="8"/>
      <c r="U5417" s="19" t="str">
        <f>HYPERLINK("https://pbs.twimg.com/profile_images/1164178279428972545/6c5oC97s.jpg","View")</f>
        <v>View</v>
      </c>
      <c r="V5417" s="8"/>
      <c r="W5417" s="8"/>
      <c r="X5417" s="8"/>
      <c r="Y5417" s="8"/>
      <c r="Z5417" s="8"/>
    </row>
    <row r="5418" spans="1:26" ht="12.75">
      <c r="A5418" s="11">
        <v>43747.087488425925</v>
      </c>
      <c r="B5418" s="12" t="str">
        <f>HYPERLINK("https://twitter.com/Biraz_Gulelim","@Biraz_Gulelim")</f>
        <v>@Biraz_Gulelim</v>
      </c>
      <c r="C5418" s="7" t="s">
        <v>25522</v>
      </c>
      <c r="D5418" s="7" t="s">
        <v>25523</v>
      </c>
      <c r="E5418" s="12" t="str">
        <f>HYPERLINK("https://twitter.com/Biraz_Gulelim/status/1181858333340422144","1181858333340422144")</f>
        <v>1181858333340422144</v>
      </c>
      <c r="F5418" s="8"/>
      <c r="G5418" s="14" t="s">
        <v>25524</v>
      </c>
      <c r="H5418" s="8"/>
      <c r="I5418" s="15">
        <v>0</v>
      </c>
      <c r="J5418" s="15">
        <v>0</v>
      </c>
      <c r="K5418" s="12" t="str">
        <f>HYPERLINK("http://twitter.com/download/android","Twitter for Android")</f>
        <v>Twitter for Android</v>
      </c>
      <c r="L5418" s="16">
        <v>553</v>
      </c>
      <c r="M5418" s="16">
        <v>406</v>
      </c>
      <c r="N5418" s="16">
        <v>0</v>
      </c>
      <c r="O5418" s="17"/>
      <c r="P5418" s="18">
        <v>41746.473553240743</v>
      </c>
      <c r="Q5418" s="8"/>
      <c r="R5418" s="7" t="s">
        <v>25525</v>
      </c>
      <c r="S5418" s="8"/>
      <c r="T5418" s="8"/>
      <c r="U5418" s="19" t="str">
        <f>HYPERLINK("https://pbs.twimg.com/profile_images/456894255982596096/Y8ZLBh9H.jpeg","View")</f>
        <v>View</v>
      </c>
      <c r="V5418" s="8"/>
      <c r="W5418" s="8"/>
      <c r="X5418" s="8"/>
      <c r="Y5418" s="8"/>
      <c r="Z5418" s="8"/>
    </row>
    <row r="5419" spans="1:26" ht="12.75">
      <c r="A5419" s="11">
        <v>43747.087453703702</v>
      </c>
      <c r="B5419" s="12" t="str">
        <f>HYPERLINK("https://twitter.com/agresifyilaaann","@agresifyilaaann")</f>
        <v>@agresifyilaaann</v>
      </c>
      <c r="C5419" s="7" t="s">
        <v>25526</v>
      </c>
      <c r="D5419" s="7" t="s">
        <v>25527</v>
      </c>
      <c r="E5419" s="12" t="str">
        <f>HYPERLINK("https://twitter.com/agresifyilaaann/status/1181858323047559168","1181858323047559168")</f>
        <v>1181858323047559168</v>
      </c>
      <c r="F5419" s="8"/>
      <c r="G5419" s="8"/>
      <c r="H5419" s="8"/>
      <c r="I5419" s="15">
        <v>0</v>
      </c>
      <c r="J5419" s="15">
        <v>3</v>
      </c>
      <c r="K5419" s="12" t="str">
        <f>HYPERLINK("https://mobile.twitter.com","Twitter Web App")</f>
        <v>Twitter Web App</v>
      </c>
      <c r="L5419" s="16">
        <v>3264</v>
      </c>
      <c r="M5419" s="16">
        <v>479</v>
      </c>
      <c r="N5419" s="16">
        <v>2</v>
      </c>
      <c r="O5419" s="17"/>
      <c r="P5419" s="18">
        <v>42118.028958333336</v>
      </c>
      <c r="Q5419" s="7" t="s">
        <v>25528</v>
      </c>
      <c r="R5419" s="7"/>
      <c r="S5419" s="15"/>
      <c r="T5419" s="8"/>
      <c r="U5419" s="19" t="str">
        <f>HYPERLINK("https://pbs.twimg.com/profile_images/1181600432969396225/LlIN8SHt.jpg","View")</f>
        <v>View</v>
      </c>
      <c r="V5419" s="8"/>
      <c r="W5419" s="8"/>
      <c r="X5419" s="8"/>
      <c r="Y5419" s="8"/>
      <c r="Z5419" s="8"/>
    </row>
    <row r="5420" spans="1:26" ht="12.75">
      <c r="A5420" s="11">
        <v>43747.087430555555</v>
      </c>
      <c r="B5420" s="12" t="str">
        <f>HYPERLINK("https://twitter.com/berkemkrbck","@berkemkrbck")</f>
        <v>@berkemkrbck</v>
      </c>
      <c r="C5420" s="7" t="s">
        <v>25529</v>
      </c>
      <c r="D5420" s="7" t="s">
        <v>3552</v>
      </c>
      <c r="E5420" s="12" t="str">
        <f>HYPERLINK("https://twitter.com/berkemkrbck/status/1181858314411548672","1181858314411548672")</f>
        <v>1181858314411548672</v>
      </c>
      <c r="F5420" s="8"/>
      <c r="G5420" s="14" t="s">
        <v>25530</v>
      </c>
      <c r="H5420" s="8"/>
      <c r="I5420" s="15">
        <v>1</v>
      </c>
      <c r="J5420" s="15">
        <v>10</v>
      </c>
      <c r="K5420" s="12" t="str">
        <f>HYPERLINK("http://twitter.com/download/iphone","Twitter for iPhone")</f>
        <v>Twitter for iPhone</v>
      </c>
      <c r="L5420" s="16">
        <v>452</v>
      </c>
      <c r="M5420" s="16">
        <v>281</v>
      </c>
      <c r="N5420" s="16">
        <v>0</v>
      </c>
      <c r="O5420" s="17"/>
      <c r="P5420" s="18">
        <v>42770.472164351857</v>
      </c>
      <c r="Q5420" s="7"/>
      <c r="R5420" s="7" t="s">
        <v>25531</v>
      </c>
      <c r="S5420" s="15"/>
      <c r="T5420" s="8"/>
      <c r="U5420" s="19" t="str">
        <f>HYPERLINK("https://pbs.twimg.com/profile_images/1169308149121245184/slZpKBER.jpg","View")</f>
        <v>View</v>
      </c>
      <c r="V5420" s="8"/>
      <c r="W5420" s="8"/>
      <c r="X5420" s="8"/>
      <c r="Y5420" s="8"/>
      <c r="Z5420" s="8"/>
    </row>
    <row r="5421" spans="1:26" ht="12.75">
      <c r="A5421" s="11">
        <v>43747.087372685186</v>
      </c>
      <c r="B5421" s="12" t="str">
        <f>HYPERLINK("https://twitter.com/soner_varol","@soner_varol")</f>
        <v>@soner_varol</v>
      </c>
      <c r="C5421" s="7" t="s">
        <v>25532</v>
      </c>
      <c r="D5421" s="7" t="s">
        <v>25533</v>
      </c>
      <c r="E5421" s="12" t="str">
        <f>HYPERLINK("https://twitter.com/soner_varol/status/1181858293792333825","1181858293792333825")</f>
        <v>1181858293792333825</v>
      </c>
      <c r="F5421" s="8"/>
      <c r="G5421" s="15"/>
      <c r="H5421" s="8"/>
      <c r="I5421" s="15">
        <v>0</v>
      </c>
      <c r="J5421" s="15">
        <v>0</v>
      </c>
      <c r="K5421" s="12" t="str">
        <f>HYPERLINK("http://twitter.com/download/iphone","Twitter for iPhone")</f>
        <v>Twitter for iPhone</v>
      </c>
      <c r="L5421" s="16">
        <v>49</v>
      </c>
      <c r="M5421" s="16">
        <v>205</v>
      </c>
      <c r="N5421" s="16">
        <v>0</v>
      </c>
      <c r="O5421" s="17"/>
      <c r="P5421" s="18">
        <v>40860.010960648149</v>
      </c>
      <c r="Q5421" s="7" t="s">
        <v>25534</v>
      </c>
      <c r="R5421" s="8"/>
      <c r="S5421" s="8"/>
      <c r="T5421" s="8"/>
      <c r="U5421" s="19" t="str">
        <f>HYPERLINK("https://pbs.twimg.com/profile_images/1149063417094987777/-JapKu5p.jpg","View")</f>
        <v>View</v>
      </c>
      <c r="V5421" s="8"/>
      <c r="W5421" s="8"/>
      <c r="X5421" s="8"/>
      <c r="Y5421" s="8"/>
      <c r="Z5421" s="8"/>
    </row>
    <row r="5422" spans="1:26" ht="12.75">
      <c r="A5422" s="11">
        <v>43747.087372685186</v>
      </c>
      <c r="B5422" s="12" t="str">
        <f>HYPERLINK("https://twitter.com/AdemAYCAN55","@AdemAYCAN55")</f>
        <v>@AdemAYCAN55</v>
      </c>
      <c r="C5422" s="7" t="s">
        <v>25535</v>
      </c>
      <c r="D5422" s="7" t="s">
        <v>25536</v>
      </c>
      <c r="E5422" s="12" t="str">
        <f>HYPERLINK("https://twitter.com/AdemAYCAN55/status/1181858293607813121","1181858293607813121")</f>
        <v>1181858293607813121</v>
      </c>
      <c r="F5422" s="15"/>
      <c r="G5422" s="8"/>
      <c r="H5422" s="8"/>
      <c r="I5422" s="15">
        <v>0</v>
      </c>
      <c r="J5422" s="15">
        <v>1</v>
      </c>
      <c r="K5422" s="12" t="str">
        <f>HYPERLINK("http://twitter.com/download/android","Twitter for Android")</f>
        <v>Twitter for Android</v>
      </c>
      <c r="L5422" s="16">
        <v>168</v>
      </c>
      <c r="M5422" s="16">
        <v>172</v>
      </c>
      <c r="N5422" s="16">
        <v>0</v>
      </c>
      <c r="O5422" s="17"/>
      <c r="P5422" s="18">
        <v>43004.007222222222</v>
      </c>
      <c r="Q5422" s="7" t="s">
        <v>1850</v>
      </c>
      <c r="R5422" s="7" t="s">
        <v>25537</v>
      </c>
      <c r="S5422" s="14" t="s">
        <v>25538</v>
      </c>
      <c r="T5422" s="8"/>
      <c r="U5422" s="19" t="str">
        <f>HYPERLINK("https://pbs.twimg.com/profile_images/916944387476803584/Nkyqg_eP.jpg","View")</f>
        <v>View</v>
      </c>
      <c r="V5422" s="8"/>
      <c r="W5422" s="8"/>
      <c r="X5422" s="8"/>
      <c r="Y5422" s="8"/>
      <c r="Z5422" s="8"/>
    </row>
    <row r="5423" spans="1:26" ht="12.75">
      <c r="A5423" s="11">
        <v>43747.087372685186</v>
      </c>
      <c r="B5423" s="12" t="str">
        <f>HYPERLINK("https://twitter.com/pasha_1921","@pasha_1921")</f>
        <v>@pasha_1921</v>
      </c>
      <c r="C5423" s="7" t="s">
        <v>25539</v>
      </c>
      <c r="D5423" s="7" t="s">
        <v>25540</v>
      </c>
      <c r="E5423" s="12" t="str">
        <f>HYPERLINK("https://twitter.com/pasha_1921/status/1181858293368705024","1181858293368705024")</f>
        <v>1181858293368705024</v>
      </c>
      <c r="F5423" s="8"/>
      <c r="G5423" s="14" t="s">
        <v>25541</v>
      </c>
      <c r="H5423" s="8"/>
      <c r="I5423" s="15">
        <v>0</v>
      </c>
      <c r="J5423" s="15">
        <v>3</v>
      </c>
      <c r="K5423" s="12" t="str">
        <f>HYPERLINK("http://twitter.com/download/iphone","Twitter for iPhone")</f>
        <v>Twitter for iPhone</v>
      </c>
      <c r="L5423" s="16">
        <v>124</v>
      </c>
      <c r="M5423" s="16">
        <v>94</v>
      </c>
      <c r="N5423" s="16">
        <v>1</v>
      </c>
      <c r="O5423" s="17"/>
      <c r="P5423" s="18">
        <v>40717.711782407408</v>
      </c>
      <c r="Q5423" s="8" t="s">
        <v>25542</v>
      </c>
      <c r="R5423" s="7" t="s">
        <v>25543</v>
      </c>
      <c r="S5423" s="15"/>
      <c r="T5423" s="8"/>
      <c r="U5423" s="19" t="str">
        <f>HYPERLINK("https://pbs.twimg.com/profile_images/1067399881571164161/vtOdNiTR.jpg","View")</f>
        <v>View</v>
      </c>
      <c r="V5423" s="8"/>
      <c r="W5423" s="8"/>
      <c r="X5423" s="8"/>
      <c r="Y5423" s="8"/>
      <c r="Z5423" s="8"/>
    </row>
    <row r="5424" spans="1:26" ht="12.75">
      <c r="A5424" s="11">
        <v>43747.087326388893</v>
      </c>
      <c r="B5424" s="12" t="str">
        <f>HYPERLINK("https://twitter.com/brolojii","@brolojii")</f>
        <v>@brolojii</v>
      </c>
      <c r="C5424" s="7" t="s">
        <v>25544</v>
      </c>
      <c r="D5424" s="7" t="s">
        <v>25545</v>
      </c>
      <c r="E5424" s="12" t="str">
        <f>HYPERLINK("https://twitter.com/brolojii/status/1181858277556133888","1181858277556133888")</f>
        <v>1181858277556133888</v>
      </c>
      <c r="F5424" s="8"/>
      <c r="G5424" s="15"/>
      <c r="H5424" s="8"/>
      <c r="I5424" s="15">
        <v>0</v>
      </c>
      <c r="J5424" s="15">
        <v>9</v>
      </c>
      <c r="K5424" s="12" t="str">
        <f>HYPERLINK("http://twitter.com/download/iphone","Twitter for iPhone")</f>
        <v>Twitter for iPhone</v>
      </c>
      <c r="L5424" s="16">
        <v>271</v>
      </c>
      <c r="M5424" s="16">
        <v>316</v>
      </c>
      <c r="N5424" s="16">
        <v>2</v>
      </c>
      <c r="O5424" s="17"/>
      <c r="P5424" s="18">
        <v>42004.384456018517</v>
      </c>
      <c r="Q5424" s="8" t="s">
        <v>918</v>
      </c>
      <c r="R5424" s="7" t="s">
        <v>918</v>
      </c>
      <c r="S5424" s="8"/>
      <c r="T5424" s="8"/>
      <c r="U5424" s="19" t="str">
        <f>HYPERLINK("https://pbs.twimg.com/profile_images/1181490746639212545/lpfbWvHc.jpg","View")</f>
        <v>View</v>
      </c>
      <c r="V5424" s="8"/>
      <c r="W5424" s="8"/>
      <c r="X5424" s="8"/>
      <c r="Y5424" s="8"/>
      <c r="Z5424" s="8"/>
    </row>
    <row r="5425" spans="1:26" ht="12.75">
      <c r="A5425" s="11">
        <v>43747.087326388893</v>
      </c>
      <c r="B5425" s="12" t="str">
        <f>HYPERLINK("https://twitter.com/hakanakyol1994","@hakanakyol1994")</f>
        <v>@hakanakyol1994</v>
      </c>
      <c r="C5425" s="7" t="s">
        <v>25546</v>
      </c>
      <c r="D5425" s="7" t="s">
        <v>25547</v>
      </c>
      <c r="E5425" s="12" t="str">
        <f>HYPERLINK("https://twitter.com/hakanakyol1994/status/1181858275438071809","1181858275438071809")</f>
        <v>1181858275438071809</v>
      </c>
      <c r="F5425" s="8"/>
      <c r="G5425" s="14" t="s">
        <v>25548</v>
      </c>
      <c r="H5425" s="8"/>
      <c r="I5425" s="15">
        <v>0</v>
      </c>
      <c r="J5425" s="15">
        <v>2</v>
      </c>
      <c r="K5425" s="12" t="str">
        <f>HYPERLINK("http://twitter.com/download/android","Twitter for Android")</f>
        <v>Twitter for Android</v>
      </c>
      <c r="L5425" s="16">
        <v>73</v>
      </c>
      <c r="M5425" s="16">
        <v>73</v>
      </c>
      <c r="N5425" s="16">
        <v>0</v>
      </c>
      <c r="O5425" s="17"/>
      <c r="P5425" s="18">
        <v>41443.315185185187</v>
      </c>
      <c r="Q5425" s="7"/>
      <c r="R5425" s="7"/>
      <c r="S5425" s="8"/>
      <c r="T5425" s="8"/>
      <c r="U5425" s="19" t="str">
        <f>HYPERLINK("https://pbs.twimg.com/profile_images/1181826058712223744/vF7jnHgh.jpg","View")</f>
        <v>View</v>
      </c>
      <c r="V5425" s="8"/>
      <c r="W5425" s="8"/>
      <c r="X5425" s="8"/>
      <c r="Y5425" s="8"/>
      <c r="Z5425" s="8"/>
    </row>
    <row r="5426" spans="1:26" ht="12.75">
      <c r="A5426" s="11">
        <v>43747.08730324074</v>
      </c>
      <c r="B5426" s="12" t="str">
        <f>HYPERLINK("https://twitter.com/Emreeti63193085","@Emreeti63193085")</f>
        <v>@Emreeti63193085</v>
      </c>
      <c r="C5426" s="7" t="s">
        <v>25549</v>
      </c>
      <c r="D5426" s="7" t="s">
        <v>160</v>
      </c>
      <c r="E5426" s="12" t="str">
        <f>HYPERLINK("https://twitter.com/Emreeti63193085/status/1181858269163347968","1181858269163347968")</f>
        <v>1181858269163347968</v>
      </c>
      <c r="F5426" s="8"/>
      <c r="G5426" s="15"/>
      <c r="H5426" s="8"/>
      <c r="I5426" s="15">
        <v>0</v>
      </c>
      <c r="J5426" s="15">
        <v>0</v>
      </c>
      <c r="K5426" s="12" t="str">
        <f>HYPERLINK("http://twitter.com/download/android","Twitter for Android")</f>
        <v>Twitter for Android</v>
      </c>
      <c r="L5426" s="16">
        <v>0</v>
      </c>
      <c r="M5426" s="16">
        <v>3</v>
      </c>
      <c r="N5426" s="16">
        <v>0</v>
      </c>
      <c r="O5426" s="17"/>
      <c r="P5426" s="18">
        <v>43122.243981481486</v>
      </c>
      <c r="Q5426" s="8"/>
      <c r="R5426" s="7"/>
      <c r="S5426" s="8"/>
      <c r="T5426" s="8"/>
      <c r="U5426" s="20" t="s">
        <v>354</v>
      </c>
      <c r="V5426" s="8"/>
      <c r="W5426" s="8"/>
      <c r="X5426" s="8"/>
      <c r="Y5426" s="8"/>
      <c r="Z5426" s="8"/>
    </row>
    <row r="5427" spans="1:26" ht="12.75">
      <c r="A5427" s="11">
        <v>43747.087280092594</v>
      </c>
      <c r="B5427" s="12" t="str">
        <f>HYPERLINK("https://twitter.com/ahmeteakca","@ahmeteakca")</f>
        <v>@ahmeteakca</v>
      </c>
      <c r="C5427" s="7" t="s">
        <v>25550</v>
      </c>
      <c r="D5427" s="7" t="s">
        <v>25551</v>
      </c>
      <c r="E5427" s="12" t="str">
        <f>HYPERLINK("https://twitter.com/ahmeteakca/status/1181858260929929216","1181858260929929216")</f>
        <v>1181858260929929216</v>
      </c>
      <c r="F5427" s="8"/>
      <c r="G5427" s="15"/>
      <c r="H5427" s="8"/>
      <c r="I5427" s="15">
        <v>0</v>
      </c>
      <c r="J5427" s="15">
        <v>1</v>
      </c>
      <c r="K5427" s="12" t="str">
        <f>HYPERLINK("http://twitter.com/download/android","Twitter for Android")</f>
        <v>Twitter for Android</v>
      </c>
      <c r="L5427" s="16">
        <v>98</v>
      </c>
      <c r="M5427" s="16">
        <v>84</v>
      </c>
      <c r="N5427" s="16">
        <v>0</v>
      </c>
      <c r="O5427" s="17"/>
      <c r="P5427" s="18">
        <v>42459.512488425928</v>
      </c>
      <c r="Q5427" s="7" t="s">
        <v>17868</v>
      </c>
      <c r="R5427" s="8" t="s">
        <v>25552</v>
      </c>
      <c r="S5427" s="8"/>
      <c r="T5427" s="8"/>
      <c r="U5427" s="19" t="str">
        <f>HYPERLINK("https://pbs.twimg.com/profile_images/1171131942995206145/yC_JUBF2.jpg","View")</f>
        <v>View</v>
      </c>
      <c r="V5427" s="8"/>
      <c r="W5427" s="8"/>
      <c r="X5427" s="8"/>
      <c r="Y5427" s="8"/>
      <c r="Z5427" s="8"/>
    </row>
    <row r="5428" spans="1:26" ht="12.75">
      <c r="A5428" s="11">
        <v>43747.087280092594</v>
      </c>
      <c r="B5428" s="12" t="str">
        <f>HYPERLINK("https://twitter.com/AkilOlan","@AkilOlan")</f>
        <v>@AkilOlan</v>
      </c>
      <c r="C5428" s="7" t="s">
        <v>25553</v>
      </c>
      <c r="D5428" s="7" t="s">
        <v>160</v>
      </c>
      <c r="E5428" s="12" t="str">
        <f>HYPERLINK("https://twitter.com/AkilOlan/status/1181858257192833024","1181858257192833024")</f>
        <v>1181858257192833024</v>
      </c>
      <c r="F5428" s="8"/>
      <c r="G5428" s="8"/>
      <c r="H5428" s="8"/>
      <c r="I5428" s="15">
        <v>0</v>
      </c>
      <c r="J5428" s="15">
        <v>0</v>
      </c>
      <c r="K5428" s="12" t="str">
        <f>HYPERLINK("https://mobile.twitter.com","Twitter Web App")</f>
        <v>Twitter Web App</v>
      </c>
      <c r="L5428" s="16">
        <v>5</v>
      </c>
      <c r="M5428" s="16">
        <v>57</v>
      </c>
      <c r="N5428" s="16">
        <v>0</v>
      </c>
      <c r="O5428" s="17"/>
      <c r="P5428" s="18">
        <v>43563.627847222218</v>
      </c>
      <c r="Q5428" s="8"/>
      <c r="R5428" s="7" t="s">
        <v>17803</v>
      </c>
      <c r="S5428" s="8"/>
      <c r="T5428" s="8"/>
      <c r="U5428" s="19" t="str">
        <f>HYPERLINK("https://pbs.twimg.com/profile_images/1115965852602515462/rSOa7bCb.jpg","View")</f>
        <v>View</v>
      </c>
      <c r="V5428" s="8"/>
      <c r="W5428" s="8"/>
      <c r="X5428" s="8"/>
      <c r="Y5428" s="8"/>
      <c r="Z5428" s="8"/>
    </row>
    <row r="5429" spans="1:26" ht="12.75">
      <c r="A5429" s="11">
        <v>43747.087268518517</v>
      </c>
      <c r="B5429" s="12" t="str">
        <f>HYPERLINK("https://twitter.com/TLGYDEMIR","@TLGYDEMIR")</f>
        <v>@TLGYDEMIR</v>
      </c>
      <c r="C5429" s="7" t="s">
        <v>25554</v>
      </c>
      <c r="D5429" s="7" t="s">
        <v>25555</v>
      </c>
      <c r="E5429" s="12" t="str">
        <f>HYPERLINK("https://twitter.com/TLGYDEMIR/status/1181858253128523776","1181858253128523776")</f>
        <v>1181858253128523776</v>
      </c>
      <c r="F5429" s="8"/>
      <c r="G5429" s="8"/>
      <c r="H5429" s="8"/>
      <c r="I5429" s="15">
        <v>0</v>
      </c>
      <c r="J5429" s="15">
        <v>0</v>
      </c>
      <c r="K5429" s="12" t="str">
        <f>HYPERLINK("https://mobile.twitter.com","Twitter Web App")</f>
        <v>Twitter Web App</v>
      </c>
      <c r="L5429" s="16">
        <v>1420</v>
      </c>
      <c r="M5429" s="16">
        <v>1710</v>
      </c>
      <c r="N5429" s="16">
        <v>0</v>
      </c>
      <c r="O5429" s="17"/>
      <c r="P5429" s="18">
        <v>42859.5621412037</v>
      </c>
      <c r="Q5429" s="7" t="s">
        <v>25556</v>
      </c>
      <c r="R5429" s="7" t="s">
        <v>25557</v>
      </c>
      <c r="S5429" s="8"/>
      <c r="T5429" s="8"/>
      <c r="U5429" s="19" t="str">
        <f>HYPERLINK("https://pbs.twimg.com/profile_images/1175850358947667969/LgjabjTU.jpg","View")</f>
        <v>View</v>
      </c>
      <c r="V5429" s="8"/>
      <c r="W5429" s="8"/>
      <c r="X5429" s="8"/>
      <c r="Y5429" s="8"/>
      <c r="Z5429" s="8"/>
    </row>
    <row r="5430" spans="1:26" ht="12.75">
      <c r="A5430" s="11">
        <v>43747.087233796294</v>
      </c>
      <c r="B5430" s="12" t="str">
        <f>HYPERLINK("https://twitter.com/strye3elverdim","@strye3elverdim")</f>
        <v>@strye3elverdim</v>
      </c>
      <c r="C5430" s="7" t="s">
        <v>25558</v>
      </c>
      <c r="D5430" s="7" t="s">
        <v>25559</v>
      </c>
      <c r="E5430" s="12" t="str">
        <f>HYPERLINK("https://twitter.com/strye3elverdim/status/1181858242772779008","1181858242772779008")</f>
        <v>1181858242772779008</v>
      </c>
      <c r="F5430" s="8"/>
      <c r="G5430" s="14" t="s">
        <v>25560</v>
      </c>
      <c r="H5430" s="8"/>
      <c r="I5430" s="15">
        <v>0</v>
      </c>
      <c r="J5430" s="15">
        <v>0</v>
      </c>
      <c r="K5430" s="12" t="str">
        <f>HYPERLINK("http://twitter.com/download/iphone","Twitter for iPhone")</f>
        <v>Twitter for iPhone</v>
      </c>
      <c r="L5430" s="16">
        <v>2</v>
      </c>
      <c r="M5430" s="16">
        <v>44</v>
      </c>
      <c r="N5430" s="16">
        <v>0</v>
      </c>
      <c r="O5430" s="17"/>
      <c r="P5430" s="18">
        <v>43712.529444444444</v>
      </c>
      <c r="Q5430" s="7"/>
      <c r="R5430" s="7" t="s">
        <v>25561</v>
      </c>
      <c r="S5430" s="8"/>
      <c r="T5430" s="8"/>
      <c r="U5430" s="19" t="str">
        <f>HYPERLINK("https://pbs.twimg.com/profile_images/1169346802975481857/iZSgYVMj.jpg","View")</f>
        <v>View</v>
      </c>
      <c r="V5430" s="8"/>
      <c r="W5430" s="8"/>
      <c r="X5430" s="8"/>
      <c r="Y5430" s="8"/>
      <c r="Z5430" s="8"/>
    </row>
    <row r="5431" spans="1:26" ht="12.75">
      <c r="A5431" s="11">
        <v>43747.087233796294</v>
      </c>
      <c r="B5431" s="12" t="str">
        <f>HYPERLINK("https://twitter.com/seyhanozturk28","@seyhanozturk28")</f>
        <v>@seyhanozturk28</v>
      </c>
      <c r="C5431" s="7" t="s">
        <v>25562</v>
      </c>
      <c r="D5431" s="7" t="s">
        <v>25563</v>
      </c>
      <c r="E5431" s="12" t="str">
        <f>HYPERLINK("https://twitter.com/seyhanozturk28/status/1181858241627791360","1181858241627791360")</f>
        <v>1181858241627791360</v>
      </c>
      <c r="F5431" s="8"/>
      <c r="G5431" s="15"/>
      <c r="H5431" s="8"/>
      <c r="I5431" s="15">
        <v>1</v>
      </c>
      <c r="J5431" s="15">
        <v>11</v>
      </c>
      <c r="K5431" s="12" t="str">
        <f>HYPERLINK("https://mobile.twitter.com","Twitter Web App")</f>
        <v>Twitter Web App</v>
      </c>
      <c r="L5431" s="16">
        <v>4009</v>
      </c>
      <c r="M5431" s="16">
        <v>4227</v>
      </c>
      <c r="N5431" s="16">
        <v>0</v>
      </c>
      <c r="O5431" s="17"/>
      <c r="P5431" s="18">
        <v>42569.18346064815</v>
      </c>
      <c r="Q5431" s="7" t="s">
        <v>200</v>
      </c>
      <c r="R5431" s="7" t="s">
        <v>25564</v>
      </c>
      <c r="S5431" s="8"/>
      <c r="T5431" s="8"/>
      <c r="U5431" s="19" t="str">
        <f>HYPERLINK("https://pbs.twimg.com/profile_images/1174671125776949249/uQfq37n0.jpg","View")</f>
        <v>View</v>
      </c>
      <c r="V5431" s="8"/>
      <c r="W5431" s="8"/>
      <c r="X5431" s="8"/>
      <c r="Y5431" s="8"/>
      <c r="Z5431" s="8"/>
    </row>
    <row r="5432" spans="1:26" ht="12.75">
      <c r="A5432" s="11">
        <v>43747.087210648147</v>
      </c>
      <c r="B5432" s="12" t="str">
        <f>HYPERLINK("https://twitter.com/AbiSayn","@AbiSayn")</f>
        <v>@AbiSayn</v>
      </c>
      <c r="C5432" s="7" t="s">
        <v>25565</v>
      </c>
      <c r="D5432" s="7" t="s">
        <v>25566</v>
      </c>
      <c r="E5432" s="12" t="str">
        <f>HYPERLINK("https://twitter.com/AbiSayn/status/1181858234484834304","1181858234484834304")</f>
        <v>1181858234484834304</v>
      </c>
      <c r="F5432" s="8"/>
      <c r="G5432" s="14" t="s">
        <v>25567</v>
      </c>
      <c r="H5432" s="8"/>
      <c r="I5432" s="15">
        <v>12</v>
      </c>
      <c r="J5432" s="15">
        <v>17</v>
      </c>
      <c r="K5432" s="12" t="str">
        <f>HYPERLINK("https://mobile.twitter.com","Twitter Web App")</f>
        <v>Twitter Web App</v>
      </c>
      <c r="L5432" s="16">
        <v>15801</v>
      </c>
      <c r="M5432" s="16">
        <v>2382</v>
      </c>
      <c r="N5432" s="16">
        <v>39</v>
      </c>
      <c r="O5432" s="17"/>
      <c r="P5432" s="18">
        <v>41464.122418981482</v>
      </c>
      <c r="Q5432" s="8"/>
      <c r="R5432" s="8" t="s">
        <v>25568</v>
      </c>
      <c r="S5432" s="8"/>
      <c r="T5432" s="8"/>
      <c r="U5432" s="19" t="str">
        <f>HYPERLINK("https://pbs.twimg.com/profile_images/821623630283046913/hbOsZETw.jpg","View")</f>
        <v>View</v>
      </c>
      <c r="V5432" s="8"/>
      <c r="W5432" s="8"/>
      <c r="X5432" s="8"/>
      <c r="Y5432" s="8"/>
      <c r="Z5432" s="8"/>
    </row>
    <row r="5433" spans="1:26" ht="12.75">
      <c r="A5433" s="11">
        <v>43747.087152777778</v>
      </c>
      <c r="B5433" s="12" t="str">
        <f>HYPERLINK("https://twitter.com/kanalmaras","@kanalmaras")</f>
        <v>@kanalmaras</v>
      </c>
      <c r="C5433" s="7" t="s">
        <v>25569</v>
      </c>
      <c r="D5433" s="7" t="s">
        <v>25570</v>
      </c>
      <c r="E5433" s="12" t="str">
        <f>HYPERLINK("https://twitter.com/kanalmaras/status/1181858211386802176","1181858211386802176")</f>
        <v>1181858211386802176</v>
      </c>
      <c r="F5433" s="14" t="s">
        <v>25571</v>
      </c>
      <c r="G5433" s="8"/>
      <c r="H5433" s="8"/>
      <c r="I5433" s="15">
        <v>0</v>
      </c>
      <c r="J5433" s="15">
        <v>2</v>
      </c>
      <c r="K5433" s="12" t="str">
        <f>HYPERLINK("http://twitter.com","Twitter Web Client")</f>
        <v>Twitter Web Client</v>
      </c>
      <c r="L5433" s="16">
        <v>1692</v>
      </c>
      <c r="M5433" s="16">
        <v>1208</v>
      </c>
      <c r="N5433" s="16">
        <v>11</v>
      </c>
      <c r="O5433" s="17"/>
      <c r="P5433" s="18">
        <v>41684.069409722222</v>
      </c>
      <c r="Q5433" s="8" t="s">
        <v>25556</v>
      </c>
      <c r="R5433" s="7" t="s">
        <v>25572</v>
      </c>
      <c r="S5433" s="14" t="s">
        <v>25573</v>
      </c>
      <c r="T5433" s="8"/>
      <c r="U5433" s="19" t="str">
        <f>HYPERLINK("https://pbs.twimg.com/profile_images/1051670029576675328/XKSt1Y23.jpg","View")</f>
        <v>View</v>
      </c>
      <c r="V5433" s="8"/>
      <c r="W5433" s="8"/>
      <c r="X5433" s="8"/>
      <c r="Y5433" s="8"/>
      <c r="Z5433" s="8"/>
    </row>
    <row r="5434" spans="1:26" ht="12.75">
      <c r="A5434" s="11">
        <v>43747.087129629625</v>
      </c>
      <c r="B5434" s="12" t="str">
        <f>HYPERLINK("https://twitter.com/TosunogluSerhat","@TosunogluSerhat")</f>
        <v>@TosunogluSerhat</v>
      </c>
      <c r="C5434" s="7" t="s">
        <v>25574</v>
      </c>
      <c r="D5434" s="7" t="s">
        <v>25575</v>
      </c>
      <c r="E5434" s="12" t="str">
        <f>HYPERLINK("https://twitter.com/TosunogluSerhat/status/1181858204936015872","1181858204936015872")</f>
        <v>1181858204936015872</v>
      </c>
      <c r="F5434" s="15"/>
      <c r="G5434" s="15"/>
      <c r="H5434" s="8"/>
      <c r="I5434" s="15">
        <v>0</v>
      </c>
      <c r="J5434" s="15">
        <v>1</v>
      </c>
      <c r="K5434" s="12" t="str">
        <f>HYPERLINK("http://twitter.com/download/android","Twitter for Android")</f>
        <v>Twitter for Android</v>
      </c>
      <c r="L5434" s="16">
        <v>311</v>
      </c>
      <c r="M5434" s="16">
        <v>305</v>
      </c>
      <c r="N5434" s="16">
        <v>0</v>
      </c>
      <c r="O5434" s="17"/>
      <c r="P5434" s="18">
        <v>42660.494097222225</v>
      </c>
      <c r="Q5434" s="7" t="s">
        <v>1567</v>
      </c>
      <c r="R5434" s="8" t="s">
        <v>25576</v>
      </c>
      <c r="S5434" s="8"/>
      <c r="T5434" s="8"/>
      <c r="U5434" s="19" t="str">
        <f>HYPERLINK("https://pbs.twimg.com/profile_images/806803003608961025/5nVSEtTa.jpg","View")</f>
        <v>View</v>
      </c>
      <c r="V5434" s="8"/>
      <c r="W5434" s="8"/>
      <c r="X5434" s="8"/>
      <c r="Y5434" s="8"/>
      <c r="Z5434" s="8"/>
    </row>
    <row r="5435" spans="1:26" ht="12.75">
      <c r="A5435" s="11">
        <v>43747.087118055555</v>
      </c>
      <c r="B5435" s="12" t="str">
        <f>HYPERLINK("https://twitter.com/rapndrugs","@rapndrugs")</f>
        <v>@rapndrugs</v>
      </c>
      <c r="C5435" s="7" t="s">
        <v>25577</v>
      </c>
      <c r="D5435" s="7" t="s">
        <v>25578</v>
      </c>
      <c r="E5435" s="12" t="str">
        <f>HYPERLINK("https://twitter.com/rapndrugs/status/1181858201303764992","1181858201303764992")</f>
        <v>1181858201303764992</v>
      </c>
      <c r="F5435" s="8"/>
      <c r="G5435" s="8"/>
      <c r="H5435" s="8"/>
      <c r="I5435" s="15">
        <v>0</v>
      </c>
      <c r="J5435" s="15">
        <v>0</v>
      </c>
      <c r="K5435" s="12" t="str">
        <f>HYPERLINK("http://twitter.com/download/android","Twitter for Android")</f>
        <v>Twitter for Android</v>
      </c>
      <c r="L5435" s="16">
        <v>13</v>
      </c>
      <c r="M5435" s="16">
        <v>41</v>
      </c>
      <c r="N5435" s="16">
        <v>0</v>
      </c>
      <c r="O5435" s="17"/>
      <c r="P5435" s="18">
        <v>43641.03261574074</v>
      </c>
      <c r="Q5435" s="7" t="s">
        <v>25579</v>
      </c>
      <c r="R5435" s="7" t="s">
        <v>25580</v>
      </c>
      <c r="S5435" s="14" t="s">
        <v>25581</v>
      </c>
      <c r="T5435" s="8"/>
      <c r="U5435" s="19" t="str">
        <f>HYPERLINK("https://pbs.twimg.com/profile_images/1144246446381772800/_vM8JFP_.jpg","View")</f>
        <v>View</v>
      </c>
      <c r="V5435" s="8"/>
      <c r="W5435" s="8"/>
      <c r="X5435" s="8"/>
      <c r="Y5435" s="8"/>
      <c r="Z5435" s="8"/>
    </row>
    <row r="5436" spans="1:26" ht="12.75">
      <c r="A5436" s="11">
        <v>43747.087118055555</v>
      </c>
      <c r="B5436" s="12" t="str">
        <f>HYPERLINK("https://twitter.com/bildirdim","@bildirdim")</f>
        <v>@bildirdim</v>
      </c>
      <c r="C5436" s="7" t="s">
        <v>25582</v>
      </c>
      <c r="D5436" s="7" t="s">
        <v>1313</v>
      </c>
      <c r="E5436" s="12" t="str">
        <f>HYPERLINK("https://twitter.com/bildirdim/status/1181858198531268608","1181858198531268608")</f>
        <v>1181858198531268608</v>
      </c>
      <c r="F5436" s="8"/>
      <c r="G5436" s="14" t="s">
        <v>25583</v>
      </c>
      <c r="H5436" s="8"/>
      <c r="I5436" s="15">
        <v>1</v>
      </c>
      <c r="J5436" s="15">
        <v>3</v>
      </c>
      <c r="K5436" s="12" t="str">
        <f>HYPERLINK("https://mobile.twitter.com","Twitter Web App")</f>
        <v>Twitter Web App</v>
      </c>
      <c r="L5436" s="16">
        <v>9137</v>
      </c>
      <c r="M5436" s="16">
        <v>41</v>
      </c>
      <c r="N5436" s="16">
        <v>10</v>
      </c>
      <c r="O5436" s="17"/>
      <c r="P5436" s="18">
        <v>41281.699143518519</v>
      </c>
      <c r="Q5436" s="7"/>
      <c r="R5436" s="7" t="s">
        <v>25584</v>
      </c>
      <c r="S5436" s="14" t="s">
        <v>25585</v>
      </c>
      <c r="T5436" s="8"/>
      <c r="U5436" s="19" t="str">
        <f>HYPERLINK("https://pbs.twimg.com/profile_images/1134545605810892805/QovGQMfh.png","View")</f>
        <v>View</v>
      </c>
      <c r="V5436" s="8"/>
      <c r="W5436" s="8"/>
      <c r="X5436" s="8"/>
      <c r="Y5436" s="8"/>
      <c r="Z5436" s="8"/>
    </row>
    <row r="5437" spans="1:26" ht="12.75">
      <c r="A5437" s="11">
        <v>43747.087083333332</v>
      </c>
      <c r="B5437" s="12" t="str">
        <f>HYPERLINK("https://twitter.com/Tgcelice","@Tgcelice")</f>
        <v>@Tgcelice</v>
      </c>
      <c r="C5437" s="7" t="s">
        <v>25586</v>
      </c>
      <c r="D5437" s="7" t="s">
        <v>25587</v>
      </c>
      <c r="E5437" s="12" t="str">
        <f>HYPERLINK("https://twitter.com/Tgcelice/status/1181858187022098434","1181858187022098434")</f>
        <v>1181858187022098434</v>
      </c>
      <c r="F5437" s="8"/>
      <c r="G5437" s="8"/>
      <c r="H5437" s="8"/>
      <c r="I5437" s="15">
        <v>0</v>
      </c>
      <c r="J5437" s="15">
        <v>1</v>
      </c>
      <c r="K5437" s="12" t="str">
        <f>HYPERLINK("http://twitter.com/download/iphone","Twitter for iPhone")</f>
        <v>Twitter for iPhone</v>
      </c>
      <c r="L5437" s="16">
        <v>350</v>
      </c>
      <c r="M5437" s="16">
        <v>620</v>
      </c>
      <c r="N5437" s="16">
        <v>0</v>
      </c>
      <c r="O5437" s="17"/>
      <c r="P5437" s="18">
        <v>43082.308425925927</v>
      </c>
      <c r="Q5437" s="7"/>
      <c r="R5437" s="7" t="s">
        <v>25588</v>
      </c>
      <c r="S5437" s="8"/>
      <c r="T5437" s="8"/>
      <c r="U5437" s="19" t="str">
        <f>HYPERLINK("https://pbs.twimg.com/profile_images/1167157983803052039/zpcLUCu9.jpg","View")</f>
        <v>View</v>
      </c>
      <c r="V5437" s="8"/>
      <c r="W5437" s="8"/>
      <c r="X5437" s="8"/>
      <c r="Y5437" s="8"/>
      <c r="Z5437" s="8"/>
    </row>
    <row r="5438" spans="1:26" ht="12.75">
      <c r="A5438" s="11">
        <v>43747.087060185186</v>
      </c>
      <c r="B5438" s="12" t="str">
        <f>HYPERLINK("https://twitter.com/Adnan10475702","@Adnan10475702")</f>
        <v>@Adnan10475702</v>
      </c>
      <c r="C5438" s="7" t="s">
        <v>2961</v>
      </c>
      <c r="D5438" s="7" t="s">
        <v>1077</v>
      </c>
      <c r="E5438" s="12" t="str">
        <f>HYPERLINK("https://twitter.com/Adnan10475702/status/1181858178419630080","1181858178419630080")</f>
        <v>1181858178419630080</v>
      </c>
      <c r="F5438" s="8"/>
      <c r="G5438" s="14" t="s">
        <v>25589</v>
      </c>
      <c r="H5438" s="8"/>
      <c r="I5438" s="15">
        <v>0</v>
      </c>
      <c r="J5438" s="15">
        <v>1</v>
      </c>
      <c r="K5438" s="12" t="str">
        <f>HYPERLINK("http://twitter.com/download/android","Twitter for Android")</f>
        <v>Twitter for Android</v>
      </c>
      <c r="L5438" s="16">
        <v>18</v>
      </c>
      <c r="M5438" s="16">
        <v>304</v>
      </c>
      <c r="N5438" s="16">
        <v>0</v>
      </c>
      <c r="O5438" s="17"/>
      <c r="P5438" s="18">
        <v>43695.965636574074</v>
      </c>
      <c r="Q5438" s="7" t="s">
        <v>120</v>
      </c>
      <c r="R5438" s="7" t="s">
        <v>25590</v>
      </c>
      <c r="S5438" s="8"/>
      <c r="T5438" s="8"/>
      <c r="U5438" s="19" t="str">
        <f>HYPERLINK("https://pbs.twimg.com/profile_images/1163773614073753600/_U4HqbKR.jpg","View")</f>
        <v>View</v>
      </c>
      <c r="V5438" s="8"/>
      <c r="W5438" s="8"/>
      <c r="X5438" s="8"/>
      <c r="Y5438" s="8"/>
      <c r="Z5438" s="8"/>
    </row>
    <row r="5439" spans="1:26" ht="12.75">
      <c r="A5439" s="11">
        <v>43747.087037037039</v>
      </c>
      <c r="B5439" s="12" t="str">
        <f>HYPERLINK("https://twitter.com/s_alatas38","@s_alatas38")</f>
        <v>@s_alatas38</v>
      </c>
      <c r="C5439" s="7" t="s">
        <v>10467</v>
      </c>
      <c r="D5439" s="7" t="s">
        <v>25591</v>
      </c>
      <c r="E5439" s="12" t="str">
        <f>HYPERLINK("https://twitter.com/s_alatas38/status/1181858172522422272","1181858172522422272")</f>
        <v>1181858172522422272</v>
      </c>
      <c r="F5439" s="8"/>
      <c r="G5439" s="8"/>
      <c r="H5439" s="8"/>
      <c r="I5439" s="15">
        <v>1</v>
      </c>
      <c r="J5439" s="15">
        <v>5</v>
      </c>
      <c r="K5439" s="12" t="str">
        <f>HYPERLINK("http://twitter.com/download/android","Twitter for Android")</f>
        <v>Twitter for Android</v>
      </c>
      <c r="L5439" s="16">
        <v>479</v>
      </c>
      <c r="M5439" s="16">
        <v>1131</v>
      </c>
      <c r="N5439" s="16">
        <v>0</v>
      </c>
      <c r="O5439" s="17"/>
      <c r="P5439" s="18">
        <v>43026.637789351851</v>
      </c>
      <c r="Q5439" s="8" t="s">
        <v>25592</v>
      </c>
      <c r="R5439" s="8" t="s">
        <v>25593</v>
      </c>
      <c r="S5439" s="8"/>
      <c r="T5439" s="8"/>
      <c r="U5439" s="19" t="str">
        <f>HYPERLINK("https://pbs.twimg.com/profile_images/1071136716914917377/aBNRwWVs.jpg","View")</f>
        <v>View</v>
      </c>
      <c r="V5439" s="8"/>
      <c r="W5439" s="8"/>
      <c r="X5439" s="8"/>
      <c r="Y5439" s="8"/>
      <c r="Z5439" s="8"/>
    </row>
    <row r="5440" spans="1:26" ht="12.75">
      <c r="A5440" s="11">
        <v>43747.087037037039</v>
      </c>
      <c r="B5440" s="12" t="str">
        <f>HYPERLINK("https://twitter.com/MineCanli2","@MineCanli2")</f>
        <v>@MineCanli2</v>
      </c>
      <c r="C5440" s="7" t="s">
        <v>25594</v>
      </c>
      <c r="D5440" s="7" t="s">
        <v>12551</v>
      </c>
      <c r="E5440" s="12" t="str">
        <f>HYPERLINK("https://twitter.com/MineCanli2/status/1181858170337185792","1181858170337185792")</f>
        <v>1181858170337185792</v>
      </c>
      <c r="F5440" s="8"/>
      <c r="G5440" s="8"/>
      <c r="H5440" s="8"/>
      <c r="I5440" s="15">
        <v>0</v>
      </c>
      <c r="J5440" s="15">
        <v>0</v>
      </c>
      <c r="K5440" s="12" t="str">
        <f>HYPERLINK("https://mobile.twitter.com","Twitter Web App")</f>
        <v>Twitter Web App</v>
      </c>
      <c r="L5440" s="16">
        <v>30</v>
      </c>
      <c r="M5440" s="16">
        <v>72</v>
      </c>
      <c r="N5440" s="16">
        <v>0</v>
      </c>
      <c r="O5440" s="17"/>
      <c r="P5440" s="18">
        <v>42934.269212962958</v>
      </c>
      <c r="Q5440" s="8" t="s">
        <v>12326</v>
      </c>
      <c r="R5440" s="8"/>
      <c r="S5440" s="15"/>
      <c r="T5440" s="8"/>
      <c r="U5440" s="19" t="str">
        <f>HYPERLINK("https://pbs.twimg.com/profile_images/1158127351038992384/A5_t3qOg.jpg","View")</f>
        <v>View</v>
      </c>
      <c r="V5440" s="8"/>
      <c r="W5440" s="8"/>
      <c r="X5440" s="8"/>
      <c r="Y5440" s="8"/>
      <c r="Z5440" s="8"/>
    </row>
    <row r="5441" spans="1:26" ht="12.75">
      <c r="A5441" s="11">
        <v>43747.087025462963</v>
      </c>
      <c r="B5441" s="12" t="str">
        <f>HYPERLINK("https://twitter.com/yakupyucar0624","@yakupyucar0624")</f>
        <v>@yakupyucar0624</v>
      </c>
      <c r="C5441" s="7" t="s">
        <v>25595</v>
      </c>
      <c r="D5441" s="7" t="s">
        <v>25596</v>
      </c>
      <c r="E5441" s="12" t="str">
        <f>HYPERLINK("https://twitter.com/yakupyucar0624/status/1181858167501799427","1181858167501799427")</f>
        <v>1181858167501799427</v>
      </c>
      <c r="F5441" s="8"/>
      <c r="G5441" s="14" t="s">
        <v>25597</v>
      </c>
      <c r="H5441" s="8"/>
      <c r="I5441" s="15">
        <v>7</v>
      </c>
      <c r="J5441" s="15">
        <v>12</v>
      </c>
      <c r="K5441" s="12" t="str">
        <f>HYPERLINK("http://twitter.com/download/android","Twitter for Android")</f>
        <v>Twitter for Android</v>
      </c>
      <c r="L5441" s="16">
        <v>430</v>
      </c>
      <c r="M5441" s="16">
        <v>350</v>
      </c>
      <c r="N5441" s="16">
        <v>1</v>
      </c>
      <c r="O5441" s="17"/>
      <c r="P5441" s="18">
        <v>40806.492604166662</v>
      </c>
      <c r="Q5441" s="7" t="s">
        <v>25598</v>
      </c>
      <c r="R5441" s="7" t="s">
        <v>25599</v>
      </c>
      <c r="S5441" s="15"/>
      <c r="T5441" s="8"/>
      <c r="U5441" s="19" t="str">
        <f>HYPERLINK("https://pbs.twimg.com/profile_images/1163145811221471233/lKzv42MM.jpg","View")</f>
        <v>View</v>
      </c>
      <c r="V5441" s="8"/>
      <c r="W5441" s="8"/>
      <c r="X5441" s="8"/>
      <c r="Y5441" s="8"/>
      <c r="Z5441" s="8"/>
    </row>
    <row r="5442" spans="1:26" ht="12.75">
      <c r="A5442" s="11">
        <v>43747.087025462963</v>
      </c>
      <c r="B5442" s="12" t="str">
        <f>HYPERLINK("https://twitter.com/miirocan","@miirocan")</f>
        <v>@miirocan</v>
      </c>
      <c r="C5442" s="7" t="s">
        <v>25600</v>
      </c>
      <c r="D5442" s="7" t="s">
        <v>25601</v>
      </c>
      <c r="E5442" s="12" t="str">
        <f>HYPERLINK("https://twitter.com/miirocan/status/1181858165870202880","1181858165870202880")</f>
        <v>1181858165870202880</v>
      </c>
      <c r="F5442" s="8"/>
      <c r="G5442" s="14" t="s">
        <v>25602</v>
      </c>
      <c r="H5442" s="8"/>
      <c r="I5442" s="15">
        <v>0</v>
      </c>
      <c r="J5442" s="15">
        <v>0</v>
      </c>
      <c r="K5442" s="12" t="str">
        <f>HYPERLINK("http://twitter.com/download/iphone","Twitter for iPhone")</f>
        <v>Twitter for iPhone</v>
      </c>
      <c r="L5442" s="16">
        <v>15</v>
      </c>
      <c r="M5442" s="16">
        <v>8</v>
      </c>
      <c r="N5442" s="16">
        <v>0</v>
      </c>
      <c r="O5442" s="17"/>
      <c r="P5442" s="18">
        <v>43613.072615740741</v>
      </c>
      <c r="Q5442" s="7"/>
      <c r="R5442" s="7" t="s">
        <v>25603</v>
      </c>
      <c r="S5442" s="8"/>
      <c r="T5442" s="8"/>
      <c r="U5442" s="19" t="str">
        <f>HYPERLINK("https://pbs.twimg.com/profile_images/1181852953709305856/EEwWFHv0.jpg","View")</f>
        <v>View</v>
      </c>
      <c r="V5442" s="8"/>
      <c r="W5442" s="8"/>
      <c r="X5442" s="8"/>
      <c r="Y5442" s="8"/>
      <c r="Z5442" s="8"/>
    </row>
    <row r="5443" spans="1:26" ht="12.75">
      <c r="A5443" s="11">
        <v>43747.087002314816</v>
      </c>
      <c r="B5443" s="12" t="str">
        <f>HYPERLINK("https://twitter.com/tugceozden","@tugceozden")</f>
        <v>@tugceozden</v>
      </c>
      <c r="C5443" s="7" t="s">
        <v>25604</v>
      </c>
      <c r="D5443" s="7" t="s">
        <v>25605</v>
      </c>
      <c r="E5443" s="12" t="str">
        <f>HYPERLINK("https://twitter.com/tugceozden/status/1181858160216293376","1181858160216293376")</f>
        <v>1181858160216293376</v>
      </c>
      <c r="F5443" s="8"/>
      <c r="G5443" s="8"/>
      <c r="H5443" s="8"/>
      <c r="I5443" s="15">
        <v>0</v>
      </c>
      <c r="J5443" s="15">
        <v>0</v>
      </c>
      <c r="K5443" s="12" t="str">
        <f>HYPERLINK("http://twitter.com/download/iphone","Twitter for iPhone")</f>
        <v>Twitter for iPhone</v>
      </c>
      <c r="L5443" s="16">
        <v>202</v>
      </c>
      <c r="M5443" s="16">
        <v>193</v>
      </c>
      <c r="N5443" s="16">
        <v>2</v>
      </c>
      <c r="O5443" s="17"/>
      <c r="P5443" s="18">
        <v>40379.416261574072</v>
      </c>
      <c r="Q5443" s="7" t="s">
        <v>200</v>
      </c>
      <c r="R5443" s="7" t="s">
        <v>25606</v>
      </c>
      <c r="S5443" s="14" t="s">
        <v>25607</v>
      </c>
      <c r="T5443" s="8"/>
      <c r="U5443" s="19" t="str">
        <f>HYPERLINK("https://pbs.twimg.com/profile_images/1178374420521508864/Ku6mGXy6.jpg","View")</f>
        <v>View</v>
      </c>
      <c r="V5443" s="8"/>
      <c r="W5443" s="8"/>
      <c r="X5443" s="8"/>
      <c r="Y5443" s="8"/>
      <c r="Z5443" s="8"/>
    </row>
    <row r="5444" spans="1:26" ht="12.75">
      <c r="A5444" s="11">
        <v>43747.087002314816</v>
      </c>
      <c r="B5444" s="12" t="str">
        <f>HYPERLINK("https://twitter.com/OrdanBurdanKNL","@OrdanBurdanKNL")</f>
        <v>@OrdanBurdanKNL</v>
      </c>
      <c r="C5444" s="7" t="s">
        <v>25608</v>
      </c>
      <c r="D5444" s="7" t="s">
        <v>25609</v>
      </c>
      <c r="E5444" s="12" t="str">
        <f>HYPERLINK("https://twitter.com/OrdanBurdanKNL/status/1181858159062917120","1181858159062917120")</f>
        <v>1181858159062917120</v>
      </c>
      <c r="F5444" s="8"/>
      <c r="G5444" s="15"/>
      <c r="H5444" s="8"/>
      <c r="I5444" s="15">
        <v>0</v>
      </c>
      <c r="J5444" s="15">
        <v>0</v>
      </c>
      <c r="K5444" s="12" t="str">
        <f>HYPERLINK("http://twitter.com/download/android","Twitter for Android")</f>
        <v>Twitter for Android</v>
      </c>
      <c r="L5444" s="16">
        <v>17</v>
      </c>
      <c r="M5444" s="16">
        <v>184</v>
      </c>
      <c r="N5444" s="16">
        <v>17</v>
      </c>
      <c r="O5444" s="17"/>
      <c r="P5444" s="18">
        <v>42633.488275462965</v>
      </c>
      <c r="Q5444" s="8" t="s">
        <v>200</v>
      </c>
      <c r="R5444" s="7" t="s">
        <v>25610</v>
      </c>
      <c r="S5444" s="8"/>
      <c r="T5444" s="8"/>
      <c r="U5444" s="19" t="str">
        <f>HYPERLINK("https://pbs.twimg.com/profile_images/784712735791652864/JLSkYqSF.jpg","View")</f>
        <v>View</v>
      </c>
      <c r="V5444" s="8"/>
      <c r="W5444" s="8"/>
      <c r="X5444" s="8"/>
      <c r="Y5444" s="8"/>
      <c r="Z5444" s="8"/>
    </row>
    <row r="5445" spans="1:26" ht="12.75">
      <c r="A5445" s="11">
        <v>43747.086979166663</v>
      </c>
      <c r="B5445" s="12" t="str">
        <f>HYPERLINK("https://twitter.com/ysfaltnsy","@ysfaltnsy")</f>
        <v>@ysfaltnsy</v>
      </c>
      <c r="C5445" s="7" t="s">
        <v>1607</v>
      </c>
      <c r="D5445" s="7" t="s">
        <v>25611</v>
      </c>
      <c r="E5445" s="12" t="str">
        <f>HYPERLINK("https://twitter.com/ysfaltnsy/status/1181858149025890304","1181858149025890304")</f>
        <v>1181858149025890304</v>
      </c>
      <c r="F5445" s="8"/>
      <c r="G5445" s="14" t="s">
        <v>25612</v>
      </c>
      <c r="H5445" s="8"/>
      <c r="I5445" s="15">
        <v>0</v>
      </c>
      <c r="J5445" s="15">
        <v>3</v>
      </c>
      <c r="K5445" s="12" t="str">
        <f>HYPERLINK("http://twitter.com/download/iphone","Twitter for iPhone")</f>
        <v>Twitter for iPhone</v>
      </c>
      <c r="L5445" s="16">
        <v>67</v>
      </c>
      <c r="M5445" s="16">
        <v>236</v>
      </c>
      <c r="N5445" s="16">
        <v>0</v>
      </c>
      <c r="O5445" s="17"/>
      <c r="P5445" s="18">
        <v>41888.424270833333</v>
      </c>
      <c r="Q5445" s="7"/>
      <c r="R5445" s="7" t="s">
        <v>25613</v>
      </c>
      <c r="S5445" s="8"/>
      <c r="T5445" s="8"/>
      <c r="U5445" s="19" t="str">
        <f>HYPERLINK("https://pbs.twimg.com/profile_images/1127353580078411777/6LjHQPnr.jpg","View")</f>
        <v>View</v>
      </c>
      <c r="V5445" s="8"/>
      <c r="W5445" s="8"/>
      <c r="X5445" s="8"/>
      <c r="Y5445" s="8"/>
      <c r="Z5445" s="8"/>
    </row>
    <row r="5446" spans="1:26" ht="12.75">
      <c r="A5446" s="11">
        <v>43747.086921296301</v>
      </c>
      <c r="B5446" s="12" t="str">
        <f>HYPERLINK("https://twitter.com/kyp_adam","@kyp_adam")</f>
        <v>@kyp_adam</v>
      </c>
      <c r="C5446" s="7" t="s">
        <v>25614</v>
      </c>
      <c r="D5446" s="7" t="s">
        <v>25615</v>
      </c>
      <c r="E5446" s="12" t="str">
        <f>HYPERLINK("https://twitter.com/kyp_adam/status/1181858129312714752","1181858129312714752")</f>
        <v>1181858129312714752</v>
      </c>
      <c r="F5446" s="8"/>
      <c r="G5446" s="14" t="s">
        <v>25616</v>
      </c>
      <c r="H5446" s="8"/>
      <c r="I5446" s="15">
        <v>0</v>
      </c>
      <c r="J5446" s="15">
        <v>0</v>
      </c>
      <c r="K5446" s="12" t="str">
        <f>HYPERLINK("http://twitter.com/download/android","Twitter for Android")</f>
        <v>Twitter for Android</v>
      </c>
      <c r="L5446" s="16">
        <v>38</v>
      </c>
      <c r="M5446" s="16">
        <v>349</v>
      </c>
      <c r="N5446" s="16">
        <v>0</v>
      </c>
      <c r="O5446" s="17"/>
      <c r="P5446" s="18">
        <v>43403.479374999995</v>
      </c>
      <c r="Q5446" s="8"/>
      <c r="R5446" s="8" t="s">
        <v>25617</v>
      </c>
      <c r="S5446" s="8"/>
      <c r="T5446" s="8"/>
      <c r="U5446" s="19" t="str">
        <f>HYPERLINK("https://pbs.twimg.com/profile_images/1165365578695139328/bIfyMPFw.jpg","View")</f>
        <v>View</v>
      </c>
      <c r="V5446" s="8"/>
      <c r="W5446" s="8"/>
      <c r="X5446" s="8"/>
      <c r="Y5446" s="8"/>
      <c r="Z5446" s="8"/>
    </row>
    <row r="5447" spans="1:26" ht="12.75">
      <c r="A5447" s="11">
        <v>43747.086898148147</v>
      </c>
      <c r="B5447" s="12" t="str">
        <f>HYPERLINK("https://twitter.com/Blackeagle611","@Blackeagle611")</f>
        <v>@Blackeagle611</v>
      </c>
      <c r="C5447" s="7" t="s">
        <v>25618</v>
      </c>
      <c r="D5447" s="7" t="s">
        <v>25619</v>
      </c>
      <c r="E5447" s="12" t="str">
        <f>HYPERLINK("https://twitter.com/Blackeagle611/status/1181858121435811840","1181858121435811840")</f>
        <v>1181858121435811840</v>
      </c>
      <c r="F5447" s="8"/>
      <c r="G5447" s="15"/>
      <c r="H5447" s="8"/>
      <c r="I5447" s="15">
        <v>0</v>
      </c>
      <c r="J5447" s="15">
        <v>0</v>
      </c>
      <c r="K5447" s="12" t="str">
        <f>HYPERLINK("http://twitter.com/download/android","Twitter for Android")</f>
        <v>Twitter for Android</v>
      </c>
      <c r="L5447" s="16">
        <v>82</v>
      </c>
      <c r="M5447" s="16">
        <v>234</v>
      </c>
      <c r="N5447" s="16">
        <v>0</v>
      </c>
      <c r="O5447" s="17"/>
      <c r="P5447" s="18">
        <v>43554.97456018519</v>
      </c>
      <c r="Q5447" s="8" t="s">
        <v>313</v>
      </c>
      <c r="R5447" s="7" t="s">
        <v>25620</v>
      </c>
      <c r="S5447" s="8"/>
      <c r="T5447" s="8"/>
      <c r="U5447" s="19" t="str">
        <f>HYPERLINK("https://pbs.twimg.com/profile_images/1172515753570033674/S8SF3Qmd.jpg","View")</f>
        <v>View</v>
      </c>
      <c r="V5447" s="8"/>
      <c r="W5447" s="8"/>
      <c r="X5447" s="8"/>
      <c r="Y5447" s="8"/>
      <c r="Z5447" s="8"/>
    </row>
    <row r="5448" spans="1:26" ht="12.75">
      <c r="A5448" s="11">
        <v>43747.086898148147</v>
      </c>
      <c r="B5448" s="12" t="str">
        <f>HYPERLINK("https://twitter.com/arsipel_35","@arsipel_35")</f>
        <v>@arsipel_35</v>
      </c>
      <c r="C5448" s="7" t="s">
        <v>25621</v>
      </c>
      <c r="D5448" s="7" t="s">
        <v>25622</v>
      </c>
      <c r="E5448" s="12" t="str">
        <f>HYPERLINK("https://twitter.com/arsipel_35/status/1181858120143949826","1181858120143949826")</f>
        <v>1181858120143949826</v>
      </c>
      <c r="F5448" s="14" t="s">
        <v>20722</v>
      </c>
      <c r="G5448" s="14" t="s">
        <v>20723</v>
      </c>
      <c r="H5448" s="8"/>
      <c r="I5448" s="15">
        <v>1</v>
      </c>
      <c r="J5448" s="15">
        <v>4</v>
      </c>
      <c r="K5448" s="12" t="str">
        <f>HYPERLINK("http://twitter.com/download/android","Twitter for Android")</f>
        <v>Twitter for Android</v>
      </c>
      <c r="L5448" s="16">
        <v>109</v>
      </c>
      <c r="M5448" s="16">
        <v>1338</v>
      </c>
      <c r="N5448" s="16">
        <v>0</v>
      </c>
      <c r="O5448" s="17"/>
      <c r="P5448" s="18">
        <v>40028.551932870367</v>
      </c>
      <c r="Q5448" s="8"/>
      <c r="R5448" s="8" t="s">
        <v>25623</v>
      </c>
      <c r="S5448" s="8"/>
      <c r="T5448" s="8"/>
      <c r="U5448" s="19" t="str">
        <f>HYPERLINK("https://pbs.twimg.com/profile_images/1034644311080685568/SfTlMi1y.jpg","View")</f>
        <v>View</v>
      </c>
      <c r="V5448" s="8"/>
      <c r="W5448" s="8"/>
      <c r="X5448" s="8"/>
      <c r="Y5448" s="8"/>
      <c r="Z5448" s="8"/>
    </row>
    <row r="5449" spans="1:26" ht="12.75">
      <c r="A5449" s="11">
        <v>43747.086863425924</v>
      </c>
      <c r="B5449" s="12" t="str">
        <f>HYPERLINK("https://twitter.com/Mehmetcik2861","@Mehmetcik2861")</f>
        <v>@Mehmetcik2861</v>
      </c>
      <c r="C5449" s="7" t="s">
        <v>25624</v>
      </c>
      <c r="D5449" s="7" t="s">
        <v>25625</v>
      </c>
      <c r="E5449" s="12" t="str">
        <f>HYPERLINK("https://twitter.com/Mehmetcik2861/status/1181858108576010246","1181858108576010246")</f>
        <v>1181858108576010246</v>
      </c>
      <c r="F5449" s="8"/>
      <c r="G5449" s="14" t="s">
        <v>25626</v>
      </c>
      <c r="H5449" s="8"/>
      <c r="I5449" s="15">
        <v>0</v>
      </c>
      <c r="J5449" s="15">
        <v>0</v>
      </c>
      <c r="K5449" s="12" t="str">
        <f>HYPERLINK("http://twitter.com/download/android","Twitter for Android")</f>
        <v>Twitter for Android</v>
      </c>
      <c r="L5449" s="16">
        <v>535</v>
      </c>
      <c r="M5449" s="16">
        <v>577</v>
      </c>
      <c r="N5449" s="16">
        <v>3</v>
      </c>
      <c r="O5449" s="17"/>
      <c r="P5449" s="18">
        <v>40646.669583333336</v>
      </c>
      <c r="Q5449" s="7" t="s">
        <v>25627</v>
      </c>
      <c r="R5449" s="7" t="s">
        <v>25628</v>
      </c>
      <c r="S5449" s="8"/>
      <c r="T5449" s="8"/>
      <c r="U5449" s="19" t="str">
        <f>HYPERLINK("https://pbs.twimg.com/profile_images/1168116664468168704/yHHUz-pL.jpg","View")</f>
        <v>View</v>
      </c>
      <c r="V5449" s="8"/>
      <c r="W5449" s="8"/>
      <c r="X5449" s="8"/>
      <c r="Y5449" s="8"/>
      <c r="Z5449" s="8"/>
    </row>
    <row r="5450" spans="1:26" ht="12.75">
      <c r="A5450" s="11">
        <v>43747.086863425924</v>
      </c>
      <c r="B5450" s="12" t="str">
        <f>HYPERLINK("https://twitter.com/CAPSLOCK_ON","@CAPSLOCK_ON")</f>
        <v>@CAPSLOCK_ON</v>
      </c>
      <c r="C5450" s="7" t="s">
        <v>25629</v>
      </c>
      <c r="D5450" s="7" t="s">
        <v>25630</v>
      </c>
      <c r="E5450" s="12" t="str">
        <f>HYPERLINK("https://twitter.com/CAPSLOCK_ON/status/1181858106264969216","1181858106264969216")</f>
        <v>1181858106264969216</v>
      </c>
      <c r="F5450" s="8"/>
      <c r="G5450" s="14" t="s">
        <v>25631</v>
      </c>
      <c r="H5450" s="8"/>
      <c r="I5450" s="15">
        <v>0</v>
      </c>
      <c r="J5450" s="15">
        <v>1</v>
      </c>
      <c r="K5450" s="12" t="str">
        <f>HYPERLINK("https://www.hootsuite.com","Hootsuite Inc.")</f>
        <v>Hootsuite Inc.</v>
      </c>
      <c r="L5450" s="16">
        <v>330</v>
      </c>
      <c r="M5450" s="16">
        <v>211</v>
      </c>
      <c r="N5450" s="16">
        <v>0</v>
      </c>
      <c r="O5450" s="17"/>
      <c r="P5450" s="18">
        <v>40991.63927083333</v>
      </c>
      <c r="Q5450" s="8"/>
      <c r="R5450" s="7"/>
      <c r="S5450" s="8"/>
      <c r="T5450" s="8"/>
      <c r="U5450" s="19" t="str">
        <f>HYPERLINK("https://pbs.twimg.com/profile_images/1140892191847526400/ky9mXbXZ.jpg","View")</f>
        <v>View</v>
      </c>
      <c r="V5450" s="8"/>
      <c r="W5450" s="8"/>
      <c r="X5450" s="8"/>
      <c r="Y5450" s="8"/>
      <c r="Z5450" s="8"/>
    </row>
    <row r="5451" spans="1:26" ht="12.75">
      <c r="A5451" s="11">
        <v>43747.086851851855</v>
      </c>
      <c r="B5451" s="12" t="str">
        <f>HYPERLINK("https://twitter.com/ENTORNOi","@ENTORNOi")</f>
        <v>@ENTORNOi</v>
      </c>
      <c r="C5451" s="7" t="s">
        <v>25632</v>
      </c>
      <c r="D5451" s="7" t="s">
        <v>25633</v>
      </c>
      <c r="E5451" s="12" t="str">
        <f>HYPERLINK("https://twitter.com/ENTORNOi/status/1181858105656631296","1181858105656631296")</f>
        <v>1181858105656631296</v>
      </c>
      <c r="F5451" s="14" t="s">
        <v>25634</v>
      </c>
      <c r="G5451" s="14" t="s">
        <v>25635</v>
      </c>
      <c r="H5451" s="8"/>
      <c r="I5451" s="15">
        <v>0</v>
      </c>
      <c r="J5451" s="15">
        <v>0</v>
      </c>
      <c r="K5451" s="12" t="str">
        <f>HYPERLINK("http://www.entornointeligente.com","Entornoi")</f>
        <v>Entornoi</v>
      </c>
      <c r="L5451" s="16">
        <v>131712</v>
      </c>
      <c r="M5451" s="16">
        <v>41948</v>
      </c>
      <c r="N5451" s="16">
        <v>1262</v>
      </c>
      <c r="O5451" s="17"/>
      <c r="P5451" s="18">
        <v>39993.708645833336</v>
      </c>
      <c r="Q5451" s="8" t="s">
        <v>25636</v>
      </c>
      <c r="R5451" s="7" t="s">
        <v>25637</v>
      </c>
      <c r="S5451" s="14" t="s">
        <v>25638</v>
      </c>
      <c r="T5451" s="8"/>
      <c r="U5451" s="19" t="str">
        <f>HYPERLINK("https://pbs.twimg.com/profile_images/378800000572518035/83ae37ca851b262228997e87ebfcf97c.png","View")</f>
        <v>View</v>
      </c>
      <c r="V5451" s="8"/>
      <c r="W5451" s="8"/>
      <c r="X5451" s="8"/>
      <c r="Y5451" s="8"/>
      <c r="Z5451" s="8"/>
    </row>
    <row r="5452" spans="1:26" ht="12.75">
      <c r="A5452" s="11">
        <v>43747.086851851855</v>
      </c>
      <c r="B5452" s="12" t="str">
        <f>HYPERLINK("https://twitter.com/zvitaminiii","@zvitaminiii")</f>
        <v>@zvitaminiii</v>
      </c>
      <c r="C5452" s="7" t="s">
        <v>25639</v>
      </c>
      <c r="D5452" s="7" t="s">
        <v>25640</v>
      </c>
      <c r="E5452" s="12" t="str">
        <f>HYPERLINK("https://twitter.com/zvitaminiii/status/1181858101991034880","1181858101991034880")</f>
        <v>1181858101991034880</v>
      </c>
      <c r="F5452" s="8"/>
      <c r="G5452" s="15"/>
      <c r="H5452" s="8"/>
      <c r="I5452" s="15">
        <v>0</v>
      </c>
      <c r="J5452" s="15">
        <v>0</v>
      </c>
      <c r="K5452" s="12" t="str">
        <f>HYPERLINK("http://twitter.com/download/android","Twitter for Android")</f>
        <v>Twitter for Android</v>
      </c>
      <c r="L5452" s="16">
        <v>41</v>
      </c>
      <c r="M5452" s="16">
        <v>102</v>
      </c>
      <c r="N5452" s="16">
        <v>0</v>
      </c>
      <c r="O5452" s="17"/>
      <c r="P5452" s="18">
        <v>42846.314513888894</v>
      </c>
      <c r="Q5452" s="7" t="s">
        <v>313</v>
      </c>
      <c r="R5452" s="7" t="s">
        <v>25641</v>
      </c>
      <c r="S5452" s="14" t="s">
        <v>25642</v>
      </c>
      <c r="T5452" s="8"/>
      <c r="U5452" s="19" t="str">
        <f>HYPERLINK("https://pbs.twimg.com/profile_images/1160356489485332480/5JbZL544.jpg","View")</f>
        <v>View</v>
      </c>
      <c r="V5452" s="8"/>
      <c r="W5452" s="8"/>
      <c r="X5452" s="8"/>
      <c r="Y5452" s="8"/>
      <c r="Z5452" s="8"/>
    </row>
    <row r="5453" spans="1:26" ht="12.75">
      <c r="A5453" s="11">
        <v>43747.086817129632</v>
      </c>
      <c r="B5453" s="12" t="str">
        <f>HYPERLINK("https://twitter.com/AhmetYellow18","@AhmetYellow18")</f>
        <v>@AhmetYellow18</v>
      </c>
      <c r="C5453" s="7" t="s">
        <v>25643</v>
      </c>
      <c r="D5453" s="7" t="s">
        <v>160</v>
      </c>
      <c r="E5453" s="12" t="str">
        <f>HYPERLINK("https://twitter.com/AhmetYellow18/status/1181858089521287168","1181858089521287168")</f>
        <v>1181858089521287168</v>
      </c>
      <c r="F5453" s="8"/>
      <c r="G5453" s="14" t="s">
        <v>25644</v>
      </c>
      <c r="H5453" s="8"/>
      <c r="I5453" s="15">
        <v>1</v>
      </c>
      <c r="J5453" s="15">
        <v>7</v>
      </c>
      <c r="K5453" s="12" t="str">
        <f>HYPERLINK("http://twitter.com/download/iphone","Twitter for iPhone")</f>
        <v>Twitter for iPhone</v>
      </c>
      <c r="L5453" s="16">
        <v>8</v>
      </c>
      <c r="M5453" s="16">
        <v>24</v>
      </c>
      <c r="N5453" s="16">
        <v>0</v>
      </c>
      <c r="O5453" s="17"/>
      <c r="P5453" s="18">
        <v>41844.427361111113</v>
      </c>
      <c r="Q5453" s="8" t="s">
        <v>25645</v>
      </c>
      <c r="R5453" s="7"/>
      <c r="S5453" s="8"/>
      <c r="T5453" s="8"/>
      <c r="U5453" s="19" t="str">
        <f>HYPERLINK("https://pbs.twimg.com/profile_images/1153241322591019008/jpO-eiI-.jpg","View")</f>
        <v>View</v>
      </c>
      <c r="V5453" s="8"/>
      <c r="W5453" s="8"/>
      <c r="X5453" s="8"/>
      <c r="Y5453" s="8"/>
      <c r="Z5453" s="8"/>
    </row>
    <row r="5454" spans="1:26" ht="12.75">
      <c r="A5454" s="11">
        <v>43747.086805555555</v>
      </c>
      <c r="B5454" s="12" t="str">
        <f>HYPERLINK("https://twitter.com/mrtmckmk","@mrtmckmk")</f>
        <v>@mrtmckmk</v>
      </c>
      <c r="C5454" s="7" t="s">
        <v>10288</v>
      </c>
      <c r="D5454" s="7" t="s">
        <v>25646</v>
      </c>
      <c r="E5454" s="12" t="str">
        <f>HYPERLINK("https://twitter.com/mrtmckmk/status/1181858085490630657","1181858085490630657")</f>
        <v>1181858085490630657</v>
      </c>
      <c r="F5454" s="14" t="s">
        <v>25647</v>
      </c>
      <c r="G5454" s="14" t="s">
        <v>25648</v>
      </c>
      <c r="H5454" s="8"/>
      <c r="I5454" s="15">
        <v>0</v>
      </c>
      <c r="J5454" s="15">
        <v>1</v>
      </c>
      <c r="K5454" s="12" t="str">
        <f>HYPERLINK("http://twitter.com/download/android","Twitter for Android")</f>
        <v>Twitter for Android</v>
      </c>
      <c r="L5454" s="16">
        <v>13</v>
      </c>
      <c r="M5454" s="16">
        <v>107</v>
      </c>
      <c r="N5454" s="16">
        <v>0</v>
      </c>
      <c r="O5454" s="17"/>
      <c r="P5454" s="18">
        <v>43450.402592592596</v>
      </c>
      <c r="Q5454" s="7"/>
      <c r="R5454" s="8" t="s">
        <v>25649</v>
      </c>
      <c r="S5454" s="15"/>
      <c r="T5454" s="8"/>
      <c r="U5454" s="20" t="s">
        <v>354</v>
      </c>
      <c r="V5454" s="8"/>
      <c r="W5454" s="8"/>
      <c r="X5454" s="8"/>
      <c r="Y5454" s="8"/>
      <c r="Z5454" s="8"/>
    </row>
    <row r="5455" spans="1:26" ht="12.75">
      <c r="A5455" s="11">
        <v>43747.086782407408</v>
      </c>
      <c r="B5455" s="12" t="str">
        <f>HYPERLINK("https://twitter.com/kader_69","@kader_69")</f>
        <v>@kader_69</v>
      </c>
      <c r="C5455" s="7" t="s">
        <v>25650</v>
      </c>
      <c r="D5455" s="7" t="s">
        <v>25651</v>
      </c>
      <c r="E5455" s="12" t="str">
        <f>HYPERLINK("https://twitter.com/kader_69/status/1181858079681462273","1181858079681462273")</f>
        <v>1181858079681462273</v>
      </c>
      <c r="F5455" s="8"/>
      <c r="G5455" s="8"/>
      <c r="H5455" s="8"/>
      <c r="I5455" s="15">
        <v>0</v>
      </c>
      <c r="J5455" s="15">
        <v>1</v>
      </c>
      <c r="K5455" s="12" t="str">
        <f>HYPERLINK("http://twitter.com/download/iphone","Twitter for iPhone")</f>
        <v>Twitter for iPhone</v>
      </c>
      <c r="L5455" s="16">
        <v>1165</v>
      </c>
      <c r="M5455" s="16">
        <v>928</v>
      </c>
      <c r="N5455" s="16">
        <v>5</v>
      </c>
      <c r="O5455" s="17"/>
      <c r="P5455" s="18">
        <v>40549.774629629632</v>
      </c>
      <c r="Q5455" s="8" t="s">
        <v>25652</v>
      </c>
      <c r="R5455" s="7" t="s">
        <v>25653</v>
      </c>
      <c r="S5455" s="8"/>
      <c r="T5455" s="8"/>
      <c r="U5455" s="19" t="str">
        <f>HYPERLINK("https://pbs.twimg.com/profile_images/642360967326760960/nYqYv6oR.jpg","View")</f>
        <v>View</v>
      </c>
      <c r="V5455" s="8"/>
      <c r="W5455" s="8"/>
      <c r="X5455" s="8"/>
      <c r="Y5455" s="8"/>
      <c r="Z5455" s="8"/>
    </row>
    <row r="5456" spans="1:26" ht="12.75">
      <c r="A5456" s="11">
        <v>43747.086770833332</v>
      </c>
      <c r="B5456" s="12" t="str">
        <f>HYPERLINK("https://twitter.com/mami_turk","@mami_turk")</f>
        <v>@mami_turk</v>
      </c>
      <c r="C5456" s="7" t="s">
        <v>25654</v>
      </c>
      <c r="D5456" s="7" t="s">
        <v>25655</v>
      </c>
      <c r="E5456" s="12" t="str">
        <f>HYPERLINK("https://twitter.com/mami_turk/status/1181858074849677312","1181858074849677312")</f>
        <v>1181858074849677312</v>
      </c>
      <c r="F5456" s="8"/>
      <c r="G5456" s="14" t="s">
        <v>25656</v>
      </c>
      <c r="H5456" s="8"/>
      <c r="I5456" s="15">
        <v>0</v>
      </c>
      <c r="J5456" s="15">
        <v>2</v>
      </c>
      <c r="K5456" s="12" t="str">
        <f>HYPERLINK("http://twitter.com/download/android","Twitter for Android")</f>
        <v>Twitter for Android</v>
      </c>
      <c r="L5456" s="16">
        <v>87</v>
      </c>
      <c r="M5456" s="16">
        <v>53</v>
      </c>
      <c r="N5456" s="16">
        <v>0</v>
      </c>
      <c r="O5456" s="17"/>
      <c r="P5456" s="18">
        <v>41443.096828703703</v>
      </c>
      <c r="Q5456" s="8" t="s">
        <v>12687</v>
      </c>
      <c r="R5456" s="8"/>
      <c r="S5456" s="8"/>
      <c r="T5456" s="8"/>
      <c r="U5456" s="19" t="str">
        <f>HYPERLINK("https://pbs.twimg.com/profile_images/1013201533746536455/EfEbK_KY.jpg","View")</f>
        <v>View</v>
      </c>
      <c r="V5456" s="8"/>
      <c r="W5456" s="8"/>
      <c r="X5456" s="8"/>
      <c r="Y5456" s="8"/>
      <c r="Z5456" s="8"/>
    </row>
    <row r="5457" spans="1:26" ht="12.75">
      <c r="A5457" s="11">
        <v>43747.086770833332</v>
      </c>
      <c r="B5457" s="12" t="str">
        <f>HYPERLINK("https://twitter.com/ayl_yildiz","@ayl_yildiz")</f>
        <v>@ayl_yildiz</v>
      </c>
      <c r="C5457" s="7" t="s">
        <v>25657</v>
      </c>
      <c r="D5457" s="7" t="s">
        <v>25658</v>
      </c>
      <c r="E5457" s="12" t="str">
        <f>HYPERLINK("https://twitter.com/ayl_yildiz/status/1181858074228867072","1181858074228867072")</f>
        <v>1181858074228867072</v>
      </c>
      <c r="F5457" s="8"/>
      <c r="G5457" s="14" t="s">
        <v>25659</v>
      </c>
      <c r="H5457" s="8"/>
      <c r="I5457" s="15">
        <v>0</v>
      </c>
      <c r="J5457" s="15">
        <v>0</v>
      </c>
      <c r="K5457" s="12" t="str">
        <f>HYPERLINK("http://twitter.com/download/android","Twitter for Android")</f>
        <v>Twitter for Android</v>
      </c>
      <c r="L5457" s="16">
        <v>10</v>
      </c>
      <c r="M5457" s="16">
        <v>86</v>
      </c>
      <c r="N5457" s="16">
        <v>0</v>
      </c>
      <c r="O5457" s="17"/>
      <c r="P5457" s="18">
        <v>42988.310474537036</v>
      </c>
      <c r="Q5457" s="7"/>
      <c r="R5457" s="7" t="s">
        <v>25660</v>
      </c>
      <c r="S5457" s="8"/>
      <c r="T5457" s="8"/>
      <c r="U5457" s="19" t="str">
        <f>HYPERLINK("https://pbs.twimg.com/profile_images/1144576627101327361/roexzf7a.jpg","View")</f>
        <v>View</v>
      </c>
      <c r="V5457" s="8"/>
      <c r="W5457" s="8"/>
      <c r="X5457" s="8"/>
      <c r="Y5457" s="8"/>
      <c r="Z5457" s="8"/>
    </row>
    <row r="5458" spans="1:26" ht="12.75">
      <c r="A5458" s="11">
        <v>43747.086678240739</v>
      </c>
      <c r="B5458" s="12" t="str">
        <f>HYPERLINK("https://twitter.com/Hasan__Ari","@Hasan__Ari")</f>
        <v>@Hasan__Ari</v>
      </c>
      <c r="C5458" s="7" t="s">
        <v>25661</v>
      </c>
      <c r="D5458" s="7" t="s">
        <v>25662</v>
      </c>
      <c r="E5458" s="12" t="str">
        <f>HYPERLINK("https://twitter.com/Hasan__Ari/status/1181858039701413889","1181858039701413889")</f>
        <v>1181858039701413889</v>
      </c>
      <c r="F5458" s="8"/>
      <c r="G5458" s="14" t="s">
        <v>25663</v>
      </c>
      <c r="H5458" s="8"/>
      <c r="I5458" s="15">
        <v>0</v>
      </c>
      <c r="J5458" s="15">
        <v>0</v>
      </c>
      <c r="K5458" s="12" t="str">
        <f>HYPERLINK("http://twitter.com/download/android","Twitter for Android")</f>
        <v>Twitter for Android</v>
      </c>
      <c r="L5458" s="16">
        <v>122</v>
      </c>
      <c r="M5458" s="16">
        <v>80</v>
      </c>
      <c r="N5458" s="16">
        <v>0</v>
      </c>
      <c r="O5458" s="17"/>
      <c r="P5458" s="18">
        <v>43263.666585648149</v>
      </c>
      <c r="Q5458" s="8"/>
      <c r="R5458" s="7" t="s">
        <v>25664</v>
      </c>
      <c r="S5458" s="8"/>
      <c r="T5458" s="8"/>
      <c r="U5458" s="19" t="str">
        <f>HYPERLINK("https://pbs.twimg.com/profile_images/1013426221236080641/fcUHU3mQ.jpg","View")</f>
        <v>View</v>
      </c>
      <c r="V5458" s="8"/>
      <c r="W5458" s="8"/>
      <c r="X5458" s="8"/>
      <c r="Y5458" s="8"/>
      <c r="Z5458" s="8"/>
    </row>
    <row r="5459" spans="1:26" ht="12.75">
      <c r="A5459" s="11">
        <v>43747.08666666667</v>
      </c>
      <c r="B5459" s="12" t="str">
        <f>HYPERLINK("https://twitter.com/NurullahCaptan","@NurullahCaptan")</f>
        <v>@NurullahCaptan</v>
      </c>
      <c r="C5459" s="7" t="s">
        <v>25665</v>
      </c>
      <c r="D5459" s="7" t="s">
        <v>25666</v>
      </c>
      <c r="E5459" s="12" t="str">
        <f>HYPERLINK("https://twitter.com/NurullahCaptan/status/1181858034764648448","1181858034764648448")</f>
        <v>1181858034764648448</v>
      </c>
      <c r="F5459" s="8"/>
      <c r="G5459" s="8"/>
      <c r="H5459" s="8"/>
      <c r="I5459" s="15">
        <v>0</v>
      </c>
      <c r="J5459" s="15">
        <v>0</v>
      </c>
      <c r="K5459" s="12" t="str">
        <f>HYPERLINK("http://twitter.com/download/android","Twitter for Android")</f>
        <v>Twitter for Android</v>
      </c>
      <c r="L5459" s="16">
        <v>17</v>
      </c>
      <c r="M5459" s="16">
        <v>93</v>
      </c>
      <c r="N5459" s="16">
        <v>0</v>
      </c>
      <c r="O5459" s="17"/>
      <c r="P5459" s="18">
        <v>42045.349907407406</v>
      </c>
      <c r="Q5459" s="8"/>
      <c r="R5459" s="7"/>
      <c r="S5459" s="8"/>
      <c r="T5459" s="8"/>
      <c r="U5459" s="19" t="str">
        <f>HYPERLINK("https://pbs.twimg.com/profile_images/1085911060798816263/uXK3uUut.jpg","View")</f>
        <v>View</v>
      </c>
      <c r="V5459" s="8"/>
      <c r="W5459" s="8"/>
      <c r="X5459" s="8"/>
      <c r="Y5459" s="8"/>
      <c r="Z5459" s="8"/>
    </row>
    <row r="5460" spans="1:26" ht="12.75">
      <c r="A5460" s="11">
        <v>43747.086631944447</v>
      </c>
      <c r="B5460" s="12" t="str">
        <f>HYPERLINK("https://twitter.com/mhmmt1907","@mhmmt1907")</f>
        <v>@mhmmt1907</v>
      </c>
      <c r="C5460" s="7" t="s">
        <v>25667</v>
      </c>
      <c r="D5460" s="7" t="s">
        <v>25668</v>
      </c>
      <c r="E5460" s="12" t="str">
        <f>HYPERLINK("https://twitter.com/mhmmt1907/status/1181858026338291712","1181858026338291712")</f>
        <v>1181858026338291712</v>
      </c>
      <c r="F5460" s="8"/>
      <c r="G5460" s="15"/>
      <c r="H5460" s="8"/>
      <c r="I5460" s="15">
        <v>0</v>
      </c>
      <c r="J5460" s="15">
        <v>2</v>
      </c>
      <c r="K5460" s="12" t="str">
        <f>HYPERLINK("http://twitter.com/download/android","Twitter for Android")</f>
        <v>Twitter for Android</v>
      </c>
      <c r="L5460" s="16">
        <v>122</v>
      </c>
      <c r="M5460" s="16">
        <v>218</v>
      </c>
      <c r="N5460" s="16">
        <v>1</v>
      </c>
      <c r="O5460" s="17"/>
      <c r="P5460" s="18">
        <v>40663.578287037039</v>
      </c>
      <c r="Q5460" s="8" t="s">
        <v>313</v>
      </c>
      <c r="R5460" s="21" t="s">
        <v>25669</v>
      </c>
      <c r="S5460" s="8"/>
      <c r="T5460" s="8"/>
      <c r="U5460" s="19" t="str">
        <f>HYPERLINK("https://pbs.twimg.com/profile_images/1180005913924685826/38IpeBb6.jpg","View")</f>
        <v>View</v>
      </c>
      <c r="V5460" s="8"/>
      <c r="W5460" s="8"/>
      <c r="X5460" s="8"/>
      <c r="Y5460" s="8"/>
      <c r="Z5460" s="8"/>
    </row>
    <row r="5461" spans="1:26" ht="12.75">
      <c r="A5461" s="11">
        <v>43747.086608796293</v>
      </c>
      <c r="B5461" s="12" t="str">
        <f>HYPERLINK("https://twitter.com/slymncmlca","@slymncmlca")</f>
        <v>@slymncmlca</v>
      </c>
      <c r="C5461" s="7" t="s">
        <v>25670</v>
      </c>
      <c r="D5461" s="7" t="s">
        <v>160</v>
      </c>
      <c r="E5461" s="12" t="str">
        <f>HYPERLINK("https://twitter.com/slymncmlca/status/1181858015202484225","1181858015202484225")</f>
        <v>1181858015202484225</v>
      </c>
      <c r="F5461" s="8"/>
      <c r="G5461" s="14" t="s">
        <v>25671</v>
      </c>
      <c r="H5461" s="8"/>
      <c r="I5461" s="15">
        <v>0</v>
      </c>
      <c r="J5461" s="15">
        <v>0</v>
      </c>
      <c r="K5461" s="12" t="str">
        <f>HYPERLINK("http://twitter.com/download/android","Twitter for Android")</f>
        <v>Twitter for Android</v>
      </c>
      <c r="L5461" s="16">
        <v>91</v>
      </c>
      <c r="M5461" s="16">
        <v>107</v>
      </c>
      <c r="N5461" s="16">
        <v>0</v>
      </c>
      <c r="O5461" s="17"/>
      <c r="P5461" s="18">
        <v>42656.458321759259</v>
      </c>
      <c r="Q5461" s="8" t="s">
        <v>5418</v>
      </c>
      <c r="R5461" s="7" t="s">
        <v>25672</v>
      </c>
      <c r="S5461" s="8"/>
      <c r="T5461" s="8"/>
      <c r="U5461" s="19" t="str">
        <f>HYPERLINK("https://pbs.twimg.com/profile_images/1181862739406413824/vwvHpFPA.jpg","View")</f>
        <v>View</v>
      </c>
      <c r="V5461" s="8"/>
      <c r="W5461" s="8"/>
      <c r="X5461" s="8"/>
      <c r="Y5461" s="8"/>
      <c r="Z5461" s="8"/>
    </row>
    <row r="5462" spans="1:26" ht="12.75">
      <c r="A5462" s="11">
        <v>43747.08657407407</v>
      </c>
      <c r="B5462" s="12" t="str">
        <f>HYPERLINK("https://twitter.com/omerfarukcakirr","@omerfarukcakirr")</f>
        <v>@omerfarukcakirr</v>
      </c>
      <c r="C5462" s="7" t="s">
        <v>25673</v>
      </c>
      <c r="D5462" s="7" t="s">
        <v>25674</v>
      </c>
      <c r="E5462" s="12" t="str">
        <f>HYPERLINK("https://twitter.com/omerfarukcakirr/status/1181858005031292928","1181858005031292928")</f>
        <v>1181858005031292928</v>
      </c>
      <c r="F5462" s="8"/>
      <c r="G5462" s="15"/>
      <c r="H5462" s="8"/>
      <c r="I5462" s="15">
        <v>0</v>
      </c>
      <c r="J5462" s="15">
        <v>0</v>
      </c>
      <c r="K5462" s="12" t="str">
        <f>HYPERLINK("http://twitter.com/download/iphone","Twitter for iPhone")</f>
        <v>Twitter for iPhone</v>
      </c>
      <c r="L5462" s="16">
        <v>16</v>
      </c>
      <c r="M5462" s="16">
        <v>22</v>
      </c>
      <c r="N5462" s="16">
        <v>0</v>
      </c>
      <c r="O5462" s="17"/>
      <c r="P5462" s="18">
        <v>43556.117696759262</v>
      </c>
      <c r="Q5462" s="7" t="s">
        <v>313</v>
      </c>
      <c r="R5462" s="7" t="s">
        <v>25675</v>
      </c>
      <c r="S5462" s="8"/>
      <c r="T5462" s="8"/>
      <c r="U5462" s="19" t="str">
        <f>HYPERLINK("https://pbs.twimg.com/profile_images/1138096875461074945/ChClW1dW.jpg","View")</f>
        <v>View</v>
      </c>
      <c r="V5462" s="8"/>
      <c r="W5462" s="8"/>
      <c r="X5462" s="8"/>
      <c r="Y5462" s="8"/>
      <c r="Z5462" s="8"/>
    </row>
    <row r="5463" spans="1:26" ht="12.75">
      <c r="A5463" s="11">
        <v>43747.086504629631</v>
      </c>
      <c r="B5463" s="12" t="str">
        <f>HYPERLINK("https://twitter.com/SeyyarTeyyare","@SeyyarTeyyare")</f>
        <v>@SeyyarTeyyare</v>
      </c>
      <c r="C5463" s="7" t="s">
        <v>25676</v>
      </c>
      <c r="D5463" s="7" t="s">
        <v>25677</v>
      </c>
      <c r="E5463" s="12" t="str">
        <f>HYPERLINK("https://twitter.com/SeyyarTeyyare/status/1181857978481364992","1181857978481364992")</f>
        <v>1181857978481364992</v>
      </c>
      <c r="F5463" s="8"/>
      <c r="G5463" s="8"/>
      <c r="H5463" s="8"/>
      <c r="I5463" s="15">
        <v>0</v>
      </c>
      <c r="J5463" s="15">
        <v>0</v>
      </c>
      <c r="K5463" s="12" t="str">
        <f>HYPERLINK("http://twitter.com/download/android","Twitter for Android")</f>
        <v>Twitter for Android</v>
      </c>
      <c r="L5463" s="16">
        <v>28917</v>
      </c>
      <c r="M5463" s="16">
        <v>29563</v>
      </c>
      <c r="N5463" s="16">
        <v>20</v>
      </c>
      <c r="O5463" s="17"/>
      <c r="P5463" s="18">
        <v>41621.174513888887</v>
      </c>
      <c r="Q5463" s="7"/>
      <c r="R5463" s="7" t="s">
        <v>25678</v>
      </c>
      <c r="S5463" s="8"/>
      <c r="T5463" s="8"/>
      <c r="U5463" s="19" t="str">
        <f>HYPERLINK("https://pbs.twimg.com/profile_images/955225257660571648/98bmyY-Y.jpg","View")</f>
        <v>View</v>
      </c>
      <c r="V5463" s="8"/>
      <c r="W5463" s="8"/>
      <c r="X5463" s="8"/>
      <c r="Y5463" s="8"/>
      <c r="Z5463" s="8"/>
    </row>
    <row r="5464" spans="1:26" ht="12.75">
      <c r="A5464" s="11">
        <v>43747.086423611108</v>
      </c>
      <c r="B5464" s="12" t="str">
        <f>HYPERLINK("https://twitter.com/mimarella88","@mimarella88")</f>
        <v>@mimarella88</v>
      </c>
      <c r="C5464" s="7" t="s">
        <v>25679</v>
      </c>
      <c r="D5464" s="7" t="s">
        <v>25680</v>
      </c>
      <c r="E5464" s="12" t="str">
        <f>HYPERLINK("https://twitter.com/mimarella88/status/1181857947619643392","1181857947619643392")</f>
        <v>1181857947619643392</v>
      </c>
      <c r="F5464" s="14" t="s">
        <v>25681</v>
      </c>
      <c r="G5464" s="14" t="s">
        <v>25682</v>
      </c>
      <c r="H5464" s="8"/>
      <c r="I5464" s="15">
        <v>0</v>
      </c>
      <c r="J5464" s="15">
        <v>1</v>
      </c>
      <c r="K5464" s="12" t="str">
        <f>HYPERLINK("http://twitter.com/download/iphone","Twitter for iPhone")</f>
        <v>Twitter for iPhone</v>
      </c>
      <c r="L5464" s="16">
        <v>425</v>
      </c>
      <c r="M5464" s="16">
        <v>636</v>
      </c>
      <c r="N5464" s="16">
        <v>1</v>
      </c>
      <c r="O5464" s="17"/>
      <c r="P5464" s="18">
        <v>41294.604907407411</v>
      </c>
      <c r="Q5464" s="8" t="s">
        <v>18523</v>
      </c>
      <c r="R5464" s="7" t="s">
        <v>25683</v>
      </c>
      <c r="S5464" s="8"/>
      <c r="T5464" s="8"/>
      <c r="U5464" s="19" t="str">
        <f>HYPERLINK("https://pbs.twimg.com/profile_images/1163965535102689282/4mgvo5La.jpg","View")</f>
        <v>View</v>
      </c>
      <c r="V5464" s="8"/>
      <c r="W5464" s="8"/>
      <c r="X5464" s="8"/>
      <c r="Y5464" s="8"/>
      <c r="Z5464" s="8"/>
    </row>
    <row r="5465" spans="1:26" ht="12.75">
      <c r="A5465" s="11">
        <v>43747.086412037039</v>
      </c>
      <c r="B5465" s="12" t="str">
        <f>HYPERLINK("https://twitter.com/nznslck","@nznslck")</f>
        <v>@nznslck</v>
      </c>
      <c r="C5465" s="7" t="s">
        <v>25684</v>
      </c>
      <c r="D5465" s="7" t="s">
        <v>25685</v>
      </c>
      <c r="E5465" s="12" t="str">
        <f>HYPERLINK("https://twitter.com/nznslck/status/1181857944591314949","1181857944591314949")</f>
        <v>1181857944591314949</v>
      </c>
      <c r="F5465" s="8"/>
      <c r="G5465" s="14" t="s">
        <v>25686</v>
      </c>
      <c r="H5465" s="8"/>
      <c r="I5465" s="15">
        <v>0</v>
      </c>
      <c r="J5465" s="15">
        <v>2</v>
      </c>
      <c r="K5465" s="12" t="str">
        <f>HYPERLINK("http://twitter.com/download/android","Twitter for Android")</f>
        <v>Twitter for Android</v>
      </c>
      <c r="L5465" s="16">
        <v>38</v>
      </c>
      <c r="M5465" s="16">
        <v>101</v>
      </c>
      <c r="N5465" s="16">
        <v>0</v>
      </c>
      <c r="O5465" s="17"/>
      <c r="P5465" s="18">
        <v>43274.269918981481</v>
      </c>
      <c r="Q5465" s="8" t="s">
        <v>313</v>
      </c>
      <c r="R5465" s="7" t="s">
        <v>25687</v>
      </c>
      <c r="S5465" s="8"/>
      <c r="T5465" s="8"/>
      <c r="U5465" s="19" t="str">
        <f>HYPERLINK("https://pbs.twimg.com/profile_images/1010519504999403520/tk2pf6yC.jpg","View")</f>
        <v>View</v>
      </c>
      <c r="V5465" s="8"/>
      <c r="W5465" s="8"/>
      <c r="X5465" s="8"/>
      <c r="Y5465" s="8"/>
      <c r="Z5465" s="8"/>
    </row>
    <row r="5466" spans="1:26" ht="12.75">
      <c r="A5466" s="11">
        <v>43747.086400462962</v>
      </c>
      <c r="B5466" s="12" t="str">
        <f>HYPERLINK("https://twitter.com/atakankuren","@atakankuren")</f>
        <v>@atakankuren</v>
      </c>
      <c r="C5466" s="7" t="s">
        <v>25688</v>
      </c>
      <c r="D5466" s="7" t="s">
        <v>25689</v>
      </c>
      <c r="E5466" s="12" t="str">
        <f>HYPERLINK("https://twitter.com/atakankuren/status/1181857939952455681","1181857939952455681")</f>
        <v>1181857939952455681</v>
      </c>
      <c r="F5466" s="8"/>
      <c r="G5466" s="14" t="s">
        <v>25690</v>
      </c>
      <c r="H5466" s="8"/>
      <c r="I5466" s="15">
        <v>38</v>
      </c>
      <c r="J5466" s="15">
        <v>208</v>
      </c>
      <c r="K5466" s="12" t="str">
        <f>HYPERLINK("http://twitter.com/download/iphone","Twitter for iPhone")</f>
        <v>Twitter for iPhone</v>
      </c>
      <c r="L5466" s="16">
        <v>427</v>
      </c>
      <c r="M5466" s="16">
        <v>290</v>
      </c>
      <c r="N5466" s="16">
        <v>0</v>
      </c>
      <c r="O5466" s="17"/>
      <c r="P5466" s="18">
        <v>42529.542523148149</v>
      </c>
      <c r="Q5466" s="8" t="s">
        <v>18562</v>
      </c>
      <c r="R5466" s="8" t="s">
        <v>25691</v>
      </c>
      <c r="S5466" s="8"/>
      <c r="T5466" s="8"/>
      <c r="U5466" s="19" t="str">
        <f>HYPERLINK("https://pbs.twimg.com/profile_images/1132624088135032838/uFsWd1Dx.jpg","View")</f>
        <v>View</v>
      </c>
      <c r="V5466" s="8"/>
      <c r="W5466" s="8"/>
      <c r="X5466" s="8"/>
      <c r="Y5466" s="8"/>
      <c r="Z5466" s="8"/>
    </row>
    <row r="5467" spans="1:26" ht="12.75">
      <c r="A5467" s="11">
        <v>43747.086377314816</v>
      </c>
      <c r="B5467" s="12" t="str">
        <f>HYPERLINK("https://twitter.com/HakkF","@HakkF")</f>
        <v>@HakkF</v>
      </c>
      <c r="C5467" s="7" t="s">
        <v>25692</v>
      </c>
      <c r="D5467" s="7" t="s">
        <v>160</v>
      </c>
      <c r="E5467" s="12" t="str">
        <f>HYPERLINK("https://twitter.com/HakkF/status/1181857931022733312","1181857931022733312")</f>
        <v>1181857931022733312</v>
      </c>
      <c r="F5467" s="8"/>
      <c r="G5467" s="15"/>
      <c r="H5467" s="8"/>
      <c r="I5467" s="15">
        <v>0</v>
      </c>
      <c r="J5467" s="15">
        <v>0</v>
      </c>
      <c r="K5467" s="12" t="str">
        <f>HYPERLINK("http://twitter.com/download/android","Twitter for Android")</f>
        <v>Twitter for Android</v>
      </c>
      <c r="L5467" s="16">
        <v>124</v>
      </c>
      <c r="M5467" s="16">
        <v>51</v>
      </c>
      <c r="N5467" s="16">
        <v>0</v>
      </c>
      <c r="O5467" s="17"/>
      <c r="P5467" s="18">
        <v>40767.568229166667</v>
      </c>
      <c r="Q5467" s="8" t="s">
        <v>25693</v>
      </c>
      <c r="R5467" s="7"/>
      <c r="S5467" s="8"/>
      <c r="T5467" s="8"/>
      <c r="U5467" s="19" t="str">
        <f>HYPERLINK("https://pbs.twimg.com/profile_images/1093593198826582017/S_d_3v7u.jpg","View")</f>
        <v>View</v>
      </c>
      <c r="V5467" s="8"/>
      <c r="W5467" s="8"/>
      <c r="X5467" s="8"/>
      <c r="Y5467" s="8"/>
      <c r="Z5467" s="8"/>
    </row>
    <row r="5468" spans="1:26" ht="12.75">
      <c r="A5468" s="11">
        <v>43747.086365740739</v>
      </c>
      <c r="B5468" s="12" t="str">
        <f>HYPERLINK("https://twitter.com/Gurbuuz","@Gurbuuz")</f>
        <v>@Gurbuuz</v>
      </c>
      <c r="C5468" s="7" t="s">
        <v>25694</v>
      </c>
      <c r="D5468" s="7" t="s">
        <v>25695</v>
      </c>
      <c r="E5468" s="12" t="str">
        <f>HYPERLINK("https://twitter.com/Gurbuuz/status/1181857927830933504","1181857927830933504")</f>
        <v>1181857927830933504</v>
      </c>
      <c r="F5468" s="8"/>
      <c r="G5468" s="15"/>
      <c r="H5468" s="8"/>
      <c r="I5468" s="15">
        <v>0</v>
      </c>
      <c r="J5468" s="15">
        <v>1</v>
      </c>
      <c r="K5468" s="12" t="str">
        <f>HYPERLINK("http://twitter.com/download/iphone","Twitter for iPhone")</f>
        <v>Twitter for iPhone</v>
      </c>
      <c r="L5468" s="16">
        <v>92</v>
      </c>
      <c r="M5468" s="16">
        <v>153</v>
      </c>
      <c r="N5468" s="16">
        <v>2</v>
      </c>
      <c r="O5468" s="17"/>
      <c r="P5468" s="18">
        <v>41006.614398148144</v>
      </c>
      <c r="Q5468" s="7"/>
      <c r="R5468" s="7" t="s">
        <v>25696</v>
      </c>
      <c r="S5468" s="8"/>
      <c r="T5468" s="8"/>
      <c r="U5468" s="19" t="str">
        <f>HYPERLINK("https://pbs.twimg.com/profile_images/1121459382003408897/iMg5QJut.jpg","View")</f>
        <v>View</v>
      </c>
      <c r="V5468" s="8"/>
      <c r="W5468" s="8"/>
      <c r="X5468" s="8"/>
      <c r="Y5468" s="8"/>
      <c r="Z5468" s="8"/>
    </row>
    <row r="5469" spans="1:26" ht="12.75">
      <c r="A5469" s="11">
        <v>43747.086365740739</v>
      </c>
      <c r="B5469" s="12" t="str">
        <f>HYPERLINK("https://twitter.com/Yunustunc78","@Yunustunc78")</f>
        <v>@Yunustunc78</v>
      </c>
      <c r="C5469" s="7" t="s">
        <v>5104</v>
      </c>
      <c r="D5469" s="7" t="s">
        <v>15742</v>
      </c>
      <c r="E5469" s="12" t="str">
        <f>HYPERLINK("https://twitter.com/Yunustunc78/status/1181857925830234112","1181857925830234112")</f>
        <v>1181857925830234112</v>
      </c>
      <c r="F5469" s="8"/>
      <c r="G5469" s="15"/>
      <c r="H5469" s="8"/>
      <c r="I5469" s="15">
        <v>0</v>
      </c>
      <c r="J5469" s="15">
        <v>0</v>
      </c>
      <c r="K5469" s="12" t="str">
        <f>HYPERLINK("http://twitter.com/download/android","Twitter for Android")</f>
        <v>Twitter for Android</v>
      </c>
      <c r="L5469" s="16">
        <v>17</v>
      </c>
      <c r="M5469" s="16">
        <v>42</v>
      </c>
      <c r="N5469" s="16">
        <v>0</v>
      </c>
      <c r="O5469" s="17"/>
      <c r="P5469" s="18">
        <v>43064.557673611111</v>
      </c>
      <c r="Q5469" s="7" t="s">
        <v>8345</v>
      </c>
      <c r="R5469" s="7" t="s">
        <v>25697</v>
      </c>
      <c r="S5469" s="15"/>
      <c r="T5469" s="8"/>
      <c r="U5469" s="19" t="str">
        <f>HYPERLINK("https://pbs.twimg.com/profile_images/934534073086771200/_WqEvtMj.jpg","View")</f>
        <v>View</v>
      </c>
      <c r="V5469" s="8"/>
      <c r="W5469" s="8"/>
      <c r="X5469" s="8"/>
      <c r="Y5469" s="8"/>
      <c r="Z5469" s="8"/>
    </row>
    <row r="5470" spans="1:26" ht="12.75">
      <c r="A5470" s="11">
        <v>43747.086354166662</v>
      </c>
      <c r="B5470" s="12" t="str">
        <f>HYPERLINK("https://twitter.com/ErcVatansever","@ErcVatansever")</f>
        <v>@ErcVatansever</v>
      </c>
      <c r="C5470" s="7" t="s">
        <v>25698</v>
      </c>
      <c r="D5470" s="7" t="s">
        <v>25699</v>
      </c>
      <c r="E5470" s="12" t="str">
        <f>HYPERLINK("https://twitter.com/ErcVatansever/status/1181857924555137025","1181857924555137025")</f>
        <v>1181857924555137025</v>
      </c>
      <c r="F5470" s="8"/>
      <c r="G5470" s="14" t="s">
        <v>25700</v>
      </c>
      <c r="H5470" s="8"/>
      <c r="I5470" s="15">
        <v>0</v>
      </c>
      <c r="J5470" s="15">
        <v>16</v>
      </c>
      <c r="K5470" s="12" t="str">
        <f>HYPERLINK("http://twitter.com/download/android","Twitter for Android")</f>
        <v>Twitter for Android</v>
      </c>
      <c r="L5470" s="16">
        <v>12047</v>
      </c>
      <c r="M5470" s="16">
        <v>10643</v>
      </c>
      <c r="N5470" s="16">
        <v>25</v>
      </c>
      <c r="O5470" s="17"/>
      <c r="P5470" s="18">
        <v>41170.531805555554</v>
      </c>
      <c r="Q5470" s="7" t="s">
        <v>25701</v>
      </c>
      <c r="R5470" s="8" t="s">
        <v>25702</v>
      </c>
      <c r="S5470" s="8"/>
      <c r="T5470" s="8"/>
      <c r="U5470" s="19" t="str">
        <f>HYPERLINK("https://pbs.twimg.com/profile_images/1077134895858761728/0iyUER9c.jpg","View")</f>
        <v>View</v>
      </c>
      <c r="V5470" s="8"/>
      <c r="W5470" s="8"/>
      <c r="X5470" s="8"/>
      <c r="Y5470" s="8"/>
      <c r="Z5470" s="8"/>
    </row>
    <row r="5471" spans="1:26" ht="12.75">
      <c r="A5471" s="11">
        <v>43747.086284722223</v>
      </c>
      <c r="B5471" s="12" t="str">
        <f>HYPERLINK("https://twitter.com/asarkoylu41","@asarkoylu41")</f>
        <v>@asarkoylu41</v>
      </c>
      <c r="C5471" s="7" t="s">
        <v>25703</v>
      </c>
      <c r="D5471" s="7" t="s">
        <v>25704</v>
      </c>
      <c r="E5471" s="12" t="str">
        <f>HYPERLINK("https://twitter.com/asarkoylu41/status/1181857897556402176","1181857897556402176")</f>
        <v>1181857897556402176</v>
      </c>
      <c r="F5471" s="8"/>
      <c r="G5471" s="14" t="s">
        <v>25705</v>
      </c>
      <c r="H5471" s="8"/>
      <c r="I5471" s="15">
        <v>0</v>
      </c>
      <c r="J5471" s="15">
        <v>6</v>
      </c>
      <c r="K5471" s="12" t="str">
        <f>HYPERLINK("http://twitter.com/download/android","Twitter for Android")</f>
        <v>Twitter for Android</v>
      </c>
      <c r="L5471" s="16">
        <v>161</v>
      </c>
      <c r="M5471" s="16">
        <v>131</v>
      </c>
      <c r="N5471" s="16">
        <v>1</v>
      </c>
      <c r="O5471" s="17"/>
      <c r="P5471" s="18">
        <v>40778.081018518518</v>
      </c>
      <c r="Q5471" s="7" t="s">
        <v>18129</v>
      </c>
      <c r="R5471" s="8" t="s">
        <v>25706</v>
      </c>
      <c r="S5471" s="8"/>
      <c r="T5471" s="8"/>
      <c r="U5471" s="19" t="str">
        <f>HYPERLINK("https://pbs.twimg.com/profile_images/1069040024090480641/YXM9Jx3q.jpg","View")</f>
        <v>View</v>
      </c>
      <c r="V5471" s="8"/>
      <c r="W5471" s="8"/>
      <c r="X5471" s="8"/>
      <c r="Y5471" s="8"/>
      <c r="Z5471" s="8"/>
    </row>
    <row r="5472" spans="1:26" ht="12.75">
      <c r="A5472" s="11">
        <v>43747.086273148147</v>
      </c>
      <c r="B5472" s="12" t="str">
        <f>HYPERLINK("https://twitter.com/TurkishCesaret","@TurkishCesaret")</f>
        <v>@TurkishCesaret</v>
      </c>
      <c r="C5472" s="7" t="s">
        <v>160</v>
      </c>
      <c r="D5472" s="7" t="s">
        <v>25707</v>
      </c>
      <c r="E5472" s="12" t="str">
        <f>HYPERLINK("https://twitter.com/TurkishCesaret/status/1181857893047586817","1181857893047586817")</f>
        <v>1181857893047586817</v>
      </c>
      <c r="F5472" s="8"/>
      <c r="G5472" s="14" t="s">
        <v>25708</v>
      </c>
      <c r="H5472" s="8"/>
      <c r="I5472" s="15">
        <v>1</v>
      </c>
      <c r="J5472" s="15">
        <v>3</v>
      </c>
      <c r="K5472" s="12" t="str">
        <f>HYPERLINK("https://mobile.twitter.com","Twitter Web App")</f>
        <v>Twitter Web App</v>
      </c>
      <c r="L5472" s="16">
        <v>2592</v>
      </c>
      <c r="M5472" s="16">
        <v>3295</v>
      </c>
      <c r="N5472" s="16">
        <v>5</v>
      </c>
      <c r="O5472" s="17"/>
      <c r="P5472" s="18">
        <v>41458.964039351849</v>
      </c>
      <c r="Q5472" s="7"/>
      <c r="R5472" s="7" t="s">
        <v>25709</v>
      </c>
      <c r="S5472" s="15"/>
      <c r="T5472" s="8"/>
      <c r="U5472" s="19" t="str">
        <f>HYPERLINK("https://pbs.twimg.com/profile_images/1181861318619537408/_Rhxf5Ye.jpg","View")</f>
        <v>View</v>
      </c>
      <c r="V5472" s="8"/>
      <c r="W5472" s="8"/>
      <c r="X5472" s="8"/>
      <c r="Y5472" s="8"/>
      <c r="Z5472" s="8"/>
    </row>
    <row r="5473" spans="1:26" ht="12.75">
      <c r="A5473" s="11">
        <v>43747.08625</v>
      </c>
      <c r="B5473" s="12" t="str">
        <f>HYPERLINK("https://twitter.com/FranceNews24","@FranceNews24")</f>
        <v>@FranceNews24</v>
      </c>
      <c r="C5473" s="7" t="s">
        <v>25710</v>
      </c>
      <c r="D5473" s="7" t="s">
        <v>25711</v>
      </c>
      <c r="E5473" s="12" t="str">
        <f>HYPERLINK("https://twitter.com/FranceNews24/status/1181857885191409670","1181857885191409670")</f>
        <v>1181857885191409670</v>
      </c>
      <c r="F5473" s="8"/>
      <c r="G5473" s="14" t="s">
        <v>25712</v>
      </c>
      <c r="H5473" s="8"/>
      <c r="I5473" s="15">
        <v>3</v>
      </c>
      <c r="J5473" s="15">
        <v>0</v>
      </c>
      <c r="K5473" s="12" t="str">
        <f>HYPERLINK("https://mobile.twitter.com","Twitter Web App")</f>
        <v>Twitter Web App</v>
      </c>
      <c r="L5473" s="16">
        <v>8899</v>
      </c>
      <c r="M5473" s="16">
        <v>3403</v>
      </c>
      <c r="N5473" s="16">
        <v>301</v>
      </c>
      <c r="O5473" s="17"/>
      <c r="P5473" s="18">
        <v>42650.964351851857</v>
      </c>
      <c r="Q5473" s="7" t="s">
        <v>8966</v>
      </c>
      <c r="R5473" s="7" t="s">
        <v>25713</v>
      </c>
      <c r="S5473" s="14" t="s">
        <v>25714</v>
      </c>
      <c r="T5473" s="8"/>
      <c r="U5473" s="19" t="str">
        <f>HYPERLINK("https://pbs.twimg.com/profile_images/785406177425362944/OzVTa147.jpg","View")</f>
        <v>View</v>
      </c>
      <c r="V5473" s="8"/>
      <c r="W5473" s="8"/>
      <c r="X5473" s="8"/>
      <c r="Y5473" s="8"/>
      <c r="Z5473" s="8"/>
    </row>
    <row r="5474" spans="1:26" ht="12.75">
      <c r="A5474" s="11">
        <v>43747.086226851854</v>
      </c>
      <c r="B5474" s="12" t="str">
        <f>HYPERLINK("https://twitter.com/DijitalSon","@DijitalSon")</f>
        <v>@DijitalSon</v>
      </c>
      <c r="C5474" s="7" t="s">
        <v>25715</v>
      </c>
      <c r="D5474" s="7" t="s">
        <v>25716</v>
      </c>
      <c r="E5474" s="12" t="str">
        <f>HYPERLINK("https://twitter.com/DijitalSon/status/1181857876710694912","1181857876710694912")</f>
        <v>1181857876710694912</v>
      </c>
      <c r="F5474" s="8"/>
      <c r="G5474" s="8"/>
      <c r="H5474" s="8"/>
      <c r="I5474" s="15">
        <v>0</v>
      </c>
      <c r="J5474" s="15">
        <v>0</v>
      </c>
      <c r="K5474" s="12" t="str">
        <f>HYPERLINK("http://twitter.com/download/android","Twitter for Android")</f>
        <v>Twitter for Android</v>
      </c>
      <c r="L5474" s="16">
        <v>130</v>
      </c>
      <c r="M5474" s="16">
        <v>97</v>
      </c>
      <c r="N5474" s="16">
        <v>2</v>
      </c>
      <c r="O5474" s="17"/>
      <c r="P5474" s="18">
        <v>43030.262557870374</v>
      </c>
      <c r="Q5474" s="7"/>
      <c r="R5474" s="8" t="s">
        <v>25717</v>
      </c>
      <c r="S5474" s="8"/>
      <c r="T5474" s="8"/>
      <c r="U5474" s="19" t="str">
        <f>HYPERLINK("https://pbs.twimg.com/profile_images/922113808990113792/ncfg9BC9.jpg","View")</f>
        <v>View</v>
      </c>
      <c r="V5474" s="8"/>
      <c r="W5474" s="8"/>
      <c r="X5474" s="8"/>
      <c r="Y5474" s="8"/>
      <c r="Z5474" s="8"/>
    </row>
    <row r="5475" spans="1:26" ht="12.75">
      <c r="A5475" s="11">
        <v>43747.086215277777</v>
      </c>
      <c r="B5475" s="12" t="str">
        <f>HYPERLINK("https://twitter.com/CenkKaygisiz","@CenkKaygisiz")</f>
        <v>@CenkKaygisiz</v>
      </c>
      <c r="C5475" s="7" t="s">
        <v>25718</v>
      </c>
      <c r="D5475" s="7" t="s">
        <v>3552</v>
      </c>
      <c r="E5475" s="12" t="str">
        <f>HYPERLINK("https://twitter.com/CenkKaygisiz/status/1181857871736250368","1181857871736250368")</f>
        <v>1181857871736250368</v>
      </c>
      <c r="F5475" s="8"/>
      <c r="G5475" s="14" t="s">
        <v>25719</v>
      </c>
      <c r="H5475" s="8"/>
      <c r="I5475" s="15">
        <v>0</v>
      </c>
      <c r="J5475" s="15">
        <v>3</v>
      </c>
      <c r="K5475" s="12" t="str">
        <f>HYPERLINK("http://twitter.com/download/iphone","Twitter for iPhone")</f>
        <v>Twitter for iPhone</v>
      </c>
      <c r="L5475" s="16">
        <v>646</v>
      </c>
      <c r="M5475" s="16">
        <v>456</v>
      </c>
      <c r="N5475" s="16">
        <v>2</v>
      </c>
      <c r="O5475" s="17"/>
      <c r="P5475" s="18">
        <v>43114.259780092594</v>
      </c>
      <c r="Q5475" s="7" t="s">
        <v>25720</v>
      </c>
      <c r="R5475" s="15" t="s">
        <v>25721</v>
      </c>
      <c r="S5475" s="8"/>
      <c r="T5475" s="8"/>
      <c r="U5475" s="19" t="str">
        <f>HYPERLINK("https://pbs.twimg.com/profile_images/1135277989338505216/no-_MO8w.jpg","View")</f>
        <v>View</v>
      </c>
      <c r="V5475" s="8"/>
      <c r="W5475" s="8"/>
      <c r="X5475" s="8"/>
      <c r="Y5475" s="8"/>
      <c r="Z5475" s="8"/>
    </row>
    <row r="5476" spans="1:26" ht="12.75">
      <c r="A5476" s="11">
        <v>43747.0862037037</v>
      </c>
      <c r="B5476" s="12" t="str">
        <f>HYPERLINK("https://twitter.com/FENER5B","@FENER5B")</f>
        <v>@FENER5B</v>
      </c>
      <c r="C5476" s="7" t="s">
        <v>25722</v>
      </c>
      <c r="D5476" s="7" t="s">
        <v>25723</v>
      </c>
      <c r="E5476" s="12" t="str">
        <f>HYPERLINK("https://twitter.com/FENER5B/status/1181857871128080390","1181857871128080390")</f>
        <v>1181857871128080390</v>
      </c>
      <c r="F5476" s="8"/>
      <c r="G5476" s="14" t="s">
        <v>25724</v>
      </c>
      <c r="H5476" s="8"/>
      <c r="I5476" s="15">
        <v>0</v>
      </c>
      <c r="J5476" s="15">
        <v>1</v>
      </c>
      <c r="K5476" s="12" t="str">
        <f>HYPERLINK("http://twitter.com/download/android","Twitter for Android")</f>
        <v>Twitter for Android</v>
      </c>
      <c r="L5476" s="16">
        <v>3504</v>
      </c>
      <c r="M5476" s="16">
        <v>3491</v>
      </c>
      <c r="N5476" s="16">
        <v>2</v>
      </c>
      <c r="O5476" s="17"/>
      <c r="P5476" s="18">
        <v>40771.231053240743</v>
      </c>
      <c r="Q5476" s="8" t="s">
        <v>25725</v>
      </c>
      <c r="R5476" s="8" t="s">
        <v>25726</v>
      </c>
      <c r="S5476" s="8"/>
      <c r="T5476" s="8"/>
      <c r="U5476" s="19" t="str">
        <f>HYPERLINK("https://pbs.twimg.com/profile_images/1104496318381211649/z1Ukw-7M.jpg","View")</f>
        <v>View</v>
      </c>
      <c r="V5476" s="8"/>
      <c r="W5476" s="8"/>
      <c r="X5476" s="8"/>
      <c r="Y5476" s="8"/>
      <c r="Z5476" s="8"/>
    </row>
    <row r="5477" spans="1:26" ht="12.75">
      <c r="A5477" s="11">
        <v>43747.0862037037</v>
      </c>
      <c r="B5477" s="12" t="str">
        <f>HYPERLINK("https://twitter.com/enverzkan52","@enverzkan52")</f>
        <v>@enverzkan52</v>
      </c>
      <c r="C5477" s="7" t="s">
        <v>25727</v>
      </c>
      <c r="D5477" s="7" t="s">
        <v>25728</v>
      </c>
      <c r="E5477" s="12" t="str">
        <f>HYPERLINK("https://twitter.com/enverzkan52/status/1181857868364091393","1181857868364091393")</f>
        <v>1181857868364091393</v>
      </c>
      <c r="F5477" s="8"/>
      <c r="G5477" s="14" t="s">
        <v>25729</v>
      </c>
      <c r="H5477" s="8"/>
      <c r="I5477" s="15">
        <v>0</v>
      </c>
      <c r="J5477" s="15">
        <v>0</v>
      </c>
      <c r="K5477" s="12" t="str">
        <f>HYPERLINK("https://mobile.twitter.com","Twitter Web App")</f>
        <v>Twitter Web App</v>
      </c>
      <c r="L5477" s="16">
        <v>3164</v>
      </c>
      <c r="M5477" s="16">
        <v>2779</v>
      </c>
      <c r="N5477" s="16">
        <v>1</v>
      </c>
      <c r="O5477" s="17"/>
      <c r="P5477" s="18">
        <v>41776.11341435185</v>
      </c>
      <c r="Q5477" s="8" t="s">
        <v>576</v>
      </c>
      <c r="R5477" s="8" t="s">
        <v>25730</v>
      </c>
      <c r="S5477" s="8"/>
      <c r="T5477" s="8"/>
      <c r="U5477" s="19" t="str">
        <f>HYPERLINK("https://pbs.twimg.com/profile_images/467605930708717569/mjy9gdNR.jpeg","View")</f>
        <v>View</v>
      </c>
      <c r="V5477" s="8"/>
      <c r="W5477" s="8"/>
      <c r="X5477" s="8"/>
      <c r="Y5477" s="8"/>
      <c r="Z5477" s="8"/>
    </row>
    <row r="5478" spans="1:26" ht="12.75">
      <c r="A5478" s="11">
        <v>43747.086180555554</v>
      </c>
      <c r="B5478" s="12" t="str">
        <f>HYPERLINK("https://twitter.com/serdaraticii","@serdaraticii")</f>
        <v>@serdaraticii</v>
      </c>
      <c r="C5478" s="7" t="s">
        <v>25731</v>
      </c>
      <c r="D5478" s="7" t="s">
        <v>25732</v>
      </c>
      <c r="E5478" s="12" t="str">
        <f>HYPERLINK("https://twitter.com/serdaraticii/status/1181857862261383168","1181857862261383168")</f>
        <v>1181857862261383168</v>
      </c>
      <c r="F5478" s="8"/>
      <c r="G5478" s="14" t="s">
        <v>25733</v>
      </c>
      <c r="H5478" s="8"/>
      <c r="I5478" s="15">
        <v>5</v>
      </c>
      <c r="J5478" s="15">
        <v>10</v>
      </c>
      <c r="K5478" s="12" t="str">
        <f>HYPERLINK("http://twitter.com/download/android","Twitter for Android")</f>
        <v>Twitter for Android</v>
      </c>
      <c r="L5478" s="16">
        <v>14623</v>
      </c>
      <c r="M5478" s="16">
        <v>3799</v>
      </c>
      <c r="N5478" s="16">
        <v>11</v>
      </c>
      <c r="O5478" s="17"/>
      <c r="P5478" s="18">
        <v>40136.491296296299</v>
      </c>
      <c r="Q5478" s="7" t="s">
        <v>576</v>
      </c>
      <c r="R5478" s="7" t="s">
        <v>25734</v>
      </c>
      <c r="S5478" s="14" t="s">
        <v>25735</v>
      </c>
      <c r="T5478" s="8"/>
      <c r="U5478" s="19" t="str">
        <f>HYPERLINK("https://pbs.twimg.com/profile_images/1167921043689754624/M0Rsv9Bv.jpg","View")</f>
        <v>View</v>
      </c>
      <c r="V5478" s="8"/>
      <c r="W5478" s="8"/>
      <c r="X5478" s="8"/>
      <c r="Y5478" s="8"/>
      <c r="Z5478" s="8"/>
    </row>
    <row r="5479" spans="1:26" ht="12.75">
      <c r="A5479" s="11">
        <v>43747.086180555554</v>
      </c>
      <c r="B5479" s="12" t="str">
        <f>HYPERLINK("https://twitter.com/bahadirbalas","@bahadirbalas")</f>
        <v>@bahadirbalas</v>
      </c>
      <c r="C5479" s="7" t="s">
        <v>25736</v>
      </c>
      <c r="D5479" s="7" t="s">
        <v>25737</v>
      </c>
      <c r="E5479" s="12" t="str">
        <f>HYPERLINK("https://twitter.com/bahadirbalas/status/1181857858994020353","1181857858994020353")</f>
        <v>1181857858994020353</v>
      </c>
      <c r="F5479" s="8"/>
      <c r="G5479" s="14" t="s">
        <v>25738</v>
      </c>
      <c r="H5479" s="8"/>
      <c r="I5479" s="15">
        <v>0</v>
      </c>
      <c r="J5479" s="15">
        <v>3</v>
      </c>
      <c r="K5479" s="12" t="str">
        <f>HYPERLINK("http://twitter.com/download/android","Twitter for Android")</f>
        <v>Twitter for Android</v>
      </c>
      <c r="L5479" s="16">
        <v>136</v>
      </c>
      <c r="M5479" s="16">
        <v>125</v>
      </c>
      <c r="N5479" s="16">
        <v>3</v>
      </c>
      <c r="O5479" s="17"/>
      <c r="P5479" s="18">
        <v>42937.072847222225</v>
      </c>
      <c r="Q5479" s="7" t="s">
        <v>313</v>
      </c>
      <c r="R5479" s="7" t="s">
        <v>25739</v>
      </c>
      <c r="S5479" s="8"/>
      <c r="T5479" s="8"/>
      <c r="U5479" s="19" t="str">
        <f>HYPERLINK("https://pbs.twimg.com/profile_images/1127750276629266432/9DIqoL2c.jpg","View")</f>
        <v>View</v>
      </c>
      <c r="V5479" s="8"/>
      <c r="W5479" s="8"/>
      <c r="X5479" s="8"/>
      <c r="Y5479" s="8"/>
      <c r="Z5479" s="8"/>
    </row>
    <row r="5480" spans="1:26" ht="12.75">
      <c r="A5480" s="11">
        <v>43747.086157407408</v>
      </c>
      <c r="B5480" s="12" t="str">
        <f>HYPERLINK("https://twitter.com/hikmetayhan3","@hikmetayhan3")</f>
        <v>@hikmetayhan3</v>
      </c>
      <c r="C5480" s="7" t="s">
        <v>25740</v>
      </c>
      <c r="D5480" s="7" t="s">
        <v>25741</v>
      </c>
      <c r="E5480" s="12" t="str">
        <f>HYPERLINK("https://twitter.com/hikmetayhan3/status/1181857853432373248","1181857853432373248")</f>
        <v>1181857853432373248</v>
      </c>
      <c r="F5480" s="8"/>
      <c r="G5480" s="14" t="s">
        <v>25742</v>
      </c>
      <c r="H5480" s="8"/>
      <c r="I5480" s="15">
        <v>0</v>
      </c>
      <c r="J5480" s="15">
        <v>1</v>
      </c>
      <c r="K5480" s="12" t="str">
        <f>HYPERLINK("http://twitter.com/download/android","Twitter for Android")</f>
        <v>Twitter for Android</v>
      </c>
      <c r="L5480" s="16">
        <v>898</v>
      </c>
      <c r="M5480" s="16">
        <v>396</v>
      </c>
      <c r="N5480" s="16">
        <v>0</v>
      </c>
      <c r="O5480" s="17"/>
      <c r="P5480" s="18">
        <v>41777.3122337963</v>
      </c>
      <c r="Q5480" s="7"/>
      <c r="R5480" s="7" t="s">
        <v>25743</v>
      </c>
      <c r="S5480" s="8"/>
      <c r="T5480" s="8"/>
      <c r="U5480" s="19" t="str">
        <f>HYPERLINK("https://pbs.twimg.com/profile_images/1172070137018667010/DC2Szi-H.jpg","View")</f>
        <v>View</v>
      </c>
      <c r="V5480" s="8"/>
      <c r="W5480" s="8"/>
      <c r="X5480" s="8"/>
      <c r="Y5480" s="8"/>
      <c r="Z5480" s="8"/>
    </row>
    <row r="5481" spans="1:26" ht="12.75">
      <c r="A5481" s="11">
        <v>43747.086134259254</v>
      </c>
      <c r="B5481" s="12" t="str">
        <f>HYPERLINK("https://twitter.com/mehmetarici01","@mehmetarici01")</f>
        <v>@mehmetarici01</v>
      </c>
      <c r="C5481" s="7" t="s">
        <v>25744</v>
      </c>
      <c r="D5481" s="7" t="s">
        <v>25745</v>
      </c>
      <c r="E5481" s="12" t="str">
        <f>HYPERLINK("https://twitter.com/mehmetarici01/status/1181857845467402240","1181857845467402240")</f>
        <v>1181857845467402240</v>
      </c>
      <c r="F5481" s="8"/>
      <c r="G5481" s="8"/>
      <c r="H5481" s="8"/>
      <c r="I5481" s="15">
        <v>0</v>
      </c>
      <c r="J5481" s="15">
        <v>0</v>
      </c>
      <c r="K5481" s="12" t="str">
        <f>HYPERLINK("http://twitter.com/download/iphone","Twitter for iPhone")</f>
        <v>Twitter for iPhone</v>
      </c>
      <c r="L5481" s="16">
        <v>278</v>
      </c>
      <c r="M5481" s="16">
        <v>354</v>
      </c>
      <c r="N5481" s="16">
        <v>3</v>
      </c>
      <c r="O5481" s="17"/>
      <c r="P5481" s="18">
        <v>40569.417650462965</v>
      </c>
      <c r="Q5481" s="7"/>
      <c r="R5481" s="7"/>
      <c r="S5481" s="8"/>
      <c r="T5481" s="8"/>
      <c r="U5481" s="19" t="str">
        <f>HYPERLINK("https://pbs.twimg.com/profile_images/1148171508864434183/PigsDBQ9.jpg","View")</f>
        <v>View</v>
      </c>
      <c r="V5481" s="8"/>
      <c r="W5481" s="8"/>
      <c r="X5481" s="8"/>
      <c r="Y5481" s="8"/>
      <c r="Z5481" s="8"/>
    </row>
    <row r="5482" spans="1:26" ht="12.75">
      <c r="A5482" s="11">
        <v>43747.086099537039</v>
      </c>
      <c r="B5482" s="12" t="str">
        <f>HYPERLINK("https://twitter.com/htimucinaras","@htimucinaras")</f>
        <v>@htimucinaras</v>
      </c>
      <c r="C5482" s="7" t="s">
        <v>25746</v>
      </c>
      <c r="D5482" s="7" t="s">
        <v>25747</v>
      </c>
      <c r="E5482" s="12" t="str">
        <f>HYPERLINK("https://twitter.com/htimucinaras/status/1181857829319258112","1181857829319258112")</f>
        <v>1181857829319258112</v>
      </c>
      <c r="F5482" s="8"/>
      <c r="G5482" s="14" t="s">
        <v>25748</v>
      </c>
      <c r="H5482" s="8"/>
      <c r="I5482" s="15">
        <v>0</v>
      </c>
      <c r="J5482" s="15">
        <v>2</v>
      </c>
      <c r="K5482" s="12" t="str">
        <f>HYPERLINK("http://twitter.com/download/iphone","Twitter for iPhone")</f>
        <v>Twitter for iPhone</v>
      </c>
      <c r="L5482" s="16">
        <v>9</v>
      </c>
      <c r="M5482" s="16">
        <v>5</v>
      </c>
      <c r="N5482" s="16">
        <v>0</v>
      </c>
      <c r="O5482" s="17"/>
      <c r="P5482" s="18">
        <v>43519.299664351856</v>
      </c>
      <c r="Q5482" s="7" t="s">
        <v>498</v>
      </c>
      <c r="R5482" s="7"/>
      <c r="S5482" s="8"/>
      <c r="T5482" s="8"/>
      <c r="U5482" s="19" t="str">
        <f>HYPERLINK("https://pbs.twimg.com/profile_images/1099326247895789569/0BDUPqfE.jpg","View")</f>
        <v>View</v>
      </c>
      <c r="V5482" s="8"/>
      <c r="W5482" s="8"/>
      <c r="X5482" s="8"/>
      <c r="Y5482" s="8"/>
      <c r="Z5482" s="8"/>
    </row>
    <row r="5483" spans="1:26" ht="12.75">
      <c r="A5483" s="11">
        <v>43747.086076388892</v>
      </c>
      <c r="B5483" s="12" t="str">
        <f>HYPERLINK("https://twitter.com/alicmert1","@alicmert1")</f>
        <v>@alicmert1</v>
      </c>
      <c r="C5483" s="7" t="s">
        <v>25749</v>
      </c>
      <c r="D5483" s="7" t="s">
        <v>16767</v>
      </c>
      <c r="E5483" s="12" t="str">
        <f>HYPERLINK("https://twitter.com/alicmert1/status/1181857823023648768","1181857823023648768")</f>
        <v>1181857823023648768</v>
      </c>
      <c r="F5483" s="8"/>
      <c r="G5483" s="8"/>
      <c r="H5483" s="8"/>
      <c r="I5483" s="15">
        <v>0</v>
      </c>
      <c r="J5483" s="15">
        <v>0</v>
      </c>
      <c r="K5483" s="12" t="str">
        <f>HYPERLINK("http://twitter.com/download/android","Twitter for Android")</f>
        <v>Twitter for Android</v>
      </c>
      <c r="L5483" s="16">
        <v>74</v>
      </c>
      <c r="M5483" s="16">
        <v>447</v>
      </c>
      <c r="N5483" s="16">
        <v>0</v>
      </c>
      <c r="O5483" s="17"/>
      <c r="P5483" s="18">
        <v>40680.909456018519</v>
      </c>
      <c r="Q5483" s="7" t="s">
        <v>25750</v>
      </c>
      <c r="R5483" s="7" t="s">
        <v>25751</v>
      </c>
      <c r="S5483" s="8"/>
      <c r="T5483" s="8"/>
      <c r="U5483" s="19" t="str">
        <f>HYPERLINK("https://pbs.twimg.com/profile_images/1149453315660484609/7rqvU4wv.jpg","View")</f>
        <v>View</v>
      </c>
      <c r="V5483" s="8"/>
      <c r="W5483" s="8"/>
      <c r="X5483" s="8"/>
      <c r="Y5483" s="8"/>
      <c r="Z5483" s="8"/>
    </row>
    <row r="5484" spans="1:26" ht="12.75">
      <c r="A5484" s="11">
        <v>43747.086064814815</v>
      </c>
      <c r="B5484" s="12" t="str">
        <f>HYPERLINK("https://twitter.com/Emmi_Galata","@Emmi_Galata")</f>
        <v>@Emmi_Galata</v>
      </c>
      <c r="C5484" s="7" t="s">
        <v>25752</v>
      </c>
      <c r="D5484" s="7" t="s">
        <v>25753</v>
      </c>
      <c r="E5484" s="12" t="str">
        <f>HYPERLINK("https://twitter.com/Emmi_Galata/status/1181857818829365248","1181857818829365248")</f>
        <v>1181857818829365248</v>
      </c>
      <c r="F5484" s="14" t="s">
        <v>15344</v>
      </c>
      <c r="G5484" s="8"/>
      <c r="H5484" s="8"/>
      <c r="I5484" s="15">
        <v>46</v>
      </c>
      <c r="J5484" s="15">
        <v>62</v>
      </c>
      <c r="K5484" s="12" t="str">
        <f>HYPERLINK("http://twitter.com/download/iphone","Twitter for iPhone")</f>
        <v>Twitter for iPhone</v>
      </c>
      <c r="L5484" s="16">
        <v>313</v>
      </c>
      <c r="M5484" s="16">
        <v>339</v>
      </c>
      <c r="N5484" s="16">
        <v>0</v>
      </c>
      <c r="O5484" s="17"/>
      <c r="P5484" s="18">
        <v>43659.232673611114</v>
      </c>
      <c r="Q5484" s="7"/>
      <c r="R5484" s="7" t="s">
        <v>25754</v>
      </c>
      <c r="S5484" s="8"/>
      <c r="T5484" s="8"/>
      <c r="U5484" s="19" t="str">
        <f>HYPERLINK("https://pbs.twimg.com/profile_images/1150034225019654145/fD2hK35K.jpg","View")</f>
        <v>View</v>
      </c>
      <c r="V5484" s="8"/>
      <c r="W5484" s="8"/>
      <c r="X5484" s="8"/>
      <c r="Y5484" s="8"/>
      <c r="Z5484" s="8"/>
    </row>
    <row r="5485" spans="1:26" ht="12.75">
      <c r="A5485" s="11">
        <v>43747.085983796293</v>
      </c>
      <c r="B5485" s="12" t="str">
        <f>HYPERLINK("https://twitter.com/Yasinzbey02","@Yasinzbey02")</f>
        <v>@Yasinzbey02</v>
      </c>
      <c r="C5485" s="7" t="s">
        <v>25755</v>
      </c>
      <c r="D5485" s="7" t="s">
        <v>25756</v>
      </c>
      <c r="E5485" s="12" t="str">
        <f>HYPERLINK("https://twitter.com/Yasinzbey02/status/1181857790769422337","1181857790769422337")</f>
        <v>1181857790769422337</v>
      </c>
      <c r="F5485" s="8"/>
      <c r="G5485" s="14" t="s">
        <v>25757</v>
      </c>
      <c r="H5485" s="8"/>
      <c r="I5485" s="15">
        <v>0</v>
      </c>
      <c r="J5485" s="15">
        <v>2</v>
      </c>
      <c r="K5485" s="12" t="str">
        <f>HYPERLINK("http://twitter.com/download/android","Twitter for Android")</f>
        <v>Twitter for Android</v>
      </c>
      <c r="L5485" s="16">
        <v>593</v>
      </c>
      <c r="M5485" s="16">
        <v>596</v>
      </c>
      <c r="N5485" s="16">
        <v>0</v>
      </c>
      <c r="O5485" s="17"/>
      <c r="P5485" s="18">
        <v>42713.354224537034</v>
      </c>
      <c r="Q5485" s="8"/>
      <c r="R5485" s="7"/>
      <c r="S5485" s="8"/>
      <c r="T5485" s="8"/>
      <c r="U5485" s="19" t="str">
        <f>HYPERLINK("https://pbs.twimg.com/profile_images/1161557215607701504/mr4aYoDw.jpg","View")</f>
        <v>View</v>
      </c>
      <c r="V5485" s="8"/>
      <c r="W5485" s="8"/>
      <c r="X5485" s="8"/>
      <c r="Y5485" s="8"/>
      <c r="Z5485" s="8"/>
    </row>
    <row r="5486" spans="1:26" ht="12.75">
      <c r="A5486" s="11">
        <v>43747.085960648154</v>
      </c>
      <c r="B5486" s="12" t="str">
        <f>HYPERLINK("https://twitter.com/metincengiz84","@metincengiz84")</f>
        <v>@metincengiz84</v>
      </c>
      <c r="C5486" s="7" t="s">
        <v>25758</v>
      </c>
      <c r="D5486" s="7" t="s">
        <v>25759</v>
      </c>
      <c r="E5486" s="12" t="str">
        <f>HYPERLINK("https://twitter.com/metincengiz84/status/1181857779818123264","1181857779818123264")</f>
        <v>1181857779818123264</v>
      </c>
      <c r="F5486" s="8"/>
      <c r="G5486" s="14" t="s">
        <v>25760</v>
      </c>
      <c r="H5486" s="8"/>
      <c r="I5486" s="15">
        <v>0</v>
      </c>
      <c r="J5486" s="15">
        <v>6</v>
      </c>
      <c r="K5486" s="12" t="str">
        <f>HYPERLINK("http://twitter.com/download/android","Twitter for Android")</f>
        <v>Twitter for Android</v>
      </c>
      <c r="L5486" s="16">
        <v>3755</v>
      </c>
      <c r="M5486" s="16">
        <v>4809</v>
      </c>
      <c r="N5486" s="16">
        <v>0</v>
      </c>
      <c r="O5486" s="17"/>
      <c r="P5486" s="18">
        <v>40408.549976851849</v>
      </c>
      <c r="Q5486" s="8" t="s">
        <v>313</v>
      </c>
      <c r="R5486" s="7" t="s">
        <v>25761</v>
      </c>
      <c r="S5486" s="8"/>
      <c r="T5486" s="8"/>
      <c r="U5486" s="19" t="str">
        <f>HYPERLINK("https://pbs.twimg.com/profile_images/1166286221276012545/y-mTQE6T.jpg","View")</f>
        <v>View</v>
      </c>
      <c r="V5486" s="8"/>
      <c r="W5486" s="8"/>
      <c r="X5486" s="8"/>
      <c r="Y5486" s="8"/>
      <c r="Z5486" s="8"/>
    </row>
    <row r="5487" spans="1:26" ht="12.75">
      <c r="A5487" s="11">
        <v>43747.0859375</v>
      </c>
      <c r="B5487" s="12" t="str">
        <f>HYPERLINK("https://twitter.com/SSSS98989898","@SSSS98989898")</f>
        <v>@SSSS98989898</v>
      </c>
      <c r="C5487" s="7" t="s">
        <v>25762</v>
      </c>
      <c r="D5487" s="7" t="s">
        <v>25763</v>
      </c>
      <c r="E5487" s="12" t="str">
        <f>HYPERLINK("https://twitter.com/SSSS98989898/status/1181857773883154432","1181857773883154432")</f>
        <v>1181857773883154432</v>
      </c>
      <c r="F5487" s="8"/>
      <c r="G5487" s="15"/>
      <c r="H5487" s="8"/>
      <c r="I5487" s="15">
        <v>0</v>
      </c>
      <c r="J5487" s="15">
        <v>0</v>
      </c>
      <c r="K5487" s="12" t="str">
        <f>HYPERLINK("https://mobile.twitter.com","Twitter Web App")</f>
        <v>Twitter Web App</v>
      </c>
      <c r="L5487" s="16">
        <v>3</v>
      </c>
      <c r="M5487" s="16">
        <v>8</v>
      </c>
      <c r="N5487" s="16">
        <v>0</v>
      </c>
      <c r="O5487" s="17"/>
      <c r="P5487" s="18">
        <v>43722.533680555556</v>
      </c>
      <c r="Q5487" s="7"/>
      <c r="R5487" s="7" t="s">
        <v>25764</v>
      </c>
      <c r="S5487" s="8"/>
      <c r="T5487" s="8"/>
      <c r="U5487" s="19" t="str">
        <f>HYPERLINK("https://pbs.twimg.com/profile_images/1179762279329517568/6AJY2GqQ.jpg","View")</f>
        <v>View</v>
      </c>
      <c r="V5487" s="8"/>
      <c r="W5487" s="8"/>
      <c r="X5487" s="8"/>
      <c r="Y5487" s="8"/>
      <c r="Z5487" s="8"/>
    </row>
    <row r="5488" spans="1:26" ht="12.75">
      <c r="A5488" s="11">
        <v>43747.085856481484</v>
      </c>
      <c r="B5488" s="12" t="str">
        <f>HYPERLINK("https://twitter.com/zazavun","@zazavun")</f>
        <v>@zazavun</v>
      </c>
      <c r="C5488" s="7" t="s">
        <v>25765</v>
      </c>
      <c r="D5488" s="7" t="s">
        <v>25766</v>
      </c>
      <c r="E5488" s="12" t="str">
        <f>HYPERLINK("https://twitter.com/zazavun/status/1181857743277297664","1181857743277297664")</f>
        <v>1181857743277297664</v>
      </c>
      <c r="F5488" s="8"/>
      <c r="G5488" s="14" t="s">
        <v>25767</v>
      </c>
      <c r="H5488" s="8"/>
      <c r="I5488" s="15">
        <v>0</v>
      </c>
      <c r="J5488" s="15">
        <v>0</v>
      </c>
      <c r="K5488" s="12" t="str">
        <f>HYPERLINK("https://mobile.twitter.com","Twitter Web App")</f>
        <v>Twitter Web App</v>
      </c>
      <c r="L5488" s="16">
        <v>12101</v>
      </c>
      <c r="M5488" s="16">
        <v>9259</v>
      </c>
      <c r="N5488" s="16">
        <v>51</v>
      </c>
      <c r="O5488" s="17"/>
      <c r="P5488" s="18">
        <v>40073.274907407409</v>
      </c>
      <c r="Q5488" s="8" t="s">
        <v>200</v>
      </c>
      <c r="R5488" s="8" t="s">
        <v>25768</v>
      </c>
      <c r="S5488" s="14" t="s">
        <v>25769</v>
      </c>
      <c r="T5488" s="8"/>
      <c r="U5488" s="19" t="str">
        <f>HYPERLINK("https://pbs.twimg.com/profile_images/1008696179419418625/4ULxKsM7.jpg","View")</f>
        <v>View</v>
      </c>
      <c r="V5488" s="8"/>
      <c r="W5488" s="8"/>
      <c r="X5488" s="8"/>
      <c r="Y5488" s="8"/>
      <c r="Z5488" s="8"/>
    </row>
    <row r="5489" spans="1:26" ht="12.75">
      <c r="A5489" s="11">
        <v>43747.085833333331</v>
      </c>
      <c r="B5489" s="12" t="str">
        <f>HYPERLINK("https://twitter.com/buraktaflan7","@buraktaflan7")</f>
        <v>@buraktaflan7</v>
      </c>
      <c r="C5489" s="7" t="s">
        <v>25770</v>
      </c>
      <c r="D5489" s="7" t="s">
        <v>25771</v>
      </c>
      <c r="E5489" s="12" t="str">
        <f>HYPERLINK("https://twitter.com/buraktaflan7/status/1181857734934839296","1181857734934839296")</f>
        <v>1181857734934839296</v>
      </c>
      <c r="F5489" s="15"/>
      <c r="G5489" s="8"/>
      <c r="H5489" s="8"/>
      <c r="I5489" s="15">
        <v>0</v>
      </c>
      <c r="J5489" s="15">
        <v>1</v>
      </c>
      <c r="K5489" s="12" t="str">
        <f>HYPERLINK("http://twitter.com/download/iphone","Twitter for iPhone")</f>
        <v>Twitter for iPhone</v>
      </c>
      <c r="L5489" s="16">
        <v>18</v>
      </c>
      <c r="M5489" s="16">
        <v>39</v>
      </c>
      <c r="N5489" s="16">
        <v>0</v>
      </c>
      <c r="O5489" s="17"/>
      <c r="P5489" s="18">
        <v>43220.419305555552</v>
      </c>
      <c r="Q5489" s="7" t="s">
        <v>1748</v>
      </c>
      <c r="R5489" s="8" t="s">
        <v>25772</v>
      </c>
      <c r="S5489" s="8"/>
      <c r="T5489" s="8"/>
      <c r="U5489" s="19" t="str">
        <f>HYPERLINK("https://pbs.twimg.com/profile_images/991001226484600832/JTfWijyh.jpg","View")</f>
        <v>View</v>
      </c>
      <c r="V5489" s="8"/>
      <c r="W5489" s="8"/>
      <c r="X5489" s="8"/>
      <c r="Y5489" s="8"/>
      <c r="Z5489" s="8"/>
    </row>
    <row r="5490" spans="1:26" ht="12.75">
      <c r="A5490" s="11">
        <v>43747.085821759261</v>
      </c>
      <c r="B5490" s="12" t="str">
        <f>HYPERLINK("https://twitter.com/Cagatayin_Yolu","@Cagatayin_Yolu")</f>
        <v>@Cagatayin_Yolu</v>
      </c>
      <c r="C5490" s="7" t="s">
        <v>25773</v>
      </c>
      <c r="D5490" s="7" t="s">
        <v>25774</v>
      </c>
      <c r="E5490" s="12" t="str">
        <f>HYPERLINK("https://twitter.com/Cagatayin_Yolu/status/1181857732745404416","1181857732745404416")</f>
        <v>1181857732745404416</v>
      </c>
      <c r="F5490" s="8"/>
      <c r="G5490" s="15"/>
      <c r="H5490" s="8"/>
      <c r="I5490" s="15">
        <v>0</v>
      </c>
      <c r="J5490" s="15">
        <v>0</v>
      </c>
      <c r="K5490" s="12" t="str">
        <f>HYPERLINK("http://twitter.com/download/iphone","Twitter for iPhone")</f>
        <v>Twitter for iPhone</v>
      </c>
      <c r="L5490" s="16">
        <v>4570</v>
      </c>
      <c r="M5490" s="16">
        <v>3799</v>
      </c>
      <c r="N5490" s="16">
        <v>1</v>
      </c>
      <c r="O5490" s="17"/>
      <c r="P5490" s="18">
        <v>42055.544085648144</v>
      </c>
      <c r="Q5490" s="7" t="s">
        <v>25775</v>
      </c>
      <c r="R5490" s="8" t="s">
        <v>25776</v>
      </c>
      <c r="S5490" s="14" t="s">
        <v>25777</v>
      </c>
      <c r="T5490" s="8"/>
      <c r="U5490" s="19" t="str">
        <f>HYPERLINK("https://pbs.twimg.com/profile_images/1158506186045644800/UJZX8bOE.jpg","View")</f>
        <v>View</v>
      </c>
      <c r="V5490" s="8"/>
      <c r="W5490" s="8"/>
      <c r="X5490" s="8"/>
      <c r="Y5490" s="8"/>
      <c r="Z5490" s="8"/>
    </row>
    <row r="5491" spans="1:26" ht="12.75">
      <c r="A5491" s="11">
        <v>43747.085625</v>
      </c>
      <c r="B5491" s="12" t="str">
        <f>HYPERLINK("https://twitter.com/emrlh025","@emrlh025")</f>
        <v>@emrlh025</v>
      </c>
      <c r="C5491" s="7" t="s">
        <v>25778</v>
      </c>
      <c r="D5491" s="7" t="s">
        <v>25779</v>
      </c>
      <c r="E5491" s="12" t="str">
        <f>HYPERLINK("https://twitter.com/emrlh025/status/1181857658762072064","1181857658762072064")</f>
        <v>1181857658762072064</v>
      </c>
      <c r="F5491" s="8"/>
      <c r="G5491" s="14" t="s">
        <v>25780</v>
      </c>
      <c r="H5491" s="8"/>
      <c r="I5491" s="15">
        <v>0</v>
      </c>
      <c r="J5491" s="15">
        <v>8</v>
      </c>
      <c r="K5491" s="12" t="str">
        <f>HYPERLINK("http://twitter.com/download/android","Twitter for Android")</f>
        <v>Twitter for Android</v>
      </c>
      <c r="L5491" s="16">
        <v>113</v>
      </c>
      <c r="M5491" s="16">
        <v>111</v>
      </c>
      <c r="N5491" s="16">
        <v>0</v>
      </c>
      <c r="O5491" s="17"/>
      <c r="P5491" s="18">
        <v>42888.650231481486</v>
      </c>
      <c r="Q5491" s="8" t="s">
        <v>1567</v>
      </c>
      <c r="R5491" s="8" t="s">
        <v>25781</v>
      </c>
      <c r="S5491" s="8"/>
      <c r="T5491" s="8"/>
      <c r="U5491" s="19" t="str">
        <f>HYPERLINK("https://pbs.twimg.com/profile_images/1172633093594910720/ZEYn0Y6D.jpg","View")</f>
        <v>View</v>
      </c>
      <c r="V5491" s="8"/>
      <c r="W5491" s="8"/>
      <c r="X5491" s="8"/>
      <c r="Y5491" s="8"/>
      <c r="Z5491" s="8"/>
    </row>
    <row r="5492" spans="1:26" ht="12.75">
      <c r="A5492" s="11">
        <v>43747.085613425923</v>
      </c>
      <c r="B5492" s="12" t="str">
        <f>HYPERLINK("https://twitter.com/Black19Waters03","@Black19Waters03")</f>
        <v>@Black19Waters03</v>
      </c>
      <c r="C5492" s="7" t="s">
        <v>25782</v>
      </c>
      <c r="D5492" s="7" t="s">
        <v>25783</v>
      </c>
      <c r="E5492" s="12" t="str">
        <f>HYPERLINK("https://twitter.com/Black19Waters03/status/1181857655058513920","1181857655058513920")</f>
        <v>1181857655058513920</v>
      </c>
      <c r="F5492" s="8"/>
      <c r="G5492" s="14" t="s">
        <v>25784</v>
      </c>
      <c r="H5492" s="8"/>
      <c r="I5492" s="15">
        <v>0</v>
      </c>
      <c r="J5492" s="15">
        <v>1</v>
      </c>
      <c r="K5492" s="12" t="str">
        <f>HYPERLINK("http://twitter.com/download/iphone","Twitter for iPhone")</f>
        <v>Twitter for iPhone</v>
      </c>
      <c r="L5492" s="16">
        <v>98</v>
      </c>
      <c r="M5492" s="16">
        <v>599</v>
      </c>
      <c r="N5492" s="16">
        <v>0</v>
      </c>
      <c r="O5492" s="17"/>
      <c r="P5492" s="18">
        <v>42904.96366898148</v>
      </c>
      <c r="Q5492" s="7" t="s">
        <v>6551</v>
      </c>
      <c r="R5492" s="7" t="s">
        <v>25785</v>
      </c>
      <c r="S5492" s="8"/>
      <c r="T5492" s="8"/>
      <c r="U5492" s="19" t="str">
        <f>HYPERLINK("https://pbs.twimg.com/profile_images/1035224788439052288/SH_L07hK.jpg","View")</f>
        <v>View</v>
      </c>
      <c r="V5492" s="8"/>
      <c r="W5492" s="8"/>
      <c r="X5492" s="8"/>
      <c r="Y5492" s="8"/>
      <c r="Z5492" s="8"/>
    </row>
    <row r="5493" spans="1:26" ht="12.75">
      <c r="A5493" s="11">
        <v>43747.085543981477</v>
      </c>
      <c r="B5493" s="12" t="str">
        <f>HYPERLINK("https://twitter.com/TASKINGULBABA","@TASKINGULBABA")</f>
        <v>@TASKINGULBABA</v>
      </c>
      <c r="C5493" s="7" t="s">
        <v>25786</v>
      </c>
      <c r="D5493" s="7" t="s">
        <v>25787</v>
      </c>
      <c r="E5493" s="12" t="str">
        <f>HYPERLINK("https://twitter.com/TASKINGULBABA/status/1181857629062225920","1181857629062225920")</f>
        <v>1181857629062225920</v>
      </c>
      <c r="F5493" s="8"/>
      <c r="G5493" s="15"/>
      <c r="H5493" s="8"/>
      <c r="I5493" s="15">
        <v>0</v>
      </c>
      <c r="J5493" s="15">
        <v>0</v>
      </c>
      <c r="K5493" s="12" t="str">
        <f>HYPERLINK("http://twitter.com/download/android","Twitter for Android")</f>
        <v>Twitter for Android</v>
      </c>
      <c r="L5493" s="16">
        <v>48</v>
      </c>
      <c r="M5493" s="16">
        <v>83</v>
      </c>
      <c r="N5493" s="16">
        <v>0</v>
      </c>
      <c r="O5493" s="17"/>
      <c r="P5493" s="18">
        <v>40815.127488425926</v>
      </c>
      <c r="Q5493" s="7"/>
      <c r="R5493" s="7" t="s">
        <v>25788</v>
      </c>
      <c r="S5493" s="15"/>
      <c r="T5493" s="8"/>
      <c r="U5493" s="19" t="str">
        <f>HYPERLINK("https://pbs.twimg.com/profile_images/1074970108685152256/rwh-2RtL.jpg","View")</f>
        <v>View</v>
      </c>
      <c r="V5493" s="8"/>
      <c r="W5493" s="8"/>
      <c r="X5493" s="8"/>
      <c r="Y5493" s="8"/>
      <c r="Z5493" s="8"/>
    </row>
    <row r="5494" spans="1:26" ht="12.75">
      <c r="A5494" s="11">
        <v>43747.085532407407</v>
      </c>
      <c r="B5494" s="12" t="str">
        <f>HYPERLINK("https://twitter.com/Account71781461","@Account71781461")</f>
        <v>@Account71781461</v>
      </c>
      <c r="C5494" s="7" t="s">
        <v>18407</v>
      </c>
      <c r="D5494" s="7" t="s">
        <v>25789</v>
      </c>
      <c r="E5494" s="12" t="str">
        <f>HYPERLINK("https://twitter.com/Account71781461/status/1181857627845861378","1181857627845861378")</f>
        <v>1181857627845861378</v>
      </c>
      <c r="F5494" s="8"/>
      <c r="G5494" s="15"/>
      <c r="H5494" s="8"/>
      <c r="I5494" s="15">
        <v>0</v>
      </c>
      <c r="J5494" s="15">
        <v>0</v>
      </c>
      <c r="K5494" s="12" t="str">
        <f>HYPERLINK("http://twitter.com/download/android","Twitter for Android")</f>
        <v>Twitter for Android</v>
      </c>
      <c r="L5494" s="16">
        <v>4</v>
      </c>
      <c r="M5494" s="16">
        <v>4</v>
      </c>
      <c r="N5494" s="16">
        <v>0</v>
      </c>
      <c r="O5494" s="17"/>
      <c r="P5494" s="18">
        <v>43560.042314814811</v>
      </c>
      <c r="Q5494" s="8"/>
      <c r="R5494" s="7"/>
      <c r="S5494" s="8"/>
      <c r="T5494" s="8"/>
      <c r="U5494" s="20" t="s">
        <v>354</v>
      </c>
      <c r="V5494" s="8"/>
      <c r="W5494" s="8"/>
      <c r="X5494" s="8"/>
      <c r="Y5494" s="8"/>
      <c r="Z5494" s="8"/>
    </row>
    <row r="5495" spans="1:26" ht="12.75">
      <c r="A5495" s="11">
        <v>43747.085486111115</v>
      </c>
      <c r="B5495" s="12" t="str">
        <f>HYPERLINK("https://twitter.com/KarakasFeriha","@KarakasFeriha")</f>
        <v>@KarakasFeriha</v>
      </c>
      <c r="C5495" s="7" t="s">
        <v>25790</v>
      </c>
      <c r="D5495" s="7" t="s">
        <v>25791</v>
      </c>
      <c r="E5495" s="12" t="str">
        <f>HYPERLINK("https://twitter.com/KarakasFeriha/status/1181857610812854272","1181857610812854272")</f>
        <v>1181857610812854272</v>
      </c>
      <c r="F5495" s="8"/>
      <c r="G5495" s="8"/>
      <c r="H5495" s="8"/>
      <c r="I5495" s="15">
        <v>0</v>
      </c>
      <c r="J5495" s="15">
        <v>0</v>
      </c>
      <c r="K5495" s="12" t="str">
        <f>HYPERLINK("https://mobile.twitter.com","Twitter Web App")</f>
        <v>Twitter Web App</v>
      </c>
      <c r="L5495" s="16">
        <v>5</v>
      </c>
      <c r="M5495" s="16">
        <v>29</v>
      </c>
      <c r="N5495" s="16">
        <v>0</v>
      </c>
      <c r="O5495" s="17"/>
      <c r="P5495" s="18">
        <v>42999.646597222221</v>
      </c>
      <c r="Q5495" s="8" t="s">
        <v>25792</v>
      </c>
      <c r="R5495" s="8" t="s">
        <v>25793</v>
      </c>
      <c r="S5495" s="8"/>
      <c r="T5495" s="8"/>
      <c r="U5495" s="19" t="str">
        <f>HYPERLINK("https://pbs.twimg.com/profile_images/1064282740726657024/oSLEXhxc.jpg","View")</f>
        <v>View</v>
      </c>
      <c r="V5495" s="8"/>
      <c r="W5495" s="8"/>
      <c r="X5495" s="8"/>
      <c r="Y5495" s="8"/>
      <c r="Z5495" s="8"/>
    </row>
    <row r="5496" spans="1:26" ht="12.75">
      <c r="A5496" s="11">
        <v>43747.085486111115</v>
      </c>
      <c r="B5496" s="12" t="str">
        <f>HYPERLINK("https://twitter.com/yekarahan","@yekarahan")</f>
        <v>@yekarahan</v>
      </c>
      <c r="C5496" s="7" t="s">
        <v>25794</v>
      </c>
      <c r="D5496" s="7" t="s">
        <v>25795</v>
      </c>
      <c r="E5496" s="12" t="str">
        <f>HYPERLINK("https://twitter.com/yekarahan/status/1181857610309521409","1181857610309521409")</f>
        <v>1181857610309521409</v>
      </c>
      <c r="F5496" s="8"/>
      <c r="G5496" s="8"/>
      <c r="H5496" s="8"/>
      <c r="I5496" s="15">
        <v>0</v>
      </c>
      <c r="J5496" s="15">
        <v>1</v>
      </c>
      <c r="K5496" s="12" t="str">
        <f>HYPERLINK("http://twitter.com/download/iphone","Twitter for iPhone")</f>
        <v>Twitter for iPhone</v>
      </c>
      <c r="L5496" s="16">
        <v>300</v>
      </c>
      <c r="M5496" s="16">
        <v>493</v>
      </c>
      <c r="N5496" s="16">
        <v>0</v>
      </c>
      <c r="O5496" s="17"/>
      <c r="P5496" s="18">
        <v>42793.188877314809</v>
      </c>
      <c r="Q5496" s="8" t="s">
        <v>25796</v>
      </c>
      <c r="R5496" s="8" t="s">
        <v>25797</v>
      </c>
      <c r="S5496" s="8"/>
      <c r="T5496" s="8"/>
      <c r="U5496" s="19" t="str">
        <f>HYPERLINK("https://pbs.twimg.com/profile_images/1177541797763080192/xfh3eBVW.jpg","View")</f>
        <v>View</v>
      </c>
      <c r="V5496" s="8"/>
      <c r="W5496" s="8"/>
      <c r="X5496" s="8"/>
      <c r="Y5496" s="8"/>
      <c r="Z5496" s="8"/>
    </row>
    <row r="5497" spans="1:26" ht="12.75">
      <c r="A5497" s="11">
        <v>43747.085416666669</v>
      </c>
      <c r="B5497" s="12" t="str">
        <f>HYPERLINK("https://twitter.com/61muhcuu","@61muhcuu")</f>
        <v>@61muhcuu</v>
      </c>
      <c r="C5497" s="7" t="s">
        <v>25798</v>
      </c>
      <c r="D5497" s="7" t="s">
        <v>25799</v>
      </c>
      <c r="E5497" s="12" t="str">
        <f>HYPERLINK("https://twitter.com/61muhcuu/status/1181857585202450433","1181857585202450433")</f>
        <v>1181857585202450433</v>
      </c>
      <c r="F5497" s="8"/>
      <c r="G5497" s="15"/>
      <c r="H5497" s="8"/>
      <c r="I5497" s="15">
        <v>0</v>
      </c>
      <c r="J5497" s="15">
        <v>0</v>
      </c>
      <c r="K5497" s="12" t="str">
        <f>HYPERLINK("http://twitter.com/download/android","Twitter for Android")</f>
        <v>Twitter for Android</v>
      </c>
      <c r="L5497" s="16">
        <v>50</v>
      </c>
      <c r="M5497" s="16">
        <v>104</v>
      </c>
      <c r="N5497" s="16">
        <v>0</v>
      </c>
      <c r="O5497" s="20"/>
      <c r="P5497" s="18">
        <v>41312.533831018518</v>
      </c>
      <c r="Q5497" s="7"/>
      <c r="R5497" s="7" t="s">
        <v>25800</v>
      </c>
      <c r="S5497" s="8"/>
      <c r="T5497" s="8"/>
      <c r="U5497" s="19" t="str">
        <f>HYPERLINK("https://pbs.twimg.com/profile_images/1092421299123744779/H_xZ0aOx.jpg","View")</f>
        <v>View</v>
      </c>
      <c r="V5497" s="8"/>
      <c r="W5497" s="8"/>
      <c r="X5497" s="8"/>
      <c r="Y5497" s="8"/>
      <c r="Z5497" s="8"/>
    </row>
    <row r="5498" spans="1:26" ht="12.75">
      <c r="A5498" s="11">
        <v>43747.085416666669</v>
      </c>
      <c r="B5498" s="12" t="str">
        <f>HYPERLINK("https://twitter.com/dimtv_alanya","@dimtv_alanya")</f>
        <v>@dimtv_alanya</v>
      </c>
      <c r="C5498" s="7" t="s">
        <v>25801</v>
      </c>
      <c r="D5498" s="7" t="s">
        <v>25802</v>
      </c>
      <c r="E5498" s="12" t="str">
        <f>HYPERLINK("https://twitter.com/dimtv_alanya/status/1181857582937464832","1181857582937464832")</f>
        <v>1181857582937464832</v>
      </c>
      <c r="F5498" s="8"/>
      <c r="G5498" s="14" t="s">
        <v>25803</v>
      </c>
      <c r="H5498" s="8"/>
      <c r="I5498" s="15">
        <v>0</v>
      </c>
      <c r="J5498" s="15">
        <v>0</v>
      </c>
      <c r="K5498" s="12" t="str">
        <f>HYPERLINK("https://mobile.twitter.com","Twitter Web App")</f>
        <v>Twitter Web App</v>
      </c>
      <c r="L5498" s="16">
        <v>347</v>
      </c>
      <c r="M5498" s="16">
        <v>9</v>
      </c>
      <c r="N5498" s="16">
        <v>0</v>
      </c>
      <c r="O5498" s="17"/>
      <c r="P5498" s="18">
        <v>43727.2574537037</v>
      </c>
      <c r="Q5498" s="7" t="s">
        <v>120</v>
      </c>
      <c r="R5498" s="7" t="s">
        <v>25804</v>
      </c>
      <c r="S5498" s="14" t="s">
        <v>25805</v>
      </c>
      <c r="T5498" s="8"/>
      <c r="U5498" s="19" t="str">
        <f>HYPERLINK("https://pbs.twimg.com/profile_images/1174672261057515520/GZaQ9hwd.jpg","View")</f>
        <v>View</v>
      </c>
      <c r="V5498" s="8"/>
      <c r="W5498" s="8"/>
      <c r="X5498" s="8"/>
      <c r="Y5498" s="8"/>
      <c r="Z5498" s="8"/>
    </row>
    <row r="5499" spans="1:26" ht="12.75">
      <c r="A5499" s="11">
        <v>43747.085405092592</v>
      </c>
      <c r="B5499" s="12" t="str">
        <f>HYPERLINK("https://twitter.com/DasdemirHilmi","@DasdemirHilmi")</f>
        <v>@DasdemirHilmi</v>
      </c>
      <c r="C5499" s="7" t="s">
        <v>25806</v>
      </c>
      <c r="D5499" s="7" t="s">
        <v>25807</v>
      </c>
      <c r="E5499" s="12" t="str">
        <f>HYPERLINK("https://twitter.com/DasdemirHilmi/status/1181857581138169856","1181857581138169856")</f>
        <v>1181857581138169856</v>
      </c>
      <c r="F5499" s="8"/>
      <c r="G5499" s="15"/>
      <c r="H5499" s="8"/>
      <c r="I5499" s="15">
        <v>5</v>
      </c>
      <c r="J5499" s="15">
        <v>23</v>
      </c>
      <c r="K5499" s="12" t="str">
        <f>HYPERLINK("http://twitter.com/download/iphone","Twitter for iPhone")</f>
        <v>Twitter for iPhone</v>
      </c>
      <c r="L5499" s="16">
        <v>33511</v>
      </c>
      <c r="M5499" s="16">
        <v>3289</v>
      </c>
      <c r="N5499" s="16">
        <v>56</v>
      </c>
      <c r="O5499" s="17" t="s">
        <v>984</v>
      </c>
      <c r="P5499" s="18">
        <v>41047.341331018521</v>
      </c>
      <c r="Q5499" s="8" t="s">
        <v>918</v>
      </c>
      <c r="R5499" s="7" t="s">
        <v>25808</v>
      </c>
      <c r="S5499" s="14" t="s">
        <v>25809</v>
      </c>
      <c r="T5499" s="8"/>
      <c r="U5499" s="19" t="str">
        <f>HYPERLINK("https://pbs.twimg.com/profile_images/989794758712324096/THv-_t2g.jpg","View")</f>
        <v>View</v>
      </c>
      <c r="V5499" s="8"/>
      <c r="W5499" s="8"/>
      <c r="X5499" s="8"/>
      <c r="Y5499" s="8"/>
      <c r="Z5499" s="8"/>
    </row>
    <row r="5500" spans="1:26" ht="12.75">
      <c r="A5500" s="11">
        <v>43747.085405092592</v>
      </c>
      <c r="B5500" s="12" t="str">
        <f>HYPERLINK("https://twitter.com/Nurulla07641180","@Nurulla07641180")</f>
        <v>@Nurulla07641180</v>
      </c>
      <c r="C5500" s="7" t="s">
        <v>16645</v>
      </c>
      <c r="D5500" s="7" t="s">
        <v>25810</v>
      </c>
      <c r="E5500" s="12" t="str">
        <f>HYPERLINK("https://twitter.com/Nurulla07641180/status/1181857580316057601","1181857580316057601")</f>
        <v>1181857580316057601</v>
      </c>
      <c r="F5500" s="8"/>
      <c r="G5500" s="15"/>
      <c r="H5500" s="8"/>
      <c r="I5500" s="15">
        <v>0</v>
      </c>
      <c r="J5500" s="15">
        <v>0</v>
      </c>
      <c r="K5500" s="12" t="str">
        <f>HYPERLINK("http://twitter.com/download/iphone","Twitter for iPhone")</f>
        <v>Twitter for iPhone</v>
      </c>
      <c r="L5500" s="16">
        <v>46</v>
      </c>
      <c r="M5500" s="16">
        <v>56</v>
      </c>
      <c r="N5500" s="16">
        <v>0</v>
      </c>
      <c r="O5500" s="17"/>
      <c r="P5500" s="18">
        <v>43545.136099537034</v>
      </c>
      <c r="Q5500" s="7" t="s">
        <v>252</v>
      </c>
      <c r="R5500" s="7" t="s">
        <v>8760</v>
      </c>
      <c r="S5500" s="15"/>
      <c r="T5500" s="8"/>
      <c r="U5500" s="19" t="str">
        <f>HYPERLINK("https://pbs.twimg.com/profile_images/1108674074467856384/YImG92uK.jpg","View")</f>
        <v>View</v>
      </c>
      <c r="V5500" s="8"/>
      <c r="W5500" s="8"/>
      <c r="X5500" s="8"/>
      <c r="Y5500" s="8"/>
      <c r="Z5500" s="8"/>
    </row>
    <row r="5501" spans="1:26" ht="12.75">
      <c r="A5501" s="11">
        <v>43747.085405092592</v>
      </c>
      <c r="B5501" s="12" t="str">
        <f>HYPERLINK("https://twitter.com/whocll","@whocll")</f>
        <v>@whocll</v>
      </c>
      <c r="C5501" s="7" t="s">
        <v>25811</v>
      </c>
      <c r="D5501" s="7" t="s">
        <v>160</v>
      </c>
      <c r="E5501" s="12" t="str">
        <f>HYPERLINK("https://twitter.com/whocll/status/1181857577988173824","1181857577988173824")</f>
        <v>1181857577988173824</v>
      </c>
      <c r="F5501" s="8"/>
      <c r="G5501" s="14" t="s">
        <v>25812</v>
      </c>
      <c r="H5501" s="8"/>
      <c r="I5501" s="15">
        <v>0</v>
      </c>
      <c r="J5501" s="15">
        <v>1</v>
      </c>
      <c r="K5501" s="12" t="str">
        <f>HYPERLINK("http://twitter.com/download/iphone","Twitter for iPhone")</f>
        <v>Twitter for iPhone</v>
      </c>
      <c r="L5501" s="16">
        <v>784</v>
      </c>
      <c r="M5501" s="16">
        <v>916</v>
      </c>
      <c r="N5501" s="16">
        <v>1</v>
      </c>
      <c r="O5501" s="17"/>
      <c r="P5501" s="18">
        <v>41508.55641203704</v>
      </c>
      <c r="Q5501" s="7"/>
      <c r="R5501" s="7" t="s">
        <v>25813</v>
      </c>
      <c r="S5501" s="8"/>
      <c r="T5501" s="8"/>
      <c r="U5501" s="19" t="str">
        <f>HYPERLINK("https://pbs.twimg.com/profile_images/925698383330803713/YqMAtxzM.jpg","View")</f>
        <v>View</v>
      </c>
      <c r="V5501" s="8"/>
      <c r="W5501" s="8"/>
      <c r="X5501" s="8"/>
      <c r="Y5501" s="8"/>
      <c r="Z5501" s="8"/>
    </row>
    <row r="5502" spans="1:26" ht="12.75">
      <c r="A5502" s="11">
        <v>43747.085393518515</v>
      </c>
      <c r="B5502" s="12" t="str">
        <f>HYPERLINK("https://twitter.com/jasiyn83","@jasiyn83")</f>
        <v>@jasiyn83</v>
      </c>
      <c r="C5502" s="7" t="s">
        <v>25814</v>
      </c>
      <c r="D5502" s="7" t="s">
        <v>25815</v>
      </c>
      <c r="E5502" s="12" t="str">
        <f>HYPERLINK("https://twitter.com/jasiyn83/status/1181857575312203777","1181857575312203777")</f>
        <v>1181857575312203777</v>
      </c>
      <c r="F5502" s="14" t="s">
        <v>25816</v>
      </c>
      <c r="G5502" s="15"/>
      <c r="H5502" s="8"/>
      <c r="I5502" s="15">
        <v>0</v>
      </c>
      <c r="J5502" s="15">
        <v>1</v>
      </c>
      <c r="K5502" s="12" t="str">
        <f>HYPERLINK("https://mobile.twitter.com","Twitter Web App")</f>
        <v>Twitter Web App</v>
      </c>
      <c r="L5502" s="16">
        <v>683</v>
      </c>
      <c r="M5502" s="16">
        <v>2887</v>
      </c>
      <c r="N5502" s="16">
        <v>3</v>
      </c>
      <c r="O5502" s="17"/>
      <c r="P5502" s="18">
        <v>43158.002465277779</v>
      </c>
      <c r="Q5502" s="7" t="s">
        <v>2782</v>
      </c>
      <c r="R5502" s="7" t="s">
        <v>25817</v>
      </c>
      <c r="S5502" s="8"/>
      <c r="T5502" s="8"/>
      <c r="U5502" s="19" t="str">
        <f>HYPERLINK("https://pbs.twimg.com/profile_images/1177464907622518785/OQnbeMt2.jpg","View")</f>
        <v>View</v>
      </c>
      <c r="V5502" s="8"/>
      <c r="W5502" s="8"/>
      <c r="X5502" s="8"/>
      <c r="Y5502" s="8"/>
      <c r="Z5502" s="8"/>
    </row>
    <row r="5503" spans="1:26" ht="12.75">
      <c r="A5503" s="11">
        <v>43747.085370370369</v>
      </c>
      <c r="B5503" s="12" t="str">
        <f>HYPERLINK("https://twitter.com/huseyinnkilinc","@huseyinnkilinc")</f>
        <v>@huseyinnkilinc</v>
      </c>
      <c r="C5503" s="7" t="s">
        <v>25818</v>
      </c>
      <c r="D5503" s="7" t="s">
        <v>25819</v>
      </c>
      <c r="E5503" s="12" t="str">
        <f>HYPERLINK("https://twitter.com/huseyinnkilinc/status/1181857568957911040","1181857568957911040")</f>
        <v>1181857568957911040</v>
      </c>
      <c r="F5503" s="8"/>
      <c r="G5503" s="14" t="s">
        <v>25820</v>
      </c>
      <c r="H5503" s="8"/>
      <c r="I5503" s="15">
        <v>0</v>
      </c>
      <c r="J5503" s="15">
        <v>1</v>
      </c>
      <c r="K5503" s="12" t="str">
        <f>HYPERLINK("http://twitter.com/download/iphone","Twitter for iPhone")</f>
        <v>Twitter for iPhone</v>
      </c>
      <c r="L5503" s="16">
        <v>67</v>
      </c>
      <c r="M5503" s="16">
        <v>180</v>
      </c>
      <c r="N5503" s="16">
        <v>0</v>
      </c>
      <c r="O5503" s="17"/>
      <c r="P5503" s="18">
        <v>42253.388657407406</v>
      </c>
      <c r="Q5503" s="7"/>
      <c r="R5503" s="7" t="s">
        <v>25821</v>
      </c>
      <c r="S5503" s="8"/>
      <c r="T5503" s="8"/>
      <c r="U5503" s="19" t="str">
        <f>HYPERLINK("https://pbs.twimg.com/profile_images/1034768581320499201/Dg49GwZp.jpg","View")</f>
        <v>View</v>
      </c>
      <c r="V5503" s="8"/>
      <c r="W5503" s="8"/>
      <c r="X5503" s="8"/>
      <c r="Y5503" s="8"/>
      <c r="Z5503" s="8"/>
    </row>
    <row r="5504" spans="1:26" ht="12.75">
      <c r="A5504" s="11">
        <v>43747.085347222222</v>
      </c>
      <c r="B5504" s="12" t="str">
        <f>HYPERLINK("https://twitter.com/KonusSercan","@KonusSercan")</f>
        <v>@KonusSercan</v>
      </c>
      <c r="C5504" s="7" t="s">
        <v>25822</v>
      </c>
      <c r="D5504" s="7" t="s">
        <v>25823</v>
      </c>
      <c r="E5504" s="12" t="str">
        <f>HYPERLINK("https://twitter.com/KonusSercan/status/1181857559126401024","1181857559126401024")</f>
        <v>1181857559126401024</v>
      </c>
      <c r="F5504" s="8"/>
      <c r="G5504" s="8"/>
      <c r="H5504" s="8"/>
      <c r="I5504" s="15">
        <v>0</v>
      </c>
      <c r="J5504" s="15">
        <v>0</v>
      </c>
      <c r="K5504" s="12" t="str">
        <f>HYPERLINK("http://twitter.com/download/android","Twitter for Android")</f>
        <v>Twitter for Android</v>
      </c>
      <c r="L5504" s="16">
        <v>32</v>
      </c>
      <c r="M5504" s="16">
        <v>130</v>
      </c>
      <c r="N5504" s="16">
        <v>0</v>
      </c>
      <c r="O5504" s="17"/>
      <c r="P5504" s="18">
        <v>43227.575636574074</v>
      </c>
      <c r="Q5504" s="8" t="s">
        <v>6543</v>
      </c>
      <c r="R5504" s="7" t="s">
        <v>25824</v>
      </c>
      <c r="S5504" s="8"/>
      <c r="T5504" s="8"/>
      <c r="U5504" s="19" t="str">
        <f>HYPERLINK("https://pbs.twimg.com/profile_images/1137710212989759488/--0lHDdh.jpg","View")</f>
        <v>View</v>
      </c>
      <c r="V5504" s="8"/>
      <c r="W5504" s="8"/>
      <c r="X5504" s="8"/>
      <c r="Y5504" s="8"/>
      <c r="Z5504" s="8"/>
    </row>
    <row r="5505" spans="1:26" ht="12.75">
      <c r="A5505" s="11">
        <v>43747.085324074069</v>
      </c>
      <c r="B5505" s="12" t="str">
        <f>HYPERLINK("https://twitter.com/hcrseyhan","@hcrseyhan")</f>
        <v>@hcrseyhan</v>
      </c>
      <c r="C5505" s="7" t="s">
        <v>25825</v>
      </c>
      <c r="D5505" s="7" t="s">
        <v>25826</v>
      </c>
      <c r="E5505" s="12" t="str">
        <f>HYPERLINK("https://twitter.com/hcrseyhan/status/1181857550725238784","1181857550725238784")</f>
        <v>1181857550725238784</v>
      </c>
      <c r="F5505" s="8"/>
      <c r="G5505" s="14" t="s">
        <v>25827</v>
      </c>
      <c r="H5505" s="8"/>
      <c r="I5505" s="15">
        <v>0</v>
      </c>
      <c r="J5505" s="15">
        <v>0</v>
      </c>
      <c r="K5505" s="12" t="str">
        <f>HYPERLINK("http://twitter.com/download/android","Twitter for Android")</f>
        <v>Twitter for Android</v>
      </c>
      <c r="L5505" s="16">
        <v>407</v>
      </c>
      <c r="M5505" s="16">
        <v>670</v>
      </c>
      <c r="N5505" s="16">
        <v>0</v>
      </c>
      <c r="O5505" s="17"/>
      <c r="P5505" s="18">
        <v>41716.343807870369</v>
      </c>
      <c r="Q5505" s="7" t="s">
        <v>313</v>
      </c>
      <c r="R5505" s="7" t="s">
        <v>25828</v>
      </c>
      <c r="S5505" s="8"/>
      <c r="T5505" s="8"/>
      <c r="U5505" s="19" t="str">
        <f>HYPERLINK("https://pbs.twimg.com/profile_images/775807840497889280/VwCQLZCT.jpg","View")</f>
        <v>View</v>
      </c>
      <c r="V5505" s="8"/>
      <c r="W5505" s="8"/>
      <c r="X5505" s="8"/>
      <c r="Y5505" s="8"/>
      <c r="Z5505" s="8"/>
    </row>
    <row r="5506" spans="1:26" ht="12.75">
      <c r="A5506" s="11">
        <v>43747.085312499999</v>
      </c>
      <c r="B5506" s="12" t="str">
        <f>HYPERLINK("https://twitter.com/yakupoflar","@yakupoflar")</f>
        <v>@yakupoflar</v>
      </c>
      <c r="C5506" s="7" t="s">
        <v>25829</v>
      </c>
      <c r="D5506" s="7" t="s">
        <v>160</v>
      </c>
      <c r="E5506" s="12" t="str">
        <f>HYPERLINK("https://twitter.com/yakupoflar/status/1181857546971336704","1181857546971336704")</f>
        <v>1181857546971336704</v>
      </c>
      <c r="F5506" s="8"/>
      <c r="G5506" s="14" t="s">
        <v>25830</v>
      </c>
      <c r="H5506" s="8"/>
      <c r="I5506" s="15">
        <v>0</v>
      </c>
      <c r="J5506" s="15">
        <v>0</v>
      </c>
      <c r="K5506" s="12" t="str">
        <f>HYPERLINK("http://twitter.com/download/android","Twitter for Android")</f>
        <v>Twitter for Android</v>
      </c>
      <c r="L5506" s="16">
        <v>4136</v>
      </c>
      <c r="M5506" s="16">
        <v>4393</v>
      </c>
      <c r="N5506" s="16">
        <v>0</v>
      </c>
      <c r="O5506" s="17"/>
      <c r="P5506" s="18">
        <v>40342.546886574077</v>
      </c>
      <c r="Q5506" s="8" t="s">
        <v>25831</v>
      </c>
      <c r="R5506" s="8" t="s">
        <v>25832</v>
      </c>
      <c r="S5506" s="14" t="s">
        <v>25833</v>
      </c>
      <c r="T5506" s="8"/>
      <c r="U5506" s="19" t="str">
        <f>HYPERLINK("https://pbs.twimg.com/profile_images/1137816244164468738/usGbNM5Q.jpg","View")</f>
        <v>View</v>
      </c>
      <c r="V5506" s="8"/>
      <c r="W5506" s="8"/>
      <c r="X5506" s="8"/>
      <c r="Y5506" s="8"/>
      <c r="Z5506" s="8"/>
    </row>
    <row r="5507" spans="1:26" ht="12.75">
      <c r="A5507" s="11">
        <v>43747.08530092593</v>
      </c>
      <c r="B5507" s="12" t="str">
        <f>HYPERLINK("https://twitter.com/sarilarinhakann","@sarilarinhakann")</f>
        <v>@sarilarinhakann</v>
      </c>
      <c r="C5507" s="7" t="s">
        <v>25834</v>
      </c>
      <c r="D5507" s="7" t="s">
        <v>12551</v>
      </c>
      <c r="E5507" s="12" t="str">
        <f>HYPERLINK("https://twitter.com/sarilarinhakann/status/1181857543922081792","1181857543922081792")</f>
        <v>1181857543922081792</v>
      </c>
      <c r="F5507" s="8"/>
      <c r="G5507" s="15"/>
      <c r="H5507" s="8"/>
      <c r="I5507" s="15">
        <v>0</v>
      </c>
      <c r="J5507" s="15">
        <v>1</v>
      </c>
      <c r="K5507" s="12" t="str">
        <f>HYPERLINK("http://twitter.com/download/iphone","Twitter for iPhone")</f>
        <v>Twitter for iPhone</v>
      </c>
      <c r="L5507" s="16">
        <v>49</v>
      </c>
      <c r="M5507" s="16">
        <v>101</v>
      </c>
      <c r="N5507" s="16">
        <v>0</v>
      </c>
      <c r="O5507" s="17"/>
      <c r="P5507" s="18">
        <v>43696.32402777778</v>
      </c>
      <c r="Q5507" s="8"/>
      <c r="R5507" s="7" t="s">
        <v>25835</v>
      </c>
      <c r="S5507" s="8"/>
      <c r="T5507" s="8"/>
      <c r="U5507" s="19" t="str">
        <f>HYPERLINK("https://pbs.twimg.com/profile_images/1163462368199946240/km9lrD06.jpg","View")</f>
        <v>View</v>
      </c>
      <c r="V5507" s="8"/>
      <c r="W5507" s="8"/>
      <c r="X5507" s="8"/>
      <c r="Y5507" s="8"/>
      <c r="Z5507" s="8"/>
    </row>
    <row r="5508" spans="1:26" ht="12.75">
      <c r="A5508" s="11">
        <v>43747.085289351853</v>
      </c>
      <c r="B5508" s="12" t="str">
        <f>HYPERLINK("https://twitter.com/mertyilmaZZers","@mertyilmaZZers")</f>
        <v>@mertyilmaZZers</v>
      </c>
      <c r="C5508" s="7" t="s">
        <v>2540</v>
      </c>
      <c r="D5508" s="7" t="s">
        <v>160</v>
      </c>
      <c r="E5508" s="12" t="str">
        <f>HYPERLINK("https://twitter.com/mertyilmaZZers/status/1181857536095338498","1181857536095338498")</f>
        <v>1181857536095338498</v>
      </c>
      <c r="F5508" s="8"/>
      <c r="G5508" s="14" t="s">
        <v>25836</v>
      </c>
      <c r="H5508" s="8"/>
      <c r="I5508" s="15">
        <v>0</v>
      </c>
      <c r="J5508" s="15">
        <v>1</v>
      </c>
      <c r="K5508" s="12" t="str">
        <f>HYPERLINK("http://twitter.com/download/android","Twitter for Android")</f>
        <v>Twitter for Android</v>
      </c>
      <c r="L5508" s="16">
        <v>112</v>
      </c>
      <c r="M5508" s="16">
        <v>127</v>
      </c>
      <c r="N5508" s="16">
        <v>0</v>
      </c>
      <c r="O5508" s="17"/>
      <c r="P5508" s="18">
        <v>43496.526585648149</v>
      </c>
      <c r="Q5508" s="7"/>
      <c r="R5508" s="7"/>
      <c r="S5508" s="8"/>
      <c r="T5508" s="8"/>
      <c r="U5508" s="19" t="str">
        <f>HYPERLINK("https://pbs.twimg.com/profile_images/1166806373398700034/N-Xx24Zh.jpg","View")</f>
        <v>View</v>
      </c>
      <c r="V5508" s="8"/>
      <c r="W5508" s="8"/>
      <c r="X5508" s="8"/>
      <c r="Y5508" s="8"/>
      <c r="Z5508" s="8"/>
    </row>
    <row r="5509" spans="1:26" ht="12.75">
      <c r="A5509" s="11">
        <v>43747.085127314815</v>
      </c>
      <c r="B5509" s="12" t="str">
        <f>HYPERLINK("https://twitter.com/BerkToksoz","@BerkToksoz")</f>
        <v>@BerkToksoz</v>
      </c>
      <c r="C5509" s="7" t="s">
        <v>18999</v>
      </c>
      <c r="D5509" s="7" t="s">
        <v>17947</v>
      </c>
      <c r="E5509" s="12" t="str">
        <f>HYPERLINK("https://twitter.com/BerkToksoz/status/1181857480931991553","1181857480931991553")</f>
        <v>1181857480931991553</v>
      </c>
      <c r="F5509" s="8"/>
      <c r="G5509" s="15"/>
      <c r="H5509" s="8"/>
      <c r="I5509" s="15">
        <v>0</v>
      </c>
      <c r="J5509" s="15">
        <v>0</v>
      </c>
      <c r="K5509" s="12" t="str">
        <f>HYPERLINK("http://twitter.com/download/iphone","Twitter for iPhone")</f>
        <v>Twitter for iPhone</v>
      </c>
      <c r="L5509" s="16">
        <v>440</v>
      </c>
      <c r="M5509" s="16">
        <v>366</v>
      </c>
      <c r="N5509" s="16">
        <v>0</v>
      </c>
      <c r="O5509" s="17"/>
      <c r="P5509" s="18">
        <v>40749.18917824074</v>
      </c>
      <c r="Q5509" s="8" t="s">
        <v>80</v>
      </c>
      <c r="R5509" s="7" t="s">
        <v>25837</v>
      </c>
      <c r="S5509" s="14" t="s">
        <v>25838</v>
      </c>
      <c r="T5509" s="8"/>
      <c r="U5509" s="19" t="str">
        <f>HYPERLINK("https://pbs.twimg.com/profile_images/724622257964879872/JPsX5WV2.jpg","View")</f>
        <v>View</v>
      </c>
      <c r="V5509" s="8"/>
      <c r="W5509" s="8"/>
      <c r="X5509" s="8"/>
      <c r="Y5509" s="8"/>
      <c r="Z5509" s="8"/>
    </row>
    <row r="5510" spans="1:26" ht="12.75">
      <c r="A5510" s="11">
        <v>43747.085115740745</v>
      </c>
      <c r="B5510" s="12" t="str">
        <f>HYPERLINK("https://twitter.com/mustafamesin","@mustafamesin")</f>
        <v>@mustafamesin</v>
      </c>
      <c r="C5510" s="7" t="s">
        <v>25839</v>
      </c>
      <c r="D5510" s="7" t="s">
        <v>25840</v>
      </c>
      <c r="E5510" s="12" t="str">
        <f>HYPERLINK("https://twitter.com/mustafamesin/status/1181857475219165185","1181857475219165185")</f>
        <v>1181857475219165185</v>
      </c>
      <c r="F5510" s="14" t="s">
        <v>16846</v>
      </c>
      <c r="G5510" s="14" t="s">
        <v>14234</v>
      </c>
      <c r="H5510" s="8"/>
      <c r="I5510" s="15">
        <v>1</v>
      </c>
      <c r="J5510" s="15">
        <v>3</v>
      </c>
      <c r="K5510" s="12" t="str">
        <f>HYPERLINK("http://twitter.com/download/iphone","Twitter for iPhone")</f>
        <v>Twitter for iPhone</v>
      </c>
      <c r="L5510" s="16">
        <v>388</v>
      </c>
      <c r="M5510" s="16">
        <v>1850</v>
      </c>
      <c r="N5510" s="16">
        <v>5</v>
      </c>
      <c r="O5510" s="17"/>
      <c r="P5510" s="18">
        <v>40069.530347222222</v>
      </c>
      <c r="Q5510" s="8" t="s">
        <v>10860</v>
      </c>
      <c r="R5510" s="7" t="s">
        <v>25841</v>
      </c>
      <c r="S5510" s="8"/>
      <c r="T5510" s="8"/>
      <c r="U5510" s="19" t="str">
        <f>HYPERLINK("https://pbs.twimg.com/profile_images/1154590730226003970/6sTSEtJu.jpg","View")</f>
        <v>View</v>
      </c>
      <c r="V5510" s="8"/>
      <c r="W5510" s="8"/>
      <c r="X5510" s="8"/>
      <c r="Y5510" s="8"/>
      <c r="Z5510" s="8"/>
    </row>
    <row r="5511" spans="1:26" ht="12.75">
      <c r="A5511" s="11">
        <v>43747.085115740745</v>
      </c>
      <c r="B5511" s="12" t="str">
        <f>HYPERLINK("https://twitter.com/mustafa_1984","@mustafa_1984")</f>
        <v>@mustafa_1984</v>
      </c>
      <c r="C5511" s="7" t="s">
        <v>25842</v>
      </c>
      <c r="D5511" s="7" t="s">
        <v>25843</v>
      </c>
      <c r="E5511" s="12" t="str">
        <f>HYPERLINK("https://twitter.com/mustafa_1984/status/1181857472849551360","1181857472849551360")</f>
        <v>1181857472849551360</v>
      </c>
      <c r="F5511" s="8"/>
      <c r="G5511" s="14" t="s">
        <v>25844</v>
      </c>
      <c r="H5511" s="8"/>
      <c r="I5511" s="15">
        <v>0</v>
      </c>
      <c r="J5511" s="15">
        <v>0</v>
      </c>
      <c r="K5511" s="12" t="str">
        <f>HYPERLINK("http://twitter.com/download/iphone","Twitter for iPhone")</f>
        <v>Twitter for iPhone</v>
      </c>
      <c r="L5511" s="16">
        <v>310</v>
      </c>
      <c r="M5511" s="16">
        <v>540</v>
      </c>
      <c r="N5511" s="16">
        <v>2</v>
      </c>
      <c r="O5511" s="17"/>
      <c r="P5511" s="18">
        <v>40322.696064814816</v>
      </c>
      <c r="Q5511" s="7"/>
      <c r="R5511" s="7" t="s">
        <v>25845</v>
      </c>
      <c r="S5511" s="15"/>
      <c r="T5511" s="8"/>
      <c r="U5511" s="19" t="str">
        <f>HYPERLINK("https://pbs.twimg.com/profile_images/1122603098604806144/MQ4yJ4Kt.jpg","View")</f>
        <v>View</v>
      </c>
      <c r="V5511" s="8"/>
      <c r="W5511" s="8"/>
      <c r="X5511" s="8"/>
      <c r="Y5511" s="8"/>
      <c r="Z5511" s="8"/>
    </row>
    <row r="5512" spans="1:26" ht="12.75">
      <c r="A5512" s="11">
        <v>43747.085046296299</v>
      </c>
      <c r="B5512" s="12" t="str">
        <f>HYPERLINK("https://twitter.com/mavgunat3","@mavgunat3")</f>
        <v>@mavgunat3</v>
      </c>
      <c r="C5512" s="7" t="s">
        <v>25846</v>
      </c>
      <c r="D5512" s="7" t="s">
        <v>25847</v>
      </c>
      <c r="E5512" s="12" t="str">
        <f>HYPERLINK("https://twitter.com/mavgunat3/status/1181857451697725441","1181857451697725441")</f>
        <v>1181857451697725441</v>
      </c>
      <c r="F5512" s="8"/>
      <c r="G5512" s="15"/>
      <c r="H5512" s="8"/>
      <c r="I5512" s="15">
        <v>0</v>
      </c>
      <c r="J5512" s="15">
        <v>1</v>
      </c>
      <c r="K5512" s="12" t="str">
        <f>HYPERLINK("http://twitter.com/download/android","Twitter for Android")</f>
        <v>Twitter for Android</v>
      </c>
      <c r="L5512" s="16">
        <v>10</v>
      </c>
      <c r="M5512" s="16">
        <v>39</v>
      </c>
      <c r="N5512" s="16">
        <v>0</v>
      </c>
      <c r="O5512" s="17"/>
      <c r="P5512" s="18">
        <v>43470.430925925924</v>
      </c>
      <c r="Q5512" s="8"/>
      <c r="R5512" s="7"/>
      <c r="S5512" s="8"/>
      <c r="T5512" s="8"/>
      <c r="U5512" s="19" t="str">
        <f>HYPERLINK("https://pbs.twimg.com/profile_images/1181858127249100800/Bu1rfe9-.jpg","View")</f>
        <v>View</v>
      </c>
      <c r="V5512" s="8"/>
      <c r="W5512" s="8"/>
      <c r="X5512" s="8"/>
      <c r="Y5512" s="8"/>
      <c r="Z5512" s="8"/>
    </row>
    <row r="5513" spans="1:26" ht="12.75">
      <c r="A5513" s="11">
        <v>43747.085046296299</v>
      </c>
      <c r="B5513" s="12" t="str">
        <f>HYPERLINK("https://twitter.com/maldia_44","@maldia_44")</f>
        <v>@maldia_44</v>
      </c>
      <c r="C5513" s="7" t="s">
        <v>25848</v>
      </c>
      <c r="D5513" s="7" t="s">
        <v>25849</v>
      </c>
      <c r="E5513" s="12" t="str">
        <f>HYPERLINK("https://twitter.com/maldia_44/status/1181857448136761344","1181857448136761344")</f>
        <v>1181857448136761344</v>
      </c>
      <c r="F5513" s="8"/>
      <c r="G5513" s="14" t="s">
        <v>25850</v>
      </c>
      <c r="H5513" s="8"/>
      <c r="I5513" s="15">
        <v>1</v>
      </c>
      <c r="J5513" s="15">
        <v>7</v>
      </c>
      <c r="K5513" s="12" t="str">
        <f>HYPERLINK("http://twitter.com/download/android","Twitter for Android")</f>
        <v>Twitter for Android</v>
      </c>
      <c r="L5513" s="16">
        <v>1155</v>
      </c>
      <c r="M5513" s="16">
        <v>2255</v>
      </c>
      <c r="N5513" s="16">
        <v>0</v>
      </c>
      <c r="O5513" s="17"/>
      <c r="P5513" s="18">
        <v>41908.540381944447</v>
      </c>
      <c r="Q5513" s="7" t="s">
        <v>25851</v>
      </c>
      <c r="R5513" s="7" t="s">
        <v>25852</v>
      </c>
      <c r="S5513" s="8"/>
      <c r="T5513" s="8"/>
      <c r="U5513" s="19" t="str">
        <f>HYPERLINK("https://pbs.twimg.com/profile_images/1120972965003366400/CMwuSnOX.jpg","View")</f>
        <v>View</v>
      </c>
      <c r="V5513" s="8"/>
      <c r="W5513" s="8"/>
      <c r="X5513" s="8"/>
      <c r="Y5513" s="8"/>
      <c r="Z5513" s="8"/>
    </row>
    <row r="5514" spans="1:26" ht="12.75">
      <c r="A5514" s="11">
        <v>43747.085034722222</v>
      </c>
      <c r="B5514" s="12" t="str">
        <f>HYPERLINK("https://twitter.com/arat6060","@arat6060")</f>
        <v>@arat6060</v>
      </c>
      <c r="C5514" s="7" t="s">
        <v>25853</v>
      </c>
      <c r="D5514" s="7" t="s">
        <v>25854</v>
      </c>
      <c r="E5514" s="12" t="str">
        <f>HYPERLINK("https://twitter.com/arat6060/status/1181857445481762816","1181857445481762816")</f>
        <v>1181857445481762816</v>
      </c>
      <c r="F5514" s="8"/>
      <c r="G5514" s="14" t="s">
        <v>25855</v>
      </c>
      <c r="H5514" s="8"/>
      <c r="I5514" s="15">
        <v>0</v>
      </c>
      <c r="J5514" s="15">
        <v>0</v>
      </c>
      <c r="K5514" s="12" t="str">
        <f>HYPERLINK("http://twitter.com/download/android","Twitter for Android")</f>
        <v>Twitter for Android</v>
      </c>
      <c r="L5514" s="16">
        <v>7</v>
      </c>
      <c r="M5514" s="16">
        <v>76</v>
      </c>
      <c r="N5514" s="16">
        <v>0</v>
      </c>
      <c r="O5514" s="17"/>
      <c r="P5514" s="18">
        <v>41768.217731481483</v>
      </c>
      <c r="Q5514" s="7"/>
      <c r="R5514" s="7"/>
      <c r="S5514" s="8"/>
      <c r="T5514" s="8"/>
      <c r="U5514" s="19" t="str">
        <f>HYPERLINK("https://pbs.twimg.com/profile_images/1069514155802140673/TzpomtVF.jpg","View")</f>
        <v>View</v>
      </c>
      <c r="V5514" s="8"/>
      <c r="W5514" s="8"/>
      <c r="X5514" s="8"/>
      <c r="Y5514" s="8"/>
      <c r="Z5514" s="8"/>
    </row>
    <row r="5515" spans="1:26" ht="12.75">
      <c r="A5515" s="11">
        <v>43747.084965277776</v>
      </c>
      <c r="B5515" s="12" t="str">
        <f>HYPERLINK("https://twitter.com/malkocunogluuu","@malkocunogluuu")</f>
        <v>@malkocunogluuu</v>
      </c>
      <c r="C5515" s="7" t="s">
        <v>25856</v>
      </c>
      <c r="D5515" s="7" t="s">
        <v>14258</v>
      </c>
      <c r="E5515" s="12" t="str">
        <f>HYPERLINK("https://twitter.com/malkocunogluuu/status/1181857419745472512","1181857419745472512")</f>
        <v>1181857419745472512</v>
      </c>
      <c r="F5515" s="8"/>
      <c r="G5515" s="8"/>
      <c r="H5515" s="8"/>
      <c r="I5515" s="15">
        <v>0</v>
      </c>
      <c r="J5515" s="15">
        <v>6</v>
      </c>
      <c r="K5515" s="12" t="str">
        <f>HYPERLINK("http://twitter.com/download/iphone","Twitter for iPhone")</f>
        <v>Twitter for iPhone</v>
      </c>
      <c r="L5515" s="16">
        <v>2431</v>
      </c>
      <c r="M5515" s="16">
        <v>2319</v>
      </c>
      <c r="N5515" s="16">
        <v>0</v>
      </c>
      <c r="O5515" s="17"/>
      <c r="P5515" s="18">
        <v>43438.395370370374</v>
      </c>
      <c r="Q5515" s="7" t="s">
        <v>25857</v>
      </c>
      <c r="R5515" s="7" t="s">
        <v>25858</v>
      </c>
      <c r="S5515" s="8"/>
      <c r="T5515" s="8"/>
      <c r="U5515" s="19" t="str">
        <f>HYPERLINK("https://pbs.twimg.com/profile_images/1177667617928208384/-GrWJ6OC.jpg","View")</f>
        <v>View</v>
      </c>
      <c r="V5515" s="8"/>
      <c r="W5515" s="8"/>
      <c r="X5515" s="8"/>
      <c r="Y5515" s="8"/>
      <c r="Z5515" s="8"/>
    </row>
    <row r="5516" spans="1:26" ht="12.75">
      <c r="A5516" s="11">
        <v>43747.084965277776</v>
      </c>
      <c r="B5516" s="12" t="str">
        <f>HYPERLINK("https://twitter.com/eelifseven","@eelifseven")</f>
        <v>@eelifseven</v>
      </c>
      <c r="C5516" s="7" t="s">
        <v>25859</v>
      </c>
      <c r="D5516" s="7" t="s">
        <v>25860</v>
      </c>
      <c r="E5516" s="12" t="str">
        <f>HYPERLINK("https://twitter.com/eelifseven/status/1181857418482999298","1181857418482999298")</f>
        <v>1181857418482999298</v>
      </c>
      <c r="F5516" s="8"/>
      <c r="G5516" s="14" t="s">
        <v>25861</v>
      </c>
      <c r="H5516" s="8"/>
      <c r="I5516" s="15">
        <v>1</v>
      </c>
      <c r="J5516" s="15">
        <v>1</v>
      </c>
      <c r="K5516" s="12" t="str">
        <f>HYPERLINK("http://twitter.com/download/android","Twitter for Android")</f>
        <v>Twitter for Android</v>
      </c>
      <c r="L5516" s="16">
        <v>487</v>
      </c>
      <c r="M5516" s="16">
        <v>691</v>
      </c>
      <c r="N5516" s="16">
        <v>0</v>
      </c>
      <c r="O5516" s="17"/>
      <c r="P5516" s="18">
        <v>40845.470138888893</v>
      </c>
      <c r="Q5516" s="7" t="s">
        <v>313</v>
      </c>
      <c r="R5516" s="7" t="s">
        <v>25862</v>
      </c>
      <c r="S5516" s="14" t="s">
        <v>25863</v>
      </c>
      <c r="T5516" s="8"/>
      <c r="U5516" s="19" t="str">
        <f>HYPERLINK("https://pbs.twimg.com/profile_images/1181798055345053696/xvryXhuf.jpg","View")</f>
        <v>View</v>
      </c>
      <c r="V5516" s="8"/>
      <c r="W5516" s="8"/>
      <c r="X5516" s="8"/>
      <c r="Y5516" s="8"/>
      <c r="Z5516" s="8"/>
    </row>
    <row r="5517" spans="1:26" ht="12.75">
      <c r="A5517" s="11">
        <v>43747.08494212963</v>
      </c>
      <c r="B5517" s="12" t="str">
        <f>HYPERLINK("https://twitter.com/uefehtc","@uefehtc")</f>
        <v>@uefehtc</v>
      </c>
      <c r="C5517" s="7" t="s">
        <v>25864</v>
      </c>
      <c r="D5517" s="7" t="s">
        <v>25865</v>
      </c>
      <c r="E5517" s="12" t="str">
        <f>HYPERLINK("https://twitter.com/uefehtc/status/1181857409800769536","1181857409800769536")</f>
        <v>1181857409800769536</v>
      </c>
      <c r="F5517" s="8"/>
      <c r="G5517" s="8"/>
      <c r="H5517" s="8"/>
      <c r="I5517" s="15">
        <v>0</v>
      </c>
      <c r="J5517" s="15">
        <v>0</v>
      </c>
      <c r="K5517" s="12" t="str">
        <f>HYPERLINK("http://twitter.com/download/android","Twitter for Android")</f>
        <v>Twitter for Android</v>
      </c>
      <c r="L5517" s="16">
        <v>75</v>
      </c>
      <c r="M5517" s="16">
        <v>300</v>
      </c>
      <c r="N5517" s="16">
        <v>0</v>
      </c>
      <c r="O5517" s="17"/>
      <c r="P5517" s="18">
        <v>40577.57371527778</v>
      </c>
      <c r="Q5517" s="7" t="s">
        <v>25866</v>
      </c>
      <c r="R5517" s="7" t="s">
        <v>25867</v>
      </c>
      <c r="S5517" s="15"/>
      <c r="T5517" s="8"/>
      <c r="U5517" s="19" t="str">
        <f>HYPERLINK("https://pbs.twimg.com/profile_images/1120770344745357314/Mtu6LHqc.jpg","View")</f>
        <v>View</v>
      </c>
      <c r="V5517" s="8"/>
      <c r="W5517" s="8"/>
      <c r="X5517" s="8"/>
      <c r="Y5517" s="8"/>
      <c r="Z5517" s="8"/>
    </row>
    <row r="5518" spans="1:26" ht="12.75">
      <c r="A5518" s="11">
        <v>43747.084918981476</v>
      </c>
      <c r="B5518" s="12" t="str">
        <f>HYPERLINK("https://twitter.com/uykucuboga","@uykucuboga")</f>
        <v>@uykucuboga</v>
      </c>
      <c r="C5518" s="7" t="s">
        <v>25868</v>
      </c>
      <c r="D5518" s="7" t="s">
        <v>25869</v>
      </c>
      <c r="E5518" s="12" t="str">
        <f>HYPERLINK("https://twitter.com/uykucuboga/status/1181857403844866048","1181857403844866048")</f>
        <v>1181857403844866048</v>
      </c>
      <c r="F5518" s="8"/>
      <c r="G5518" s="14" t="s">
        <v>25870</v>
      </c>
      <c r="H5518" s="8"/>
      <c r="I5518" s="15">
        <v>1</v>
      </c>
      <c r="J5518" s="15">
        <v>1</v>
      </c>
      <c r="K5518" s="12" t="str">
        <f>HYPERLINK("http://twitter.com/download/android","Twitter for Android")</f>
        <v>Twitter for Android</v>
      </c>
      <c r="L5518" s="16">
        <v>28</v>
      </c>
      <c r="M5518" s="16">
        <v>136</v>
      </c>
      <c r="N5518" s="16">
        <v>0</v>
      </c>
      <c r="O5518" s="17"/>
      <c r="P5518" s="18">
        <v>43429.167581018519</v>
      </c>
      <c r="Q5518" s="8" t="s">
        <v>25871</v>
      </c>
      <c r="R5518" s="8" t="s">
        <v>25872</v>
      </c>
      <c r="S5518" s="8"/>
      <c r="T5518" s="8"/>
      <c r="U5518" s="19" t="str">
        <f>HYPERLINK("https://pbs.twimg.com/profile_images/1132902228556210176/68CgwSQy.jpg","View")</f>
        <v>View</v>
      </c>
      <c r="V5518" s="8"/>
      <c r="W5518" s="8"/>
      <c r="X5518" s="8"/>
      <c r="Y5518" s="8"/>
      <c r="Z5518" s="8"/>
    </row>
    <row r="5519" spans="1:26" ht="12.75">
      <c r="A5519" s="11">
        <v>43747.084918981476</v>
      </c>
      <c r="B5519" s="12" t="str">
        <f>HYPERLINK("https://twitter.com/goodnightmoond","@goodnightmoond")</f>
        <v>@goodnightmoond</v>
      </c>
      <c r="C5519" s="7" t="s">
        <v>25873</v>
      </c>
      <c r="D5519" s="7" t="s">
        <v>25874</v>
      </c>
      <c r="E5519" s="12" t="str">
        <f>HYPERLINK("https://twitter.com/goodnightmoond/status/1181857403593269248","1181857403593269248")</f>
        <v>1181857403593269248</v>
      </c>
      <c r="F5519" s="8"/>
      <c r="G5519" s="15"/>
      <c r="H5519" s="8"/>
      <c r="I5519" s="15">
        <v>4</v>
      </c>
      <c r="J5519" s="15">
        <v>8</v>
      </c>
      <c r="K5519" s="12" t="str">
        <f>HYPERLINK("http://twitter.com/download/android","Twitter for Android")</f>
        <v>Twitter for Android</v>
      </c>
      <c r="L5519" s="16">
        <v>1665</v>
      </c>
      <c r="M5519" s="16">
        <v>1684</v>
      </c>
      <c r="N5519" s="16">
        <v>18</v>
      </c>
      <c r="O5519" s="17"/>
      <c r="P5519" s="18">
        <v>40147.504861111112</v>
      </c>
      <c r="Q5519" s="8"/>
      <c r="R5519" s="8" t="s">
        <v>25875</v>
      </c>
      <c r="S5519" s="14" t="s">
        <v>25876</v>
      </c>
      <c r="T5519" s="8"/>
      <c r="U5519" s="19" t="str">
        <f>HYPERLINK("https://pbs.twimg.com/profile_images/1171524018081386496/gi8zqgFI.jpg","View")</f>
        <v>View</v>
      </c>
      <c r="V5519" s="8"/>
      <c r="W5519" s="8"/>
      <c r="X5519" s="8"/>
      <c r="Y5519" s="8"/>
      <c r="Z5519" s="8"/>
    </row>
    <row r="5520" spans="1:26" ht="12.75">
      <c r="A5520" s="11">
        <v>43747.084907407407</v>
      </c>
      <c r="B5520" s="12" t="str">
        <f>HYPERLINK("https://twitter.com/TfnOztrk","@TfnOztrk")</f>
        <v>@TfnOztrk</v>
      </c>
      <c r="C5520" s="7" t="s">
        <v>25877</v>
      </c>
      <c r="D5520" s="7" t="s">
        <v>25878</v>
      </c>
      <c r="E5520" s="12" t="str">
        <f>HYPERLINK("https://twitter.com/TfnOztrk/status/1181857398258044928","1181857398258044928")</f>
        <v>1181857398258044928</v>
      </c>
      <c r="F5520" s="8"/>
      <c r="G5520" s="14" t="s">
        <v>25879</v>
      </c>
      <c r="H5520" s="8"/>
      <c r="I5520" s="15">
        <v>0</v>
      </c>
      <c r="J5520" s="15">
        <v>0</v>
      </c>
      <c r="K5520" s="12" t="str">
        <f>HYPERLINK("https://mobile.twitter.com","Twitter Web App")</f>
        <v>Twitter Web App</v>
      </c>
      <c r="L5520" s="16">
        <v>1598</v>
      </c>
      <c r="M5520" s="16">
        <v>1690</v>
      </c>
      <c r="N5520" s="16">
        <v>0</v>
      </c>
      <c r="O5520" s="17"/>
      <c r="P5520" s="18">
        <v>41447.671365740738</v>
      </c>
      <c r="Q5520" s="7"/>
      <c r="R5520" s="7" t="s">
        <v>9576</v>
      </c>
      <c r="S5520" s="8"/>
      <c r="T5520" s="8"/>
      <c r="U5520" s="19" t="str">
        <f>HYPERLINK("https://pbs.twimg.com/profile_images/1148174771580035072/S11yPpOx.jpg","View")</f>
        <v>View</v>
      </c>
      <c r="V5520" s="8"/>
      <c r="W5520" s="8"/>
      <c r="X5520" s="8"/>
      <c r="Y5520" s="8"/>
      <c r="Z5520" s="8"/>
    </row>
    <row r="5521" spans="1:26" ht="12.75">
      <c r="A5521" s="11">
        <v>43747.084872685184</v>
      </c>
      <c r="B5521" s="12" t="str">
        <f>HYPERLINK("https://twitter.com/m_wittmannn","@m_wittmannn")</f>
        <v>@m_wittmannn</v>
      </c>
      <c r="C5521" s="7" t="s">
        <v>25880</v>
      </c>
      <c r="D5521" s="7" t="s">
        <v>160</v>
      </c>
      <c r="E5521" s="12" t="str">
        <f>HYPERLINK("https://twitter.com/m_wittmannn/status/1181857384697925632","1181857384697925632")</f>
        <v>1181857384697925632</v>
      </c>
      <c r="F5521" s="8"/>
      <c r="G5521" s="15"/>
      <c r="H5521" s="8"/>
      <c r="I5521" s="15">
        <v>0</v>
      </c>
      <c r="J5521" s="15">
        <v>0</v>
      </c>
      <c r="K5521" s="12" t="str">
        <f>HYPERLINK("http://twitter.com/download/android","Twitter for Android")</f>
        <v>Twitter for Android</v>
      </c>
      <c r="L5521" s="16">
        <v>2</v>
      </c>
      <c r="M5521" s="16">
        <v>42</v>
      </c>
      <c r="N5521" s="16">
        <v>0</v>
      </c>
      <c r="O5521" s="17"/>
      <c r="P5521" s="18">
        <v>42743.502025462964</v>
      </c>
      <c r="Q5521" s="8"/>
      <c r="R5521" s="7"/>
      <c r="S5521" s="15"/>
      <c r="T5521" s="8"/>
      <c r="U5521" s="19" t="str">
        <f>HYPERLINK("https://pbs.twimg.com/profile_images/1181853783548145664/Oht2Sflu.jpg","View")</f>
        <v>View</v>
      </c>
      <c r="V5521" s="8"/>
      <c r="W5521" s="8"/>
      <c r="X5521" s="8"/>
      <c r="Y5521" s="8"/>
      <c r="Z5521" s="8"/>
    </row>
    <row r="5522" spans="1:26" ht="12.75">
      <c r="A5522" s="11">
        <v>43747.084861111114</v>
      </c>
      <c r="B5522" s="12" t="str">
        <f>HYPERLINK("https://twitter.com/necmikilic3359","@necmikilic3359")</f>
        <v>@necmikilic3359</v>
      </c>
      <c r="C5522" s="7" t="s">
        <v>25881</v>
      </c>
      <c r="D5522" s="7" t="s">
        <v>25882</v>
      </c>
      <c r="E5522" s="12" t="str">
        <f>HYPERLINK("https://twitter.com/necmikilic3359/status/1181857383276044293","1181857383276044293")</f>
        <v>1181857383276044293</v>
      </c>
      <c r="F5522" s="8"/>
      <c r="G5522" s="14" t="s">
        <v>25883</v>
      </c>
      <c r="H5522" s="8"/>
      <c r="I5522" s="15">
        <v>22</v>
      </c>
      <c r="J5522" s="15">
        <v>32</v>
      </c>
      <c r="K5522" s="12" t="str">
        <f>HYPERLINK("http://twitter.com/download/iphone","Twitter for iPhone")</f>
        <v>Twitter for iPhone</v>
      </c>
      <c r="L5522" s="16">
        <v>7395</v>
      </c>
      <c r="M5522" s="16">
        <v>7353</v>
      </c>
      <c r="N5522" s="16">
        <v>1</v>
      </c>
      <c r="O5522" s="17"/>
      <c r="P5522" s="18">
        <v>42799.838159722218</v>
      </c>
      <c r="Q5522" s="7" t="s">
        <v>25884</v>
      </c>
      <c r="R5522" s="7" t="s">
        <v>25885</v>
      </c>
      <c r="S5522" s="8"/>
      <c r="T5522" s="8"/>
      <c r="U5522" s="19" t="str">
        <f>HYPERLINK("https://pbs.twimg.com/profile_images/1180609847592660992/cXOC6f0e.jpg","View")</f>
        <v>View</v>
      </c>
      <c r="V5522" s="8"/>
      <c r="W5522" s="8"/>
      <c r="X5522" s="8"/>
      <c r="Y5522" s="8"/>
      <c r="Z5522" s="8"/>
    </row>
    <row r="5523" spans="1:26" ht="12.75">
      <c r="A5523" s="11">
        <v>43747.084837962961</v>
      </c>
      <c r="B5523" s="12" t="str">
        <f>HYPERLINK("https://twitter.com/fthhn","@fthhn")</f>
        <v>@fthhn</v>
      </c>
      <c r="C5523" s="7" t="s">
        <v>8654</v>
      </c>
      <c r="D5523" s="7" t="s">
        <v>25886</v>
      </c>
      <c r="E5523" s="12" t="str">
        <f>HYPERLINK("https://twitter.com/fthhn/status/1181857374686138369","1181857374686138369")</f>
        <v>1181857374686138369</v>
      </c>
      <c r="F5523" s="8"/>
      <c r="G5523" s="15"/>
      <c r="H5523" s="8"/>
      <c r="I5523" s="15">
        <v>0</v>
      </c>
      <c r="J5523" s="15">
        <v>0</v>
      </c>
      <c r="K5523" s="12" t="str">
        <f>HYPERLINK("http://twitter.com/download/android","Twitter for Android")</f>
        <v>Twitter for Android</v>
      </c>
      <c r="L5523" s="16">
        <v>196</v>
      </c>
      <c r="M5523" s="16">
        <v>101</v>
      </c>
      <c r="N5523" s="16">
        <v>0</v>
      </c>
      <c r="O5523" s="17"/>
      <c r="P5523" s="18">
        <v>43391.299201388887</v>
      </c>
      <c r="Q5523" s="7" t="s">
        <v>313</v>
      </c>
      <c r="R5523" s="8" t="s">
        <v>25887</v>
      </c>
      <c r="S5523" s="8"/>
      <c r="T5523" s="8"/>
      <c r="U5523" s="19" t="str">
        <f>HYPERLINK("https://pbs.twimg.com/profile_images/1179779079463145472/yGZKQIXL.jpg","View")</f>
        <v>View</v>
      </c>
      <c r="V5523" s="8"/>
      <c r="W5523" s="8"/>
      <c r="X5523" s="8"/>
      <c r="Y5523" s="8"/>
      <c r="Z5523" s="8"/>
    </row>
    <row r="5524" spans="1:26" ht="12.75">
      <c r="A5524" s="11">
        <v>43747.084837962961</v>
      </c>
      <c r="B5524" s="12" t="str">
        <f>HYPERLINK("https://twitter.com/1453_1905_2023","@1453_1905_2023")</f>
        <v>@1453_1905_2023</v>
      </c>
      <c r="C5524" s="7" t="s">
        <v>25888</v>
      </c>
      <c r="D5524" s="7" t="s">
        <v>25889</v>
      </c>
      <c r="E5524" s="12" t="str">
        <f>HYPERLINK("https://twitter.com/1453_1905_2023/status/1181857374459633664","1181857374459633664")</f>
        <v>1181857374459633664</v>
      </c>
      <c r="F5524" s="8"/>
      <c r="G5524" s="15"/>
      <c r="H5524" s="8"/>
      <c r="I5524" s="15">
        <v>1</v>
      </c>
      <c r="J5524" s="15">
        <v>2</v>
      </c>
      <c r="K5524" s="12" t="str">
        <f>HYPERLINK("http://twitter.com/download/iphone","Twitter for iPhone")</f>
        <v>Twitter for iPhone</v>
      </c>
      <c r="L5524" s="16">
        <v>496</v>
      </c>
      <c r="M5524" s="16">
        <v>919</v>
      </c>
      <c r="N5524" s="16">
        <v>1</v>
      </c>
      <c r="O5524" s="17"/>
      <c r="P5524" s="18">
        <v>40706.595543981479</v>
      </c>
      <c r="Q5524" s="7" t="s">
        <v>4241</v>
      </c>
      <c r="R5524" s="7" t="s">
        <v>25890</v>
      </c>
      <c r="S5524" s="8"/>
      <c r="T5524" s="8"/>
      <c r="U5524" s="19" t="str">
        <f>HYPERLINK("https://pbs.twimg.com/profile_images/779063423015485440/sYNBHm8U.jpg","View")</f>
        <v>View</v>
      </c>
      <c r="V5524" s="8"/>
      <c r="W5524" s="8"/>
      <c r="X5524" s="8"/>
      <c r="Y5524" s="8"/>
      <c r="Z5524" s="8"/>
    </row>
    <row r="5525" spans="1:26" ht="12.75">
      <c r="A5525" s="11">
        <v>43747.084814814814</v>
      </c>
      <c r="B5525" s="12" t="str">
        <f>HYPERLINK("https://twitter.com/mevludesanl","@mevludesanl")</f>
        <v>@mevludesanl</v>
      </c>
      <c r="C5525" s="7" t="s">
        <v>25891</v>
      </c>
      <c r="D5525" s="7" t="s">
        <v>25892</v>
      </c>
      <c r="E5525" s="12" t="str">
        <f>HYPERLINK("https://twitter.com/mevludesanl/status/1181857366075170817","1181857366075170817")</f>
        <v>1181857366075170817</v>
      </c>
      <c r="F5525" s="8"/>
      <c r="G5525" s="8"/>
      <c r="H5525" s="8"/>
      <c r="I5525" s="15">
        <v>0</v>
      </c>
      <c r="J5525" s="15">
        <v>0</v>
      </c>
      <c r="K5525" s="12" t="str">
        <f>HYPERLINK("http://twitter.com/download/android","Twitter for Android")</f>
        <v>Twitter for Android</v>
      </c>
      <c r="L5525" s="16">
        <v>20</v>
      </c>
      <c r="M5525" s="16">
        <v>33</v>
      </c>
      <c r="N5525" s="16">
        <v>0</v>
      </c>
      <c r="O5525" s="17"/>
      <c r="P5525" s="18">
        <v>42858.465069444443</v>
      </c>
      <c r="Q5525" s="7"/>
      <c r="R5525" s="8"/>
      <c r="S5525" s="8"/>
      <c r="T5525" s="8"/>
      <c r="U5525" s="19" t="str">
        <f>HYPERLINK("https://pbs.twimg.com/profile_images/1163111374991560705/UAkZTh6c.jpg","View")</f>
        <v>View</v>
      </c>
      <c r="V5525" s="8"/>
      <c r="W5525" s="8"/>
      <c r="X5525" s="8"/>
      <c r="Y5525" s="8"/>
      <c r="Z5525" s="8"/>
    </row>
    <row r="5526" spans="1:26" ht="12.75">
      <c r="A5526" s="11">
        <v>43747.084768518514</v>
      </c>
      <c r="B5526" s="12" t="str">
        <f>HYPERLINK("https://twitter.com/bbusraarsub","@bbusraarsub")</f>
        <v>@bbusraarsub</v>
      </c>
      <c r="C5526" s="7" t="s">
        <v>25893</v>
      </c>
      <c r="D5526" s="7" t="s">
        <v>25894</v>
      </c>
      <c r="E5526" s="12" t="str">
        <f>HYPERLINK("https://twitter.com/bbusraarsub/status/1181857347360231424","1181857347360231424")</f>
        <v>1181857347360231424</v>
      </c>
      <c r="F5526" s="8"/>
      <c r="G5526" s="14" t="s">
        <v>25895</v>
      </c>
      <c r="H5526" s="8"/>
      <c r="I5526" s="15">
        <v>0</v>
      </c>
      <c r="J5526" s="15">
        <v>0</v>
      </c>
      <c r="K5526" s="12" t="str">
        <f>HYPERLINK("http://twitter.com/download/android","Twitter for Android")</f>
        <v>Twitter for Android</v>
      </c>
      <c r="L5526" s="16">
        <v>101</v>
      </c>
      <c r="M5526" s="16">
        <v>254</v>
      </c>
      <c r="N5526" s="16">
        <v>0</v>
      </c>
      <c r="O5526" s="17"/>
      <c r="P5526" s="18">
        <v>40386.22314814815</v>
      </c>
      <c r="Q5526" s="7" t="s">
        <v>576</v>
      </c>
      <c r="R5526" s="7"/>
      <c r="S5526" s="8"/>
      <c r="T5526" s="8"/>
      <c r="U5526" s="19" t="str">
        <f>HYPERLINK("https://pbs.twimg.com/profile_images/684400839126028289/PnWnJLnz.jpg","View")</f>
        <v>View</v>
      </c>
      <c r="V5526" s="8"/>
      <c r="W5526" s="8"/>
      <c r="X5526" s="8"/>
      <c r="Y5526" s="8"/>
      <c r="Z5526" s="8"/>
    </row>
    <row r="5527" spans="1:26" ht="12.75">
      <c r="A5527" s="11">
        <v>43747.084756944445</v>
      </c>
      <c r="B5527" s="12" t="str">
        <f>HYPERLINK("https://twitter.com/efekan1912","@efekan1912")</f>
        <v>@efekan1912</v>
      </c>
      <c r="C5527" s="7" t="s">
        <v>25896</v>
      </c>
      <c r="D5527" s="7" t="s">
        <v>160</v>
      </c>
      <c r="E5527" s="12" t="str">
        <f>HYPERLINK("https://twitter.com/efekan1912/status/1181857346668105728","1181857346668105728")</f>
        <v>1181857346668105728</v>
      </c>
      <c r="F5527" s="8"/>
      <c r="G5527" s="14" t="s">
        <v>25897</v>
      </c>
      <c r="H5527" s="8"/>
      <c r="I5527" s="15">
        <v>0</v>
      </c>
      <c r="J5527" s="15">
        <v>2</v>
      </c>
      <c r="K5527" s="12" t="str">
        <f>HYPERLINK("http://twitter.com/download/iphone","Twitter for iPhone")</f>
        <v>Twitter for iPhone</v>
      </c>
      <c r="L5527" s="16">
        <v>721</v>
      </c>
      <c r="M5527" s="16">
        <v>688</v>
      </c>
      <c r="N5527" s="16">
        <v>0</v>
      </c>
      <c r="O5527" s="17"/>
      <c r="P5527" s="18">
        <v>41587.470347222225</v>
      </c>
      <c r="Q5527" s="8" t="s">
        <v>25898</v>
      </c>
      <c r="R5527" s="7" t="s">
        <v>25899</v>
      </c>
      <c r="S5527" s="8"/>
      <c r="T5527" s="8"/>
      <c r="U5527" s="19" t="str">
        <f>HYPERLINK("https://pbs.twimg.com/profile_images/1141104201956765696/RvLDJ4jU.jpg","View")</f>
        <v>View</v>
      </c>
      <c r="V5527" s="8"/>
      <c r="W5527" s="8"/>
      <c r="X5527" s="8"/>
      <c r="Y5527" s="8"/>
      <c r="Z5527" s="8"/>
    </row>
    <row r="5528" spans="1:26" ht="12.75">
      <c r="A5528" s="11">
        <v>43747.084722222222</v>
      </c>
      <c r="B5528" s="12" t="str">
        <f>HYPERLINK("https://twitter.com/atk_1881","@atk_1881")</f>
        <v>@atk_1881</v>
      </c>
      <c r="C5528" s="7" t="s">
        <v>25900</v>
      </c>
      <c r="D5528" s="7" t="s">
        <v>25901</v>
      </c>
      <c r="E5528" s="12" t="str">
        <f>HYPERLINK("https://twitter.com/atk_1881/status/1181857334152302592","1181857334152302592")</f>
        <v>1181857334152302592</v>
      </c>
      <c r="F5528" s="15"/>
      <c r="G5528" s="14" t="s">
        <v>25902</v>
      </c>
      <c r="H5528" s="8"/>
      <c r="I5528" s="15">
        <v>1</v>
      </c>
      <c r="J5528" s="15">
        <v>1</v>
      </c>
      <c r="K5528" s="12" t="str">
        <f>HYPERLINK("http://twitter.com/download/iphone","Twitter for iPhone")</f>
        <v>Twitter for iPhone</v>
      </c>
      <c r="L5528" s="16">
        <v>15477</v>
      </c>
      <c r="M5528" s="16">
        <v>11080</v>
      </c>
      <c r="N5528" s="16">
        <v>38</v>
      </c>
      <c r="O5528" s="17"/>
      <c r="P5528" s="18">
        <v>41452.318576388891</v>
      </c>
      <c r="Q5528" s="8"/>
      <c r="R5528" s="15" t="s">
        <v>25903</v>
      </c>
      <c r="S5528" s="15"/>
      <c r="T5528" s="8"/>
      <c r="U5528" s="19" t="str">
        <f>HYPERLINK("https://pbs.twimg.com/profile_images/1082373774694060032/qeuMiS9e.jpg","View")</f>
        <v>View</v>
      </c>
      <c r="V5528" s="8"/>
      <c r="W5528" s="8"/>
      <c r="X5528" s="8"/>
      <c r="Y5528" s="8"/>
      <c r="Z5528" s="8"/>
    </row>
    <row r="5529" spans="1:26" ht="12.75">
      <c r="A5529" s="11">
        <v>43747.084675925929</v>
      </c>
      <c r="B5529" s="12" t="str">
        <f>HYPERLINK("https://twitter.com/zon_hor","@zon_hor")</f>
        <v>@zon_hor</v>
      </c>
      <c r="C5529" s="7" t="s">
        <v>25904</v>
      </c>
      <c r="D5529" s="7" t="s">
        <v>25905</v>
      </c>
      <c r="E5529" s="12" t="str">
        <f>HYPERLINK("https://twitter.com/zon_hor/status/1181857314028044288","1181857314028044288")</f>
        <v>1181857314028044288</v>
      </c>
      <c r="F5529" s="8"/>
      <c r="G5529" s="14" t="s">
        <v>25906</v>
      </c>
      <c r="H5529" s="8"/>
      <c r="I5529" s="15">
        <v>0</v>
      </c>
      <c r="J5529" s="15">
        <v>3</v>
      </c>
      <c r="K5529" s="12" t="str">
        <f>HYPERLINK("http://twitter.com/download/iphone","Twitter for iPhone")</f>
        <v>Twitter for iPhone</v>
      </c>
      <c r="L5529" s="16">
        <v>1363</v>
      </c>
      <c r="M5529" s="16">
        <v>1828</v>
      </c>
      <c r="N5529" s="16">
        <v>0</v>
      </c>
      <c r="O5529" s="17"/>
      <c r="P5529" s="18">
        <v>42178.079340277778</v>
      </c>
      <c r="Q5529" s="7"/>
      <c r="R5529" s="7" t="s">
        <v>25907</v>
      </c>
      <c r="S5529" s="8"/>
      <c r="T5529" s="8"/>
      <c r="U5529" s="19" t="str">
        <f>HYPERLINK("https://pbs.twimg.com/profile_images/1155240917554663425/ALu6egMS.jpg","View")</f>
        <v>View</v>
      </c>
      <c r="V5529" s="8"/>
      <c r="W5529" s="8"/>
      <c r="X5529" s="8"/>
      <c r="Y5529" s="8"/>
      <c r="Z5529" s="8"/>
    </row>
    <row r="5530" spans="1:26" ht="12.75">
      <c r="A5530" s="11">
        <v>43747.084629629629</v>
      </c>
      <c r="B5530" s="12" t="str">
        <f>HYPERLINK("https://twitter.com/selcuk_hac","@selcuk_hac")</f>
        <v>@selcuk_hac</v>
      </c>
      <c r="C5530" s="7" t="s">
        <v>25908</v>
      </c>
      <c r="D5530" s="7" t="s">
        <v>25909</v>
      </c>
      <c r="E5530" s="12" t="str">
        <f>HYPERLINK("https://twitter.com/selcuk_hac/status/1181857297838039042","1181857297838039042")</f>
        <v>1181857297838039042</v>
      </c>
      <c r="F5530" s="8"/>
      <c r="G5530" s="8"/>
      <c r="H5530" s="8"/>
      <c r="I5530" s="15">
        <v>0</v>
      </c>
      <c r="J5530" s="15">
        <v>1</v>
      </c>
      <c r="K5530" s="12" t="str">
        <f>HYPERLINK("http://twitter.com/download/android","Twitter for Android")</f>
        <v>Twitter for Android</v>
      </c>
      <c r="L5530" s="16">
        <v>1981</v>
      </c>
      <c r="M5530" s="16">
        <v>3195</v>
      </c>
      <c r="N5530" s="16">
        <v>3</v>
      </c>
      <c r="O5530" s="17"/>
      <c r="P5530" s="18">
        <v>42210.165451388893</v>
      </c>
      <c r="Q5530" s="7" t="s">
        <v>80</v>
      </c>
      <c r="R5530" s="7" t="s">
        <v>25910</v>
      </c>
      <c r="S5530" s="8"/>
      <c r="T5530" s="8"/>
      <c r="U5530" s="19" t="str">
        <f>HYPERLINK("https://pbs.twimg.com/profile_images/1179050244182597633/U9YPjkJw.jpg","View")</f>
        <v>View</v>
      </c>
      <c r="V5530" s="8"/>
      <c r="W5530" s="8"/>
      <c r="X5530" s="8"/>
      <c r="Y5530" s="8"/>
      <c r="Z5530" s="8"/>
    </row>
    <row r="5531" spans="1:26" ht="12.75">
      <c r="A5531" s="11">
        <v>43747.084606481483</v>
      </c>
      <c r="B5531" s="12" t="str">
        <f>HYPERLINK("https://twitter.com/lkmntgb61","@lkmntgb61")</f>
        <v>@lkmntgb61</v>
      </c>
      <c r="C5531" s="13" t="s">
        <v>25911</v>
      </c>
      <c r="D5531" s="7" t="s">
        <v>151</v>
      </c>
      <c r="E5531" s="12" t="str">
        <f>HYPERLINK("https://twitter.com/lkmntgb61/status/1181857289688539136","1181857289688539136")</f>
        <v>1181857289688539136</v>
      </c>
      <c r="F5531" s="15"/>
      <c r="G5531" s="8"/>
      <c r="H5531" s="8"/>
      <c r="I5531" s="15">
        <v>0</v>
      </c>
      <c r="J5531" s="15">
        <v>0</v>
      </c>
      <c r="K5531" s="12" t="str">
        <f>HYPERLINK("http://twitter.com/download/iphone","Twitter for iPhone")</f>
        <v>Twitter for iPhone</v>
      </c>
      <c r="L5531" s="16">
        <v>38</v>
      </c>
      <c r="M5531" s="16">
        <v>73</v>
      </c>
      <c r="N5531" s="16">
        <v>0</v>
      </c>
      <c r="O5531" s="17"/>
      <c r="P5531" s="18">
        <v>40391.547627314816</v>
      </c>
      <c r="Q5531" s="7" t="s">
        <v>25912</v>
      </c>
      <c r="R5531" s="13" t="s">
        <v>25913</v>
      </c>
      <c r="S5531" s="8"/>
      <c r="T5531" s="8"/>
      <c r="U5531" s="19" t="str">
        <f>HYPERLINK("https://pbs.twimg.com/profile_images/1150448315785498624/PG6cxtjL.jpg","View")</f>
        <v>View</v>
      </c>
      <c r="V5531" s="8"/>
      <c r="W5531" s="8"/>
      <c r="X5531" s="8"/>
      <c r="Y5531" s="8"/>
      <c r="Z5531" s="8"/>
    </row>
    <row r="5532" spans="1:26" ht="12.75">
      <c r="A5532" s="11">
        <v>43747.08457175926</v>
      </c>
      <c r="B5532" s="12" t="str">
        <f>HYPERLINK("https://twitter.com/akpartiurfa","@akpartiurfa")</f>
        <v>@akpartiurfa</v>
      </c>
      <c r="C5532" s="7" t="s">
        <v>25914</v>
      </c>
      <c r="D5532" s="7" t="s">
        <v>20249</v>
      </c>
      <c r="E5532" s="12" t="str">
        <f>HYPERLINK("https://twitter.com/akpartiurfa/status/1181857278896607232","1181857278896607232")</f>
        <v>1181857278896607232</v>
      </c>
      <c r="F5532" s="8"/>
      <c r="G5532" s="14" t="s">
        <v>25915</v>
      </c>
      <c r="H5532" s="8"/>
      <c r="I5532" s="15">
        <v>10</v>
      </c>
      <c r="J5532" s="15">
        <v>26</v>
      </c>
      <c r="K5532" s="12" t="str">
        <f>HYPERLINK("http://twitter.com/download/android","Twitter for Android")</f>
        <v>Twitter for Android</v>
      </c>
      <c r="L5532" s="16">
        <v>22427</v>
      </c>
      <c r="M5532" s="16">
        <v>170</v>
      </c>
      <c r="N5532" s="16">
        <v>8</v>
      </c>
      <c r="O5532" s="17"/>
      <c r="P5532" s="18">
        <v>40990.367002314815</v>
      </c>
      <c r="Q5532" s="7" t="s">
        <v>25916</v>
      </c>
      <c r="R5532" s="8" t="s">
        <v>25917</v>
      </c>
      <c r="S5532" s="14" t="s">
        <v>25918</v>
      </c>
      <c r="T5532" s="8"/>
      <c r="U5532" s="19" t="str">
        <f>HYPERLINK("https://pbs.twimg.com/profile_images/1151012483521495041/-IVl-B4C.jpg","View")</f>
        <v>View</v>
      </c>
      <c r="V5532" s="8"/>
      <c r="W5532" s="8"/>
      <c r="X5532" s="8"/>
      <c r="Y5532" s="8"/>
      <c r="Z5532" s="8"/>
    </row>
    <row r="5533" spans="1:26" ht="12.75">
      <c r="A5533" s="11">
        <v>43747.084502314814</v>
      </c>
      <c r="B5533" s="12" t="str">
        <f>HYPERLINK("https://twitter.com/ozdenbahadir","@ozdenbahadir")</f>
        <v>@ozdenbahadir</v>
      </c>
      <c r="C5533" s="7" t="s">
        <v>25919</v>
      </c>
      <c r="D5533" s="7" t="s">
        <v>25920</v>
      </c>
      <c r="E5533" s="12" t="str">
        <f>HYPERLINK("https://twitter.com/ozdenbahadir/status/1181857253286174720","1181857253286174720")</f>
        <v>1181857253286174720</v>
      </c>
      <c r="F5533" s="8"/>
      <c r="G5533" s="8"/>
      <c r="H5533" s="8"/>
      <c r="I5533" s="15">
        <v>0</v>
      </c>
      <c r="J5533" s="15">
        <v>3</v>
      </c>
      <c r="K5533" s="12" t="str">
        <f>HYPERLINK("https://mobile.twitter.com","Twitter Web App")</f>
        <v>Twitter Web App</v>
      </c>
      <c r="L5533" s="16">
        <v>149</v>
      </c>
      <c r="M5533" s="16">
        <v>559</v>
      </c>
      <c r="N5533" s="16">
        <v>0</v>
      </c>
      <c r="O5533" s="17"/>
      <c r="P5533" s="18">
        <v>40637.228067129632</v>
      </c>
      <c r="Q5533" s="8" t="s">
        <v>10762</v>
      </c>
      <c r="R5533" s="8" t="s">
        <v>25921</v>
      </c>
      <c r="S5533" s="8"/>
      <c r="T5533" s="8"/>
      <c r="U5533" s="19" t="str">
        <f>HYPERLINK("https://pbs.twimg.com/profile_images/1134128513810915330/mKnwwrVb.jpg","View")</f>
        <v>View</v>
      </c>
      <c r="V5533" s="8"/>
      <c r="W5533" s="8"/>
      <c r="X5533" s="8"/>
      <c r="Y5533" s="8"/>
      <c r="Z5533" s="8"/>
    </row>
    <row r="5534" spans="1:26" ht="12.75">
      <c r="A5534" s="11">
        <v>43747.084363425922</v>
      </c>
      <c r="B5534" s="12" t="str">
        <f>HYPERLINK("https://twitter.com/mstafacal","@mstafacal")</f>
        <v>@mstafacal</v>
      </c>
      <c r="C5534" s="7" t="s">
        <v>25922</v>
      </c>
      <c r="D5534" s="7" t="s">
        <v>160</v>
      </c>
      <c r="E5534" s="12" t="str">
        <f>HYPERLINK("https://twitter.com/mstafacal/status/1181857202472194049","1181857202472194049")</f>
        <v>1181857202472194049</v>
      </c>
      <c r="F5534" s="8"/>
      <c r="G5534" s="8"/>
      <c r="H5534" s="8"/>
      <c r="I5534" s="15">
        <v>0</v>
      </c>
      <c r="J5534" s="15">
        <v>1</v>
      </c>
      <c r="K5534" s="12" t="str">
        <f>HYPERLINK("http://twitter.com/download/android","Twitter for Android")</f>
        <v>Twitter for Android</v>
      </c>
      <c r="L5534" s="16">
        <v>502</v>
      </c>
      <c r="M5534" s="16">
        <v>1081</v>
      </c>
      <c r="N5534" s="16">
        <v>1</v>
      </c>
      <c r="O5534" s="17"/>
      <c r="P5534" s="18">
        <v>42992.558668981481</v>
      </c>
      <c r="Q5534" s="7" t="s">
        <v>313</v>
      </c>
      <c r="R5534" s="7"/>
      <c r="S5534" s="8"/>
      <c r="T5534" s="8"/>
      <c r="U5534" s="19" t="str">
        <f>HYPERLINK("https://pbs.twimg.com/profile_images/1173342377429413889/RBkfX7HL.jpg","View")</f>
        <v>View</v>
      </c>
      <c r="V5534" s="8"/>
      <c r="W5534" s="8"/>
      <c r="X5534" s="8"/>
      <c r="Y5534" s="8"/>
      <c r="Z5534" s="8"/>
    </row>
    <row r="5535" spans="1:26" ht="12.75">
      <c r="A5535" s="11">
        <v>43747.084351851852</v>
      </c>
      <c r="B5535" s="12" t="str">
        <f>HYPERLINK("https://twitter.com/leonlkman","@leonlkman")</f>
        <v>@leonlkman</v>
      </c>
      <c r="C5535" s="7" t="s">
        <v>25923</v>
      </c>
      <c r="D5535" s="7" t="s">
        <v>25924</v>
      </c>
      <c r="E5535" s="12" t="str">
        <f>HYPERLINK("https://twitter.com/leonlkman/status/1181857196696584195","1181857196696584195")</f>
        <v>1181857196696584195</v>
      </c>
      <c r="F5535" s="8"/>
      <c r="G5535" s="14" t="s">
        <v>25925</v>
      </c>
      <c r="H5535" s="8"/>
      <c r="I5535" s="15">
        <v>0</v>
      </c>
      <c r="J5535" s="15">
        <v>0</v>
      </c>
      <c r="K5535" s="12" t="str">
        <f>HYPERLINK("http://twitter.com/download/android","Twitter for Android")</f>
        <v>Twitter for Android</v>
      </c>
      <c r="L5535" s="16">
        <v>17</v>
      </c>
      <c r="M5535" s="16">
        <v>38</v>
      </c>
      <c r="N5535" s="16">
        <v>0</v>
      </c>
      <c r="O5535" s="17"/>
      <c r="P5535" s="18">
        <v>43688.607291666667</v>
      </c>
      <c r="Q5535" s="8" t="s">
        <v>8228</v>
      </c>
      <c r="R5535" s="8" t="s">
        <v>25926</v>
      </c>
      <c r="S5535" s="8"/>
      <c r="T5535" s="8"/>
      <c r="U5535" s="19" t="str">
        <f>HYPERLINK("https://pbs.twimg.com/profile_images/1177911623283023872/f5CQvXqt.jpg","View")</f>
        <v>View</v>
      </c>
      <c r="V5535" s="8"/>
      <c r="W5535" s="8"/>
      <c r="X5535" s="8"/>
      <c r="Y5535" s="8"/>
      <c r="Z5535" s="8"/>
    </row>
    <row r="5536" spans="1:26" ht="12.75">
      <c r="A5536" s="11">
        <v>43747.084328703699</v>
      </c>
      <c r="B5536" s="12" t="str">
        <f>HYPERLINK("https://twitter.com/Kasmpaal13","@Kasmpaal13")</f>
        <v>@Kasmpaal13</v>
      </c>
      <c r="C5536" s="7" t="s">
        <v>25927</v>
      </c>
      <c r="D5536" s="7" t="s">
        <v>13923</v>
      </c>
      <c r="E5536" s="12" t="str">
        <f>HYPERLINK("https://twitter.com/Kasmpaal13/status/1181857187657928706","1181857187657928706")</f>
        <v>1181857187657928706</v>
      </c>
      <c r="F5536" s="15"/>
      <c r="G5536" s="14" t="s">
        <v>25928</v>
      </c>
      <c r="H5536" s="8"/>
      <c r="I5536" s="15">
        <v>1</v>
      </c>
      <c r="J5536" s="15">
        <v>2</v>
      </c>
      <c r="K5536" s="12" t="str">
        <f>HYPERLINK("http://twitter.com/download/android","Twitter for Android")</f>
        <v>Twitter for Android</v>
      </c>
      <c r="L5536" s="16">
        <v>19</v>
      </c>
      <c r="M5536" s="16">
        <v>169</v>
      </c>
      <c r="N5536" s="16">
        <v>0</v>
      </c>
      <c r="O5536" s="17"/>
      <c r="P5536" s="18">
        <v>43700.875509259262</v>
      </c>
      <c r="Q5536" s="8"/>
      <c r="R5536" s="8"/>
      <c r="S5536" s="8"/>
      <c r="T5536" s="8"/>
      <c r="U5536" s="19" t="str">
        <f>HYPERLINK("https://pbs.twimg.com/profile_images/1165114401449545728/KAY4Sg6h.jpg","View")</f>
        <v>View</v>
      </c>
      <c r="V5536" s="8"/>
      <c r="W5536" s="8"/>
      <c r="X5536" s="8"/>
      <c r="Y5536" s="8"/>
      <c r="Z5536" s="8"/>
    </row>
    <row r="5537" spans="1:26" ht="12.75">
      <c r="A5537" s="11">
        <v>43747.084293981483</v>
      </c>
      <c r="B5537" s="12" t="str">
        <f>HYPERLINK("https://twitter.com/ykk6plus","@ykk6plus")</f>
        <v>@ykk6plus</v>
      </c>
      <c r="C5537" s="7" t="s">
        <v>25929</v>
      </c>
      <c r="D5537" s="7" t="s">
        <v>14258</v>
      </c>
      <c r="E5537" s="12" t="str">
        <f>HYPERLINK("https://twitter.com/ykk6plus/status/1181857178195509248","1181857178195509248")</f>
        <v>1181857178195509248</v>
      </c>
      <c r="F5537" s="8"/>
      <c r="G5537" s="14" t="s">
        <v>25930</v>
      </c>
      <c r="H5537" s="8"/>
      <c r="I5537" s="15">
        <v>2</v>
      </c>
      <c r="J5537" s="15">
        <v>5</v>
      </c>
      <c r="K5537" s="12" t="str">
        <f>HYPERLINK("http://twitter.com/download/android","Twitter for Android")</f>
        <v>Twitter for Android</v>
      </c>
      <c r="L5537" s="16">
        <v>467</v>
      </c>
      <c r="M5537" s="16">
        <v>463</v>
      </c>
      <c r="N5537" s="16">
        <v>0</v>
      </c>
      <c r="O5537" s="17"/>
      <c r="P5537" s="18">
        <v>43696.030277777776</v>
      </c>
      <c r="Q5537" s="8" t="s">
        <v>25931</v>
      </c>
      <c r="R5537" s="8" t="s">
        <v>25932</v>
      </c>
      <c r="S5537" s="15"/>
      <c r="T5537" s="8"/>
      <c r="U5537" s="19" t="str">
        <f>HYPERLINK("https://pbs.twimg.com/profile_images/1180505531171115008/cTNv4f44.jpg","View")</f>
        <v>View</v>
      </c>
      <c r="V5537" s="8"/>
      <c r="W5537" s="8"/>
      <c r="X5537" s="8"/>
      <c r="Y5537" s="8"/>
      <c r="Z5537" s="8"/>
    </row>
    <row r="5538" spans="1:26" ht="12.75">
      <c r="A5538" s="11">
        <v>43747.08421296296</v>
      </c>
      <c r="B5538" s="12" t="str">
        <f>HYPERLINK("https://twitter.com/TinV_twt","@TinV_twt")</f>
        <v>@TinV_twt</v>
      </c>
      <c r="C5538" s="7" t="s">
        <v>25933</v>
      </c>
      <c r="D5538" s="7" t="s">
        <v>25934</v>
      </c>
      <c r="E5538" s="12" t="str">
        <f>HYPERLINK("https://twitter.com/TinV_twt/status/1181857147304366081","1181857147304366081")</f>
        <v>1181857147304366081</v>
      </c>
      <c r="F5538" s="15"/>
      <c r="G5538" s="15"/>
      <c r="H5538" s="8"/>
      <c r="I5538" s="15">
        <v>0</v>
      </c>
      <c r="J5538" s="15">
        <v>1</v>
      </c>
      <c r="K5538" s="12" t="str">
        <f>HYPERLINK("http://twitter.com/download/android","Twitter for Android")</f>
        <v>Twitter for Android</v>
      </c>
      <c r="L5538" s="16">
        <v>1036</v>
      </c>
      <c r="M5538" s="16">
        <v>898</v>
      </c>
      <c r="N5538" s="16">
        <v>5</v>
      </c>
      <c r="O5538" s="17"/>
      <c r="P5538" s="18">
        <v>40156.997291666667</v>
      </c>
      <c r="Q5538" s="8" t="s">
        <v>25935</v>
      </c>
      <c r="R5538" s="7" t="s">
        <v>25936</v>
      </c>
      <c r="S5538" s="14" t="s">
        <v>25937</v>
      </c>
      <c r="T5538" s="8"/>
      <c r="U5538" s="19" t="str">
        <f>HYPERLINK("https://pbs.twimg.com/profile_images/1180479972537815042/joYmEqi3.jpg","View")</f>
        <v>View</v>
      </c>
      <c r="V5538" s="8"/>
      <c r="W5538" s="8"/>
      <c r="X5538" s="8"/>
      <c r="Y5538" s="8"/>
      <c r="Z5538" s="8"/>
    </row>
    <row r="5539" spans="1:26" ht="12.75">
      <c r="A5539" s="11">
        <v>43747.084155092598</v>
      </c>
      <c r="B5539" s="12" t="str">
        <f>HYPERLINK("https://twitter.com/berhanataoglu","@berhanataoglu")</f>
        <v>@berhanataoglu</v>
      </c>
      <c r="C5539" s="7" t="s">
        <v>25938</v>
      </c>
      <c r="D5539" s="7" t="s">
        <v>25939</v>
      </c>
      <c r="E5539" s="12" t="str">
        <f>HYPERLINK("https://twitter.com/berhanataoglu/status/1181857126383308801","1181857126383308801")</f>
        <v>1181857126383308801</v>
      </c>
      <c r="F5539" s="8"/>
      <c r="G5539" s="8"/>
      <c r="H5539" s="8"/>
      <c r="I5539" s="15">
        <v>1</v>
      </c>
      <c r="J5539" s="15">
        <v>2</v>
      </c>
      <c r="K5539" s="12" t="str">
        <f>HYPERLINK("http://twitter.com/download/iphone","Twitter for iPhone")</f>
        <v>Twitter for iPhone</v>
      </c>
      <c r="L5539" s="16">
        <v>3241</v>
      </c>
      <c r="M5539" s="16">
        <v>3244</v>
      </c>
      <c r="N5539" s="16">
        <v>0</v>
      </c>
      <c r="O5539" s="17"/>
      <c r="P5539" s="18">
        <v>42309.519930555558</v>
      </c>
      <c r="Q5539" s="7"/>
      <c r="R5539" s="7" t="s">
        <v>25940</v>
      </c>
      <c r="S5539" s="14" t="s">
        <v>25941</v>
      </c>
      <c r="T5539" s="8"/>
      <c r="U5539" s="19" t="str">
        <f>HYPERLINK("https://pbs.twimg.com/profile_images/1178956387793215489/03aq9bZQ.jpg","View")</f>
        <v>View</v>
      </c>
      <c r="V5539" s="8"/>
      <c r="W5539" s="8"/>
      <c r="X5539" s="8"/>
      <c r="Y5539" s="8"/>
      <c r="Z5539" s="8"/>
    </row>
    <row r="5540" spans="1:26" ht="12.75">
      <c r="A5540" s="11">
        <v>43747.084143518514</v>
      </c>
      <c r="B5540" s="12" t="str">
        <f>HYPERLINK("https://twitter.com/insanperest_","@insanperest_")</f>
        <v>@insanperest_</v>
      </c>
      <c r="C5540" s="7" t="s">
        <v>25942</v>
      </c>
      <c r="D5540" s="7" t="s">
        <v>25943</v>
      </c>
      <c r="E5540" s="12" t="str">
        <f>HYPERLINK("https://twitter.com/insanperest_/status/1181857124575567872","1181857124575567872")</f>
        <v>1181857124575567872</v>
      </c>
      <c r="F5540" s="8"/>
      <c r="G5540" s="15"/>
      <c r="H5540" s="8"/>
      <c r="I5540" s="15">
        <v>0</v>
      </c>
      <c r="J5540" s="15">
        <v>0</v>
      </c>
      <c r="K5540" s="12" t="str">
        <f>HYPERLINK("https://mobile.twitter.com","Twitter Web App")</f>
        <v>Twitter Web App</v>
      </c>
      <c r="L5540" s="16">
        <v>387</v>
      </c>
      <c r="M5540" s="16">
        <v>232</v>
      </c>
      <c r="N5540" s="16">
        <v>0</v>
      </c>
      <c r="O5540" s="17"/>
      <c r="P5540" s="18">
        <v>42824.602407407408</v>
      </c>
      <c r="Q5540" s="7"/>
      <c r="R5540" s="7"/>
      <c r="S5540" s="14" t="s">
        <v>25944</v>
      </c>
      <c r="T5540" s="8"/>
      <c r="U5540" s="19" t="str">
        <f>HYPERLINK("https://pbs.twimg.com/profile_images/887547113797767168/3yxFdNrG.jpg","View")</f>
        <v>View</v>
      </c>
      <c r="V5540" s="8"/>
      <c r="W5540" s="8"/>
      <c r="X5540" s="8"/>
      <c r="Y5540" s="8"/>
      <c r="Z5540" s="8"/>
    </row>
    <row r="5541" spans="1:26" ht="12.75">
      <c r="A5541" s="11">
        <v>43747.084131944444</v>
      </c>
      <c r="B5541" s="12" t="str">
        <f>HYPERLINK("https://twitter.com/08_ser","@08_ser")</f>
        <v>@08_ser</v>
      </c>
      <c r="C5541" s="7" t="s">
        <v>25945</v>
      </c>
      <c r="D5541" s="7" t="s">
        <v>25946</v>
      </c>
      <c r="E5541" s="12" t="str">
        <f>HYPERLINK("https://twitter.com/08_ser/status/1181857117705265152","1181857117705265152")</f>
        <v>1181857117705265152</v>
      </c>
      <c r="F5541" s="8"/>
      <c r="G5541" s="14" t="s">
        <v>25947</v>
      </c>
      <c r="H5541" s="8"/>
      <c r="I5541" s="15">
        <v>0</v>
      </c>
      <c r="J5541" s="15">
        <v>4</v>
      </c>
      <c r="K5541" s="12" t="str">
        <f>HYPERLINK("http://twitter.com/download/android","Twitter for Android")</f>
        <v>Twitter for Android</v>
      </c>
      <c r="L5541" s="16">
        <v>114</v>
      </c>
      <c r="M5541" s="16">
        <v>166</v>
      </c>
      <c r="N5541" s="16">
        <v>0</v>
      </c>
      <c r="O5541" s="17"/>
      <c r="P5541" s="18">
        <v>40804.768148148149</v>
      </c>
      <c r="Q5541" s="7" t="s">
        <v>8299</v>
      </c>
      <c r="R5541" s="7" t="s">
        <v>25948</v>
      </c>
      <c r="S5541" s="8"/>
      <c r="T5541" s="8"/>
      <c r="U5541" s="19" t="str">
        <f>HYPERLINK("https://pbs.twimg.com/profile_images/731452161587040257/OqSrGCAA.jpg","View")</f>
        <v>View</v>
      </c>
      <c r="V5541" s="8"/>
      <c r="W5541" s="8"/>
      <c r="X5541" s="8"/>
      <c r="Y5541" s="8"/>
      <c r="Z5541" s="8"/>
    </row>
    <row r="5542" spans="1:26" ht="12.75">
      <c r="A5542" s="11">
        <v>43747.084120370375</v>
      </c>
      <c r="B5542" s="12" t="str">
        <f>HYPERLINK("https://twitter.com/fictiondrctr","@fictiondrctr")</f>
        <v>@fictiondrctr</v>
      </c>
      <c r="C5542" s="7" t="s">
        <v>25949</v>
      </c>
      <c r="D5542" s="7" t="s">
        <v>25950</v>
      </c>
      <c r="E5542" s="12" t="str">
        <f>HYPERLINK("https://twitter.com/fictiondrctr/status/1181857115733925888","1181857115733925888")</f>
        <v>1181857115733925888</v>
      </c>
      <c r="F5542" s="8"/>
      <c r="G5542" s="14" t="s">
        <v>25951</v>
      </c>
      <c r="H5542" s="8"/>
      <c r="I5542" s="15">
        <v>0</v>
      </c>
      <c r="J5542" s="15">
        <v>1</v>
      </c>
      <c r="K5542" s="12" t="str">
        <f>HYPERLINK("http://twitter.com/download/iphone","Twitter for iPhone")</f>
        <v>Twitter for iPhone</v>
      </c>
      <c r="L5542" s="16">
        <v>59</v>
      </c>
      <c r="M5542" s="16">
        <v>88</v>
      </c>
      <c r="N5542" s="16">
        <v>0</v>
      </c>
      <c r="O5542" s="17"/>
      <c r="P5542" s="18">
        <v>43283.089826388888</v>
      </c>
      <c r="Q5542" s="8" t="s">
        <v>2050</v>
      </c>
      <c r="R5542" s="7" t="s">
        <v>25952</v>
      </c>
      <c r="S5542" s="8"/>
      <c r="T5542" s="8"/>
      <c r="U5542" s="19" t="str">
        <f>HYPERLINK("https://pbs.twimg.com/profile_images/1061691358824615937/Vt4IRVPt.jpg","View")</f>
        <v>View</v>
      </c>
      <c r="V5542" s="8"/>
      <c r="W5542" s="8"/>
      <c r="X5542" s="8"/>
      <c r="Y5542" s="8"/>
      <c r="Z5542" s="8"/>
    </row>
    <row r="5543" spans="1:26" ht="12.75">
      <c r="A5543" s="11">
        <v>43747.084120370375</v>
      </c>
      <c r="B5543" s="12" t="str">
        <f>HYPERLINK("https://twitter.com/UvezGokhan","@UvezGokhan")</f>
        <v>@UvezGokhan</v>
      </c>
      <c r="C5543" s="7" t="s">
        <v>25953</v>
      </c>
      <c r="D5543" s="7" t="s">
        <v>25954</v>
      </c>
      <c r="E5543" s="12" t="str">
        <f>HYPERLINK("https://twitter.com/UvezGokhan/status/1181857113603215360","1181857113603215360")</f>
        <v>1181857113603215360</v>
      </c>
      <c r="F5543" s="8"/>
      <c r="G5543" s="8"/>
      <c r="H5543" s="8"/>
      <c r="I5543" s="15">
        <v>0</v>
      </c>
      <c r="J5543" s="15">
        <v>0</v>
      </c>
      <c r="K5543" s="12" t="str">
        <f>HYPERLINK("http://twitter.com/download/android","Twitter for Android")</f>
        <v>Twitter for Android</v>
      </c>
      <c r="L5543" s="16">
        <v>7</v>
      </c>
      <c r="M5543" s="16">
        <v>63</v>
      </c>
      <c r="N5543" s="16">
        <v>0</v>
      </c>
      <c r="O5543" s="17"/>
      <c r="P5543" s="18">
        <v>43711.955185185187</v>
      </c>
      <c r="Q5543" s="8" t="s">
        <v>25955</v>
      </c>
      <c r="R5543" s="8" t="s">
        <v>25956</v>
      </c>
      <c r="S5543" s="14" t="s">
        <v>25957</v>
      </c>
      <c r="T5543" s="8"/>
      <c r="U5543" s="19" t="str">
        <f>HYPERLINK("https://pbs.twimg.com/profile_images/1169126960842366978/ozpjBUF9.jpg","View")</f>
        <v>View</v>
      </c>
      <c r="V5543" s="8"/>
      <c r="W5543" s="8"/>
      <c r="X5543" s="8"/>
      <c r="Y5543" s="8"/>
      <c r="Z5543" s="8"/>
    </row>
    <row r="5544" spans="1:26" ht="12.75">
      <c r="A5544" s="11">
        <v>43747.084108796298</v>
      </c>
      <c r="B5544" s="12" t="str">
        <f>HYPERLINK("https://twitter.com/berrak_73","@berrak_73")</f>
        <v>@berrak_73</v>
      </c>
      <c r="C5544" s="7" t="s">
        <v>9018</v>
      </c>
      <c r="D5544" s="7" t="s">
        <v>25958</v>
      </c>
      <c r="E5544" s="12" t="str">
        <f>HYPERLINK("https://twitter.com/berrak_73/status/1181857108347752448","1181857108347752448")</f>
        <v>1181857108347752448</v>
      </c>
      <c r="F5544" s="8"/>
      <c r="G5544" s="15"/>
      <c r="H5544" s="8"/>
      <c r="I5544" s="15">
        <v>0</v>
      </c>
      <c r="J5544" s="15">
        <v>1</v>
      </c>
      <c r="K5544" s="12" t="str">
        <f>HYPERLINK("https://mobile.twitter.com","Twitter Web App")</f>
        <v>Twitter Web App</v>
      </c>
      <c r="L5544" s="16">
        <v>19</v>
      </c>
      <c r="M5544" s="16">
        <v>29</v>
      </c>
      <c r="N5544" s="16">
        <v>0</v>
      </c>
      <c r="O5544" s="17"/>
      <c r="P5544" s="18">
        <v>40485.580208333333</v>
      </c>
      <c r="Q5544" s="7"/>
      <c r="R5544" s="7"/>
      <c r="S5544" s="8"/>
      <c r="T5544" s="8"/>
      <c r="U5544" s="19" t="str">
        <f>HYPERLINK("https://pbs.twimg.com/profile_images/1060812924950847488/JQdoJs1H.jpg","View")</f>
        <v>View</v>
      </c>
      <c r="V5544" s="8"/>
      <c r="W5544" s="8"/>
      <c r="X5544" s="8"/>
      <c r="Y5544" s="8"/>
      <c r="Z5544" s="8"/>
    </row>
    <row r="5545" spans="1:26" ht="12.75">
      <c r="A5545" s="11">
        <v>43747.084108796298</v>
      </c>
      <c r="B5545" s="12" t="str">
        <f>HYPERLINK("https://twitter.com/akkayatansu","@akkayatansu")</f>
        <v>@akkayatansu</v>
      </c>
      <c r="C5545" s="7" t="s">
        <v>25959</v>
      </c>
      <c r="D5545" s="7" t="s">
        <v>25960</v>
      </c>
      <c r="E5545" s="12" t="str">
        <f>HYPERLINK("https://twitter.com/akkayatansu/status/1181857108112941056","1181857108112941056")</f>
        <v>1181857108112941056</v>
      </c>
      <c r="F5545" s="8"/>
      <c r="G5545" s="15"/>
      <c r="H5545" s="8"/>
      <c r="I5545" s="15">
        <v>0</v>
      </c>
      <c r="J5545" s="15">
        <v>1</v>
      </c>
      <c r="K5545" s="12" t="str">
        <f>HYPERLINK("http://twitter.com/download/iphone","Twitter for iPhone")</f>
        <v>Twitter for iPhone</v>
      </c>
      <c r="L5545" s="16">
        <v>318</v>
      </c>
      <c r="M5545" s="16">
        <v>33</v>
      </c>
      <c r="N5545" s="16">
        <v>1</v>
      </c>
      <c r="O5545" s="17"/>
      <c r="P5545" s="18">
        <v>43509.350034722222</v>
      </c>
      <c r="Q5545" s="8"/>
      <c r="R5545" s="7"/>
      <c r="S5545" s="8"/>
      <c r="T5545" s="8"/>
      <c r="U5545" s="19" t="str">
        <f>HYPERLINK("https://pbs.twimg.com/profile_images/1179627062761533441/NeFnj3z2.jpg","View")</f>
        <v>View</v>
      </c>
      <c r="V5545" s="8"/>
      <c r="W5545" s="8"/>
      <c r="X5545" s="8"/>
      <c r="Y5545" s="8"/>
      <c r="Z5545" s="8"/>
    </row>
    <row r="5546" spans="1:26" ht="12.75">
      <c r="A5546" s="11">
        <v>43747.084039351852</v>
      </c>
      <c r="B5546" s="12" t="str">
        <f>HYPERLINK("https://twitter.com/ihsan1984","@ihsan1984")</f>
        <v>@ihsan1984</v>
      </c>
      <c r="C5546" s="7" t="s">
        <v>25961</v>
      </c>
      <c r="D5546" s="7" t="s">
        <v>25962</v>
      </c>
      <c r="E5546" s="12" t="str">
        <f>HYPERLINK("https://twitter.com/ihsan1984/status/1181857084943589376","1181857084943589376")</f>
        <v>1181857084943589376</v>
      </c>
      <c r="F5546" s="8"/>
      <c r="G5546" s="8"/>
      <c r="H5546" s="8"/>
      <c r="I5546" s="15">
        <v>0</v>
      </c>
      <c r="J5546" s="15">
        <v>0</v>
      </c>
      <c r="K5546" s="12" t="str">
        <f>HYPERLINK("http://twitter.com/download/iphone","Twitter for iPhone")</f>
        <v>Twitter for iPhone</v>
      </c>
      <c r="L5546" s="16">
        <v>170</v>
      </c>
      <c r="M5546" s="16">
        <v>633</v>
      </c>
      <c r="N5546" s="16">
        <v>1</v>
      </c>
      <c r="O5546" s="17"/>
      <c r="P5546" s="18">
        <v>40211.118159722224</v>
      </c>
      <c r="Q5546" s="7"/>
      <c r="R5546" s="8" t="s">
        <v>25963</v>
      </c>
      <c r="S5546" s="8"/>
      <c r="T5546" s="8"/>
      <c r="U5546" s="19" t="str">
        <f>HYPERLINK("https://pbs.twimg.com/profile_images/1132025981659693056/LTBBWEeL.jpg","View")</f>
        <v>View</v>
      </c>
      <c r="V5546" s="8"/>
      <c r="W5546" s="8"/>
      <c r="X5546" s="8"/>
      <c r="Y5546" s="8"/>
      <c r="Z5546" s="8"/>
    </row>
    <row r="5547" spans="1:26" ht="12.75">
      <c r="A5547" s="11">
        <v>43747.084016203706</v>
      </c>
      <c r="B5547" s="12" t="str">
        <f>HYPERLINK("https://twitter.com/izellyldrm","@izellyldrm")</f>
        <v>@izellyldrm</v>
      </c>
      <c r="C5547" s="7" t="s">
        <v>25964</v>
      </c>
      <c r="D5547" s="7" t="s">
        <v>25965</v>
      </c>
      <c r="E5547" s="12" t="str">
        <f>HYPERLINK("https://twitter.com/izellyldrm/status/1181857077054115840","1181857077054115840")</f>
        <v>1181857077054115840</v>
      </c>
      <c r="F5547" s="8"/>
      <c r="G5547" s="14" t="s">
        <v>25966</v>
      </c>
      <c r="H5547" s="8"/>
      <c r="I5547" s="15">
        <v>0</v>
      </c>
      <c r="J5547" s="15">
        <v>0</v>
      </c>
      <c r="K5547" s="12" t="str">
        <f>HYPERLINK("http://twitter.com/download/iphone","Twitter for iPhone")</f>
        <v>Twitter for iPhone</v>
      </c>
      <c r="L5547" s="16">
        <v>49</v>
      </c>
      <c r="M5547" s="16">
        <v>30</v>
      </c>
      <c r="N5547" s="16">
        <v>0</v>
      </c>
      <c r="O5547" s="17"/>
      <c r="P5547" s="18">
        <v>43039.40325231482</v>
      </c>
      <c r="Q5547" s="7"/>
      <c r="R5547" s="7" t="s">
        <v>25967</v>
      </c>
      <c r="S5547" s="15"/>
      <c r="T5547" s="8"/>
      <c r="U5547" s="19" t="str">
        <f>HYPERLINK("https://pbs.twimg.com/profile_images/987820258001084416/I49D8tjY.jpg","View")</f>
        <v>View</v>
      </c>
      <c r="V5547" s="8"/>
      <c r="W5547" s="8"/>
      <c r="X5547" s="8"/>
      <c r="Y5547" s="8"/>
      <c r="Z5547" s="8"/>
    </row>
    <row r="5548" spans="1:26" ht="12.75">
      <c r="A5548" s="11">
        <v>43747.083993055552</v>
      </c>
      <c r="B5548" s="12" t="str">
        <f>HYPERLINK("https://twitter.com/Osenolsanbarix","@Osenolsanbarix")</f>
        <v>@Osenolsanbarix</v>
      </c>
      <c r="C5548" s="7" t="s">
        <v>25968</v>
      </c>
      <c r="D5548" s="7" t="s">
        <v>25969</v>
      </c>
      <c r="E5548" s="12" t="str">
        <f>HYPERLINK("https://twitter.com/Osenolsanbarix/status/1181857069323948033","1181857069323948033")</f>
        <v>1181857069323948033</v>
      </c>
      <c r="F5548" s="8"/>
      <c r="G5548" s="14" t="s">
        <v>25970</v>
      </c>
      <c r="H5548" s="8"/>
      <c r="I5548" s="15">
        <v>0</v>
      </c>
      <c r="J5548" s="15">
        <v>0</v>
      </c>
      <c r="K5548" s="12" t="str">
        <f>HYPERLINK("http://twitter.com/download/iphone","Twitter for iPhone")</f>
        <v>Twitter for iPhone</v>
      </c>
      <c r="L5548" s="16">
        <v>577</v>
      </c>
      <c r="M5548" s="16">
        <v>481</v>
      </c>
      <c r="N5548" s="16">
        <v>0</v>
      </c>
      <c r="O5548" s="17"/>
      <c r="P5548" s="18">
        <v>43038.97755787037</v>
      </c>
      <c r="Q5548" s="7" t="s">
        <v>1193</v>
      </c>
      <c r="R5548" s="7" t="s">
        <v>25971</v>
      </c>
      <c r="S5548" s="8"/>
      <c r="T5548" s="8"/>
      <c r="U5548" s="19" t="str">
        <f>HYPERLINK("https://pbs.twimg.com/profile_images/1180143979930820608/Rhk3zYUY.jpg","View")</f>
        <v>View</v>
      </c>
      <c r="V5548" s="8"/>
      <c r="W5548" s="8"/>
      <c r="X5548" s="8"/>
      <c r="Y5548" s="8"/>
      <c r="Z5548" s="8"/>
    </row>
    <row r="5549" spans="1:26" ht="12.75">
      <c r="A5549" s="11">
        <v>43747.083993055552</v>
      </c>
      <c r="B5549" s="12" t="str">
        <f>HYPERLINK("https://twitter.com/GsHuzuuur","@GsHuzuuur")</f>
        <v>@GsHuzuuur</v>
      </c>
      <c r="C5549" s="7" t="s">
        <v>25972</v>
      </c>
      <c r="D5549" s="7" t="s">
        <v>160</v>
      </c>
      <c r="E5549" s="12" t="str">
        <f>HYPERLINK("https://twitter.com/GsHuzuuur/status/1181857066597650434","1181857066597650434")</f>
        <v>1181857066597650434</v>
      </c>
      <c r="F5549" s="8"/>
      <c r="G5549" s="14" t="s">
        <v>25973</v>
      </c>
      <c r="H5549" s="8"/>
      <c r="I5549" s="15">
        <v>0</v>
      </c>
      <c r="J5549" s="15">
        <v>0</v>
      </c>
      <c r="K5549" s="12" t="str">
        <f>HYPERLINK("http://twitter.com/download/iphone","Twitter for iPhone")</f>
        <v>Twitter for iPhone</v>
      </c>
      <c r="L5549" s="16">
        <v>11888</v>
      </c>
      <c r="M5549" s="16">
        <v>307</v>
      </c>
      <c r="N5549" s="16">
        <v>58</v>
      </c>
      <c r="O5549" s="17"/>
      <c r="P5549" s="18">
        <v>40948.43614583333</v>
      </c>
      <c r="Q5549" s="8" t="s">
        <v>25974</v>
      </c>
      <c r="R5549" s="8"/>
      <c r="S5549" s="8"/>
      <c r="T5549" s="8"/>
      <c r="U5549" s="19" t="str">
        <f>HYPERLINK("https://pbs.twimg.com/profile_images/1174271782536253446/G099DQVC.jpg","View")</f>
        <v>View</v>
      </c>
      <c r="V5549" s="8"/>
      <c r="W5549" s="8"/>
      <c r="X5549" s="8"/>
      <c r="Y5549" s="8"/>
      <c r="Z5549" s="8"/>
    </row>
    <row r="5550" spans="1:26" ht="12.75">
      <c r="A5550" s="11">
        <v>43747.083958333329</v>
      </c>
      <c r="B5550" s="12" t="str">
        <f>HYPERLINK("https://twitter.com/lvntyzc1923","@lvntyzc1923")</f>
        <v>@lvntyzc1923</v>
      </c>
      <c r="C5550" s="7" t="s">
        <v>25975</v>
      </c>
      <c r="D5550" s="7" t="s">
        <v>25976</v>
      </c>
      <c r="E5550" s="12" t="str">
        <f>HYPERLINK("https://twitter.com/lvntyzc1923/status/1181857056002842624","1181857056002842624")</f>
        <v>1181857056002842624</v>
      </c>
      <c r="F5550" s="8"/>
      <c r="G5550" s="14" t="s">
        <v>25977</v>
      </c>
      <c r="H5550" s="8"/>
      <c r="I5550" s="15">
        <v>0</v>
      </c>
      <c r="J5550" s="15">
        <v>1</v>
      </c>
      <c r="K5550" s="12" t="str">
        <f>HYPERLINK("http://twitter.com/download/iphone","Twitter for iPhone")</f>
        <v>Twitter for iPhone</v>
      </c>
      <c r="L5550" s="16">
        <v>2420</v>
      </c>
      <c r="M5550" s="16">
        <v>2338</v>
      </c>
      <c r="N5550" s="16">
        <v>2</v>
      </c>
      <c r="O5550" s="17"/>
      <c r="P5550" s="18">
        <v>43184.352372685185</v>
      </c>
      <c r="Q5550" s="7" t="s">
        <v>80</v>
      </c>
      <c r="R5550" s="7" t="s">
        <v>25978</v>
      </c>
      <c r="S5550" s="14" t="s">
        <v>25979</v>
      </c>
      <c r="T5550" s="8"/>
      <c r="U5550" s="19" t="str">
        <f>HYPERLINK("https://pbs.twimg.com/profile_images/1162970371471138817/M8zgszVG.jpg","View")</f>
        <v>View</v>
      </c>
      <c r="V5550" s="8"/>
      <c r="W5550" s="8"/>
      <c r="X5550" s="8"/>
      <c r="Y5550" s="8"/>
      <c r="Z5550" s="8"/>
    </row>
    <row r="5551" spans="1:26" ht="12.75">
      <c r="A5551" s="11">
        <v>43747.083877314813</v>
      </c>
      <c r="B5551" s="12" t="str">
        <f>HYPERLINK("https://twitter.com/birerdemkaya","@birerdemkaya")</f>
        <v>@birerdemkaya</v>
      </c>
      <c r="C5551" s="7" t="s">
        <v>25980</v>
      </c>
      <c r="D5551" s="7" t="s">
        <v>25981</v>
      </c>
      <c r="E5551" s="12" t="str">
        <f>HYPERLINK("https://twitter.com/birerdemkaya/status/1181857028026851328","1181857028026851328")</f>
        <v>1181857028026851328</v>
      </c>
      <c r="F5551" s="8"/>
      <c r="G5551" s="14" t="s">
        <v>25982</v>
      </c>
      <c r="H5551" s="8"/>
      <c r="I5551" s="15">
        <v>0</v>
      </c>
      <c r="J5551" s="15">
        <v>13</v>
      </c>
      <c r="K5551" s="12" t="str">
        <f>HYPERLINK("http://twitter.com/download/android","Twitter for Android")</f>
        <v>Twitter for Android</v>
      </c>
      <c r="L5551" s="16">
        <v>2722</v>
      </c>
      <c r="M5551" s="16">
        <v>3990</v>
      </c>
      <c r="N5551" s="16">
        <v>1</v>
      </c>
      <c r="O5551" s="17"/>
      <c r="P5551" s="18">
        <v>43730.180509259255</v>
      </c>
      <c r="Q5551" s="7" t="s">
        <v>25983</v>
      </c>
      <c r="R5551" s="8" t="s">
        <v>25984</v>
      </c>
      <c r="S5551" s="8"/>
      <c r="T5551" s="8"/>
      <c r="U5551" s="19" t="str">
        <f>HYPERLINK("https://pbs.twimg.com/profile_images/1175733015785459712/8u_dIXbj.jpg","View")</f>
        <v>View</v>
      </c>
      <c r="V5551" s="8"/>
      <c r="W5551" s="8"/>
      <c r="X5551" s="8"/>
      <c r="Y5551" s="8"/>
      <c r="Z5551" s="8"/>
    </row>
    <row r="5552" spans="1:26" ht="12.75">
      <c r="A5552" s="11">
        <v>43747.083865740744</v>
      </c>
      <c r="B5552" s="12" t="str">
        <f>HYPERLINK("https://twitter.com/qumanun","@qumanun")</f>
        <v>@qumanun</v>
      </c>
      <c r="C5552" s="7" t="s">
        <v>25985</v>
      </c>
      <c r="D5552" s="7" t="s">
        <v>25986</v>
      </c>
      <c r="E5552" s="12" t="str">
        <f>HYPERLINK("https://twitter.com/qumanun/status/1181857021571796992","1181857021571796992")</f>
        <v>1181857021571796992</v>
      </c>
      <c r="F5552" s="8"/>
      <c r="G5552" s="14" t="s">
        <v>25987</v>
      </c>
      <c r="H5552" s="8"/>
      <c r="I5552" s="15">
        <v>0</v>
      </c>
      <c r="J5552" s="15">
        <v>2</v>
      </c>
      <c r="K5552" s="12" t="str">
        <f>HYPERLINK("https://mobile.twitter.com","Twitter Web App")</f>
        <v>Twitter Web App</v>
      </c>
      <c r="L5552" s="16">
        <v>31</v>
      </c>
      <c r="M5552" s="16">
        <v>56</v>
      </c>
      <c r="N5552" s="16">
        <v>0</v>
      </c>
      <c r="O5552" s="17"/>
      <c r="P5552" s="18">
        <v>43183.422106481477</v>
      </c>
      <c r="Q5552" s="7"/>
      <c r="R5552" s="7" t="s">
        <v>25988</v>
      </c>
      <c r="S5552" s="8"/>
      <c r="T5552" s="8"/>
      <c r="U5552" s="19" t="str">
        <f>HYPERLINK("https://pbs.twimg.com/profile_images/1103352439602925573/n0pBtcqz.jpg","View")</f>
        <v>View</v>
      </c>
      <c r="V5552" s="8"/>
      <c r="W5552" s="8"/>
      <c r="X5552" s="8"/>
      <c r="Y5552" s="8"/>
      <c r="Z5552" s="8"/>
    </row>
    <row r="5553" spans="1:26" ht="12.75">
      <c r="A5553" s="11">
        <v>43747.083831018521</v>
      </c>
      <c r="B5553" s="12" t="str">
        <f>HYPERLINK("https://twitter.com/Ahmet_cat","@Ahmet_cat")</f>
        <v>@Ahmet_cat</v>
      </c>
      <c r="C5553" s="7" t="s">
        <v>25989</v>
      </c>
      <c r="D5553" s="7" t="s">
        <v>25990</v>
      </c>
      <c r="E5553" s="12" t="str">
        <f>HYPERLINK("https://twitter.com/Ahmet_cat/status/1181857008514936832","1181857008514936832")</f>
        <v>1181857008514936832</v>
      </c>
      <c r="F5553" s="8"/>
      <c r="G5553" s="8"/>
      <c r="H5553" s="8"/>
      <c r="I5553" s="15">
        <v>0</v>
      </c>
      <c r="J5553" s="15">
        <v>1</v>
      </c>
      <c r="K5553" s="12" t="str">
        <f>HYPERLINK("http://twitter.com/download/android","Twitter for Android")</f>
        <v>Twitter for Android</v>
      </c>
      <c r="L5553" s="16">
        <v>474</v>
      </c>
      <c r="M5553" s="16">
        <v>897</v>
      </c>
      <c r="N5553" s="16">
        <v>0</v>
      </c>
      <c r="O5553" s="17"/>
      <c r="P5553" s="18">
        <v>40740.622858796298</v>
      </c>
      <c r="Q5553" s="7"/>
      <c r="R5553" s="7" t="s">
        <v>25991</v>
      </c>
      <c r="S5553" s="8"/>
      <c r="T5553" s="8"/>
      <c r="U5553" s="19" t="str">
        <f>HYPERLINK("https://pbs.twimg.com/profile_images/1151034803594178560/hpieXdXj.jpg","View")</f>
        <v>View</v>
      </c>
      <c r="V5553" s="8"/>
      <c r="W5553" s="8"/>
      <c r="X5553" s="8"/>
      <c r="Y5553" s="8"/>
      <c r="Z5553" s="8"/>
    </row>
    <row r="5554" spans="1:26" ht="12.75">
      <c r="A5554" s="11">
        <v>43747.083819444444</v>
      </c>
      <c r="B5554" s="12" t="str">
        <f>HYPERLINK("https://twitter.com/DNacaristan","@DNacaristan")</f>
        <v>@DNacaristan</v>
      </c>
      <c r="C5554" s="7" t="s">
        <v>25992</v>
      </c>
      <c r="D5554" s="7" t="s">
        <v>25993</v>
      </c>
      <c r="E5554" s="12" t="str">
        <f>HYPERLINK("https://twitter.com/DNacaristan/status/1181857003158872064","1181857003158872064")</f>
        <v>1181857003158872064</v>
      </c>
      <c r="F5554" s="14" t="s">
        <v>5845</v>
      </c>
      <c r="G5554" s="14" t="s">
        <v>5847</v>
      </c>
      <c r="H5554" s="8"/>
      <c r="I5554" s="15">
        <v>0</v>
      </c>
      <c r="J5554" s="15">
        <v>1</v>
      </c>
      <c r="K5554" s="12" t="str">
        <f>HYPERLINK("http://twitter.com/download/android","Twitter for Android")</f>
        <v>Twitter for Android</v>
      </c>
      <c r="L5554" s="16">
        <v>59</v>
      </c>
      <c r="M5554" s="16">
        <v>389</v>
      </c>
      <c r="N5554" s="16">
        <v>0</v>
      </c>
      <c r="O5554" s="17"/>
      <c r="P5554" s="18">
        <v>42226.100092592591</v>
      </c>
      <c r="Q5554" s="7"/>
      <c r="R5554" s="7" t="s">
        <v>8835</v>
      </c>
      <c r="S5554" s="8"/>
      <c r="T5554" s="8"/>
      <c r="U5554" s="19" t="str">
        <f>HYPERLINK("https://pbs.twimg.com/profile_images/1181269147910574080/GO77T_UZ.jpg","View")</f>
        <v>View</v>
      </c>
      <c r="V5554" s="8"/>
      <c r="W5554" s="8"/>
      <c r="X5554" s="8"/>
      <c r="Y5554" s="8"/>
      <c r="Z5554" s="8"/>
    </row>
    <row r="5555" spans="1:26" ht="12.75">
      <c r="A5555" s="11">
        <v>43747.083784722221</v>
      </c>
      <c r="B5555" s="12" t="str">
        <f>HYPERLINK("https://twitter.com/AliiiRumana","@AliiiRumana")</f>
        <v>@AliiiRumana</v>
      </c>
      <c r="C5555" s="7" t="s">
        <v>25994</v>
      </c>
      <c r="D5555" s="7" t="s">
        <v>25995</v>
      </c>
      <c r="E5555" s="12" t="str">
        <f>HYPERLINK("https://twitter.com/AliiiRumana/status/1181856994132709376","1181856994132709376")</f>
        <v>1181856994132709376</v>
      </c>
      <c r="F5555" s="14" t="s">
        <v>25996</v>
      </c>
      <c r="G5555" s="14" t="s">
        <v>25997</v>
      </c>
      <c r="H5555" s="8"/>
      <c r="I5555" s="15">
        <v>0</v>
      </c>
      <c r="J5555" s="15">
        <v>2</v>
      </c>
      <c r="K5555" s="12" t="str">
        <f>HYPERLINK("http://twitter.com/download/android","Twitter for Android")</f>
        <v>Twitter for Android</v>
      </c>
      <c r="L5555" s="16">
        <v>12</v>
      </c>
      <c r="M5555" s="16">
        <v>46</v>
      </c>
      <c r="N5555" s="16">
        <v>1</v>
      </c>
      <c r="O5555" s="17"/>
      <c r="P5555" s="18">
        <v>43690.30950231482</v>
      </c>
      <c r="Q5555" s="7" t="s">
        <v>1796</v>
      </c>
      <c r="R5555" s="8" t="s">
        <v>25998</v>
      </c>
      <c r="S5555" s="8"/>
      <c r="T5555" s="8"/>
      <c r="U5555" s="19" t="str">
        <f>HYPERLINK("https://pbs.twimg.com/profile_images/1162937964491657222/oQ8i9kfx.jpg","View")</f>
        <v>View</v>
      </c>
      <c r="V5555" s="8"/>
      <c r="W5555" s="8"/>
      <c r="X5555" s="8"/>
      <c r="Y5555" s="8"/>
      <c r="Z5555" s="8"/>
    </row>
    <row r="5556" spans="1:26" ht="12.75">
      <c r="A5556" s="11">
        <v>43747.083761574075</v>
      </c>
      <c r="B5556" s="12" t="str">
        <f>HYPERLINK("https://twitter.com/abdullahkonan_","@abdullahkonan_")</f>
        <v>@abdullahkonan_</v>
      </c>
      <c r="C5556" s="7" t="s">
        <v>25999</v>
      </c>
      <c r="D5556" s="7" t="s">
        <v>26000</v>
      </c>
      <c r="E5556" s="12" t="str">
        <f>HYPERLINK("https://twitter.com/abdullahkonan_/status/1181856986016735233","1181856986016735233")</f>
        <v>1181856986016735233</v>
      </c>
      <c r="F5556" s="8"/>
      <c r="G5556" s="8"/>
      <c r="H5556" s="8"/>
      <c r="I5556" s="15">
        <v>0</v>
      </c>
      <c r="J5556" s="15">
        <v>1</v>
      </c>
      <c r="K5556" s="12" t="str">
        <f>HYPERLINK("http://twitter.com/download/android","Twitter for Android")</f>
        <v>Twitter for Android</v>
      </c>
      <c r="L5556" s="16">
        <v>213</v>
      </c>
      <c r="M5556" s="16">
        <v>61</v>
      </c>
      <c r="N5556" s="16">
        <v>0</v>
      </c>
      <c r="O5556" s="17"/>
      <c r="P5556" s="18">
        <v>41696.456550925926</v>
      </c>
      <c r="Q5556" s="8"/>
      <c r="R5556" s="7" t="s">
        <v>26001</v>
      </c>
      <c r="S5556" s="8"/>
      <c r="T5556" s="8"/>
      <c r="U5556" s="19" t="str">
        <f>HYPERLINK("https://pbs.twimg.com/profile_images/1178599728956739584/HXlU5HIT.jpg","View")</f>
        <v>View</v>
      </c>
      <c r="V5556" s="8"/>
      <c r="W5556" s="8"/>
      <c r="X5556" s="8"/>
      <c r="Y5556" s="8"/>
      <c r="Z5556" s="8"/>
    </row>
    <row r="5557" spans="1:26" ht="12.75">
      <c r="A5557" s="11">
        <v>43747.083750000005</v>
      </c>
      <c r="B5557" s="12" t="str">
        <f>HYPERLINK("https://twitter.com/birdeli2019","@birdeli2019")</f>
        <v>@birdeli2019</v>
      </c>
      <c r="C5557" s="7" t="s">
        <v>26002</v>
      </c>
      <c r="D5557" s="7" t="s">
        <v>26003</v>
      </c>
      <c r="E5557" s="12" t="str">
        <f>HYPERLINK("https://twitter.com/birdeli2019/status/1181856978135605248","1181856978135605248")</f>
        <v>1181856978135605248</v>
      </c>
      <c r="F5557" s="8"/>
      <c r="G5557" s="15"/>
      <c r="H5557" s="8"/>
      <c r="I5557" s="15">
        <v>0</v>
      </c>
      <c r="J5557" s="15">
        <v>14</v>
      </c>
      <c r="K5557" s="12" t="str">
        <f>HYPERLINK("http://twitter.com/download/android","Twitter for Android")</f>
        <v>Twitter for Android</v>
      </c>
      <c r="L5557" s="16">
        <v>1875</v>
      </c>
      <c r="M5557" s="16">
        <v>1754</v>
      </c>
      <c r="N5557" s="16">
        <v>0</v>
      </c>
      <c r="O5557" s="17"/>
      <c r="P5557" s="18">
        <v>40281.262025462966</v>
      </c>
      <c r="Q5557" s="7" t="s">
        <v>20956</v>
      </c>
      <c r="R5557" s="8" t="s">
        <v>26004</v>
      </c>
      <c r="S5557" s="8"/>
      <c r="T5557" s="8"/>
      <c r="U5557" s="19" t="str">
        <f>HYPERLINK("https://pbs.twimg.com/profile_images/1164639321535733761/bDtQ8EC4.jpg","View")</f>
        <v>View</v>
      </c>
      <c r="V5557" s="8"/>
      <c r="W5557" s="8"/>
      <c r="X5557" s="8"/>
      <c r="Y5557" s="8"/>
      <c r="Z5557" s="8"/>
    </row>
    <row r="5558" spans="1:26" ht="12.75">
      <c r="A5558" s="11">
        <v>43747.083738425921</v>
      </c>
      <c r="B5558" s="12" t="str">
        <f>HYPERLINK("https://twitter.com/sdumenli","@sdumenli")</f>
        <v>@sdumenli</v>
      </c>
      <c r="C5558" s="7" t="s">
        <v>26005</v>
      </c>
      <c r="D5558" s="7" t="s">
        <v>26006</v>
      </c>
      <c r="E5558" s="12" t="str">
        <f>HYPERLINK("https://twitter.com/sdumenli/status/1181856974943772672","1181856974943772672")</f>
        <v>1181856974943772672</v>
      </c>
      <c r="F5558" s="8"/>
      <c r="G5558" s="8"/>
      <c r="H5558" s="8"/>
      <c r="I5558" s="15">
        <v>0</v>
      </c>
      <c r="J5558" s="15">
        <v>3</v>
      </c>
      <c r="K5558" s="12" t="str">
        <f>HYPERLINK("https://mobile.twitter.com","Twitter Web App")</f>
        <v>Twitter Web App</v>
      </c>
      <c r="L5558" s="16">
        <v>9</v>
      </c>
      <c r="M5558" s="16">
        <v>49</v>
      </c>
      <c r="N5558" s="16">
        <v>0</v>
      </c>
      <c r="O5558" s="17"/>
      <c r="P5558" s="18">
        <v>43216.308182870373</v>
      </c>
      <c r="Q5558" s="8" t="s">
        <v>498</v>
      </c>
      <c r="R5558" s="7" t="s">
        <v>26007</v>
      </c>
      <c r="S5558" s="8"/>
      <c r="T5558" s="8"/>
      <c r="U5558" s="19" t="str">
        <f>HYPERLINK("https://pbs.twimg.com/profile_images/1153007445624721410/XxxlwCrK.jpg","View")</f>
        <v>View</v>
      </c>
      <c r="V5558" s="8"/>
      <c r="W5558" s="8"/>
      <c r="X5558" s="8"/>
      <c r="Y5558" s="8"/>
      <c r="Z5558" s="8"/>
    </row>
    <row r="5559" spans="1:26" ht="12.75">
      <c r="A5559" s="11">
        <v>43747.083599537036</v>
      </c>
      <c r="B5559" s="12" t="str">
        <f>HYPERLINK("https://twitter.com/aliyilmaz661","@aliyilmaz661")</f>
        <v>@aliyilmaz661</v>
      </c>
      <c r="C5559" s="7" t="s">
        <v>26008</v>
      </c>
      <c r="D5559" s="7" t="s">
        <v>26009</v>
      </c>
      <c r="E5559" s="12" t="str">
        <f>HYPERLINK("https://twitter.com/aliyilmaz661/status/1181856923563577346","1181856923563577346")</f>
        <v>1181856923563577346</v>
      </c>
      <c r="F5559" s="8"/>
      <c r="G5559" s="14" t="s">
        <v>26010</v>
      </c>
      <c r="H5559" s="8"/>
      <c r="I5559" s="15">
        <v>3</v>
      </c>
      <c r="J5559" s="15">
        <v>32</v>
      </c>
      <c r="K5559" s="12" t="str">
        <f>HYPERLINK("https://mobile.twitter.com","Twitter Web App")</f>
        <v>Twitter Web App</v>
      </c>
      <c r="L5559" s="16">
        <v>2932</v>
      </c>
      <c r="M5559" s="16">
        <v>2293</v>
      </c>
      <c r="N5559" s="16">
        <v>6</v>
      </c>
      <c r="O5559" s="17"/>
      <c r="P5559" s="18">
        <v>42218.046435185184</v>
      </c>
      <c r="Q5559" s="7"/>
      <c r="R5559" s="7" t="s">
        <v>26011</v>
      </c>
      <c r="S5559" s="15"/>
      <c r="T5559" s="8"/>
      <c r="U5559" s="19" t="str">
        <f>HYPERLINK("https://pbs.twimg.com/profile_images/984027200709185537/7lGRBUBk.jpg","View")</f>
        <v>View</v>
      </c>
      <c r="V5559" s="8"/>
      <c r="W5559" s="8"/>
      <c r="X5559" s="8"/>
      <c r="Y5559" s="8"/>
      <c r="Z5559" s="8"/>
    </row>
    <row r="5560" spans="1:26" ht="12.75">
      <c r="A5560" s="11">
        <v>43747.083564814813</v>
      </c>
      <c r="B5560" s="12" t="str">
        <f>HYPERLINK("https://twitter.com/Szfrn14","@Szfrn14")</f>
        <v>@Szfrn14</v>
      </c>
      <c r="C5560" s="7" t="s">
        <v>26012</v>
      </c>
      <c r="D5560" s="7" t="s">
        <v>26013</v>
      </c>
      <c r="E5560" s="12" t="str">
        <f>HYPERLINK("https://twitter.com/Szfrn14/status/1181856914629693440","1181856914629693440")</f>
        <v>1181856914629693440</v>
      </c>
      <c r="F5560" s="8"/>
      <c r="G5560" s="14" t="s">
        <v>26014</v>
      </c>
      <c r="H5560" s="8"/>
      <c r="I5560" s="15">
        <v>0</v>
      </c>
      <c r="J5560" s="15">
        <v>1</v>
      </c>
      <c r="K5560" s="12" t="str">
        <f>HYPERLINK("http://twitter.com/download/android","Twitter for Android")</f>
        <v>Twitter for Android</v>
      </c>
      <c r="L5560" s="16">
        <v>132</v>
      </c>
      <c r="M5560" s="16">
        <v>238</v>
      </c>
      <c r="N5560" s="16">
        <v>0</v>
      </c>
      <c r="O5560" s="17"/>
      <c r="P5560" s="18">
        <v>43228.344571759255</v>
      </c>
      <c r="Q5560" s="7"/>
      <c r="R5560" s="7" t="s">
        <v>26015</v>
      </c>
      <c r="S5560" s="8"/>
      <c r="T5560" s="8"/>
      <c r="U5560" s="19" t="str">
        <f>HYPERLINK("https://pbs.twimg.com/profile_images/1169543568932921344/-78Rmr7e.jpg","View")</f>
        <v>View</v>
      </c>
      <c r="V5560" s="8"/>
      <c r="W5560" s="8"/>
      <c r="X5560" s="8"/>
      <c r="Y5560" s="8"/>
      <c r="Z5560" s="8"/>
    </row>
    <row r="5561" spans="1:26" ht="12.75">
      <c r="A5561" s="11">
        <v>43747.083553240736</v>
      </c>
      <c r="B5561" s="12" t="str">
        <f>HYPERLINK("https://twitter.com/b_ysabri","@b_ysabri")</f>
        <v>@b_ysabri</v>
      </c>
      <c r="C5561" s="7" t="s">
        <v>26016</v>
      </c>
      <c r="D5561" s="7" t="s">
        <v>26017</v>
      </c>
      <c r="E5561" s="12" t="str">
        <f>HYPERLINK("https://twitter.com/b_ysabri/status/1181856907574890496","1181856907574890496")</f>
        <v>1181856907574890496</v>
      </c>
      <c r="F5561" s="8"/>
      <c r="G5561" s="8"/>
      <c r="H5561" s="8"/>
      <c r="I5561" s="15">
        <v>0</v>
      </c>
      <c r="J5561" s="15">
        <v>3</v>
      </c>
      <c r="K5561" s="12" t="str">
        <f>HYPERLINK("http://twitter.com/download/iphone","Twitter for iPhone")</f>
        <v>Twitter for iPhone</v>
      </c>
      <c r="L5561" s="16">
        <v>214</v>
      </c>
      <c r="M5561" s="16">
        <v>188</v>
      </c>
      <c r="N5561" s="16">
        <v>0</v>
      </c>
      <c r="O5561" s="17"/>
      <c r="P5561" s="18">
        <v>40706.331724537034</v>
      </c>
      <c r="Q5561" s="8" t="s">
        <v>4449</v>
      </c>
      <c r="R5561" s="8" t="s">
        <v>26018</v>
      </c>
      <c r="S5561" s="8"/>
      <c r="T5561" s="8"/>
      <c r="U5561" s="19" t="str">
        <f>HYPERLINK("https://pbs.twimg.com/profile_images/1178055681745838083/aGxJVPqe.jpg","View")</f>
        <v>View</v>
      </c>
      <c r="V5561" s="8"/>
      <c r="W5561" s="8"/>
      <c r="X5561" s="8"/>
      <c r="Y5561" s="8"/>
      <c r="Z5561" s="8"/>
    </row>
    <row r="5562" spans="1:26" ht="12.75">
      <c r="A5562" s="11">
        <v>43747.083506944444</v>
      </c>
      <c r="B5562" s="12" t="str">
        <f>HYPERLINK("https://twitter.com/TaizhouGames","@TaizhouGames")</f>
        <v>@TaizhouGames</v>
      </c>
      <c r="C5562" s="7" t="s">
        <v>26019</v>
      </c>
      <c r="D5562" s="7" t="s">
        <v>160</v>
      </c>
      <c r="E5562" s="12" t="str">
        <f>HYPERLINK("https://twitter.com/TaizhouGames/status/1181856890076176385","1181856890076176385")</f>
        <v>1181856890076176385</v>
      </c>
      <c r="F5562" s="8"/>
      <c r="G5562" s="15"/>
      <c r="H5562" s="8"/>
      <c r="I5562" s="15">
        <v>0</v>
      </c>
      <c r="J5562" s="15">
        <v>1</v>
      </c>
      <c r="K5562" s="12" t="str">
        <f>HYPERLINK("http://twitter.com/download/android","Twitter for Android")</f>
        <v>Twitter for Android</v>
      </c>
      <c r="L5562" s="16">
        <v>7</v>
      </c>
      <c r="M5562" s="16">
        <v>18</v>
      </c>
      <c r="N5562" s="16">
        <v>0</v>
      </c>
      <c r="O5562" s="17"/>
      <c r="P5562" s="18">
        <v>40793.986481481479</v>
      </c>
      <c r="Q5562" s="7"/>
      <c r="R5562" s="7" t="s">
        <v>26020</v>
      </c>
      <c r="S5562" s="14" t="s">
        <v>26021</v>
      </c>
      <c r="T5562" s="8"/>
      <c r="U5562" s="19" t="str">
        <f>HYPERLINK("https://pbs.twimg.com/profile_images/1155805799492608001/V3cP-QSV.jpg","View")</f>
        <v>View</v>
      </c>
      <c r="V5562" s="8"/>
      <c r="W5562" s="8"/>
      <c r="X5562" s="8"/>
      <c r="Y5562" s="8"/>
      <c r="Z5562" s="8"/>
    </row>
    <row r="5563" spans="1:26" ht="12.75">
      <c r="A5563" s="11">
        <v>43747.083495370374</v>
      </c>
      <c r="B5563" s="12" t="str">
        <f>HYPERLINK("https://twitter.com/Dead_Salih","@Dead_Salih")</f>
        <v>@Dead_Salih</v>
      </c>
      <c r="C5563" s="7" t="s">
        <v>22680</v>
      </c>
      <c r="D5563" s="7" t="s">
        <v>160</v>
      </c>
      <c r="E5563" s="12" t="str">
        <f>HYPERLINK("https://twitter.com/Dead_Salih/status/1181856889551937538","1181856889551937538")</f>
        <v>1181856889551937538</v>
      </c>
      <c r="F5563" s="8"/>
      <c r="G5563" s="14" t="s">
        <v>26022</v>
      </c>
      <c r="H5563" s="8"/>
      <c r="I5563" s="15">
        <v>0</v>
      </c>
      <c r="J5563" s="15">
        <v>0</v>
      </c>
      <c r="K5563" s="12" t="str">
        <f>HYPERLINK("http://twitter.com/download/android","Twitter for Android")</f>
        <v>Twitter for Android</v>
      </c>
      <c r="L5563" s="16">
        <v>17</v>
      </c>
      <c r="M5563" s="16">
        <v>114</v>
      </c>
      <c r="N5563" s="16">
        <v>0</v>
      </c>
      <c r="O5563" s="17"/>
      <c r="P5563" s="18">
        <v>43569.092800925922</v>
      </c>
      <c r="Q5563" s="7"/>
      <c r="R5563" s="7" t="s">
        <v>26023</v>
      </c>
      <c r="S5563" s="8"/>
      <c r="T5563" s="8"/>
      <c r="U5563" s="19" t="str">
        <f>HYPERLINK("https://pbs.twimg.com/profile_images/1117355505754824705/7a5CpmMk.jpg","View")</f>
        <v>View</v>
      </c>
      <c r="V5563" s="8"/>
      <c r="W5563" s="8"/>
      <c r="X5563" s="8"/>
      <c r="Y5563" s="8"/>
      <c r="Z5563" s="8"/>
    </row>
    <row r="5564" spans="1:26" ht="12.75">
      <c r="A5564" s="11">
        <v>43747.083495370374</v>
      </c>
      <c r="B5564" s="12" t="str">
        <f>HYPERLINK("https://twitter.com/aayselsokurr","@aayselsokurr")</f>
        <v>@aayselsokurr</v>
      </c>
      <c r="C5564" s="7" t="s">
        <v>26024</v>
      </c>
      <c r="D5564" s="7" t="s">
        <v>26025</v>
      </c>
      <c r="E5564" s="12" t="str">
        <f>HYPERLINK("https://twitter.com/aayselsokurr/status/1181856888885010432","1181856888885010432")</f>
        <v>1181856888885010432</v>
      </c>
      <c r="F5564" s="8"/>
      <c r="G5564" s="15"/>
      <c r="H5564" s="8"/>
      <c r="I5564" s="15">
        <v>0</v>
      </c>
      <c r="J5564" s="15">
        <v>2</v>
      </c>
      <c r="K5564" s="12" t="str">
        <f>HYPERLINK("http://twitter.com/download/android","Twitter for Android")</f>
        <v>Twitter for Android</v>
      </c>
      <c r="L5564" s="16">
        <v>107</v>
      </c>
      <c r="M5564" s="16">
        <v>258</v>
      </c>
      <c r="N5564" s="16">
        <v>1</v>
      </c>
      <c r="O5564" s="17"/>
      <c r="P5564" s="18">
        <v>42703.970821759256</v>
      </c>
      <c r="Q5564" s="7" t="s">
        <v>313</v>
      </c>
      <c r="R5564" s="7" t="s">
        <v>26026</v>
      </c>
      <c r="S5564" s="8"/>
      <c r="T5564" s="8"/>
      <c r="U5564" s="19" t="str">
        <f>HYPERLINK("https://pbs.twimg.com/profile_images/1172453467996270592/dZphVTuR.jpg","View")</f>
        <v>View</v>
      </c>
      <c r="V5564" s="8"/>
      <c r="W5564" s="8"/>
      <c r="X5564" s="8"/>
      <c r="Y5564" s="8"/>
      <c r="Z5564" s="8"/>
    </row>
    <row r="5565" spans="1:26" ht="12.75">
      <c r="A5565" s="11">
        <v>43747.083402777775</v>
      </c>
      <c r="B5565" s="12" t="str">
        <f>HYPERLINK("https://twitter.com/Aymesev3","@Aymesev3")</f>
        <v>@Aymesev3</v>
      </c>
      <c r="C5565" s="7" t="s">
        <v>26027</v>
      </c>
      <c r="D5565" s="7" t="s">
        <v>26028</v>
      </c>
      <c r="E5565" s="12" t="str">
        <f>HYPERLINK("https://twitter.com/Aymesev3/status/1181856855762636800","1181856855762636800")</f>
        <v>1181856855762636800</v>
      </c>
      <c r="F5565" s="8"/>
      <c r="G5565" s="15"/>
      <c r="H5565" s="8"/>
      <c r="I5565" s="15">
        <v>0</v>
      </c>
      <c r="J5565" s="15">
        <v>1</v>
      </c>
      <c r="K5565" s="12" t="str">
        <f>HYPERLINK("http://twitter.com/download/android","Twitter for Android")</f>
        <v>Twitter for Android</v>
      </c>
      <c r="L5565" s="16">
        <v>26</v>
      </c>
      <c r="M5565" s="16">
        <v>70</v>
      </c>
      <c r="N5565" s="16">
        <v>0</v>
      </c>
      <c r="O5565" s="17"/>
      <c r="P5565" s="18">
        <v>43622.528587962966</v>
      </c>
      <c r="Q5565" s="8"/>
      <c r="R5565" s="7" t="s">
        <v>13948</v>
      </c>
      <c r="S5565" s="8"/>
      <c r="T5565" s="8"/>
      <c r="U5565" s="19" t="str">
        <f>HYPERLINK("https://pbs.twimg.com/profile_images/1136741195177238536/HicLkq20.jpg","View")</f>
        <v>View</v>
      </c>
      <c r="V5565" s="8"/>
      <c r="W5565" s="8"/>
      <c r="X5565" s="8"/>
      <c r="Y5565" s="8"/>
      <c r="Z5565" s="8"/>
    </row>
    <row r="5566" spans="1:26" ht="12.75">
      <c r="A5566" s="11">
        <v>43747.083344907413</v>
      </c>
      <c r="B5566" s="12" t="str">
        <f>HYPERLINK("https://twitter.com/hakan_igde","@hakan_igde")</f>
        <v>@hakan_igde</v>
      </c>
      <c r="C5566" s="7" t="s">
        <v>26029</v>
      </c>
      <c r="D5566" s="7" t="s">
        <v>160</v>
      </c>
      <c r="E5566" s="12" t="str">
        <f>HYPERLINK("https://twitter.com/hakan_igde/status/1181856833767653377","1181856833767653377")</f>
        <v>1181856833767653377</v>
      </c>
      <c r="F5566" s="8"/>
      <c r="G5566" s="8"/>
      <c r="H5566" s="8"/>
      <c r="I5566" s="15">
        <v>0</v>
      </c>
      <c r="J5566" s="15">
        <v>1</v>
      </c>
      <c r="K5566" s="12" t="str">
        <f>HYPERLINK("http://twitter.com/download/android","Twitter for Android")</f>
        <v>Twitter for Android</v>
      </c>
      <c r="L5566" s="16">
        <v>22</v>
      </c>
      <c r="M5566" s="16">
        <v>101</v>
      </c>
      <c r="N5566" s="16">
        <v>0</v>
      </c>
      <c r="O5566" s="17"/>
      <c r="P5566" s="18">
        <v>42150.160277777773</v>
      </c>
      <c r="Q5566" s="8" t="s">
        <v>287</v>
      </c>
      <c r="R5566" s="8"/>
      <c r="S5566" s="8"/>
      <c r="T5566" s="8"/>
      <c r="U5566" s="19" t="str">
        <f>HYPERLINK("https://pbs.twimg.com/profile_images/625903499184881664/alVu92OQ.jpg","View")</f>
        <v>View</v>
      </c>
      <c r="V5566" s="8"/>
      <c r="W5566" s="8"/>
      <c r="X5566" s="8"/>
      <c r="Y5566" s="8"/>
      <c r="Z5566" s="8"/>
    </row>
    <row r="5567" spans="1:26" ht="12.75">
      <c r="A5567" s="11">
        <v>43747.083344907413</v>
      </c>
      <c r="B5567" s="12" t="str">
        <f>HYPERLINK("https://twitter.com/uzuner9401","@uzuner9401")</f>
        <v>@uzuner9401</v>
      </c>
      <c r="C5567" s="7" t="s">
        <v>26030</v>
      </c>
      <c r="D5567" s="7" t="s">
        <v>26031</v>
      </c>
      <c r="E5567" s="12" t="str">
        <f>HYPERLINK("https://twitter.com/uzuner9401/status/1181856832853331968","1181856832853331968")</f>
        <v>1181856832853331968</v>
      </c>
      <c r="F5567" s="8"/>
      <c r="G5567" s="14" t="s">
        <v>26032</v>
      </c>
      <c r="H5567" s="8"/>
      <c r="I5567" s="15">
        <v>0</v>
      </c>
      <c r="J5567" s="15">
        <v>1</v>
      </c>
      <c r="K5567" s="12" t="str">
        <f>HYPERLINK("http://twitter.com/download/iphone","Twitter for iPhone")</f>
        <v>Twitter for iPhone</v>
      </c>
      <c r="L5567" s="16">
        <v>87</v>
      </c>
      <c r="M5567" s="16">
        <v>278</v>
      </c>
      <c r="N5567" s="16">
        <v>0</v>
      </c>
      <c r="O5567" s="17"/>
      <c r="P5567" s="18">
        <v>42681.467615740738</v>
      </c>
      <c r="Q5567" s="8" t="s">
        <v>26033</v>
      </c>
      <c r="R5567" s="8" t="s">
        <v>26034</v>
      </c>
      <c r="S5567" s="8"/>
      <c r="T5567" s="8"/>
      <c r="U5567" s="19" t="str">
        <f>HYPERLINK("https://pbs.twimg.com/profile_images/1181839405474033664/2-BpQXRk.jpg","View")</f>
        <v>View</v>
      </c>
      <c r="V5567" s="8"/>
      <c r="W5567" s="8"/>
      <c r="X5567" s="8"/>
      <c r="Y5567" s="8"/>
      <c r="Z5567" s="8"/>
    </row>
    <row r="5568" spans="1:26" ht="12.75">
      <c r="A5568" s="11">
        <v>43747.083275462966</v>
      </c>
      <c r="B5568" s="12" t="str">
        <f>HYPERLINK("https://twitter.com/hkkmhfz","@hkkmhfz")</f>
        <v>@hkkmhfz</v>
      </c>
      <c r="C5568" s="7" t="s">
        <v>26035</v>
      </c>
      <c r="D5568" s="7" t="s">
        <v>26036</v>
      </c>
      <c r="E5568" s="12" t="str">
        <f>HYPERLINK("https://twitter.com/hkkmhfz/status/1181856807167414272","1181856807167414272")</f>
        <v>1181856807167414272</v>
      </c>
      <c r="F5568" s="8"/>
      <c r="G5568" s="14" t="s">
        <v>26037</v>
      </c>
      <c r="H5568" s="8"/>
      <c r="I5568" s="15">
        <v>0</v>
      </c>
      <c r="J5568" s="15">
        <v>0</v>
      </c>
      <c r="K5568" s="12" t="str">
        <f>HYPERLINK("http://twitter.com/download/android","Twitter for Android")</f>
        <v>Twitter for Android</v>
      </c>
      <c r="L5568" s="16">
        <v>5</v>
      </c>
      <c r="M5568" s="16">
        <v>0</v>
      </c>
      <c r="N5568" s="16">
        <v>0</v>
      </c>
      <c r="O5568" s="17"/>
      <c r="P5568" s="18">
        <v>43164.218599537038</v>
      </c>
      <c r="Q5568" s="7"/>
      <c r="R5568" s="7"/>
      <c r="S5568" s="8"/>
      <c r="T5568" s="8"/>
      <c r="U5568" s="19" t="str">
        <f>HYPERLINK("https://pbs.twimg.com/profile_images/1176948880606474240/8vPWzY0z.jpg","View")</f>
        <v>View</v>
      </c>
      <c r="V5568" s="8"/>
      <c r="W5568" s="8"/>
      <c r="X5568" s="8"/>
      <c r="Y5568" s="8"/>
      <c r="Z5568" s="8"/>
    </row>
    <row r="5569" spans="1:26" ht="12.75">
      <c r="A5569" s="11">
        <v>43747.083275462966</v>
      </c>
      <c r="B5569" s="12" t="str">
        <f>HYPERLINK("https://twitter.com/gangdesigner","@gangdesigner")</f>
        <v>@gangdesigner</v>
      </c>
      <c r="C5569" s="7" t="s">
        <v>26038</v>
      </c>
      <c r="D5569" s="7" t="s">
        <v>25466</v>
      </c>
      <c r="E5569" s="12" t="str">
        <f>HYPERLINK("https://twitter.com/gangdesigner/status/1181856806466924544","1181856806466924544")</f>
        <v>1181856806466924544</v>
      </c>
      <c r="F5569" s="8"/>
      <c r="G5569" s="14" t="s">
        <v>26039</v>
      </c>
      <c r="H5569" s="8"/>
      <c r="I5569" s="15">
        <v>0</v>
      </c>
      <c r="J5569" s="15">
        <v>3</v>
      </c>
      <c r="K5569" s="12" t="str">
        <f>HYPERLINK("http://twitter.com/download/iphone","Twitter for iPhone")</f>
        <v>Twitter for iPhone</v>
      </c>
      <c r="L5569" s="16">
        <v>16937</v>
      </c>
      <c r="M5569" s="16">
        <v>821</v>
      </c>
      <c r="N5569" s="16">
        <v>7</v>
      </c>
      <c r="O5569" s="17"/>
      <c r="P5569" s="18">
        <v>42216.080914351856</v>
      </c>
      <c r="Q5569" s="8" t="s">
        <v>26040</v>
      </c>
      <c r="R5569" s="8" t="s">
        <v>26041</v>
      </c>
      <c r="S5569" s="14" t="s">
        <v>26042</v>
      </c>
      <c r="T5569" s="8"/>
      <c r="U5569" s="19" t="str">
        <f>HYPERLINK("https://pbs.twimg.com/profile_images/1181187327386947584/EKHxWs2r.jpg","View")</f>
        <v>View</v>
      </c>
      <c r="V5569" s="8"/>
      <c r="W5569" s="8"/>
      <c r="X5569" s="8"/>
      <c r="Y5569" s="8"/>
      <c r="Z5569" s="8"/>
    </row>
    <row r="5570" spans="1:26" ht="12.75">
      <c r="A5570" s="11">
        <v>43747.083252314813</v>
      </c>
      <c r="B5570" s="12" t="str">
        <f>HYPERLINK("https://twitter.com/acanibeyaz","@acanibeyaz")</f>
        <v>@acanibeyaz</v>
      </c>
      <c r="C5570" s="7" t="s">
        <v>26043</v>
      </c>
      <c r="D5570" s="7" t="s">
        <v>26044</v>
      </c>
      <c r="E5570" s="12" t="str">
        <f>HYPERLINK("https://twitter.com/acanibeyaz/status/1181856797864398848","1181856797864398848")</f>
        <v>1181856797864398848</v>
      </c>
      <c r="F5570" s="8"/>
      <c r="G5570" s="15"/>
      <c r="H5570" s="8"/>
      <c r="I5570" s="15">
        <v>0</v>
      </c>
      <c r="J5570" s="15">
        <v>0</v>
      </c>
      <c r="K5570" s="12" t="str">
        <f>HYPERLINK("https://mobile.twitter.com","Twitter Web App")</f>
        <v>Twitter Web App</v>
      </c>
      <c r="L5570" s="16">
        <v>89</v>
      </c>
      <c r="M5570" s="16">
        <v>117</v>
      </c>
      <c r="N5570" s="16">
        <v>0</v>
      </c>
      <c r="O5570" s="17"/>
      <c r="P5570" s="18">
        <v>40421.08865740741</v>
      </c>
      <c r="Q5570" s="7" t="s">
        <v>313</v>
      </c>
      <c r="R5570" s="7" t="s">
        <v>26045</v>
      </c>
      <c r="S5570" s="15"/>
      <c r="T5570" s="8"/>
      <c r="U5570" s="19" t="str">
        <f>HYPERLINK("https://pbs.twimg.com/profile_images/1139498461416628230/j-8xIEzb.jpg","View")</f>
        <v>View</v>
      </c>
      <c r="V5570" s="8"/>
      <c r="W5570" s="8"/>
      <c r="X5570" s="8"/>
      <c r="Y5570" s="8"/>
      <c r="Z5570" s="8"/>
    </row>
    <row r="5571" spans="1:26" ht="12.75">
      <c r="A5571" s="11">
        <v>43747.083078703705</v>
      </c>
      <c r="B5571" s="12" t="str">
        <f>HYPERLINK("https://twitter.com/ferdigucyetmezz","@ferdigucyetmezz")</f>
        <v>@ferdigucyetmezz</v>
      </c>
      <c r="C5571" s="7" t="s">
        <v>26046</v>
      </c>
      <c r="D5571" s="7" t="s">
        <v>26047</v>
      </c>
      <c r="E5571" s="12" t="str">
        <f>HYPERLINK("https://twitter.com/ferdigucyetmezz/status/1181856736606593024","1181856736606593024")</f>
        <v>1181856736606593024</v>
      </c>
      <c r="F5571" s="14" t="s">
        <v>26048</v>
      </c>
      <c r="G5571" s="8"/>
      <c r="H5571" s="8"/>
      <c r="I5571" s="15">
        <v>0</v>
      </c>
      <c r="J5571" s="15">
        <v>0</v>
      </c>
      <c r="K5571" s="12" t="str">
        <f>HYPERLINK("http://twitter.com/download/android","Twitter for Android")</f>
        <v>Twitter for Android</v>
      </c>
      <c r="L5571" s="16">
        <v>25096</v>
      </c>
      <c r="M5571" s="16">
        <v>138</v>
      </c>
      <c r="N5571" s="16">
        <v>26</v>
      </c>
      <c r="O5571" s="17"/>
      <c r="P5571" s="18">
        <v>40548.4769212963</v>
      </c>
      <c r="Q5571" s="8" t="s">
        <v>313</v>
      </c>
      <c r="R5571" s="8" t="s">
        <v>26049</v>
      </c>
      <c r="S5571" s="14" t="s">
        <v>26050</v>
      </c>
      <c r="T5571" s="8"/>
      <c r="U5571" s="19" t="str">
        <f>HYPERLINK("https://pbs.twimg.com/profile_images/1174341947743510529/6IIvji9y.jpg","View")</f>
        <v>View</v>
      </c>
      <c r="V5571" s="8"/>
      <c r="W5571" s="8"/>
      <c r="X5571" s="8"/>
      <c r="Y5571" s="8"/>
      <c r="Z5571" s="8"/>
    </row>
    <row r="5572" spans="1:26" ht="12.75">
      <c r="A5572" s="11">
        <v>43747.083078703705</v>
      </c>
      <c r="B5572" s="12" t="str">
        <f>HYPERLINK("https://twitter.com/Gufrann1903","@Gufrann1903")</f>
        <v>@Gufrann1903</v>
      </c>
      <c r="C5572" s="7" t="s">
        <v>26051</v>
      </c>
      <c r="D5572" s="7" t="s">
        <v>26052</v>
      </c>
      <c r="E5572" s="12" t="str">
        <f>HYPERLINK("https://twitter.com/Gufrann1903/status/1181856735000240128","1181856735000240128")</f>
        <v>1181856735000240128</v>
      </c>
      <c r="F5572" s="8"/>
      <c r="G5572" s="15"/>
      <c r="H5572" s="8"/>
      <c r="I5572" s="15">
        <v>0</v>
      </c>
      <c r="J5572" s="15">
        <v>1</v>
      </c>
      <c r="K5572" s="12" t="str">
        <f>HYPERLINK("http://twitter.com/download/android","Twitter for Android")</f>
        <v>Twitter for Android</v>
      </c>
      <c r="L5572" s="16">
        <v>3</v>
      </c>
      <c r="M5572" s="16">
        <v>11</v>
      </c>
      <c r="N5572" s="16">
        <v>0</v>
      </c>
      <c r="O5572" s="17"/>
      <c r="P5572" s="18">
        <v>43715.501412037032</v>
      </c>
      <c r="Q5572" s="8"/>
      <c r="R5572" s="7" t="s">
        <v>26053</v>
      </c>
      <c r="S5572" s="8"/>
      <c r="T5572" s="8"/>
      <c r="U5572" s="19" t="str">
        <f>HYPERLINK("https://pbs.twimg.com/profile_images/1170412184352055299/QyTG9Fif.jpg","View")</f>
        <v>View</v>
      </c>
      <c r="V5572" s="8"/>
      <c r="W5572" s="8"/>
      <c r="X5572" s="8"/>
      <c r="Y5572" s="8"/>
      <c r="Z5572" s="8"/>
    </row>
    <row r="5573" spans="1:26" ht="12.75">
      <c r="A5573" s="11">
        <v>43747.083067129628</v>
      </c>
      <c r="B5573" s="12" t="str">
        <f>HYPERLINK("https://twitter.com/VatanPerveR33","@VatanPerveR33")</f>
        <v>@VatanPerveR33</v>
      </c>
      <c r="C5573" s="7" t="s">
        <v>26054</v>
      </c>
      <c r="D5573" s="7" t="s">
        <v>26055</v>
      </c>
      <c r="E5573" s="12" t="str">
        <f>HYPERLINK("https://twitter.com/VatanPerveR33/status/1181856734136193024","1181856734136193024")</f>
        <v>1181856734136193024</v>
      </c>
      <c r="F5573" s="15"/>
      <c r="G5573" s="14" t="s">
        <v>26056</v>
      </c>
      <c r="H5573" s="8"/>
      <c r="I5573" s="15">
        <v>2</v>
      </c>
      <c r="J5573" s="15">
        <v>4</v>
      </c>
      <c r="K5573" s="12" t="str">
        <f>HYPERLINK("http://twitter.com/download/iphone","Twitter for iPhone")</f>
        <v>Twitter for iPhone</v>
      </c>
      <c r="L5573" s="16">
        <v>1543</v>
      </c>
      <c r="M5573" s="16">
        <v>1617</v>
      </c>
      <c r="N5573" s="16">
        <v>0</v>
      </c>
      <c r="O5573" s="17"/>
      <c r="P5573" s="18">
        <v>43586.417997685188</v>
      </c>
      <c r="Q5573" s="7" t="s">
        <v>1150</v>
      </c>
      <c r="R5573" s="7" t="s">
        <v>26057</v>
      </c>
      <c r="S5573" s="8"/>
      <c r="T5573" s="8"/>
      <c r="U5573" s="19" t="str">
        <f>HYPERLINK("https://pbs.twimg.com/profile_images/1123635668402540544/YvR8ylfk.jpg","View")</f>
        <v>View</v>
      </c>
      <c r="V5573" s="8"/>
      <c r="W5573" s="8"/>
      <c r="X5573" s="8"/>
      <c r="Y5573" s="8"/>
      <c r="Z5573" s="8"/>
    </row>
    <row r="5574" spans="1:26" ht="12.75">
      <c r="A5574" s="11">
        <v>43747.083067129628</v>
      </c>
      <c r="B5574" s="12" t="str">
        <f>HYPERLINK("https://twitter.com/HavadisD1453","@HavadisD1453")</f>
        <v>@HavadisD1453</v>
      </c>
      <c r="C5574" s="7" t="s">
        <v>26058</v>
      </c>
      <c r="D5574" s="7" t="s">
        <v>26059</v>
      </c>
      <c r="E5574" s="12" t="str">
        <f>HYPERLINK("https://twitter.com/HavadisD1453/status/1181856731267289088","1181856731267289088")</f>
        <v>1181856731267289088</v>
      </c>
      <c r="F5574" s="8"/>
      <c r="G5574" s="8"/>
      <c r="H5574" s="8"/>
      <c r="I5574" s="15">
        <v>0</v>
      </c>
      <c r="J5574" s="15">
        <v>4</v>
      </c>
      <c r="K5574" s="12" t="str">
        <f>HYPERLINK("http://twitter.com/download/android","Twitter for Android")</f>
        <v>Twitter for Android</v>
      </c>
      <c r="L5574" s="16">
        <v>433</v>
      </c>
      <c r="M5574" s="16">
        <v>1196</v>
      </c>
      <c r="N5574" s="16">
        <v>0</v>
      </c>
      <c r="O5574" s="17"/>
      <c r="P5574" s="18">
        <v>43100.976331018523</v>
      </c>
      <c r="Q5574" s="8" t="s">
        <v>2721</v>
      </c>
      <c r="R5574" s="8"/>
      <c r="S5574" s="8"/>
      <c r="T5574" s="8"/>
      <c r="U5574" s="19" t="str">
        <f>HYPERLINK("https://pbs.twimg.com/profile_images/1144055760072192000/YvztBev0.jpg","View")</f>
        <v>View</v>
      </c>
      <c r="V5574" s="8"/>
      <c r="W5574" s="8"/>
      <c r="X5574" s="8"/>
      <c r="Y5574" s="8"/>
      <c r="Z5574" s="8"/>
    </row>
    <row r="5575" spans="1:26" ht="12.75">
      <c r="A5575" s="11">
        <v>43747.083043981482</v>
      </c>
      <c r="B5575" s="12" t="str">
        <f>HYPERLINK("https://twitter.com/yfpehlivanlar","@yfpehlivanlar")</f>
        <v>@yfpehlivanlar</v>
      </c>
      <c r="C5575" s="7" t="s">
        <v>26060</v>
      </c>
      <c r="D5575" s="7" t="s">
        <v>26061</v>
      </c>
      <c r="E5575" s="12" t="str">
        <f>HYPERLINK("https://twitter.com/yfpehlivanlar/status/1181856726116642816","1181856726116642816")</f>
        <v>1181856726116642816</v>
      </c>
      <c r="F5575" s="8"/>
      <c r="G5575" s="15"/>
      <c r="H5575" s="8"/>
      <c r="I5575" s="15">
        <v>0</v>
      </c>
      <c r="J5575" s="15">
        <v>1</v>
      </c>
      <c r="K5575" s="12" t="str">
        <f>HYPERLINK("http://twitter.com/download/iphone","Twitter for iPhone")</f>
        <v>Twitter for iPhone</v>
      </c>
      <c r="L5575" s="16">
        <v>24</v>
      </c>
      <c r="M5575" s="16">
        <v>33</v>
      </c>
      <c r="N5575" s="16">
        <v>0</v>
      </c>
      <c r="O5575" s="17"/>
      <c r="P5575" s="18">
        <v>43322.466527777782</v>
      </c>
      <c r="Q5575" s="7" t="s">
        <v>313</v>
      </c>
      <c r="R5575" s="7"/>
      <c r="S5575" s="8"/>
      <c r="T5575" s="8"/>
      <c r="U5575" s="19" t="str">
        <f>HYPERLINK("https://pbs.twimg.com/profile_images/1027981587093356546/nuroZnjx.jpg","View")</f>
        <v>View</v>
      </c>
      <c r="V5575" s="8"/>
      <c r="W5575" s="8"/>
      <c r="X5575" s="8"/>
      <c r="Y5575" s="8"/>
      <c r="Z5575" s="8"/>
    </row>
    <row r="5576" spans="1:26" ht="12.75">
      <c r="A5576" s="11">
        <v>43747.083020833335</v>
      </c>
      <c r="B5576" s="12" t="str">
        <f>HYPERLINK("https://twitter.com/RuleOfBayram","@RuleOfBayram")</f>
        <v>@RuleOfBayram</v>
      </c>
      <c r="C5576" s="7" t="s">
        <v>26062</v>
      </c>
      <c r="D5576" s="7" t="s">
        <v>26063</v>
      </c>
      <c r="E5576" s="12" t="str">
        <f>HYPERLINK("https://twitter.com/RuleOfBayram/status/1181856716675321856","1181856716675321856")</f>
        <v>1181856716675321856</v>
      </c>
      <c r="F5576" s="8"/>
      <c r="G5576" s="14" t="s">
        <v>26064</v>
      </c>
      <c r="H5576" s="8"/>
      <c r="I5576" s="15">
        <v>0</v>
      </c>
      <c r="J5576" s="15">
        <v>1</v>
      </c>
      <c r="K5576" s="12" t="str">
        <f>HYPERLINK("https://mobile.twitter.com","Twitter Web App")</f>
        <v>Twitter Web App</v>
      </c>
      <c r="L5576" s="16">
        <v>3418</v>
      </c>
      <c r="M5576" s="16">
        <v>2965</v>
      </c>
      <c r="N5576" s="16">
        <v>5</v>
      </c>
      <c r="O5576" s="17"/>
      <c r="P5576" s="18">
        <v>43065.396006944444</v>
      </c>
      <c r="Q5576" s="7" t="s">
        <v>200</v>
      </c>
      <c r="R5576" s="7" t="s">
        <v>26065</v>
      </c>
      <c r="S5576" s="8"/>
      <c r="T5576" s="8"/>
      <c r="U5576" s="19" t="str">
        <f>HYPERLINK("https://pbs.twimg.com/profile_images/1177939010553044992/X0cnfqxV.jpg","View")</f>
        <v>View</v>
      </c>
      <c r="V5576" s="8"/>
      <c r="W5576" s="8"/>
      <c r="X5576" s="8"/>
      <c r="Y5576" s="8"/>
      <c r="Z5576" s="8"/>
    </row>
    <row r="5577" spans="1:26" ht="12.75">
      <c r="A5577" s="11">
        <v>43747.083020833335</v>
      </c>
      <c r="B5577" s="12" t="str">
        <f>HYPERLINK("https://twitter.com/MSavunma","@MSavunma")</f>
        <v>@MSavunma</v>
      </c>
      <c r="C5577" s="7" t="s">
        <v>26066</v>
      </c>
      <c r="D5577" s="7" t="s">
        <v>26067</v>
      </c>
      <c r="E5577" s="12" t="str">
        <f>HYPERLINK("https://twitter.com/MSavunma/status/1181856714016075776","1181856714016075776")</f>
        <v>1181856714016075776</v>
      </c>
      <c r="F5577" s="8"/>
      <c r="G5577" s="14" t="s">
        <v>26068</v>
      </c>
      <c r="H5577" s="8"/>
      <c r="I5577" s="15">
        <v>1</v>
      </c>
      <c r="J5577" s="15">
        <v>3</v>
      </c>
      <c r="K5577" s="12" t="str">
        <f>HYPERLINK("http://twitter.com/download/android","Twitter for Android")</f>
        <v>Twitter for Android</v>
      </c>
      <c r="L5577" s="16">
        <v>187</v>
      </c>
      <c r="M5577" s="16">
        <v>16</v>
      </c>
      <c r="N5577" s="16">
        <v>0</v>
      </c>
      <c r="O5577" s="17"/>
      <c r="P5577" s="18">
        <v>43442.459537037037</v>
      </c>
      <c r="Q5577" s="8"/>
      <c r="R5577" s="7" t="s">
        <v>26069</v>
      </c>
      <c r="S5577" s="8"/>
      <c r="T5577" s="8"/>
      <c r="U5577" s="19" t="str">
        <f>HYPERLINK("https://pbs.twimg.com/profile_images/1071481032787091456/jgitLTIp.jpg","View")</f>
        <v>View</v>
      </c>
      <c r="V5577" s="8"/>
      <c r="W5577" s="8"/>
      <c r="X5577" s="8"/>
      <c r="Y5577" s="8"/>
      <c r="Z5577" s="8"/>
    </row>
    <row r="5578" spans="1:26" ht="12.75">
      <c r="A5578" s="11">
        <v>43747.083009259259</v>
      </c>
      <c r="B5578" s="12" t="str">
        <f>HYPERLINK("https://twitter.com/northstar1538","@northstar1538")</f>
        <v>@northstar1538</v>
      </c>
      <c r="C5578" s="7" t="s">
        <v>26070</v>
      </c>
      <c r="D5578" s="7" t="s">
        <v>26071</v>
      </c>
      <c r="E5578" s="12" t="str">
        <f>HYPERLINK("https://twitter.com/northstar1538/status/1181856712699109376","1181856712699109376")</f>
        <v>1181856712699109376</v>
      </c>
      <c r="F5578" s="8"/>
      <c r="G5578" s="8"/>
      <c r="H5578" s="8"/>
      <c r="I5578" s="15">
        <v>0</v>
      </c>
      <c r="J5578" s="15">
        <v>0</v>
      </c>
      <c r="K5578" s="12" t="str">
        <f>HYPERLINK("https://mobile.twitter.com","Twitter Web App")</f>
        <v>Twitter Web App</v>
      </c>
      <c r="L5578" s="16">
        <v>12</v>
      </c>
      <c r="M5578" s="16">
        <v>68</v>
      </c>
      <c r="N5578" s="16">
        <v>0</v>
      </c>
      <c r="O5578" s="17"/>
      <c r="P5578" s="18">
        <v>43324.547719907408</v>
      </c>
      <c r="Q5578" s="7"/>
      <c r="R5578" s="15"/>
      <c r="S5578" s="8"/>
      <c r="T5578" s="8"/>
      <c r="U5578" s="19" t="str">
        <f>HYPERLINK("https://pbs.twimg.com/profile_images/1118639125786234882/XQ8UbL5S.jpg","View")</f>
        <v>View</v>
      </c>
      <c r="V5578" s="8"/>
      <c r="W5578" s="8"/>
      <c r="X5578" s="8"/>
      <c r="Y5578" s="8"/>
      <c r="Z5578" s="8"/>
    </row>
    <row r="5579" spans="1:26" ht="12.75">
      <c r="A5579" s="11">
        <v>43747.082997685182</v>
      </c>
      <c r="B5579" s="12" t="str">
        <f>HYPERLINK("https://twitter.com/__KingGALA","@__KingGALA")</f>
        <v>@__KingGALA</v>
      </c>
      <c r="C5579" s="7" t="s">
        <v>26072</v>
      </c>
      <c r="D5579" s="7" t="s">
        <v>26073</v>
      </c>
      <c r="E5579" s="12" t="str">
        <f>HYPERLINK("https://twitter.com/__KingGALA/status/1181856707904987136","1181856707904987136")</f>
        <v>1181856707904987136</v>
      </c>
      <c r="F5579" s="8"/>
      <c r="G5579" s="14" t="s">
        <v>26074</v>
      </c>
      <c r="H5579" s="8"/>
      <c r="I5579" s="15">
        <v>2</v>
      </c>
      <c r="J5579" s="15">
        <v>5</v>
      </c>
      <c r="K5579" s="12" t="str">
        <f>HYPERLINK("http://twitter.com/download/android","Twitter for Android")</f>
        <v>Twitter for Android</v>
      </c>
      <c r="L5579" s="16">
        <v>12146</v>
      </c>
      <c r="M5579" s="16">
        <v>7699</v>
      </c>
      <c r="N5579" s="16">
        <v>7</v>
      </c>
      <c r="O5579" s="17"/>
      <c r="P5579" s="18">
        <v>43052.429432870369</v>
      </c>
      <c r="Q5579" s="7" t="s">
        <v>26075</v>
      </c>
      <c r="R5579" s="7" t="s">
        <v>26076</v>
      </c>
      <c r="S5579" s="8"/>
      <c r="T5579" s="8"/>
      <c r="U5579" s="19" t="str">
        <f>HYPERLINK("https://pbs.twimg.com/profile_images/1181256202694598662/MU_kFzrX.jpg","View")</f>
        <v>View</v>
      </c>
      <c r="V5579" s="8"/>
      <c r="W5579" s="8"/>
      <c r="X5579" s="8"/>
      <c r="Y5579" s="8"/>
      <c r="Z5579" s="8"/>
    </row>
    <row r="5580" spans="1:26" ht="12.75">
      <c r="A5580" s="11">
        <v>43747.082986111112</v>
      </c>
      <c r="B5580" s="12" t="str">
        <f>HYPERLINK("https://twitter.com/burak4902","@burak4902")</f>
        <v>@burak4902</v>
      </c>
      <c r="C5580" s="7" t="s">
        <v>6636</v>
      </c>
      <c r="D5580" s="7" t="s">
        <v>26077</v>
      </c>
      <c r="E5580" s="12" t="str">
        <f>HYPERLINK("https://twitter.com/burak4902/status/1181856703240970241","1181856703240970241")</f>
        <v>1181856703240970241</v>
      </c>
      <c r="F5580" s="8"/>
      <c r="G5580" s="14" t="s">
        <v>26078</v>
      </c>
      <c r="H5580" s="8"/>
      <c r="I5580" s="15">
        <v>0</v>
      </c>
      <c r="J5580" s="15">
        <v>0</v>
      </c>
      <c r="K5580" s="12" t="str">
        <f>HYPERLINK("http://twitter.com/download/android","Twitter for Android")</f>
        <v>Twitter for Android</v>
      </c>
      <c r="L5580" s="16">
        <v>18</v>
      </c>
      <c r="M5580" s="16">
        <v>112</v>
      </c>
      <c r="N5580" s="16">
        <v>0</v>
      </c>
      <c r="O5580" s="17"/>
      <c r="P5580" s="18">
        <v>42386.527557870373</v>
      </c>
      <c r="Q5580" s="7"/>
      <c r="R5580" s="7" t="s">
        <v>26079</v>
      </c>
      <c r="S5580" s="8"/>
      <c r="T5580" s="8"/>
      <c r="U5580" s="19" t="str">
        <f>HYPERLINK("https://pbs.twimg.com/profile_images/703939676361641985/wBU538ic.jpg","View")</f>
        <v>View</v>
      </c>
      <c r="V5580" s="8"/>
      <c r="W5580" s="8"/>
      <c r="X5580" s="8"/>
      <c r="Y5580" s="8"/>
      <c r="Z5580" s="8"/>
    </row>
    <row r="5581" spans="1:26" ht="12.75">
      <c r="A5581" s="11">
        <v>43747.082986111112</v>
      </c>
      <c r="B5581" s="12" t="str">
        <f>HYPERLINK("https://twitter.com/UMUTBOZGEYIK","@UMUTBOZGEYIK")</f>
        <v>@UMUTBOZGEYIK</v>
      </c>
      <c r="C5581" s="7" t="s">
        <v>26080</v>
      </c>
      <c r="D5581" s="7" t="s">
        <v>160</v>
      </c>
      <c r="E5581" s="12" t="str">
        <f>HYPERLINK("https://twitter.com/UMUTBOZGEYIK/status/1181856701743587328","1181856701743587328")</f>
        <v>1181856701743587328</v>
      </c>
      <c r="F5581" s="8"/>
      <c r="G5581" s="14" t="s">
        <v>26081</v>
      </c>
      <c r="H5581" s="8"/>
      <c r="I5581" s="15">
        <v>0</v>
      </c>
      <c r="J5581" s="15">
        <v>2</v>
      </c>
      <c r="K5581" s="12" t="str">
        <f>HYPERLINK("http://twitter.com/download/iphone","Twitter for iPhone")</f>
        <v>Twitter for iPhone</v>
      </c>
      <c r="L5581" s="16">
        <v>27302</v>
      </c>
      <c r="M5581" s="16">
        <v>77</v>
      </c>
      <c r="N5581" s="16">
        <v>44</v>
      </c>
      <c r="O5581" s="17"/>
      <c r="P5581" s="18">
        <v>40736.589861111112</v>
      </c>
      <c r="Q5581" s="7" t="s">
        <v>200</v>
      </c>
      <c r="R5581" s="7" t="s">
        <v>26082</v>
      </c>
      <c r="S5581" s="15"/>
      <c r="T5581" s="8"/>
      <c r="U5581" s="19" t="str">
        <f>HYPERLINK("https://pbs.twimg.com/profile_images/828319363455397888/ElsgDe8j.jpg","View")</f>
        <v>View</v>
      </c>
      <c r="V5581" s="8"/>
      <c r="W5581" s="8"/>
      <c r="X5581" s="8"/>
      <c r="Y5581" s="8"/>
      <c r="Z5581" s="8"/>
    </row>
    <row r="5582" spans="1:26" ht="12.75">
      <c r="A5582" s="11">
        <v>43747.082974537036</v>
      </c>
      <c r="B5582" s="12" t="str">
        <f>HYPERLINK("https://twitter.com/Krat09742476","@Krat09742476")</f>
        <v>@Krat09742476</v>
      </c>
      <c r="C5582" s="7" t="s">
        <v>26083</v>
      </c>
      <c r="D5582" s="7" t="s">
        <v>26084</v>
      </c>
      <c r="E5582" s="12" t="str">
        <f>HYPERLINK("https://twitter.com/Krat09742476/status/1181856699600244738","1181856699600244738")</f>
        <v>1181856699600244738</v>
      </c>
      <c r="F5582" s="8"/>
      <c r="G5582" s="14" t="s">
        <v>26085</v>
      </c>
      <c r="H5582" s="8"/>
      <c r="I5582" s="15">
        <v>0</v>
      </c>
      <c r="J5582" s="15">
        <v>2</v>
      </c>
      <c r="K5582" s="12" t="str">
        <f>HYPERLINK("http://twitter.com/download/android","Twitter for Android")</f>
        <v>Twitter for Android</v>
      </c>
      <c r="L5582" s="16">
        <v>535</v>
      </c>
      <c r="M5582" s="16">
        <v>579</v>
      </c>
      <c r="N5582" s="16">
        <v>0</v>
      </c>
      <c r="O5582" s="17"/>
      <c r="P5582" s="18">
        <v>43729.556805555556</v>
      </c>
      <c r="Q5582" s="7"/>
      <c r="R5582" s="7" t="s">
        <v>26086</v>
      </c>
      <c r="S5582" s="8"/>
      <c r="T5582" s="8"/>
      <c r="U5582" s="19" t="str">
        <f>HYPERLINK("https://pbs.twimg.com/profile_images/1175508559070711814/Ll0zohy3.jpg","View")</f>
        <v>View</v>
      </c>
      <c r="V5582" s="8"/>
      <c r="W5582" s="8"/>
      <c r="X5582" s="8"/>
      <c r="Y5582" s="8"/>
      <c r="Z5582" s="8"/>
    </row>
    <row r="5583" spans="1:26" ht="12.75">
      <c r="A5583" s="11">
        <v>43747.082962962959</v>
      </c>
      <c r="B5583" s="12" t="str">
        <f>HYPERLINK("https://twitter.com/61_efulim","@61_efulim")</f>
        <v>@61_efulim</v>
      </c>
      <c r="C5583" s="7" t="s">
        <v>26087</v>
      </c>
      <c r="D5583" s="7" t="s">
        <v>26088</v>
      </c>
      <c r="E5583" s="12" t="str">
        <f>HYPERLINK("https://twitter.com/61_efulim/status/1181856694302920707","1181856694302920707")</f>
        <v>1181856694302920707</v>
      </c>
      <c r="F5583" s="8"/>
      <c r="G5583" s="14" t="s">
        <v>26089</v>
      </c>
      <c r="H5583" s="8"/>
      <c r="I5583" s="15">
        <v>0</v>
      </c>
      <c r="J5583" s="15">
        <v>2</v>
      </c>
      <c r="K5583" s="12" t="str">
        <f>HYPERLINK("http://twitter.com/download/android","Twitter for Android")</f>
        <v>Twitter for Android</v>
      </c>
      <c r="L5583" s="16">
        <v>222</v>
      </c>
      <c r="M5583" s="16">
        <v>574</v>
      </c>
      <c r="N5583" s="16">
        <v>0</v>
      </c>
      <c r="O5583" s="17"/>
      <c r="P5583" s="18">
        <v>41176.024571759262</v>
      </c>
      <c r="Q5583" s="7"/>
      <c r="R5583" s="7" t="s">
        <v>26090</v>
      </c>
      <c r="S5583" s="8"/>
      <c r="T5583" s="8"/>
      <c r="U5583" s="19" t="str">
        <f>HYPERLINK("https://pbs.twimg.com/profile_images/977973173831585792/MjPNtO1n.jpg","View")</f>
        <v>View</v>
      </c>
      <c r="V5583" s="8"/>
      <c r="W5583" s="8"/>
      <c r="X5583" s="8"/>
      <c r="Y5583" s="8"/>
      <c r="Z5583" s="8"/>
    </row>
    <row r="5584" spans="1:26" ht="12.75">
      <c r="A5584" s="11">
        <v>43747.082951388889</v>
      </c>
      <c r="B5584" s="12" t="str">
        <f>HYPERLINK("https://twitter.com/BerkayArko1","@BerkayArko1")</f>
        <v>@BerkayArko1</v>
      </c>
      <c r="C5584" s="7" t="s">
        <v>26091</v>
      </c>
      <c r="D5584" s="7" t="s">
        <v>26092</v>
      </c>
      <c r="E5584" s="12" t="str">
        <f>HYPERLINK("https://twitter.com/BerkayArko1/status/1181856690750316544","1181856690750316544")</f>
        <v>1181856690750316544</v>
      </c>
      <c r="F5584" s="8"/>
      <c r="G5584" s="8"/>
      <c r="H5584" s="8"/>
      <c r="I5584" s="15">
        <v>0</v>
      </c>
      <c r="J5584" s="15">
        <v>3</v>
      </c>
      <c r="K5584" s="12" t="str">
        <f>HYPERLINK("http://twitter.com/download/android","Twitter for Android")</f>
        <v>Twitter for Android</v>
      </c>
      <c r="L5584" s="16">
        <v>81</v>
      </c>
      <c r="M5584" s="16">
        <v>149</v>
      </c>
      <c r="N5584" s="16">
        <v>0</v>
      </c>
      <c r="O5584" s="17"/>
      <c r="P5584" s="18">
        <v>43495.547708333332</v>
      </c>
      <c r="Q5584" s="7" t="s">
        <v>1639</v>
      </c>
      <c r="R5584" s="7" t="s">
        <v>26093</v>
      </c>
      <c r="S5584" s="14" t="s">
        <v>26094</v>
      </c>
      <c r="T5584" s="8"/>
      <c r="U5584" s="19" t="str">
        <f>HYPERLINK("https://pbs.twimg.com/profile_images/1174437585587974144/sKoGW8v9.jpg","View")</f>
        <v>View</v>
      </c>
      <c r="V5584" s="8"/>
      <c r="W5584" s="8"/>
      <c r="X5584" s="8"/>
      <c r="Y5584" s="8"/>
      <c r="Z5584" s="8"/>
    </row>
    <row r="5585" spans="1:26" ht="12.75">
      <c r="A5585" s="11">
        <v>43747.082951388889</v>
      </c>
      <c r="B5585" s="12" t="str">
        <f>HYPERLINK("https://twitter.com/alperakgulx","@alperakgulx")</f>
        <v>@alperakgulx</v>
      </c>
      <c r="C5585" s="7" t="s">
        <v>5205</v>
      </c>
      <c r="D5585" s="7" t="s">
        <v>2718</v>
      </c>
      <c r="E5585" s="12" t="str">
        <f>HYPERLINK("https://twitter.com/alperakgulx/status/1181856689705885696","1181856689705885696")</f>
        <v>1181856689705885696</v>
      </c>
      <c r="F5585" s="14" t="s">
        <v>2719</v>
      </c>
      <c r="G5585" s="14" t="s">
        <v>2720</v>
      </c>
      <c r="H5585" s="8"/>
      <c r="I5585" s="15">
        <v>0</v>
      </c>
      <c r="J5585" s="15">
        <v>1</v>
      </c>
      <c r="K5585" s="12" t="str">
        <f>HYPERLINK("http://twitter.com/download/iphone","Twitter for iPhone")</f>
        <v>Twitter for iPhone</v>
      </c>
      <c r="L5585" s="16">
        <v>230</v>
      </c>
      <c r="M5585" s="16">
        <v>171</v>
      </c>
      <c r="N5585" s="16">
        <v>0</v>
      </c>
      <c r="O5585" s="17"/>
      <c r="P5585" s="18">
        <v>40232.188159722224</v>
      </c>
      <c r="Q5585" s="7"/>
      <c r="R5585" s="7" t="s">
        <v>26095</v>
      </c>
      <c r="S5585" s="8"/>
      <c r="T5585" s="8"/>
      <c r="U5585" s="19" t="str">
        <f>HYPERLINK("https://pbs.twimg.com/profile_images/1178058937096126468/f-P0WuJI.jpg","View")</f>
        <v>View</v>
      </c>
      <c r="V5585" s="8"/>
      <c r="W5585" s="8"/>
      <c r="X5585" s="8"/>
      <c r="Y5585" s="8"/>
      <c r="Z5585" s="8"/>
    </row>
    <row r="5586" spans="1:26" ht="12.75">
      <c r="A5586" s="11">
        <v>43747.08293981482</v>
      </c>
      <c r="B5586" s="12" t="str">
        <f>HYPERLINK("https://twitter.com/retonaj","@retonaj")</f>
        <v>@retonaj</v>
      </c>
      <c r="C5586" s="7" t="s">
        <v>26096</v>
      </c>
      <c r="D5586" s="7" t="s">
        <v>160</v>
      </c>
      <c r="E5586" s="12" t="str">
        <f>HYPERLINK("https://twitter.com/retonaj/status/1181856686430212096","1181856686430212096")</f>
        <v>1181856686430212096</v>
      </c>
      <c r="F5586" s="8"/>
      <c r="G5586" s="14" t="s">
        <v>26097</v>
      </c>
      <c r="H5586" s="8"/>
      <c r="I5586" s="15">
        <v>0</v>
      </c>
      <c r="J5586" s="15">
        <v>1</v>
      </c>
      <c r="K5586" s="12" t="str">
        <f>HYPERLINK("http://twitter.com/download/android","Twitter for Android")</f>
        <v>Twitter for Android</v>
      </c>
      <c r="L5586" s="16">
        <v>756</v>
      </c>
      <c r="M5586" s="16">
        <v>734</v>
      </c>
      <c r="N5586" s="16">
        <v>0</v>
      </c>
      <c r="O5586" s="17"/>
      <c r="P5586" s="18">
        <v>40364.944479166668</v>
      </c>
      <c r="Q5586" s="8" t="s">
        <v>26098</v>
      </c>
      <c r="R5586" s="8" t="s">
        <v>26099</v>
      </c>
      <c r="S5586" s="8"/>
      <c r="T5586" s="8"/>
      <c r="U5586" s="19" t="str">
        <f>HYPERLINK("https://pbs.twimg.com/profile_images/1131267681745821696/6hpcSVB6.jpg","View")</f>
        <v>View</v>
      </c>
      <c r="V5586" s="8"/>
      <c r="W5586" s="8"/>
      <c r="X5586" s="8"/>
      <c r="Y5586" s="8"/>
      <c r="Z5586" s="8"/>
    </row>
    <row r="5587" spans="1:26" ht="12.75">
      <c r="A5587" s="11">
        <v>43747.08289351852</v>
      </c>
      <c r="B5587" s="12" t="str">
        <f>HYPERLINK("https://twitter.com/menzilli35","@menzilli35")</f>
        <v>@menzilli35</v>
      </c>
      <c r="C5587" s="7" t="s">
        <v>26100</v>
      </c>
      <c r="D5587" s="7" t="s">
        <v>26101</v>
      </c>
      <c r="E5587" s="12" t="str">
        <f>HYPERLINK("https://twitter.com/menzilli35/status/1181856669304807425","1181856669304807425")</f>
        <v>1181856669304807425</v>
      </c>
      <c r="F5587" s="8"/>
      <c r="G5587" s="14" t="s">
        <v>26102</v>
      </c>
      <c r="H5587" s="8"/>
      <c r="I5587" s="15">
        <v>0</v>
      </c>
      <c r="J5587" s="15">
        <v>0</v>
      </c>
      <c r="K5587" s="12" t="str">
        <f>HYPERLINK("http://twitter.com/download/android","Twitter for Android")</f>
        <v>Twitter for Android</v>
      </c>
      <c r="L5587" s="16">
        <v>22</v>
      </c>
      <c r="M5587" s="16">
        <v>123</v>
      </c>
      <c r="N5587" s="16">
        <v>0</v>
      </c>
      <c r="O5587" s="17"/>
      <c r="P5587" s="18">
        <v>41796.505486111113</v>
      </c>
      <c r="Q5587" s="8"/>
      <c r="R5587" s="7"/>
      <c r="S5587" s="8"/>
      <c r="T5587" s="8"/>
      <c r="U5587" s="19" t="str">
        <f>HYPERLINK("https://pbs.twimg.com/profile_images/926528618200576000/b5Oknxeu.jpg","View")</f>
        <v>View</v>
      </c>
      <c r="V5587" s="8"/>
      <c r="W5587" s="8"/>
      <c r="X5587" s="8"/>
      <c r="Y5587" s="8"/>
      <c r="Z5587" s="8"/>
    </row>
    <row r="5588" spans="1:26" ht="12.75">
      <c r="A5588" s="11">
        <v>43747.082881944443</v>
      </c>
      <c r="B5588" s="12" t="str">
        <f>HYPERLINK("https://twitter.com/DoguBey036","@DoguBey036")</f>
        <v>@DoguBey036</v>
      </c>
      <c r="C5588" s="7" t="s">
        <v>26103</v>
      </c>
      <c r="D5588" s="7" t="s">
        <v>26104</v>
      </c>
      <c r="E5588" s="12" t="str">
        <f>HYPERLINK("https://twitter.com/DoguBey036/status/1181856663944318977","1181856663944318977")</f>
        <v>1181856663944318977</v>
      </c>
      <c r="F5588" s="8"/>
      <c r="G5588" s="15"/>
      <c r="H5588" s="8"/>
      <c r="I5588" s="15">
        <v>0</v>
      </c>
      <c r="J5588" s="15">
        <v>6</v>
      </c>
      <c r="K5588" s="12" t="str">
        <f>HYPERLINK("http://twitter.com/download/iphone","Twitter for iPhone")</f>
        <v>Twitter for iPhone</v>
      </c>
      <c r="L5588" s="16">
        <v>589</v>
      </c>
      <c r="M5588" s="16">
        <v>1140</v>
      </c>
      <c r="N5588" s="16">
        <v>0</v>
      </c>
      <c r="O5588" s="17"/>
      <c r="P5588" s="18">
        <v>43699.495081018518</v>
      </c>
      <c r="Q5588" s="7" t="s">
        <v>1408</v>
      </c>
      <c r="R5588" s="7" t="s">
        <v>26105</v>
      </c>
      <c r="S5588" s="8"/>
      <c r="T5588" s="8"/>
      <c r="U5588" s="19" t="str">
        <f>HYPERLINK("https://pbs.twimg.com/profile_images/1181643538607562753/Eet91va6.jpg","View")</f>
        <v>View</v>
      </c>
      <c r="V5588" s="8"/>
      <c r="W5588" s="8"/>
      <c r="X5588" s="8"/>
      <c r="Y5588" s="8"/>
      <c r="Z5588" s="8"/>
    </row>
    <row r="5589" spans="1:26" ht="12.75">
      <c r="A5589" s="11">
        <v>43747.082858796297</v>
      </c>
      <c r="B5589" s="12" t="str">
        <f>HYPERLINK("https://twitter.com/okkescelik","@okkescelik")</f>
        <v>@okkescelik</v>
      </c>
      <c r="C5589" s="7" t="s">
        <v>26106</v>
      </c>
      <c r="D5589" s="7" t="s">
        <v>26107</v>
      </c>
      <c r="E5589" s="12" t="str">
        <f>HYPERLINK("https://twitter.com/okkescelik/status/1181856656143110144","1181856656143110144")</f>
        <v>1181856656143110144</v>
      </c>
      <c r="F5589" s="8"/>
      <c r="G5589" s="15"/>
      <c r="H5589" s="8"/>
      <c r="I5589" s="15">
        <v>0</v>
      </c>
      <c r="J5589" s="15">
        <v>0</v>
      </c>
      <c r="K5589" s="12" t="str">
        <f>HYPERLINK("https://mobile.twitter.com","Twitter Web App")</f>
        <v>Twitter Web App</v>
      </c>
      <c r="L5589" s="16">
        <v>125</v>
      </c>
      <c r="M5589" s="16">
        <v>217</v>
      </c>
      <c r="N5589" s="16">
        <v>2</v>
      </c>
      <c r="O5589" s="17"/>
      <c r="P5589" s="18">
        <v>40692.127199074072</v>
      </c>
      <c r="Q5589" s="7" t="s">
        <v>6543</v>
      </c>
      <c r="R5589" s="8" t="s">
        <v>26108</v>
      </c>
      <c r="S5589" s="8"/>
      <c r="T5589" s="8"/>
      <c r="U5589" s="19" t="str">
        <f>HYPERLINK("https://pbs.twimg.com/profile_images/1084569154122928133/RlLV1GWg.jpg","View")</f>
        <v>View</v>
      </c>
      <c r="V5589" s="8"/>
      <c r="W5589" s="8"/>
      <c r="X5589" s="8"/>
      <c r="Y5589" s="8"/>
      <c r="Z5589" s="8"/>
    </row>
    <row r="5590" spans="1:26" ht="12.75">
      <c r="A5590" s="11">
        <v>43747.08284722222</v>
      </c>
      <c r="B5590" s="12" t="str">
        <f>HYPERLINK("https://twitter.com/byrk1299","@byrk1299")</f>
        <v>@byrk1299</v>
      </c>
      <c r="C5590" s="7" t="s">
        <v>26109</v>
      </c>
      <c r="D5590" s="7" t="s">
        <v>26110</v>
      </c>
      <c r="E5590" s="12" t="str">
        <f>HYPERLINK("https://twitter.com/byrk1299/status/1181856654003965952","1181856654003965952")</f>
        <v>1181856654003965952</v>
      </c>
      <c r="F5590" s="15"/>
      <c r="G5590" s="14" t="s">
        <v>26111</v>
      </c>
      <c r="H5590" s="8"/>
      <c r="I5590" s="15">
        <v>1</v>
      </c>
      <c r="J5590" s="15">
        <v>1</v>
      </c>
      <c r="K5590" s="12" t="str">
        <f>HYPERLINK("http://twitter.com/download/android","Twitter for Android")</f>
        <v>Twitter for Android</v>
      </c>
      <c r="L5590" s="16">
        <v>17</v>
      </c>
      <c r="M5590" s="16">
        <v>109</v>
      </c>
      <c r="N5590" s="16">
        <v>1</v>
      </c>
      <c r="O5590" s="17"/>
      <c r="P5590" s="18">
        <v>43044.543009259258</v>
      </c>
      <c r="Q5590" s="7"/>
      <c r="R5590" s="7" t="s">
        <v>26112</v>
      </c>
      <c r="S5590" s="15"/>
      <c r="T5590" s="8"/>
      <c r="U5590" s="19" t="str">
        <f>HYPERLINK("https://pbs.twimg.com/profile_images/1181463954528313349/V1pkUVl2.jpg","View")</f>
        <v>View</v>
      </c>
      <c r="V5590" s="8"/>
      <c r="W5590" s="8"/>
      <c r="X5590" s="8"/>
      <c r="Y5590" s="8"/>
      <c r="Z5590" s="8"/>
    </row>
    <row r="5591" spans="1:26" ht="12.75">
      <c r="A5591" s="11">
        <v>43747.082835648151</v>
      </c>
      <c r="B5591" s="12" t="str">
        <f>HYPERLINK("https://twitter.com/yavuzkilic10","@yavuzkilic10")</f>
        <v>@yavuzkilic10</v>
      </c>
      <c r="C5591" s="7" t="s">
        <v>26113</v>
      </c>
      <c r="D5591" s="7" t="s">
        <v>26114</v>
      </c>
      <c r="E5591" s="12" t="str">
        <f>HYPERLINK("https://twitter.com/yavuzkilic10/status/1181856648878592000","1181856648878592000")</f>
        <v>1181856648878592000</v>
      </c>
      <c r="F5591" s="8"/>
      <c r="G5591" s="8"/>
      <c r="H5591" s="8"/>
      <c r="I5591" s="15">
        <v>0</v>
      </c>
      <c r="J5591" s="15">
        <v>0</v>
      </c>
      <c r="K5591" s="12" t="str">
        <f>HYPERLINK("http://twitter.com/download/iphone","Twitter for iPhone")</f>
        <v>Twitter for iPhone</v>
      </c>
      <c r="L5591" s="16">
        <v>483</v>
      </c>
      <c r="M5591" s="16">
        <v>541</v>
      </c>
      <c r="N5591" s="16">
        <v>2</v>
      </c>
      <c r="O5591" s="17"/>
      <c r="P5591" s="18">
        <v>40511.466215277775</v>
      </c>
      <c r="Q5591" s="7" t="s">
        <v>26115</v>
      </c>
      <c r="R5591" s="7" t="s">
        <v>26116</v>
      </c>
      <c r="S5591" s="8"/>
      <c r="T5591" s="8"/>
      <c r="U5591" s="19" t="str">
        <f>HYPERLINK("https://pbs.twimg.com/profile_images/2605788794/image.jpg","View")</f>
        <v>View</v>
      </c>
      <c r="V5591" s="8"/>
      <c r="W5591" s="8"/>
      <c r="X5591" s="8"/>
      <c r="Y5591" s="8"/>
      <c r="Z5591" s="8"/>
    </row>
    <row r="5592" spans="1:26" ht="12.75">
      <c r="A5592" s="11">
        <v>43747.082824074074</v>
      </c>
      <c r="B5592" s="12" t="str">
        <f>HYPERLINK("https://twitter.com/kaveriaeijateta","@kaveriaeijateta")</f>
        <v>@kaveriaeijateta</v>
      </c>
      <c r="C5592" s="7" t="s">
        <v>26117</v>
      </c>
      <c r="D5592" s="7" t="s">
        <v>26118</v>
      </c>
      <c r="E5592" s="12" t="str">
        <f>HYPERLINK("https://twitter.com/kaveriaeijateta/status/1181856643929247744","1181856643929247744")</f>
        <v>1181856643929247744</v>
      </c>
      <c r="F5592" s="14" t="s">
        <v>16531</v>
      </c>
      <c r="G5592" s="14" t="s">
        <v>14430</v>
      </c>
      <c r="H5592" s="8"/>
      <c r="I5592" s="15">
        <v>0</v>
      </c>
      <c r="J5592" s="15">
        <v>2</v>
      </c>
      <c r="K5592" s="12" t="str">
        <f>HYPERLINK("http://twitter.com/download/iphone","Twitter for iPhone")</f>
        <v>Twitter for iPhone</v>
      </c>
      <c r="L5592" s="16">
        <v>88</v>
      </c>
      <c r="M5592" s="16">
        <v>107</v>
      </c>
      <c r="N5592" s="16">
        <v>0</v>
      </c>
      <c r="O5592" s="17"/>
      <c r="P5592" s="18">
        <v>42091.54959490741</v>
      </c>
      <c r="Q5592" s="7" t="s">
        <v>69</v>
      </c>
      <c r="R5592" s="7" t="s">
        <v>26119</v>
      </c>
      <c r="S5592" s="8"/>
      <c r="T5592" s="8"/>
      <c r="U5592" s="19" t="str">
        <f>HYPERLINK("https://pbs.twimg.com/profile_images/1146881453399203846/h74CQ-I5.jpg","View")</f>
        <v>View</v>
      </c>
      <c r="V5592" s="8"/>
      <c r="W5592" s="8"/>
      <c r="X5592" s="8"/>
      <c r="Y5592" s="8"/>
      <c r="Z5592" s="8"/>
    </row>
    <row r="5593" spans="1:26" ht="12.75">
      <c r="A5593" s="11">
        <v>43747.082800925928</v>
      </c>
      <c r="B5593" s="12" t="str">
        <f>HYPERLINK("https://twitter.com/Karahandiyin","@Karahandiyin")</f>
        <v>@Karahandiyin</v>
      </c>
      <c r="C5593" s="7" t="s">
        <v>26120</v>
      </c>
      <c r="D5593" s="7" t="s">
        <v>26121</v>
      </c>
      <c r="E5593" s="12" t="str">
        <f>HYPERLINK("https://twitter.com/Karahandiyin/status/1181856637486796800","1181856637486796800")</f>
        <v>1181856637486796800</v>
      </c>
      <c r="F5593" s="8"/>
      <c r="G5593" s="14" t="s">
        <v>26122</v>
      </c>
      <c r="H5593" s="8"/>
      <c r="I5593" s="15">
        <v>0</v>
      </c>
      <c r="J5593" s="15">
        <v>0</v>
      </c>
      <c r="K5593" s="12" t="str">
        <f>HYPERLINK("http://twitter.com/download/android","Twitter for Android")</f>
        <v>Twitter for Android</v>
      </c>
      <c r="L5593" s="16">
        <v>70</v>
      </c>
      <c r="M5593" s="16">
        <v>313</v>
      </c>
      <c r="N5593" s="16">
        <v>0</v>
      </c>
      <c r="O5593" s="17"/>
      <c r="P5593" s="18">
        <v>43125.471898148149</v>
      </c>
      <c r="Q5593" s="8" t="s">
        <v>8345</v>
      </c>
      <c r="R5593" s="8" t="s">
        <v>26123</v>
      </c>
      <c r="S5593" s="14" t="s">
        <v>26124</v>
      </c>
      <c r="T5593" s="8"/>
      <c r="U5593" s="19" t="str">
        <f>HYPERLINK("https://pbs.twimg.com/profile_images/1152117336456998912/kHfpxPRL.jpg","View")</f>
        <v>View</v>
      </c>
      <c r="V5593" s="8"/>
      <c r="W5593" s="8"/>
      <c r="X5593" s="8"/>
      <c r="Y5593" s="8"/>
      <c r="Z5593" s="8"/>
    </row>
    <row r="5594" spans="1:26" ht="12.75">
      <c r="A5594" s="11">
        <v>43747.082743055551</v>
      </c>
      <c r="B5594" s="12" t="str">
        <f>HYPERLINK("https://twitter.com/Oguzzkaraoglan","@Oguzzkaraoglan")</f>
        <v>@Oguzzkaraoglan</v>
      </c>
      <c r="C5594" s="7" t="s">
        <v>7535</v>
      </c>
      <c r="D5594" s="7" t="s">
        <v>26125</v>
      </c>
      <c r="E5594" s="12" t="str">
        <f>HYPERLINK("https://twitter.com/Oguzzkaraoglan/status/1181856614984376320","1181856614984376320")</f>
        <v>1181856614984376320</v>
      </c>
      <c r="F5594" s="8"/>
      <c r="G5594" s="15"/>
      <c r="H5594" s="8"/>
      <c r="I5594" s="15">
        <v>0</v>
      </c>
      <c r="J5594" s="15">
        <v>0</v>
      </c>
      <c r="K5594" s="12" t="str">
        <f>HYPERLINK("http://twitter.com/download/iphone","Twitter for iPhone")</f>
        <v>Twitter for iPhone</v>
      </c>
      <c r="L5594" s="16">
        <v>115</v>
      </c>
      <c r="M5594" s="16">
        <v>113</v>
      </c>
      <c r="N5594" s="16">
        <v>7</v>
      </c>
      <c r="O5594" s="17"/>
      <c r="P5594" s="18">
        <v>41982.107037037036</v>
      </c>
      <c r="Q5594" s="8" t="s">
        <v>26126</v>
      </c>
      <c r="R5594" s="7"/>
      <c r="S5594" s="8"/>
      <c r="T5594" s="8"/>
      <c r="U5594" s="19" t="str">
        <f>HYPERLINK("https://pbs.twimg.com/profile_images/1179467449776951296/gNgxUFM5.jpg","View")</f>
        <v>View</v>
      </c>
      <c r="V5594" s="8"/>
      <c r="W5594" s="8"/>
      <c r="X5594" s="8"/>
      <c r="Y5594" s="8"/>
      <c r="Z5594" s="8"/>
    </row>
    <row r="5595" spans="1:26" ht="12.75">
      <c r="A5595" s="11">
        <v>43747.082731481481</v>
      </c>
      <c r="B5595" s="12" t="str">
        <f>HYPERLINK("https://twitter.com/Efeucar1905","@Efeucar1905")</f>
        <v>@Efeucar1905</v>
      </c>
      <c r="C5595" s="7" t="s">
        <v>26127</v>
      </c>
      <c r="D5595" s="7" t="s">
        <v>26128</v>
      </c>
      <c r="E5595" s="12" t="str">
        <f>HYPERLINK("https://twitter.com/Efeucar1905/status/1181856610525810688","1181856610525810688")</f>
        <v>1181856610525810688</v>
      </c>
      <c r="F5595" s="8"/>
      <c r="G5595" s="14" t="s">
        <v>26129</v>
      </c>
      <c r="H5595" s="8"/>
      <c r="I5595" s="15">
        <v>0</v>
      </c>
      <c r="J5595" s="15">
        <v>0</v>
      </c>
      <c r="K5595" s="12" t="str">
        <f>HYPERLINK("http://twitter.com/download/iphone","Twitter for iPhone")</f>
        <v>Twitter for iPhone</v>
      </c>
      <c r="L5595" s="16">
        <v>105</v>
      </c>
      <c r="M5595" s="16">
        <v>169</v>
      </c>
      <c r="N5595" s="16">
        <v>0</v>
      </c>
      <c r="O5595" s="17"/>
      <c r="P5595" s="18">
        <v>41507.661493055552</v>
      </c>
      <c r="Q5595" s="7"/>
      <c r="R5595" s="7" t="s">
        <v>26130</v>
      </c>
      <c r="S5595" s="15"/>
      <c r="T5595" s="8"/>
      <c r="U5595" s="19" t="str">
        <f>HYPERLINK("https://pbs.twimg.com/profile_images/1181272770891730944/eWDfjFyi.jpg","View")</f>
        <v>View</v>
      </c>
      <c r="V5595" s="8"/>
      <c r="W5595" s="8"/>
      <c r="X5595" s="8"/>
      <c r="Y5595" s="8"/>
      <c r="Z5595" s="8"/>
    </row>
    <row r="5596" spans="1:26" ht="12.75">
      <c r="A5596" s="11">
        <v>43747.082719907412</v>
      </c>
      <c r="B5596" s="12" t="str">
        <f>HYPERLINK("https://twitter.com/hilker55","@hilker55")</f>
        <v>@hilker55</v>
      </c>
      <c r="C5596" s="7" t="s">
        <v>17675</v>
      </c>
      <c r="D5596" s="7" t="s">
        <v>26131</v>
      </c>
      <c r="E5596" s="12" t="str">
        <f>HYPERLINK("https://twitter.com/hilker55/status/1181856605467492352","1181856605467492352")</f>
        <v>1181856605467492352</v>
      </c>
      <c r="F5596" s="15"/>
      <c r="G5596" s="14" t="s">
        <v>26132</v>
      </c>
      <c r="H5596" s="8"/>
      <c r="I5596" s="15">
        <v>0</v>
      </c>
      <c r="J5596" s="15">
        <v>5</v>
      </c>
      <c r="K5596" s="12" t="str">
        <f>HYPERLINK("http://twitter.com/download/iphone","Twitter for iPhone")</f>
        <v>Twitter for iPhone</v>
      </c>
      <c r="L5596" s="16">
        <v>140</v>
      </c>
      <c r="M5596" s="16">
        <v>171</v>
      </c>
      <c r="N5596" s="16">
        <v>0</v>
      </c>
      <c r="O5596" s="20"/>
      <c r="P5596" s="18">
        <v>41775.408958333333</v>
      </c>
      <c r="Q5596" s="7" t="s">
        <v>1850</v>
      </c>
      <c r="R5596" s="7"/>
      <c r="S5596" s="15"/>
      <c r="T5596" s="8"/>
      <c r="U5596" s="19" t="str">
        <f>HYPERLINK("https://pbs.twimg.com/profile_images/1176732840937103360/X4WuDb7Z.jpg","View")</f>
        <v>View</v>
      </c>
      <c r="V5596" s="8"/>
      <c r="W5596" s="8"/>
      <c r="X5596" s="8"/>
      <c r="Y5596" s="8"/>
      <c r="Z5596" s="8"/>
    </row>
    <row r="5597" spans="1:26" ht="12.75">
      <c r="A5597" s="11">
        <v>43747.082685185189</v>
      </c>
      <c r="B5597" s="12" t="str">
        <f>HYPERLINK("https://twitter.com/abdurrahmantuz","@abdurrahmantuz")</f>
        <v>@abdurrahmantuz</v>
      </c>
      <c r="C5597" s="7" t="s">
        <v>26133</v>
      </c>
      <c r="D5597" s="7" t="s">
        <v>160</v>
      </c>
      <c r="E5597" s="12" t="str">
        <f>HYPERLINK("https://twitter.com/abdurrahmantuz/status/1181856595510214657","1181856595510214657")</f>
        <v>1181856595510214657</v>
      </c>
      <c r="F5597" s="8"/>
      <c r="G5597" s="8"/>
      <c r="H5597" s="8"/>
      <c r="I5597" s="15">
        <v>0</v>
      </c>
      <c r="J5597" s="15">
        <v>0</v>
      </c>
      <c r="K5597" s="12" t="str">
        <f>HYPERLINK("http://twitter.com/download/android","Twitter for Android")</f>
        <v>Twitter for Android</v>
      </c>
      <c r="L5597" s="16">
        <v>0</v>
      </c>
      <c r="M5597" s="16">
        <v>31</v>
      </c>
      <c r="N5597" s="16">
        <v>0</v>
      </c>
      <c r="O5597" s="17"/>
      <c r="P5597" s="18">
        <v>43051.47079861111</v>
      </c>
      <c r="Q5597" s="8"/>
      <c r="R5597" s="7"/>
      <c r="S5597" s="8"/>
      <c r="T5597" s="8"/>
      <c r="U5597" s="19" t="str">
        <f>HYPERLINK("https://pbs.twimg.com/profile_images/1112811029262729218/IHAG9V3v.jpg","View")</f>
        <v>View</v>
      </c>
      <c r="V5597" s="8"/>
      <c r="W5597" s="8"/>
      <c r="X5597" s="8"/>
      <c r="Y5597" s="8"/>
      <c r="Z5597" s="8"/>
    </row>
    <row r="5598" spans="1:26" ht="12.75">
      <c r="A5598" s="11">
        <v>43747.082673611112</v>
      </c>
      <c r="B5598" s="12" t="str">
        <f>HYPERLINK("https://twitter.com/Sweet_Cat222","@Sweet_Cat222")</f>
        <v>@Sweet_Cat222</v>
      </c>
      <c r="C5598" s="7" t="s">
        <v>26134</v>
      </c>
      <c r="D5598" s="7" t="s">
        <v>26135</v>
      </c>
      <c r="E5598" s="12" t="str">
        <f>HYPERLINK("https://twitter.com/Sweet_Cat222/status/1181856589420138496","1181856589420138496")</f>
        <v>1181856589420138496</v>
      </c>
      <c r="F5598" s="8"/>
      <c r="G5598" s="14" t="s">
        <v>26136</v>
      </c>
      <c r="H5598" s="8"/>
      <c r="I5598" s="15">
        <v>1</v>
      </c>
      <c r="J5598" s="15">
        <v>39</v>
      </c>
      <c r="K5598" s="12" t="str">
        <f>HYPERLINK("http://twitter.com/download/android","Twitter for Android")</f>
        <v>Twitter for Android</v>
      </c>
      <c r="L5598" s="16">
        <v>8050</v>
      </c>
      <c r="M5598" s="16">
        <v>3895</v>
      </c>
      <c r="N5598" s="16">
        <v>60</v>
      </c>
      <c r="O5598" s="17"/>
      <c r="P5598" s="18">
        <v>40175.188645833332</v>
      </c>
      <c r="Q5598" s="8" t="s">
        <v>26137</v>
      </c>
      <c r="R5598" s="7" t="s">
        <v>26138</v>
      </c>
      <c r="S5598" s="8"/>
      <c r="T5598" s="8"/>
      <c r="U5598" s="19" t="str">
        <f>HYPERLINK("https://pbs.twimg.com/profile_images/1090278115287404545/0XQXkHQp.jpg","View")</f>
        <v>View</v>
      </c>
      <c r="V5598" s="8"/>
      <c r="W5598" s="8"/>
      <c r="X5598" s="8"/>
      <c r="Y5598" s="8"/>
      <c r="Z5598" s="8"/>
    </row>
    <row r="5599" spans="1:26" ht="12.75">
      <c r="A5599" s="11">
        <v>43747.082662037035</v>
      </c>
      <c r="B5599" s="12" t="str">
        <f>HYPERLINK("https://twitter.com/0israrhussain","@0israrhussain")</f>
        <v>@0israrhussain</v>
      </c>
      <c r="C5599" s="7" t="s">
        <v>26139</v>
      </c>
      <c r="D5599" s="7" t="s">
        <v>26140</v>
      </c>
      <c r="E5599" s="12" t="str">
        <f>HYPERLINK("https://twitter.com/0israrhussain/status/1181856584592494592","1181856584592494592")</f>
        <v>1181856584592494592</v>
      </c>
      <c r="F5599" s="8"/>
      <c r="G5599" s="15"/>
      <c r="H5599" s="8"/>
      <c r="I5599" s="15">
        <v>0</v>
      </c>
      <c r="J5599" s="15">
        <v>1</v>
      </c>
      <c r="K5599" s="12" t="str">
        <f>HYPERLINK("https://mobile.twitter.com","Twitter Web App")</f>
        <v>Twitter Web App</v>
      </c>
      <c r="L5599" s="16">
        <v>11</v>
      </c>
      <c r="M5599" s="16">
        <v>108</v>
      </c>
      <c r="N5599" s="16">
        <v>0</v>
      </c>
      <c r="O5599" s="17"/>
      <c r="P5599" s="18">
        <v>41735.211909722224</v>
      </c>
      <c r="Q5599" s="8"/>
      <c r="R5599" s="7"/>
      <c r="S5599" s="8"/>
      <c r="T5599" s="8"/>
      <c r="U5599" s="19" t="str">
        <f>HYPERLINK("https://pbs.twimg.com/profile_images/1141326629748297728/5F3SOl4M.png","View")</f>
        <v>View</v>
      </c>
      <c r="V5599" s="8"/>
      <c r="W5599" s="8"/>
      <c r="X5599" s="8"/>
      <c r="Y5599" s="8"/>
      <c r="Z5599" s="8"/>
    </row>
    <row r="5600" spans="1:26" ht="12.75">
      <c r="A5600" s="11">
        <v>43747.082627314812</v>
      </c>
      <c r="B5600" s="12" t="str">
        <f>HYPERLINK("https://twitter.com/AliAltuntepe","@AliAltuntepe")</f>
        <v>@AliAltuntepe</v>
      </c>
      <c r="C5600" s="7" t="s">
        <v>26141</v>
      </c>
      <c r="D5600" s="7" t="s">
        <v>26142</v>
      </c>
      <c r="E5600" s="12" t="str">
        <f>HYPERLINK("https://twitter.com/AliAltuntepe/status/1181856574324838400","1181856574324838400")</f>
        <v>1181856574324838400</v>
      </c>
      <c r="F5600" s="15"/>
      <c r="G5600" s="8"/>
      <c r="H5600" s="8"/>
      <c r="I5600" s="15">
        <v>0</v>
      </c>
      <c r="J5600" s="15">
        <v>1</v>
      </c>
      <c r="K5600" s="12" t="str">
        <f>HYPERLINK("http://twitter.com/download/iphone","Twitter for iPhone")</f>
        <v>Twitter for iPhone</v>
      </c>
      <c r="L5600" s="16">
        <v>837</v>
      </c>
      <c r="M5600" s="16">
        <v>710</v>
      </c>
      <c r="N5600" s="16">
        <v>0</v>
      </c>
      <c r="O5600" s="17"/>
      <c r="P5600" s="18">
        <v>41091.20511574074</v>
      </c>
      <c r="Q5600" s="8" t="s">
        <v>4449</v>
      </c>
      <c r="R5600" s="8" t="s">
        <v>26143</v>
      </c>
      <c r="S5600" s="14" t="s">
        <v>26144</v>
      </c>
      <c r="T5600" s="8"/>
      <c r="U5600" s="19" t="str">
        <f>HYPERLINK("https://pbs.twimg.com/profile_images/1127703129460551683/baIg7fFb.jpg","View")</f>
        <v>View</v>
      </c>
      <c r="V5600" s="8"/>
      <c r="W5600" s="8"/>
      <c r="X5600" s="8"/>
      <c r="Y5600" s="8"/>
      <c r="Z5600" s="8"/>
    </row>
    <row r="5601" spans="1:26" ht="12.75">
      <c r="A5601" s="11">
        <v>43747.082592592589</v>
      </c>
      <c r="B5601" s="12" t="str">
        <f>HYPERLINK("https://twitter.com/selimhacioglu","@selimhacioglu")</f>
        <v>@selimhacioglu</v>
      </c>
      <c r="C5601" s="7" t="s">
        <v>26145</v>
      </c>
      <c r="D5601" s="7" t="s">
        <v>26146</v>
      </c>
      <c r="E5601" s="12" t="str">
        <f>HYPERLINK("https://twitter.com/selimhacioglu/status/1181856559154057217","1181856559154057217")</f>
        <v>1181856559154057217</v>
      </c>
      <c r="F5601" s="14" t="s">
        <v>26147</v>
      </c>
      <c r="G5601" s="14" t="s">
        <v>26148</v>
      </c>
      <c r="H5601" s="8"/>
      <c r="I5601" s="15">
        <v>0</v>
      </c>
      <c r="J5601" s="15">
        <v>0</v>
      </c>
      <c r="K5601" s="12" t="str">
        <f>HYPERLINK("http://twitter.com/download/android","Twitter for Android")</f>
        <v>Twitter for Android</v>
      </c>
      <c r="L5601" s="16">
        <v>26</v>
      </c>
      <c r="M5601" s="16">
        <v>38</v>
      </c>
      <c r="N5601" s="16">
        <v>0</v>
      </c>
      <c r="O5601" s="17"/>
      <c r="P5601" s="18">
        <v>40796.24726851852</v>
      </c>
      <c r="Q5601" s="7"/>
      <c r="R5601" s="7" t="s">
        <v>26149</v>
      </c>
      <c r="S5601" s="14" t="s">
        <v>26150</v>
      </c>
      <c r="T5601" s="8"/>
      <c r="U5601" s="19" t="str">
        <f>HYPERLINK("https://pbs.twimg.com/profile_images/1176415583799250945/7rSfqABQ.jpg","View")</f>
        <v>View</v>
      </c>
      <c r="V5601" s="8"/>
      <c r="W5601" s="8"/>
      <c r="X5601" s="8"/>
      <c r="Y5601" s="8"/>
      <c r="Z5601" s="8"/>
    </row>
    <row r="5602" spans="1:26" ht="12.75">
      <c r="A5602" s="11">
        <v>43747.082546296297</v>
      </c>
      <c r="B5602" s="12" t="str">
        <f>HYPERLINK("https://twitter.com/jmnpcktt","@jmnpcktt")</f>
        <v>@jmnpcktt</v>
      </c>
      <c r="C5602" s="7" t="s">
        <v>26151</v>
      </c>
      <c r="D5602" s="7" t="s">
        <v>26152</v>
      </c>
      <c r="E5602" s="12" t="str">
        <f>HYPERLINK("https://twitter.com/jmnpcktt/status/1181856543354097664","1181856543354097664")</f>
        <v>1181856543354097664</v>
      </c>
      <c r="F5602" s="8"/>
      <c r="G5602" s="8"/>
      <c r="H5602" s="8"/>
      <c r="I5602" s="15">
        <v>0</v>
      </c>
      <c r="J5602" s="15">
        <v>2</v>
      </c>
      <c r="K5602" s="12" t="str">
        <f>HYPERLINK("http://twitter.com/download/android","Twitter for Android")</f>
        <v>Twitter for Android</v>
      </c>
      <c r="L5602" s="16">
        <v>548</v>
      </c>
      <c r="M5602" s="16">
        <v>1654</v>
      </c>
      <c r="N5602" s="16">
        <v>4</v>
      </c>
      <c r="O5602" s="17"/>
      <c r="P5602" s="18">
        <v>43308.542488425926</v>
      </c>
      <c r="Q5602" s="8"/>
      <c r="R5602" s="8" t="s">
        <v>26153</v>
      </c>
      <c r="S5602" s="8"/>
      <c r="T5602" s="8"/>
      <c r="U5602" s="19" t="str">
        <f>HYPERLINK("https://pbs.twimg.com/profile_images/1176800091379851265/30upiI3h.jpg","View")</f>
        <v>View</v>
      </c>
      <c r="V5602" s="8"/>
      <c r="W5602" s="8"/>
      <c r="X5602" s="8"/>
      <c r="Y5602" s="8"/>
      <c r="Z5602" s="8"/>
    </row>
    <row r="5603" spans="1:26" ht="12.75">
      <c r="A5603" s="11">
        <v>43747.082546296297</v>
      </c>
      <c r="B5603" s="12" t="str">
        <f>HYPERLINK("https://twitter.com/erolun","@erolun")</f>
        <v>@erolun</v>
      </c>
      <c r="C5603" s="7" t="s">
        <v>26154</v>
      </c>
      <c r="D5603" s="7" t="s">
        <v>26155</v>
      </c>
      <c r="E5603" s="12" t="str">
        <f>HYPERLINK("https://twitter.com/erolun/status/1181856541802209280","1181856541802209280")</f>
        <v>1181856541802209280</v>
      </c>
      <c r="F5603" s="8"/>
      <c r="G5603" s="14" t="s">
        <v>26156</v>
      </c>
      <c r="H5603" s="8"/>
      <c r="I5603" s="15">
        <v>0</v>
      </c>
      <c r="J5603" s="15">
        <v>0</v>
      </c>
      <c r="K5603" s="12" t="str">
        <f>HYPERLINK("https://mobile.twitter.com","Twitter Web App")</f>
        <v>Twitter Web App</v>
      </c>
      <c r="L5603" s="16">
        <v>3974</v>
      </c>
      <c r="M5603" s="16">
        <v>4054</v>
      </c>
      <c r="N5603" s="16">
        <v>5</v>
      </c>
      <c r="O5603" s="17"/>
      <c r="P5603" s="18">
        <v>40189.109120370369</v>
      </c>
      <c r="Q5603" s="7" t="s">
        <v>313</v>
      </c>
      <c r="R5603" s="7" t="s">
        <v>26157</v>
      </c>
      <c r="S5603" s="14" t="s">
        <v>2308</v>
      </c>
      <c r="T5603" s="8"/>
      <c r="U5603" s="19" t="str">
        <f>HYPERLINK("https://pbs.twimg.com/profile_images/1148187291233509377/Vq48ZHPX.jpg","View")</f>
        <v>View</v>
      </c>
      <c r="V5603" s="8"/>
      <c r="W5603" s="8"/>
      <c r="X5603" s="8"/>
      <c r="Y5603" s="8"/>
      <c r="Z5603" s="8"/>
    </row>
    <row r="5604" spans="1:26" ht="12.75">
      <c r="A5604" s="11">
        <v>43747.082465277781</v>
      </c>
      <c r="B5604" s="12" t="str">
        <f>HYPERLINK("https://twitter.com/adem06_19","@adem06_19")</f>
        <v>@adem06_19</v>
      </c>
      <c r="C5604" s="7" t="s">
        <v>26158</v>
      </c>
      <c r="D5604" s="7" t="s">
        <v>26159</v>
      </c>
      <c r="E5604" s="12" t="str">
        <f>HYPERLINK("https://twitter.com/adem06_19/status/1181856514254020608","1181856514254020608")</f>
        <v>1181856514254020608</v>
      </c>
      <c r="F5604" s="8"/>
      <c r="G5604" s="15"/>
      <c r="H5604" s="8"/>
      <c r="I5604" s="15">
        <v>0</v>
      </c>
      <c r="J5604" s="15">
        <v>0</v>
      </c>
      <c r="K5604" s="12" t="str">
        <f>HYPERLINK("http://twitter.com/download/iphone","Twitter for iPhone")</f>
        <v>Twitter for iPhone</v>
      </c>
      <c r="L5604" s="16">
        <v>19</v>
      </c>
      <c r="M5604" s="16">
        <v>81</v>
      </c>
      <c r="N5604" s="16">
        <v>0</v>
      </c>
      <c r="O5604" s="17"/>
      <c r="P5604" s="18">
        <v>40804.099618055552</v>
      </c>
      <c r="Q5604" s="8" t="s">
        <v>26160</v>
      </c>
      <c r="R5604" s="7" t="s">
        <v>26161</v>
      </c>
      <c r="S5604" s="8"/>
      <c r="T5604" s="8"/>
      <c r="U5604" s="19" t="str">
        <f>HYPERLINK("https://pbs.twimg.com/profile_images/508239530244055040/Hkfl9vw9.png","View")</f>
        <v>View</v>
      </c>
      <c r="V5604" s="8"/>
      <c r="W5604" s="8"/>
      <c r="X5604" s="8"/>
      <c r="Y5604" s="8"/>
      <c r="Z5604" s="8"/>
    </row>
    <row r="5605" spans="1:26" ht="12.75">
      <c r="A5605" s="11">
        <v>43747.082442129627</v>
      </c>
      <c r="B5605" s="12" t="str">
        <f>HYPERLINK("https://twitter.com/Caner2613","@Caner2613")</f>
        <v>@Caner2613</v>
      </c>
      <c r="C5605" s="7" t="s">
        <v>26162</v>
      </c>
      <c r="D5605" s="7" t="s">
        <v>26163</v>
      </c>
      <c r="E5605" s="12" t="str">
        <f>HYPERLINK("https://twitter.com/Caner2613/status/1181856504028307457","1181856504028307457")</f>
        <v>1181856504028307457</v>
      </c>
      <c r="F5605" s="8"/>
      <c r="G5605" s="8"/>
      <c r="H5605" s="8"/>
      <c r="I5605" s="15">
        <v>0</v>
      </c>
      <c r="J5605" s="15">
        <v>0</v>
      </c>
      <c r="K5605" s="12" t="str">
        <f>HYPERLINK("http://twitter.com/download/android","Twitter for Android")</f>
        <v>Twitter for Android</v>
      </c>
      <c r="L5605" s="16">
        <v>212</v>
      </c>
      <c r="M5605" s="16">
        <v>898</v>
      </c>
      <c r="N5605" s="16">
        <v>0</v>
      </c>
      <c r="O5605" s="17"/>
      <c r="P5605" s="18">
        <v>43699.088518518518</v>
      </c>
      <c r="Q5605" s="7" t="s">
        <v>69</v>
      </c>
      <c r="R5605" s="8"/>
      <c r="S5605" s="8"/>
      <c r="T5605" s="8"/>
      <c r="U5605" s="19" t="str">
        <f>HYPERLINK("https://pbs.twimg.com/profile_images/1164494517795459072/q2ghNnHJ.jpg","View")</f>
        <v>View</v>
      </c>
      <c r="V5605" s="8"/>
      <c r="W5605" s="8"/>
      <c r="X5605" s="8"/>
      <c r="Y5605" s="8"/>
      <c r="Z5605" s="8"/>
    </row>
    <row r="5606" spans="1:26" ht="12.75">
      <c r="A5606" s="11">
        <v>43747.082430555558</v>
      </c>
      <c r="B5606" s="12" t="str">
        <f>HYPERLINK("https://twitter.com/IKafalarr","@IKafalarr")</f>
        <v>@IKafalarr</v>
      </c>
      <c r="C5606" s="7" t="s">
        <v>26164</v>
      </c>
      <c r="D5606" s="7" t="s">
        <v>26165</v>
      </c>
      <c r="E5606" s="12" t="str">
        <f>HYPERLINK("https://twitter.com/IKafalarr/status/1181856502715502592","1181856502715502592")</f>
        <v>1181856502715502592</v>
      </c>
      <c r="F5606" s="14" t="s">
        <v>26166</v>
      </c>
      <c r="G5606" s="15"/>
      <c r="H5606" s="8"/>
      <c r="I5606" s="15">
        <v>0</v>
      </c>
      <c r="J5606" s="15">
        <v>1</v>
      </c>
      <c r="K5606" s="12" t="str">
        <f>HYPERLINK("https://mobile.twitter.com","Twitter Web App")</f>
        <v>Twitter Web App</v>
      </c>
      <c r="L5606" s="16">
        <v>947</v>
      </c>
      <c r="M5606" s="16">
        <v>1751</v>
      </c>
      <c r="N5606" s="16">
        <v>0</v>
      </c>
      <c r="O5606" s="17"/>
      <c r="P5606" s="18">
        <v>43499.071898148148</v>
      </c>
      <c r="Q5606" s="8" t="s">
        <v>668</v>
      </c>
      <c r="R5606" s="7" t="s">
        <v>26167</v>
      </c>
      <c r="S5606" s="14" t="s">
        <v>26168</v>
      </c>
      <c r="T5606" s="8"/>
      <c r="U5606" s="19" t="str">
        <f>HYPERLINK("https://pbs.twimg.com/profile_images/1091995685963091968/6rEYaDiN.jpg","View")</f>
        <v>View</v>
      </c>
      <c r="V5606" s="8"/>
      <c r="W5606" s="8"/>
      <c r="X5606" s="8"/>
      <c r="Y5606" s="8"/>
      <c r="Z5606" s="8"/>
    </row>
    <row r="5607" spans="1:26" ht="12.75">
      <c r="A5607" s="11">
        <v>43747.082384259258</v>
      </c>
      <c r="B5607" s="12" t="str">
        <f>HYPERLINK("https://twitter.com/Halilakpnr1","@Halilakpnr1")</f>
        <v>@Halilakpnr1</v>
      </c>
      <c r="C5607" s="7" t="s">
        <v>26169</v>
      </c>
      <c r="D5607" s="7" t="s">
        <v>26170</v>
      </c>
      <c r="E5607" s="12" t="str">
        <f>HYPERLINK("https://twitter.com/Halilakpnr1/status/1181856486697426945","1181856486697426945")</f>
        <v>1181856486697426945</v>
      </c>
      <c r="F5607" s="8"/>
      <c r="G5607" s="14" t="s">
        <v>26171</v>
      </c>
      <c r="H5607" s="8"/>
      <c r="I5607" s="15">
        <v>0</v>
      </c>
      <c r="J5607" s="15">
        <v>2</v>
      </c>
      <c r="K5607" s="12" t="str">
        <f>HYPERLINK("http://twitter.com/download/android","Twitter for Android")</f>
        <v>Twitter for Android</v>
      </c>
      <c r="L5607" s="16">
        <v>12</v>
      </c>
      <c r="M5607" s="16">
        <v>36</v>
      </c>
      <c r="N5607" s="16">
        <v>0</v>
      </c>
      <c r="O5607" s="17"/>
      <c r="P5607" s="18">
        <v>43100.418321759258</v>
      </c>
      <c r="Q5607" s="7" t="s">
        <v>16844</v>
      </c>
      <c r="R5607" s="7" t="s">
        <v>26172</v>
      </c>
      <c r="S5607" s="15"/>
      <c r="T5607" s="8"/>
      <c r="U5607" s="19" t="str">
        <f>HYPERLINK("https://pbs.twimg.com/profile_images/1113648994054492161/4AZM3Ppj.jpg","View")</f>
        <v>View</v>
      </c>
      <c r="V5607" s="8"/>
      <c r="W5607" s="8"/>
      <c r="X5607" s="8"/>
      <c r="Y5607" s="8"/>
      <c r="Z5607" s="8"/>
    </row>
    <row r="5608" spans="1:26" ht="12.75">
      <c r="A5608" s="11">
        <v>43747.082361111112</v>
      </c>
      <c r="B5608" s="12" t="str">
        <f>HYPERLINK("https://twitter.com/TheHashasi","@TheHashasi")</f>
        <v>@TheHashasi</v>
      </c>
      <c r="C5608" s="7" t="s">
        <v>26173</v>
      </c>
      <c r="D5608" s="7" t="s">
        <v>26174</v>
      </c>
      <c r="E5608" s="12" t="str">
        <f>HYPERLINK("https://twitter.com/TheHashasi/status/1181856475477680128","1181856475477680128")</f>
        <v>1181856475477680128</v>
      </c>
      <c r="F5608" s="8"/>
      <c r="G5608" s="8"/>
      <c r="H5608" s="8"/>
      <c r="I5608" s="15">
        <v>0</v>
      </c>
      <c r="J5608" s="15">
        <v>0</v>
      </c>
      <c r="K5608" s="12" t="str">
        <f>HYPERLINK("https://mobile.twitter.com","Twitter Web App")</f>
        <v>Twitter Web App</v>
      </c>
      <c r="L5608" s="16">
        <v>17</v>
      </c>
      <c r="M5608" s="16">
        <v>51</v>
      </c>
      <c r="N5608" s="16">
        <v>0</v>
      </c>
      <c r="O5608" s="17"/>
      <c r="P5608" s="18">
        <v>41774.319293981483</v>
      </c>
      <c r="Q5608" s="8"/>
      <c r="R5608" s="7"/>
      <c r="S5608" s="15"/>
      <c r="T5608" s="8"/>
      <c r="U5608" s="20" t="s">
        <v>354</v>
      </c>
      <c r="V5608" s="8"/>
      <c r="W5608" s="8"/>
      <c r="X5608" s="8"/>
      <c r="Y5608" s="8"/>
      <c r="Z5608" s="8"/>
    </row>
    <row r="5609" spans="1:26" ht="12.75">
      <c r="A5609" s="11">
        <v>43747.082349537042</v>
      </c>
      <c r="B5609" s="12" t="str">
        <f>HYPERLINK("https://twitter.com/Woxic0552","@Woxic0552")</f>
        <v>@Woxic0552</v>
      </c>
      <c r="C5609" s="7" t="s">
        <v>18956</v>
      </c>
      <c r="D5609" s="7" t="s">
        <v>26175</v>
      </c>
      <c r="E5609" s="12" t="str">
        <f>HYPERLINK("https://twitter.com/Woxic0552/status/1181856474365976578","1181856474365976578")</f>
        <v>1181856474365976578</v>
      </c>
      <c r="F5609" s="8"/>
      <c r="G5609" s="14" t="s">
        <v>26176</v>
      </c>
      <c r="H5609" s="8"/>
      <c r="I5609" s="15">
        <v>1</v>
      </c>
      <c r="J5609" s="15">
        <v>2</v>
      </c>
      <c r="K5609" s="12" t="str">
        <f>HYPERLINK("http://twitter.com/download/android","Twitter for Android")</f>
        <v>Twitter for Android</v>
      </c>
      <c r="L5609" s="16">
        <v>1</v>
      </c>
      <c r="M5609" s="16">
        <v>7</v>
      </c>
      <c r="N5609" s="16">
        <v>0</v>
      </c>
      <c r="O5609" s="17"/>
      <c r="P5609" s="18">
        <v>43735.133159722223</v>
      </c>
      <c r="Q5609" s="8"/>
      <c r="R5609" s="7"/>
      <c r="S5609" s="8"/>
      <c r="T5609" s="8"/>
      <c r="U5609" s="19" t="str">
        <f>HYPERLINK("https://pbs.twimg.com/profile_images/1179681275600351232/4yjS4O6p.jpg","View")</f>
        <v>View</v>
      </c>
      <c r="V5609" s="8"/>
      <c r="W5609" s="8"/>
      <c r="X5609" s="8"/>
      <c r="Y5609" s="8"/>
      <c r="Z5609" s="8"/>
    </row>
    <row r="5610" spans="1:26" ht="12.75">
      <c r="A5610" s="11">
        <v>43747.082337962958</v>
      </c>
      <c r="B5610" s="12" t="str">
        <f>HYPERLINK("https://twitter.com/canerdizdar1","@canerdizdar1")</f>
        <v>@canerdizdar1</v>
      </c>
      <c r="C5610" s="7" t="s">
        <v>26177</v>
      </c>
      <c r="D5610" s="7" t="s">
        <v>26178</v>
      </c>
      <c r="E5610" s="12" t="str">
        <f>HYPERLINK("https://twitter.com/canerdizdar1/status/1181856469035159552","1181856469035159552")</f>
        <v>1181856469035159552</v>
      </c>
      <c r="F5610" s="8"/>
      <c r="G5610" s="15"/>
      <c r="H5610" s="8"/>
      <c r="I5610" s="15">
        <v>0</v>
      </c>
      <c r="J5610" s="15">
        <v>1</v>
      </c>
      <c r="K5610" s="12" t="str">
        <f>HYPERLINK("http://twitter.com/download/iphone","Twitter for iPhone")</f>
        <v>Twitter for iPhone</v>
      </c>
      <c r="L5610" s="16">
        <v>0</v>
      </c>
      <c r="M5610" s="16">
        <v>23</v>
      </c>
      <c r="N5610" s="16">
        <v>0</v>
      </c>
      <c r="O5610" s="17"/>
      <c r="P5610" s="18">
        <v>43558.61681712963</v>
      </c>
      <c r="Q5610" s="7" t="s">
        <v>12952</v>
      </c>
      <c r="R5610" s="7" t="s">
        <v>26179</v>
      </c>
      <c r="S5610" s="8"/>
      <c r="T5610" s="8"/>
      <c r="U5610" s="19" t="str">
        <f>HYPERLINK("https://pbs.twimg.com/profile_images/1113559157234458624/8kr995Na.jpg","View")</f>
        <v>View</v>
      </c>
      <c r="V5610" s="8"/>
      <c r="W5610" s="8"/>
      <c r="X5610" s="8"/>
      <c r="Y5610" s="8"/>
      <c r="Z5610" s="8"/>
    </row>
    <row r="5611" spans="1:26" ht="12.75">
      <c r="A5611" s="11">
        <v>43747.082314814819</v>
      </c>
      <c r="B5611" s="12" t="str">
        <f>HYPERLINK("https://twitter.com/akifemreeker","@akifemreeker")</f>
        <v>@akifemreeker</v>
      </c>
      <c r="C5611" s="7" t="s">
        <v>26180</v>
      </c>
      <c r="D5611" s="7" t="s">
        <v>26181</v>
      </c>
      <c r="E5611" s="12" t="str">
        <f>HYPERLINK("https://twitter.com/akifemreeker/status/1181856461632233472","1181856461632233472")</f>
        <v>1181856461632233472</v>
      </c>
      <c r="F5611" s="8"/>
      <c r="G5611" s="14" t="s">
        <v>26182</v>
      </c>
      <c r="H5611" s="8"/>
      <c r="I5611" s="15">
        <v>0</v>
      </c>
      <c r="J5611" s="15">
        <v>0</v>
      </c>
      <c r="K5611" s="12" t="str">
        <f>HYPERLINK("https://mobile.twitter.com","Twitter Web App")</f>
        <v>Twitter Web App</v>
      </c>
      <c r="L5611" s="16">
        <v>1733</v>
      </c>
      <c r="M5611" s="16">
        <v>181</v>
      </c>
      <c r="N5611" s="16">
        <v>10</v>
      </c>
      <c r="O5611" s="17"/>
      <c r="P5611" s="18">
        <v>40489.500254629631</v>
      </c>
      <c r="Q5611" s="7" t="s">
        <v>287</v>
      </c>
      <c r="R5611" s="7" t="s">
        <v>26183</v>
      </c>
      <c r="S5611" s="8"/>
      <c r="T5611" s="8"/>
      <c r="U5611" s="19" t="str">
        <f>HYPERLINK("https://pbs.twimg.com/profile_images/1113765339781828609/DLKowgic.png","View")</f>
        <v>View</v>
      </c>
      <c r="V5611" s="8"/>
      <c r="W5611" s="8"/>
      <c r="X5611" s="8"/>
      <c r="Y5611" s="8"/>
      <c r="Z5611" s="8"/>
    </row>
    <row r="5612" spans="1:26" ht="12.75">
      <c r="A5612" s="11">
        <v>43747.082303240742</v>
      </c>
      <c r="B5612" s="12" t="str">
        <f>HYPERLINK("https://twitter.com/acikistihbarat","@acikistihbarat")</f>
        <v>@acikistihbarat</v>
      </c>
      <c r="C5612" s="7" t="s">
        <v>26184</v>
      </c>
      <c r="D5612" s="7" t="s">
        <v>26185</v>
      </c>
      <c r="E5612" s="12" t="str">
        <f>HYPERLINK("https://twitter.com/acikistihbarat/status/1181856455005224966","1181856455005224966")</f>
        <v>1181856455005224966</v>
      </c>
      <c r="F5612" s="14" t="s">
        <v>7246</v>
      </c>
      <c r="G5612" s="8"/>
      <c r="H5612" s="8"/>
      <c r="I5612" s="15">
        <v>6</v>
      </c>
      <c r="J5612" s="15">
        <v>25</v>
      </c>
      <c r="K5612" s="12" t="str">
        <f>HYPERLINK("https://mobile.twitter.com","Twitter Web App")</f>
        <v>Twitter Web App</v>
      </c>
      <c r="L5612" s="16">
        <v>48563</v>
      </c>
      <c r="M5612" s="16">
        <v>0</v>
      </c>
      <c r="N5612" s="16">
        <v>312</v>
      </c>
      <c r="O5612" s="17"/>
      <c r="P5612" s="18">
        <v>40339.589386574073</v>
      </c>
      <c r="Q5612" s="8" t="s">
        <v>200</v>
      </c>
      <c r="R5612" s="7" t="s">
        <v>26186</v>
      </c>
      <c r="S5612" s="14" t="s">
        <v>26187</v>
      </c>
      <c r="T5612" s="8"/>
      <c r="U5612" s="19" t="str">
        <f>HYPERLINK("https://pbs.twimg.com/profile_images/1132625202/gozde-bayrak.jpg","View")</f>
        <v>View</v>
      </c>
      <c r="V5612" s="8"/>
      <c r="W5612" s="8"/>
      <c r="X5612" s="8"/>
      <c r="Y5612" s="8"/>
      <c r="Z5612" s="8"/>
    </row>
    <row r="5613" spans="1:26" ht="12.75">
      <c r="A5613" s="11">
        <v>43747.082303240742</v>
      </c>
      <c r="B5613" s="12" t="str">
        <f>HYPERLINK("https://twitter.com/42_oktay","@42_oktay")</f>
        <v>@42_oktay</v>
      </c>
      <c r="C5613" s="7" t="s">
        <v>26188</v>
      </c>
      <c r="D5613" s="7" t="s">
        <v>26189</v>
      </c>
      <c r="E5613" s="12" t="str">
        <f>HYPERLINK("https://twitter.com/42_oktay/status/1181856454418022400","1181856454418022400")</f>
        <v>1181856454418022400</v>
      </c>
      <c r="F5613" s="8"/>
      <c r="G5613" s="14" t="s">
        <v>26190</v>
      </c>
      <c r="H5613" s="8"/>
      <c r="I5613" s="15">
        <v>2</v>
      </c>
      <c r="J5613" s="15">
        <v>6</v>
      </c>
      <c r="K5613" s="12" t="str">
        <f>HYPERLINK("https://mobile.twitter.com","Twitter Web App")</f>
        <v>Twitter Web App</v>
      </c>
      <c r="L5613" s="16">
        <v>2891</v>
      </c>
      <c r="M5613" s="16">
        <v>3162</v>
      </c>
      <c r="N5613" s="16">
        <v>0</v>
      </c>
      <c r="O5613" s="17"/>
      <c r="P5613" s="18">
        <v>41201.127465277779</v>
      </c>
      <c r="Q5613" s="8"/>
      <c r="R5613" s="7" t="s">
        <v>26191</v>
      </c>
      <c r="S5613" s="8"/>
      <c r="T5613" s="8"/>
      <c r="U5613" s="19" t="str">
        <f>HYPERLINK("https://pbs.twimg.com/profile_images/1167914829937426432/QSCAwCSQ.jpg","View")</f>
        <v>View</v>
      </c>
      <c r="V5613" s="8"/>
      <c r="W5613" s="8"/>
      <c r="X5613" s="8"/>
      <c r="Y5613" s="8"/>
      <c r="Z5613" s="8"/>
    </row>
    <row r="5614" spans="1:26" ht="12.75">
      <c r="A5614" s="11">
        <v>43747.082291666666</v>
      </c>
      <c r="B5614" s="12" t="str">
        <f>HYPERLINK("https://twitter.com/MAyse98696587","@MAyse98696587")</f>
        <v>@MAyse98696587</v>
      </c>
      <c r="C5614" s="7" t="s">
        <v>26192</v>
      </c>
      <c r="D5614" s="7" t="s">
        <v>26193</v>
      </c>
      <c r="E5614" s="12" t="str">
        <f>HYPERLINK("https://twitter.com/MAyse98696587/status/1181856451565965312","1181856451565965312")</f>
        <v>1181856451565965312</v>
      </c>
      <c r="F5614" s="8"/>
      <c r="G5614" s="14" t="s">
        <v>26194</v>
      </c>
      <c r="H5614" s="8"/>
      <c r="I5614" s="15">
        <v>0</v>
      </c>
      <c r="J5614" s="15">
        <v>0</v>
      </c>
      <c r="K5614" s="12" t="str">
        <f>HYPERLINK("http://twitter.com/download/android","Twitter for Android")</f>
        <v>Twitter for Android</v>
      </c>
      <c r="L5614" s="16">
        <v>59</v>
      </c>
      <c r="M5614" s="16">
        <v>117</v>
      </c>
      <c r="N5614" s="16">
        <v>0</v>
      </c>
      <c r="O5614" s="17"/>
      <c r="P5614" s="18">
        <v>41205.554062499999</v>
      </c>
      <c r="Q5614" s="7" t="s">
        <v>26195</v>
      </c>
      <c r="R5614" s="7"/>
      <c r="S5614" s="8"/>
      <c r="T5614" s="8"/>
      <c r="U5614" s="19" t="str">
        <f>HYPERLINK("https://pbs.twimg.com/profile_images/1181870258967236608/L4Nl2YVT.jpg","View")</f>
        <v>View</v>
      </c>
      <c r="V5614" s="8"/>
      <c r="W5614" s="8"/>
      <c r="X5614" s="8"/>
      <c r="Y5614" s="8"/>
      <c r="Z5614" s="8"/>
    </row>
    <row r="5615" spans="1:26" ht="12.75">
      <c r="A5615" s="11">
        <v>43747.082245370373</v>
      </c>
      <c r="B5615" s="12" t="str">
        <f>HYPERLINK("https://twitter.com/keskin_gokhan","@keskin_gokhan")</f>
        <v>@keskin_gokhan</v>
      </c>
      <c r="C5615" s="7" t="s">
        <v>26196</v>
      </c>
      <c r="D5615" s="7" t="s">
        <v>26197</v>
      </c>
      <c r="E5615" s="12" t="str">
        <f>HYPERLINK("https://twitter.com/keskin_gokhan/status/1181856435593977861","1181856435593977861")</f>
        <v>1181856435593977861</v>
      </c>
      <c r="F5615" s="15"/>
      <c r="G5615" s="15"/>
      <c r="H5615" s="8"/>
      <c r="I5615" s="15">
        <v>0</v>
      </c>
      <c r="J5615" s="15">
        <v>0</v>
      </c>
      <c r="K5615" s="12" t="str">
        <f>HYPERLINK("http://twitter.com/download/android","Twitter for Android")</f>
        <v>Twitter for Android</v>
      </c>
      <c r="L5615" s="16">
        <v>173</v>
      </c>
      <c r="M5615" s="16">
        <v>410</v>
      </c>
      <c r="N5615" s="16">
        <v>0</v>
      </c>
      <c r="O5615" s="17"/>
      <c r="P5615" s="18">
        <v>40714.232800925922</v>
      </c>
      <c r="Q5615" s="8" t="s">
        <v>918</v>
      </c>
      <c r="R5615" s="7" t="s">
        <v>26198</v>
      </c>
      <c r="S5615" s="14" t="s">
        <v>26199</v>
      </c>
      <c r="T5615" s="8"/>
      <c r="U5615" s="19" t="str">
        <f>HYPERLINK("https://pbs.twimg.com/profile_images/1143414019983912960/Cc5xf22i.jpg","View")</f>
        <v>View</v>
      </c>
      <c r="V5615" s="8"/>
      <c r="W5615" s="8"/>
      <c r="X5615" s="8"/>
      <c r="Y5615" s="8"/>
      <c r="Z5615" s="8"/>
    </row>
    <row r="5616" spans="1:26" ht="12.75">
      <c r="A5616" s="11">
        <v>43747.082233796296</v>
      </c>
      <c r="B5616" s="12" t="str">
        <f>HYPERLINK("https://twitter.com/CelebiR2","@CelebiR2")</f>
        <v>@CelebiR2</v>
      </c>
      <c r="C5616" s="7" t="s">
        <v>26200</v>
      </c>
      <c r="D5616" s="7" t="s">
        <v>26201</v>
      </c>
      <c r="E5616" s="12" t="str">
        <f>HYPERLINK("https://twitter.com/CelebiR2/status/1181856430602756096","1181856430602756096")</f>
        <v>1181856430602756096</v>
      </c>
      <c r="F5616" s="8"/>
      <c r="G5616" s="8"/>
      <c r="H5616" s="8"/>
      <c r="I5616" s="15">
        <v>0</v>
      </c>
      <c r="J5616" s="15">
        <v>0</v>
      </c>
      <c r="K5616" s="12" t="str">
        <f>HYPERLINK("https://mobile.twitter.com","Twitter Web App")</f>
        <v>Twitter Web App</v>
      </c>
      <c r="L5616" s="16">
        <v>9364</v>
      </c>
      <c r="M5616" s="16">
        <v>418</v>
      </c>
      <c r="N5616" s="16">
        <v>53</v>
      </c>
      <c r="O5616" s="17"/>
      <c r="P5616" s="18">
        <v>43125.203472222223</v>
      </c>
      <c r="Q5616" s="7"/>
      <c r="R5616" s="7" t="s">
        <v>26202</v>
      </c>
      <c r="S5616" s="14" t="s">
        <v>21727</v>
      </c>
      <c r="T5616" s="8"/>
      <c r="U5616" s="19" t="str">
        <f>HYPERLINK("https://pbs.twimg.com/profile_images/1174647992214806536/oprHpIWC.jpg","View")</f>
        <v>View</v>
      </c>
      <c r="V5616" s="8"/>
      <c r="W5616" s="8"/>
      <c r="X5616" s="8"/>
      <c r="Y5616" s="8"/>
      <c r="Z5616" s="8"/>
    </row>
    <row r="5617" spans="1:26" ht="12.75">
      <c r="A5617" s="11">
        <v>43747.082175925927</v>
      </c>
      <c r="B5617" s="12" t="str">
        <f>HYPERLINK("https://twitter.com/Bahar90068541","@Bahar90068541")</f>
        <v>@Bahar90068541</v>
      </c>
      <c r="C5617" s="7" t="s">
        <v>26203</v>
      </c>
      <c r="D5617" s="7" t="s">
        <v>26204</v>
      </c>
      <c r="E5617" s="12" t="str">
        <f>HYPERLINK("https://twitter.com/Bahar90068541/status/1181856409199284224","1181856409199284224")</f>
        <v>1181856409199284224</v>
      </c>
      <c r="F5617" s="8"/>
      <c r="G5617" s="15"/>
      <c r="H5617" s="8"/>
      <c r="I5617" s="15">
        <v>0</v>
      </c>
      <c r="J5617" s="15">
        <v>3</v>
      </c>
      <c r="K5617" s="12" t="str">
        <f>HYPERLINK("https://mobile.twitter.com","Twitter Web App")</f>
        <v>Twitter Web App</v>
      </c>
      <c r="L5617" s="16">
        <v>67</v>
      </c>
      <c r="M5617" s="16">
        <v>27</v>
      </c>
      <c r="N5617" s="16">
        <v>0</v>
      </c>
      <c r="O5617" s="17"/>
      <c r="P5617" s="18">
        <v>43502.221990740742</v>
      </c>
      <c r="Q5617" s="7"/>
      <c r="R5617" s="7" t="s">
        <v>26205</v>
      </c>
      <c r="S5617" s="15"/>
      <c r="T5617" s="8"/>
      <c r="U5617" s="19" t="str">
        <f>HYPERLINK("https://pbs.twimg.com/profile_images/1181790337397923840/o5OXjm-X.jpg","View")</f>
        <v>View</v>
      </c>
      <c r="V5617" s="8"/>
      <c r="W5617" s="8"/>
      <c r="X5617" s="8"/>
      <c r="Y5617" s="8"/>
      <c r="Z5617" s="8"/>
    </row>
    <row r="5618" spans="1:26" ht="12.75">
      <c r="A5618" s="11">
        <v>43747.08216435185</v>
      </c>
      <c r="B5618" s="12" t="str">
        <f>HYPERLINK("https://twitter.com/zuma45166813","@zuma45166813")</f>
        <v>@zuma45166813</v>
      </c>
      <c r="C5618" s="7" t="s">
        <v>26206</v>
      </c>
      <c r="D5618" s="7" t="s">
        <v>26207</v>
      </c>
      <c r="E5618" s="12" t="str">
        <f>HYPERLINK("https://twitter.com/zuma45166813/status/1181856403411083264","1181856403411083264")</f>
        <v>1181856403411083264</v>
      </c>
      <c r="F5618" s="8"/>
      <c r="G5618" s="15"/>
      <c r="H5618" s="8"/>
      <c r="I5618" s="15">
        <v>0</v>
      </c>
      <c r="J5618" s="15">
        <v>0</v>
      </c>
      <c r="K5618" s="12" t="str">
        <f>HYPERLINK("http://twitter.com/download/iphone","Twitter for iPhone")</f>
        <v>Twitter for iPhone</v>
      </c>
      <c r="L5618" s="16">
        <v>14</v>
      </c>
      <c r="M5618" s="16">
        <v>149</v>
      </c>
      <c r="N5618" s="16">
        <v>0</v>
      </c>
      <c r="O5618" s="17"/>
      <c r="P5618" s="18">
        <v>43289.886840277773</v>
      </c>
      <c r="Q5618" s="7"/>
      <c r="R5618" s="7"/>
      <c r="S5618" s="8"/>
      <c r="T5618" s="8"/>
      <c r="U5618" s="20" t="s">
        <v>354</v>
      </c>
      <c r="V5618" s="8"/>
      <c r="W5618" s="8"/>
      <c r="X5618" s="8"/>
      <c r="Y5618" s="8"/>
      <c r="Z5618" s="8"/>
    </row>
    <row r="5619" spans="1:26" ht="12.75">
      <c r="A5619" s="11">
        <v>43747.082141203704</v>
      </c>
      <c r="B5619" s="12" t="str">
        <f>HYPERLINK("https://twitter.com/bugracelik0","@bugracelik0")</f>
        <v>@bugracelik0</v>
      </c>
      <c r="C5619" s="7" t="s">
        <v>26208</v>
      </c>
      <c r="D5619" s="7" t="s">
        <v>160</v>
      </c>
      <c r="E5619" s="12" t="str">
        <f>HYPERLINK("https://twitter.com/bugracelik0/status/1181856396834418688","1181856396834418688")</f>
        <v>1181856396834418688</v>
      </c>
      <c r="F5619" s="8"/>
      <c r="G5619" s="8"/>
      <c r="H5619" s="8"/>
      <c r="I5619" s="15">
        <v>0</v>
      </c>
      <c r="J5619" s="15">
        <v>0</v>
      </c>
      <c r="K5619" s="12" t="str">
        <f>HYPERLINK("https://mobile.twitter.com","Twitter Web App")</f>
        <v>Twitter Web App</v>
      </c>
      <c r="L5619" s="16">
        <v>4</v>
      </c>
      <c r="M5619" s="16">
        <v>14</v>
      </c>
      <c r="N5619" s="16">
        <v>0</v>
      </c>
      <c r="O5619" s="17"/>
      <c r="P5619" s="18">
        <v>43503.420370370368</v>
      </c>
      <c r="Q5619" s="8"/>
      <c r="R5619" s="8" t="s">
        <v>8902</v>
      </c>
      <c r="S5619" s="8"/>
      <c r="T5619" s="8"/>
      <c r="U5619" s="19" t="str">
        <f>HYPERLINK("https://pbs.twimg.com/profile_images/1105511402498867200/lPoO877R.jpg","View")</f>
        <v>View</v>
      </c>
      <c r="V5619" s="8"/>
      <c r="W5619" s="8"/>
      <c r="X5619" s="8"/>
      <c r="Y5619" s="8"/>
      <c r="Z5619" s="8"/>
    </row>
    <row r="5620" spans="1:26" ht="12.75">
      <c r="A5620" s="11">
        <v>43747.082141203704</v>
      </c>
      <c r="B5620" s="12" t="str">
        <f>HYPERLINK("https://twitter.com/uzunabdurrahman","@uzunabdurrahman")</f>
        <v>@uzunabdurrahman</v>
      </c>
      <c r="C5620" s="7" t="s">
        <v>26209</v>
      </c>
      <c r="D5620" s="7" t="s">
        <v>151</v>
      </c>
      <c r="E5620" s="12" t="str">
        <f>HYPERLINK("https://twitter.com/uzunabdurrahman/status/1181856396666638336","1181856396666638336")</f>
        <v>1181856396666638336</v>
      </c>
      <c r="F5620" s="8"/>
      <c r="G5620" s="14" t="s">
        <v>152</v>
      </c>
      <c r="H5620" s="8"/>
      <c r="I5620" s="15">
        <v>209</v>
      </c>
      <c r="J5620" s="15">
        <v>1192</v>
      </c>
      <c r="K5620" s="12" t="str">
        <f>HYPERLINK("https://mobile.twitter.com","Twitter Web App")</f>
        <v>Twitter Web App</v>
      </c>
      <c r="L5620" s="16">
        <v>174844</v>
      </c>
      <c r="M5620" s="16">
        <v>1382</v>
      </c>
      <c r="N5620" s="16">
        <v>210</v>
      </c>
      <c r="O5620" s="17" t="s">
        <v>984</v>
      </c>
      <c r="P5620" s="18">
        <v>40588.57099537037</v>
      </c>
      <c r="Q5620" s="7" t="s">
        <v>313</v>
      </c>
      <c r="R5620" s="7" t="s">
        <v>26210</v>
      </c>
      <c r="S5620" s="14" t="s">
        <v>26211</v>
      </c>
      <c r="T5620" s="8"/>
      <c r="U5620" s="19" t="str">
        <f>HYPERLINK("https://pbs.twimg.com/profile_images/1053530040590393345/sdklBnH2.jpg","View")</f>
        <v>View</v>
      </c>
      <c r="V5620" s="8"/>
      <c r="W5620" s="8"/>
      <c r="X5620" s="8"/>
      <c r="Y5620" s="8"/>
      <c r="Z5620" s="8"/>
    </row>
    <row r="5621" spans="1:26" ht="12.75">
      <c r="A5621" s="11">
        <v>43747.082141203704</v>
      </c>
      <c r="B5621" s="12" t="str">
        <f>HYPERLINK("https://twitter.com/Lilyyva","@Lilyyva")</f>
        <v>@Lilyyva</v>
      </c>
      <c r="C5621" s="7" t="s">
        <v>26212</v>
      </c>
      <c r="D5621" s="7" t="s">
        <v>26213</v>
      </c>
      <c r="E5621" s="12" t="str">
        <f>HYPERLINK("https://twitter.com/Lilyyva/status/1181856396465364993","1181856396465364993")</f>
        <v>1181856396465364993</v>
      </c>
      <c r="F5621" s="8"/>
      <c r="G5621" s="8"/>
      <c r="H5621" s="8"/>
      <c r="I5621" s="15">
        <v>0</v>
      </c>
      <c r="J5621" s="15">
        <v>1</v>
      </c>
      <c r="K5621" s="12" t="str">
        <f>HYPERLINK("http://twitter.com/download/iphone","Twitter for iPhone")</f>
        <v>Twitter for iPhone</v>
      </c>
      <c r="L5621" s="16">
        <v>262</v>
      </c>
      <c r="M5621" s="16">
        <v>357</v>
      </c>
      <c r="N5621" s="16">
        <v>0</v>
      </c>
      <c r="O5621" s="17"/>
      <c r="P5621" s="18">
        <v>43372.330069444448</v>
      </c>
      <c r="Q5621" s="7"/>
      <c r="R5621" s="8" t="s">
        <v>26214</v>
      </c>
      <c r="S5621" s="8"/>
      <c r="T5621" s="8"/>
      <c r="U5621" s="19" t="str">
        <f>HYPERLINK("https://pbs.twimg.com/profile_images/1181475352624926720/36ZYAoQv.jpg","View")</f>
        <v>View</v>
      </c>
      <c r="V5621" s="8"/>
      <c r="W5621" s="8"/>
      <c r="X5621" s="8"/>
      <c r="Y5621" s="8"/>
      <c r="Z5621" s="8"/>
    </row>
    <row r="5622" spans="1:26" ht="12.75">
      <c r="A5622" s="11">
        <v>43747.082106481481</v>
      </c>
      <c r="B5622" s="12" t="str">
        <f>HYPERLINK("https://twitter.com/emreatess3458","@emreatess3458")</f>
        <v>@emreatess3458</v>
      </c>
      <c r="C5622" s="7" t="s">
        <v>26215</v>
      </c>
      <c r="D5622" s="7" t="s">
        <v>160</v>
      </c>
      <c r="E5622" s="12" t="str">
        <f>HYPERLINK("https://twitter.com/emreatess3458/status/1181856384587055104","1181856384587055104")</f>
        <v>1181856384587055104</v>
      </c>
      <c r="F5622" s="8"/>
      <c r="G5622" s="14" t="s">
        <v>26216</v>
      </c>
      <c r="H5622" s="8"/>
      <c r="I5622" s="15">
        <v>0</v>
      </c>
      <c r="J5622" s="15">
        <v>1</v>
      </c>
      <c r="K5622" s="12" t="str">
        <f>HYPERLINK("http://twitter.com/download/android","Twitter for Android")</f>
        <v>Twitter for Android</v>
      </c>
      <c r="L5622" s="16">
        <v>2730</v>
      </c>
      <c r="M5622" s="16">
        <v>4924</v>
      </c>
      <c r="N5622" s="16">
        <v>3</v>
      </c>
      <c r="O5622" s="17"/>
      <c r="P5622" s="18">
        <v>42779.515428240746</v>
      </c>
      <c r="Q5622" s="7" t="s">
        <v>313</v>
      </c>
      <c r="R5622" s="7" t="s">
        <v>26217</v>
      </c>
      <c r="S5622" s="14" t="s">
        <v>26218</v>
      </c>
      <c r="T5622" s="8"/>
      <c r="U5622" s="19" t="str">
        <f>HYPERLINK("https://pbs.twimg.com/profile_images/1120793443423408134/LGJx5Aeu.jpg","View")</f>
        <v>View</v>
      </c>
      <c r="V5622" s="8"/>
      <c r="W5622" s="8"/>
      <c r="X5622" s="8"/>
      <c r="Y5622" s="8"/>
      <c r="Z5622" s="8"/>
    </row>
    <row r="5623" spans="1:26" ht="12.75">
      <c r="A5623" s="11">
        <v>43747.082083333335</v>
      </c>
      <c r="B5623" s="12" t="str">
        <f>HYPERLINK("https://twitter.com/Mehmet85920608","@Mehmet85920608")</f>
        <v>@Mehmet85920608</v>
      </c>
      <c r="C5623" s="7" t="s">
        <v>4984</v>
      </c>
      <c r="D5623" s="7" t="s">
        <v>26219</v>
      </c>
      <c r="E5623" s="12" t="str">
        <f>HYPERLINK("https://twitter.com/Mehmet85920608/status/1181856373971263488","1181856373971263488")</f>
        <v>1181856373971263488</v>
      </c>
      <c r="F5623" s="8"/>
      <c r="G5623" s="8"/>
      <c r="H5623" s="8"/>
      <c r="I5623" s="15">
        <v>0</v>
      </c>
      <c r="J5623" s="15">
        <v>0</v>
      </c>
      <c r="K5623" s="12" t="str">
        <f>HYPERLINK("https://mobile.twitter.com","Twitter Web App")</f>
        <v>Twitter Web App</v>
      </c>
      <c r="L5623" s="16">
        <v>1</v>
      </c>
      <c r="M5623" s="16">
        <v>24</v>
      </c>
      <c r="N5623" s="16">
        <v>0</v>
      </c>
      <c r="O5623" s="17"/>
      <c r="P5623" s="18">
        <v>43742.012870370367</v>
      </c>
      <c r="Q5623" s="7"/>
      <c r="R5623" s="8" t="s">
        <v>26220</v>
      </c>
      <c r="S5623" s="8"/>
      <c r="T5623" s="8"/>
      <c r="U5623" s="19" t="str">
        <f>HYPERLINK("https://pbs.twimg.com/profile_images/1181163458215186433/_qVnsuC6.jpg","View")</f>
        <v>View</v>
      </c>
      <c r="V5623" s="8"/>
      <c r="W5623" s="8"/>
      <c r="X5623" s="8"/>
      <c r="Y5623" s="8"/>
      <c r="Z5623" s="8"/>
    </row>
    <row r="5624" spans="1:26" ht="12.75">
      <c r="A5624" s="11">
        <v>43747.082060185188</v>
      </c>
      <c r="B5624" s="12" t="str">
        <f>HYPERLINK("https://twitter.com/Serdarbalikci63","@Serdarbalikci63")</f>
        <v>@Serdarbalikci63</v>
      </c>
      <c r="C5624" s="7" t="s">
        <v>26221</v>
      </c>
      <c r="D5624" s="7" t="s">
        <v>26222</v>
      </c>
      <c r="E5624" s="12" t="str">
        <f>HYPERLINK("https://twitter.com/Serdarbalikci63/status/1181856368116031489","1181856368116031489")</f>
        <v>1181856368116031489</v>
      </c>
      <c r="F5624" s="8"/>
      <c r="G5624" s="8"/>
      <c r="H5624" s="8"/>
      <c r="I5624" s="15">
        <v>0</v>
      </c>
      <c r="J5624" s="15">
        <v>0</v>
      </c>
      <c r="K5624" s="12" t="str">
        <f>HYPERLINK("http://twitter.com/download/iphone","Twitter for iPhone")</f>
        <v>Twitter for iPhone</v>
      </c>
      <c r="L5624" s="16">
        <v>47</v>
      </c>
      <c r="M5624" s="16">
        <v>166</v>
      </c>
      <c r="N5624" s="16">
        <v>0</v>
      </c>
      <c r="O5624" s="17"/>
      <c r="P5624" s="18">
        <v>42569.025104166663</v>
      </c>
      <c r="Q5624" s="8" t="s">
        <v>69</v>
      </c>
      <c r="R5624" s="8" t="s">
        <v>26223</v>
      </c>
      <c r="S5624" s="8"/>
      <c r="T5624" s="8"/>
      <c r="U5624" s="19" t="str">
        <f>HYPERLINK("https://pbs.twimg.com/profile_images/1140138876981436416/g61n8H2K.jpg","View")</f>
        <v>View</v>
      </c>
      <c r="V5624" s="8"/>
      <c r="W5624" s="8"/>
      <c r="X5624" s="8"/>
      <c r="Y5624" s="8"/>
      <c r="Z5624" s="8"/>
    </row>
    <row r="5625" spans="1:26" ht="12.75">
      <c r="A5625" s="11">
        <v>43747.082037037035</v>
      </c>
      <c r="B5625" s="12" t="str">
        <f>HYPERLINK("https://twitter.com/kroniksuphe","@kroniksuphe")</f>
        <v>@kroniksuphe</v>
      </c>
      <c r="C5625" s="7" t="s">
        <v>26224</v>
      </c>
      <c r="D5625" s="7" t="s">
        <v>26225</v>
      </c>
      <c r="E5625" s="12" t="str">
        <f>HYPERLINK("https://twitter.com/kroniksuphe/status/1181856359417032704","1181856359417032704")</f>
        <v>1181856359417032704</v>
      </c>
      <c r="F5625" s="15"/>
      <c r="G5625" s="15"/>
      <c r="H5625" s="8"/>
      <c r="I5625" s="15">
        <v>0</v>
      </c>
      <c r="J5625" s="15">
        <v>1</v>
      </c>
      <c r="K5625" s="12" t="str">
        <f>HYPERLINK("http://twitter.com/download/android","Twitter for Android")</f>
        <v>Twitter for Android</v>
      </c>
      <c r="L5625" s="16">
        <v>308</v>
      </c>
      <c r="M5625" s="16">
        <v>457</v>
      </c>
      <c r="N5625" s="16">
        <v>0</v>
      </c>
      <c r="O5625" s="17"/>
      <c r="P5625" s="18">
        <v>41069.279224537036</v>
      </c>
      <c r="Q5625" s="7" t="s">
        <v>4895</v>
      </c>
      <c r="R5625" s="7" t="s">
        <v>26226</v>
      </c>
      <c r="S5625" s="8"/>
      <c r="T5625" s="8"/>
      <c r="U5625" s="19" t="str">
        <f>HYPERLINK("https://pbs.twimg.com/profile_images/1170715517977604096/P6JsbMZr.jpg","View")</f>
        <v>View</v>
      </c>
      <c r="V5625" s="8"/>
      <c r="W5625" s="8"/>
      <c r="X5625" s="8"/>
      <c r="Y5625" s="8"/>
      <c r="Z5625" s="8"/>
    </row>
    <row r="5626" spans="1:26" ht="12.75">
      <c r="A5626" s="11">
        <v>43747.082037037035</v>
      </c>
      <c r="B5626" s="12" t="str">
        <f>HYPERLINK("https://twitter.com/29dentist29","@29dentist29")</f>
        <v>@29dentist29</v>
      </c>
      <c r="C5626" s="7" t="s">
        <v>26227</v>
      </c>
      <c r="D5626" s="7" t="s">
        <v>26228</v>
      </c>
      <c r="E5626" s="12" t="str">
        <f>HYPERLINK("https://twitter.com/29dentist29/status/1181856358225891328","1181856358225891328")</f>
        <v>1181856358225891328</v>
      </c>
      <c r="F5626" s="8"/>
      <c r="G5626" s="8"/>
      <c r="H5626" s="8"/>
      <c r="I5626" s="15">
        <v>0</v>
      </c>
      <c r="J5626" s="15">
        <v>1</v>
      </c>
      <c r="K5626" s="12" t="str">
        <f>HYPERLINK("http://twitter.com/download/android","Twitter for Android")</f>
        <v>Twitter for Android</v>
      </c>
      <c r="L5626" s="16">
        <v>20</v>
      </c>
      <c r="M5626" s="16">
        <v>31</v>
      </c>
      <c r="N5626" s="16">
        <v>0</v>
      </c>
      <c r="O5626" s="17"/>
      <c r="P5626" s="18">
        <v>40748.631979166668</v>
      </c>
      <c r="Q5626" s="8"/>
      <c r="R5626" s="7"/>
      <c r="S5626" s="8"/>
      <c r="T5626" s="8"/>
      <c r="U5626" s="19" t="str">
        <f>HYPERLINK("https://pbs.twimg.com/profile_images/1161304663616040960/35I-q5rm.jpg","View")</f>
        <v>View</v>
      </c>
      <c r="V5626" s="8"/>
      <c r="W5626" s="8"/>
      <c r="X5626" s="8"/>
      <c r="Y5626" s="8"/>
      <c r="Z5626" s="8"/>
    </row>
    <row r="5627" spans="1:26" ht="12.75">
      <c r="A5627" s="11">
        <v>43747.082013888888</v>
      </c>
      <c r="B5627" s="12" t="str">
        <f>HYPERLINK("https://twitter.com/ssayabakan","@ssayabakan")</f>
        <v>@ssayabakan</v>
      </c>
      <c r="C5627" s="7" t="s">
        <v>26229</v>
      </c>
      <c r="D5627" s="7" t="s">
        <v>26230</v>
      </c>
      <c r="E5627" s="12" t="str">
        <f>HYPERLINK("https://twitter.com/ssayabakan/status/1181856350223163392","1181856350223163392")</f>
        <v>1181856350223163392</v>
      </c>
      <c r="F5627" s="8"/>
      <c r="G5627" s="15"/>
      <c r="H5627" s="8"/>
      <c r="I5627" s="15">
        <v>0</v>
      </c>
      <c r="J5627" s="15">
        <v>1</v>
      </c>
      <c r="K5627" s="12" t="str">
        <f>HYPERLINK("http://twitter.com/download/iphone","Twitter for iPhone")</f>
        <v>Twitter for iPhone</v>
      </c>
      <c r="L5627" s="16">
        <v>65</v>
      </c>
      <c r="M5627" s="16">
        <v>214</v>
      </c>
      <c r="N5627" s="16">
        <v>0</v>
      </c>
      <c r="O5627" s="17"/>
      <c r="P5627" s="18">
        <v>42928.544444444444</v>
      </c>
      <c r="Q5627" s="7" t="s">
        <v>200</v>
      </c>
      <c r="R5627" s="7" t="s">
        <v>26231</v>
      </c>
      <c r="S5627" s="14" t="s">
        <v>21727</v>
      </c>
      <c r="T5627" s="8"/>
      <c r="U5627" s="19" t="str">
        <f>HYPERLINK("https://pbs.twimg.com/profile_images/1181681793780633600/rg0S_-yf.jpg","View")</f>
        <v>View</v>
      </c>
      <c r="V5627" s="8"/>
      <c r="W5627" s="8"/>
      <c r="X5627" s="8"/>
      <c r="Y5627" s="8"/>
      <c r="Z5627" s="8"/>
    </row>
    <row r="5628" spans="1:26" ht="12.75">
      <c r="A5628" s="11">
        <v>43747.082013888888</v>
      </c>
      <c r="B5628" s="12" t="str">
        <f>HYPERLINK("https://twitter.com/asolak11","@asolak11")</f>
        <v>@asolak11</v>
      </c>
      <c r="C5628" s="7" t="s">
        <v>26232</v>
      </c>
      <c r="D5628" s="7" t="s">
        <v>14258</v>
      </c>
      <c r="E5628" s="12" t="str">
        <f>HYPERLINK("https://twitter.com/asolak11/status/1181856349627588610","1181856349627588610")</f>
        <v>1181856349627588610</v>
      </c>
      <c r="F5628" s="8"/>
      <c r="G5628" s="14" t="s">
        <v>26233</v>
      </c>
      <c r="H5628" s="8"/>
      <c r="I5628" s="15">
        <v>0</v>
      </c>
      <c r="J5628" s="15">
        <v>6</v>
      </c>
      <c r="K5628" s="12" t="str">
        <f>HYPERLINK("http://twitter.com/download/iphone","Twitter for iPhone")</f>
        <v>Twitter for iPhone</v>
      </c>
      <c r="L5628" s="16">
        <v>70</v>
      </c>
      <c r="M5628" s="16">
        <v>123</v>
      </c>
      <c r="N5628" s="16">
        <v>0</v>
      </c>
      <c r="O5628" s="17"/>
      <c r="P5628" s="18">
        <v>43321.227002314816</v>
      </c>
      <c r="Q5628" s="7" t="s">
        <v>287</v>
      </c>
      <c r="R5628" s="7" t="s">
        <v>26234</v>
      </c>
      <c r="S5628" s="8"/>
      <c r="T5628" s="8"/>
      <c r="U5628" s="19" t="str">
        <f>HYPERLINK("https://pbs.twimg.com/profile_images/1179493027120910339/8ryqWsA8.jpg","View")</f>
        <v>View</v>
      </c>
      <c r="V5628" s="8"/>
      <c r="W5628" s="8"/>
      <c r="X5628" s="8"/>
      <c r="Y5628" s="8"/>
      <c r="Z5628" s="8"/>
    </row>
    <row r="5629" spans="1:26" ht="12.75">
      <c r="A5629" s="11">
        <v>43747.082002314812</v>
      </c>
      <c r="B5629" s="12" t="str">
        <f>HYPERLINK("https://twitter.com/yakutislam","@yakutislam")</f>
        <v>@yakutislam</v>
      </c>
      <c r="C5629" s="7" t="s">
        <v>26235</v>
      </c>
      <c r="D5629" s="7" t="s">
        <v>26236</v>
      </c>
      <c r="E5629" s="12" t="str">
        <f>HYPERLINK("https://twitter.com/yakutislam/status/1181856348226686976","1181856348226686976")</f>
        <v>1181856348226686976</v>
      </c>
      <c r="F5629" s="8"/>
      <c r="G5629" s="15"/>
      <c r="H5629" s="8"/>
      <c r="I5629" s="15">
        <v>0</v>
      </c>
      <c r="J5629" s="15">
        <v>1</v>
      </c>
      <c r="K5629" s="12" t="str">
        <f>HYPERLINK("http://twitter.com/download/iphone","Twitter for iPhone")</f>
        <v>Twitter for iPhone</v>
      </c>
      <c r="L5629" s="16">
        <v>1037</v>
      </c>
      <c r="M5629" s="16">
        <v>1582</v>
      </c>
      <c r="N5629" s="16">
        <v>2</v>
      </c>
      <c r="O5629" s="17"/>
      <c r="P5629" s="18">
        <v>41044.689849537041</v>
      </c>
      <c r="Q5629" s="7"/>
      <c r="R5629" s="7"/>
      <c r="S5629" s="15"/>
      <c r="T5629" s="8"/>
      <c r="U5629" s="19" t="str">
        <f>HYPERLINK("https://pbs.twimg.com/profile_images/1166242705736908800/_T0r0KVc.jpg","View")</f>
        <v>View</v>
      </c>
      <c r="V5629" s="8"/>
      <c r="W5629" s="8"/>
      <c r="X5629" s="8"/>
      <c r="Y5629" s="8"/>
      <c r="Z5629" s="8"/>
    </row>
    <row r="5630" spans="1:26" ht="12.75">
      <c r="A5630" s="11">
        <v>43747.081990740742</v>
      </c>
      <c r="B5630" s="12" t="str">
        <f>HYPERLINK("https://twitter.com/erendirekk","@erendirekk")</f>
        <v>@erendirekk</v>
      </c>
      <c r="C5630" s="7" t="s">
        <v>26237</v>
      </c>
      <c r="D5630" s="7" t="s">
        <v>26238</v>
      </c>
      <c r="E5630" s="12" t="str">
        <f>HYPERLINK("https://twitter.com/erendirekk/status/1181856342635626496","1181856342635626496")</f>
        <v>1181856342635626496</v>
      </c>
      <c r="F5630" s="8"/>
      <c r="G5630" s="14" t="s">
        <v>26239</v>
      </c>
      <c r="H5630" s="8"/>
      <c r="I5630" s="15">
        <v>0</v>
      </c>
      <c r="J5630" s="15">
        <v>0</v>
      </c>
      <c r="K5630" s="12" t="str">
        <f>HYPERLINK("http://twitter.com/download/android","Twitter for Android")</f>
        <v>Twitter for Android</v>
      </c>
      <c r="L5630" s="16">
        <v>161</v>
      </c>
      <c r="M5630" s="16">
        <v>96</v>
      </c>
      <c r="N5630" s="16">
        <v>0</v>
      </c>
      <c r="O5630" s="17"/>
      <c r="P5630" s="18">
        <v>43310.523159722223</v>
      </c>
      <c r="Q5630" s="7" t="s">
        <v>287</v>
      </c>
      <c r="R5630" s="8" t="s">
        <v>26240</v>
      </c>
      <c r="S5630" s="8"/>
      <c r="T5630" s="8"/>
      <c r="U5630" s="19" t="str">
        <f>HYPERLINK("https://pbs.twimg.com/profile_images/1181493373619884033/wdob5eut.jpg","View")</f>
        <v>View</v>
      </c>
      <c r="V5630" s="8"/>
      <c r="W5630" s="8"/>
      <c r="X5630" s="8"/>
      <c r="Y5630" s="8"/>
      <c r="Z5630" s="8"/>
    </row>
    <row r="5631" spans="1:26" ht="12.75">
      <c r="A5631" s="11">
        <v>43747.081990740742</v>
      </c>
      <c r="B5631" s="12" t="str">
        <f>HYPERLINK("https://twitter.com/Betl36667075","@Betl36667075")</f>
        <v>@Betl36667075</v>
      </c>
      <c r="C5631" s="7" t="s">
        <v>26241</v>
      </c>
      <c r="D5631" s="7" t="s">
        <v>26242</v>
      </c>
      <c r="E5631" s="12" t="str">
        <f>HYPERLINK("https://twitter.com/Betl36667075/status/1181856340605431810","1181856340605431810")</f>
        <v>1181856340605431810</v>
      </c>
      <c r="F5631" s="8"/>
      <c r="G5631" s="15"/>
      <c r="H5631" s="8"/>
      <c r="I5631" s="15">
        <v>0</v>
      </c>
      <c r="J5631" s="15">
        <v>2</v>
      </c>
      <c r="K5631" s="12" t="str">
        <f>HYPERLINK("http://twitter.com/download/android","Twitter for Android")</f>
        <v>Twitter for Android</v>
      </c>
      <c r="L5631" s="16">
        <v>726</v>
      </c>
      <c r="M5631" s="16">
        <v>1000</v>
      </c>
      <c r="N5631" s="16">
        <v>0</v>
      </c>
      <c r="O5631" s="17"/>
      <c r="P5631" s="18">
        <v>43510.403506944444</v>
      </c>
      <c r="Q5631" s="8"/>
      <c r="R5631" s="7"/>
      <c r="S5631" s="15"/>
      <c r="T5631" s="8"/>
      <c r="U5631" s="19" t="str">
        <f>HYPERLINK("https://pbs.twimg.com/profile_images/1181576346088169472/BEZIpzTz.jpg","View")</f>
        <v>View</v>
      </c>
      <c r="V5631" s="8"/>
      <c r="W5631" s="8"/>
      <c r="X5631" s="8"/>
      <c r="Y5631" s="8"/>
      <c r="Z5631" s="8"/>
    </row>
    <row r="5632" spans="1:26" ht="12.75">
      <c r="A5632" s="11">
        <v>43747.081990740742</v>
      </c>
      <c r="B5632" s="12" t="str">
        <f>HYPERLINK("https://twitter.com/TurgayArakli","@TurgayArakli")</f>
        <v>@TurgayArakli</v>
      </c>
      <c r="C5632" s="7" t="s">
        <v>26243</v>
      </c>
      <c r="D5632" s="7" t="s">
        <v>26244</v>
      </c>
      <c r="E5632" s="12" t="str">
        <f>HYPERLINK("https://twitter.com/TurgayArakli/status/1181856340588847104","1181856340588847104")</f>
        <v>1181856340588847104</v>
      </c>
      <c r="F5632" s="8"/>
      <c r="G5632" s="15"/>
      <c r="H5632" s="8"/>
      <c r="I5632" s="15">
        <v>0</v>
      </c>
      <c r="J5632" s="15">
        <v>3</v>
      </c>
      <c r="K5632" s="12" t="str">
        <f>HYPERLINK("http://twitter.com/download/android","Twitter for Android")</f>
        <v>Twitter for Android</v>
      </c>
      <c r="L5632" s="16">
        <v>3168</v>
      </c>
      <c r="M5632" s="16">
        <v>3624</v>
      </c>
      <c r="N5632" s="16">
        <v>3</v>
      </c>
      <c r="O5632" s="17"/>
      <c r="P5632" s="18">
        <v>42325.33666666667</v>
      </c>
      <c r="Q5632" s="7" t="s">
        <v>26245</v>
      </c>
      <c r="R5632" s="7" t="s">
        <v>26246</v>
      </c>
      <c r="S5632" s="8"/>
      <c r="T5632" s="8"/>
      <c r="U5632" s="19" t="str">
        <f>HYPERLINK("https://pbs.twimg.com/profile_images/975121478101463041/3gum-03y.jpg","View")</f>
        <v>View</v>
      </c>
      <c r="V5632" s="8"/>
      <c r="W5632" s="8"/>
      <c r="X5632" s="8"/>
      <c r="Y5632" s="8"/>
      <c r="Z5632" s="8"/>
    </row>
    <row r="5633" spans="1:26" ht="12.75">
      <c r="A5633" s="11">
        <v>43747.081979166665</v>
      </c>
      <c r="B5633" s="12" t="str">
        <f>HYPERLINK("https://twitter.com/Penkalaa","@Penkalaa")</f>
        <v>@Penkalaa</v>
      </c>
      <c r="C5633" s="7" t="s">
        <v>26247</v>
      </c>
      <c r="D5633" s="7" t="s">
        <v>160</v>
      </c>
      <c r="E5633" s="12" t="str">
        <f>HYPERLINK("https://twitter.com/Penkalaa/status/1181856337996722176","1181856337996722176")</f>
        <v>1181856337996722176</v>
      </c>
      <c r="F5633" s="8"/>
      <c r="G5633" s="15"/>
      <c r="H5633" s="8"/>
      <c r="I5633" s="15">
        <v>0</v>
      </c>
      <c r="J5633" s="15">
        <v>0</v>
      </c>
      <c r="K5633" s="12" t="str">
        <f>HYPERLINK("http://twitter.com/download/iphone","Twitter for iPhone")</f>
        <v>Twitter for iPhone</v>
      </c>
      <c r="L5633" s="16">
        <v>87</v>
      </c>
      <c r="M5633" s="16">
        <v>122</v>
      </c>
      <c r="N5633" s="16">
        <v>0</v>
      </c>
      <c r="O5633" s="17"/>
      <c r="P5633" s="18">
        <v>40895.340810185182</v>
      </c>
      <c r="Q5633" s="7"/>
      <c r="R5633" s="7" t="s">
        <v>26248</v>
      </c>
      <c r="S5633" s="8"/>
      <c r="T5633" s="8"/>
      <c r="U5633" s="19" t="str">
        <f>HYPERLINK("https://pbs.twimg.com/profile_images/1169041297799299072/FF6w-2PN.jpg","View")</f>
        <v>View</v>
      </c>
      <c r="V5633" s="8"/>
      <c r="W5633" s="8"/>
      <c r="X5633" s="8"/>
      <c r="Y5633" s="8"/>
      <c r="Z5633" s="8"/>
    </row>
    <row r="5634" spans="1:26" ht="12.75">
      <c r="A5634" s="11">
        <v>43747.081979166665</v>
      </c>
      <c r="B5634" s="12" t="str">
        <f>HYPERLINK("https://twitter.com/aliarslan3460","@aliarslan3460")</f>
        <v>@aliarslan3460</v>
      </c>
      <c r="C5634" s="7" t="s">
        <v>26249</v>
      </c>
      <c r="D5634" s="7" t="s">
        <v>26250</v>
      </c>
      <c r="E5634" s="12" t="str">
        <f>HYPERLINK("https://twitter.com/aliarslan3460/status/1181856337308917760","1181856337308917760")</f>
        <v>1181856337308917760</v>
      </c>
      <c r="F5634" s="8"/>
      <c r="G5634" s="8"/>
      <c r="H5634" s="8"/>
      <c r="I5634" s="15">
        <v>0</v>
      </c>
      <c r="J5634" s="15">
        <v>2</v>
      </c>
      <c r="K5634" s="12" t="str">
        <f>HYPERLINK("http://twitter.com/download/android","Twitter for Android")</f>
        <v>Twitter for Android</v>
      </c>
      <c r="L5634" s="16">
        <v>17372</v>
      </c>
      <c r="M5634" s="16">
        <v>988</v>
      </c>
      <c r="N5634" s="16">
        <v>39</v>
      </c>
      <c r="O5634" s="17"/>
      <c r="P5634" s="18">
        <v>40319.179988425924</v>
      </c>
      <c r="Q5634" s="7" t="s">
        <v>26251</v>
      </c>
      <c r="R5634" s="7" t="s">
        <v>26252</v>
      </c>
      <c r="S5634" s="8"/>
      <c r="T5634" s="8"/>
      <c r="U5634" s="19" t="str">
        <f>HYPERLINK("https://pbs.twimg.com/profile_images/1144218298478923776/uFcpAamy.jpg","View")</f>
        <v>View</v>
      </c>
      <c r="V5634" s="8"/>
      <c r="W5634" s="8"/>
      <c r="X5634" s="8"/>
      <c r="Y5634" s="8"/>
      <c r="Z5634" s="8"/>
    </row>
    <row r="5635" spans="1:26" ht="12.75">
      <c r="A5635" s="11">
        <v>43747.081956018519</v>
      </c>
      <c r="B5635" s="12" t="str">
        <f>HYPERLINK("https://twitter.com/mahonii26","@mahonii26")</f>
        <v>@mahonii26</v>
      </c>
      <c r="C5635" s="7" t="s">
        <v>26253</v>
      </c>
      <c r="D5635" s="7" t="s">
        <v>160</v>
      </c>
      <c r="E5635" s="12" t="str">
        <f>HYPERLINK("https://twitter.com/mahonii26/status/1181856329889189889","1181856329889189889")</f>
        <v>1181856329889189889</v>
      </c>
      <c r="F5635" s="8"/>
      <c r="G5635" s="8"/>
      <c r="H5635" s="8"/>
      <c r="I5635" s="15">
        <v>0</v>
      </c>
      <c r="J5635" s="15">
        <v>0</v>
      </c>
      <c r="K5635" s="12" t="str">
        <f>HYPERLINK("http://twitter.com/download/android","Twitter for Android")</f>
        <v>Twitter for Android</v>
      </c>
      <c r="L5635" s="16">
        <v>91</v>
      </c>
      <c r="M5635" s="16">
        <v>188</v>
      </c>
      <c r="N5635" s="16">
        <v>1</v>
      </c>
      <c r="O5635" s="17"/>
      <c r="P5635" s="18">
        <v>41435.495324074072</v>
      </c>
      <c r="Q5635" s="7" t="s">
        <v>26254</v>
      </c>
      <c r="R5635" s="8" t="s">
        <v>26255</v>
      </c>
      <c r="S5635" s="8"/>
      <c r="T5635" s="8"/>
      <c r="U5635" s="19" t="str">
        <f>HYPERLINK("https://pbs.twimg.com/profile_images/1144353348575014923/Zo1m-YFO.jpg","View")</f>
        <v>View</v>
      </c>
      <c r="V5635" s="8"/>
      <c r="W5635" s="8"/>
      <c r="X5635" s="8"/>
      <c r="Y5635" s="8"/>
      <c r="Z5635" s="8"/>
    </row>
    <row r="5636" spans="1:26" ht="12.75">
      <c r="A5636" s="11">
        <v>43747.081921296296</v>
      </c>
      <c r="B5636" s="12" t="str">
        <f>HYPERLINK("https://twitter.com/adilruzgar271","@adilruzgar271")</f>
        <v>@adilruzgar271</v>
      </c>
      <c r="C5636" s="7" t="s">
        <v>23029</v>
      </c>
      <c r="D5636" s="7" t="s">
        <v>26256</v>
      </c>
      <c r="E5636" s="12" t="str">
        <f>HYPERLINK("https://twitter.com/adilruzgar271/status/1181856318803591168","1181856318803591168")</f>
        <v>1181856318803591168</v>
      </c>
      <c r="F5636" s="8"/>
      <c r="G5636" s="14" t="s">
        <v>26257</v>
      </c>
      <c r="H5636" s="8"/>
      <c r="I5636" s="15">
        <v>0</v>
      </c>
      <c r="J5636" s="15">
        <v>1</v>
      </c>
      <c r="K5636" s="12" t="str">
        <f>HYPERLINK("http://twitter.com/download/iphone","Twitter for iPhone")</f>
        <v>Twitter for iPhone</v>
      </c>
      <c r="L5636" s="16">
        <v>17</v>
      </c>
      <c r="M5636" s="16">
        <v>38</v>
      </c>
      <c r="N5636" s="16">
        <v>0</v>
      </c>
      <c r="O5636" s="17"/>
      <c r="P5636" s="18">
        <v>43430.637337962966</v>
      </c>
      <c r="Q5636" s="8" t="s">
        <v>200</v>
      </c>
      <c r="R5636" s="8" t="s">
        <v>26258</v>
      </c>
      <c r="S5636" s="8"/>
      <c r="T5636" s="8"/>
      <c r="U5636" s="19" t="str">
        <f>HYPERLINK("https://pbs.twimg.com/profile_images/1180797878626914305/3A1gdDfn.jpg","View")</f>
        <v>View</v>
      </c>
      <c r="V5636" s="8"/>
      <c r="W5636" s="8"/>
      <c r="X5636" s="8"/>
      <c r="Y5636" s="8"/>
      <c r="Z5636" s="8"/>
    </row>
    <row r="5637" spans="1:26" ht="12.75">
      <c r="A5637" s="11">
        <v>43747.081909722227</v>
      </c>
      <c r="B5637" s="12" t="str">
        <f>HYPERLINK("https://twitter.com/bha_ert","@bha_ert")</f>
        <v>@bha_ert</v>
      </c>
      <c r="C5637" s="7" t="s">
        <v>26259</v>
      </c>
      <c r="D5637" s="7" t="s">
        <v>15790</v>
      </c>
      <c r="E5637" s="12" t="str">
        <f>HYPERLINK("https://twitter.com/bha_ert/status/1181856312654778370","1181856312654778370")</f>
        <v>1181856312654778370</v>
      </c>
      <c r="F5637" s="15"/>
      <c r="G5637" s="14" t="s">
        <v>26260</v>
      </c>
      <c r="H5637" s="8"/>
      <c r="I5637" s="15">
        <v>0</v>
      </c>
      <c r="J5637" s="15">
        <v>3</v>
      </c>
      <c r="K5637" s="12" t="str">
        <f>HYPERLINK("http://twitter.com/download/android","Twitter for Android")</f>
        <v>Twitter for Android</v>
      </c>
      <c r="L5637" s="16">
        <v>7</v>
      </c>
      <c r="M5637" s="16">
        <v>37</v>
      </c>
      <c r="N5637" s="16">
        <v>0</v>
      </c>
      <c r="O5637" s="17"/>
      <c r="P5637" s="18">
        <v>43275.536840277782</v>
      </c>
      <c r="Q5637" s="8" t="s">
        <v>200</v>
      </c>
      <c r="R5637" s="8" t="s">
        <v>26261</v>
      </c>
      <c r="S5637" s="8"/>
      <c r="T5637" s="8"/>
      <c r="U5637" s="19" t="str">
        <f>HYPERLINK("https://pbs.twimg.com/profile_images/1011166917296607232/R1vbjKP8.jpg","View")</f>
        <v>View</v>
      </c>
      <c r="V5637" s="8"/>
      <c r="W5637" s="8"/>
      <c r="X5637" s="8"/>
      <c r="Y5637" s="8"/>
      <c r="Z5637" s="8"/>
    </row>
    <row r="5638" spans="1:26" ht="12.75">
      <c r="A5638" s="11">
        <v>43747.081909722227</v>
      </c>
      <c r="B5638" s="12" t="str">
        <f>HYPERLINK("https://twitter.com/adalet_temsili","@adalet_temsili")</f>
        <v>@adalet_temsili</v>
      </c>
      <c r="C5638" s="7" t="s">
        <v>26262</v>
      </c>
      <c r="D5638" s="7" t="s">
        <v>26263</v>
      </c>
      <c r="E5638" s="12" t="str">
        <f>HYPERLINK("https://twitter.com/adalet_temsili/status/1181856312587640832","1181856312587640832")</f>
        <v>1181856312587640832</v>
      </c>
      <c r="F5638" s="8"/>
      <c r="G5638" s="8"/>
      <c r="H5638" s="8"/>
      <c r="I5638" s="15">
        <v>0</v>
      </c>
      <c r="J5638" s="15">
        <v>0</v>
      </c>
      <c r="K5638" s="12" t="str">
        <f>HYPERLINK("http://twitter.com/download/android","Twitter for Android")</f>
        <v>Twitter for Android</v>
      </c>
      <c r="L5638" s="16">
        <v>26</v>
      </c>
      <c r="M5638" s="16">
        <v>134</v>
      </c>
      <c r="N5638" s="16">
        <v>0</v>
      </c>
      <c r="O5638" s="17"/>
      <c r="P5638" s="18">
        <v>42816.309710648144</v>
      </c>
      <c r="Q5638" s="8" t="s">
        <v>252</v>
      </c>
      <c r="R5638" s="7" t="s">
        <v>26264</v>
      </c>
      <c r="S5638" s="8"/>
      <c r="T5638" s="8"/>
      <c r="U5638" s="19" t="str">
        <f>HYPERLINK("https://pbs.twimg.com/profile_images/1023291529413251072/w0bgTzmf.jpg","View")</f>
        <v>View</v>
      </c>
      <c r="V5638" s="8"/>
      <c r="W5638" s="8"/>
      <c r="X5638" s="8"/>
      <c r="Y5638" s="8"/>
      <c r="Z5638" s="8"/>
    </row>
    <row r="5639" spans="1:26" ht="12.75">
      <c r="A5639" s="11">
        <v>43747.081875000003</v>
      </c>
      <c r="B5639" s="12" t="str">
        <f>HYPERLINK("https://twitter.com/ank_vlk","@ank_vlk")</f>
        <v>@ank_vlk</v>
      </c>
      <c r="C5639" s="7" t="s">
        <v>26265</v>
      </c>
      <c r="D5639" s="7" t="s">
        <v>23725</v>
      </c>
      <c r="E5639" s="12" t="str">
        <f>HYPERLINK("https://twitter.com/ank_vlk/status/1181856302349324288","1181856302349324288")</f>
        <v>1181856302349324288</v>
      </c>
      <c r="F5639" s="8"/>
      <c r="G5639" s="15"/>
      <c r="H5639" s="8"/>
      <c r="I5639" s="15">
        <v>0</v>
      </c>
      <c r="J5639" s="15">
        <v>0</v>
      </c>
      <c r="K5639" s="12" t="str">
        <f>HYPERLINK("http://twitter.com/download/iphone","Twitter for iPhone")</f>
        <v>Twitter for iPhone</v>
      </c>
      <c r="L5639" s="16">
        <v>61</v>
      </c>
      <c r="M5639" s="16">
        <v>90</v>
      </c>
      <c r="N5639" s="16">
        <v>1</v>
      </c>
      <c r="O5639" s="17"/>
      <c r="P5639" s="18">
        <v>41708.346250000002</v>
      </c>
      <c r="Q5639" s="7" t="s">
        <v>313</v>
      </c>
      <c r="R5639" s="7" t="s">
        <v>26266</v>
      </c>
      <c r="S5639" s="8"/>
      <c r="T5639" s="8"/>
      <c r="U5639" s="19" t="str">
        <f>HYPERLINK("https://pbs.twimg.com/profile_images/1069943272074829826/kS-TSZbH.jpg","View")</f>
        <v>View</v>
      </c>
      <c r="V5639" s="8"/>
      <c r="W5639" s="8"/>
      <c r="X5639" s="8"/>
      <c r="Y5639" s="8"/>
      <c r="Z5639" s="8"/>
    </row>
    <row r="5640" spans="1:26" ht="12.75">
      <c r="A5640" s="11">
        <v>43747.081863425927</v>
      </c>
      <c r="B5640" s="12" t="str">
        <f>HYPERLINK("https://twitter.com/RD51223270","@RD51223270")</f>
        <v>@RD51223270</v>
      </c>
      <c r="C5640" s="7" t="s">
        <v>7352</v>
      </c>
      <c r="D5640" s="7" t="s">
        <v>9777</v>
      </c>
      <c r="E5640" s="12" t="str">
        <f>HYPERLINK("https://twitter.com/RD51223270/status/1181856294325686272","1181856294325686272")</f>
        <v>1181856294325686272</v>
      </c>
      <c r="F5640" s="8"/>
      <c r="G5640" s="8"/>
      <c r="H5640" s="8"/>
      <c r="I5640" s="15">
        <v>0</v>
      </c>
      <c r="J5640" s="15">
        <v>0</v>
      </c>
      <c r="K5640" s="12" t="str">
        <f>HYPERLINK("http://twitter.com/download/android","Twitter for Android")</f>
        <v>Twitter for Android</v>
      </c>
      <c r="L5640" s="16">
        <v>1</v>
      </c>
      <c r="M5640" s="16">
        <v>18</v>
      </c>
      <c r="N5640" s="16">
        <v>0</v>
      </c>
      <c r="O5640" s="17"/>
      <c r="P5640" s="18">
        <v>43666.356111111112</v>
      </c>
      <c r="Q5640" s="8"/>
      <c r="R5640" s="7"/>
      <c r="S5640" s="8"/>
      <c r="T5640" s="8"/>
      <c r="U5640" s="19" t="str">
        <f>HYPERLINK("https://pbs.twimg.com/profile_images/1152606746004873217/atmHrALw.jpg","View")</f>
        <v>View</v>
      </c>
      <c r="V5640" s="8"/>
      <c r="W5640" s="8"/>
      <c r="X5640" s="8"/>
      <c r="Y5640" s="8"/>
      <c r="Z5640" s="8"/>
    </row>
    <row r="5641" spans="1:26" ht="12.75">
      <c r="A5641" s="11">
        <v>43747.08184027778</v>
      </c>
      <c r="B5641" s="12" t="str">
        <f>HYPERLINK("https://twitter.com/ikikardes16","@ikikardes16")</f>
        <v>@ikikardes16</v>
      </c>
      <c r="C5641" s="7" t="s">
        <v>26267</v>
      </c>
      <c r="D5641" s="7" t="s">
        <v>23702</v>
      </c>
      <c r="E5641" s="12" t="str">
        <f>HYPERLINK("https://twitter.com/ikikardes16/status/1181856286310359041","1181856286310359041")</f>
        <v>1181856286310359041</v>
      </c>
      <c r="F5641" s="8"/>
      <c r="G5641" s="8"/>
      <c r="H5641" s="8"/>
      <c r="I5641" s="15">
        <v>0</v>
      </c>
      <c r="J5641" s="15">
        <v>0</v>
      </c>
      <c r="K5641" s="12" t="str">
        <f>HYPERLINK("http://twitter.com/download/iphone","Twitter for iPhone")</f>
        <v>Twitter for iPhone</v>
      </c>
      <c r="L5641" s="16">
        <v>173</v>
      </c>
      <c r="M5641" s="16">
        <v>394</v>
      </c>
      <c r="N5641" s="16">
        <v>0</v>
      </c>
      <c r="O5641" s="17"/>
      <c r="P5641" s="18">
        <v>42053.49763888889</v>
      </c>
      <c r="Q5641" s="7" t="s">
        <v>200</v>
      </c>
      <c r="R5641" s="7" t="s">
        <v>26268</v>
      </c>
      <c r="S5641" s="8"/>
      <c r="T5641" s="8"/>
      <c r="U5641" s="19" t="str">
        <f>HYPERLINK("https://pbs.twimg.com/profile_images/1167198193836314624/TZ_KI9Vn.jpg","View")</f>
        <v>View</v>
      </c>
      <c r="V5641" s="8"/>
      <c r="W5641" s="8"/>
      <c r="X5641" s="8"/>
      <c r="Y5641" s="8"/>
      <c r="Z5641" s="8"/>
    </row>
    <row r="5642" spans="1:26" ht="12.75">
      <c r="A5642" s="11">
        <v>43747.081828703704</v>
      </c>
      <c r="B5642" s="12" t="str">
        <f>HYPERLINK("https://twitter.com/kadirsendil","@kadirsendil")</f>
        <v>@kadirsendil</v>
      </c>
      <c r="C5642" s="7" t="s">
        <v>26269</v>
      </c>
      <c r="D5642" s="7" t="s">
        <v>160</v>
      </c>
      <c r="E5642" s="12" t="str">
        <f>HYPERLINK("https://twitter.com/kadirsendil/status/1181856282267066368","1181856282267066368")</f>
        <v>1181856282267066368</v>
      </c>
      <c r="F5642" s="8"/>
      <c r="G5642" s="14" t="s">
        <v>26270</v>
      </c>
      <c r="H5642" s="8"/>
      <c r="I5642" s="15">
        <v>0</v>
      </c>
      <c r="J5642" s="15">
        <v>1</v>
      </c>
      <c r="K5642" s="12" t="str">
        <f>HYPERLINK("http://twitter.com/download/iphone","Twitter for iPhone")</f>
        <v>Twitter for iPhone</v>
      </c>
      <c r="L5642" s="16">
        <v>459</v>
      </c>
      <c r="M5642" s="16">
        <v>510</v>
      </c>
      <c r="N5642" s="16">
        <v>0</v>
      </c>
      <c r="O5642" s="17"/>
      <c r="P5642" s="18">
        <v>41436.674756944441</v>
      </c>
      <c r="Q5642" s="7"/>
      <c r="R5642" s="7" t="s">
        <v>26271</v>
      </c>
      <c r="S5642" s="8"/>
      <c r="T5642" s="8"/>
      <c r="U5642" s="19" t="str">
        <f>HYPERLINK("https://pbs.twimg.com/profile_images/911562290884956162/FVwRSfG9.jpg","View")</f>
        <v>View</v>
      </c>
      <c r="V5642" s="8"/>
      <c r="W5642" s="8"/>
      <c r="X5642" s="8"/>
      <c r="Y5642" s="8"/>
      <c r="Z5642" s="8"/>
    </row>
    <row r="5643" spans="1:26" ht="12.75">
      <c r="A5643" s="11">
        <v>43747.081817129627</v>
      </c>
      <c r="B5643" s="12" t="str">
        <f>HYPERLINK("https://twitter.com/ParaTeorisi","@ParaTeorisi")</f>
        <v>@ParaTeorisi</v>
      </c>
      <c r="C5643" s="7" t="s">
        <v>26272</v>
      </c>
      <c r="D5643" s="7" t="s">
        <v>26273</v>
      </c>
      <c r="E5643" s="12" t="str">
        <f>HYPERLINK("https://twitter.com/ParaTeorisi/status/1181856279448428547","1181856279448428547")</f>
        <v>1181856279448428547</v>
      </c>
      <c r="F5643" s="8"/>
      <c r="G5643" s="15"/>
      <c r="H5643" s="8"/>
      <c r="I5643" s="15">
        <v>1</v>
      </c>
      <c r="J5643" s="15">
        <v>12</v>
      </c>
      <c r="K5643" s="12" t="str">
        <f>HYPERLINK("https://mobile.twitter.com","Twitter Web App")</f>
        <v>Twitter Web App</v>
      </c>
      <c r="L5643" s="16">
        <v>1958</v>
      </c>
      <c r="M5643" s="16">
        <v>83</v>
      </c>
      <c r="N5643" s="16">
        <v>7</v>
      </c>
      <c r="O5643" s="17"/>
      <c r="P5643" s="18">
        <v>43517.251747685186</v>
      </c>
      <c r="Q5643" s="7" t="s">
        <v>3259</v>
      </c>
      <c r="R5643" s="7" t="s">
        <v>26274</v>
      </c>
      <c r="S5643" s="14" t="s">
        <v>26275</v>
      </c>
      <c r="T5643" s="8"/>
      <c r="U5643" s="19" t="str">
        <f>HYPERLINK("https://pbs.twimg.com/profile_images/1181846997013274624/decpzv0q.jpg","View")</f>
        <v>View</v>
      </c>
      <c r="V5643" s="8"/>
      <c r="W5643" s="8"/>
      <c r="X5643" s="8"/>
      <c r="Y5643" s="8"/>
      <c r="Z5643" s="8"/>
    </row>
    <row r="5644" spans="1:26" ht="12.75">
      <c r="A5644" s="11">
        <v>43747.081793981481</v>
      </c>
      <c r="B5644" s="12" t="str">
        <f>HYPERLINK("https://twitter.com/tukbayakmur","@tukbayakmur")</f>
        <v>@tukbayakmur</v>
      </c>
      <c r="C5644" s="7" t="s">
        <v>26276</v>
      </c>
      <c r="D5644" s="7" t="s">
        <v>160</v>
      </c>
      <c r="E5644" s="12" t="str">
        <f>HYPERLINK("https://twitter.com/tukbayakmur/status/1181856271772913664","1181856271772913664")</f>
        <v>1181856271772913664</v>
      </c>
      <c r="F5644" s="8"/>
      <c r="G5644" s="15"/>
      <c r="H5644" s="8"/>
      <c r="I5644" s="15">
        <v>0</v>
      </c>
      <c r="J5644" s="15">
        <v>0</v>
      </c>
      <c r="K5644" s="12" t="str">
        <f>HYPERLINK("http://twitter.com/download/android","Twitter for Android")</f>
        <v>Twitter for Android</v>
      </c>
      <c r="L5644" s="16">
        <v>0</v>
      </c>
      <c r="M5644" s="16">
        <v>8</v>
      </c>
      <c r="N5644" s="16">
        <v>0</v>
      </c>
      <c r="O5644" s="17"/>
      <c r="P5644" s="18">
        <v>43700.473460648151</v>
      </c>
      <c r="Q5644" s="8"/>
      <c r="R5644" s="7"/>
      <c r="S5644" s="8"/>
      <c r="T5644" s="8"/>
      <c r="U5644" s="20" t="s">
        <v>354</v>
      </c>
      <c r="V5644" s="8"/>
      <c r="W5644" s="8"/>
      <c r="X5644" s="8"/>
      <c r="Y5644" s="8"/>
      <c r="Z5644" s="8"/>
    </row>
    <row r="5645" spans="1:26" ht="12.75">
      <c r="A5645" s="11">
        <v>43747.081782407404</v>
      </c>
      <c r="B5645" s="12" t="str">
        <f>HYPERLINK("https://twitter.com/hogwarton","@hogwarton")</f>
        <v>@hogwarton</v>
      </c>
      <c r="C5645" s="7" t="s">
        <v>26277</v>
      </c>
      <c r="D5645" s="7" t="s">
        <v>26278</v>
      </c>
      <c r="E5645" s="12" t="str">
        <f>HYPERLINK("https://twitter.com/hogwarton/status/1181856264910974981","1181856264910974981")</f>
        <v>1181856264910974981</v>
      </c>
      <c r="F5645" s="8"/>
      <c r="G5645" s="8"/>
      <c r="H5645" s="8"/>
      <c r="I5645" s="15">
        <v>0</v>
      </c>
      <c r="J5645" s="15">
        <v>0</v>
      </c>
      <c r="K5645" s="12" t="str">
        <f>HYPERLINK("https://mobile.twitter.com","Twitter Web App")</f>
        <v>Twitter Web App</v>
      </c>
      <c r="L5645" s="16">
        <v>238</v>
      </c>
      <c r="M5645" s="16">
        <v>360</v>
      </c>
      <c r="N5645" s="16">
        <v>0</v>
      </c>
      <c r="O5645" s="17"/>
      <c r="P5645" s="18">
        <v>42334.588252314818</v>
      </c>
      <c r="Q5645" s="7"/>
      <c r="R5645" s="8" t="s">
        <v>26279</v>
      </c>
      <c r="S5645" s="15"/>
      <c r="T5645" s="8"/>
      <c r="U5645" s="19" t="str">
        <f>HYPERLINK("https://pbs.twimg.com/profile_images/673982183112114176/RzArTiAR.jpg","View")</f>
        <v>View</v>
      </c>
      <c r="V5645" s="8"/>
      <c r="W5645" s="8"/>
      <c r="X5645" s="8"/>
      <c r="Y5645" s="8"/>
      <c r="Z5645" s="8"/>
    </row>
    <row r="5646" spans="1:26" ht="12.75">
      <c r="A5646" s="11">
        <v>43747.081712962958</v>
      </c>
      <c r="B5646" s="12" t="str">
        <f>HYPERLINK("https://twitter.com/TheHemdem41","@TheHemdem41")</f>
        <v>@TheHemdem41</v>
      </c>
      <c r="C5646" s="7" t="s">
        <v>26280</v>
      </c>
      <c r="D5646" s="7" t="s">
        <v>26281</v>
      </c>
      <c r="E5646" s="12" t="str">
        <f>HYPERLINK("https://twitter.com/TheHemdem41/status/1181856242660196352","1181856242660196352")</f>
        <v>1181856242660196352</v>
      </c>
      <c r="F5646" s="8"/>
      <c r="G5646" s="14" t="s">
        <v>26282</v>
      </c>
      <c r="H5646" s="8"/>
      <c r="I5646" s="15">
        <v>1</v>
      </c>
      <c r="J5646" s="15">
        <v>4</v>
      </c>
      <c r="K5646" s="12" t="str">
        <f>HYPERLINK("http://twitter.com/download/android","Twitter for Android")</f>
        <v>Twitter for Android</v>
      </c>
      <c r="L5646" s="16">
        <v>18</v>
      </c>
      <c r="M5646" s="16">
        <v>21</v>
      </c>
      <c r="N5646" s="16">
        <v>0</v>
      </c>
      <c r="O5646" s="17"/>
      <c r="P5646" s="18">
        <v>42810.322638888887</v>
      </c>
      <c r="Q5646" s="7"/>
      <c r="R5646" s="15" t="s">
        <v>26283</v>
      </c>
      <c r="S5646" s="8"/>
      <c r="T5646" s="8"/>
      <c r="U5646" s="19" t="str">
        <f>HYPERLINK("https://pbs.twimg.com/profile_images/1170309551792513024/IBAFyl8h.jpg","View")</f>
        <v>View</v>
      </c>
      <c r="V5646" s="8"/>
      <c r="W5646" s="8"/>
      <c r="X5646" s="8"/>
      <c r="Y5646" s="8"/>
      <c r="Z5646" s="8"/>
    </row>
    <row r="5647" spans="1:26" ht="12.75">
      <c r="A5647" s="11">
        <v>43747.081666666665</v>
      </c>
      <c r="B5647" s="12" t="str">
        <f>HYPERLINK("https://twitter.com/fatihcakmak64","@fatihcakmak64")</f>
        <v>@fatihcakmak64</v>
      </c>
      <c r="C5647" s="7" t="s">
        <v>26284</v>
      </c>
      <c r="D5647" s="7" t="s">
        <v>26285</v>
      </c>
      <c r="E5647" s="12" t="str">
        <f>HYPERLINK("https://twitter.com/fatihcakmak64/status/1181856225404817408","1181856225404817408")</f>
        <v>1181856225404817408</v>
      </c>
      <c r="F5647" s="8"/>
      <c r="G5647" s="8"/>
      <c r="H5647" s="8"/>
      <c r="I5647" s="15">
        <v>0</v>
      </c>
      <c r="J5647" s="15">
        <v>1</v>
      </c>
      <c r="K5647" s="12" t="str">
        <f>HYPERLINK("http://twitter.com/download/android","Twitter for Android")</f>
        <v>Twitter for Android</v>
      </c>
      <c r="L5647" s="16">
        <v>839</v>
      </c>
      <c r="M5647" s="16">
        <v>2250</v>
      </c>
      <c r="N5647" s="16">
        <v>0</v>
      </c>
      <c r="O5647" s="17"/>
      <c r="P5647" s="18">
        <v>40159.194965277777</v>
      </c>
      <c r="Q5647" s="7"/>
      <c r="R5647" s="7" t="s">
        <v>26286</v>
      </c>
      <c r="S5647" s="8"/>
      <c r="T5647" s="8"/>
      <c r="U5647" s="19" t="str">
        <f>HYPERLINK("https://pbs.twimg.com/profile_images/952461294829031425/oXcmZQL8.jpg","View")</f>
        <v>View</v>
      </c>
      <c r="V5647" s="8"/>
      <c r="W5647" s="8"/>
      <c r="X5647" s="8"/>
      <c r="Y5647" s="8"/>
      <c r="Z5647" s="8"/>
    </row>
    <row r="5648" spans="1:26" ht="12.75">
      <c r="A5648" s="11">
        <v>43747.081655092596</v>
      </c>
      <c r="B5648" s="12" t="str">
        <f>HYPERLINK("https://twitter.com/ezz97_","@ezz97_")</f>
        <v>@ezz97_</v>
      </c>
      <c r="C5648" s="7" t="s">
        <v>3907</v>
      </c>
      <c r="D5648" s="7" t="s">
        <v>26287</v>
      </c>
      <c r="E5648" s="12" t="str">
        <f>HYPERLINK("https://twitter.com/ezz97_/status/1181856220052934656","1181856220052934656")</f>
        <v>1181856220052934656</v>
      </c>
      <c r="F5648" s="8"/>
      <c r="G5648" s="8"/>
      <c r="H5648" s="8"/>
      <c r="I5648" s="15">
        <v>1</v>
      </c>
      <c r="J5648" s="15">
        <v>2</v>
      </c>
      <c r="K5648" s="12" t="str">
        <f>HYPERLINK("http://twitter.com/download/iphone","Twitter for iPhone")</f>
        <v>Twitter for iPhone</v>
      </c>
      <c r="L5648" s="16">
        <v>441</v>
      </c>
      <c r="M5648" s="16">
        <v>295</v>
      </c>
      <c r="N5648" s="16">
        <v>1</v>
      </c>
      <c r="O5648" s="17"/>
      <c r="P5648" s="18">
        <v>41168.409270833334</v>
      </c>
      <c r="Q5648" s="7" t="s">
        <v>2858</v>
      </c>
      <c r="R5648" s="7" t="s">
        <v>26288</v>
      </c>
      <c r="S5648" s="8"/>
      <c r="T5648" s="8"/>
      <c r="U5648" s="19" t="str">
        <f>HYPERLINK("https://pbs.twimg.com/profile_images/1181324061059629058/QHcWH4VG.jpg","View")</f>
        <v>View</v>
      </c>
      <c r="V5648" s="8"/>
      <c r="W5648" s="8"/>
      <c r="X5648" s="8"/>
      <c r="Y5648" s="8"/>
      <c r="Z5648" s="8"/>
    </row>
    <row r="5649" spans="1:26" ht="12.75">
      <c r="A5649" s="11">
        <v>43747.081631944442</v>
      </c>
      <c r="B5649" s="12" t="str">
        <f>HYPERLINK("https://twitter.com/AhmetOzsezer","@AhmetOzsezer")</f>
        <v>@AhmetOzsezer</v>
      </c>
      <c r="C5649" s="7" t="s">
        <v>26289</v>
      </c>
      <c r="D5649" s="7" t="s">
        <v>26290</v>
      </c>
      <c r="E5649" s="12" t="str">
        <f>HYPERLINK("https://twitter.com/AhmetOzsezer/status/1181856214264795136","1181856214264795136")</f>
        <v>1181856214264795136</v>
      </c>
      <c r="F5649" s="8"/>
      <c r="G5649" s="15"/>
      <c r="H5649" s="8"/>
      <c r="I5649" s="15">
        <v>0</v>
      </c>
      <c r="J5649" s="15">
        <v>0</v>
      </c>
      <c r="K5649" s="12" t="str">
        <f>HYPERLINK("https://mobile.twitter.com","Twitter Web App")</f>
        <v>Twitter Web App</v>
      </c>
      <c r="L5649" s="16">
        <v>56</v>
      </c>
      <c r="M5649" s="16">
        <v>53</v>
      </c>
      <c r="N5649" s="16">
        <v>0</v>
      </c>
      <c r="O5649" s="17"/>
      <c r="P5649" s="18">
        <v>40833.454826388886</v>
      </c>
      <c r="Q5649" s="8" t="s">
        <v>200</v>
      </c>
      <c r="R5649" s="7" t="s">
        <v>26291</v>
      </c>
      <c r="S5649" s="8"/>
      <c r="T5649" s="8"/>
      <c r="U5649" s="19" t="str">
        <f>HYPERLINK("https://pbs.twimg.com/profile_images/965279552292474881/KvowN33l.jpg","View")</f>
        <v>View</v>
      </c>
      <c r="V5649" s="8"/>
      <c r="W5649" s="8"/>
      <c r="X5649" s="8"/>
      <c r="Y5649" s="8"/>
      <c r="Z5649" s="8"/>
    </row>
    <row r="5650" spans="1:26" ht="12.75">
      <c r="A5650" s="11">
        <v>43747.081574074073</v>
      </c>
      <c r="B5650" s="12" t="str">
        <f>HYPERLINK("https://twitter.com/entpttipi","@entpttipi")</f>
        <v>@entpttipi</v>
      </c>
      <c r="C5650" s="7" t="s">
        <v>26292</v>
      </c>
      <c r="D5650" s="7" t="s">
        <v>3552</v>
      </c>
      <c r="E5650" s="12" t="str">
        <f>HYPERLINK("https://twitter.com/entpttipi/status/1181856189820395521","1181856189820395521")</f>
        <v>1181856189820395521</v>
      </c>
      <c r="F5650" s="8"/>
      <c r="G5650" s="8"/>
      <c r="H5650" s="8"/>
      <c r="I5650" s="15">
        <v>0</v>
      </c>
      <c r="J5650" s="15">
        <v>0</v>
      </c>
      <c r="K5650" s="12" t="str">
        <f>HYPERLINK("http://twitter.com/download/android","Twitter for Android")</f>
        <v>Twitter for Android</v>
      </c>
      <c r="L5650" s="16">
        <v>112</v>
      </c>
      <c r="M5650" s="16">
        <v>42</v>
      </c>
      <c r="N5650" s="16">
        <v>0</v>
      </c>
      <c r="O5650" s="17"/>
      <c r="P5650" s="18">
        <v>43518.389884259261</v>
      </c>
      <c r="Q5650" s="7" t="s">
        <v>26293</v>
      </c>
      <c r="R5650" s="7" t="s">
        <v>26294</v>
      </c>
      <c r="S5650" s="15"/>
      <c r="T5650" s="8"/>
      <c r="U5650" s="19" t="str">
        <f>HYPERLINK("https://pbs.twimg.com/profile_images/1178774563745861632/z5U1Stci.jpg","View")</f>
        <v>View</v>
      </c>
      <c r="V5650" s="8"/>
      <c r="W5650" s="8"/>
      <c r="X5650" s="8"/>
      <c r="Y5650" s="8"/>
      <c r="Z5650" s="8"/>
    </row>
    <row r="5651" spans="1:26" ht="12.75">
      <c r="A5651" s="11">
        <v>43747.081539351857</v>
      </c>
      <c r="B5651" s="12" t="str">
        <f>HYPERLINK("https://twitter.com/izzettinh","@izzettinh")</f>
        <v>@izzettinh</v>
      </c>
      <c r="C5651" s="7" t="s">
        <v>26295</v>
      </c>
      <c r="D5651" s="7" t="s">
        <v>26296</v>
      </c>
      <c r="E5651" s="12" t="str">
        <f>HYPERLINK("https://twitter.com/izzettinh/status/1181856176780320768","1181856176780320768")</f>
        <v>1181856176780320768</v>
      </c>
      <c r="F5651" s="8"/>
      <c r="G5651" s="14" t="s">
        <v>26297</v>
      </c>
      <c r="H5651" s="8"/>
      <c r="I5651" s="15">
        <v>0</v>
      </c>
      <c r="J5651" s="15">
        <v>2</v>
      </c>
      <c r="K5651" s="12" t="str">
        <f>HYPERLINK("http://twitter.com/download/iphone","Twitter for iPhone")</f>
        <v>Twitter for iPhone</v>
      </c>
      <c r="L5651" s="16">
        <v>84</v>
      </c>
      <c r="M5651" s="16">
        <v>243</v>
      </c>
      <c r="N5651" s="16">
        <v>1</v>
      </c>
      <c r="O5651" s="17"/>
      <c r="P5651" s="18">
        <v>40567.480578703704</v>
      </c>
      <c r="Q5651" s="8" t="s">
        <v>313</v>
      </c>
      <c r="R5651" s="7" t="s">
        <v>26298</v>
      </c>
      <c r="S5651" s="8"/>
      <c r="T5651" s="8"/>
      <c r="U5651" s="19" t="str">
        <f>HYPERLINK("https://pbs.twimg.com/profile_images/432274830952779776/EoKvIiMK.jpeg","View")</f>
        <v>View</v>
      </c>
      <c r="V5651" s="8"/>
      <c r="W5651" s="8"/>
      <c r="X5651" s="8"/>
      <c r="Y5651" s="8"/>
      <c r="Z5651" s="8"/>
    </row>
    <row r="5652" spans="1:26" ht="12.75">
      <c r="A5652" s="11">
        <v>43747.081458333334</v>
      </c>
      <c r="B5652" s="12" t="str">
        <f>HYPERLINK("https://twitter.com/nslhn31","@nslhn31")</f>
        <v>@nslhn31</v>
      </c>
      <c r="C5652" s="7" t="s">
        <v>26299</v>
      </c>
      <c r="D5652" s="7" t="s">
        <v>160</v>
      </c>
      <c r="E5652" s="12" t="str">
        <f>HYPERLINK("https://twitter.com/nslhn31/status/1181856149454430209","1181856149454430209")</f>
        <v>1181856149454430209</v>
      </c>
      <c r="F5652" s="8"/>
      <c r="G5652" s="15"/>
      <c r="H5652" s="8"/>
      <c r="I5652" s="15">
        <v>0</v>
      </c>
      <c r="J5652" s="15">
        <v>0</v>
      </c>
      <c r="K5652" s="12" t="str">
        <f>HYPERLINK("http://twitter.com/download/android","Twitter for Android")</f>
        <v>Twitter for Android</v>
      </c>
      <c r="L5652" s="16">
        <v>129</v>
      </c>
      <c r="M5652" s="16">
        <v>138</v>
      </c>
      <c r="N5652" s="16">
        <v>1</v>
      </c>
      <c r="O5652" s="17"/>
      <c r="P5652" s="18">
        <v>42077.203125</v>
      </c>
      <c r="Q5652" s="7"/>
      <c r="R5652" s="7"/>
      <c r="S5652" s="8"/>
      <c r="T5652" s="8"/>
      <c r="U5652" s="19" t="str">
        <f>HYPERLINK("https://pbs.twimg.com/profile_images/1181325242817363968/SYfeIslU.jpg","View")</f>
        <v>View</v>
      </c>
      <c r="V5652" s="8"/>
      <c r="W5652" s="8"/>
      <c r="X5652" s="8"/>
      <c r="Y5652" s="8"/>
      <c r="Z5652" s="8"/>
    </row>
    <row r="5653" spans="1:26" ht="12.75">
      <c r="A5653" s="11">
        <v>43747.081458333334</v>
      </c>
      <c r="B5653" s="12" t="str">
        <f>HYPERLINK("https://twitter.com/THORsonofODN1","@THORsonofODN1")</f>
        <v>@THORsonofODN1</v>
      </c>
      <c r="C5653" s="7" t="s">
        <v>26300</v>
      </c>
      <c r="D5653" s="7" t="s">
        <v>26301</v>
      </c>
      <c r="E5653" s="12" t="str">
        <f>HYPERLINK("https://twitter.com/THORsonofODN1/status/1181856147923439616","1181856147923439616")</f>
        <v>1181856147923439616</v>
      </c>
      <c r="F5653" s="14" t="s">
        <v>26302</v>
      </c>
      <c r="G5653" s="14" t="s">
        <v>4093</v>
      </c>
      <c r="H5653" s="8"/>
      <c r="I5653" s="15">
        <v>0</v>
      </c>
      <c r="J5653" s="15">
        <v>1</v>
      </c>
      <c r="K5653" s="12" t="str">
        <f>HYPERLINK("http://twitter.com/download/iphone","Twitter for iPhone")</f>
        <v>Twitter for iPhone</v>
      </c>
      <c r="L5653" s="16">
        <v>6</v>
      </c>
      <c r="M5653" s="16">
        <v>38</v>
      </c>
      <c r="N5653" s="16">
        <v>0</v>
      </c>
      <c r="O5653" s="17"/>
      <c r="P5653" s="18">
        <v>43680.470069444447</v>
      </c>
      <c r="Q5653" s="7"/>
      <c r="R5653" s="7" t="s">
        <v>26303</v>
      </c>
      <c r="S5653" s="8"/>
      <c r="T5653" s="8"/>
      <c r="U5653" s="19" t="str">
        <f>HYPERLINK("https://pbs.twimg.com/profile_images/1157722331265019904/I7uN7Szu.jpg","View")</f>
        <v>View</v>
      </c>
      <c r="V5653" s="8"/>
      <c r="W5653" s="8"/>
      <c r="X5653" s="8"/>
      <c r="Y5653" s="8"/>
      <c r="Z5653" s="8"/>
    </row>
    <row r="5654" spans="1:26" ht="12.75">
      <c r="A5654" s="11">
        <v>43747.081435185188</v>
      </c>
      <c r="B5654" s="12" t="str">
        <f>HYPERLINK("https://twitter.com/Mamul1903","@Mamul1903")</f>
        <v>@Mamul1903</v>
      </c>
      <c r="C5654" s="7" t="s">
        <v>26304</v>
      </c>
      <c r="D5654" s="7" t="s">
        <v>26305</v>
      </c>
      <c r="E5654" s="12" t="str">
        <f>HYPERLINK("https://twitter.com/Mamul1903/status/1181856141208367105","1181856141208367105")</f>
        <v>1181856141208367105</v>
      </c>
      <c r="F5654" s="8"/>
      <c r="G5654" s="8"/>
      <c r="H5654" s="8"/>
      <c r="I5654" s="15">
        <v>0</v>
      </c>
      <c r="J5654" s="15">
        <v>1</v>
      </c>
      <c r="K5654" s="12" t="str">
        <f>HYPERLINK("http://twitter.com/download/android","Twitter for Android")</f>
        <v>Twitter for Android</v>
      </c>
      <c r="L5654" s="16">
        <v>63</v>
      </c>
      <c r="M5654" s="16">
        <v>188</v>
      </c>
      <c r="N5654" s="16">
        <v>0</v>
      </c>
      <c r="O5654" s="17"/>
      <c r="P5654" s="18">
        <v>42998.363842592589</v>
      </c>
      <c r="Q5654" s="7" t="s">
        <v>200</v>
      </c>
      <c r="R5654" s="8" t="s">
        <v>26306</v>
      </c>
      <c r="S5654" s="8"/>
      <c r="T5654" s="8"/>
      <c r="U5654" s="19" t="str">
        <f>HYPERLINK("https://pbs.twimg.com/profile_images/1151061682355093504/-U9Yjpj8.jpg","View")</f>
        <v>View</v>
      </c>
      <c r="V5654" s="8"/>
      <c r="W5654" s="8"/>
      <c r="X5654" s="8"/>
      <c r="Y5654" s="8"/>
      <c r="Z5654" s="8"/>
    </row>
    <row r="5655" spans="1:26" ht="12.75">
      <c r="A5655" s="11">
        <v>43747.081435185188</v>
      </c>
      <c r="B5655" s="12" t="str">
        <f>HYPERLINK("https://twitter.com/temur_zaif","@temur_zaif")</f>
        <v>@temur_zaif</v>
      </c>
      <c r="C5655" s="7" t="s">
        <v>26307</v>
      </c>
      <c r="D5655" s="7" t="s">
        <v>26308</v>
      </c>
      <c r="E5655" s="12" t="str">
        <f>HYPERLINK("https://twitter.com/temur_zaif/status/1181856140239495168","1181856140239495168")</f>
        <v>1181856140239495168</v>
      </c>
      <c r="F5655" s="8"/>
      <c r="G5655" s="15"/>
      <c r="H5655" s="8"/>
      <c r="I5655" s="15">
        <v>0</v>
      </c>
      <c r="J5655" s="15">
        <v>0</v>
      </c>
      <c r="K5655" s="12" t="str">
        <f>HYPERLINK("http://twitter.com/download/android","Twitter for Android")</f>
        <v>Twitter for Android</v>
      </c>
      <c r="L5655" s="16">
        <v>53</v>
      </c>
      <c r="M5655" s="16">
        <v>11</v>
      </c>
      <c r="N5655" s="16">
        <v>0</v>
      </c>
      <c r="O5655" s="17"/>
      <c r="P5655" s="18">
        <v>42252.48600694444</v>
      </c>
      <c r="Q5655" s="7" t="s">
        <v>26309</v>
      </c>
      <c r="R5655" s="7" t="s">
        <v>26310</v>
      </c>
      <c r="S5655" s="8"/>
      <c r="T5655" s="8"/>
      <c r="U5655" s="19" t="str">
        <f>HYPERLINK("https://pbs.twimg.com/profile_images/1181310699424763904/8YdAPmBK.jpg","View")</f>
        <v>View</v>
      </c>
      <c r="V5655" s="8"/>
      <c r="W5655" s="8"/>
      <c r="X5655" s="8"/>
      <c r="Y5655" s="8"/>
      <c r="Z5655" s="8"/>
    </row>
    <row r="5656" spans="1:26" ht="12.75">
      <c r="A5656" s="11">
        <v>43747.081423611111</v>
      </c>
      <c r="B5656" s="12" t="str">
        <f>HYPERLINK("https://twitter.com/synr34","@synr34")</f>
        <v>@synr34</v>
      </c>
      <c r="C5656" s="7" t="s">
        <v>26311</v>
      </c>
      <c r="D5656" s="7" t="s">
        <v>26312</v>
      </c>
      <c r="E5656" s="12" t="str">
        <f>HYPERLINK("https://twitter.com/synr34/status/1181856136854736896","1181856136854736896")</f>
        <v>1181856136854736896</v>
      </c>
      <c r="F5656" s="8"/>
      <c r="G5656" s="14" t="s">
        <v>26313</v>
      </c>
      <c r="H5656" s="8"/>
      <c r="I5656" s="15">
        <v>1</v>
      </c>
      <c r="J5656" s="15">
        <v>3</v>
      </c>
      <c r="K5656" s="12" t="str">
        <f>HYPERLINK("http://twitter.com/download/iphone","Twitter for iPhone")</f>
        <v>Twitter for iPhone</v>
      </c>
      <c r="L5656" s="16">
        <v>129</v>
      </c>
      <c r="M5656" s="16">
        <v>41</v>
      </c>
      <c r="N5656" s="16">
        <v>0</v>
      </c>
      <c r="O5656" s="17"/>
      <c r="P5656" s="18">
        <v>42260.656192129631</v>
      </c>
      <c r="Q5656" s="7" t="s">
        <v>313</v>
      </c>
      <c r="R5656" s="7" t="s">
        <v>26314</v>
      </c>
      <c r="S5656" s="8"/>
      <c r="T5656" s="8"/>
      <c r="U5656" s="19" t="str">
        <f>HYPERLINK("https://pbs.twimg.com/profile_images/1180911657574391808/D8eSRgU8.jpg","View")</f>
        <v>View</v>
      </c>
      <c r="V5656" s="8"/>
      <c r="W5656" s="8"/>
      <c r="X5656" s="8"/>
      <c r="Y5656" s="8"/>
      <c r="Z5656" s="8"/>
    </row>
    <row r="5657" spans="1:26" ht="12.75">
      <c r="A5657" s="11">
        <v>43747.081412037034</v>
      </c>
      <c r="B5657" s="12" t="str">
        <f>HYPERLINK("https://twitter.com/UgurKCicek","@UgurKCicek")</f>
        <v>@UgurKCicek</v>
      </c>
      <c r="C5657" s="7" t="s">
        <v>26315</v>
      </c>
      <c r="D5657" s="7" t="s">
        <v>160</v>
      </c>
      <c r="E5657" s="12" t="str">
        <f>HYPERLINK("https://twitter.com/UgurKCicek/status/1181856131620245506","1181856131620245506")</f>
        <v>1181856131620245506</v>
      </c>
      <c r="F5657" s="8"/>
      <c r="G5657" s="15"/>
      <c r="H5657" s="8"/>
      <c r="I5657" s="15">
        <v>0</v>
      </c>
      <c r="J5657" s="15">
        <v>0</v>
      </c>
      <c r="K5657" s="12" t="str">
        <f>HYPERLINK("http://twitter.com/download/android","Twitter for Android")</f>
        <v>Twitter for Android</v>
      </c>
      <c r="L5657" s="16">
        <v>10</v>
      </c>
      <c r="M5657" s="16">
        <v>85</v>
      </c>
      <c r="N5657" s="16">
        <v>0</v>
      </c>
      <c r="O5657" s="17"/>
      <c r="P5657" s="18">
        <v>42540.528634259259</v>
      </c>
      <c r="Q5657" s="8" t="s">
        <v>200</v>
      </c>
      <c r="R5657" s="8" t="s">
        <v>26316</v>
      </c>
      <c r="S5657" s="8"/>
      <c r="T5657" s="8"/>
      <c r="U5657" s="19" t="str">
        <f>HYPERLINK("https://pbs.twimg.com/profile_images/1180510457712513024/esTK2dv4.jpg","View")</f>
        <v>View</v>
      </c>
      <c r="V5657" s="8"/>
      <c r="W5657" s="8"/>
      <c r="X5657" s="8"/>
      <c r="Y5657" s="8"/>
      <c r="Z5657" s="8"/>
    </row>
    <row r="5658" spans="1:26" ht="12.75">
      <c r="A5658" s="11">
        <v>43747.081400462965</v>
      </c>
      <c r="B5658" s="12" t="str">
        <f>HYPERLINK("https://twitter.com/OkanPala15","@OkanPala15")</f>
        <v>@OkanPala15</v>
      </c>
      <c r="C5658" s="7" t="s">
        <v>26317</v>
      </c>
      <c r="D5658" s="7" t="s">
        <v>26318</v>
      </c>
      <c r="E5658" s="12" t="str">
        <f>HYPERLINK("https://twitter.com/OkanPala15/status/1181856127191003136","1181856127191003136")</f>
        <v>1181856127191003136</v>
      </c>
      <c r="F5658" s="8"/>
      <c r="G5658" s="15"/>
      <c r="H5658" s="8"/>
      <c r="I5658" s="15">
        <v>0</v>
      </c>
      <c r="J5658" s="15">
        <v>0</v>
      </c>
      <c r="K5658" s="12" t="str">
        <f>HYPERLINK("http://twitter.com/download/android","Twitter for Android")</f>
        <v>Twitter for Android</v>
      </c>
      <c r="L5658" s="16">
        <v>13</v>
      </c>
      <c r="M5658" s="16">
        <v>177</v>
      </c>
      <c r="N5658" s="16">
        <v>0</v>
      </c>
      <c r="O5658" s="17"/>
      <c r="P5658" s="18">
        <v>43420.328796296293</v>
      </c>
      <c r="Q5658" s="7" t="s">
        <v>313</v>
      </c>
      <c r="R5658" s="7" t="s">
        <v>26319</v>
      </c>
      <c r="S5658" s="8"/>
      <c r="T5658" s="8"/>
      <c r="U5658" s="19" t="str">
        <f>HYPERLINK("https://pbs.twimg.com/profile_images/1069592651354251264/PBMGrwIC.jpg","View")</f>
        <v>View</v>
      </c>
      <c r="V5658" s="8"/>
      <c r="W5658" s="8"/>
      <c r="X5658" s="8"/>
      <c r="Y5658" s="8"/>
      <c r="Z5658" s="8"/>
    </row>
    <row r="5659" spans="1:26" ht="12.75">
      <c r="A5659" s="11">
        <v>43747.081377314811</v>
      </c>
      <c r="B5659" s="12" t="str">
        <f>HYPERLINK("https://twitter.com/kolog_s","@kolog_s")</f>
        <v>@kolog_s</v>
      </c>
      <c r="C5659" s="7" t="s">
        <v>26320</v>
      </c>
      <c r="D5659" s="7" t="s">
        <v>26321</v>
      </c>
      <c r="E5659" s="12" t="str">
        <f>HYPERLINK("https://twitter.com/kolog_s/status/1181856120123604994","1181856120123604994")</f>
        <v>1181856120123604994</v>
      </c>
      <c r="F5659" s="8"/>
      <c r="G5659" s="14" t="s">
        <v>26322</v>
      </c>
      <c r="H5659" s="8"/>
      <c r="I5659" s="15">
        <v>0</v>
      </c>
      <c r="J5659" s="15">
        <v>1</v>
      </c>
      <c r="K5659" s="12" t="str">
        <f>HYPERLINK("http://twitter.com/download/android","Twitter for Android")</f>
        <v>Twitter for Android</v>
      </c>
      <c r="L5659" s="16">
        <v>24</v>
      </c>
      <c r="M5659" s="16">
        <v>49</v>
      </c>
      <c r="N5659" s="16">
        <v>0</v>
      </c>
      <c r="O5659" s="17"/>
      <c r="P5659" s="18">
        <v>43657.014085648145</v>
      </c>
      <c r="Q5659" s="8"/>
      <c r="R5659" s="7"/>
      <c r="S5659" s="8"/>
      <c r="T5659" s="8"/>
      <c r="U5659" s="19" t="str">
        <f>HYPERLINK("https://pbs.twimg.com/profile_images/1181177889091457024/GARnvBmy.jpg","View")</f>
        <v>View</v>
      </c>
      <c r="V5659" s="8"/>
      <c r="W5659" s="8"/>
      <c r="X5659" s="8"/>
      <c r="Y5659" s="8"/>
      <c r="Z5659" s="8"/>
    </row>
    <row r="5660" spans="1:26" ht="12.75">
      <c r="A5660" s="11">
        <v>43747.081377314811</v>
      </c>
      <c r="B5660" s="12" t="str">
        <f>HYPERLINK("https://twitter.com/ersinselvi7","@ersinselvi7")</f>
        <v>@ersinselvi7</v>
      </c>
      <c r="C5660" s="7" t="s">
        <v>26323</v>
      </c>
      <c r="D5660" s="7" t="s">
        <v>26324</v>
      </c>
      <c r="E5660" s="12" t="str">
        <f>HYPERLINK("https://twitter.com/ersinselvi7/status/1181856118777229312","1181856118777229312")</f>
        <v>1181856118777229312</v>
      </c>
      <c r="F5660" s="8"/>
      <c r="G5660" s="14" t="s">
        <v>26325</v>
      </c>
      <c r="H5660" s="8"/>
      <c r="I5660" s="15">
        <v>0</v>
      </c>
      <c r="J5660" s="15">
        <v>1</v>
      </c>
      <c r="K5660" s="12" t="str">
        <f>HYPERLINK("http://twitter.com/download/android","Twitter for Android")</f>
        <v>Twitter for Android</v>
      </c>
      <c r="L5660" s="16">
        <v>161</v>
      </c>
      <c r="M5660" s="16">
        <v>254</v>
      </c>
      <c r="N5660" s="16">
        <v>0</v>
      </c>
      <c r="O5660" s="17"/>
      <c r="P5660" s="18">
        <v>43432.39262731481</v>
      </c>
      <c r="Q5660" s="7"/>
      <c r="R5660" s="8"/>
      <c r="S5660" s="8"/>
      <c r="T5660" s="8"/>
      <c r="U5660" s="19" t="str">
        <f>HYPERLINK("https://pbs.twimg.com/profile_images/1119516348248403968/hgZzwUri.jpg","View")</f>
        <v>View</v>
      </c>
      <c r="V5660" s="8"/>
      <c r="W5660" s="8"/>
      <c r="X5660" s="8"/>
      <c r="Y5660" s="8"/>
      <c r="Z5660" s="8"/>
    </row>
    <row r="5661" spans="1:26" ht="12.75">
      <c r="A5661" s="11">
        <v>43747.081365740742</v>
      </c>
      <c r="B5661" s="12" t="str">
        <f>HYPERLINK("https://twitter.com/musasertr","@musasertr")</f>
        <v>@musasertr</v>
      </c>
      <c r="C5661" s="7" t="s">
        <v>26326</v>
      </c>
      <c r="D5661" s="7" t="s">
        <v>26327</v>
      </c>
      <c r="E5661" s="12" t="str">
        <f>HYPERLINK("https://twitter.com/musasertr/status/1181856116638138368","1181856116638138368")</f>
        <v>1181856116638138368</v>
      </c>
      <c r="F5661" s="8"/>
      <c r="G5661" s="14" t="s">
        <v>26328</v>
      </c>
      <c r="H5661" s="8"/>
      <c r="I5661" s="15">
        <v>2</v>
      </c>
      <c r="J5661" s="15">
        <v>3</v>
      </c>
      <c r="K5661" s="12" t="str">
        <f>HYPERLINK("http://twitter.com/download/android","Twitter for Android")</f>
        <v>Twitter for Android</v>
      </c>
      <c r="L5661" s="16">
        <v>923</v>
      </c>
      <c r="M5661" s="16">
        <v>930</v>
      </c>
      <c r="N5661" s="16">
        <v>3</v>
      </c>
      <c r="O5661" s="17"/>
      <c r="P5661" s="18">
        <v>43660.601759259254</v>
      </c>
      <c r="Q5661" s="8" t="s">
        <v>15925</v>
      </c>
      <c r="R5661" s="7"/>
      <c r="S5661" s="15"/>
      <c r="T5661" s="8"/>
      <c r="U5661" s="19" t="str">
        <f>HYPERLINK("https://pbs.twimg.com/profile_images/1180549772622618624/-JPGylM0.jpg","View")</f>
        <v>View</v>
      </c>
      <c r="V5661" s="8"/>
      <c r="W5661" s="8"/>
      <c r="X5661" s="8"/>
      <c r="Y5661" s="8"/>
      <c r="Z5661" s="8"/>
    </row>
    <row r="5662" spans="1:26" ht="12.75">
      <c r="A5662" s="11">
        <v>43747.081365740742</v>
      </c>
      <c r="B5662" s="12" t="str">
        <f>HYPERLINK("https://twitter.com/MatematikchiE","@MatematikchiE")</f>
        <v>@MatematikchiE</v>
      </c>
      <c r="C5662" s="7" t="s">
        <v>26329</v>
      </c>
      <c r="D5662" s="7" t="s">
        <v>26330</v>
      </c>
      <c r="E5662" s="12" t="str">
        <f>HYPERLINK("https://twitter.com/MatematikchiE/status/1181856114566148096","1181856114566148096")</f>
        <v>1181856114566148096</v>
      </c>
      <c r="F5662" s="8"/>
      <c r="G5662" s="8"/>
      <c r="H5662" s="8"/>
      <c r="I5662" s="15">
        <v>0</v>
      </c>
      <c r="J5662" s="15">
        <v>0</v>
      </c>
      <c r="K5662" s="12" t="str">
        <f>HYPERLINK("http://twitter.com/download/android","Twitter for Android")</f>
        <v>Twitter for Android</v>
      </c>
      <c r="L5662" s="16">
        <v>7</v>
      </c>
      <c r="M5662" s="16">
        <v>8</v>
      </c>
      <c r="N5662" s="16">
        <v>0</v>
      </c>
      <c r="O5662" s="17"/>
      <c r="P5662" s="18">
        <v>43420.339189814811</v>
      </c>
      <c r="Q5662" s="8"/>
      <c r="R5662" s="8"/>
      <c r="S5662" s="8"/>
      <c r="T5662" s="8"/>
      <c r="U5662" s="19" t="str">
        <f>HYPERLINK("https://pbs.twimg.com/profile_images/1063464430950850561/pzG6By5d.jpg","View")</f>
        <v>View</v>
      </c>
      <c r="V5662" s="8"/>
      <c r="W5662" s="8"/>
      <c r="X5662" s="8"/>
      <c r="Y5662" s="8"/>
      <c r="Z5662" s="8"/>
    </row>
    <row r="5663" spans="1:26" ht="12.75">
      <c r="A5663" s="11">
        <v>43747.081296296295</v>
      </c>
      <c r="B5663" s="12" t="str">
        <f>HYPERLINK("https://twitter.com/avci4648","@avci4648")</f>
        <v>@avci4648</v>
      </c>
      <c r="C5663" s="14" t="s">
        <v>26331</v>
      </c>
      <c r="D5663" s="7" t="s">
        <v>26332</v>
      </c>
      <c r="E5663" s="12" t="str">
        <f>HYPERLINK("https://twitter.com/avci4648/status/1181856091531075584","1181856091531075584")</f>
        <v>1181856091531075584</v>
      </c>
      <c r="F5663" s="8"/>
      <c r="G5663" s="8"/>
      <c r="H5663" s="8"/>
      <c r="I5663" s="15">
        <v>0</v>
      </c>
      <c r="J5663" s="15">
        <v>0</v>
      </c>
      <c r="K5663" s="12" t="str">
        <f>HYPERLINK("http://twitter.com/download/android","Twitter for Android")</f>
        <v>Twitter for Android</v>
      </c>
      <c r="L5663" s="16">
        <v>7</v>
      </c>
      <c r="M5663" s="16">
        <v>37</v>
      </c>
      <c r="N5663" s="16">
        <v>0</v>
      </c>
      <c r="O5663" s="17"/>
      <c r="P5663" s="18">
        <v>42399.23945601852</v>
      </c>
      <c r="Q5663" s="7"/>
      <c r="R5663" s="7" t="s">
        <v>26333</v>
      </c>
      <c r="S5663" s="8"/>
      <c r="T5663" s="8"/>
      <c r="U5663" s="19" t="str">
        <f>HYPERLINK("https://pbs.twimg.com/profile_images/1164805654650880001/5dTe8wo4.jpg","View")</f>
        <v>View</v>
      </c>
      <c r="V5663" s="8"/>
      <c r="W5663" s="8"/>
      <c r="X5663" s="8"/>
      <c r="Y5663" s="8"/>
      <c r="Z5663" s="8"/>
    </row>
    <row r="5664" spans="1:26" ht="12.75">
      <c r="A5664" s="11">
        <v>43747.081273148149</v>
      </c>
      <c r="B5664" s="12" t="str">
        <f>HYPERLINK("https://twitter.com/FurkanG06079455","@FurkanG06079455")</f>
        <v>@FurkanG06079455</v>
      </c>
      <c r="C5664" s="7" t="s">
        <v>26334</v>
      </c>
      <c r="D5664" s="7" t="s">
        <v>26335</v>
      </c>
      <c r="E5664" s="12" t="str">
        <f>HYPERLINK("https://twitter.com/FurkanG06079455/status/1181856083578626048","1181856083578626048")</f>
        <v>1181856083578626048</v>
      </c>
      <c r="F5664" s="8"/>
      <c r="G5664" s="15"/>
      <c r="H5664" s="8"/>
      <c r="I5664" s="15">
        <v>0</v>
      </c>
      <c r="J5664" s="15">
        <v>0</v>
      </c>
      <c r="K5664" s="12" t="str">
        <f>HYPERLINK("http://twitter.com/download/android","Twitter for Android")</f>
        <v>Twitter for Android</v>
      </c>
      <c r="L5664" s="16">
        <v>50</v>
      </c>
      <c r="M5664" s="16">
        <v>178</v>
      </c>
      <c r="N5664" s="16">
        <v>0</v>
      </c>
      <c r="O5664" s="17"/>
      <c r="P5664" s="18">
        <v>42967.700925925921</v>
      </c>
      <c r="Q5664" s="7" t="s">
        <v>1150</v>
      </c>
      <c r="R5664" s="7" t="s">
        <v>26336</v>
      </c>
      <c r="S5664" s="15"/>
      <c r="T5664" s="8"/>
      <c r="U5664" s="19" t="str">
        <f>HYPERLINK("https://pbs.twimg.com/profile_images/1160806447896305664/Gz0KtYf-.jpg","View")</f>
        <v>View</v>
      </c>
      <c r="V5664" s="8"/>
      <c r="W5664" s="8"/>
      <c r="X5664" s="8"/>
      <c r="Y5664" s="8"/>
      <c r="Z5664" s="8"/>
    </row>
    <row r="5665" spans="1:26" ht="12.75">
      <c r="A5665" s="11">
        <v>43747.081273148149</v>
      </c>
      <c r="B5665" s="12" t="str">
        <f>HYPERLINK("https://twitter.com/firstladymerkur","@firstladymerkur")</f>
        <v>@firstladymerkur</v>
      </c>
      <c r="C5665" s="7" t="s">
        <v>26337</v>
      </c>
      <c r="D5665" s="7" t="s">
        <v>160</v>
      </c>
      <c r="E5665" s="12" t="str">
        <f>HYPERLINK("https://twitter.com/firstladymerkur/status/1181856081041117184","1181856081041117184")</f>
        <v>1181856081041117184</v>
      </c>
      <c r="F5665" s="15"/>
      <c r="G5665" s="14" t="s">
        <v>26338</v>
      </c>
      <c r="H5665" s="8"/>
      <c r="I5665" s="15">
        <v>1</v>
      </c>
      <c r="J5665" s="15">
        <v>1</v>
      </c>
      <c r="K5665" s="12" t="str">
        <f>HYPERLINK("http://twitter.com/download/iphone","Twitter for iPhone")</f>
        <v>Twitter for iPhone</v>
      </c>
      <c r="L5665" s="16">
        <v>3683</v>
      </c>
      <c r="M5665" s="16">
        <v>2355</v>
      </c>
      <c r="N5665" s="16">
        <v>28</v>
      </c>
      <c r="O5665" s="17"/>
      <c r="P5665" s="18">
        <v>42078.373854166668</v>
      </c>
      <c r="Q5665" s="7" t="s">
        <v>7339</v>
      </c>
      <c r="R5665" s="7" t="s">
        <v>26339</v>
      </c>
      <c r="S5665" s="15"/>
      <c r="T5665" s="8"/>
      <c r="U5665" s="19" t="str">
        <f>HYPERLINK("https://pbs.twimg.com/profile_images/1116012247019597824/MHNU6KWJ.jpg","View")</f>
        <v>View</v>
      </c>
      <c r="V5665" s="8"/>
      <c r="W5665" s="8"/>
      <c r="X5665" s="8"/>
      <c r="Y5665" s="8"/>
      <c r="Z5665" s="8"/>
    </row>
    <row r="5666" spans="1:26" ht="12.75">
      <c r="A5666" s="11">
        <v>43747.081273148149</v>
      </c>
      <c r="B5666" s="12" t="str">
        <f>HYPERLINK("https://twitter.com/preference_69","@preference_69")</f>
        <v>@preference_69</v>
      </c>
      <c r="C5666" s="7" t="s">
        <v>26340</v>
      </c>
      <c r="D5666" s="7" t="s">
        <v>26341</v>
      </c>
      <c r="E5666" s="12" t="str">
        <f>HYPERLINK("https://twitter.com/preference_69/status/1181856081015971840","1181856081015971840")</f>
        <v>1181856081015971840</v>
      </c>
      <c r="F5666" s="8"/>
      <c r="G5666" s="15"/>
      <c r="H5666" s="8"/>
      <c r="I5666" s="15">
        <v>0</v>
      </c>
      <c r="J5666" s="15">
        <v>0</v>
      </c>
      <c r="K5666" s="12" t="str">
        <f>HYPERLINK("http://twitter.com/download/android","Twitter for Android")</f>
        <v>Twitter for Android</v>
      </c>
      <c r="L5666" s="16">
        <v>27</v>
      </c>
      <c r="M5666" s="16">
        <v>142</v>
      </c>
      <c r="N5666" s="16">
        <v>0</v>
      </c>
      <c r="O5666" s="17"/>
      <c r="P5666" s="18">
        <v>42306.388854166667</v>
      </c>
      <c r="Q5666" s="7"/>
      <c r="R5666" s="7"/>
      <c r="S5666" s="15"/>
      <c r="T5666" s="8"/>
      <c r="U5666" s="19" t="str">
        <f>HYPERLINK("https://pbs.twimg.com/profile_images/993099860424445952/V5hz3kLH.jpg","View")</f>
        <v>View</v>
      </c>
      <c r="V5666" s="8"/>
      <c r="W5666" s="8"/>
      <c r="X5666" s="8"/>
      <c r="Y5666" s="8"/>
      <c r="Z5666" s="8"/>
    </row>
    <row r="5667" spans="1:26" ht="12.75">
      <c r="A5667" s="11">
        <v>43747.081250000003</v>
      </c>
      <c r="B5667" s="12" t="str">
        <f>HYPERLINK("https://twitter.com/RavenRachelR","@RavenRachelR")</f>
        <v>@RavenRachelR</v>
      </c>
      <c r="C5667" s="7" t="s">
        <v>26342</v>
      </c>
      <c r="D5667" s="7" t="s">
        <v>26343</v>
      </c>
      <c r="E5667" s="12" t="str">
        <f>HYPERLINK("https://twitter.com/RavenRachelR/status/1181856073826914304","1181856073826914304")</f>
        <v>1181856073826914304</v>
      </c>
      <c r="F5667" s="8"/>
      <c r="G5667" s="14" t="s">
        <v>26344</v>
      </c>
      <c r="H5667" s="8"/>
      <c r="I5667" s="15">
        <v>0</v>
      </c>
      <c r="J5667" s="15">
        <v>2</v>
      </c>
      <c r="K5667" s="12" t="str">
        <f>HYPERLINK("http://twitter.com/download/android","Twitter for Android")</f>
        <v>Twitter for Android</v>
      </c>
      <c r="L5667" s="16">
        <v>131</v>
      </c>
      <c r="M5667" s="16">
        <v>127</v>
      </c>
      <c r="N5667" s="16">
        <v>0</v>
      </c>
      <c r="O5667" s="17"/>
      <c r="P5667" s="18">
        <v>41981.323993055557</v>
      </c>
      <c r="Q5667" s="8"/>
      <c r="R5667" s="8"/>
      <c r="S5667" s="8"/>
      <c r="T5667" s="8"/>
      <c r="U5667" s="19" t="str">
        <f>HYPERLINK("https://pbs.twimg.com/profile_images/1176942974657343495/ffgvL1aQ.jpg","View")</f>
        <v>View</v>
      </c>
      <c r="V5667" s="8"/>
      <c r="W5667" s="8"/>
      <c r="X5667" s="8"/>
      <c r="Y5667" s="8"/>
      <c r="Z5667" s="8"/>
    </row>
    <row r="5668" spans="1:26" ht="12.75">
      <c r="A5668" s="11">
        <v>43747.081250000003</v>
      </c>
      <c r="B5668" s="12" t="str">
        <f>HYPERLINK("https://twitter.com/HkmtAtalay","@HkmtAtalay")</f>
        <v>@HkmtAtalay</v>
      </c>
      <c r="C5668" s="7" t="s">
        <v>26345</v>
      </c>
      <c r="D5668" s="7" t="s">
        <v>9777</v>
      </c>
      <c r="E5668" s="12" t="str">
        <f>HYPERLINK("https://twitter.com/HkmtAtalay/status/1181856073491386370","1181856073491386370")</f>
        <v>1181856073491386370</v>
      </c>
      <c r="F5668" s="8"/>
      <c r="G5668" s="15"/>
      <c r="H5668" s="8"/>
      <c r="I5668" s="15">
        <v>0</v>
      </c>
      <c r="J5668" s="15">
        <v>0</v>
      </c>
      <c r="K5668" s="12" t="str">
        <f>HYPERLINK("http://twitter.com/download/android","Twitter for Android")</f>
        <v>Twitter for Android</v>
      </c>
      <c r="L5668" s="16">
        <v>527</v>
      </c>
      <c r="M5668" s="16">
        <v>19</v>
      </c>
      <c r="N5668" s="16">
        <v>2</v>
      </c>
      <c r="O5668" s="17"/>
      <c r="P5668" s="18">
        <v>40727.32304398148</v>
      </c>
      <c r="Q5668" s="7" t="s">
        <v>576</v>
      </c>
      <c r="R5668" s="7" t="s">
        <v>26346</v>
      </c>
      <c r="S5668" s="8"/>
      <c r="T5668" s="8"/>
      <c r="U5668" s="19" t="str">
        <f>HYPERLINK("https://pbs.twimg.com/profile_images/977660033294061569/c5FsDYCQ.jpg","View")</f>
        <v>View</v>
      </c>
      <c r="V5668" s="8"/>
      <c r="W5668" s="8"/>
      <c r="X5668" s="8"/>
      <c r="Y5668" s="8"/>
      <c r="Z5668" s="8"/>
    </row>
    <row r="5669" spans="1:26" ht="12.75">
      <c r="A5669" s="11">
        <v>43747.081238425926</v>
      </c>
      <c r="B5669" s="12" t="str">
        <f>HYPERLINK("https://twitter.com/kplnmali","@kplnmali")</f>
        <v>@kplnmali</v>
      </c>
      <c r="C5669" s="7" t="s">
        <v>26347</v>
      </c>
      <c r="D5669" s="7" t="s">
        <v>26348</v>
      </c>
      <c r="E5669" s="12" t="str">
        <f>HYPERLINK("https://twitter.com/kplnmali/status/1181856071423541248","1181856071423541248")</f>
        <v>1181856071423541248</v>
      </c>
      <c r="F5669" s="8"/>
      <c r="G5669" s="8"/>
      <c r="H5669" s="8"/>
      <c r="I5669" s="15">
        <v>0</v>
      </c>
      <c r="J5669" s="15">
        <v>0</v>
      </c>
      <c r="K5669" s="12" t="str">
        <f>HYPERLINK("http://twitter.com/download/android","Twitter for Android")</f>
        <v>Twitter for Android</v>
      </c>
      <c r="L5669" s="16">
        <v>79</v>
      </c>
      <c r="M5669" s="16">
        <v>223</v>
      </c>
      <c r="N5669" s="16">
        <v>0</v>
      </c>
      <c r="O5669" s="17"/>
      <c r="P5669" s="18">
        <v>41202.45244212963</v>
      </c>
      <c r="Q5669" s="8" t="s">
        <v>12482</v>
      </c>
      <c r="R5669" s="7"/>
      <c r="S5669" s="8"/>
      <c r="T5669" s="8"/>
      <c r="U5669" s="19" t="str">
        <f>HYPERLINK("https://pbs.twimg.com/profile_images/1132094978728050694/SL0wUGBG.jpg","View")</f>
        <v>View</v>
      </c>
      <c r="V5669" s="8"/>
      <c r="W5669" s="8"/>
      <c r="X5669" s="8"/>
      <c r="Y5669" s="8"/>
      <c r="Z5669" s="8"/>
    </row>
    <row r="5670" spans="1:26" ht="12.75">
      <c r="A5670" s="11">
        <v>43747.081238425926</v>
      </c>
      <c r="B5670" s="12" t="str">
        <f>HYPERLINK("https://twitter.com/RbYmnm","@RbYmnm")</f>
        <v>@RbYmnm</v>
      </c>
      <c r="C5670" s="7" t="s">
        <v>26349</v>
      </c>
      <c r="D5670" s="7" t="s">
        <v>26350</v>
      </c>
      <c r="E5670" s="12" t="str">
        <f>HYPERLINK("https://twitter.com/RbYmnm/status/1181856068705619968","1181856068705619968")</f>
        <v>1181856068705619968</v>
      </c>
      <c r="F5670" s="8"/>
      <c r="G5670" s="14" t="s">
        <v>26351</v>
      </c>
      <c r="H5670" s="8"/>
      <c r="I5670" s="15">
        <v>0</v>
      </c>
      <c r="J5670" s="15">
        <v>11</v>
      </c>
      <c r="K5670" s="12" t="str">
        <f>HYPERLINK("http://twitter.com/download/iphone","Twitter for iPhone")</f>
        <v>Twitter for iPhone</v>
      </c>
      <c r="L5670" s="16">
        <v>1107</v>
      </c>
      <c r="M5670" s="16">
        <v>599</v>
      </c>
      <c r="N5670" s="16">
        <v>2</v>
      </c>
      <c r="O5670" s="17"/>
      <c r="P5670" s="18">
        <v>42951.27952546296</v>
      </c>
      <c r="Q5670" s="8" t="s">
        <v>287</v>
      </c>
      <c r="R5670" s="8" t="s">
        <v>26352</v>
      </c>
      <c r="S5670" s="8"/>
      <c r="T5670" s="8"/>
      <c r="U5670" s="19" t="str">
        <f>HYPERLINK("https://pbs.twimg.com/profile_images/1181519653232939008/tTKnlG_w.jpg","View")</f>
        <v>View</v>
      </c>
      <c r="V5670" s="8"/>
      <c r="W5670" s="8"/>
      <c r="X5670" s="8"/>
      <c r="Y5670" s="8"/>
      <c r="Z5670" s="8"/>
    </row>
    <row r="5671" spans="1:26" ht="12.75">
      <c r="A5671" s="11">
        <v>43747.08121527778</v>
      </c>
      <c r="B5671" s="12" t="str">
        <f>HYPERLINK("https://twitter.com/FreedamontyinDr","@FreedamontyinDr")</f>
        <v>@FreedamontyinDr</v>
      </c>
      <c r="C5671" s="7" t="s">
        <v>26353</v>
      </c>
      <c r="D5671" s="7" t="s">
        <v>26354</v>
      </c>
      <c r="E5671" s="12" t="str">
        <f>HYPERLINK("https://twitter.com/FreedamontyinDr/status/1181856061818580992","1181856061818580992")</f>
        <v>1181856061818580992</v>
      </c>
      <c r="F5671" s="8"/>
      <c r="G5671" s="15"/>
      <c r="H5671" s="8"/>
      <c r="I5671" s="15">
        <v>0</v>
      </c>
      <c r="J5671" s="15">
        <v>1</v>
      </c>
      <c r="K5671" s="12" t="str">
        <f>HYPERLINK("http://twitter.com/download/android","Twitter for Android")</f>
        <v>Twitter for Android</v>
      </c>
      <c r="L5671" s="16">
        <v>1962</v>
      </c>
      <c r="M5671" s="16">
        <v>2891</v>
      </c>
      <c r="N5671" s="16">
        <v>0</v>
      </c>
      <c r="O5671" s="17"/>
      <c r="P5671" s="18">
        <v>41948.933425925927</v>
      </c>
      <c r="Q5671" s="8"/>
      <c r="R5671" s="7" t="s">
        <v>26355</v>
      </c>
      <c r="S5671" s="8"/>
      <c r="T5671" s="8"/>
      <c r="U5671" s="19" t="str">
        <f>HYPERLINK("https://pbs.twimg.com/profile_images/1130627199114067971/xVZSdCF-.jpg","View")</f>
        <v>View</v>
      </c>
      <c r="V5671" s="8"/>
      <c r="W5671" s="8"/>
      <c r="X5671" s="8"/>
      <c r="Y5671" s="8"/>
      <c r="Z5671" s="8"/>
    </row>
    <row r="5672" spans="1:26" ht="12.75">
      <c r="A5672" s="11">
        <v>43747.081145833334</v>
      </c>
      <c r="B5672" s="12" t="str">
        <f>HYPERLINK("https://twitter.com/mamba_sar","@mamba_sar")</f>
        <v>@mamba_sar</v>
      </c>
      <c r="C5672" s="7" t="s">
        <v>26356</v>
      </c>
      <c r="D5672" s="7" t="s">
        <v>160</v>
      </c>
      <c r="E5672" s="12" t="str">
        <f>HYPERLINK("https://twitter.com/mamba_sar/status/1181856034714988544","1181856034714988544")</f>
        <v>1181856034714988544</v>
      </c>
      <c r="F5672" s="8"/>
      <c r="G5672" s="14" t="s">
        <v>26357</v>
      </c>
      <c r="H5672" s="8"/>
      <c r="I5672" s="15">
        <v>0</v>
      </c>
      <c r="J5672" s="15">
        <v>0</v>
      </c>
      <c r="K5672" s="12" t="str">
        <f>HYPERLINK("http://twitter.com/download/iphone","Twitter for iPhone")</f>
        <v>Twitter for iPhone</v>
      </c>
      <c r="L5672" s="16">
        <v>7</v>
      </c>
      <c r="M5672" s="16">
        <v>65</v>
      </c>
      <c r="N5672" s="16">
        <v>0</v>
      </c>
      <c r="O5672" s="17"/>
      <c r="P5672" s="18">
        <v>43713.299525462964</v>
      </c>
      <c r="Q5672" s="8" t="s">
        <v>26358</v>
      </c>
      <c r="R5672" s="7" t="s">
        <v>26359</v>
      </c>
      <c r="S5672" s="8"/>
      <c r="T5672" s="8"/>
      <c r="U5672" s="19" t="str">
        <f>HYPERLINK("https://pbs.twimg.com/profile_images/1170275934911500288/-EH6ZHo_.jpg","View")</f>
        <v>View</v>
      </c>
      <c r="V5672" s="8"/>
      <c r="W5672" s="8"/>
      <c r="X5672" s="8"/>
      <c r="Y5672" s="8"/>
      <c r="Z5672" s="8"/>
    </row>
    <row r="5673" spans="1:26" ht="12.75">
      <c r="A5673" s="11">
        <v>43747.081099537041</v>
      </c>
      <c r="B5673" s="12" t="str">
        <f>HYPERLINK("https://twitter.com/Yigittcetin","@Yigittcetin")</f>
        <v>@Yigittcetin</v>
      </c>
      <c r="C5673" s="7" t="s">
        <v>26360</v>
      </c>
      <c r="D5673" s="7" t="s">
        <v>160</v>
      </c>
      <c r="E5673" s="12" t="str">
        <f>HYPERLINK("https://twitter.com/Yigittcetin/status/1181856018793422849","1181856018793422849")</f>
        <v>1181856018793422849</v>
      </c>
      <c r="F5673" s="8"/>
      <c r="G5673" s="15"/>
      <c r="H5673" s="8"/>
      <c r="I5673" s="15">
        <v>0</v>
      </c>
      <c r="J5673" s="15">
        <v>0</v>
      </c>
      <c r="K5673" s="12" t="str">
        <f>HYPERLINK("http://twitter.com/download/iphone","Twitter for iPhone")</f>
        <v>Twitter for iPhone</v>
      </c>
      <c r="L5673" s="16">
        <v>4471</v>
      </c>
      <c r="M5673" s="16">
        <v>22</v>
      </c>
      <c r="N5673" s="16">
        <v>2</v>
      </c>
      <c r="O5673" s="17"/>
      <c r="P5673" s="18">
        <v>40840.457731481481</v>
      </c>
      <c r="Q5673" s="8" t="s">
        <v>313</v>
      </c>
      <c r="R5673" s="7" t="s">
        <v>26361</v>
      </c>
      <c r="S5673" s="8"/>
      <c r="T5673" s="8"/>
      <c r="U5673" s="19" t="str">
        <f>HYPERLINK("https://pbs.twimg.com/profile_images/1031135702652792832/l8h6RbzR.jpg","View")</f>
        <v>View</v>
      </c>
      <c r="V5673" s="8"/>
      <c r="W5673" s="8"/>
      <c r="X5673" s="8"/>
      <c r="Y5673" s="8"/>
      <c r="Z5673" s="8"/>
    </row>
    <row r="5674" spans="1:26" ht="12.75">
      <c r="A5674" s="11">
        <v>43747.081064814818</v>
      </c>
      <c r="B5674" s="12" t="str">
        <f>HYPERLINK("https://twitter.com/flytoskyline","@flytoskyline")</f>
        <v>@flytoskyline</v>
      </c>
      <c r="C5674" s="7" t="s">
        <v>26362</v>
      </c>
      <c r="D5674" s="7" t="s">
        <v>26363</v>
      </c>
      <c r="E5674" s="12" t="str">
        <f>HYPERLINK("https://twitter.com/flytoskyline/status/1181856008584466432","1181856008584466432")</f>
        <v>1181856008584466432</v>
      </c>
      <c r="F5674" s="14" t="s">
        <v>26364</v>
      </c>
      <c r="G5674" s="14" t="s">
        <v>26365</v>
      </c>
      <c r="H5674" s="8"/>
      <c r="I5674" s="15">
        <v>0</v>
      </c>
      <c r="J5674" s="15">
        <v>1</v>
      </c>
      <c r="K5674" s="12" t="str">
        <f>HYPERLINK("http://twitter.com/download/android","Twitter for Android")</f>
        <v>Twitter for Android</v>
      </c>
      <c r="L5674" s="16">
        <v>171</v>
      </c>
      <c r="M5674" s="16">
        <v>339</v>
      </c>
      <c r="N5674" s="16">
        <v>0</v>
      </c>
      <c r="O5674" s="17"/>
      <c r="P5674" s="18">
        <v>40650.443472222221</v>
      </c>
      <c r="Q5674" s="8"/>
      <c r="R5674" s="7" t="s">
        <v>26366</v>
      </c>
      <c r="S5674" s="15"/>
      <c r="T5674" s="8"/>
      <c r="U5674" s="19" t="str">
        <f>HYPERLINK("https://pbs.twimg.com/profile_images/1175119516667437058/Kgph-h_4.jpg","View")</f>
        <v>View</v>
      </c>
      <c r="V5674" s="8"/>
      <c r="W5674" s="8"/>
      <c r="X5674" s="8"/>
      <c r="Y5674" s="8"/>
      <c r="Z5674" s="8"/>
    </row>
    <row r="5675" spans="1:26" ht="12.75">
      <c r="A5675" s="11">
        <v>43747.081064814818</v>
      </c>
      <c r="B5675" s="12" t="str">
        <f>HYPERLINK("https://twitter.com/smailka78593266","@smailka78593266")</f>
        <v>@smailka78593266</v>
      </c>
      <c r="C5675" s="13" t="s">
        <v>26367</v>
      </c>
      <c r="D5675" s="7" t="s">
        <v>160</v>
      </c>
      <c r="E5675" s="12" t="str">
        <f>HYPERLINK("https://twitter.com/smailka78593266/status/1181856006780936192","1181856006780936192")</f>
        <v>1181856006780936192</v>
      </c>
      <c r="F5675" s="8"/>
      <c r="G5675" s="14" t="s">
        <v>26368</v>
      </c>
      <c r="H5675" s="8"/>
      <c r="I5675" s="15">
        <v>0</v>
      </c>
      <c r="J5675" s="15">
        <v>0</v>
      </c>
      <c r="K5675" s="12" t="str">
        <f>HYPERLINK("http://twitter.com/download/iphone","Twitter for iPhone")</f>
        <v>Twitter for iPhone</v>
      </c>
      <c r="L5675" s="16">
        <v>20</v>
      </c>
      <c r="M5675" s="16">
        <v>59</v>
      </c>
      <c r="N5675" s="16">
        <v>0</v>
      </c>
      <c r="O5675" s="17"/>
      <c r="P5675" s="18">
        <v>42419.474826388891</v>
      </c>
      <c r="Q5675" s="7" t="s">
        <v>313</v>
      </c>
      <c r="R5675" s="8" t="s">
        <v>26369</v>
      </c>
      <c r="S5675" s="8"/>
      <c r="T5675" s="8"/>
      <c r="U5675" s="19" t="str">
        <f>HYPERLINK("https://pbs.twimg.com/profile_images/700765461881835520/4chU_hmn.jpg","View")</f>
        <v>View</v>
      </c>
      <c r="V5675" s="8"/>
      <c r="W5675" s="8"/>
      <c r="X5675" s="8"/>
      <c r="Y5675" s="8"/>
      <c r="Z5675" s="8"/>
    </row>
    <row r="5676" spans="1:26" ht="12.75">
      <c r="A5676" s="11">
        <v>43747.081064814818</v>
      </c>
      <c r="B5676" s="12" t="str">
        <f>HYPERLINK("https://twitter.com/emrrearsln","@emrrearsln")</f>
        <v>@emrrearsln</v>
      </c>
      <c r="C5676" s="7" t="s">
        <v>26370</v>
      </c>
      <c r="D5676" s="7" t="s">
        <v>26371</v>
      </c>
      <c r="E5676" s="12" t="str">
        <f>HYPERLINK("https://twitter.com/emrrearsln/status/1181856006193778689","1181856006193778689")</f>
        <v>1181856006193778689</v>
      </c>
      <c r="F5676" s="8"/>
      <c r="G5676" s="14" t="s">
        <v>26372</v>
      </c>
      <c r="H5676" s="8"/>
      <c r="I5676" s="15">
        <v>0</v>
      </c>
      <c r="J5676" s="15">
        <v>4</v>
      </c>
      <c r="K5676" s="12" t="str">
        <f>HYPERLINK("http://twitter.com/download/android","Twitter for Android")</f>
        <v>Twitter for Android</v>
      </c>
      <c r="L5676" s="16">
        <v>170</v>
      </c>
      <c r="M5676" s="16">
        <v>166</v>
      </c>
      <c r="N5676" s="16">
        <v>0</v>
      </c>
      <c r="O5676" s="17"/>
      <c r="P5676" s="18">
        <v>43110.565208333333</v>
      </c>
      <c r="Q5676" s="7" t="s">
        <v>26373</v>
      </c>
      <c r="R5676" s="7" t="s">
        <v>26374</v>
      </c>
      <c r="S5676" s="15"/>
      <c r="T5676" s="8"/>
      <c r="U5676" s="19" t="str">
        <f>HYPERLINK("https://pbs.twimg.com/profile_images/1151755594338054145/odBGMaMP.jpg","View")</f>
        <v>View</v>
      </c>
      <c r="V5676" s="8"/>
      <c r="W5676" s="8"/>
      <c r="X5676" s="8"/>
      <c r="Y5676" s="8"/>
      <c r="Z5676" s="8"/>
    </row>
    <row r="5677" spans="1:26" ht="12.75">
      <c r="A5677" s="11">
        <v>43747.081053240741</v>
      </c>
      <c r="B5677" s="12" t="str">
        <f>HYPERLINK("https://twitter.com/mrvyldzz2834","@mrvyldzz2834")</f>
        <v>@mrvyldzz2834</v>
      </c>
      <c r="C5677" s="7" t="s">
        <v>26375</v>
      </c>
      <c r="D5677" s="7" t="s">
        <v>26376</v>
      </c>
      <c r="E5677" s="12" t="str">
        <f>HYPERLINK("https://twitter.com/mrvyldzz2834/status/1181856004444688385","1181856004444688385")</f>
        <v>1181856004444688385</v>
      </c>
      <c r="F5677" s="8"/>
      <c r="G5677" s="14" t="s">
        <v>26377</v>
      </c>
      <c r="H5677" s="8"/>
      <c r="I5677" s="15">
        <v>0</v>
      </c>
      <c r="J5677" s="15">
        <v>0</v>
      </c>
      <c r="K5677" s="12" t="str">
        <f>HYPERLINK("http://twitter.com/download/android","Twitter for Android")</f>
        <v>Twitter for Android</v>
      </c>
      <c r="L5677" s="16">
        <v>379</v>
      </c>
      <c r="M5677" s="16">
        <v>614</v>
      </c>
      <c r="N5677" s="16">
        <v>0</v>
      </c>
      <c r="O5677" s="17"/>
      <c r="P5677" s="18">
        <v>41248.065057870372</v>
      </c>
      <c r="Q5677" s="8" t="s">
        <v>12871</v>
      </c>
      <c r="R5677" s="8" t="s">
        <v>26378</v>
      </c>
      <c r="S5677" s="8"/>
      <c r="T5677" s="8"/>
      <c r="U5677" s="19" t="str">
        <f>HYPERLINK("https://pbs.twimg.com/profile_images/1147602890338574338/FAAoqWW8.jpg","View")</f>
        <v>View</v>
      </c>
      <c r="V5677" s="8"/>
      <c r="W5677" s="8"/>
      <c r="X5677" s="8"/>
      <c r="Y5677" s="8"/>
      <c r="Z5677" s="8"/>
    </row>
    <row r="5678" spans="1:26" ht="12.75">
      <c r="A5678" s="11">
        <v>43747.081018518518</v>
      </c>
      <c r="B5678" s="12" t="str">
        <f>HYPERLINK("https://twitter.com/ahmetkygz2","@ahmetkygz2")</f>
        <v>@ahmetkygz2</v>
      </c>
      <c r="C5678" s="7" t="s">
        <v>2347</v>
      </c>
      <c r="D5678" s="7" t="s">
        <v>26379</v>
      </c>
      <c r="E5678" s="12" t="str">
        <f>HYPERLINK("https://twitter.com/ahmetkygz2/status/1181855988686770176","1181855988686770176")</f>
        <v>1181855988686770176</v>
      </c>
      <c r="F5678" s="8"/>
      <c r="G5678" s="15"/>
      <c r="H5678" s="8"/>
      <c r="I5678" s="15">
        <v>0</v>
      </c>
      <c r="J5678" s="15">
        <v>2</v>
      </c>
      <c r="K5678" s="12" t="str">
        <f>HYPERLINK("http://twitter.com/download/android","Twitter for Android")</f>
        <v>Twitter for Android</v>
      </c>
      <c r="L5678" s="16">
        <v>18</v>
      </c>
      <c r="M5678" s="16">
        <v>164</v>
      </c>
      <c r="N5678" s="16">
        <v>0</v>
      </c>
      <c r="O5678" s="17"/>
      <c r="P5678" s="18">
        <v>43592.33625</v>
      </c>
      <c r="Q5678" s="7" t="s">
        <v>3140</v>
      </c>
      <c r="R5678" s="7" t="s">
        <v>26380</v>
      </c>
      <c r="S5678" s="15"/>
      <c r="T5678" s="8"/>
      <c r="U5678" s="19" t="str">
        <f>HYPERLINK("https://pbs.twimg.com/profile_images/1127480228236988416/0pjVx4g9.jpg","View")</f>
        <v>View</v>
      </c>
      <c r="V5678" s="8"/>
      <c r="W5678" s="8"/>
      <c r="X5678" s="8"/>
      <c r="Y5678" s="8"/>
      <c r="Z5678" s="8"/>
    </row>
    <row r="5679" spans="1:26" ht="12.75">
      <c r="A5679" s="11">
        <v>43747.080983796295</v>
      </c>
      <c r="B5679" s="12" t="str">
        <f>HYPERLINK("https://twitter.com/Cihat69645691","@Cihat69645691")</f>
        <v>@Cihat69645691</v>
      </c>
      <c r="C5679" s="7" t="s">
        <v>26381</v>
      </c>
      <c r="D5679" s="7" t="s">
        <v>160</v>
      </c>
      <c r="E5679" s="12" t="str">
        <f>HYPERLINK("https://twitter.com/Cihat69645691/status/1181855975436902400","1181855975436902400")</f>
        <v>1181855975436902400</v>
      </c>
      <c r="F5679" s="15"/>
      <c r="G5679" s="8"/>
      <c r="H5679" s="8"/>
      <c r="I5679" s="15">
        <v>0</v>
      </c>
      <c r="J5679" s="15">
        <v>0</v>
      </c>
      <c r="K5679" s="12" t="str">
        <f>HYPERLINK("http://twitter.com/download/android","Twitter for Android")</f>
        <v>Twitter for Android</v>
      </c>
      <c r="L5679" s="16">
        <v>0</v>
      </c>
      <c r="M5679" s="16">
        <v>0</v>
      </c>
      <c r="N5679" s="16">
        <v>0</v>
      </c>
      <c r="O5679" s="17"/>
      <c r="P5679" s="18">
        <v>43734.54074074074</v>
      </c>
      <c r="Q5679" s="7"/>
      <c r="R5679" s="7"/>
      <c r="S5679" s="8"/>
      <c r="T5679" s="8"/>
      <c r="U5679" s="19" t="str">
        <f>HYPERLINK("https://pbs.twimg.com/profile_images/1180429166828752896/AkBxDWvE.jpg","View")</f>
        <v>View</v>
      </c>
      <c r="V5679" s="8"/>
      <c r="W5679" s="8"/>
      <c r="X5679" s="8"/>
      <c r="Y5679" s="8"/>
      <c r="Z5679" s="8"/>
    </row>
    <row r="5680" spans="1:26" ht="12.75">
      <c r="A5680" s="11">
        <v>43747.080937499995</v>
      </c>
      <c r="B5680" s="12" t="str">
        <f>HYPERLINK("https://twitter.com/cengizcakar_","@cengizcakar_")</f>
        <v>@cengizcakar_</v>
      </c>
      <c r="C5680" s="7" t="s">
        <v>26382</v>
      </c>
      <c r="D5680" s="7" t="s">
        <v>20027</v>
      </c>
      <c r="E5680" s="12" t="str">
        <f>HYPERLINK("https://twitter.com/cengizcakar_/status/1181855960102506496","1181855960102506496")</f>
        <v>1181855960102506496</v>
      </c>
      <c r="F5680" s="8"/>
      <c r="G5680" s="8"/>
      <c r="H5680" s="8"/>
      <c r="I5680" s="15">
        <v>1</v>
      </c>
      <c r="J5680" s="15">
        <v>3</v>
      </c>
      <c r="K5680" s="12" t="str">
        <f>HYPERLINK("http://www.facebook.com/twitter","Facebook")</f>
        <v>Facebook</v>
      </c>
      <c r="L5680" s="16">
        <v>329</v>
      </c>
      <c r="M5680" s="16">
        <v>675</v>
      </c>
      <c r="N5680" s="16">
        <v>0</v>
      </c>
      <c r="O5680" s="17"/>
      <c r="P5680" s="18">
        <v>43396.331666666665</v>
      </c>
      <c r="Q5680" s="8" t="s">
        <v>26383</v>
      </c>
      <c r="R5680" s="7" t="s">
        <v>26384</v>
      </c>
      <c r="S5680" s="8"/>
      <c r="T5680" s="8"/>
      <c r="U5680" s="19" t="str">
        <f>HYPERLINK("https://pbs.twimg.com/profile_images/1054749231666335746/z5sVLhZj.jpg","View")</f>
        <v>View</v>
      </c>
      <c r="V5680" s="8"/>
      <c r="W5680" s="8"/>
      <c r="X5680" s="8"/>
      <c r="Y5680" s="8"/>
      <c r="Z5680" s="8"/>
    </row>
    <row r="5681" spans="1:26" ht="12.75">
      <c r="A5681" s="11">
        <v>43747.080925925926</v>
      </c>
      <c r="B5681" s="12" t="str">
        <f>HYPERLINK("https://twitter.com/ThePoyraz__","@ThePoyraz__")</f>
        <v>@ThePoyraz__</v>
      </c>
      <c r="C5681" s="7" t="s">
        <v>7352</v>
      </c>
      <c r="D5681" s="7" t="s">
        <v>26385</v>
      </c>
      <c r="E5681" s="12" t="str">
        <f>HYPERLINK("https://twitter.com/ThePoyraz__/status/1181855957564956674","1181855957564956674")</f>
        <v>1181855957564956674</v>
      </c>
      <c r="F5681" s="8"/>
      <c r="G5681" s="8"/>
      <c r="H5681" s="8"/>
      <c r="I5681" s="15">
        <v>0</v>
      </c>
      <c r="J5681" s="15">
        <v>3</v>
      </c>
      <c r="K5681" s="12" t="str">
        <f>HYPERLINK("http://twitter.com/download/android","Twitter for Android")</f>
        <v>Twitter for Android</v>
      </c>
      <c r="L5681" s="16">
        <v>37864</v>
      </c>
      <c r="M5681" s="16">
        <v>37691</v>
      </c>
      <c r="N5681" s="16">
        <v>14</v>
      </c>
      <c r="O5681" s="17"/>
      <c r="P5681" s="18">
        <v>41438.569861111115</v>
      </c>
      <c r="Q5681" s="8"/>
      <c r="R5681" s="7"/>
      <c r="S5681" s="15"/>
      <c r="T5681" s="8"/>
      <c r="U5681" s="19" t="str">
        <f>HYPERLINK("https://pbs.twimg.com/profile_images/1175382307672379394/0SRPX6mZ.jpg","View")</f>
        <v>View</v>
      </c>
      <c r="V5681" s="8"/>
      <c r="W5681" s="8"/>
      <c r="X5681" s="8"/>
      <c r="Y5681" s="8"/>
      <c r="Z5681" s="8"/>
    </row>
    <row r="5682" spans="1:26" ht="12.75">
      <c r="A5682" s="11">
        <v>43747.080914351856</v>
      </c>
      <c r="B5682" s="12" t="str">
        <f>HYPERLINK("https://twitter.com/saykoninja","@saykoninja")</f>
        <v>@saykoninja</v>
      </c>
      <c r="C5682" s="7" t="s">
        <v>26386</v>
      </c>
      <c r="D5682" s="7" t="s">
        <v>18879</v>
      </c>
      <c r="E5682" s="12" t="str">
        <f>HYPERLINK("https://twitter.com/saykoninja/status/1181855951089029121","1181855951089029121")</f>
        <v>1181855951089029121</v>
      </c>
      <c r="F5682" s="8"/>
      <c r="G5682" s="14" t="s">
        <v>26387</v>
      </c>
      <c r="H5682" s="8"/>
      <c r="I5682" s="15">
        <v>1</v>
      </c>
      <c r="J5682" s="15">
        <v>2</v>
      </c>
      <c r="K5682" s="12" t="str">
        <f>HYPERLINK("http://twitter.com/download/android","Twitter for Android")</f>
        <v>Twitter for Android</v>
      </c>
      <c r="L5682" s="16">
        <v>528</v>
      </c>
      <c r="M5682" s="16">
        <v>57</v>
      </c>
      <c r="N5682" s="16">
        <v>0</v>
      </c>
      <c r="O5682" s="17"/>
      <c r="P5682" s="18">
        <v>40389.488564814819</v>
      </c>
      <c r="Q5682" s="7"/>
      <c r="R5682" s="7" t="s">
        <v>26388</v>
      </c>
      <c r="S5682" s="14" t="s">
        <v>26389</v>
      </c>
      <c r="T5682" s="8"/>
      <c r="U5682" s="19" t="str">
        <f>HYPERLINK("https://pbs.twimg.com/profile_images/1148016231322177541/r0YIsKwq.jpg","View")</f>
        <v>View</v>
      </c>
      <c r="V5682" s="8"/>
      <c r="W5682" s="8"/>
      <c r="X5682" s="8"/>
      <c r="Y5682" s="8"/>
      <c r="Z5682" s="8"/>
    </row>
    <row r="5683" spans="1:26" ht="12.75">
      <c r="A5683" s="11">
        <v>43747.08090277778</v>
      </c>
      <c r="B5683" s="12" t="str">
        <f>HYPERLINK("https://twitter.com/siinems","@siinems")</f>
        <v>@siinems</v>
      </c>
      <c r="C5683" s="7" t="s">
        <v>26390</v>
      </c>
      <c r="D5683" s="7" t="s">
        <v>26391</v>
      </c>
      <c r="E5683" s="12" t="str">
        <f>HYPERLINK("https://twitter.com/siinems/status/1181855947209224193","1181855947209224193")</f>
        <v>1181855947209224193</v>
      </c>
      <c r="F5683" s="8"/>
      <c r="G5683" s="8"/>
      <c r="H5683" s="8"/>
      <c r="I5683" s="15">
        <v>0</v>
      </c>
      <c r="J5683" s="15">
        <v>0</v>
      </c>
      <c r="K5683" s="12" t="str">
        <f>HYPERLINK("http://twitter.com/download/iphone","Twitter for iPhone")</f>
        <v>Twitter for iPhone</v>
      </c>
      <c r="L5683" s="16">
        <v>54</v>
      </c>
      <c r="M5683" s="16">
        <v>73</v>
      </c>
      <c r="N5683" s="16">
        <v>0</v>
      </c>
      <c r="O5683" s="17"/>
      <c r="P5683" s="18">
        <v>40812.138356481482</v>
      </c>
      <c r="Q5683" s="7" t="s">
        <v>287</v>
      </c>
      <c r="R5683" s="7" t="s">
        <v>26392</v>
      </c>
      <c r="S5683" s="8"/>
      <c r="T5683" s="8"/>
      <c r="U5683" s="19" t="str">
        <f>HYPERLINK("https://pbs.twimg.com/profile_images/1092547472914874370/DU3fPSmU.jpg","View")</f>
        <v>View</v>
      </c>
      <c r="V5683" s="8"/>
      <c r="W5683" s="8"/>
      <c r="X5683" s="8"/>
      <c r="Y5683" s="8"/>
      <c r="Z5683" s="8"/>
    </row>
    <row r="5684" spans="1:26" ht="12.75">
      <c r="A5684" s="11">
        <v>43747.080879629633</v>
      </c>
      <c r="B5684" s="12" t="str">
        <f>HYPERLINK("https://twitter.com/aydinyilmaz241","@aydinyilmaz241")</f>
        <v>@aydinyilmaz241</v>
      </c>
      <c r="C5684" s="7" t="s">
        <v>26393</v>
      </c>
      <c r="D5684" s="7" t="s">
        <v>26394</v>
      </c>
      <c r="E5684" s="12" t="str">
        <f>HYPERLINK("https://twitter.com/aydinyilmaz241/status/1181855940242489344","1181855940242489344")</f>
        <v>1181855940242489344</v>
      </c>
      <c r="F5684" s="15"/>
      <c r="G5684" s="14" t="s">
        <v>26395</v>
      </c>
      <c r="H5684" s="8"/>
      <c r="I5684" s="15">
        <v>0</v>
      </c>
      <c r="J5684" s="15">
        <v>2</v>
      </c>
      <c r="K5684" s="12" t="str">
        <f>HYPERLINK("http://twitter.com/download/android","Twitter for Android")</f>
        <v>Twitter for Android</v>
      </c>
      <c r="L5684" s="16">
        <v>125</v>
      </c>
      <c r="M5684" s="16">
        <v>181</v>
      </c>
      <c r="N5684" s="16">
        <v>0</v>
      </c>
      <c r="O5684" s="17"/>
      <c r="P5684" s="18">
        <v>43164.530034722222</v>
      </c>
      <c r="Q5684" s="7"/>
      <c r="R5684" s="7" t="s">
        <v>26396</v>
      </c>
      <c r="S5684" s="8"/>
      <c r="T5684" s="8"/>
      <c r="U5684" s="19" t="str">
        <f>HYPERLINK("https://pbs.twimg.com/profile_images/1179605756825493504/TjOJPz0R.jpg","View")</f>
        <v>View</v>
      </c>
      <c r="V5684" s="8"/>
      <c r="W5684" s="8"/>
      <c r="X5684" s="8"/>
      <c r="Y5684" s="8"/>
      <c r="Z5684" s="8"/>
    </row>
    <row r="5685" spans="1:26" ht="12.75">
      <c r="A5685" s="11">
        <v>43747.08085648148</v>
      </c>
      <c r="B5685" s="12" t="str">
        <f>HYPERLINK("https://twitter.com/alexulo_10","@alexulo_10")</f>
        <v>@alexulo_10</v>
      </c>
      <c r="C5685" s="7" t="s">
        <v>26397</v>
      </c>
      <c r="D5685" s="7" t="s">
        <v>26398</v>
      </c>
      <c r="E5685" s="12" t="str">
        <f>HYPERLINK("https://twitter.com/alexulo_10/status/1181855929253466112","1181855929253466112")</f>
        <v>1181855929253466112</v>
      </c>
      <c r="F5685" s="8"/>
      <c r="G5685" s="14" t="s">
        <v>26399</v>
      </c>
      <c r="H5685" s="8"/>
      <c r="I5685" s="15">
        <v>0</v>
      </c>
      <c r="J5685" s="15">
        <v>3</v>
      </c>
      <c r="K5685" s="12" t="str">
        <f>HYPERLINK("http://twitter.com/download/android","Twitter for Android")</f>
        <v>Twitter for Android</v>
      </c>
      <c r="L5685" s="16">
        <v>254</v>
      </c>
      <c r="M5685" s="16">
        <v>254</v>
      </c>
      <c r="N5685" s="16">
        <v>0</v>
      </c>
      <c r="O5685" s="17"/>
      <c r="P5685" s="18">
        <v>42635.364444444444</v>
      </c>
      <c r="Q5685" s="8"/>
      <c r="R5685" s="7" t="s">
        <v>26400</v>
      </c>
      <c r="S5685" s="8"/>
      <c r="T5685" s="8"/>
      <c r="U5685" s="19" t="str">
        <f>HYPERLINK("https://pbs.twimg.com/profile_images/1141807803591532544/mzKXYzL9.jpg","View")</f>
        <v>View</v>
      </c>
      <c r="V5685" s="8"/>
      <c r="W5685" s="8"/>
      <c r="X5685" s="8"/>
      <c r="Y5685" s="8"/>
      <c r="Z5685" s="8"/>
    </row>
    <row r="5686" spans="1:26" ht="12.75">
      <c r="A5686" s="11">
        <v>43747.080810185187</v>
      </c>
      <c r="B5686" s="12" t="str">
        <f>HYPERLINK("https://twitter.com/Kubilay69697180","@Kubilay69697180")</f>
        <v>@Kubilay69697180</v>
      </c>
      <c r="C5686" s="7" t="s">
        <v>26401</v>
      </c>
      <c r="D5686" s="7" t="s">
        <v>26402</v>
      </c>
      <c r="E5686" s="12" t="str">
        <f>HYPERLINK("https://twitter.com/Kubilay69697180/status/1181855916007841792","1181855916007841792")</f>
        <v>1181855916007841792</v>
      </c>
      <c r="F5686" s="8"/>
      <c r="G5686" s="14" t="s">
        <v>26403</v>
      </c>
      <c r="H5686" s="8"/>
      <c r="I5686" s="15">
        <v>0</v>
      </c>
      <c r="J5686" s="15">
        <v>2</v>
      </c>
      <c r="K5686" s="12" t="str">
        <f>HYPERLINK("http://twitter.com/download/android","Twitter for Android")</f>
        <v>Twitter for Android</v>
      </c>
      <c r="L5686" s="16">
        <v>1</v>
      </c>
      <c r="M5686" s="16">
        <v>39</v>
      </c>
      <c r="N5686" s="16">
        <v>0</v>
      </c>
      <c r="O5686" s="17"/>
      <c r="P5686" s="18">
        <v>43670.856412037036</v>
      </c>
      <c r="Q5686" s="8"/>
      <c r="R5686" s="8"/>
      <c r="S5686" s="8"/>
      <c r="T5686" s="8"/>
      <c r="U5686" s="19" t="str">
        <f>HYPERLINK("https://pbs.twimg.com/profile_images/1181365139657940999/yN7jwGpY.jpg","View")</f>
        <v>View</v>
      </c>
      <c r="V5686" s="8"/>
      <c r="W5686" s="8"/>
      <c r="X5686" s="8"/>
      <c r="Y5686" s="8"/>
      <c r="Z5686" s="8"/>
    </row>
    <row r="5687" spans="1:26" ht="12.75">
      <c r="A5687" s="11">
        <v>43747.08079861111</v>
      </c>
      <c r="B5687" s="12" t="str">
        <f>HYPERLINK("https://twitter.com/drkriyos","@drkriyos")</f>
        <v>@drkriyos</v>
      </c>
      <c r="C5687" s="7" t="s">
        <v>26404</v>
      </c>
      <c r="D5687" s="7" t="s">
        <v>160</v>
      </c>
      <c r="E5687" s="12" t="str">
        <f>HYPERLINK("https://twitter.com/drkriyos/status/1181855911679279104","1181855911679279104")</f>
        <v>1181855911679279104</v>
      </c>
      <c r="F5687" s="8"/>
      <c r="G5687" s="8"/>
      <c r="H5687" s="8"/>
      <c r="I5687" s="15">
        <v>0</v>
      </c>
      <c r="J5687" s="15">
        <v>0</v>
      </c>
      <c r="K5687" s="12" t="str">
        <f>HYPERLINK("http://twitter.com/download/iphone","Twitter for iPhone")</f>
        <v>Twitter for iPhone</v>
      </c>
      <c r="L5687" s="16">
        <v>11</v>
      </c>
      <c r="M5687" s="16">
        <v>75</v>
      </c>
      <c r="N5687" s="16">
        <v>0</v>
      </c>
      <c r="O5687" s="17"/>
      <c r="P5687" s="18">
        <v>43372.387314814812</v>
      </c>
      <c r="Q5687" s="7" t="s">
        <v>10325</v>
      </c>
      <c r="R5687" s="7" t="s">
        <v>26405</v>
      </c>
      <c r="S5687" s="15"/>
      <c r="T5687" s="8"/>
      <c r="U5687" s="19" t="str">
        <f>HYPERLINK("https://pbs.twimg.com/profile_images/1046073297266462720/mDN82Oaj.jpg","View")</f>
        <v>View</v>
      </c>
      <c r="V5687" s="8"/>
      <c r="W5687" s="8"/>
      <c r="X5687" s="8"/>
      <c r="Y5687" s="8"/>
      <c r="Z5687" s="8"/>
    </row>
    <row r="5688" spans="1:26" ht="12.75">
      <c r="A5688" s="11">
        <v>43747.080740740741</v>
      </c>
      <c r="B5688" s="12" t="str">
        <f>HYPERLINK("https://twitter.com/babayigitt_","@babayigitt_")</f>
        <v>@babayigitt_</v>
      </c>
      <c r="C5688" s="7" t="s">
        <v>26406</v>
      </c>
      <c r="D5688" s="7" t="s">
        <v>160</v>
      </c>
      <c r="E5688" s="12" t="str">
        <f>HYPERLINK("https://twitter.com/babayigitt_/status/1181855887956332545","1181855887956332545")</f>
        <v>1181855887956332545</v>
      </c>
      <c r="F5688" s="8"/>
      <c r="G5688" s="14" t="s">
        <v>26407</v>
      </c>
      <c r="H5688" s="8"/>
      <c r="I5688" s="15">
        <v>0</v>
      </c>
      <c r="J5688" s="15">
        <v>1</v>
      </c>
      <c r="K5688" s="12" t="str">
        <f>HYPERLINK("http://twitter.com/download/android","Twitter for Android")</f>
        <v>Twitter for Android</v>
      </c>
      <c r="L5688" s="16">
        <v>63</v>
      </c>
      <c r="M5688" s="16">
        <v>95</v>
      </c>
      <c r="N5688" s="16">
        <v>0</v>
      </c>
      <c r="O5688" s="17"/>
      <c r="P5688" s="18">
        <v>43589.067233796297</v>
      </c>
      <c r="Q5688" s="8" t="s">
        <v>200</v>
      </c>
      <c r="R5688" s="8" t="s">
        <v>807</v>
      </c>
      <c r="S5688" s="8"/>
      <c r="T5688" s="8"/>
      <c r="U5688" s="19" t="str">
        <f>HYPERLINK("https://pbs.twimg.com/profile_images/1161676218053332995/gTipWNzu.jpg","View")</f>
        <v>View</v>
      </c>
      <c r="V5688" s="8"/>
      <c r="W5688" s="8"/>
      <c r="X5688" s="8"/>
      <c r="Y5688" s="8"/>
      <c r="Z5688" s="8"/>
    </row>
    <row r="5689" spans="1:26" ht="12.75">
      <c r="A5689" s="11">
        <v>43747.080729166672</v>
      </c>
      <c r="B5689" s="12" t="str">
        <f>HYPERLINK("https://twitter.com/AtheistPiGG","@AtheistPiGG")</f>
        <v>@AtheistPiGG</v>
      </c>
      <c r="C5689" s="7" t="s">
        <v>26408</v>
      </c>
      <c r="D5689" s="7" t="s">
        <v>26409</v>
      </c>
      <c r="E5689" s="12" t="str">
        <f>HYPERLINK("https://twitter.com/AtheistPiGG/status/1181855886148558848","1181855886148558848")</f>
        <v>1181855886148558848</v>
      </c>
      <c r="F5689" s="8"/>
      <c r="G5689" s="15"/>
      <c r="H5689" s="8"/>
      <c r="I5689" s="15">
        <v>0</v>
      </c>
      <c r="J5689" s="15">
        <v>2</v>
      </c>
      <c r="K5689" s="12" t="str">
        <f>HYPERLINK("http://twitter.com/download/android","Twitter for Android")</f>
        <v>Twitter for Android</v>
      </c>
      <c r="L5689" s="16">
        <v>27</v>
      </c>
      <c r="M5689" s="16">
        <v>30</v>
      </c>
      <c r="N5689" s="16">
        <v>0</v>
      </c>
      <c r="O5689" s="17"/>
      <c r="P5689" s="18">
        <v>43163.431793981479</v>
      </c>
      <c r="Q5689" s="7"/>
      <c r="R5689" s="7" t="s">
        <v>26410</v>
      </c>
      <c r="S5689" s="15"/>
      <c r="T5689" s="8"/>
      <c r="U5689" s="19" t="str">
        <f>HYPERLINK("https://pbs.twimg.com/profile_images/1067158259654688771/2J6wopQV.jpg","View")</f>
        <v>View</v>
      </c>
      <c r="V5689" s="8"/>
      <c r="W5689" s="8"/>
      <c r="X5689" s="8"/>
      <c r="Y5689" s="8"/>
      <c r="Z5689" s="8"/>
    </row>
    <row r="5690" spans="1:26" ht="12.75">
      <c r="A5690" s="11">
        <v>43747.080729166672</v>
      </c>
      <c r="B5690" s="12" t="str">
        <f>HYPERLINK("https://twitter.com/mcseker_","@mcseker_")</f>
        <v>@mcseker_</v>
      </c>
      <c r="C5690" s="7" t="s">
        <v>26411</v>
      </c>
      <c r="D5690" s="7" t="s">
        <v>26412</v>
      </c>
      <c r="E5690" s="12" t="str">
        <f>HYPERLINK("https://twitter.com/mcseker_/status/1181855884412108801","1181855884412108801")</f>
        <v>1181855884412108801</v>
      </c>
      <c r="F5690" s="8"/>
      <c r="G5690" s="14" t="s">
        <v>26413</v>
      </c>
      <c r="H5690" s="8"/>
      <c r="I5690" s="15">
        <v>0</v>
      </c>
      <c r="J5690" s="15">
        <v>5</v>
      </c>
      <c r="K5690" s="12" t="str">
        <f>HYPERLINK("http://twitter.com/download/android","Twitter for Android")</f>
        <v>Twitter for Android</v>
      </c>
      <c r="L5690" s="16">
        <v>139</v>
      </c>
      <c r="M5690" s="16">
        <v>218</v>
      </c>
      <c r="N5690" s="16">
        <v>0</v>
      </c>
      <c r="O5690" s="17"/>
      <c r="P5690" s="18">
        <v>43654.652245370366</v>
      </c>
      <c r="Q5690" s="7"/>
      <c r="R5690" s="8" t="s">
        <v>26414</v>
      </c>
      <c r="S5690" s="8"/>
      <c r="T5690" s="8"/>
      <c r="U5690" s="19" t="str">
        <f>HYPERLINK("https://pbs.twimg.com/profile_images/1148361061210480640/Ih8srP3a.jpg","View")</f>
        <v>View</v>
      </c>
      <c r="V5690" s="8"/>
      <c r="W5690" s="8"/>
      <c r="X5690" s="8"/>
      <c r="Y5690" s="8"/>
      <c r="Z5690" s="8"/>
    </row>
    <row r="5691" spans="1:26" ht="12.75">
      <c r="A5691" s="11"/>
      <c r="B5691" s="15"/>
      <c r="C5691" s="7"/>
      <c r="D5691" s="7"/>
      <c r="E5691" s="15"/>
      <c r="F5691" s="8"/>
      <c r="G5691" s="8"/>
      <c r="H5691" s="8"/>
      <c r="I5691" s="15"/>
      <c r="J5691" s="15"/>
      <c r="K5691" s="15"/>
      <c r="L5691" s="16"/>
      <c r="M5691" s="16"/>
      <c r="N5691" s="16"/>
      <c r="O5691" s="17"/>
      <c r="P5691" s="20"/>
      <c r="Q5691" s="8"/>
      <c r="R5691" s="8"/>
      <c r="S5691" s="8"/>
      <c r="T5691" s="8"/>
      <c r="U5691" s="20"/>
      <c r="V5691" s="8"/>
      <c r="W5691" s="8"/>
      <c r="X5691" s="8"/>
      <c r="Y5691" s="8"/>
      <c r="Z5691" s="8"/>
    </row>
    <row r="5692" spans="1:26" ht="12.75"/>
    <row r="5693" spans="1:26" ht="12.75"/>
    <row r="5694" spans="1:26" ht="12.75"/>
    <row r="5695" spans="1:26" ht="12.75"/>
    <row r="5696" spans="1:26" ht="12.75"/>
    <row r="5697" ht="12.75"/>
    <row r="5698" ht="12.75"/>
    <row r="5699" ht="12.75"/>
    <row r="5700" ht="12.75"/>
    <row r="5701" ht="12.75"/>
    <row r="5702" ht="12.75"/>
    <row r="5703" ht="12.75"/>
    <row r="5704" ht="12.75"/>
    <row r="5705" ht="12.75"/>
    <row r="5706" ht="12.75"/>
    <row r="5707" ht="12.75"/>
    <row r="5708" ht="12.75"/>
    <row r="5709" ht="12.75"/>
    <row r="5710" ht="12.75"/>
    <row r="5711" ht="12.75"/>
    <row r="5712" ht="12.75"/>
    <row r="5713" ht="12.75"/>
    <row r="5714" ht="12.75"/>
    <row r="5715" ht="12.75"/>
    <row r="5716" ht="12.75"/>
    <row r="5717" ht="12.75"/>
    <row r="5718" ht="12.75"/>
    <row r="5719" ht="12.75"/>
    <row r="5720" ht="12.75"/>
    <row r="5721" ht="12.75"/>
    <row r="5722" ht="12.75"/>
    <row r="5723" ht="12.75"/>
    <row r="5724" ht="12.75"/>
    <row r="5725" ht="12.75"/>
    <row r="5726" ht="12.75"/>
    <row r="5727" ht="12.75"/>
    <row r="5728" ht="12.75"/>
    <row r="5729" ht="12.75"/>
    <row r="5730" ht="12.75"/>
    <row r="5731" ht="12.75"/>
    <row r="5732" ht="12.75"/>
    <row r="5733" ht="12.75"/>
    <row r="5734" ht="12.75"/>
    <row r="5735" ht="12.75"/>
    <row r="5736" ht="12.75"/>
    <row r="5737" ht="12.75"/>
    <row r="5738" ht="12.75"/>
    <row r="5739" ht="12.75"/>
    <row r="5740" ht="12.75"/>
    <row r="5741" ht="12.75"/>
    <row r="5742" ht="12.75"/>
    <row r="5743" ht="12.75"/>
    <row r="5744" ht="12.75"/>
    <row r="5745" ht="12.75"/>
    <row r="5746" ht="12.75"/>
    <row r="5747" ht="12.75"/>
    <row r="5748" ht="12.75"/>
    <row r="5749" ht="12.75"/>
    <row r="5750" ht="12.75"/>
    <row r="5751" ht="12.75"/>
    <row r="5752" ht="12.75"/>
    <row r="5753" ht="12.75"/>
    <row r="5754" ht="12.75"/>
    <row r="5755" ht="12.75"/>
    <row r="5756" ht="12.75"/>
    <row r="5757" ht="12.75"/>
    <row r="5758" ht="12.75"/>
    <row r="5759" ht="12.75"/>
    <row r="5760" ht="12.75"/>
    <row r="5761" ht="12.75"/>
    <row r="5762" ht="12.75"/>
    <row r="5763" ht="12.75"/>
    <row r="5764" ht="12.75"/>
    <row r="5765" ht="12.75"/>
    <row r="5766" ht="12.75"/>
    <row r="5767" ht="12.75"/>
    <row r="5768" ht="12.75"/>
    <row r="5769" ht="12.75"/>
    <row r="5770" ht="12.75"/>
    <row r="5771" ht="12.75"/>
    <row r="5772" ht="12.75"/>
    <row r="5773" ht="12.75"/>
    <row r="5774" ht="12.75"/>
    <row r="5775" ht="12.75"/>
    <row r="5776" ht="12.75"/>
    <row r="5777" ht="12.75"/>
    <row r="5778" ht="12.75"/>
    <row r="5779" ht="12.75"/>
    <row r="5780" ht="12.75"/>
    <row r="5781" ht="12.75"/>
    <row r="5782" ht="12.75"/>
    <row r="5783" ht="12.75"/>
    <row r="5784" ht="12.75"/>
    <row r="5785" ht="12.75"/>
    <row r="5786" ht="12.75"/>
    <row r="5787" ht="12.75"/>
    <row r="5788" ht="12.75"/>
    <row r="5789" ht="12.75"/>
    <row r="5790" ht="12.75"/>
    <row r="5791" ht="12.75"/>
    <row r="5792" ht="12.75"/>
    <row r="5793" ht="12.75"/>
    <row r="5794" ht="12.75"/>
    <row r="5795" ht="12.75"/>
    <row r="5796" ht="12.75"/>
    <row r="5797" ht="12.75"/>
    <row r="5798" ht="12.75"/>
    <row r="5799" ht="12.75"/>
    <row r="5800" ht="12.75"/>
    <row r="5801" ht="12.75"/>
    <row r="5802" ht="12.75"/>
    <row r="5803" ht="12.75"/>
    <row r="5804" ht="12.75"/>
    <row r="5805" ht="12.75"/>
    <row r="5806" ht="12.75"/>
    <row r="5807" ht="12.75"/>
    <row r="5808" ht="12.75"/>
    <row r="5809" ht="12.75"/>
    <row r="5810" ht="12.75"/>
    <row r="5811" ht="12.75"/>
    <row r="5812" ht="12.75"/>
    <row r="5813" ht="12.75"/>
    <row r="5814" ht="12.75"/>
    <row r="5815" ht="12.75"/>
    <row r="5816" ht="12.75"/>
    <row r="5817" ht="12.75"/>
    <row r="5818" ht="12.75"/>
    <row r="5819" ht="12.75"/>
    <row r="5820" ht="12.75"/>
    <row r="5821" ht="12.75"/>
    <row r="5822" ht="12.75"/>
    <row r="5823" ht="12.75"/>
    <row r="5824" ht="12.75"/>
    <row r="5825" ht="12.75"/>
    <row r="5826" ht="12.75"/>
    <row r="5827" ht="12.75"/>
    <row r="5828" ht="12.75"/>
    <row r="5829" ht="12.75"/>
    <row r="5830" ht="12.75"/>
    <row r="5831" ht="12.75"/>
    <row r="5832" ht="12.75"/>
    <row r="5833" ht="12.75"/>
    <row r="5834" ht="12.75"/>
    <row r="5835" ht="12.75"/>
    <row r="5836" ht="12.75"/>
    <row r="5837" ht="12.75"/>
    <row r="5838" ht="12.75"/>
    <row r="5839" ht="12.75"/>
    <row r="5840" ht="12.75"/>
    <row r="5841" ht="12.75"/>
    <row r="5842" ht="12.75"/>
    <row r="5843" ht="12.75"/>
    <row r="5844" ht="12.75"/>
    <row r="5845" ht="12.75"/>
    <row r="5846" ht="12.75"/>
    <row r="5847" ht="12.75"/>
    <row r="5848" ht="12.75"/>
    <row r="5849" ht="12.75"/>
    <row r="5850" ht="12.75"/>
    <row r="5851" ht="12.75"/>
    <row r="5852" ht="12.75"/>
    <row r="5853" ht="12.75"/>
    <row r="5854" ht="12.75"/>
    <row r="5855" ht="12.75"/>
    <row r="5856" ht="12.75"/>
    <row r="5857" ht="12.75"/>
    <row r="5858" ht="12.75"/>
    <row r="5859" ht="12.75"/>
    <row r="5860" ht="12.75"/>
    <row r="5861" ht="12.75"/>
    <row r="5862" ht="12.75"/>
    <row r="5863" ht="12.75"/>
    <row r="5864" ht="12.75"/>
    <row r="5865" ht="12.75"/>
    <row r="5866" ht="12.75"/>
    <row r="5867" ht="12.75"/>
    <row r="5868" ht="12.75"/>
    <row r="5869" ht="12.75"/>
    <row r="5870" ht="12.75"/>
    <row r="5871" ht="12.75"/>
    <row r="5872" ht="12.75"/>
    <row r="5873" ht="12.75"/>
    <row r="5874" ht="12.75"/>
    <row r="5875" ht="12.75"/>
    <row r="5876" ht="12.75"/>
    <row r="5877" ht="12.75"/>
    <row r="5878" ht="12.75"/>
    <row r="5879" ht="12.75"/>
    <row r="5880" ht="12.75"/>
    <row r="5881" ht="12.75"/>
    <row r="5882" ht="12.75"/>
    <row r="5883" ht="12.75"/>
    <row r="5884" ht="12.75"/>
    <row r="5885" ht="12.75"/>
    <row r="5886" ht="12.75"/>
    <row r="5887" ht="12.75"/>
    <row r="5888" ht="12.75"/>
    <row r="5889" ht="12.75"/>
    <row r="5890" ht="12.75"/>
    <row r="5891" ht="12.75"/>
    <row r="5892" ht="12.75"/>
    <row r="5893" ht="12.75"/>
    <row r="5894" ht="12.75"/>
    <row r="5895" ht="12.75"/>
    <row r="5896" ht="12.75"/>
    <row r="5897" ht="12.75"/>
    <row r="5898" ht="12.75"/>
    <row r="5899" ht="12.75"/>
    <row r="5900" ht="12.75"/>
    <row r="5901" ht="12.75"/>
    <row r="5902" ht="12.75"/>
    <row r="5903" ht="12.75"/>
    <row r="5904" ht="12.75"/>
    <row r="5905" ht="12.75"/>
    <row r="5906" ht="12.75"/>
    <row r="5907" ht="12.75"/>
    <row r="5908" ht="12.75"/>
    <row r="5909" ht="12.75"/>
    <row r="5910" ht="12.75"/>
    <row r="5911" ht="12.75"/>
    <row r="5912" ht="12.75"/>
    <row r="5913" ht="12.75"/>
    <row r="5914" ht="12.75"/>
    <row r="5915" ht="12.75"/>
    <row r="5916" ht="12.75"/>
    <row r="5917" ht="12.75"/>
    <row r="5918" ht="12.75"/>
    <row r="5919" ht="12.75"/>
    <row r="5920" ht="12.75"/>
    <row r="5921" ht="12.75"/>
    <row r="5922" ht="12.75"/>
    <row r="5923" ht="12.75"/>
    <row r="5924" ht="12.75"/>
    <row r="5925" ht="12.75"/>
    <row r="5926" ht="12.75"/>
    <row r="5927" ht="12.75"/>
    <row r="5928" ht="12.75"/>
    <row r="5929" ht="12.75"/>
    <row r="5930" ht="12.75"/>
    <row r="5931" ht="12.75"/>
    <row r="5932" ht="12.75"/>
    <row r="5933" ht="12.75"/>
    <row r="5934" ht="12.75"/>
    <row r="5935" ht="12.75"/>
    <row r="5936" ht="12.75"/>
    <row r="5937" ht="12.75"/>
    <row r="5938" ht="12.75"/>
    <row r="5939" ht="12.75"/>
    <row r="5940" ht="12.75"/>
    <row r="5941" ht="12.75"/>
    <row r="5942" ht="12.75"/>
    <row r="5943" ht="12.75"/>
    <row r="5944" ht="12.75"/>
    <row r="5945" ht="12.75"/>
    <row r="5946" ht="12.75"/>
    <row r="5947" ht="12.75"/>
    <row r="5948" ht="12.75"/>
    <row r="5949" ht="12.75"/>
    <row r="5950" ht="12.75"/>
    <row r="5951" ht="12.75"/>
    <row r="5952" ht="12.75"/>
    <row r="5953" ht="12.75"/>
    <row r="5954" ht="12.75"/>
    <row r="5955" ht="12.75"/>
    <row r="5956" ht="12.75"/>
    <row r="5957" ht="12.75"/>
    <row r="5958" ht="12.75"/>
    <row r="5959" ht="12.75"/>
    <row r="5960" ht="12.75"/>
    <row r="5961" ht="12.75"/>
    <row r="5962" ht="12.75"/>
    <row r="5963" ht="12.75"/>
    <row r="5964" ht="12.75"/>
    <row r="5965" ht="12.75"/>
    <row r="5966" ht="12.75"/>
    <row r="5967" ht="12.75"/>
    <row r="5968" ht="12.75"/>
    <row r="5969" ht="12.75"/>
    <row r="5970" ht="12.75"/>
    <row r="5971" ht="12.75"/>
    <row r="5972" ht="12.75"/>
    <row r="5973" ht="12.75"/>
    <row r="5974" ht="12.75"/>
    <row r="5975" ht="12.75"/>
    <row r="5976" ht="12.75"/>
    <row r="5977" ht="12.75"/>
    <row r="5978" ht="12.75"/>
    <row r="5979" ht="12.75"/>
    <row r="5980" ht="12.75"/>
    <row r="5981" ht="12.75"/>
    <row r="5982" ht="12.75"/>
    <row r="5983" ht="12.75"/>
    <row r="5984" ht="12.75"/>
    <row r="5985" ht="12.75"/>
    <row r="5986" ht="12.75"/>
    <row r="5987" ht="12.75"/>
    <row r="5988" ht="12.75"/>
    <row r="5989" ht="12.75"/>
    <row r="5990" ht="12.75"/>
    <row r="5991" ht="12.75"/>
    <row r="5992" ht="12.75"/>
    <row r="5993" ht="12.75"/>
    <row r="5994" ht="12.75"/>
    <row r="5995" ht="12.75"/>
    <row r="5996" ht="12.75"/>
    <row r="5997" ht="12.75"/>
    <row r="5998" ht="12.75"/>
    <row r="5999" ht="12.75"/>
    <row r="6000" ht="12.75"/>
    <row r="6001" ht="12.75"/>
    <row r="6002" ht="12.75"/>
    <row r="6003" ht="12.75"/>
    <row r="6004" ht="12.75"/>
    <row r="6005" ht="12.75"/>
    <row r="6006" ht="12.75"/>
    <row r="6007" ht="12.75"/>
    <row r="6008" ht="12.75"/>
    <row r="6009" ht="12.75"/>
    <row r="6010" ht="12.75"/>
    <row r="6011" ht="12.75"/>
    <row r="6012" ht="12.75"/>
    <row r="6013" ht="12.75"/>
    <row r="6014" ht="12.75"/>
    <row r="6015" ht="12.75"/>
    <row r="6016" ht="12.75"/>
    <row r="6017" ht="12.75"/>
    <row r="6018" ht="12.75"/>
    <row r="6019" ht="12.75"/>
    <row r="6020" ht="12.75"/>
    <row r="6021" ht="12.75"/>
    <row r="6022" ht="12.75"/>
    <row r="6023" ht="12.75"/>
    <row r="6024" ht="12.75"/>
    <row r="6025" ht="12.75"/>
    <row r="6026" ht="12.75"/>
    <row r="6027" ht="12.75"/>
    <row r="6028" ht="12.75"/>
    <row r="6029" ht="12.75"/>
    <row r="6030" ht="12.75"/>
    <row r="6031" ht="12.75"/>
    <row r="6032" ht="12.75"/>
    <row r="6033" ht="12.75"/>
    <row r="6034" ht="12.75"/>
    <row r="6035" ht="12.75"/>
    <row r="6036" ht="12.75"/>
    <row r="6037" ht="12.75"/>
    <row r="6038" ht="12.75"/>
    <row r="6039" ht="12.75"/>
    <row r="6040" ht="12.75"/>
    <row r="6041" ht="12.75"/>
    <row r="6042" ht="12.75"/>
    <row r="6043" ht="12.75"/>
    <row r="6044" ht="12.75"/>
    <row r="6045" ht="12.75"/>
    <row r="6046" ht="12.75"/>
    <row r="6047" ht="12.75"/>
    <row r="6048" ht="12.75"/>
    <row r="6049" ht="12.75"/>
    <row r="6050" ht="12.75"/>
    <row r="6051" ht="12.75"/>
    <row r="6052" ht="12.75"/>
    <row r="6053" ht="12.75"/>
    <row r="6054" ht="12.75"/>
    <row r="6055" ht="12.75"/>
    <row r="6056" ht="12.75"/>
    <row r="6057" ht="12.75"/>
    <row r="6058" ht="12.75"/>
    <row r="6059" ht="12.75"/>
    <row r="6060" ht="12.75"/>
    <row r="6061" ht="12.75"/>
    <row r="6062" ht="12.75"/>
    <row r="6063" ht="12.75"/>
    <row r="6064" ht="12.75"/>
    <row r="6065" ht="12.75"/>
    <row r="6066" ht="12.75"/>
    <row r="6067" ht="12.75"/>
    <row r="6068" ht="12.75"/>
    <row r="6069" ht="12.75"/>
    <row r="6070" ht="12.75"/>
    <row r="6071" ht="12.75"/>
    <row r="6072" ht="12.75"/>
    <row r="6073" ht="12.75"/>
    <row r="6074" ht="12.75"/>
    <row r="6075" ht="12.75"/>
    <row r="6076" ht="12.75"/>
    <row r="6077" ht="12.75"/>
    <row r="6078" ht="12.75"/>
    <row r="6079" ht="12.75"/>
    <row r="6080" ht="12.75"/>
    <row r="6081" ht="12.75"/>
    <row r="6082" ht="12.75"/>
    <row r="6083" ht="12.75"/>
    <row r="6084" ht="12.75"/>
    <row r="6085" ht="12.75"/>
    <row r="6086" ht="12.75"/>
    <row r="6087" ht="12.75"/>
    <row r="6088" ht="12.75"/>
    <row r="6089" ht="12.75"/>
    <row r="6090" ht="12.75"/>
    <row r="6091" ht="12.75"/>
    <row r="6092" ht="12.75"/>
    <row r="6093" ht="12.75"/>
    <row r="6094" ht="12.75"/>
    <row r="6095" ht="12.75"/>
    <row r="6096" ht="12.75"/>
    <row r="6097" ht="12.75"/>
    <row r="6098" ht="12.75"/>
    <row r="6099" ht="12.75"/>
    <row r="6100" ht="12.75"/>
    <row r="6101" ht="12.75"/>
    <row r="6102" ht="12.75"/>
    <row r="6103" ht="12.75"/>
    <row r="6104" ht="12.75"/>
    <row r="6105" ht="12.75"/>
    <row r="6106" ht="12.75"/>
    <row r="6107" ht="12.75"/>
    <row r="6108" ht="12.75"/>
    <row r="6109" ht="12.75"/>
    <row r="6110" ht="12.75"/>
    <row r="6111" ht="12.75"/>
    <row r="6112" ht="12.75"/>
    <row r="6113" ht="12.75"/>
    <row r="6114" ht="12.75"/>
    <row r="6115" ht="12.75"/>
    <row r="6116" ht="12.75"/>
    <row r="6117" ht="12.75"/>
    <row r="6118" ht="12.75"/>
    <row r="6119" ht="12.75"/>
    <row r="6120" ht="12.75"/>
    <row r="6121" ht="12.75"/>
    <row r="6122" ht="12.75"/>
    <row r="6123" ht="12.75"/>
    <row r="6124" ht="12.75"/>
    <row r="6125" ht="12.75"/>
    <row r="6126" ht="12.75"/>
    <row r="6127" ht="12.75"/>
    <row r="6128" ht="12.75"/>
    <row r="6129" ht="12.75"/>
    <row r="6130" ht="12.75"/>
    <row r="6131" ht="12.75"/>
    <row r="6132" ht="12.75"/>
    <row r="6133" ht="12.75"/>
    <row r="6134" ht="12.75"/>
    <row r="6135" ht="12.75"/>
    <row r="6136" ht="12.75"/>
    <row r="6137" ht="12.75"/>
    <row r="6138" ht="12.75"/>
    <row r="6139" ht="12.75"/>
    <row r="6140" ht="12.75"/>
    <row r="6141" ht="12.75"/>
    <row r="6142" ht="12.75"/>
    <row r="6143" ht="12.75"/>
    <row r="6144" ht="12.75"/>
    <row r="6145" ht="12.75"/>
    <row r="6146" ht="12.75"/>
    <row r="6147" ht="12.75"/>
    <row r="6148" ht="12.75"/>
    <row r="6149" ht="12.75"/>
    <row r="6150" ht="12.75"/>
    <row r="6151" ht="12.75"/>
    <row r="6152" ht="12.75"/>
    <row r="6153" ht="12.75"/>
    <row r="6154" ht="12.75"/>
    <row r="6155" ht="12.75"/>
    <row r="6156" ht="12.75"/>
    <row r="6157" ht="12.75"/>
    <row r="6158" ht="12.75"/>
    <row r="6159" ht="12.75"/>
    <row r="6160" ht="12.75"/>
    <row r="6161" ht="12.75"/>
    <row r="6162" ht="12.75"/>
    <row r="6163" ht="12.75"/>
    <row r="6164" ht="12.75"/>
    <row r="6165" ht="12.75"/>
    <row r="6166" ht="12.75"/>
    <row r="6167" ht="12.75"/>
    <row r="6168" ht="12.75"/>
    <row r="6169" ht="12.75"/>
    <row r="6170" ht="12.75"/>
    <row r="6171" ht="12.75"/>
    <row r="6172" ht="12.75"/>
    <row r="6173" ht="12.75"/>
    <row r="6174" ht="12.75"/>
    <row r="6175" ht="12.75"/>
    <row r="6176" ht="12.75"/>
    <row r="6177" ht="12.75"/>
    <row r="6178" ht="12.75"/>
    <row r="6179" ht="12.75"/>
    <row r="6180" ht="12.75"/>
    <row r="6181" ht="12.75"/>
    <row r="6182" ht="12.75"/>
    <row r="6183" ht="12.75"/>
    <row r="6184" ht="12.75"/>
    <row r="6185" ht="12.75"/>
    <row r="6186" ht="12.75"/>
    <row r="6187" ht="12.75"/>
    <row r="6188" ht="12.75"/>
    <row r="6189" ht="12.75"/>
    <row r="6190" ht="12.75"/>
    <row r="6191" ht="12.75"/>
    <row r="6192" ht="12.75"/>
    <row r="6193" ht="12.75"/>
    <row r="6194" ht="12.75"/>
    <row r="6195" ht="12.75"/>
    <row r="6196" ht="12.75"/>
    <row r="6197" ht="12.75"/>
    <row r="6198" ht="12.75"/>
    <row r="6199" ht="12.75"/>
    <row r="6200" ht="12.75"/>
    <row r="6201" ht="12.75"/>
    <row r="6202" ht="12.75"/>
    <row r="6203" ht="12.75"/>
    <row r="6204" ht="12.75"/>
    <row r="6205" ht="12.75"/>
    <row r="6206" ht="12.75"/>
    <row r="6207" ht="12.75"/>
    <row r="6208" ht="12.75"/>
    <row r="6209" ht="12.75"/>
    <row r="6210" ht="12.75"/>
    <row r="6211" ht="12.75"/>
    <row r="6212" ht="12.75"/>
    <row r="6213" ht="12.75"/>
    <row r="6214" ht="12.75"/>
    <row r="6215" ht="12.75"/>
    <row r="6216" ht="12.75"/>
    <row r="6217" ht="12.75"/>
    <row r="6218" ht="12.75"/>
    <row r="6219" ht="12.75"/>
    <row r="6220" ht="12.75"/>
    <row r="6221" ht="12.75"/>
    <row r="6222" ht="12.75"/>
    <row r="6223" ht="12.75"/>
    <row r="6224" ht="12.75"/>
    <row r="6225" ht="12.75"/>
    <row r="6226" ht="12.75"/>
    <row r="6227" ht="12.75"/>
    <row r="6228" ht="12.75"/>
    <row r="6229" ht="12.75"/>
    <row r="6230" ht="12.75"/>
    <row r="6231" ht="12.75"/>
    <row r="6232" ht="12.75"/>
    <row r="6233" ht="12.75"/>
    <row r="6234" ht="12.75"/>
    <row r="6235" ht="12.75"/>
    <row r="6236" ht="12.75"/>
    <row r="6237" ht="12.75"/>
    <row r="6238" ht="12.75"/>
    <row r="6239" ht="12.75"/>
    <row r="6240" ht="12.75"/>
    <row r="6241" ht="12.75"/>
    <row r="6242" ht="12.75"/>
    <row r="6243" ht="12.75"/>
    <row r="6244" ht="12.75"/>
    <row r="6245" ht="12.75"/>
    <row r="6246" ht="12.75"/>
    <row r="6247" ht="12.75"/>
    <row r="6248" ht="12.75"/>
    <row r="6249" ht="12.75"/>
    <row r="6250" ht="12.75"/>
    <row r="6251" ht="12.75"/>
    <row r="6252" ht="12.75"/>
    <row r="6253" ht="12.75"/>
    <row r="6254" ht="12.75"/>
    <row r="6255" ht="12.75"/>
    <row r="6256" ht="12.75"/>
    <row r="6257" ht="12.75"/>
    <row r="6258" ht="12.75"/>
    <row r="6259" ht="12.75"/>
    <row r="6260" ht="12.75"/>
    <row r="6261" ht="12.75"/>
    <row r="6262" ht="12.75"/>
    <row r="6263" ht="12.75"/>
    <row r="6264" ht="12.75"/>
    <row r="6265" ht="12.75"/>
    <row r="6266" ht="12.75"/>
    <row r="6267" ht="12.75"/>
    <row r="6268" ht="12.75"/>
    <row r="6269" ht="12.75"/>
    <row r="6270" ht="12.75"/>
    <row r="6271" ht="12.75"/>
    <row r="6272" ht="12.75"/>
    <row r="6273" ht="12.75"/>
    <row r="6274" ht="12.75"/>
    <row r="6275" ht="12.75"/>
    <row r="6276" ht="12.75"/>
    <row r="6277" ht="12.75"/>
    <row r="6278" ht="12.75"/>
    <row r="6279" ht="12.75"/>
    <row r="6280" ht="12.75"/>
    <row r="6281" ht="12.75"/>
    <row r="6282" ht="12.75"/>
    <row r="6283" ht="12.75"/>
    <row r="6284" ht="12.75"/>
    <row r="6285" ht="12.75"/>
    <row r="6286" ht="12.75"/>
    <row r="6287" ht="12.75"/>
    <row r="6288" ht="12.75"/>
    <row r="6289" ht="12.75"/>
    <row r="6290" ht="12.75"/>
    <row r="6291" ht="12.75"/>
    <row r="6292" ht="12.75"/>
    <row r="6293" ht="12.75"/>
    <row r="6294" ht="12.75"/>
    <row r="6295" ht="12.75"/>
    <row r="6296" ht="12.75"/>
    <row r="6297" ht="12.75"/>
    <row r="6298" ht="12.75"/>
    <row r="6299" ht="12.75"/>
    <row r="6300" ht="12.75"/>
    <row r="6301" ht="12.75"/>
    <row r="6302" ht="12.75"/>
    <row r="6303" ht="12.75"/>
    <row r="6304" ht="12.75"/>
    <row r="6305" ht="12.75"/>
    <row r="6306" ht="12.75"/>
    <row r="6307" ht="12.75"/>
    <row r="6308" ht="12.75"/>
    <row r="6309" ht="12.75"/>
    <row r="6310" ht="12.75"/>
    <row r="6311" ht="12.75"/>
    <row r="6312" ht="12.75"/>
    <row r="6313" ht="12.75"/>
    <row r="6314" ht="12.75"/>
    <row r="6315" ht="12.75"/>
    <row r="6316" ht="12.75"/>
    <row r="6317" ht="12.75"/>
    <row r="6318" ht="12.75"/>
    <row r="6319" ht="12.75"/>
    <row r="6320" ht="12.75"/>
    <row r="6321" ht="12.75"/>
    <row r="6322" ht="12.75"/>
    <row r="6323" ht="12.75"/>
    <row r="6324" ht="12.75"/>
    <row r="6325" ht="12.75"/>
    <row r="6326" ht="12.75"/>
    <row r="6327" ht="12.75"/>
    <row r="6328" ht="12.75"/>
    <row r="6329" ht="12.75"/>
    <row r="6330" ht="12.75"/>
    <row r="6331" ht="12.75"/>
    <row r="6332" ht="12.75"/>
    <row r="6333" ht="12.75"/>
    <row r="6334" ht="12.75"/>
    <row r="6335" ht="12.75"/>
    <row r="6336" ht="12.75"/>
    <row r="6337" ht="12.75"/>
    <row r="6338" ht="12.75"/>
    <row r="6339" ht="12.75"/>
    <row r="6340" ht="12.75"/>
    <row r="6341" ht="12.75"/>
    <row r="6342" ht="12.75"/>
    <row r="6343" ht="12.75"/>
    <row r="6344" ht="12.75"/>
    <row r="6345" ht="12.75"/>
    <row r="6346" ht="12.75"/>
    <row r="6347" ht="12.75"/>
    <row r="6348" ht="12.75"/>
    <row r="6349" ht="12.75"/>
    <row r="6350" ht="12.75"/>
    <row r="6351" ht="12.75"/>
    <row r="6352" ht="12.75"/>
    <row r="6353" ht="12.75"/>
    <row r="6354" ht="12.75"/>
    <row r="6355" ht="12.75"/>
    <row r="6356" ht="12.75"/>
    <row r="6357" ht="12.75"/>
    <row r="6358" ht="12.75"/>
    <row r="6359" ht="12.75"/>
    <row r="6360" ht="12.75"/>
    <row r="6361" ht="12.75"/>
    <row r="6362" ht="12.75"/>
    <row r="6363" ht="12.75"/>
    <row r="6364" ht="12.75"/>
    <row r="6365" ht="12.75"/>
    <row r="6366" ht="12.75"/>
    <row r="6367" ht="12.75"/>
    <row r="6368" ht="12.75"/>
    <row r="6369" ht="12.75"/>
    <row r="6370" ht="12.75"/>
    <row r="6371" ht="12.75"/>
    <row r="6372" ht="12.75"/>
    <row r="6373" ht="12.75"/>
    <row r="6374" ht="12.75"/>
    <row r="6375" ht="12.75"/>
    <row r="6376" ht="12.75"/>
    <row r="6377" ht="12.75"/>
    <row r="6378" ht="12.75"/>
    <row r="6379" ht="12.75"/>
    <row r="6380" ht="12.75"/>
    <row r="6381" ht="12.75"/>
    <row r="6382" ht="12.75"/>
    <row r="6383" ht="12.75"/>
    <row r="6384" ht="12.75"/>
    <row r="6385" ht="12.75"/>
    <row r="6386" ht="12.75"/>
    <row r="6387" ht="12.75"/>
    <row r="6388" ht="12.75"/>
    <row r="6389" ht="12.75"/>
    <row r="6390" ht="12.75"/>
    <row r="6391" ht="12.75"/>
    <row r="6392" ht="12.75"/>
    <row r="6393" ht="12.75"/>
    <row r="6394" ht="12.75"/>
    <row r="6395" ht="12.75"/>
    <row r="6396" ht="12.75"/>
    <row r="6397" ht="12.75"/>
    <row r="6398" ht="12.75"/>
    <row r="6399" ht="12.75"/>
    <row r="6400" ht="12.75"/>
    <row r="6401" ht="12.75"/>
    <row r="6402" ht="12.75"/>
    <row r="6403" ht="12.75"/>
    <row r="6404" ht="12.75"/>
    <row r="6405" ht="12.75"/>
    <row r="6406" ht="12.75"/>
    <row r="6407" ht="12.75"/>
    <row r="6408" ht="12.75"/>
    <row r="6409" ht="12.75"/>
    <row r="6410" ht="12.75"/>
    <row r="6411" ht="12.75"/>
    <row r="6412" ht="12.75"/>
    <row r="6413" ht="12.75"/>
    <row r="6414" ht="12.75"/>
    <row r="6415" ht="12.75"/>
    <row r="6416" ht="12.75"/>
    <row r="6417" ht="12.75"/>
    <row r="6418" ht="12.75"/>
    <row r="6419" ht="12.75"/>
    <row r="6420" ht="12.75"/>
    <row r="6421" ht="12.75"/>
    <row r="6422" ht="12.75"/>
    <row r="6423" ht="12.75"/>
    <row r="6424" ht="12.75"/>
    <row r="6425" ht="12.75"/>
    <row r="6426" ht="12.75"/>
    <row r="6427" ht="12.75"/>
    <row r="6428" ht="12.75"/>
    <row r="6429" ht="12.75"/>
    <row r="6430" ht="12.75"/>
    <row r="6431" ht="12.75"/>
    <row r="6432" ht="12.75"/>
    <row r="6433" ht="12.75"/>
    <row r="6434" ht="12.75"/>
    <row r="6435" ht="12.75"/>
    <row r="6436" ht="12.75"/>
    <row r="6437" ht="12.75"/>
    <row r="6438" ht="12.75"/>
    <row r="6439" ht="12.75"/>
    <row r="6440" ht="12.75"/>
    <row r="6441" ht="12.75"/>
    <row r="6442" ht="12.75"/>
    <row r="6443" ht="12.75"/>
    <row r="6444" ht="12.75"/>
    <row r="6445" ht="12.75"/>
    <row r="6446" ht="12.75"/>
    <row r="6447" ht="12.75"/>
    <row r="6448" ht="12.75"/>
    <row r="6449" ht="12.75"/>
    <row r="6450" ht="12.75"/>
    <row r="6451" ht="12.75"/>
    <row r="6452" ht="12.75"/>
    <row r="6453" ht="12.75"/>
    <row r="6454" ht="12.75"/>
    <row r="6455" ht="12.75"/>
    <row r="6456" ht="12.75"/>
    <row r="6457" ht="12.75"/>
    <row r="6458" ht="12.75"/>
    <row r="6459" ht="12.75"/>
    <row r="6460" ht="12.75"/>
    <row r="6461" ht="12.75"/>
    <row r="6462" ht="12.75"/>
    <row r="6463" ht="12.75"/>
    <row r="6464" ht="12.75"/>
    <row r="6465" ht="12.75"/>
    <row r="6466" ht="12.75"/>
    <row r="6467" ht="12.75"/>
    <row r="6468" ht="12.75"/>
    <row r="6469" ht="12.75"/>
    <row r="6470" ht="12.75"/>
    <row r="6471" ht="12.75"/>
    <row r="6472" ht="12.75"/>
    <row r="6473" ht="12.75"/>
    <row r="6474" ht="12.75"/>
    <row r="6475" ht="12.75"/>
    <row r="6476" ht="12.75"/>
    <row r="6477" ht="12.75"/>
    <row r="6478" ht="12.75"/>
    <row r="6479" ht="12.75"/>
    <row r="6480" ht="12.75"/>
    <row r="6481" ht="12.75"/>
    <row r="6482" ht="12.75"/>
    <row r="6483" ht="12.75"/>
    <row r="6484" ht="12.75"/>
    <row r="6485" ht="12.75"/>
    <row r="6486" ht="12.75"/>
    <row r="6487" ht="12.75"/>
    <row r="6488" ht="12.75"/>
    <row r="6489" ht="12.75"/>
    <row r="6490" ht="12.75"/>
    <row r="6491" ht="12.75"/>
    <row r="6492" ht="12.75"/>
    <row r="6493" ht="12.75"/>
    <row r="6494" ht="12.75"/>
    <row r="6495" ht="12.75"/>
    <row r="6496" ht="12.75"/>
    <row r="6497" ht="12.75"/>
    <row r="6498" ht="12.75"/>
    <row r="6499" ht="12.75"/>
    <row r="6500" ht="12.75"/>
    <row r="6501" ht="12.75"/>
    <row r="6502" ht="12.75"/>
    <row r="6503" ht="12.75"/>
    <row r="6504" ht="12.75"/>
    <row r="6505" ht="12.75"/>
    <row r="6506" ht="12.75"/>
    <row r="6507" ht="12.75"/>
    <row r="6508" ht="12.75"/>
    <row r="6509" ht="12.75"/>
    <row r="6510" ht="12.75"/>
    <row r="6511" ht="12.75"/>
    <row r="6512" ht="12.75"/>
    <row r="6513" ht="12.75"/>
    <row r="6514" ht="12.75"/>
    <row r="6515" ht="12.75"/>
    <row r="6516" ht="12.75"/>
    <row r="6517" ht="12.75"/>
    <row r="6518" ht="12.75"/>
    <row r="6519" ht="12.75"/>
    <row r="6520" ht="12.75"/>
    <row r="6521" ht="12.75"/>
    <row r="6522" ht="12.75"/>
    <row r="6523" ht="12.75"/>
    <row r="6524" ht="12.75"/>
    <row r="6525" ht="12.75"/>
    <row r="6526" ht="12.75"/>
    <row r="6527" ht="12.75"/>
    <row r="6528" ht="12.75"/>
    <row r="6529" ht="12.75"/>
    <row r="6530" ht="12.75"/>
    <row r="6531" ht="12.75"/>
    <row r="6532" ht="12.75"/>
    <row r="6533" ht="12.75"/>
    <row r="6534" ht="12.75"/>
    <row r="6535" ht="12.75"/>
    <row r="6536" ht="12.75"/>
    <row r="6537" ht="12.75"/>
    <row r="6538" ht="12.75"/>
    <row r="6539" ht="12.75"/>
    <row r="6540" ht="12.75"/>
    <row r="6541" ht="12.75"/>
    <row r="6542" ht="12.75"/>
    <row r="6543" ht="12.75"/>
    <row r="6544" ht="12.75"/>
    <row r="6545" ht="12.75"/>
    <row r="6546" ht="12.75"/>
    <row r="6547" ht="12.75"/>
    <row r="6548" ht="12.75"/>
    <row r="6549" ht="12.75"/>
    <row r="6550" ht="12.75"/>
    <row r="6551" ht="12.75"/>
    <row r="6552" ht="12.75"/>
    <row r="6553" ht="12.75"/>
    <row r="6554" ht="12.75"/>
    <row r="6555" ht="12.75"/>
    <row r="6556" ht="12.75"/>
    <row r="6557" ht="12.75"/>
    <row r="6558" ht="12.75"/>
    <row r="6559" ht="12.75"/>
    <row r="6560" ht="12.75"/>
    <row r="6561" ht="12.75"/>
    <row r="6562" ht="12.75"/>
    <row r="6563" ht="12.75"/>
    <row r="6564" ht="12.75"/>
    <row r="6565" ht="12.75"/>
    <row r="6566" ht="12.75"/>
    <row r="6567" ht="12.75"/>
    <row r="6568" ht="12.75"/>
    <row r="6569" ht="12.75"/>
    <row r="6570" ht="12.75"/>
    <row r="6571" ht="12.75"/>
    <row r="6572" ht="12.75"/>
    <row r="6573" ht="12.75"/>
    <row r="6574" ht="12.75"/>
    <row r="6575" ht="12.75"/>
    <row r="6576" ht="12.75"/>
    <row r="6577" ht="12.75"/>
    <row r="6578" ht="12.75"/>
    <row r="6579" ht="12.75"/>
    <row r="6580" ht="12.75"/>
    <row r="6581" ht="12.75"/>
    <row r="6582" ht="12.75"/>
    <row r="6583" ht="12.75"/>
    <row r="6584" ht="12.75"/>
    <row r="6585" ht="12.75"/>
    <row r="6586" ht="12.75"/>
    <row r="6587" ht="12.75"/>
    <row r="6588" ht="12.75"/>
    <row r="6589" ht="12.75"/>
    <row r="6590" ht="12.75"/>
    <row r="6591" ht="12.75"/>
    <row r="6592" ht="12.75"/>
    <row r="6593" ht="12.75"/>
    <row r="6594" ht="12.75"/>
    <row r="6595" ht="12.75"/>
    <row r="6596" ht="12.75"/>
    <row r="6597" ht="12.75"/>
    <row r="6598" ht="12.75"/>
    <row r="6599" ht="12.75"/>
    <row r="6600" ht="12.75"/>
    <row r="6601" ht="12.75"/>
    <row r="6602" ht="12.75"/>
    <row r="6603" ht="12.75"/>
    <row r="6604" ht="12.75"/>
    <row r="6605" ht="12.75"/>
    <row r="6606" ht="12.75"/>
    <row r="6607" ht="12.75"/>
    <row r="6608" ht="12.75"/>
    <row r="6609" ht="12.75"/>
    <row r="6610" ht="12.75"/>
    <row r="6611" ht="12.75"/>
    <row r="6612" ht="12.75"/>
    <row r="6613" ht="12.75"/>
    <row r="6614" ht="12.75"/>
    <row r="6615" ht="12.75"/>
    <row r="6616" ht="12.75"/>
    <row r="6617" ht="12.75"/>
    <row r="6618" ht="12.75"/>
    <row r="6619" ht="12.75"/>
    <row r="6620" ht="12.75"/>
    <row r="6621" ht="12.75"/>
    <row r="6622" ht="12.75"/>
    <row r="6623" ht="12.75"/>
    <row r="6624" ht="12.75"/>
    <row r="6625" ht="12.75"/>
    <row r="6626" ht="12.75"/>
    <row r="6627" ht="12.75"/>
    <row r="6628" ht="12.75"/>
    <row r="6629" ht="12.75"/>
    <row r="6630" ht="12.75"/>
    <row r="6631" ht="12.75"/>
    <row r="6632" ht="12.75"/>
    <row r="6633" ht="12.75"/>
    <row r="6634" ht="12.75"/>
    <row r="6635" ht="12.75"/>
    <row r="6636" ht="12.75"/>
    <row r="6637" ht="12.75"/>
    <row r="6638" ht="12.75"/>
    <row r="6639" ht="12.75"/>
    <row r="6640" ht="12.75"/>
    <row r="6641" ht="12.75"/>
    <row r="6642" ht="12.75"/>
    <row r="6643" ht="12.75"/>
    <row r="6644" ht="12.75"/>
    <row r="6645" ht="12.75"/>
    <row r="6646" ht="12.75"/>
    <row r="6647" ht="12.75"/>
    <row r="6648" ht="12.75"/>
    <row r="6649" ht="12.75"/>
    <row r="6650" ht="12.75"/>
    <row r="6651" ht="12.75"/>
    <row r="6652" ht="12.75"/>
    <row r="6653" ht="12.75"/>
    <row r="6654" ht="12.75"/>
    <row r="6655" ht="12.75"/>
    <row r="6656" ht="12.75"/>
    <row r="6657" ht="12.75"/>
    <row r="6658" ht="12.75"/>
    <row r="6659" ht="12.75"/>
    <row r="6660" ht="12.75"/>
    <row r="6661" ht="12.75"/>
    <row r="6662" ht="12.75"/>
    <row r="6663" ht="12.75"/>
    <row r="6664" ht="12.75"/>
    <row r="6665" ht="12.75"/>
    <row r="6666" ht="12.75"/>
    <row r="6667" ht="12.75"/>
    <row r="6668" ht="12.75"/>
    <row r="6669" ht="12.75"/>
    <row r="6670" ht="12.75"/>
    <row r="6671" ht="12.75"/>
    <row r="6672" ht="12.75"/>
    <row r="6673" ht="12.75"/>
    <row r="6674" ht="12.75"/>
    <row r="6675" ht="12.75"/>
    <row r="6676" ht="12.75"/>
    <row r="6677" ht="12.75"/>
    <row r="6678" ht="12.75"/>
    <row r="6679" ht="12.75"/>
    <row r="6680" ht="12.75"/>
    <row r="6681" ht="12.75"/>
    <row r="6682" ht="12.75"/>
    <row r="6683" ht="12.75"/>
    <row r="6684" ht="12.75"/>
    <row r="6685" ht="12.75"/>
    <row r="6686" ht="12.75"/>
    <row r="6687" ht="12.75"/>
    <row r="6688" ht="12.75"/>
    <row r="6689" ht="12.75"/>
    <row r="6690" ht="12.75"/>
    <row r="6691" ht="12.75"/>
    <row r="6692" ht="12.75"/>
    <row r="6693" ht="12.75"/>
    <row r="6694" ht="12.75"/>
    <row r="6695" ht="12.75"/>
    <row r="6696" ht="12.75"/>
    <row r="6697" ht="12.75"/>
    <row r="6698" ht="12.75"/>
    <row r="6699" ht="12.75"/>
    <row r="6700" ht="12.75"/>
    <row r="6701" ht="12.75"/>
    <row r="6702" ht="12.75"/>
    <row r="6703" ht="12.75"/>
    <row r="6704" ht="12.75"/>
    <row r="6705" ht="12.75"/>
    <row r="6706" ht="12.75"/>
    <row r="6707" ht="12.75"/>
    <row r="6708" ht="12.75"/>
    <row r="6709" ht="12.75"/>
    <row r="6710" ht="12.75"/>
    <row r="6711" ht="12.75"/>
    <row r="6712" ht="12.75"/>
    <row r="6713" ht="12.75"/>
    <row r="6714" ht="12.75"/>
    <row r="6715" ht="12.75"/>
    <row r="6716" ht="12.75"/>
    <row r="6717" ht="12.75"/>
    <row r="6718" ht="12.75"/>
    <row r="6719" ht="12.75"/>
    <row r="6720" ht="12.75"/>
    <row r="6721" ht="12.75"/>
    <row r="6722" ht="12.75"/>
    <row r="6723" ht="12.75"/>
    <row r="6724" ht="12.75"/>
    <row r="6725" ht="12.75"/>
    <row r="6726" ht="12.75"/>
    <row r="6727" ht="12.75"/>
    <row r="6728" ht="12.75"/>
    <row r="6729" ht="12.75"/>
    <row r="6730" ht="12.75"/>
    <row r="6731" ht="12.75"/>
    <row r="6732" ht="12.75"/>
    <row r="6733" ht="12.75"/>
    <row r="6734" ht="12.75"/>
    <row r="6735" ht="12.75"/>
    <row r="6736" ht="12.75"/>
    <row r="6737" ht="12.75"/>
    <row r="6738" ht="12.75"/>
    <row r="6739" ht="12.75"/>
    <row r="6740" ht="12.75"/>
    <row r="6741" ht="12.75"/>
    <row r="6742" ht="12.75"/>
    <row r="6743" ht="12.75"/>
    <row r="6744" ht="12.75"/>
    <row r="6745" ht="12.75"/>
    <row r="6746" ht="12.75"/>
    <row r="6747" ht="12.75"/>
    <row r="6748" ht="12.75"/>
    <row r="6749" ht="12.75"/>
    <row r="6750" ht="12.75"/>
    <row r="6751" ht="12.75"/>
    <row r="6752" ht="12.75"/>
    <row r="6753" ht="12.75"/>
    <row r="6754" ht="12.75"/>
    <row r="6755" ht="12.75"/>
    <row r="6756" ht="12.75"/>
    <row r="6757" ht="12.75"/>
    <row r="6758" ht="12.75"/>
    <row r="6759" ht="12.75"/>
    <row r="6760" ht="12.75"/>
    <row r="6761" ht="12.75"/>
    <row r="6762" ht="12.75"/>
    <row r="6763" ht="12.75"/>
    <row r="6764" ht="12.75"/>
    <row r="6765" ht="12.75"/>
    <row r="6766" ht="12.75"/>
    <row r="6767" ht="12.75"/>
    <row r="6768" ht="12.75"/>
    <row r="6769" ht="12.75"/>
    <row r="6770" ht="12.75"/>
    <row r="6771" ht="12.75"/>
    <row r="6772" ht="12.75"/>
    <row r="6773" ht="12.75"/>
    <row r="6774" ht="12.75"/>
    <row r="6775" ht="12.75"/>
    <row r="6776" ht="12.75"/>
    <row r="6777" ht="12.75"/>
    <row r="6778" ht="12.75"/>
    <row r="6779" ht="12.75"/>
    <row r="6780" ht="12.75"/>
    <row r="6781" ht="12.75"/>
    <row r="6782" ht="12.75"/>
    <row r="6783" ht="12.75"/>
    <row r="6784" ht="12.75"/>
    <row r="6785" ht="12.75"/>
    <row r="6786" ht="12.75"/>
    <row r="6787" ht="12.75"/>
    <row r="6788" ht="12.75"/>
    <row r="6789" ht="12.75"/>
    <row r="6790" ht="12.75"/>
    <row r="6791" ht="12.75"/>
    <row r="6792" ht="12.75"/>
    <row r="6793" ht="12.75"/>
    <row r="6794" ht="12.75"/>
    <row r="6795" ht="12.75"/>
    <row r="6796" ht="12.75"/>
    <row r="6797" ht="12.75"/>
    <row r="6798" ht="12.75"/>
    <row r="6799" ht="12.75"/>
    <row r="6800" ht="12.75"/>
    <row r="6801" ht="12.75"/>
    <row r="6802" ht="12.75"/>
    <row r="6803" ht="12.75"/>
    <row r="6804" ht="12.75"/>
    <row r="6805" ht="12.75"/>
    <row r="6806" ht="12.75"/>
    <row r="6807" ht="12.75"/>
    <row r="6808" ht="12.75"/>
    <row r="6809" ht="12.75"/>
    <row r="6810" ht="12.75"/>
    <row r="6811" ht="12.75"/>
    <row r="6812" ht="12.75"/>
    <row r="6813" ht="12.75"/>
    <row r="6814" ht="12.75"/>
    <row r="6815" ht="12.75"/>
    <row r="6816" ht="12.75"/>
    <row r="6817" ht="12.75"/>
    <row r="6818" ht="12.75"/>
    <row r="6819" ht="12.75"/>
    <row r="6820" ht="12.75"/>
    <row r="6821" ht="12.75"/>
    <row r="6822" ht="12.75"/>
    <row r="6823" ht="12.75"/>
    <row r="6824" ht="12.75"/>
    <row r="6825" ht="12.75"/>
    <row r="6826" ht="12.75"/>
    <row r="6827" ht="12.75"/>
    <row r="6828" ht="12.75"/>
    <row r="6829" ht="12.75"/>
    <row r="6830" ht="12.75"/>
    <row r="6831" ht="12.75"/>
    <row r="6832" ht="12.75"/>
    <row r="6833" ht="12.75"/>
    <row r="6834" ht="12.75"/>
    <row r="6835" ht="12.75"/>
    <row r="6836" ht="12.75"/>
    <row r="6837" ht="12.75"/>
    <row r="6838" ht="12.75"/>
    <row r="6839" ht="12.75"/>
    <row r="6840" ht="12.75"/>
    <row r="6841" ht="12.75"/>
    <row r="6842" ht="12.75"/>
    <row r="6843" ht="12.75"/>
    <row r="6844" ht="12.75"/>
    <row r="6845" ht="12.75"/>
    <row r="6846" ht="12.75"/>
    <row r="6847" ht="12.75"/>
    <row r="6848" ht="12.75"/>
    <row r="6849" ht="12.75"/>
    <row r="6850" ht="12.75"/>
    <row r="6851" ht="12.75"/>
    <row r="6852" ht="12.75"/>
    <row r="6853" ht="12.75"/>
    <row r="6854" ht="12.75"/>
    <row r="6855" ht="12.75"/>
    <row r="6856" ht="12.75"/>
    <row r="6857" ht="12.75"/>
    <row r="6858" ht="12.75"/>
    <row r="6859" ht="12.75"/>
    <row r="6860" ht="12.75"/>
    <row r="6861" ht="12.75"/>
    <row r="6862" ht="12.75"/>
    <row r="6863" ht="12.75"/>
    <row r="6864" ht="12.75"/>
    <row r="6865" ht="12.75"/>
    <row r="6866" ht="12.75"/>
    <row r="6867" ht="12.75"/>
    <row r="6868" ht="12.75"/>
    <row r="6869" ht="12.75"/>
    <row r="6870" ht="12.75"/>
    <row r="6871" ht="12.75"/>
    <row r="6872" ht="12.75"/>
    <row r="6873" ht="12.75"/>
    <row r="6874" ht="12.75"/>
    <row r="6875" ht="12.75"/>
    <row r="6876" ht="12.75"/>
    <row r="6877" ht="12.75"/>
    <row r="6878" ht="12.75"/>
    <row r="6879" ht="12.75"/>
    <row r="6880" ht="12.75"/>
    <row r="6881" ht="12.75"/>
    <row r="6882" ht="12.75"/>
    <row r="6883" ht="12.75"/>
    <row r="6884" ht="12.75"/>
    <row r="6885" ht="12.75"/>
    <row r="6886" ht="12.75"/>
    <row r="6887" ht="12.75"/>
    <row r="6888" ht="12.75"/>
    <row r="6889" ht="12.75"/>
    <row r="6890" ht="12.75"/>
    <row r="6891" ht="12.75"/>
    <row r="6892" ht="12.75"/>
    <row r="6893" ht="12.75"/>
    <row r="6894" ht="12.75"/>
    <row r="6895" ht="12.75"/>
    <row r="6896" ht="12.75"/>
    <row r="6897" ht="12.75"/>
    <row r="6898" ht="12.75"/>
    <row r="6899" ht="12.75"/>
    <row r="6900" ht="12.75"/>
    <row r="6901" ht="12.75"/>
    <row r="6902" ht="12.75"/>
    <row r="6903" ht="12.75"/>
    <row r="6904" ht="12.75"/>
    <row r="6905" ht="12.75"/>
    <row r="6906" ht="12.75"/>
    <row r="6907" ht="12.75"/>
    <row r="6908" ht="12.75"/>
    <row r="6909" ht="12.75"/>
    <row r="6910" ht="12.75"/>
    <row r="6911" ht="12.75"/>
    <row r="6912" ht="12.75"/>
    <row r="6913" ht="12.75"/>
    <row r="6914" ht="12.75"/>
    <row r="6915" ht="12.75"/>
    <row r="6916" ht="12.75"/>
    <row r="6917" ht="12.75"/>
    <row r="6918" ht="12.75"/>
    <row r="6919" ht="12.75"/>
    <row r="6920" ht="12.75"/>
    <row r="6921" ht="12.75"/>
    <row r="6922" ht="12.75"/>
    <row r="6923" ht="12.75"/>
    <row r="6924" ht="12.75"/>
    <row r="6925" ht="12.75"/>
    <row r="6926" ht="12.75"/>
    <row r="6927" ht="12.75"/>
    <row r="6928" ht="12.75"/>
    <row r="6929" ht="12.75"/>
    <row r="6930" ht="12.75"/>
    <row r="6931" ht="12.75"/>
    <row r="6932" ht="12.75"/>
    <row r="6933" ht="12.75"/>
    <row r="6934" ht="12.75"/>
    <row r="6935" ht="12.75"/>
    <row r="6936" ht="12.75"/>
    <row r="6937" ht="12.75"/>
    <row r="6938" ht="12.75"/>
    <row r="6939" ht="12.75"/>
    <row r="6940" ht="12.75"/>
    <row r="6941" ht="12.75"/>
    <row r="6942" ht="12.75"/>
    <row r="6943" ht="12.75"/>
    <row r="6944" ht="12.75"/>
    <row r="6945" ht="12.75"/>
    <row r="6946" ht="12.75"/>
    <row r="6947" ht="12.75"/>
    <row r="6948" ht="12.75"/>
    <row r="6949" ht="12.75"/>
    <row r="6950" ht="12.75"/>
    <row r="6951" ht="12.75"/>
    <row r="6952" ht="12.75"/>
    <row r="6953" ht="12.75"/>
    <row r="6954" ht="12.75"/>
    <row r="6955" ht="12.75"/>
    <row r="6956" ht="12.75"/>
    <row r="6957" ht="12.75"/>
    <row r="6958" ht="12.75"/>
    <row r="6959" ht="12.75"/>
    <row r="6960" ht="12.75"/>
    <row r="6961" ht="12.75"/>
    <row r="6962" ht="12.75"/>
    <row r="6963" ht="12.75"/>
    <row r="6964" ht="12.75"/>
    <row r="6965" ht="12.75"/>
    <row r="6966" ht="12.75"/>
    <row r="6967" ht="12.75"/>
    <row r="6968" ht="12.75"/>
    <row r="6969" ht="12.75"/>
    <row r="6970" ht="12.75"/>
    <row r="6971" ht="12.75"/>
    <row r="6972" ht="12.75"/>
    <row r="6973" ht="12.75"/>
    <row r="6974" ht="12.75"/>
    <row r="6975" ht="12.75"/>
    <row r="6976" ht="12.75"/>
    <row r="6977" ht="12.75"/>
    <row r="6978" ht="12.75"/>
    <row r="6979" ht="12.75"/>
    <row r="6980" ht="12.75"/>
    <row r="6981" ht="12.75"/>
    <row r="6982" ht="12.75"/>
    <row r="6983" ht="12.75"/>
    <row r="6984" ht="12.75"/>
    <row r="6985" ht="12.75"/>
    <row r="6986" ht="12.75"/>
    <row r="6987" ht="12.75"/>
    <row r="6988" ht="12.75"/>
    <row r="6989" ht="12.75"/>
    <row r="6990" ht="12.75"/>
    <row r="6991" ht="12.75"/>
    <row r="6992" ht="12.75"/>
    <row r="6993" ht="12.75"/>
    <row r="6994" ht="12.75"/>
    <row r="6995" ht="12.75"/>
    <row r="6996" ht="12.75"/>
    <row r="6997" ht="12.75"/>
    <row r="6998" ht="12.75"/>
    <row r="6999" ht="12.75"/>
    <row r="7000" ht="12.75"/>
    <row r="7001" ht="12.75"/>
    <row r="7002" ht="12.75"/>
    <row r="7003" ht="12.75"/>
    <row r="7004" ht="12.75"/>
    <row r="7005" ht="12.75"/>
    <row r="7006" ht="12.75"/>
    <row r="7007" ht="12.75"/>
    <row r="7008" ht="12.75"/>
    <row r="7009" ht="12.75"/>
    <row r="7010" ht="12.75"/>
    <row r="7011" ht="12.75"/>
    <row r="7012" ht="12.75"/>
    <row r="7013" ht="12.75"/>
    <row r="7014" ht="12.75"/>
    <row r="7015" ht="12.75"/>
    <row r="7016" ht="12.75"/>
    <row r="7017" ht="12.75"/>
    <row r="7018" ht="12.75"/>
    <row r="7019" ht="12.75"/>
    <row r="7020" ht="12.75"/>
    <row r="7021" ht="12.75"/>
    <row r="7022" ht="12.75"/>
    <row r="7023" ht="12.75"/>
    <row r="7024" ht="12.75"/>
    <row r="7025" ht="12.75"/>
    <row r="7026" ht="12.75"/>
    <row r="7027" ht="12.75"/>
    <row r="7028" ht="12.75"/>
    <row r="7029" ht="12.75"/>
    <row r="7030" ht="12.75"/>
    <row r="7031" ht="12.75"/>
    <row r="7032" ht="12.75"/>
    <row r="7033" ht="12.75"/>
    <row r="7034" ht="12.75"/>
    <row r="7035" ht="12.75"/>
    <row r="7036" ht="12.75"/>
    <row r="7037" ht="12.75"/>
    <row r="7038" ht="12.75"/>
    <row r="7039" ht="12.75"/>
    <row r="7040" ht="12.75"/>
    <row r="7041" ht="12.75"/>
    <row r="7042" ht="12.75"/>
    <row r="7043" ht="12.75"/>
    <row r="7044" ht="12.75"/>
    <row r="7045" ht="12.75"/>
    <row r="7046" ht="12.75"/>
    <row r="7047" ht="12.75"/>
    <row r="7048" ht="12.75"/>
    <row r="7049" ht="12.75"/>
    <row r="7050" ht="12.75"/>
    <row r="7051" ht="12.75"/>
    <row r="7052" ht="12.75"/>
    <row r="7053" ht="12.75"/>
    <row r="7054" ht="12.75"/>
    <row r="7055" ht="12.75"/>
    <row r="7056" ht="12.75"/>
    <row r="7057" ht="12.75"/>
    <row r="7058" ht="12.75"/>
    <row r="7059" ht="12.75"/>
    <row r="7060" ht="12.75"/>
    <row r="7061" ht="12.75"/>
    <row r="7062" ht="12.75"/>
    <row r="7063" ht="12.75"/>
    <row r="7064" ht="12.75"/>
    <row r="7065" ht="12.75"/>
    <row r="7066" ht="12.75"/>
    <row r="7067" ht="12.75"/>
    <row r="7068" ht="12.75"/>
    <row r="7069" ht="12.75"/>
    <row r="7070" ht="12.75"/>
    <row r="7071" ht="12.75"/>
    <row r="7072" ht="12.75"/>
    <row r="7073" ht="12.75"/>
    <row r="7074" ht="12.75"/>
    <row r="7075" ht="12.75"/>
    <row r="7076" ht="12.75"/>
    <row r="7077" ht="12.75"/>
    <row r="7078" ht="12.75"/>
    <row r="7079" ht="12.75"/>
    <row r="7080" ht="12.75"/>
    <row r="7081" ht="12.75"/>
    <row r="7082" ht="12.75"/>
    <row r="7083" ht="12.75"/>
    <row r="7084" ht="12.75"/>
    <row r="7085" ht="12.75"/>
    <row r="7086" ht="12.75"/>
    <row r="7087" ht="12.75"/>
    <row r="7088" ht="12.75"/>
    <row r="7089" ht="12.75"/>
    <row r="7090" ht="12.75"/>
    <row r="7091" ht="12.75"/>
    <row r="7092" ht="12.75"/>
    <row r="7093" ht="12.75"/>
    <row r="7094" ht="12.75"/>
    <row r="7095" ht="12.75"/>
    <row r="7096" ht="12.75"/>
    <row r="7097" ht="12.75"/>
    <row r="7098" ht="12.75"/>
    <row r="7099" ht="12.75"/>
    <row r="7100" ht="12.75"/>
    <row r="7101" ht="12.75"/>
    <row r="7102" ht="12.75"/>
    <row r="7103" ht="12.75"/>
    <row r="7104" ht="12.75"/>
    <row r="7105" ht="12.75"/>
    <row r="7106" ht="12.75"/>
    <row r="7107" ht="12.75"/>
    <row r="7108" ht="12.75"/>
    <row r="7109" ht="12.75"/>
    <row r="7110" ht="12.75"/>
    <row r="7111" ht="12.75"/>
    <row r="7112" ht="12.75"/>
    <row r="7113" ht="12.75"/>
    <row r="7114" ht="12.75"/>
    <row r="7115" ht="12.75"/>
    <row r="7116" ht="12.75"/>
    <row r="7117" ht="12.75"/>
    <row r="7118" ht="12.75"/>
    <row r="7119" ht="12.75"/>
    <row r="7120" ht="12.75"/>
    <row r="7121" ht="12.75"/>
    <row r="7122" ht="12.75"/>
    <row r="7123" ht="12.75"/>
    <row r="7124" ht="12.75"/>
    <row r="7125" ht="12.75"/>
    <row r="7126" ht="12.75"/>
    <row r="7127" ht="12.75"/>
    <row r="7128" ht="12.75"/>
    <row r="7129" ht="12.75"/>
    <row r="7130" ht="12.75"/>
    <row r="7131" ht="12.75"/>
    <row r="7132" ht="12.75"/>
    <row r="7133" ht="12.75"/>
    <row r="7134" ht="12.75"/>
    <row r="7135" ht="12.75"/>
    <row r="7136" ht="12.75"/>
    <row r="7137" ht="12.75"/>
    <row r="7138" ht="12.75"/>
    <row r="7139" ht="12.75"/>
    <row r="7140" ht="12.75"/>
    <row r="7141" ht="12.75"/>
    <row r="7142" ht="12.75"/>
    <row r="7143" ht="12.75"/>
    <row r="7144" ht="12.75"/>
    <row r="7145" ht="12.75"/>
    <row r="7146" ht="12.75"/>
    <row r="7147" ht="12.75"/>
    <row r="7148" ht="12.75"/>
    <row r="7149" ht="12.75"/>
    <row r="7150" ht="12.75"/>
    <row r="7151" ht="12.75"/>
    <row r="7152" ht="12.75"/>
    <row r="7153" ht="12.75"/>
    <row r="7154" ht="12.75"/>
    <row r="7155" ht="12.75"/>
    <row r="7156" ht="12.75"/>
    <row r="7157" ht="12.75"/>
    <row r="7158" ht="12.75"/>
    <row r="7159" ht="12.75"/>
    <row r="7160" ht="12.75"/>
    <row r="7161" ht="12.75"/>
    <row r="7162" ht="12.75"/>
    <row r="7163" ht="12.75"/>
    <row r="7164" ht="12.75"/>
    <row r="7165" ht="12.75"/>
    <row r="7166" ht="12.75"/>
    <row r="7167" ht="12.75"/>
    <row r="7168" ht="12.75"/>
    <row r="7169" ht="12.75"/>
    <row r="7170" ht="12.75"/>
    <row r="7171" ht="12.75"/>
    <row r="7172" ht="12.75"/>
    <row r="7173" ht="12.75"/>
    <row r="7174" ht="12.75"/>
    <row r="7175" ht="12.75"/>
    <row r="7176" ht="12.75"/>
    <row r="7177" ht="12.75"/>
    <row r="7178" ht="12.75"/>
    <row r="7179" ht="12.75"/>
    <row r="7180" ht="12.75"/>
    <row r="7181" ht="12.75"/>
    <row r="7182" ht="12.75"/>
    <row r="7183" ht="12.75"/>
    <row r="7184" ht="12.75"/>
    <row r="7185" ht="12.75"/>
    <row r="7186" ht="12.75"/>
    <row r="7187" ht="12.75"/>
    <row r="7188" ht="12.75"/>
    <row r="7189" ht="12.75"/>
    <row r="7190" ht="12.75"/>
    <row r="7191" ht="12.75"/>
    <row r="7192" ht="12.75"/>
    <row r="7193" ht="12.75"/>
    <row r="7194" ht="12.75"/>
    <row r="7195" ht="12.75"/>
    <row r="7196" ht="12.75"/>
    <row r="7197" ht="12.75"/>
    <row r="7198" ht="12.75"/>
    <row r="7199" ht="12.75"/>
    <row r="7200" ht="12.75"/>
    <row r="7201" ht="12.75"/>
    <row r="7202" ht="12.75"/>
    <row r="7203" ht="12.75"/>
    <row r="7204" ht="12.75"/>
    <row r="7205" ht="12.75"/>
    <row r="7206" ht="12.75"/>
    <row r="7207" ht="12.75"/>
    <row r="7208" ht="12.75"/>
    <row r="7209" ht="12.75"/>
    <row r="7210" ht="12.75"/>
    <row r="7211" ht="12.75"/>
    <row r="7212" ht="12.75"/>
    <row r="7213" ht="12.75"/>
    <row r="7214" ht="12.75"/>
    <row r="7215" ht="12.75"/>
    <row r="7216" ht="12.75"/>
    <row r="7217" ht="12.75"/>
    <row r="7218" ht="12.75"/>
    <row r="7219" ht="12.75"/>
    <row r="7220" ht="12.75"/>
    <row r="7221" ht="12.75"/>
    <row r="7222" ht="12.75"/>
    <row r="7223" ht="12.75"/>
    <row r="7224" ht="12.75"/>
    <row r="7225" ht="12.75"/>
    <row r="7226" ht="12.75"/>
    <row r="7227" ht="12.75"/>
    <row r="7228" ht="12.75"/>
    <row r="7229" ht="12.75"/>
    <row r="7230" ht="12.75"/>
    <row r="7231" ht="12.75"/>
    <row r="7232" ht="12.75"/>
    <row r="7233" ht="12.75"/>
    <row r="7234" ht="12.75"/>
    <row r="7235" ht="12.75"/>
    <row r="7236" ht="12.75"/>
    <row r="7237" ht="12.75"/>
    <row r="7238" ht="12.75"/>
    <row r="7239" ht="12.75"/>
    <row r="7240" ht="12.75"/>
    <row r="7241" ht="12.75"/>
    <row r="7242" ht="12.75"/>
    <row r="7243" ht="12.75"/>
    <row r="7244" ht="12.75"/>
    <row r="7245" ht="12.75"/>
    <row r="7246" ht="12.75"/>
    <row r="7247" ht="12.75"/>
    <row r="7248" ht="12.75"/>
    <row r="7249" ht="12.75"/>
    <row r="7250" ht="12.75"/>
    <row r="7251" ht="12.75"/>
    <row r="7252" ht="12.75"/>
    <row r="7253" ht="12.75"/>
    <row r="7254" ht="12.75"/>
    <row r="7255" ht="12.75"/>
    <row r="7256" ht="12.75"/>
    <row r="7257" ht="12.75"/>
    <row r="7258" ht="12.75"/>
    <row r="7259" ht="12.75"/>
    <row r="7260" ht="12.75"/>
    <row r="7261" ht="12.75"/>
    <row r="7262" ht="12.75"/>
    <row r="7263" ht="12.75"/>
    <row r="7264" ht="12.75"/>
    <row r="7265" ht="12.75"/>
    <row r="7266" ht="12.75"/>
    <row r="7267" ht="12.75"/>
    <row r="7268" ht="12.75"/>
    <row r="7269" ht="12.75"/>
    <row r="7270" ht="12.75"/>
    <row r="7271" ht="12.75"/>
    <row r="7272" ht="12.75"/>
    <row r="7273" ht="12.75"/>
    <row r="7274" ht="12.75"/>
    <row r="7275" ht="12.75"/>
    <row r="7276" ht="12.75"/>
    <row r="7277" ht="12.75"/>
    <row r="7278" ht="12.75"/>
    <row r="7279" ht="12.75"/>
    <row r="7280" ht="12.75"/>
    <row r="7281" ht="12.75"/>
    <row r="7282" ht="12.75"/>
    <row r="7283" ht="12.75"/>
    <row r="7284" ht="12.75"/>
    <row r="7285" ht="12.75"/>
    <row r="7286" ht="12.75"/>
    <row r="7287" ht="12.75"/>
    <row r="7288" ht="12.75"/>
    <row r="7289" ht="12.75"/>
    <row r="7290" ht="12.75"/>
    <row r="7291" ht="12.75"/>
    <row r="7292" ht="12.75"/>
    <row r="7293" ht="12.75"/>
    <row r="7294" ht="12.75"/>
    <row r="7295" ht="12.75"/>
    <row r="7296" ht="12.75"/>
    <row r="7297" ht="12.75"/>
    <row r="7298" ht="12.75"/>
    <row r="7299" ht="12.75"/>
    <row r="7300" ht="12.75"/>
    <row r="7301" ht="12.75"/>
    <row r="7302" ht="12.75"/>
    <row r="7303" ht="12.75"/>
    <row r="7304" ht="12.75"/>
    <row r="7305" ht="12.75"/>
    <row r="7306" ht="12.75"/>
    <row r="7307" ht="12.75"/>
    <row r="7308" ht="12.75"/>
    <row r="7309" ht="12.75"/>
    <row r="7310" ht="12.75"/>
    <row r="7311" ht="12.75"/>
    <row r="7312" ht="12.75"/>
    <row r="7313" ht="12.75"/>
    <row r="7314" ht="12.75"/>
    <row r="7315" ht="12.75"/>
    <row r="7316" ht="12.75"/>
    <row r="7317" ht="12.75"/>
    <row r="7318" ht="12.75"/>
    <row r="7319" ht="12.75"/>
    <row r="7320" ht="12.75"/>
    <row r="7321" ht="12.75"/>
    <row r="7322" ht="12.75"/>
    <row r="7323" ht="12.75"/>
    <row r="7324" ht="12.75"/>
    <row r="7325" ht="12.75"/>
    <row r="7326" ht="12.75"/>
    <row r="7327" ht="12.75"/>
    <row r="7328" ht="12.75"/>
    <row r="7329" ht="12.75"/>
    <row r="7330" ht="12.75"/>
    <row r="7331" ht="12.75"/>
    <row r="7332" ht="12.75"/>
    <row r="7333" ht="12.75"/>
    <row r="7334" ht="12.75"/>
    <row r="7335" ht="12.75"/>
    <row r="7336" ht="12.75"/>
    <row r="7337" ht="12.75"/>
    <row r="7338" ht="12.75"/>
    <row r="7339" ht="12.75"/>
    <row r="7340" ht="12.75"/>
    <row r="7341" ht="12.75"/>
    <row r="7342" ht="12.75"/>
    <row r="7343" ht="12.75"/>
    <row r="7344" ht="12.75"/>
    <row r="7345" ht="12.75"/>
    <row r="7346" ht="12.75"/>
    <row r="7347" ht="12.75"/>
    <row r="7348" ht="12.75"/>
    <row r="7349" ht="12.75"/>
    <row r="7350" ht="12.75"/>
    <row r="7351" ht="12.75"/>
    <row r="7352" ht="12.75"/>
    <row r="7353" ht="12.75"/>
    <row r="7354" ht="12.75"/>
    <row r="7355" ht="12.75"/>
    <row r="7356" ht="12.75"/>
    <row r="7357" ht="12.75"/>
    <row r="7358" ht="12.75"/>
    <row r="7359" ht="12.75"/>
    <row r="7360" ht="12.75"/>
    <row r="7361" ht="12.75"/>
    <row r="7362" ht="12.75"/>
    <row r="7363" ht="12.75"/>
    <row r="7364" ht="12.75"/>
    <row r="7365" ht="12.75"/>
    <row r="7366" ht="12.75"/>
    <row r="7367" ht="12.75"/>
    <row r="7368" ht="12.75"/>
    <row r="7369" ht="12.75"/>
    <row r="7370" ht="12.75"/>
    <row r="7371" ht="12.75"/>
    <row r="7372" ht="12.75"/>
    <row r="7373" ht="12.75"/>
    <row r="7374" ht="12.75"/>
    <row r="7375" ht="12.75"/>
    <row r="7376" ht="12.75"/>
    <row r="7377" ht="12.75"/>
    <row r="7378" ht="12.75"/>
    <row r="7379" ht="12.75"/>
    <row r="7380" ht="12.75"/>
    <row r="7381" ht="12.75"/>
    <row r="7382" ht="12.75"/>
    <row r="7383" ht="12.75"/>
    <row r="7384" ht="12.75"/>
    <row r="7385" ht="12.75"/>
    <row r="7386" ht="12.75"/>
    <row r="7387" ht="12.75"/>
    <row r="7388" ht="12.75"/>
    <row r="7389" ht="12.75"/>
    <row r="7390" ht="12.75"/>
    <row r="7391" ht="12.75"/>
    <row r="7392" ht="12.75"/>
    <row r="7393" ht="12.75"/>
    <row r="7394" ht="12.75"/>
    <row r="7395" ht="12.75"/>
    <row r="7396" ht="12.75"/>
    <row r="7397" ht="12.75"/>
    <row r="7398" ht="12.75"/>
    <row r="7399" ht="12.75"/>
    <row r="7400" ht="12.75"/>
    <row r="7401" ht="12.75"/>
    <row r="7402" ht="12.75"/>
    <row r="7403" ht="12.75"/>
    <row r="7404" ht="12.75"/>
    <row r="7405" ht="12.75"/>
    <row r="7406" ht="12.75"/>
    <row r="7407" ht="12.75"/>
    <row r="7408" ht="12.75"/>
    <row r="7409" ht="12.75"/>
    <row r="7410" ht="12.75"/>
    <row r="7411" ht="12.75"/>
    <row r="7412" ht="12.75"/>
    <row r="7413" ht="12.75"/>
    <row r="7414" ht="12.75"/>
    <row r="7415" ht="12.75"/>
    <row r="7416" ht="12.75"/>
    <row r="7417" ht="12.75"/>
    <row r="7418" ht="12.75"/>
    <row r="7419" ht="12.75"/>
    <row r="7420" ht="12.75"/>
    <row r="7421" ht="12.75"/>
    <row r="7422" ht="12.75"/>
    <row r="7423" ht="12.75"/>
    <row r="7424" ht="12.75"/>
    <row r="7425" ht="12.75"/>
    <row r="7426" ht="12.75"/>
    <row r="7427" ht="12.75"/>
    <row r="7428" ht="12.75"/>
    <row r="7429" ht="12.75"/>
    <row r="7430" ht="12.75"/>
    <row r="7431" ht="12.75"/>
    <row r="7432" ht="12.75"/>
    <row r="7433" ht="12.75"/>
    <row r="7434" ht="12.75"/>
    <row r="7435" ht="12.75"/>
    <row r="7436" ht="12.75"/>
    <row r="7437" ht="12.75"/>
    <row r="7438" ht="12.75"/>
    <row r="7439" ht="12.75"/>
    <row r="7440" ht="12.75"/>
    <row r="7441" ht="12.75"/>
    <row r="7442" ht="12.75"/>
    <row r="7443" ht="12.75"/>
    <row r="7444" ht="12.75"/>
    <row r="7445" ht="12.75"/>
    <row r="7446" ht="12.75"/>
    <row r="7447" ht="12.75"/>
    <row r="7448" ht="12.75"/>
    <row r="7449" ht="12.75"/>
    <row r="7450" ht="12.75"/>
    <row r="7451" ht="12.75"/>
    <row r="7452" ht="12.75"/>
    <row r="7453" ht="12.75"/>
    <row r="7454" ht="12.75"/>
    <row r="7455" ht="12.75"/>
    <row r="7456" ht="12.75"/>
    <row r="7457" ht="12.75"/>
    <row r="7458" ht="12.75"/>
    <row r="7459" ht="12.75"/>
    <row r="7460" ht="12.75"/>
    <row r="7461" ht="12.75"/>
    <row r="7462" ht="12.75"/>
    <row r="7463" ht="12.75"/>
    <row r="7464" ht="12.75"/>
    <row r="7465" ht="12.75"/>
    <row r="7466" ht="12.75"/>
    <row r="7467" ht="12.75"/>
    <row r="7468" ht="12.75"/>
    <row r="7469" ht="12.75"/>
    <row r="7470" ht="12.75"/>
    <row r="7471" ht="12.75"/>
    <row r="7472" ht="12.75"/>
    <row r="7473" ht="12.75"/>
    <row r="7474" ht="12.75"/>
    <row r="7475" ht="12.75"/>
    <row r="7476" ht="12.75"/>
    <row r="7477" ht="12.75"/>
    <row r="7478" ht="12.75"/>
    <row r="7479" ht="12.75"/>
    <row r="7480" ht="12.75"/>
    <row r="7481" ht="12.75"/>
    <row r="7482" ht="12.75"/>
    <row r="7483" ht="12.75"/>
    <row r="7484" ht="12.75"/>
    <row r="7485" ht="12.75"/>
    <row r="7486" ht="12.75"/>
    <row r="7487" ht="12.75"/>
    <row r="7488" ht="12.75"/>
    <row r="7489" ht="12.75"/>
    <row r="7490" ht="12.75"/>
    <row r="7491" ht="12.75"/>
    <row r="7492" ht="12.75"/>
    <row r="7493" ht="12.75"/>
    <row r="7494" ht="12.75"/>
    <row r="7495" ht="12.75"/>
    <row r="7496" ht="12.75"/>
    <row r="7497" ht="12.75"/>
    <row r="7498" ht="12.75"/>
    <row r="7499" ht="12.75"/>
    <row r="7500" ht="12.75"/>
    <row r="7501" ht="12.75"/>
    <row r="7502" ht="12.75"/>
    <row r="7503" ht="12.75"/>
    <row r="7504" ht="12.75"/>
    <row r="7505" ht="12.75"/>
    <row r="7506" ht="12.75"/>
    <row r="7507" ht="12.75"/>
    <row r="7508" ht="12.75"/>
    <row r="7509" ht="12.75"/>
    <row r="7510" ht="12.75"/>
    <row r="7511" ht="12.75"/>
    <row r="7512" ht="12.75"/>
    <row r="7513" ht="12.75"/>
    <row r="7514" ht="12.75"/>
    <row r="7515" ht="12.75"/>
    <row r="7516" ht="12.75"/>
    <row r="7517" ht="12.75"/>
    <row r="7518" ht="12.75"/>
    <row r="7519" ht="12.75"/>
    <row r="7520" ht="12.75"/>
    <row r="7521" ht="12.75"/>
    <row r="7522" ht="12.75"/>
    <row r="7523" ht="12.75"/>
    <row r="7524" ht="12.75"/>
    <row r="7525" ht="12.75"/>
    <row r="7526" ht="12.75"/>
    <row r="7527" ht="12.75"/>
    <row r="7528" ht="12.75"/>
    <row r="7529" ht="12.75"/>
    <row r="7530" ht="12.75"/>
    <row r="7531" ht="12.75"/>
    <row r="7532" ht="12.75"/>
    <row r="7533" ht="12.75"/>
    <row r="7534" ht="12.75"/>
    <row r="7535" ht="12.75"/>
    <row r="7536" ht="12.75"/>
    <row r="7537" ht="12.75"/>
    <row r="7538" ht="12.75"/>
    <row r="7539" ht="12.75"/>
    <row r="7540" ht="12.75"/>
    <row r="7541" ht="12.75"/>
    <row r="7542" ht="12.75"/>
    <row r="7543" ht="12.75"/>
    <row r="7544" ht="12.75"/>
    <row r="7545" ht="12.75"/>
    <row r="7546" ht="12.75"/>
    <row r="7547" ht="12.75"/>
    <row r="7548" ht="12.75"/>
    <row r="7549" ht="12.75"/>
    <row r="7550" ht="12.75"/>
    <row r="7551" ht="12.75"/>
    <row r="7552" ht="12.75"/>
    <row r="7553" ht="12.75"/>
    <row r="7554" ht="12.75"/>
    <row r="7555" ht="12.75"/>
    <row r="7556" ht="12.75"/>
    <row r="7557" ht="12.75"/>
    <row r="7558" ht="12.75"/>
    <row r="7559" ht="12.75"/>
    <row r="7560" ht="12.75"/>
    <row r="7561" ht="12.75"/>
    <row r="7562" ht="12.75"/>
    <row r="7563" ht="12.75"/>
    <row r="7564" ht="12.75"/>
    <row r="7565" ht="12.75"/>
    <row r="7566" ht="12.75"/>
    <row r="7567" ht="12.75"/>
    <row r="7568" ht="12.75"/>
    <row r="7569" ht="12.75"/>
    <row r="7570" ht="12.75"/>
    <row r="7571" ht="12.75"/>
    <row r="7572" ht="12.75"/>
    <row r="7573" ht="12.75"/>
    <row r="7574" ht="12.75"/>
    <row r="7575" ht="12.75"/>
    <row r="7576" ht="12.75"/>
    <row r="7577" ht="12.75"/>
    <row r="7578" ht="12.75"/>
    <row r="7579" ht="12.75"/>
    <row r="7580" ht="12.75"/>
    <row r="7581" ht="12.75"/>
    <row r="7582" ht="12.75"/>
    <row r="7583" ht="12.75"/>
    <row r="7584" ht="12.75"/>
    <row r="7585" ht="12.75"/>
    <row r="7586" ht="12.75"/>
    <row r="7587" ht="12.75"/>
    <row r="7588" ht="12.75"/>
    <row r="7589" ht="12.75"/>
    <row r="7590" ht="12.75"/>
    <row r="7591" ht="12.75"/>
    <row r="7592" ht="12.75"/>
    <row r="7593" ht="12.75"/>
    <row r="7594" ht="12.75"/>
    <row r="7595" ht="12.75"/>
    <row r="7596" ht="12.75"/>
    <row r="7597" ht="12.75"/>
    <row r="7598" ht="12.75"/>
    <row r="7599" ht="12.75"/>
    <row r="7600" ht="12.75"/>
    <row r="7601" ht="12.75"/>
    <row r="7602" ht="12.75"/>
    <row r="7603" ht="12.75"/>
    <row r="7604" ht="12.75"/>
    <row r="7605" ht="12.75"/>
    <row r="7606" ht="12.75"/>
    <row r="7607" ht="12.75"/>
    <row r="7608" ht="12.75"/>
    <row r="7609" ht="12.75"/>
    <row r="7610" ht="12.75"/>
    <row r="7611" ht="12.75"/>
    <row r="7612" ht="12.75"/>
    <row r="7613" ht="12.75"/>
    <row r="7614" ht="12.75"/>
    <row r="7615" ht="12.75"/>
    <row r="7616" ht="12.75"/>
    <row r="7617" ht="12.75"/>
    <row r="7618" ht="12.75"/>
    <row r="7619" ht="12.75"/>
    <row r="7620" ht="12.75"/>
    <row r="7621" ht="12.75"/>
    <row r="7622" ht="12.75"/>
    <row r="7623" ht="12.75"/>
    <row r="7624" ht="12.75"/>
    <row r="7625" ht="12.75"/>
    <row r="7626" ht="12.75"/>
    <row r="7627" ht="12.75"/>
    <row r="7628" ht="12.75"/>
    <row r="7629" ht="12.75"/>
    <row r="7630" ht="12.75"/>
    <row r="7631" ht="12.75"/>
    <row r="7632" ht="12.75"/>
    <row r="7633" ht="12.75"/>
    <row r="7634" ht="12.75"/>
    <row r="7635" ht="12.75"/>
    <row r="7636" ht="12.75"/>
    <row r="7637" ht="12.75"/>
    <row r="7638" ht="12.75"/>
    <row r="7639" ht="12.75"/>
    <row r="7640" ht="12.75"/>
    <row r="7641" ht="12.75"/>
    <row r="7642" ht="12.75"/>
    <row r="7643" ht="12.75"/>
    <row r="7644" ht="12.75"/>
    <row r="7645" ht="12.75"/>
    <row r="7646" ht="12.75"/>
    <row r="7647" ht="12.75"/>
    <row r="7648" ht="12.75"/>
    <row r="7649" ht="12.75"/>
    <row r="7650" ht="12.75"/>
    <row r="7651" ht="12.75"/>
    <row r="7652" ht="12.75"/>
    <row r="7653" ht="12.75"/>
    <row r="7654" ht="12.75"/>
    <row r="7655" ht="12.75"/>
    <row r="7656" ht="12.75"/>
    <row r="7657" ht="12.75"/>
    <row r="7658" ht="12.75"/>
    <row r="7659" ht="12.75"/>
    <row r="7660" ht="12.75"/>
    <row r="7661" ht="12.75"/>
    <row r="7662" ht="12.75"/>
    <row r="7663" ht="12.75"/>
    <row r="7664" ht="12.75"/>
    <row r="7665" ht="12.75"/>
    <row r="7666" ht="12.75"/>
    <row r="7667" ht="12.75"/>
    <row r="7668" ht="12.75"/>
    <row r="7669" ht="12.75"/>
    <row r="7670" ht="12.75"/>
    <row r="7671" ht="12.75"/>
    <row r="7672" ht="12.75"/>
    <row r="7673" ht="12.75"/>
    <row r="7674" ht="12.75"/>
    <row r="7675" ht="12.75"/>
    <row r="7676" ht="12.75"/>
    <row r="7677" ht="12.75"/>
    <row r="7678" ht="12.75"/>
    <row r="7679" ht="12.75"/>
    <row r="7680" ht="12.75"/>
    <row r="7681" ht="12.75"/>
    <row r="7682" ht="12.75"/>
    <row r="7683" ht="12.75"/>
    <row r="7684" ht="12.75"/>
    <row r="7685" ht="12.75"/>
    <row r="7686" ht="12.75"/>
    <row r="7687" ht="12.75"/>
    <row r="7688" ht="12.75"/>
    <row r="7689" ht="12.75"/>
    <row r="7690" ht="12.75"/>
    <row r="7691" ht="12.75"/>
    <row r="7692" ht="12.75"/>
    <row r="7693" ht="12.75"/>
    <row r="7694" ht="12.75"/>
    <row r="7695" ht="12.75"/>
    <row r="7696" ht="12.75"/>
    <row r="7697" ht="12.75"/>
    <row r="7698" ht="12.75"/>
    <row r="7699" ht="12.75"/>
    <row r="7700" ht="12.75"/>
    <row r="7701" ht="12.75"/>
    <row r="7702" ht="12.75"/>
    <row r="7703" ht="12.75"/>
    <row r="7704" ht="12.75"/>
    <row r="7705" ht="12.75"/>
    <row r="7706" ht="12.75"/>
    <row r="7707" ht="12.75"/>
    <row r="7708" ht="12.75"/>
    <row r="7709" ht="12.75"/>
    <row r="7710" ht="12.75"/>
    <row r="7711" ht="12.75"/>
    <row r="7712" ht="12.75"/>
    <row r="7713" ht="12.75"/>
    <row r="7714" ht="12.75"/>
    <row r="7715" ht="12.75"/>
    <row r="7716" ht="12.75"/>
    <row r="7717" ht="12.75"/>
    <row r="7718" ht="12.75"/>
    <row r="7719" ht="12.75"/>
    <row r="7720" ht="12.75"/>
    <row r="7721" ht="12.75"/>
    <row r="7722" ht="12.75"/>
    <row r="7723" ht="12.75"/>
    <row r="7724" ht="12.75"/>
    <row r="7725" ht="12.75"/>
    <row r="7726" ht="12.75"/>
    <row r="7727" ht="12.75"/>
    <row r="7728" ht="12.75"/>
    <row r="7729" ht="12.75"/>
    <row r="7730" ht="12.75"/>
    <row r="7731" ht="12.75"/>
    <row r="7732" ht="12.75"/>
    <row r="7733" ht="12.75"/>
    <row r="7734" ht="12.75"/>
    <row r="7735" ht="12.75"/>
    <row r="7736" ht="12.75"/>
    <row r="7737" ht="12.75"/>
    <row r="7738" ht="12.75"/>
    <row r="7739" ht="12.75"/>
    <row r="7740" ht="12.75"/>
    <row r="7741" ht="12.75"/>
    <row r="7742" ht="12.75"/>
    <row r="7743" ht="12.75"/>
    <row r="7744" ht="12.75"/>
    <row r="7745" ht="12.75"/>
    <row r="7746" ht="12.75"/>
    <row r="7747" ht="12.75"/>
    <row r="7748" ht="12.75"/>
    <row r="7749" ht="12.75"/>
    <row r="7750" ht="12.75"/>
    <row r="7751" ht="12.75"/>
    <row r="7752" ht="12.75"/>
    <row r="7753" ht="12.75"/>
    <row r="7754" ht="12.75"/>
    <row r="7755" ht="12.75"/>
    <row r="7756" ht="12.75"/>
    <row r="7757" ht="12.75"/>
    <row r="7758" ht="12.75"/>
    <row r="7759" ht="12.75"/>
    <row r="7760" ht="12.75"/>
    <row r="7761" ht="12.75"/>
    <row r="7762" ht="12.75"/>
    <row r="7763" ht="12.75"/>
    <row r="7764" ht="12.75"/>
    <row r="7765" ht="12.75"/>
    <row r="7766" ht="12.75"/>
    <row r="7767" ht="12.75"/>
    <row r="7768" ht="12.75"/>
    <row r="7769" ht="12.75"/>
    <row r="7770" ht="12.75"/>
    <row r="7771" ht="12.75"/>
    <row r="7772" ht="12.75"/>
    <row r="7773" ht="12.75"/>
    <row r="7774" ht="12.75"/>
    <row r="7775" ht="12.75"/>
    <row r="7776" ht="12.75"/>
    <row r="7777" ht="12.75"/>
    <row r="7778" ht="12.75"/>
    <row r="7779" ht="12.75"/>
    <row r="7780" ht="12.75"/>
    <row r="7781" ht="12.75"/>
    <row r="7782" ht="12.75"/>
    <row r="7783" ht="12.75"/>
    <row r="7784" ht="12.75"/>
    <row r="7785" ht="12.75"/>
    <row r="7786" ht="12.75"/>
    <row r="7787" ht="12.75"/>
    <row r="7788" ht="12.75"/>
    <row r="7789" ht="12.75"/>
    <row r="7790" ht="12.75"/>
    <row r="7791" ht="12.75"/>
    <row r="7792" ht="12.75"/>
    <row r="7793" ht="12.75"/>
    <row r="7794" ht="12.75"/>
    <row r="7795" ht="12.75"/>
    <row r="7796" ht="12.75"/>
    <row r="7797" ht="12.75"/>
    <row r="7798" ht="12.75"/>
    <row r="7799" ht="12.75"/>
    <row r="7800" ht="12.75"/>
    <row r="7801" ht="12.75"/>
    <row r="7802" ht="12.75"/>
    <row r="7803" ht="12.75"/>
    <row r="7804" ht="12.75"/>
    <row r="7805" ht="12.75"/>
    <row r="7806" ht="12.75"/>
    <row r="7807" ht="12.75"/>
    <row r="7808" ht="12.75"/>
    <row r="7809" ht="12.75"/>
    <row r="7810" ht="12.75"/>
    <row r="7811" ht="12.75"/>
    <row r="7812" ht="12.75"/>
    <row r="7813" ht="12.75"/>
    <row r="7814" ht="12.75"/>
    <row r="7815" ht="12.75"/>
    <row r="7816" ht="12.75"/>
    <row r="7817" ht="12.75"/>
    <row r="7818" ht="12.75"/>
    <row r="7819" ht="12.75"/>
    <row r="7820" ht="12.75"/>
    <row r="7821" ht="12.75"/>
    <row r="7822" ht="12.75"/>
    <row r="7823" ht="12.75"/>
    <row r="7824" ht="12.75"/>
    <row r="7825" ht="12.75"/>
    <row r="7826" ht="12.75"/>
    <row r="7827" ht="12.75"/>
    <row r="7828" ht="12.75"/>
    <row r="7829" ht="12.75"/>
    <row r="7830" ht="12.75"/>
    <row r="7831" ht="12.75"/>
    <row r="7832" ht="12.75"/>
    <row r="7833" ht="12.75"/>
    <row r="7834" ht="12.75"/>
    <row r="7835" ht="12.75"/>
    <row r="7836" ht="12.75"/>
    <row r="7837" ht="12.75"/>
    <row r="7838" ht="12.75"/>
    <row r="7839" ht="12.75"/>
    <row r="7840" ht="12.75"/>
    <row r="7841" ht="12.75"/>
    <row r="7842" ht="12.75"/>
    <row r="7843" ht="12.75"/>
    <row r="7844" ht="12.75"/>
    <row r="7845" ht="12.75"/>
    <row r="7846" ht="12.75"/>
    <row r="7847" ht="12.75"/>
    <row r="7848" ht="12.75"/>
    <row r="7849" ht="12.75"/>
    <row r="7850" ht="12.75"/>
    <row r="7851" ht="12.75"/>
    <row r="7852" ht="12.75"/>
    <row r="7853" ht="12.75"/>
    <row r="7854" ht="12.75"/>
    <row r="7855" ht="12.75"/>
    <row r="7856" ht="12.75"/>
    <row r="7857" ht="12.75"/>
    <row r="7858" ht="12.75"/>
    <row r="7859" ht="12.75"/>
    <row r="7860" ht="12.75"/>
    <row r="7861" ht="12.75"/>
    <row r="7862" ht="12.75"/>
    <row r="7863" ht="12.75"/>
    <row r="7864" ht="12.75"/>
    <row r="7865" ht="12.75"/>
    <row r="7866" ht="12.75"/>
    <row r="7867" ht="12.75"/>
    <row r="7868" ht="12.75"/>
    <row r="7869" ht="12.75"/>
    <row r="7870" ht="12.75"/>
    <row r="7871" ht="12.75"/>
    <row r="7872" ht="12.75"/>
    <row r="7873" ht="12.75"/>
    <row r="7874" ht="12.75"/>
    <row r="7875" ht="12.75"/>
    <row r="7876" ht="12.75"/>
    <row r="7877" ht="12.75"/>
    <row r="7878" ht="12.75"/>
    <row r="7879" ht="12.75"/>
    <row r="7880" ht="12.75"/>
    <row r="7881" ht="12.75"/>
    <row r="7882" ht="12.75"/>
    <row r="7883" ht="12.75"/>
    <row r="7884" ht="12.75"/>
    <row r="7885" ht="12.75"/>
    <row r="7886" ht="12.75"/>
    <row r="7887" ht="12.75"/>
    <row r="7888" ht="12.75"/>
    <row r="7889" ht="12.75"/>
    <row r="7890" ht="12.75"/>
    <row r="7891" ht="12.75"/>
    <row r="7892" ht="12.75"/>
    <row r="7893" ht="12.75"/>
    <row r="7894" ht="12.75"/>
    <row r="7895" ht="12.75"/>
    <row r="7896" ht="12.75"/>
    <row r="7897" ht="12.75"/>
    <row r="7898" ht="12.75"/>
    <row r="7899" ht="12.75"/>
    <row r="7900" ht="12.75"/>
    <row r="7901" ht="12.75"/>
    <row r="7902" ht="12.75"/>
    <row r="7903" ht="12.75"/>
    <row r="7904" ht="12.75"/>
    <row r="7905" ht="12.75"/>
    <row r="7906" ht="12.75"/>
    <row r="7907" ht="12.75"/>
    <row r="7908" ht="12.75"/>
    <row r="7909" ht="12.75"/>
    <row r="7910" ht="12.75"/>
    <row r="7911" ht="12.75"/>
    <row r="7912" ht="12.75"/>
    <row r="7913" ht="12.75"/>
    <row r="7914" ht="12.75"/>
    <row r="7915" ht="12.75"/>
    <row r="7916" ht="12.75"/>
    <row r="7917" ht="12.75"/>
    <row r="7918" ht="12.75"/>
    <row r="7919" ht="12.75"/>
    <row r="7920" ht="12.75"/>
    <row r="7921" ht="12.75"/>
    <row r="7922" ht="12.75"/>
    <row r="7923" ht="12.75"/>
    <row r="7924" ht="12.75"/>
    <row r="7925" ht="12.75"/>
    <row r="7926" ht="12.75"/>
    <row r="7927" ht="12.75"/>
    <row r="7928" ht="12.75"/>
    <row r="7929" ht="12.75"/>
    <row r="7930" ht="12.75"/>
    <row r="7931" ht="12.75"/>
    <row r="7932" ht="12.75"/>
    <row r="7933" ht="12.75"/>
    <row r="7934" ht="12.75"/>
    <row r="7935" ht="12.75"/>
    <row r="7936" ht="12.75"/>
    <row r="7937" ht="12.75"/>
    <row r="7938" ht="12.75"/>
    <row r="7939" ht="12.75"/>
    <row r="7940" ht="12.75"/>
    <row r="7941" ht="12.75"/>
    <row r="7942" ht="12.75"/>
    <row r="7943" ht="12.75"/>
    <row r="7944" ht="12.75"/>
    <row r="7945" ht="12.75"/>
    <row r="7946" ht="12.75"/>
    <row r="7947" ht="12.75"/>
    <row r="7948" ht="12.75"/>
    <row r="7949" ht="12.75"/>
    <row r="7950" ht="12.75"/>
    <row r="7951" ht="12.75"/>
    <row r="7952" ht="12.75"/>
    <row r="7953" ht="12.75"/>
    <row r="7954" ht="12.75"/>
    <row r="7955" ht="12.75"/>
    <row r="7956" ht="12.75"/>
    <row r="7957" ht="12.75"/>
    <row r="7958" ht="12.75"/>
    <row r="7959" ht="12.75"/>
    <row r="7960" ht="12.75"/>
    <row r="7961" ht="12.75"/>
    <row r="7962" ht="12.75"/>
    <row r="7963" ht="12.75"/>
    <row r="7964" ht="12.75"/>
    <row r="7965" ht="12.75"/>
    <row r="7966" ht="12.75"/>
    <row r="7967" ht="12.75"/>
    <row r="7968" ht="12.75"/>
    <row r="7969" ht="12.75"/>
    <row r="7970" ht="12.75"/>
    <row r="7971" ht="12.75"/>
    <row r="7972" ht="12.75"/>
    <row r="7973" ht="12.75"/>
    <row r="7974" ht="12.75"/>
    <row r="7975" ht="12.75"/>
    <row r="7976" ht="12.75"/>
    <row r="7977" ht="12.75"/>
    <row r="7978" ht="12.75"/>
    <row r="7979" ht="12.75"/>
    <row r="7980" ht="12.75"/>
    <row r="7981" ht="12.75"/>
    <row r="7982" ht="12.75"/>
    <row r="7983" ht="12.75"/>
    <row r="7984" ht="12.75"/>
    <row r="7985" ht="12.75"/>
    <row r="7986" ht="12.75"/>
    <row r="7987" ht="12.75"/>
    <row r="7988" ht="12.75"/>
    <row r="7989" ht="12.75"/>
    <row r="7990" ht="12.75"/>
    <row r="7991" ht="12.75"/>
    <row r="7992" ht="12.75"/>
    <row r="7993" ht="12.75"/>
    <row r="7994" ht="12.75"/>
    <row r="7995" ht="12.75"/>
    <row r="7996" ht="12.75"/>
    <row r="7997" ht="12.75"/>
    <row r="7998" ht="12.75"/>
    <row r="7999" ht="12.75"/>
    <row r="8000" ht="12.75"/>
    <row r="8001" ht="12.75"/>
    <row r="8002" ht="12.75"/>
    <row r="8003" ht="12.75"/>
    <row r="8004" ht="12.75"/>
    <row r="8005" ht="12.75"/>
    <row r="8006" ht="12.75"/>
    <row r="8007" ht="12.75"/>
    <row r="8008" ht="12.75"/>
    <row r="8009" ht="12.75"/>
    <row r="8010" ht="12.75"/>
    <row r="8011" ht="12.75"/>
    <row r="8012" ht="12.75"/>
    <row r="8013" ht="12.75"/>
    <row r="8014" ht="12.75"/>
    <row r="8015" ht="12.75"/>
    <row r="8016" ht="12.75"/>
    <row r="8017" ht="12.75"/>
    <row r="8018" ht="12.75"/>
    <row r="8019" ht="12.75"/>
    <row r="8020" ht="12.75"/>
    <row r="8021" ht="12.75"/>
    <row r="8022" ht="12.75"/>
    <row r="8023" ht="12.75"/>
    <row r="8024" ht="12.75"/>
    <row r="8025" ht="12.75"/>
    <row r="8026" ht="12.75"/>
    <row r="8027" ht="12.75"/>
    <row r="8028" ht="12.75"/>
    <row r="8029" ht="12.75"/>
    <row r="8030" ht="12.75"/>
    <row r="8031" ht="12.75"/>
    <row r="8032" ht="12.75"/>
    <row r="8033" ht="12.75"/>
    <row r="8034" ht="12.75"/>
    <row r="8035" ht="12.75"/>
    <row r="8036" ht="12.75"/>
    <row r="8037" ht="12.75"/>
    <row r="8038" ht="12.75"/>
    <row r="8039" ht="12.75"/>
    <row r="8040" ht="12.75"/>
    <row r="8041" ht="12.75"/>
    <row r="8042" ht="12.75"/>
    <row r="8043" ht="12.75"/>
    <row r="8044" ht="12.75"/>
    <row r="8045" ht="12.75"/>
    <row r="8046" ht="12.75"/>
    <row r="8047" ht="12.75"/>
    <row r="8048" ht="12.75"/>
    <row r="8049" ht="12.75"/>
    <row r="8050" ht="12.75"/>
    <row r="8051" ht="12.75"/>
    <row r="8052" ht="12.75"/>
    <row r="8053" ht="12.75"/>
    <row r="8054" ht="12.75"/>
    <row r="8055" ht="12.75"/>
    <row r="8056" ht="12.75"/>
    <row r="8057" ht="12.75"/>
    <row r="8058" ht="12.75"/>
    <row r="8059" ht="12.75"/>
    <row r="8060" ht="12.75"/>
    <row r="8061" ht="12.75"/>
    <row r="8062" ht="12.75"/>
    <row r="8063" ht="12.75"/>
    <row r="8064" ht="12.75"/>
    <row r="8065" ht="12.75"/>
    <row r="8066" ht="12.75"/>
    <row r="8067" ht="12.75"/>
    <row r="8068" ht="12.75"/>
    <row r="8069" ht="12.75"/>
    <row r="8070" ht="12.75"/>
    <row r="8071" ht="12.75"/>
    <row r="8072" ht="12.75"/>
    <row r="8073" ht="12.75"/>
    <row r="8074" ht="12.75"/>
    <row r="8075" ht="12.75"/>
    <row r="8076" ht="12.75"/>
    <row r="8077" ht="12.75"/>
    <row r="8078" ht="12.75"/>
    <row r="8079" ht="12.75"/>
    <row r="8080" ht="12.75"/>
    <row r="8081" ht="12.75"/>
    <row r="8082" ht="12.75"/>
    <row r="8083" ht="12.75"/>
    <row r="8084" ht="12.75"/>
    <row r="8085" ht="12.75"/>
    <row r="8086" ht="12.75"/>
    <row r="8087" ht="12.75"/>
    <row r="8088" ht="12.75"/>
    <row r="8089" ht="12.75"/>
    <row r="8090" ht="12.75"/>
    <row r="8091" ht="12.75"/>
    <row r="8092" ht="12.75"/>
    <row r="8093" ht="12.75"/>
    <row r="8094" ht="12.75"/>
    <row r="8095" ht="12.75"/>
    <row r="8096" ht="12.75"/>
    <row r="8097" ht="12.75"/>
    <row r="8098" ht="12.75"/>
    <row r="8099" ht="12.75"/>
    <row r="8100" ht="12.75"/>
    <row r="8101" ht="12.75"/>
    <row r="8102" ht="12.75"/>
    <row r="8103" ht="12.75"/>
    <row r="8104" ht="12.75"/>
    <row r="8105" ht="12.75"/>
    <row r="8106" ht="12.75"/>
    <row r="8107" ht="12.75"/>
    <row r="8108" ht="12.75"/>
    <row r="8109" ht="12.75"/>
    <row r="8110" ht="12.75"/>
    <row r="8111" ht="12.75"/>
    <row r="8112" ht="12.75"/>
    <row r="8113" ht="12.75"/>
    <row r="8114" ht="12.75"/>
    <row r="8115" ht="12.75"/>
    <row r="8116" ht="12.75"/>
    <row r="8117" ht="12.75"/>
    <row r="8118" ht="12.75"/>
    <row r="8119" ht="12.75"/>
    <row r="8120" ht="12.75"/>
    <row r="8121" ht="12.75"/>
    <row r="8122" ht="12.75"/>
    <row r="8123" ht="12.75"/>
    <row r="8124" ht="12.75"/>
    <row r="8125" ht="12.75"/>
    <row r="8126" ht="12.75"/>
    <row r="8127" ht="12.75"/>
    <row r="8128" ht="12.75"/>
    <row r="8129" ht="12.75"/>
    <row r="8130" ht="12.75"/>
    <row r="8131" ht="12.75"/>
    <row r="8132" ht="12.75"/>
    <row r="8133" ht="12.75"/>
    <row r="8134" ht="12.75"/>
    <row r="8135" ht="12.75"/>
    <row r="8136" ht="12.75"/>
    <row r="8137" ht="12.75"/>
    <row r="8138" ht="12.75"/>
    <row r="8139" ht="12.75"/>
    <row r="8140" ht="12.75"/>
    <row r="8141" ht="12.75"/>
    <row r="8142" ht="12.75"/>
    <row r="8143" ht="12.75"/>
    <row r="8144" ht="12.75"/>
    <row r="8145" ht="12.75"/>
    <row r="8146" ht="12.75"/>
    <row r="8147" ht="12.75"/>
    <row r="8148" ht="12.75"/>
    <row r="8149" ht="12.75"/>
    <row r="8150" ht="12.75"/>
    <row r="8151" ht="12.75"/>
    <row r="8152" ht="12.75"/>
    <row r="8153" ht="12.75"/>
    <row r="8154" ht="12.75"/>
    <row r="8155" ht="12.75"/>
    <row r="8156" ht="12.75"/>
    <row r="8157" ht="12.75"/>
    <row r="8158" ht="12.75"/>
    <row r="8159" ht="12.75"/>
    <row r="8160" ht="12.75"/>
    <row r="8161" ht="12.75"/>
    <row r="8162" ht="12.75"/>
    <row r="8163" ht="12.75"/>
    <row r="8164" ht="12.75"/>
    <row r="8165" ht="12.75"/>
    <row r="8166" ht="12.75"/>
    <row r="8167" ht="12.75"/>
    <row r="8168" ht="12.75"/>
    <row r="8169" ht="12.75"/>
    <row r="8170" ht="12.75"/>
    <row r="8171" ht="12.75"/>
    <row r="8172" ht="12.75"/>
    <row r="8173" ht="12.75"/>
    <row r="8174" ht="12.75"/>
    <row r="8175" ht="12.75"/>
    <row r="8176" ht="12.75"/>
    <row r="8177" ht="12.75"/>
    <row r="8178" ht="12.75"/>
    <row r="8179" ht="12.75"/>
    <row r="8180" ht="12.75"/>
    <row r="8181" ht="12.75"/>
    <row r="8182" ht="12.75"/>
    <row r="8183" ht="12.75"/>
    <row r="8184" ht="12.75"/>
    <row r="8185" ht="12.75"/>
    <row r="8186" ht="12.75"/>
    <row r="8187" ht="12.75"/>
    <row r="8188" ht="12.75"/>
    <row r="8189" ht="12.75"/>
    <row r="8190" ht="12.75"/>
    <row r="8191" ht="12.75"/>
    <row r="8192" ht="12.75"/>
    <row r="8193" ht="12.75"/>
    <row r="8194" ht="12.75"/>
    <row r="8195" ht="12.75"/>
    <row r="8196" ht="12.75"/>
    <row r="8197" ht="12.75"/>
    <row r="8198" ht="12.75"/>
    <row r="8199" ht="12.75"/>
    <row r="8200" ht="12.75"/>
    <row r="8201" ht="12.75"/>
    <row r="8202" ht="12.75"/>
    <row r="8203" ht="12.75"/>
    <row r="8204" ht="12.75"/>
    <row r="8205" ht="12.75"/>
    <row r="8206" ht="12.75"/>
    <row r="8207" ht="12.75"/>
    <row r="8208" ht="12.75"/>
    <row r="8209" ht="12.75"/>
    <row r="8210" ht="12.75"/>
    <row r="8211" ht="12.75"/>
    <row r="8212" ht="12.75"/>
    <row r="8213" ht="12.75"/>
    <row r="8214" ht="12.75"/>
    <row r="8215" ht="12.75"/>
    <row r="8216" ht="12.75"/>
    <row r="8217" ht="12.75"/>
    <row r="8218" ht="12.75"/>
    <row r="8219" ht="12.75"/>
    <row r="8220" ht="12.75"/>
    <row r="8221" ht="12.75"/>
    <row r="8222" ht="12.75"/>
    <row r="8223" ht="12.75"/>
    <row r="8224" ht="12.75"/>
    <row r="8225" ht="12.75"/>
    <row r="8226" ht="12.75"/>
    <row r="8227" ht="12.75"/>
    <row r="8228" ht="12.75"/>
    <row r="8229" ht="12.75"/>
    <row r="8230" ht="12.75"/>
    <row r="8231" ht="12.75"/>
    <row r="8232" ht="12.75"/>
    <row r="8233" ht="12.75"/>
    <row r="8234" ht="12.75"/>
    <row r="8235" ht="12.75"/>
    <row r="8236" ht="12.75"/>
    <row r="8237" ht="12.75"/>
    <row r="8238" ht="12.75"/>
    <row r="8239" ht="12.75"/>
    <row r="8240" ht="12.75"/>
    <row r="8241" ht="12.75"/>
    <row r="8242" ht="12.75"/>
    <row r="8243" ht="12.75"/>
    <row r="8244" ht="12.75"/>
    <row r="8245" ht="12.75"/>
    <row r="8246" ht="12.75"/>
    <row r="8247" ht="12.75"/>
    <row r="8248" ht="12.75"/>
    <row r="8249" ht="12.75"/>
    <row r="8250" ht="12.75"/>
    <row r="8251" ht="12.75"/>
    <row r="8252" ht="12.75"/>
    <row r="8253" ht="12.75"/>
    <row r="8254" ht="12.75"/>
    <row r="8255" ht="12.75"/>
    <row r="8256" ht="12.75"/>
    <row r="8257" ht="12.75"/>
    <row r="8258" ht="12.75"/>
    <row r="8259" ht="12.75"/>
    <row r="8260" ht="12.75"/>
    <row r="8261" ht="12.75"/>
    <row r="8262" ht="12.75"/>
    <row r="8263" ht="12.75"/>
    <row r="8264" ht="12.75"/>
    <row r="8265" ht="12.75"/>
    <row r="8266" ht="12.75"/>
    <row r="8267" ht="12.75"/>
    <row r="8268" ht="12.75"/>
    <row r="8269" ht="12.75"/>
    <row r="8270" ht="12.75"/>
    <row r="8271" ht="12.75"/>
    <row r="8272" ht="12.75"/>
    <row r="8273" ht="12.75"/>
    <row r="8274" ht="12.75"/>
    <row r="8275" ht="12.75"/>
    <row r="8276" ht="12.75"/>
    <row r="8277" ht="12.75"/>
    <row r="8278" ht="12.75"/>
    <row r="8279" ht="12.75"/>
    <row r="8280" ht="12.75"/>
    <row r="8281" ht="12.75"/>
    <row r="8282" ht="12.75"/>
    <row r="8283" ht="12.75"/>
    <row r="8284" ht="12.75"/>
    <row r="8285" ht="12.75"/>
    <row r="8286" ht="12.75"/>
    <row r="8287" ht="12.75"/>
  </sheetData>
  <hyperlinks>
    <hyperlink ref="F3" r:id="rId1" xr:uid="{00000000-0004-0000-0000-000000000000}"/>
    <hyperlink ref="G3" r:id="rId2" xr:uid="{00000000-0004-0000-0000-000001000000}"/>
    <hyperlink ref="G5" r:id="rId3" xr:uid="{00000000-0004-0000-0000-000002000000}"/>
    <hyperlink ref="S5" r:id="rId4" xr:uid="{00000000-0004-0000-0000-000003000000}"/>
    <hyperlink ref="G6" r:id="rId5" xr:uid="{00000000-0004-0000-0000-000004000000}"/>
    <hyperlink ref="S7" r:id="rId6" xr:uid="{00000000-0004-0000-0000-000005000000}"/>
    <hyperlink ref="S8" r:id="rId7" xr:uid="{00000000-0004-0000-0000-000006000000}"/>
    <hyperlink ref="G9" r:id="rId8" xr:uid="{00000000-0004-0000-0000-000007000000}"/>
    <hyperlink ref="S9" r:id="rId9" xr:uid="{00000000-0004-0000-0000-000008000000}"/>
    <hyperlink ref="G10" r:id="rId10" xr:uid="{00000000-0004-0000-0000-000009000000}"/>
    <hyperlink ref="G12" r:id="rId11" xr:uid="{00000000-0004-0000-0000-00000A000000}"/>
    <hyperlink ref="S12" r:id="rId12" xr:uid="{00000000-0004-0000-0000-00000B000000}"/>
    <hyperlink ref="G13" r:id="rId13" xr:uid="{00000000-0004-0000-0000-00000C000000}"/>
    <hyperlink ref="G16" r:id="rId14" xr:uid="{00000000-0004-0000-0000-00000F000000}"/>
    <hyperlink ref="G17" r:id="rId15" xr:uid="{00000000-0004-0000-0000-000010000000}"/>
    <hyperlink ref="S17" r:id="rId16" xr:uid="{00000000-0004-0000-0000-000011000000}"/>
    <hyperlink ref="G18" r:id="rId17" xr:uid="{00000000-0004-0000-0000-000012000000}"/>
    <hyperlink ref="G20" r:id="rId18" xr:uid="{00000000-0004-0000-0000-000013000000}"/>
    <hyperlink ref="S23" r:id="rId19" xr:uid="{00000000-0004-0000-0000-000016000000}"/>
    <hyperlink ref="G24" r:id="rId20" xr:uid="{00000000-0004-0000-0000-000017000000}"/>
    <hyperlink ref="G25" r:id="rId21" xr:uid="{00000000-0004-0000-0000-000018000000}"/>
    <hyperlink ref="G26" r:id="rId22" xr:uid="{00000000-0004-0000-0000-000019000000}"/>
    <hyperlink ref="G27" r:id="rId23" xr:uid="{00000000-0004-0000-0000-00001A000000}"/>
    <hyperlink ref="S28" r:id="rId24" xr:uid="{00000000-0004-0000-0000-00001D000000}"/>
    <hyperlink ref="G29" r:id="rId25" xr:uid="{00000000-0004-0000-0000-00001E000000}"/>
    <hyperlink ref="S29" r:id="rId26" xr:uid="{00000000-0004-0000-0000-00001F000000}"/>
    <hyperlink ref="G30" r:id="rId27" xr:uid="{00000000-0004-0000-0000-000020000000}"/>
    <hyperlink ref="G33" r:id="rId28" xr:uid="{00000000-0004-0000-0000-000021000000}"/>
    <hyperlink ref="G36" r:id="rId29" xr:uid="{00000000-0004-0000-0000-000024000000}"/>
    <hyperlink ref="S36" r:id="rId30" xr:uid="{00000000-0004-0000-0000-000025000000}"/>
    <hyperlink ref="G37" r:id="rId31" xr:uid="{00000000-0004-0000-0000-000026000000}"/>
    <hyperlink ref="S37" r:id="rId32" xr:uid="{00000000-0004-0000-0000-000027000000}"/>
    <hyperlink ref="G38" r:id="rId33" xr:uid="{00000000-0004-0000-0000-00002C000000}"/>
    <hyperlink ref="S38" r:id="rId34" xr:uid="{00000000-0004-0000-0000-00002D000000}"/>
    <hyperlink ref="G39" r:id="rId35" xr:uid="{00000000-0004-0000-0000-00002E000000}"/>
    <hyperlink ref="S40" r:id="rId36" xr:uid="{00000000-0004-0000-0000-00002F000000}"/>
    <hyperlink ref="G42" r:id="rId37" xr:uid="{00000000-0004-0000-0000-000030000000}"/>
    <hyperlink ref="G43" r:id="rId38" xr:uid="{00000000-0004-0000-0000-000032000000}"/>
    <hyperlink ref="F44" r:id="rId39" xr:uid="{00000000-0004-0000-0000-000033000000}"/>
    <hyperlink ref="G45" r:id="rId40" xr:uid="{00000000-0004-0000-0000-000034000000}"/>
    <hyperlink ref="S45" r:id="rId41" xr:uid="{00000000-0004-0000-0000-000035000000}"/>
    <hyperlink ref="S50" r:id="rId42" xr:uid="{00000000-0004-0000-0000-000038000000}"/>
    <hyperlink ref="G51" r:id="rId43" xr:uid="{00000000-0004-0000-0000-000039000000}"/>
    <hyperlink ref="G52" r:id="rId44" xr:uid="{00000000-0004-0000-0000-00003C000000}"/>
    <hyperlink ref="S52" r:id="rId45" xr:uid="{00000000-0004-0000-0000-00003D000000}"/>
    <hyperlink ref="F53" r:id="rId46" xr:uid="{00000000-0004-0000-0000-00003E000000}"/>
    <hyperlink ref="G53" r:id="rId47" xr:uid="{00000000-0004-0000-0000-00003F000000}"/>
    <hyperlink ref="S53" r:id="rId48" xr:uid="{00000000-0004-0000-0000-000040000000}"/>
    <hyperlink ref="G54" r:id="rId49" xr:uid="{00000000-0004-0000-0000-000041000000}"/>
    <hyperlink ref="G56" r:id="rId50" xr:uid="{00000000-0004-0000-0000-000042000000}"/>
    <hyperlink ref="F57" r:id="rId51" xr:uid="{00000000-0004-0000-0000-000043000000}"/>
    <hyperlink ref="G57" r:id="rId52" xr:uid="{00000000-0004-0000-0000-000044000000}"/>
    <hyperlink ref="S57" r:id="rId53" xr:uid="{00000000-0004-0000-0000-000045000000}"/>
    <hyperlink ref="G58" r:id="rId54" xr:uid="{00000000-0004-0000-0000-000046000000}"/>
    <hyperlink ref="G60" r:id="rId55" xr:uid="{00000000-0004-0000-0000-000047000000}"/>
    <hyperlink ref="G61" r:id="rId56" xr:uid="{00000000-0004-0000-0000-000048000000}"/>
    <hyperlink ref="G64" r:id="rId57" xr:uid="{00000000-0004-0000-0000-000049000000}"/>
    <hyperlink ref="S64" r:id="rId58" xr:uid="{00000000-0004-0000-0000-00004A000000}"/>
    <hyperlink ref="G65" r:id="rId59" xr:uid="{00000000-0004-0000-0000-00004B000000}"/>
    <hyperlink ref="G66" r:id="rId60" xr:uid="{00000000-0004-0000-0000-00004C000000}"/>
    <hyperlink ref="G67" r:id="rId61" xr:uid="{00000000-0004-0000-0000-00004E000000}"/>
    <hyperlink ref="F68" r:id="rId62" xr:uid="{00000000-0004-0000-0000-00004F000000}"/>
    <hyperlink ref="S69" r:id="rId63" xr:uid="{00000000-0004-0000-0000-000050000000}"/>
    <hyperlink ref="G70" r:id="rId64" xr:uid="{00000000-0004-0000-0000-000051000000}"/>
    <hyperlink ref="S70" r:id="rId65" xr:uid="{00000000-0004-0000-0000-000052000000}"/>
    <hyperlink ref="G71" r:id="rId66" xr:uid="{00000000-0004-0000-0000-000055000000}"/>
    <hyperlink ref="G72" r:id="rId67" xr:uid="{00000000-0004-0000-0000-000056000000}"/>
    <hyperlink ref="F75" r:id="rId68" xr:uid="{00000000-0004-0000-0000-000057000000}"/>
    <hyperlink ref="S75" r:id="rId69" xr:uid="{00000000-0004-0000-0000-000058000000}"/>
    <hyperlink ref="F76" r:id="rId70" xr:uid="{00000000-0004-0000-0000-000059000000}"/>
    <hyperlink ref="G76" r:id="rId71" xr:uid="{00000000-0004-0000-0000-00005A000000}"/>
    <hyperlink ref="G77" r:id="rId72" xr:uid="{00000000-0004-0000-0000-000063000000}"/>
    <hyperlink ref="G78" r:id="rId73" xr:uid="{00000000-0004-0000-0000-000064000000}"/>
    <hyperlink ref="G80" r:id="rId74" xr:uid="{00000000-0004-0000-0000-000067000000}"/>
    <hyperlink ref="F82" r:id="rId75" xr:uid="{00000000-0004-0000-0000-000068000000}"/>
    <hyperlink ref="G82" r:id="rId76" xr:uid="{00000000-0004-0000-0000-000069000000}"/>
    <hyperlink ref="G84" r:id="rId77" xr:uid="{00000000-0004-0000-0000-00006B000000}"/>
    <hyperlink ref="S84" r:id="rId78" xr:uid="{00000000-0004-0000-0000-00006C000000}"/>
    <hyperlink ref="G85" r:id="rId79" xr:uid="{00000000-0004-0000-0000-00006D000000}"/>
    <hyperlink ref="S86" r:id="rId80" xr:uid="{00000000-0004-0000-0000-00006E000000}"/>
    <hyperlink ref="S87" r:id="rId81" xr:uid="{00000000-0004-0000-0000-00006F000000}"/>
    <hyperlink ref="G88" r:id="rId82" xr:uid="{00000000-0004-0000-0000-000075000000}"/>
    <hyperlink ref="S88" r:id="rId83" xr:uid="{00000000-0004-0000-0000-000076000000}"/>
    <hyperlink ref="G90" r:id="rId84" xr:uid="{00000000-0004-0000-0000-000077000000}"/>
    <hyperlink ref="G91" r:id="rId85" xr:uid="{00000000-0004-0000-0000-000079000000}"/>
    <hyperlink ref="S92" r:id="rId86" xr:uid="{00000000-0004-0000-0000-00007A000000}"/>
    <hyperlink ref="G94" r:id="rId87" xr:uid="{00000000-0004-0000-0000-00007C000000}"/>
    <hyperlink ref="G95" r:id="rId88" xr:uid="{00000000-0004-0000-0000-00007F000000}"/>
    <hyperlink ref="G96" r:id="rId89" xr:uid="{00000000-0004-0000-0000-000080000000}"/>
    <hyperlink ref="S96" r:id="rId90" xr:uid="{00000000-0004-0000-0000-000081000000}"/>
    <hyperlink ref="F99" r:id="rId91" xr:uid="{00000000-0004-0000-0000-000082000000}"/>
    <hyperlink ref="S99" r:id="rId92" xr:uid="{00000000-0004-0000-0000-000083000000}"/>
    <hyperlink ref="G100" r:id="rId93" xr:uid="{00000000-0004-0000-0000-000084000000}"/>
    <hyperlink ref="F101" r:id="rId94" xr:uid="{00000000-0004-0000-0000-000085000000}"/>
    <hyperlink ref="G101" r:id="rId95" xr:uid="{00000000-0004-0000-0000-000086000000}"/>
    <hyperlink ref="G102" r:id="rId96" xr:uid="{00000000-0004-0000-0000-000087000000}"/>
    <hyperlink ref="G104" r:id="rId97" xr:uid="{00000000-0004-0000-0000-000088000000}"/>
    <hyperlink ref="G105" r:id="rId98" xr:uid="{00000000-0004-0000-0000-000089000000}"/>
    <hyperlink ref="G108" r:id="rId99" xr:uid="{00000000-0004-0000-0000-00008B000000}"/>
    <hyperlink ref="G109" r:id="rId100" xr:uid="{00000000-0004-0000-0000-00008C000000}"/>
    <hyperlink ref="S111" r:id="rId101" xr:uid="{00000000-0004-0000-0000-00008D000000}"/>
    <hyperlink ref="G112" r:id="rId102" xr:uid="{00000000-0004-0000-0000-00008E000000}"/>
    <hyperlink ref="S112" r:id="rId103" xr:uid="{00000000-0004-0000-0000-00008F000000}"/>
    <hyperlink ref="G113" r:id="rId104" xr:uid="{00000000-0004-0000-0000-000091000000}"/>
    <hyperlink ref="G114" r:id="rId105" xr:uid="{00000000-0004-0000-0000-000094000000}"/>
    <hyperlink ref="S114" r:id="rId106" xr:uid="{00000000-0004-0000-0000-000095000000}"/>
    <hyperlink ref="F116" r:id="rId107" xr:uid="{00000000-0004-0000-0000-000096000000}"/>
    <hyperlink ref="F121" r:id="rId108" xr:uid="{00000000-0004-0000-0000-000098000000}"/>
    <hyperlink ref="G121" r:id="rId109" xr:uid="{00000000-0004-0000-0000-000099000000}"/>
    <hyperlink ref="G123" r:id="rId110" xr:uid="{00000000-0004-0000-0000-00009A000000}"/>
    <hyperlink ref="G124" r:id="rId111" xr:uid="{00000000-0004-0000-0000-00009B000000}"/>
    <hyperlink ref="G125" r:id="rId112" xr:uid="{00000000-0004-0000-0000-00009C000000}"/>
    <hyperlink ref="S125" r:id="rId113" xr:uid="{00000000-0004-0000-0000-00009D000000}"/>
    <hyperlink ref="G130" r:id="rId114" xr:uid="{00000000-0004-0000-0000-00009E000000}"/>
    <hyperlink ref="F131" r:id="rId115" xr:uid="{00000000-0004-0000-0000-00009F000000}"/>
    <hyperlink ref="G131" r:id="rId116" xr:uid="{00000000-0004-0000-0000-0000A0000000}"/>
    <hyperlink ref="G135" r:id="rId117" xr:uid="{00000000-0004-0000-0000-0000A1000000}"/>
    <hyperlink ref="G136" r:id="rId118" xr:uid="{00000000-0004-0000-0000-0000A2000000}"/>
    <hyperlink ref="G137" r:id="rId119" xr:uid="{00000000-0004-0000-0000-0000A6000000}"/>
    <hyperlink ref="G140" r:id="rId120" xr:uid="{00000000-0004-0000-0000-0000A7000000}"/>
    <hyperlink ref="S140" r:id="rId121" xr:uid="{00000000-0004-0000-0000-0000A8000000}"/>
    <hyperlink ref="G141" r:id="rId122" xr:uid="{00000000-0004-0000-0000-0000A9000000}"/>
    <hyperlink ref="S141" r:id="rId123" xr:uid="{00000000-0004-0000-0000-0000AA000000}"/>
    <hyperlink ref="G143" r:id="rId124" xr:uid="{00000000-0004-0000-0000-0000AB000000}"/>
    <hyperlink ref="F144" r:id="rId125" xr:uid="{00000000-0004-0000-0000-0000AC000000}"/>
    <hyperlink ref="G144" r:id="rId126" xr:uid="{00000000-0004-0000-0000-0000AD000000}"/>
    <hyperlink ref="G145" r:id="rId127" xr:uid="{00000000-0004-0000-0000-0000AE000000}"/>
    <hyperlink ref="S145" r:id="rId128" xr:uid="{00000000-0004-0000-0000-0000AF000000}"/>
    <hyperlink ref="G146" r:id="rId129" xr:uid="{00000000-0004-0000-0000-0000B0000000}"/>
    <hyperlink ref="G147" r:id="rId130" xr:uid="{00000000-0004-0000-0000-0000B1000000}"/>
    <hyperlink ref="G148" r:id="rId131" xr:uid="{00000000-0004-0000-0000-0000B3000000}"/>
    <hyperlink ref="G149" r:id="rId132" xr:uid="{00000000-0004-0000-0000-0000B4000000}"/>
    <hyperlink ref="S149" r:id="rId133" xr:uid="{00000000-0004-0000-0000-0000B5000000}"/>
    <hyperlink ref="G150" r:id="rId134" xr:uid="{00000000-0004-0000-0000-0000B6000000}"/>
    <hyperlink ref="G151" r:id="rId135" xr:uid="{00000000-0004-0000-0000-0000B8000000}"/>
    <hyperlink ref="G153" r:id="rId136" xr:uid="{00000000-0004-0000-0000-0000B9000000}"/>
    <hyperlink ref="S153" r:id="rId137" xr:uid="{00000000-0004-0000-0000-0000BA000000}"/>
    <hyperlink ref="F154" r:id="rId138" xr:uid="{00000000-0004-0000-0000-0000BB000000}"/>
    <hyperlink ref="G155" r:id="rId139" xr:uid="{00000000-0004-0000-0000-0000BC000000}"/>
    <hyperlink ref="G156" r:id="rId140" xr:uid="{00000000-0004-0000-0000-0000BE000000}"/>
    <hyperlink ref="G158" r:id="rId141" xr:uid="{00000000-0004-0000-0000-0000BF000000}"/>
    <hyperlink ref="G159" r:id="rId142" xr:uid="{00000000-0004-0000-0000-0000C0000000}"/>
    <hyperlink ref="G160" r:id="rId143" xr:uid="{00000000-0004-0000-0000-0000C1000000}"/>
    <hyperlink ref="S160" r:id="rId144" xr:uid="{00000000-0004-0000-0000-0000C2000000}"/>
    <hyperlink ref="F161" r:id="rId145" xr:uid="{00000000-0004-0000-0000-0000C4000000}"/>
    <hyperlink ref="G161" r:id="rId146" xr:uid="{00000000-0004-0000-0000-0000C5000000}"/>
    <hyperlink ref="G164" r:id="rId147" xr:uid="{00000000-0004-0000-0000-0000C6000000}"/>
    <hyperlink ref="F165" r:id="rId148" xr:uid="{00000000-0004-0000-0000-0000C7000000}"/>
    <hyperlink ref="S165" r:id="rId149" xr:uid="{00000000-0004-0000-0000-0000C8000000}"/>
    <hyperlink ref="G167" r:id="rId150" xr:uid="{00000000-0004-0000-0000-0000C9000000}"/>
    <hyperlink ref="G170" r:id="rId151" xr:uid="{00000000-0004-0000-0000-0000CF000000}"/>
    <hyperlink ref="S170" r:id="rId152" xr:uid="{00000000-0004-0000-0000-0000D0000000}"/>
    <hyperlink ref="G172" r:id="rId153" xr:uid="{00000000-0004-0000-0000-0000D1000000}"/>
    <hyperlink ref="S173" r:id="rId154" xr:uid="{00000000-0004-0000-0000-0000D2000000}"/>
    <hyperlink ref="G174" r:id="rId155" xr:uid="{00000000-0004-0000-0000-0000D6000000}"/>
    <hyperlink ref="G175" r:id="rId156" xr:uid="{00000000-0004-0000-0000-0000D7000000}"/>
    <hyperlink ref="G176" r:id="rId157" xr:uid="{00000000-0004-0000-0000-0000D8000000}"/>
    <hyperlink ref="G177" r:id="rId158" xr:uid="{00000000-0004-0000-0000-0000D9000000}"/>
    <hyperlink ref="G179" r:id="rId159" xr:uid="{00000000-0004-0000-0000-0000DA000000}"/>
    <hyperlink ref="G181" r:id="rId160" xr:uid="{00000000-0004-0000-0000-0000DC000000}"/>
    <hyperlink ref="G182" r:id="rId161" xr:uid="{00000000-0004-0000-0000-0000DF000000}"/>
    <hyperlink ref="S182" r:id="rId162" xr:uid="{00000000-0004-0000-0000-0000E0000000}"/>
    <hyperlink ref="G183" r:id="rId163" xr:uid="{00000000-0004-0000-0000-0000E1000000}"/>
    <hyperlink ref="S183" r:id="rId164" xr:uid="{00000000-0004-0000-0000-0000E2000000}"/>
    <hyperlink ref="G186" r:id="rId165" xr:uid="{00000000-0004-0000-0000-0000E3000000}"/>
    <hyperlink ref="G190" r:id="rId166" xr:uid="{00000000-0004-0000-0000-0000E5000000}"/>
    <hyperlink ref="G192" r:id="rId167" xr:uid="{00000000-0004-0000-0000-0000E6000000}"/>
    <hyperlink ref="G194" r:id="rId168" xr:uid="{00000000-0004-0000-0000-0000E7000000}"/>
    <hyperlink ref="S194" r:id="rId169" xr:uid="{00000000-0004-0000-0000-0000E8000000}"/>
    <hyperlink ref="F195" r:id="rId170" xr:uid="{00000000-0004-0000-0000-0000E9000000}"/>
    <hyperlink ref="G195" r:id="rId171" xr:uid="{00000000-0004-0000-0000-0000EA000000}"/>
    <hyperlink ref="S195" r:id="rId172" xr:uid="{00000000-0004-0000-0000-0000EB000000}"/>
    <hyperlink ref="G198" r:id="rId173" xr:uid="{00000000-0004-0000-0000-0000EC000000}"/>
    <hyperlink ref="S198" r:id="rId174" xr:uid="{00000000-0004-0000-0000-0000ED000000}"/>
    <hyperlink ref="F200" r:id="rId175" xr:uid="{00000000-0004-0000-0000-0000F2000000}"/>
    <hyperlink ref="S200" r:id="rId176" xr:uid="{00000000-0004-0000-0000-0000F3000000}"/>
    <hyperlink ref="G202" r:id="rId177" xr:uid="{00000000-0004-0000-0000-0000F4000000}"/>
    <hyperlink ref="G204" r:id="rId178" xr:uid="{00000000-0004-0000-0000-0000F5000000}"/>
    <hyperlink ref="S204" r:id="rId179" xr:uid="{00000000-0004-0000-0000-0000F6000000}"/>
    <hyperlink ref="F208" r:id="rId180" xr:uid="{00000000-0004-0000-0000-0000F9000000}"/>
    <hyperlink ref="S208" r:id="rId181" xr:uid="{00000000-0004-0000-0000-0000FA000000}"/>
    <hyperlink ref="G209" r:id="rId182" xr:uid="{00000000-0004-0000-0000-0000FB000000}"/>
    <hyperlink ref="G210" r:id="rId183" xr:uid="{00000000-0004-0000-0000-0000FC000000}"/>
    <hyperlink ref="S210" r:id="rId184" xr:uid="{00000000-0004-0000-0000-0000FD000000}"/>
    <hyperlink ref="G211" r:id="rId185" xr:uid="{00000000-0004-0000-0000-0000FE000000}"/>
    <hyperlink ref="F212" r:id="rId186" xr:uid="{00000000-0004-0000-0000-0000FF000000}"/>
    <hyperlink ref="S212" r:id="rId187" xr:uid="{00000000-0004-0000-0000-000000010000}"/>
    <hyperlink ref="G213" r:id="rId188" xr:uid="{00000000-0004-0000-0000-000001010000}"/>
    <hyperlink ref="F214" r:id="rId189" xr:uid="{00000000-0004-0000-0000-000002010000}"/>
    <hyperlink ref="G214" r:id="rId190" xr:uid="{00000000-0004-0000-0000-000003010000}"/>
    <hyperlink ref="G216" r:id="rId191" xr:uid="{00000000-0004-0000-0000-000005010000}"/>
    <hyperlink ref="S219" r:id="rId192" xr:uid="{00000000-0004-0000-0000-000006010000}"/>
    <hyperlink ref="S220" r:id="rId193" xr:uid="{00000000-0004-0000-0000-000007010000}"/>
    <hyperlink ref="G223" r:id="rId194" xr:uid="{00000000-0004-0000-0000-000009010000}"/>
    <hyperlink ref="S224" r:id="rId195" xr:uid="{00000000-0004-0000-0000-00000B010000}"/>
    <hyperlink ref="G225" r:id="rId196" xr:uid="{00000000-0004-0000-0000-00000C010000}"/>
    <hyperlink ref="G228" r:id="rId197" xr:uid="{00000000-0004-0000-0000-00000F010000}"/>
    <hyperlink ref="S228" r:id="rId198" xr:uid="{00000000-0004-0000-0000-000010010000}"/>
    <hyperlink ref="G230" r:id="rId199" xr:uid="{00000000-0004-0000-0000-000011010000}"/>
    <hyperlink ref="G231" r:id="rId200" xr:uid="{00000000-0004-0000-0000-000012010000}"/>
    <hyperlink ref="G232" r:id="rId201" xr:uid="{00000000-0004-0000-0000-000013010000}"/>
    <hyperlink ref="S235" r:id="rId202" xr:uid="{00000000-0004-0000-0000-000014010000}"/>
    <hyperlink ref="G236" r:id="rId203" xr:uid="{00000000-0004-0000-0000-000016010000}"/>
    <hyperlink ref="F237" r:id="rId204" xr:uid="{00000000-0004-0000-0000-000017010000}"/>
    <hyperlink ref="G239" r:id="rId205" xr:uid="{00000000-0004-0000-0000-000018010000}"/>
    <hyperlink ref="G240" r:id="rId206" xr:uid="{00000000-0004-0000-0000-000019010000}"/>
    <hyperlink ref="F241" r:id="rId207" xr:uid="{00000000-0004-0000-0000-00001C010000}"/>
    <hyperlink ref="G241" r:id="rId208" xr:uid="{00000000-0004-0000-0000-00001D010000}"/>
    <hyperlink ref="G245" r:id="rId209" xr:uid="{00000000-0004-0000-0000-00001E010000}"/>
    <hyperlink ref="G246" r:id="rId210" xr:uid="{00000000-0004-0000-0000-00001F010000}"/>
    <hyperlink ref="G247" r:id="rId211" xr:uid="{00000000-0004-0000-0000-000020010000}"/>
    <hyperlink ref="G248" r:id="rId212" xr:uid="{00000000-0004-0000-0000-000021010000}"/>
    <hyperlink ref="S248" r:id="rId213" xr:uid="{00000000-0004-0000-0000-000022010000}"/>
    <hyperlink ref="G249" r:id="rId214" xr:uid="{00000000-0004-0000-0000-000023010000}"/>
    <hyperlink ref="G250" r:id="rId215" xr:uid="{00000000-0004-0000-0000-000024010000}"/>
    <hyperlink ref="G251" r:id="rId216" xr:uid="{00000000-0004-0000-0000-000025010000}"/>
    <hyperlink ref="S251" r:id="rId217" xr:uid="{00000000-0004-0000-0000-000026010000}"/>
    <hyperlink ref="G252" r:id="rId218" xr:uid="{00000000-0004-0000-0000-000027010000}"/>
    <hyperlink ref="S252" r:id="rId219" xr:uid="{00000000-0004-0000-0000-000028010000}"/>
    <hyperlink ref="S254" r:id="rId220" xr:uid="{00000000-0004-0000-0000-000029010000}"/>
    <hyperlink ref="G255" r:id="rId221" xr:uid="{00000000-0004-0000-0000-00002A010000}"/>
    <hyperlink ref="S255" r:id="rId222" xr:uid="{00000000-0004-0000-0000-00002B010000}"/>
    <hyperlink ref="G256" r:id="rId223" xr:uid="{00000000-0004-0000-0000-00002C010000}"/>
    <hyperlink ref="G257" r:id="rId224" xr:uid="{00000000-0004-0000-0000-00002E010000}"/>
    <hyperlink ref="S257" r:id="rId225" xr:uid="{00000000-0004-0000-0000-00002F010000}"/>
    <hyperlink ref="G258" r:id="rId226" xr:uid="{00000000-0004-0000-0000-000030010000}"/>
    <hyperlink ref="G259" r:id="rId227" xr:uid="{00000000-0004-0000-0000-000032010000}"/>
    <hyperlink ref="S259" r:id="rId228" xr:uid="{00000000-0004-0000-0000-000033010000}"/>
    <hyperlink ref="G260" r:id="rId229" xr:uid="{00000000-0004-0000-0000-000034010000}"/>
    <hyperlink ref="G262" r:id="rId230" xr:uid="{00000000-0004-0000-0000-000035010000}"/>
    <hyperlink ref="G263" r:id="rId231" xr:uid="{00000000-0004-0000-0000-000036010000}"/>
    <hyperlink ref="G264" r:id="rId232" xr:uid="{00000000-0004-0000-0000-000037010000}"/>
    <hyperlink ref="G265" r:id="rId233" xr:uid="{00000000-0004-0000-0000-000039010000}"/>
    <hyperlink ref="S265" r:id="rId234" xr:uid="{00000000-0004-0000-0000-00003A010000}"/>
    <hyperlink ref="S266" r:id="rId235" xr:uid="{00000000-0004-0000-0000-00003B010000}"/>
    <hyperlink ref="F267" r:id="rId236" xr:uid="{00000000-0004-0000-0000-00003C010000}"/>
    <hyperlink ref="G267" r:id="rId237" xr:uid="{00000000-0004-0000-0000-00003D010000}"/>
    <hyperlink ref="G269" r:id="rId238" xr:uid="{00000000-0004-0000-0000-00003E010000}"/>
    <hyperlink ref="S269" r:id="rId239" xr:uid="{00000000-0004-0000-0000-00003F010000}"/>
    <hyperlink ref="G271" r:id="rId240" xr:uid="{00000000-0004-0000-0000-000043010000}"/>
    <hyperlink ref="G272" r:id="rId241" xr:uid="{00000000-0004-0000-0000-000044010000}"/>
    <hyperlink ref="S272" r:id="rId242" xr:uid="{00000000-0004-0000-0000-000045010000}"/>
    <hyperlink ref="G273" r:id="rId243" xr:uid="{00000000-0004-0000-0000-000046010000}"/>
    <hyperlink ref="S273" r:id="rId244" xr:uid="{00000000-0004-0000-0000-000047010000}"/>
    <hyperlink ref="G275" r:id="rId245" xr:uid="{00000000-0004-0000-0000-000049010000}"/>
    <hyperlink ref="G276" r:id="rId246" xr:uid="{00000000-0004-0000-0000-00004A010000}"/>
    <hyperlink ref="G278" r:id="rId247" xr:uid="{00000000-0004-0000-0000-00004C010000}"/>
    <hyperlink ref="G279" r:id="rId248" xr:uid="{00000000-0004-0000-0000-00004D010000}"/>
    <hyperlink ref="G280" r:id="rId249" xr:uid="{00000000-0004-0000-0000-00004F010000}"/>
    <hyperlink ref="G281" r:id="rId250" xr:uid="{00000000-0004-0000-0000-000052010000}"/>
    <hyperlink ref="G283" r:id="rId251" xr:uid="{00000000-0004-0000-0000-000053010000}"/>
    <hyperlink ref="G284" r:id="rId252" xr:uid="{00000000-0004-0000-0000-000054010000}"/>
    <hyperlink ref="G285" r:id="rId253" xr:uid="{00000000-0004-0000-0000-000055010000}"/>
    <hyperlink ref="F286" r:id="rId254" xr:uid="{00000000-0004-0000-0000-000056010000}"/>
    <hyperlink ref="G286" r:id="rId255" xr:uid="{00000000-0004-0000-0000-000057010000}"/>
    <hyperlink ref="S287" r:id="rId256" xr:uid="{00000000-0004-0000-0000-000058010000}"/>
    <hyperlink ref="F290" r:id="rId257" xr:uid="{00000000-0004-0000-0000-000059010000}"/>
    <hyperlink ref="G290" r:id="rId258" xr:uid="{00000000-0004-0000-0000-00005A010000}"/>
    <hyperlink ref="S291" r:id="rId259" xr:uid="{00000000-0004-0000-0000-00005B010000}"/>
    <hyperlink ref="G292" r:id="rId260" xr:uid="{00000000-0004-0000-0000-00005C010000}"/>
    <hyperlink ref="G293" r:id="rId261" xr:uid="{00000000-0004-0000-0000-00005F010000}"/>
    <hyperlink ref="G297" r:id="rId262" xr:uid="{00000000-0004-0000-0000-000060010000}"/>
    <hyperlink ref="S297" r:id="rId263" xr:uid="{00000000-0004-0000-0000-000061010000}"/>
    <hyperlink ref="G298" r:id="rId264" xr:uid="{00000000-0004-0000-0000-000063010000}"/>
    <hyperlink ref="F300" r:id="rId265" xr:uid="{00000000-0004-0000-0000-000064010000}"/>
    <hyperlink ref="G301" r:id="rId266" xr:uid="{00000000-0004-0000-0000-000065010000}"/>
    <hyperlink ref="G302" r:id="rId267" xr:uid="{00000000-0004-0000-0000-000066010000}"/>
    <hyperlink ref="G303" r:id="rId268" xr:uid="{00000000-0004-0000-0000-000067010000}"/>
    <hyperlink ref="G304" r:id="rId269" xr:uid="{00000000-0004-0000-0000-000068010000}"/>
    <hyperlink ref="F305" r:id="rId270" xr:uid="{00000000-0004-0000-0000-000069010000}"/>
    <hyperlink ref="G305" r:id="rId271" xr:uid="{00000000-0004-0000-0000-00006A010000}"/>
    <hyperlink ref="F306" r:id="rId272" xr:uid="{00000000-0004-0000-0000-00006B010000}"/>
    <hyperlink ref="G306" r:id="rId273" xr:uid="{00000000-0004-0000-0000-00006C010000}"/>
    <hyperlink ref="G307" r:id="rId274" xr:uid="{00000000-0004-0000-0000-00006D010000}"/>
    <hyperlink ref="G308" r:id="rId275" xr:uid="{00000000-0004-0000-0000-00006E010000}"/>
    <hyperlink ref="S308" r:id="rId276" xr:uid="{00000000-0004-0000-0000-00006F010000}"/>
    <hyperlink ref="G309" r:id="rId277" xr:uid="{00000000-0004-0000-0000-000070010000}"/>
    <hyperlink ref="G310" r:id="rId278" xr:uid="{00000000-0004-0000-0000-000071010000}"/>
    <hyperlink ref="G311" r:id="rId279" xr:uid="{00000000-0004-0000-0000-000072010000}"/>
    <hyperlink ref="G314" r:id="rId280" xr:uid="{00000000-0004-0000-0000-000075010000}"/>
    <hyperlink ref="G315" r:id="rId281" xr:uid="{00000000-0004-0000-0000-000076010000}"/>
    <hyperlink ref="F316" r:id="rId282" xr:uid="{00000000-0004-0000-0000-000077010000}"/>
    <hyperlink ref="G316" r:id="rId283" xr:uid="{00000000-0004-0000-0000-000078010000}"/>
    <hyperlink ref="G317" r:id="rId284" xr:uid="{00000000-0004-0000-0000-000079010000}"/>
    <hyperlink ref="S317" r:id="rId285" xr:uid="{00000000-0004-0000-0000-00007A010000}"/>
    <hyperlink ref="S319" r:id="rId286" xr:uid="{00000000-0004-0000-0000-00007B010000}"/>
    <hyperlink ref="G320" r:id="rId287" xr:uid="{00000000-0004-0000-0000-00007C010000}"/>
    <hyperlink ref="G321" r:id="rId288" xr:uid="{00000000-0004-0000-0000-00007D010000}"/>
    <hyperlink ref="G322" r:id="rId289" xr:uid="{00000000-0004-0000-0000-00007E010000}"/>
    <hyperlink ref="S322" r:id="rId290" xr:uid="{00000000-0004-0000-0000-00007F010000}"/>
    <hyperlink ref="G323" r:id="rId291" xr:uid="{00000000-0004-0000-0000-000080010000}"/>
    <hyperlink ref="G325" r:id="rId292" xr:uid="{00000000-0004-0000-0000-000085010000}"/>
    <hyperlink ref="G326" r:id="rId293" xr:uid="{00000000-0004-0000-0000-000086010000}"/>
    <hyperlink ref="G328" r:id="rId294" xr:uid="{00000000-0004-0000-0000-000087010000}"/>
    <hyperlink ref="G329" r:id="rId295" xr:uid="{00000000-0004-0000-0000-000088010000}"/>
    <hyperlink ref="G330" r:id="rId296" xr:uid="{00000000-0004-0000-0000-000089010000}"/>
    <hyperlink ref="S330" r:id="rId297" xr:uid="{00000000-0004-0000-0000-00008A010000}"/>
    <hyperlink ref="G332" r:id="rId298" xr:uid="{00000000-0004-0000-0000-00008D010000}"/>
    <hyperlink ref="F333" r:id="rId299" xr:uid="{00000000-0004-0000-0000-00008E010000}"/>
    <hyperlink ref="G333" r:id="rId300" xr:uid="{00000000-0004-0000-0000-00008F010000}"/>
    <hyperlink ref="G334" r:id="rId301" xr:uid="{00000000-0004-0000-0000-000091010000}"/>
    <hyperlink ref="G335" r:id="rId302" xr:uid="{00000000-0004-0000-0000-000092010000}"/>
    <hyperlink ref="S335" r:id="rId303" xr:uid="{00000000-0004-0000-0000-000093010000}"/>
    <hyperlink ref="S336" r:id="rId304" xr:uid="{00000000-0004-0000-0000-000096010000}"/>
    <hyperlink ref="G337" r:id="rId305" xr:uid="{00000000-0004-0000-0000-00009A010000}"/>
    <hyperlink ref="G338" r:id="rId306" xr:uid="{00000000-0004-0000-0000-00009B010000}"/>
    <hyperlink ref="G340" r:id="rId307" xr:uid="{00000000-0004-0000-0000-00009C010000}"/>
    <hyperlink ref="S340" r:id="rId308" xr:uid="{00000000-0004-0000-0000-00009D010000}"/>
    <hyperlink ref="G344" r:id="rId309" xr:uid="{00000000-0004-0000-0000-00009E010000}"/>
    <hyperlink ref="G345" r:id="rId310" xr:uid="{00000000-0004-0000-0000-00009F010000}"/>
    <hyperlink ref="G347" r:id="rId311" xr:uid="{00000000-0004-0000-0000-0000A0010000}"/>
    <hyperlink ref="S347" r:id="rId312" xr:uid="{00000000-0004-0000-0000-0000A1010000}"/>
    <hyperlink ref="G349" r:id="rId313" xr:uid="{00000000-0004-0000-0000-0000A3010000}"/>
    <hyperlink ref="F352" r:id="rId314" xr:uid="{00000000-0004-0000-0000-0000A4010000}"/>
    <hyperlink ref="G352" r:id="rId315" xr:uid="{00000000-0004-0000-0000-0000A5010000}"/>
    <hyperlink ref="G353" r:id="rId316" xr:uid="{00000000-0004-0000-0000-0000A6010000}"/>
    <hyperlink ref="S353" r:id="rId317" xr:uid="{00000000-0004-0000-0000-0000A7010000}"/>
    <hyperlink ref="F354" r:id="rId318" xr:uid="{00000000-0004-0000-0000-0000A8010000}"/>
    <hyperlink ref="G354" r:id="rId319" xr:uid="{00000000-0004-0000-0000-0000A9010000}"/>
    <hyperlink ref="S354" r:id="rId320" xr:uid="{00000000-0004-0000-0000-0000AA010000}"/>
    <hyperlink ref="G356" r:id="rId321" xr:uid="{00000000-0004-0000-0000-0000AB010000}"/>
    <hyperlink ref="F357" r:id="rId322" location=".XZ3sn5NxxIY.twitter" xr:uid="{00000000-0004-0000-0000-0000AC010000}"/>
    <hyperlink ref="S357" r:id="rId323" xr:uid="{00000000-0004-0000-0000-0000AD010000}"/>
    <hyperlink ref="G358" r:id="rId324" xr:uid="{00000000-0004-0000-0000-0000AE010000}"/>
    <hyperlink ref="G359" r:id="rId325" xr:uid="{00000000-0004-0000-0000-0000AF010000}"/>
    <hyperlink ref="G360" r:id="rId326" xr:uid="{00000000-0004-0000-0000-0000B0010000}"/>
    <hyperlink ref="G361" r:id="rId327" xr:uid="{00000000-0004-0000-0000-0000B1010000}"/>
    <hyperlink ref="S361" r:id="rId328" xr:uid="{00000000-0004-0000-0000-0000B2010000}"/>
    <hyperlink ref="G362" r:id="rId329" xr:uid="{00000000-0004-0000-0000-0000B4010000}"/>
    <hyperlink ref="G363" r:id="rId330" xr:uid="{00000000-0004-0000-0000-0000B5010000}"/>
    <hyperlink ref="S364" r:id="rId331" xr:uid="{00000000-0004-0000-0000-0000B6010000}"/>
    <hyperlink ref="G365" r:id="rId332" xr:uid="{00000000-0004-0000-0000-0000B7010000}"/>
    <hyperlink ref="G366" r:id="rId333" xr:uid="{00000000-0004-0000-0000-0000B8010000}"/>
    <hyperlink ref="G367" r:id="rId334" xr:uid="{00000000-0004-0000-0000-0000B9010000}"/>
    <hyperlink ref="S367" r:id="rId335" xr:uid="{00000000-0004-0000-0000-0000BA010000}"/>
    <hyperlink ref="G368" r:id="rId336" xr:uid="{00000000-0004-0000-0000-0000BB010000}"/>
    <hyperlink ref="G370" r:id="rId337" xr:uid="{00000000-0004-0000-0000-0000BC010000}"/>
    <hyperlink ref="G371" r:id="rId338" xr:uid="{00000000-0004-0000-0000-0000BE010000}"/>
    <hyperlink ref="S371" r:id="rId339" xr:uid="{00000000-0004-0000-0000-0000BF010000}"/>
    <hyperlink ref="G372" r:id="rId340" xr:uid="{00000000-0004-0000-0000-0000C0010000}"/>
    <hyperlink ref="S372" r:id="rId341" xr:uid="{00000000-0004-0000-0000-0000C1010000}"/>
    <hyperlink ref="F374" r:id="rId342" xr:uid="{00000000-0004-0000-0000-0000C2010000}"/>
    <hyperlink ref="F375" r:id="rId343" xr:uid="{00000000-0004-0000-0000-0000C3010000}"/>
    <hyperlink ref="G375" r:id="rId344" xr:uid="{00000000-0004-0000-0000-0000C4010000}"/>
    <hyperlink ref="S375" r:id="rId345" xr:uid="{00000000-0004-0000-0000-0000C5010000}"/>
    <hyperlink ref="G377" r:id="rId346" xr:uid="{00000000-0004-0000-0000-0000C6010000}"/>
    <hyperlink ref="F379" r:id="rId347" xr:uid="{00000000-0004-0000-0000-0000C7010000}"/>
    <hyperlink ref="G379" r:id="rId348" xr:uid="{00000000-0004-0000-0000-0000C8010000}"/>
    <hyperlink ref="G384" r:id="rId349" xr:uid="{00000000-0004-0000-0000-0000CC010000}"/>
    <hyperlink ref="G386" r:id="rId350" xr:uid="{00000000-0004-0000-0000-0000CE010000}"/>
    <hyperlink ref="G388" r:id="rId351" xr:uid="{00000000-0004-0000-0000-0000CF010000}"/>
    <hyperlink ref="G389" r:id="rId352" xr:uid="{00000000-0004-0000-0000-0000D2010000}"/>
    <hyperlink ref="S389" r:id="rId353" xr:uid="{00000000-0004-0000-0000-0000D3010000}"/>
    <hyperlink ref="F391" r:id="rId354" xr:uid="{00000000-0004-0000-0000-0000D5010000}"/>
    <hyperlink ref="G391" r:id="rId355" xr:uid="{00000000-0004-0000-0000-0000D6010000}"/>
    <hyperlink ref="G392" r:id="rId356" xr:uid="{00000000-0004-0000-0000-0000D7010000}"/>
    <hyperlink ref="S393" r:id="rId357" xr:uid="{00000000-0004-0000-0000-0000D8010000}"/>
    <hyperlink ref="F395" r:id="rId358" xr:uid="{00000000-0004-0000-0000-0000D9010000}"/>
    <hyperlink ref="G396" r:id="rId359" xr:uid="{00000000-0004-0000-0000-0000DA010000}"/>
    <hyperlink ref="S396" r:id="rId360" xr:uid="{00000000-0004-0000-0000-0000DB010000}"/>
    <hyperlink ref="G397" r:id="rId361" xr:uid="{00000000-0004-0000-0000-0000DC010000}"/>
    <hyperlink ref="S397" r:id="rId362" xr:uid="{00000000-0004-0000-0000-0000DD010000}"/>
    <hyperlink ref="F398" r:id="rId363" xr:uid="{00000000-0004-0000-0000-0000DE010000}"/>
    <hyperlink ref="G398" r:id="rId364" xr:uid="{00000000-0004-0000-0000-0000DF010000}"/>
    <hyperlink ref="G399" r:id="rId365" xr:uid="{00000000-0004-0000-0000-0000E0010000}"/>
    <hyperlink ref="S399" r:id="rId366" xr:uid="{00000000-0004-0000-0000-0000E1010000}"/>
    <hyperlink ref="G400" r:id="rId367" xr:uid="{00000000-0004-0000-0000-0000E2010000}"/>
    <hyperlink ref="F401" r:id="rId368" xr:uid="{00000000-0004-0000-0000-0000E3010000}"/>
    <hyperlink ref="G401" r:id="rId369" xr:uid="{00000000-0004-0000-0000-0000E4010000}"/>
    <hyperlink ref="S401" r:id="rId370" xr:uid="{00000000-0004-0000-0000-0000E5010000}"/>
    <hyperlink ref="G402" r:id="rId371" xr:uid="{00000000-0004-0000-0000-0000E6010000}"/>
    <hyperlink ref="G403" r:id="rId372" xr:uid="{00000000-0004-0000-0000-0000E7010000}"/>
    <hyperlink ref="G404" r:id="rId373" xr:uid="{00000000-0004-0000-0000-0000E8010000}"/>
    <hyperlink ref="G405" r:id="rId374" xr:uid="{00000000-0004-0000-0000-0000E9010000}"/>
    <hyperlink ref="G409" r:id="rId375" xr:uid="{00000000-0004-0000-0000-0000ED010000}"/>
    <hyperlink ref="S409" r:id="rId376" xr:uid="{00000000-0004-0000-0000-0000EE010000}"/>
    <hyperlink ref="G410" r:id="rId377" xr:uid="{00000000-0004-0000-0000-0000EF010000}"/>
    <hyperlink ref="S410" r:id="rId378" xr:uid="{00000000-0004-0000-0000-0000F0010000}"/>
    <hyperlink ref="S411" r:id="rId379" xr:uid="{00000000-0004-0000-0000-0000F1010000}"/>
    <hyperlink ref="G412" r:id="rId380" xr:uid="{00000000-0004-0000-0000-0000F2010000}"/>
    <hyperlink ref="G413" r:id="rId381" xr:uid="{00000000-0004-0000-0000-0000F3010000}"/>
    <hyperlink ref="G418" r:id="rId382" xr:uid="{00000000-0004-0000-0000-0000F4010000}"/>
    <hyperlink ref="S418" r:id="rId383" xr:uid="{00000000-0004-0000-0000-0000F5010000}"/>
    <hyperlink ref="S419" r:id="rId384" xr:uid="{00000000-0004-0000-0000-0000F6010000}"/>
    <hyperlink ref="G420" r:id="rId385" xr:uid="{00000000-0004-0000-0000-0000F7010000}"/>
    <hyperlink ref="G422" r:id="rId386" xr:uid="{00000000-0004-0000-0000-0000F8010000}"/>
    <hyperlink ref="G423" r:id="rId387" xr:uid="{00000000-0004-0000-0000-0000F9010000}"/>
    <hyperlink ref="F425" r:id="rId388" xr:uid="{00000000-0004-0000-0000-0000FB010000}"/>
    <hyperlink ref="S425" r:id="rId389" xr:uid="{00000000-0004-0000-0000-0000FC010000}"/>
    <hyperlink ref="G427" r:id="rId390" xr:uid="{00000000-0004-0000-0000-0000FE010000}"/>
    <hyperlink ref="G428" r:id="rId391" xr:uid="{00000000-0004-0000-0000-0000FF010000}"/>
    <hyperlink ref="G430" r:id="rId392" xr:uid="{00000000-0004-0000-0000-000000020000}"/>
    <hyperlink ref="S430" r:id="rId393" xr:uid="{00000000-0004-0000-0000-000001020000}"/>
    <hyperlink ref="G431" r:id="rId394" xr:uid="{00000000-0004-0000-0000-000002020000}"/>
    <hyperlink ref="G432" r:id="rId395" xr:uid="{00000000-0004-0000-0000-000003020000}"/>
    <hyperlink ref="F433" r:id="rId396" xr:uid="{00000000-0004-0000-0000-000005020000}"/>
    <hyperlink ref="G433" r:id="rId397" xr:uid="{00000000-0004-0000-0000-000006020000}"/>
    <hyperlink ref="S433" r:id="rId398" xr:uid="{00000000-0004-0000-0000-000007020000}"/>
    <hyperlink ref="S435" r:id="rId399" xr:uid="{00000000-0004-0000-0000-000009020000}"/>
    <hyperlink ref="F440" r:id="rId400" xr:uid="{00000000-0004-0000-0000-00000A020000}"/>
    <hyperlink ref="G441" r:id="rId401" xr:uid="{00000000-0004-0000-0000-00000B020000}"/>
    <hyperlink ref="S441" r:id="rId402" xr:uid="{00000000-0004-0000-0000-00000C020000}"/>
    <hyperlink ref="G442" r:id="rId403" xr:uid="{00000000-0004-0000-0000-00000D020000}"/>
    <hyperlink ref="G443" r:id="rId404" xr:uid="{00000000-0004-0000-0000-00000E020000}"/>
    <hyperlink ref="G444" r:id="rId405" xr:uid="{00000000-0004-0000-0000-00000F020000}"/>
    <hyperlink ref="G446" r:id="rId406" xr:uid="{00000000-0004-0000-0000-000010020000}"/>
    <hyperlink ref="G447" r:id="rId407" xr:uid="{00000000-0004-0000-0000-000011020000}"/>
    <hyperlink ref="S447" r:id="rId408" xr:uid="{00000000-0004-0000-0000-000012020000}"/>
    <hyperlink ref="G449" r:id="rId409" xr:uid="{00000000-0004-0000-0000-000013020000}"/>
    <hyperlink ref="G450" r:id="rId410" xr:uid="{00000000-0004-0000-0000-000014020000}"/>
    <hyperlink ref="G453" r:id="rId411" xr:uid="{00000000-0004-0000-0000-000017020000}"/>
    <hyperlink ref="S456" r:id="rId412" xr:uid="{00000000-0004-0000-0000-000018020000}"/>
    <hyperlink ref="F458" r:id="rId413" xr:uid="{00000000-0004-0000-0000-000019020000}"/>
    <hyperlink ref="G459" r:id="rId414" xr:uid="{00000000-0004-0000-0000-00001A020000}"/>
    <hyperlink ref="G461" r:id="rId415" xr:uid="{00000000-0004-0000-0000-00001B020000}"/>
    <hyperlink ref="F464" r:id="rId416" xr:uid="{00000000-0004-0000-0000-00001D020000}"/>
    <hyperlink ref="G465" r:id="rId417" xr:uid="{00000000-0004-0000-0000-00001E020000}"/>
    <hyperlink ref="G467" r:id="rId418" xr:uid="{00000000-0004-0000-0000-000020020000}"/>
    <hyperlink ref="G469" r:id="rId419" xr:uid="{00000000-0004-0000-0000-000021020000}"/>
    <hyperlink ref="G470" r:id="rId420" xr:uid="{00000000-0004-0000-0000-000022020000}"/>
    <hyperlink ref="F471" r:id="rId421" xr:uid="{00000000-0004-0000-0000-000023020000}"/>
    <hyperlink ref="G471" r:id="rId422" xr:uid="{00000000-0004-0000-0000-000024020000}"/>
    <hyperlink ref="G472" r:id="rId423" xr:uid="{00000000-0004-0000-0000-000025020000}"/>
    <hyperlink ref="G474" r:id="rId424" xr:uid="{00000000-0004-0000-0000-000026020000}"/>
    <hyperlink ref="S477" r:id="rId425" xr:uid="{00000000-0004-0000-0000-000027020000}"/>
    <hyperlink ref="F478" r:id="rId426" xr:uid="{00000000-0004-0000-0000-000028020000}"/>
    <hyperlink ref="G478" r:id="rId427" xr:uid="{00000000-0004-0000-0000-000029020000}"/>
    <hyperlink ref="S478" r:id="rId428" xr:uid="{00000000-0004-0000-0000-00002A020000}"/>
    <hyperlink ref="G479" r:id="rId429" xr:uid="{00000000-0004-0000-0000-00002B020000}"/>
    <hyperlink ref="G481" r:id="rId430" xr:uid="{00000000-0004-0000-0000-00002F020000}"/>
    <hyperlink ref="G482" r:id="rId431" xr:uid="{00000000-0004-0000-0000-000030020000}"/>
    <hyperlink ref="S482" r:id="rId432" xr:uid="{00000000-0004-0000-0000-000031020000}"/>
    <hyperlink ref="S483" r:id="rId433" xr:uid="{00000000-0004-0000-0000-000032020000}"/>
    <hyperlink ref="G485" r:id="rId434" xr:uid="{00000000-0004-0000-0000-000034020000}"/>
    <hyperlink ref="S485" r:id="rId435" xr:uid="{00000000-0004-0000-0000-000035020000}"/>
    <hyperlink ref="G486" r:id="rId436" xr:uid="{00000000-0004-0000-0000-000036020000}"/>
    <hyperlink ref="G487" r:id="rId437" xr:uid="{00000000-0004-0000-0000-000039020000}"/>
    <hyperlink ref="S487" r:id="rId438" xr:uid="{00000000-0004-0000-0000-00003A020000}"/>
    <hyperlink ref="F489" r:id="rId439" xr:uid="{00000000-0004-0000-0000-00003B020000}"/>
    <hyperlink ref="F491" r:id="rId440" xr:uid="{00000000-0004-0000-0000-00003C020000}"/>
    <hyperlink ref="G491" r:id="rId441" xr:uid="{00000000-0004-0000-0000-00003D020000}"/>
    <hyperlink ref="G492" r:id="rId442" xr:uid="{00000000-0004-0000-0000-00003E020000}"/>
    <hyperlink ref="G493" r:id="rId443" xr:uid="{00000000-0004-0000-0000-000040020000}"/>
    <hyperlink ref="G494" r:id="rId444" xr:uid="{00000000-0004-0000-0000-000041020000}"/>
    <hyperlink ref="S495" r:id="rId445" xr:uid="{00000000-0004-0000-0000-000042020000}"/>
    <hyperlink ref="G496" r:id="rId446" xr:uid="{00000000-0004-0000-0000-000043020000}"/>
    <hyperlink ref="G497" r:id="rId447" xr:uid="{00000000-0004-0000-0000-000045020000}"/>
    <hyperlink ref="G499" r:id="rId448" xr:uid="{00000000-0004-0000-0000-000047020000}"/>
    <hyperlink ref="G501" r:id="rId449" xr:uid="{00000000-0004-0000-0000-000048020000}"/>
    <hyperlink ref="S501" r:id="rId450" xr:uid="{00000000-0004-0000-0000-000049020000}"/>
    <hyperlink ref="G502" r:id="rId451" xr:uid="{00000000-0004-0000-0000-00004A020000}"/>
    <hyperlink ref="G505" r:id="rId452" xr:uid="{00000000-0004-0000-0000-00004B020000}"/>
    <hyperlink ref="G506" r:id="rId453" xr:uid="{00000000-0004-0000-0000-00004C020000}"/>
    <hyperlink ref="G507" r:id="rId454" xr:uid="{00000000-0004-0000-0000-00004D020000}"/>
    <hyperlink ref="S508" r:id="rId455" xr:uid="{00000000-0004-0000-0000-00004E020000}"/>
    <hyperlink ref="G511" r:id="rId456" xr:uid="{00000000-0004-0000-0000-000052020000}"/>
    <hyperlink ref="S511" r:id="rId457" xr:uid="{00000000-0004-0000-0000-000053020000}"/>
    <hyperlink ref="G512" r:id="rId458" xr:uid="{00000000-0004-0000-0000-000055020000}"/>
    <hyperlink ref="G513" r:id="rId459" xr:uid="{00000000-0004-0000-0000-000058020000}"/>
    <hyperlink ref="G514" r:id="rId460" xr:uid="{00000000-0004-0000-0000-000059020000}"/>
    <hyperlink ref="G517" r:id="rId461" xr:uid="{00000000-0004-0000-0000-00005A020000}"/>
    <hyperlink ref="F519" r:id="rId462" xr:uid="{00000000-0004-0000-0000-00005C020000}"/>
    <hyperlink ref="G519" r:id="rId463" xr:uid="{00000000-0004-0000-0000-00005D020000}"/>
    <hyperlink ref="S520" r:id="rId464" xr:uid="{00000000-0004-0000-0000-00005E020000}"/>
    <hyperlink ref="G521" r:id="rId465" xr:uid="{00000000-0004-0000-0000-00005F020000}"/>
    <hyperlink ref="S521" r:id="rId466" xr:uid="{00000000-0004-0000-0000-000060020000}"/>
    <hyperlink ref="G522" r:id="rId467" xr:uid="{00000000-0004-0000-0000-000061020000}"/>
    <hyperlink ref="S522" r:id="rId468" xr:uid="{00000000-0004-0000-0000-000062020000}"/>
    <hyperlink ref="S524" r:id="rId469" xr:uid="{00000000-0004-0000-0000-000063020000}"/>
    <hyperlink ref="G525" r:id="rId470" xr:uid="{00000000-0004-0000-0000-000064020000}"/>
    <hyperlink ref="G527" r:id="rId471" xr:uid="{00000000-0004-0000-0000-000066020000}"/>
    <hyperlink ref="G528" r:id="rId472" xr:uid="{00000000-0004-0000-0000-000067020000}"/>
    <hyperlink ref="S528" r:id="rId473" xr:uid="{00000000-0004-0000-0000-000068020000}"/>
    <hyperlink ref="S529" r:id="rId474" xr:uid="{00000000-0004-0000-0000-000069020000}"/>
    <hyperlink ref="G530" r:id="rId475" xr:uid="{00000000-0004-0000-0000-00006A020000}"/>
    <hyperlink ref="S530" r:id="rId476" xr:uid="{00000000-0004-0000-0000-00006B020000}"/>
    <hyperlink ref="F531" r:id="rId477" xr:uid="{00000000-0004-0000-0000-00006C020000}"/>
    <hyperlink ref="G531" r:id="rId478" xr:uid="{00000000-0004-0000-0000-00006D020000}"/>
    <hyperlink ref="G532" r:id="rId479" xr:uid="{00000000-0004-0000-0000-00006E020000}"/>
    <hyperlink ref="G533" r:id="rId480" xr:uid="{00000000-0004-0000-0000-00006F020000}"/>
    <hyperlink ref="G534" r:id="rId481" xr:uid="{00000000-0004-0000-0000-000070020000}"/>
    <hyperlink ref="G537" r:id="rId482" xr:uid="{00000000-0004-0000-0000-000071020000}"/>
    <hyperlink ref="G538" r:id="rId483" xr:uid="{00000000-0004-0000-0000-000074020000}"/>
    <hyperlink ref="S541" r:id="rId484" xr:uid="{00000000-0004-0000-0000-000075020000}"/>
    <hyperlink ref="G544" r:id="rId485" xr:uid="{00000000-0004-0000-0000-000076020000}"/>
    <hyperlink ref="G546" r:id="rId486" xr:uid="{00000000-0004-0000-0000-000077020000}"/>
    <hyperlink ref="G547" r:id="rId487" xr:uid="{00000000-0004-0000-0000-000078020000}"/>
    <hyperlink ref="G548" r:id="rId488" xr:uid="{00000000-0004-0000-0000-000079020000}"/>
    <hyperlink ref="G549" r:id="rId489" xr:uid="{00000000-0004-0000-0000-00007A020000}"/>
    <hyperlink ref="G550" r:id="rId490" xr:uid="{00000000-0004-0000-0000-00007B020000}"/>
    <hyperlink ref="G551" r:id="rId491" xr:uid="{00000000-0004-0000-0000-00007C020000}"/>
    <hyperlink ref="R552" r:id="rId492" xr:uid="{00000000-0004-0000-0000-00007E020000}"/>
    <hyperlink ref="S552" r:id="rId493" xr:uid="{00000000-0004-0000-0000-00007F020000}"/>
    <hyperlink ref="G554" r:id="rId494" xr:uid="{00000000-0004-0000-0000-000081020000}"/>
    <hyperlink ref="G556" r:id="rId495" xr:uid="{00000000-0004-0000-0000-000083020000}"/>
    <hyperlink ref="S557" r:id="rId496" xr:uid="{00000000-0004-0000-0000-000084020000}"/>
    <hyperlink ref="G558" r:id="rId497" xr:uid="{00000000-0004-0000-0000-000085020000}"/>
    <hyperlink ref="G559" r:id="rId498" xr:uid="{00000000-0004-0000-0000-000087020000}"/>
    <hyperlink ref="G560" r:id="rId499" xr:uid="{00000000-0004-0000-0000-000088020000}"/>
    <hyperlink ref="S561" r:id="rId500" xr:uid="{00000000-0004-0000-0000-00008A020000}"/>
    <hyperlink ref="S562" r:id="rId501" xr:uid="{00000000-0004-0000-0000-00008B020000}"/>
    <hyperlink ref="F565" r:id="rId502" xr:uid="{00000000-0004-0000-0000-00008C020000}"/>
    <hyperlink ref="G565" r:id="rId503" xr:uid="{00000000-0004-0000-0000-00008D020000}"/>
    <hyperlink ref="S565" r:id="rId504" xr:uid="{00000000-0004-0000-0000-00008E020000}"/>
    <hyperlink ref="G567" r:id="rId505" xr:uid="{00000000-0004-0000-0000-00008F020000}"/>
    <hyperlink ref="G568" r:id="rId506" xr:uid="{00000000-0004-0000-0000-000090020000}"/>
    <hyperlink ref="S568" r:id="rId507" xr:uid="{00000000-0004-0000-0000-000091020000}"/>
    <hyperlink ref="G569" r:id="rId508" xr:uid="{00000000-0004-0000-0000-000092020000}"/>
    <hyperlink ref="G571" r:id="rId509" xr:uid="{00000000-0004-0000-0000-000093020000}"/>
    <hyperlink ref="G574" r:id="rId510" xr:uid="{00000000-0004-0000-0000-000094020000}"/>
    <hyperlink ref="G575" r:id="rId511" xr:uid="{00000000-0004-0000-0000-000095020000}"/>
    <hyperlink ref="G576" r:id="rId512" xr:uid="{00000000-0004-0000-0000-000096020000}"/>
    <hyperlink ref="S577" r:id="rId513" xr:uid="{00000000-0004-0000-0000-000098020000}"/>
    <hyperlink ref="G578" r:id="rId514" xr:uid="{00000000-0004-0000-0000-000099020000}"/>
    <hyperlink ref="G579" r:id="rId515" xr:uid="{00000000-0004-0000-0000-00009A020000}"/>
    <hyperlink ref="S579" r:id="rId516" xr:uid="{00000000-0004-0000-0000-00009B020000}"/>
    <hyperlink ref="F580" r:id="rId517" xr:uid="{00000000-0004-0000-0000-00009C020000}"/>
    <hyperlink ref="S580" r:id="rId518" xr:uid="{00000000-0004-0000-0000-00009D020000}"/>
    <hyperlink ref="G584" r:id="rId519" xr:uid="{00000000-0004-0000-0000-0000A0020000}"/>
    <hyperlink ref="G586" r:id="rId520" xr:uid="{00000000-0004-0000-0000-0000A3020000}"/>
    <hyperlink ref="G587" r:id="rId521" xr:uid="{00000000-0004-0000-0000-0000A4020000}"/>
    <hyperlink ref="S587" r:id="rId522" xr:uid="{00000000-0004-0000-0000-0000A5020000}"/>
    <hyperlink ref="G588" r:id="rId523" xr:uid="{00000000-0004-0000-0000-0000A6020000}"/>
    <hyperlink ref="G590" r:id="rId524" xr:uid="{00000000-0004-0000-0000-0000A7020000}"/>
    <hyperlink ref="F592" r:id="rId525" xr:uid="{00000000-0004-0000-0000-0000A8020000}"/>
    <hyperlink ref="G592" r:id="rId526" xr:uid="{00000000-0004-0000-0000-0000A9020000}"/>
    <hyperlink ref="G593" r:id="rId527" xr:uid="{00000000-0004-0000-0000-0000AA020000}"/>
    <hyperlink ref="G594" r:id="rId528" xr:uid="{00000000-0004-0000-0000-0000AB020000}"/>
    <hyperlink ref="G595" r:id="rId529" xr:uid="{00000000-0004-0000-0000-0000AC020000}"/>
    <hyperlink ref="G596" r:id="rId530" xr:uid="{00000000-0004-0000-0000-0000AD020000}"/>
    <hyperlink ref="G597" r:id="rId531" xr:uid="{00000000-0004-0000-0000-0000AE020000}"/>
    <hyperlink ref="S599" r:id="rId532" xr:uid="{00000000-0004-0000-0000-0000AF020000}"/>
    <hyperlink ref="G601" r:id="rId533" xr:uid="{00000000-0004-0000-0000-0000B1020000}"/>
    <hyperlink ref="G603" r:id="rId534" xr:uid="{00000000-0004-0000-0000-0000B2020000}"/>
    <hyperlink ref="G604" r:id="rId535" xr:uid="{00000000-0004-0000-0000-0000B3020000}"/>
    <hyperlink ref="G605" r:id="rId536" xr:uid="{00000000-0004-0000-0000-0000B4020000}"/>
    <hyperlink ref="G606" r:id="rId537" xr:uid="{00000000-0004-0000-0000-0000B5020000}"/>
    <hyperlink ref="S606" r:id="rId538" xr:uid="{00000000-0004-0000-0000-0000B6020000}"/>
    <hyperlink ref="G608" r:id="rId539" xr:uid="{00000000-0004-0000-0000-0000B7020000}"/>
    <hyperlink ref="S608" r:id="rId540" xr:uid="{00000000-0004-0000-0000-0000B8020000}"/>
    <hyperlink ref="G610" r:id="rId541" xr:uid="{00000000-0004-0000-0000-0000B9020000}"/>
    <hyperlink ref="G612" r:id="rId542" xr:uid="{00000000-0004-0000-0000-0000BB020000}"/>
    <hyperlink ref="G615" r:id="rId543" xr:uid="{00000000-0004-0000-0000-0000BC020000}"/>
    <hyperlink ref="G617" r:id="rId544" xr:uid="{00000000-0004-0000-0000-0000BD020000}"/>
    <hyperlink ref="G619" r:id="rId545" xr:uid="{00000000-0004-0000-0000-0000BF020000}"/>
    <hyperlink ref="S619" r:id="rId546" xr:uid="{00000000-0004-0000-0000-0000C0020000}"/>
    <hyperlink ref="F620" r:id="rId547" xr:uid="{00000000-0004-0000-0000-0000C1020000}"/>
    <hyperlink ref="G620" r:id="rId548" xr:uid="{00000000-0004-0000-0000-0000C2020000}"/>
    <hyperlink ref="S620" r:id="rId549" xr:uid="{00000000-0004-0000-0000-0000C3020000}"/>
    <hyperlink ref="G621" r:id="rId550" xr:uid="{00000000-0004-0000-0000-0000C4020000}"/>
    <hyperlink ref="S621" r:id="rId551" xr:uid="{00000000-0004-0000-0000-0000C5020000}"/>
    <hyperlink ref="F623" r:id="rId552" xr:uid="{00000000-0004-0000-0000-0000C7020000}"/>
    <hyperlink ref="F624" r:id="rId553" xr:uid="{00000000-0004-0000-0000-0000C8020000}"/>
    <hyperlink ref="F625" r:id="rId554" xr:uid="{00000000-0004-0000-0000-0000C9020000}"/>
    <hyperlink ref="G625" r:id="rId555" xr:uid="{00000000-0004-0000-0000-0000CA020000}"/>
    <hyperlink ref="G626" r:id="rId556" xr:uid="{00000000-0004-0000-0000-0000CC020000}"/>
    <hyperlink ref="S626" r:id="rId557" xr:uid="{00000000-0004-0000-0000-0000CD020000}"/>
    <hyperlink ref="G627" r:id="rId558" xr:uid="{00000000-0004-0000-0000-0000CE020000}"/>
    <hyperlink ref="S627" r:id="rId559" xr:uid="{00000000-0004-0000-0000-0000CF020000}"/>
    <hyperlink ref="G628" r:id="rId560" xr:uid="{00000000-0004-0000-0000-0000D0020000}"/>
    <hyperlink ref="S629" r:id="rId561" xr:uid="{00000000-0004-0000-0000-0000D1020000}"/>
    <hyperlink ref="G631" r:id="rId562" xr:uid="{00000000-0004-0000-0000-0000D3020000}"/>
    <hyperlink ref="S631" r:id="rId563" xr:uid="{00000000-0004-0000-0000-0000D4020000}"/>
    <hyperlink ref="G632" r:id="rId564" xr:uid="{00000000-0004-0000-0000-0000D5020000}"/>
    <hyperlink ref="S632" r:id="rId565" xr:uid="{00000000-0004-0000-0000-0000D6020000}"/>
    <hyperlink ref="G633" r:id="rId566" xr:uid="{00000000-0004-0000-0000-0000D8020000}"/>
    <hyperlink ref="G634" r:id="rId567" xr:uid="{00000000-0004-0000-0000-0000D9020000}"/>
    <hyperlink ref="G635" r:id="rId568" xr:uid="{00000000-0004-0000-0000-0000DA020000}"/>
    <hyperlink ref="S638" r:id="rId569" xr:uid="{00000000-0004-0000-0000-0000DB020000}"/>
    <hyperlink ref="G639" r:id="rId570" xr:uid="{00000000-0004-0000-0000-0000DC020000}"/>
    <hyperlink ref="F640" r:id="rId571" xr:uid="{00000000-0004-0000-0000-0000DD020000}"/>
    <hyperlink ref="G641" r:id="rId572" xr:uid="{00000000-0004-0000-0000-0000DE020000}"/>
    <hyperlink ref="G642" r:id="rId573" xr:uid="{00000000-0004-0000-0000-0000DF020000}"/>
    <hyperlink ref="G645" r:id="rId574" xr:uid="{00000000-0004-0000-0000-0000E0020000}"/>
    <hyperlink ref="G648" r:id="rId575" xr:uid="{00000000-0004-0000-0000-0000E1020000}"/>
    <hyperlink ref="G649" r:id="rId576" xr:uid="{00000000-0004-0000-0000-0000E2020000}"/>
    <hyperlink ref="F652" r:id="rId577" xr:uid="{00000000-0004-0000-0000-0000E3020000}"/>
    <hyperlink ref="G652" r:id="rId578" xr:uid="{00000000-0004-0000-0000-0000E4020000}"/>
    <hyperlink ref="S653" r:id="rId579" xr:uid="{00000000-0004-0000-0000-0000E5020000}"/>
    <hyperlink ref="G655" r:id="rId580" xr:uid="{00000000-0004-0000-0000-0000E6020000}"/>
    <hyperlink ref="S655" r:id="rId581" xr:uid="{00000000-0004-0000-0000-0000E7020000}"/>
    <hyperlink ref="G656" r:id="rId582" xr:uid="{00000000-0004-0000-0000-0000E8020000}"/>
    <hyperlink ref="S656" r:id="rId583" xr:uid="{00000000-0004-0000-0000-0000E9020000}"/>
    <hyperlink ref="G657" r:id="rId584" xr:uid="{00000000-0004-0000-0000-0000EA020000}"/>
    <hyperlink ref="G660" r:id="rId585" xr:uid="{00000000-0004-0000-0000-0000EC020000}"/>
    <hyperlink ref="F662" r:id="rId586" xr:uid="{00000000-0004-0000-0000-0000ED020000}"/>
    <hyperlink ref="S663" r:id="rId587" xr:uid="{00000000-0004-0000-0000-0000EE020000}"/>
    <hyperlink ref="G664" r:id="rId588" xr:uid="{00000000-0004-0000-0000-0000EF020000}"/>
    <hyperlink ref="G665" r:id="rId589" xr:uid="{00000000-0004-0000-0000-0000F0020000}"/>
    <hyperlink ref="S666" r:id="rId590" xr:uid="{00000000-0004-0000-0000-0000F1020000}"/>
    <hyperlink ref="S668" r:id="rId591" xr:uid="{00000000-0004-0000-0000-0000F2020000}"/>
    <hyperlink ref="G669" r:id="rId592" xr:uid="{00000000-0004-0000-0000-0000F3020000}"/>
    <hyperlink ref="G672" r:id="rId593" xr:uid="{00000000-0004-0000-0000-0000F4020000}"/>
    <hyperlink ref="G675" r:id="rId594" xr:uid="{00000000-0004-0000-0000-0000F5020000}"/>
    <hyperlink ref="S677" r:id="rId595" xr:uid="{00000000-0004-0000-0000-0000F6020000}"/>
    <hyperlink ref="G678" r:id="rId596" xr:uid="{00000000-0004-0000-0000-0000F7020000}"/>
    <hyperlink ref="G679" r:id="rId597" xr:uid="{00000000-0004-0000-0000-0000F8020000}"/>
    <hyperlink ref="S680" r:id="rId598" xr:uid="{00000000-0004-0000-0000-0000F9020000}"/>
    <hyperlink ref="F681" r:id="rId599" xr:uid="{00000000-0004-0000-0000-0000FA020000}"/>
    <hyperlink ref="G681" r:id="rId600" xr:uid="{00000000-0004-0000-0000-0000FB020000}"/>
    <hyperlink ref="S681" r:id="rId601" xr:uid="{00000000-0004-0000-0000-0000FC020000}"/>
    <hyperlink ref="G683" r:id="rId602" xr:uid="{00000000-0004-0000-0000-0000FD020000}"/>
    <hyperlink ref="G684" r:id="rId603" xr:uid="{00000000-0004-0000-0000-0000FE020000}"/>
    <hyperlink ref="G685" r:id="rId604" xr:uid="{00000000-0004-0000-0000-0000FF020000}"/>
    <hyperlink ref="G686" r:id="rId605" xr:uid="{00000000-0004-0000-0000-000000030000}"/>
    <hyperlink ref="F688" r:id="rId606" xr:uid="{00000000-0004-0000-0000-000001030000}"/>
    <hyperlink ref="G688" r:id="rId607" xr:uid="{00000000-0004-0000-0000-000002030000}"/>
    <hyperlink ref="F689" r:id="rId608" xr:uid="{00000000-0004-0000-0000-000003030000}"/>
    <hyperlink ref="G691" r:id="rId609" xr:uid="{00000000-0004-0000-0000-000004030000}"/>
    <hyperlink ref="S692" r:id="rId610" xr:uid="{00000000-0004-0000-0000-000007030000}"/>
    <hyperlink ref="F694" r:id="rId611" xr:uid="{00000000-0004-0000-0000-000008030000}"/>
    <hyperlink ref="S694" r:id="rId612" xr:uid="{00000000-0004-0000-0000-000009030000}"/>
    <hyperlink ref="S696" r:id="rId613" xr:uid="{00000000-0004-0000-0000-00000B030000}"/>
    <hyperlink ref="F697" r:id="rId614" xr:uid="{00000000-0004-0000-0000-00000C030000}"/>
    <hyperlink ref="G697" r:id="rId615" xr:uid="{00000000-0004-0000-0000-00000D030000}"/>
    <hyperlink ref="G698" r:id="rId616" xr:uid="{00000000-0004-0000-0000-000010030000}"/>
    <hyperlink ref="F699" r:id="rId617" xr:uid="{00000000-0004-0000-0000-000011030000}"/>
    <hyperlink ref="S699" r:id="rId618" xr:uid="{00000000-0004-0000-0000-000012030000}"/>
    <hyperlink ref="G700" r:id="rId619" xr:uid="{00000000-0004-0000-0000-000013030000}"/>
    <hyperlink ref="S700" r:id="rId620" xr:uid="{00000000-0004-0000-0000-000014030000}"/>
    <hyperlink ref="G701" r:id="rId621" xr:uid="{00000000-0004-0000-0000-000015030000}"/>
    <hyperlink ref="G702" r:id="rId622" xr:uid="{00000000-0004-0000-0000-000016030000}"/>
    <hyperlink ref="F703" r:id="rId623" xr:uid="{00000000-0004-0000-0000-000017030000}"/>
    <hyperlink ref="G705" r:id="rId624" xr:uid="{00000000-0004-0000-0000-000018030000}"/>
    <hyperlink ref="G706" r:id="rId625" xr:uid="{00000000-0004-0000-0000-000019030000}"/>
    <hyperlink ref="F707" r:id="rId626" xr:uid="{00000000-0004-0000-0000-00001E030000}"/>
    <hyperlink ref="G707" r:id="rId627" xr:uid="{00000000-0004-0000-0000-00001F030000}"/>
    <hyperlink ref="G708" r:id="rId628" xr:uid="{00000000-0004-0000-0000-000020030000}"/>
    <hyperlink ref="G709" r:id="rId629" xr:uid="{00000000-0004-0000-0000-000021030000}"/>
    <hyperlink ref="F710" r:id="rId630" xr:uid="{00000000-0004-0000-0000-000022030000}"/>
    <hyperlink ref="S710" r:id="rId631" xr:uid="{00000000-0004-0000-0000-000023030000}"/>
    <hyperlink ref="F711" r:id="rId632" xr:uid="{00000000-0004-0000-0000-000024030000}"/>
    <hyperlink ref="F712" r:id="rId633" xr:uid="{00000000-0004-0000-0000-000027030000}"/>
    <hyperlink ref="S712" r:id="rId634" xr:uid="{00000000-0004-0000-0000-000028030000}"/>
    <hyperlink ref="G713" r:id="rId635" xr:uid="{00000000-0004-0000-0000-000029030000}"/>
    <hyperlink ref="S713" r:id="rId636" xr:uid="{00000000-0004-0000-0000-00002A030000}"/>
    <hyperlink ref="G715" r:id="rId637" xr:uid="{00000000-0004-0000-0000-00002B030000}"/>
    <hyperlink ref="F716" r:id="rId638" xr:uid="{00000000-0004-0000-0000-00002C030000}"/>
    <hyperlink ref="S716" r:id="rId639" xr:uid="{00000000-0004-0000-0000-00002D030000}"/>
    <hyperlink ref="G717" r:id="rId640" xr:uid="{00000000-0004-0000-0000-00002E030000}"/>
    <hyperlink ref="S717" r:id="rId641" xr:uid="{00000000-0004-0000-0000-00002F030000}"/>
    <hyperlink ref="G718" r:id="rId642" xr:uid="{00000000-0004-0000-0000-000030030000}"/>
    <hyperlink ref="S718" r:id="rId643" xr:uid="{00000000-0004-0000-0000-000031030000}"/>
    <hyperlink ref="G719" r:id="rId644" xr:uid="{00000000-0004-0000-0000-000032030000}"/>
    <hyperlink ref="F720" r:id="rId645" xr:uid="{00000000-0004-0000-0000-000033030000}"/>
    <hyperlink ref="S720" r:id="rId646" xr:uid="{00000000-0004-0000-0000-000034030000}"/>
    <hyperlink ref="G721" r:id="rId647" xr:uid="{00000000-0004-0000-0000-000035030000}"/>
    <hyperlink ref="G722" r:id="rId648" xr:uid="{00000000-0004-0000-0000-000037030000}"/>
    <hyperlink ref="S723" r:id="rId649" xr:uid="{00000000-0004-0000-0000-000038030000}"/>
    <hyperlink ref="G724" r:id="rId650" xr:uid="{00000000-0004-0000-0000-000039030000}"/>
    <hyperlink ref="F725" r:id="rId651" xr:uid="{00000000-0004-0000-0000-00003A030000}"/>
    <hyperlink ref="S726" r:id="rId652" xr:uid="{00000000-0004-0000-0000-00003B030000}"/>
    <hyperlink ref="F727" r:id="rId653" xr:uid="{00000000-0004-0000-0000-00003C030000}"/>
    <hyperlink ref="G727" r:id="rId654" xr:uid="{00000000-0004-0000-0000-00003D030000}"/>
    <hyperlink ref="S727" r:id="rId655" xr:uid="{00000000-0004-0000-0000-00003E030000}"/>
    <hyperlink ref="S728" r:id="rId656" xr:uid="{00000000-0004-0000-0000-00003F030000}"/>
    <hyperlink ref="G730" r:id="rId657" xr:uid="{00000000-0004-0000-0000-000040030000}"/>
    <hyperlink ref="G731" r:id="rId658" xr:uid="{00000000-0004-0000-0000-000042030000}"/>
    <hyperlink ref="G733" r:id="rId659" xr:uid="{00000000-0004-0000-0000-000043030000}"/>
    <hyperlink ref="S734" r:id="rId660" xr:uid="{00000000-0004-0000-0000-000044030000}"/>
    <hyperlink ref="G735" r:id="rId661" xr:uid="{00000000-0004-0000-0000-000045030000}"/>
    <hyperlink ref="G737" r:id="rId662" xr:uid="{00000000-0004-0000-0000-000046030000}"/>
    <hyperlink ref="S739" r:id="rId663" xr:uid="{00000000-0004-0000-0000-000047030000}"/>
    <hyperlink ref="G740" r:id="rId664" xr:uid="{00000000-0004-0000-0000-000048030000}"/>
    <hyperlink ref="G741" r:id="rId665" xr:uid="{00000000-0004-0000-0000-000049030000}"/>
    <hyperlink ref="G743" r:id="rId666" xr:uid="{00000000-0004-0000-0000-00004D030000}"/>
    <hyperlink ref="G745" r:id="rId667" xr:uid="{00000000-0004-0000-0000-00004E030000}"/>
    <hyperlink ref="S745" r:id="rId668" xr:uid="{00000000-0004-0000-0000-00004F030000}"/>
    <hyperlink ref="G746" r:id="rId669" xr:uid="{00000000-0004-0000-0000-000050030000}"/>
    <hyperlink ref="S746" r:id="rId670" xr:uid="{00000000-0004-0000-0000-000051030000}"/>
    <hyperlink ref="G747" r:id="rId671" xr:uid="{00000000-0004-0000-0000-000052030000}"/>
    <hyperlink ref="G748" r:id="rId672" xr:uid="{00000000-0004-0000-0000-000054030000}"/>
    <hyperlink ref="G750" r:id="rId673" xr:uid="{00000000-0004-0000-0000-000055030000}"/>
    <hyperlink ref="F751" r:id="rId674" xr:uid="{00000000-0004-0000-0000-000056030000}"/>
    <hyperlink ref="F752" r:id="rId675" xr:uid="{00000000-0004-0000-0000-000057030000}"/>
    <hyperlink ref="G752" r:id="rId676" xr:uid="{00000000-0004-0000-0000-000058030000}"/>
    <hyperlink ref="G753" r:id="rId677" xr:uid="{00000000-0004-0000-0000-000059030000}"/>
    <hyperlink ref="S753" r:id="rId678" xr:uid="{00000000-0004-0000-0000-00005A030000}"/>
    <hyperlink ref="G754" r:id="rId679" xr:uid="{00000000-0004-0000-0000-00005B030000}"/>
    <hyperlink ref="G755" r:id="rId680" xr:uid="{00000000-0004-0000-0000-00005C030000}"/>
    <hyperlink ref="S757" r:id="rId681" xr:uid="{00000000-0004-0000-0000-00005D030000}"/>
    <hyperlink ref="G758" r:id="rId682" xr:uid="{00000000-0004-0000-0000-00005F030000}"/>
    <hyperlink ref="F759" r:id="rId683" xr:uid="{00000000-0004-0000-0000-000060030000}"/>
    <hyperlink ref="G760" r:id="rId684" xr:uid="{00000000-0004-0000-0000-000061030000}"/>
    <hyperlink ref="G761" r:id="rId685" xr:uid="{00000000-0004-0000-0000-000063030000}"/>
    <hyperlink ref="F763" r:id="rId686" xr:uid="{00000000-0004-0000-0000-000065030000}"/>
    <hyperlink ref="G763" r:id="rId687" xr:uid="{00000000-0004-0000-0000-000066030000}"/>
    <hyperlink ref="G767" r:id="rId688" xr:uid="{00000000-0004-0000-0000-000067030000}"/>
    <hyperlink ref="S767" r:id="rId689" xr:uid="{00000000-0004-0000-0000-000068030000}"/>
    <hyperlink ref="G768" r:id="rId690" xr:uid="{00000000-0004-0000-0000-000069030000}"/>
    <hyperlink ref="F769" r:id="rId691" xr:uid="{00000000-0004-0000-0000-00006C030000}"/>
    <hyperlink ref="G770" r:id="rId692" xr:uid="{00000000-0004-0000-0000-00006D030000}"/>
    <hyperlink ref="F772" r:id="rId693" xr:uid="{00000000-0004-0000-0000-00006E030000}"/>
    <hyperlink ref="S772" r:id="rId694" xr:uid="{00000000-0004-0000-0000-00006F030000}"/>
    <hyperlink ref="G773" r:id="rId695" xr:uid="{00000000-0004-0000-0000-000070030000}"/>
    <hyperlink ref="G774" r:id="rId696" xr:uid="{00000000-0004-0000-0000-000071030000}"/>
    <hyperlink ref="S774" r:id="rId697" xr:uid="{00000000-0004-0000-0000-000072030000}"/>
    <hyperlink ref="G777" r:id="rId698" xr:uid="{00000000-0004-0000-0000-000073030000}"/>
    <hyperlink ref="G779" r:id="rId699" xr:uid="{00000000-0004-0000-0000-000074030000}"/>
    <hyperlink ref="S779" r:id="rId700" xr:uid="{00000000-0004-0000-0000-000075030000}"/>
    <hyperlink ref="G781" r:id="rId701" xr:uid="{00000000-0004-0000-0000-000076030000}"/>
    <hyperlink ref="G782" r:id="rId702" xr:uid="{00000000-0004-0000-0000-000077030000}"/>
    <hyperlink ref="G784" r:id="rId703" xr:uid="{00000000-0004-0000-0000-000078030000}"/>
    <hyperlink ref="G785" r:id="rId704" xr:uid="{00000000-0004-0000-0000-000079030000}"/>
    <hyperlink ref="G789" r:id="rId705" xr:uid="{00000000-0004-0000-0000-00007A030000}"/>
    <hyperlink ref="G790" r:id="rId706" xr:uid="{00000000-0004-0000-0000-00007C030000}"/>
    <hyperlink ref="S790" r:id="rId707" xr:uid="{00000000-0004-0000-0000-00007D030000}"/>
    <hyperlink ref="F791" r:id="rId708" xr:uid="{00000000-0004-0000-0000-000080030000}"/>
    <hyperlink ref="G791" r:id="rId709" xr:uid="{00000000-0004-0000-0000-000081030000}"/>
    <hyperlink ref="S791" r:id="rId710" xr:uid="{00000000-0004-0000-0000-000082030000}"/>
    <hyperlink ref="G792" r:id="rId711" xr:uid="{00000000-0004-0000-0000-000085030000}"/>
    <hyperlink ref="G793" r:id="rId712" xr:uid="{00000000-0004-0000-0000-000087030000}"/>
    <hyperlink ref="S793" r:id="rId713" xr:uid="{00000000-0004-0000-0000-000088030000}"/>
    <hyperlink ref="G794" r:id="rId714" xr:uid="{00000000-0004-0000-0000-00008B030000}"/>
    <hyperlink ref="G795" r:id="rId715" xr:uid="{00000000-0004-0000-0000-00008E030000}"/>
    <hyperlink ref="F796" r:id="rId716" xr:uid="{00000000-0004-0000-0000-00008F030000}"/>
    <hyperlink ref="G796" r:id="rId717" xr:uid="{00000000-0004-0000-0000-000090030000}"/>
    <hyperlink ref="G797" r:id="rId718" xr:uid="{00000000-0004-0000-0000-000091030000}"/>
    <hyperlink ref="G799" r:id="rId719" xr:uid="{00000000-0004-0000-0000-000093030000}"/>
    <hyperlink ref="G801" r:id="rId720" xr:uid="{00000000-0004-0000-0000-000094030000}"/>
    <hyperlink ref="S801" r:id="rId721" xr:uid="{00000000-0004-0000-0000-000095030000}"/>
    <hyperlink ref="G802" r:id="rId722" xr:uid="{00000000-0004-0000-0000-000096030000}"/>
    <hyperlink ref="F805" r:id="rId723" xr:uid="{00000000-0004-0000-0000-000097030000}"/>
    <hyperlink ref="G806" r:id="rId724" xr:uid="{00000000-0004-0000-0000-000098030000}"/>
    <hyperlink ref="S806" r:id="rId725" xr:uid="{00000000-0004-0000-0000-000099030000}"/>
    <hyperlink ref="G807" r:id="rId726" xr:uid="{00000000-0004-0000-0000-00009A030000}"/>
    <hyperlink ref="G808" r:id="rId727" xr:uid="{00000000-0004-0000-0000-00009B030000}"/>
    <hyperlink ref="G809" r:id="rId728" xr:uid="{00000000-0004-0000-0000-00009C030000}"/>
    <hyperlink ref="G810" r:id="rId729" xr:uid="{00000000-0004-0000-0000-00009D030000}"/>
    <hyperlink ref="F811" r:id="rId730" xr:uid="{00000000-0004-0000-0000-00009E030000}"/>
    <hyperlink ref="G811" r:id="rId731" xr:uid="{00000000-0004-0000-0000-00009F030000}"/>
    <hyperlink ref="S811" r:id="rId732" xr:uid="{00000000-0004-0000-0000-0000A0030000}"/>
    <hyperlink ref="G814" r:id="rId733" xr:uid="{00000000-0004-0000-0000-0000A1030000}"/>
    <hyperlink ref="G817" r:id="rId734" xr:uid="{00000000-0004-0000-0000-0000A2030000}"/>
    <hyperlink ref="S817" r:id="rId735" xr:uid="{00000000-0004-0000-0000-0000A3030000}"/>
    <hyperlink ref="G819" r:id="rId736" xr:uid="{00000000-0004-0000-0000-0000A4030000}"/>
    <hyperlink ref="G820" r:id="rId737" xr:uid="{00000000-0004-0000-0000-0000A5030000}"/>
    <hyperlink ref="G821" r:id="rId738" xr:uid="{00000000-0004-0000-0000-0000A6030000}"/>
    <hyperlink ref="G824" r:id="rId739" xr:uid="{00000000-0004-0000-0000-0000A9030000}"/>
    <hyperlink ref="G825" r:id="rId740" xr:uid="{00000000-0004-0000-0000-0000AA030000}"/>
    <hyperlink ref="F826" r:id="rId741" xr:uid="{00000000-0004-0000-0000-0000AC030000}"/>
    <hyperlink ref="S826" r:id="rId742" xr:uid="{00000000-0004-0000-0000-0000AD030000}"/>
    <hyperlink ref="G827" r:id="rId743" xr:uid="{00000000-0004-0000-0000-0000AE030000}"/>
    <hyperlink ref="G829" r:id="rId744" xr:uid="{00000000-0004-0000-0000-0000B2030000}"/>
    <hyperlink ref="G830" r:id="rId745" xr:uid="{00000000-0004-0000-0000-0000B3030000}"/>
    <hyperlink ref="G832" r:id="rId746" xr:uid="{00000000-0004-0000-0000-0000B4030000}"/>
    <hyperlink ref="G833" r:id="rId747" xr:uid="{00000000-0004-0000-0000-0000B5030000}"/>
    <hyperlink ref="G834" r:id="rId748" xr:uid="{00000000-0004-0000-0000-0000B6030000}"/>
    <hyperlink ref="F835" r:id="rId749" xr:uid="{00000000-0004-0000-0000-0000B7030000}"/>
    <hyperlink ref="S835" r:id="rId750" xr:uid="{00000000-0004-0000-0000-0000B8030000}"/>
    <hyperlink ref="G836" r:id="rId751" xr:uid="{00000000-0004-0000-0000-0000B9030000}"/>
    <hyperlink ref="G837" r:id="rId752" xr:uid="{00000000-0004-0000-0000-0000BA030000}"/>
    <hyperlink ref="G838" r:id="rId753" xr:uid="{00000000-0004-0000-0000-0000BB030000}"/>
    <hyperlink ref="S838" r:id="rId754" xr:uid="{00000000-0004-0000-0000-0000BC030000}"/>
    <hyperlink ref="F839" r:id="rId755" xr:uid="{00000000-0004-0000-0000-0000BD030000}"/>
    <hyperlink ref="G839" r:id="rId756" xr:uid="{00000000-0004-0000-0000-0000BE030000}"/>
    <hyperlink ref="F842" r:id="rId757" xr:uid="{00000000-0004-0000-0000-0000BF030000}"/>
    <hyperlink ref="G842" r:id="rId758" xr:uid="{00000000-0004-0000-0000-0000C0030000}"/>
    <hyperlink ref="S845" r:id="rId759" xr:uid="{00000000-0004-0000-0000-0000C1030000}"/>
    <hyperlink ref="G846" r:id="rId760" xr:uid="{00000000-0004-0000-0000-0000C2030000}"/>
    <hyperlink ref="S846" r:id="rId761" xr:uid="{00000000-0004-0000-0000-0000C3030000}"/>
    <hyperlink ref="F847" r:id="rId762" xr:uid="{00000000-0004-0000-0000-0000C4030000}"/>
    <hyperlink ref="G847" r:id="rId763" xr:uid="{00000000-0004-0000-0000-0000C5030000}"/>
    <hyperlink ref="G848" r:id="rId764" xr:uid="{00000000-0004-0000-0000-0000C6030000}"/>
    <hyperlink ref="G849" r:id="rId765" xr:uid="{00000000-0004-0000-0000-0000C7030000}"/>
    <hyperlink ref="G850" r:id="rId766" xr:uid="{00000000-0004-0000-0000-0000C8030000}"/>
    <hyperlink ref="G851" r:id="rId767" xr:uid="{00000000-0004-0000-0000-0000C9030000}"/>
    <hyperlink ref="S851" r:id="rId768" xr:uid="{00000000-0004-0000-0000-0000CA030000}"/>
    <hyperlink ref="G852" r:id="rId769" xr:uid="{00000000-0004-0000-0000-0000CB030000}"/>
    <hyperlink ref="G853" r:id="rId770" xr:uid="{00000000-0004-0000-0000-0000CC030000}"/>
    <hyperlink ref="S853" r:id="rId771" xr:uid="{00000000-0004-0000-0000-0000CD030000}"/>
    <hyperlink ref="S856" r:id="rId772" xr:uid="{00000000-0004-0000-0000-0000CE030000}"/>
    <hyperlink ref="G857" r:id="rId773" xr:uid="{00000000-0004-0000-0000-0000CF030000}"/>
    <hyperlink ref="F858" r:id="rId774" xr:uid="{00000000-0004-0000-0000-0000D0030000}"/>
    <hyperlink ref="G858" r:id="rId775" xr:uid="{00000000-0004-0000-0000-0000D1030000}"/>
    <hyperlink ref="G859" r:id="rId776" xr:uid="{00000000-0004-0000-0000-0000D2030000}"/>
    <hyperlink ref="S859" r:id="rId777" xr:uid="{00000000-0004-0000-0000-0000D3030000}"/>
    <hyperlink ref="G861" r:id="rId778" xr:uid="{00000000-0004-0000-0000-0000D4030000}"/>
    <hyperlink ref="G862" r:id="rId779" xr:uid="{00000000-0004-0000-0000-0000D5030000}"/>
    <hyperlink ref="G867" r:id="rId780" xr:uid="{00000000-0004-0000-0000-0000D8030000}"/>
    <hyperlink ref="G868" r:id="rId781" xr:uid="{00000000-0004-0000-0000-0000D9030000}"/>
    <hyperlink ref="G869" r:id="rId782" xr:uid="{00000000-0004-0000-0000-0000DA030000}"/>
    <hyperlink ref="S869" r:id="rId783" xr:uid="{00000000-0004-0000-0000-0000DB030000}"/>
    <hyperlink ref="S870" r:id="rId784" xr:uid="{00000000-0004-0000-0000-0000DC030000}"/>
    <hyperlink ref="G871" r:id="rId785" xr:uid="{00000000-0004-0000-0000-0000DF030000}"/>
    <hyperlink ref="S871" r:id="rId786" xr:uid="{00000000-0004-0000-0000-0000E0030000}"/>
    <hyperlink ref="F874" r:id="rId787" xr:uid="{00000000-0004-0000-0000-0000E1030000}"/>
    <hyperlink ref="G875" r:id="rId788" xr:uid="{00000000-0004-0000-0000-0000E2030000}"/>
    <hyperlink ref="G876" r:id="rId789" xr:uid="{00000000-0004-0000-0000-0000E3030000}"/>
    <hyperlink ref="S876" r:id="rId790" xr:uid="{00000000-0004-0000-0000-0000E4030000}"/>
    <hyperlink ref="G879" r:id="rId791" xr:uid="{00000000-0004-0000-0000-0000EA030000}"/>
    <hyperlink ref="F880" r:id="rId792" xr:uid="{00000000-0004-0000-0000-0000EB030000}"/>
    <hyperlink ref="G880" r:id="rId793" xr:uid="{00000000-0004-0000-0000-0000EC030000}"/>
    <hyperlink ref="S880" r:id="rId794" xr:uid="{00000000-0004-0000-0000-0000ED030000}"/>
    <hyperlink ref="F881" r:id="rId795" xr:uid="{00000000-0004-0000-0000-0000F1030000}"/>
    <hyperlink ref="S881" r:id="rId796" xr:uid="{00000000-0004-0000-0000-0000F2030000}"/>
    <hyperlink ref="G883" r:id="rId797" xr:uid="{00000000-0004-0000-0000-0000F3030000}"/>
    <hyperlink ref="S883" r:id="rId798" xr:uid="{00000000-0004-0000-0000-0000F4030000}"/>
    <hyperlink ref="G885" r:id="rId799" xr:uid="{00000000-0004-0000-0000-0000F5030000}"/>
    <hyperlink ref="F886" r:id="rId800" xr:uid="{00000000-0004-0000-0000-0000F6030000}"/>
    <hyperlink ref="G889" r:id="rId801" xr:uid="{00000000-0004-0000-0000-0000F9030000}"/>
    <hyperlink ref="G890" r:id="rId802" xr:uid="{00000000-0004-0000-0000-0000FB030000}"/>
    <hyperlink ref="G891" r:id="rId803" xr:uid="{00000000-0004-0000-0000-0000FC030000}"/>
    <hyperlink ref="S891" r:id="rId804" xr:uid="{00000000-0004-0000-0000-0000FD030000}"/>
    <hyperlink ref="G892" r:id="rId805" xr:uid="{00000000-0004-0000-0000-0000FE030000}"/>
    <hyperlink ref="G893" r:id="rId806" xr:uid="{00000000-0004-0000-0000-0000FF030000}"/>
    <hyperlink ref="S893" r:id="rId807" xr:uid="{00000000-0004-0000-0000-000000040000}"/>
    <hyperlink ref="G894" r:id="rId808" xr:uid="{00000000-0004-0000-0000-000001040000}"/>
    <hyperlink ref="G895" r:id="rId809" xr:uid="{00000000-0004-0000-0000-000002040000}"/>
    <hyperlink ref="G896" r:id="rId810" xr:uid="{00000000-0004-0000-0000-000003040000}"/>
    <hyperlink ref="G897" r:id="rId811" xr:uid="{00000000-0004-0000-0000-000004040000}"/>
    <hyperlink ref="S897" r:id="rId812" xr:uid="{00000000-0004-0000-0000-000005040000}"/>
    <hyperlink ref="F898" r:id="rId813" xr:uid="{00000000-0004-0000-0000-000007040000}"/>
    <hyperlink ref="G898" r:id="rId814" xr:uid="{00000000-0004-0000-0000-000008040000}"/>
    <hyperlink ref="S898" r:id="rId815" xr:uid="{00000000-0004-0000-0000-000009040000}"/>
    <hyperlink ref="G901" r:id="rId816" xr:uid="{00000000-0004-0000-0000-00000A040000}"/>
    <hyperlink ref="S901" r:id="rId817" xr:uid="{00000000-0004-0000-0000-00000B040000}"/>
    <hyperlink ref="G902" r:id="rId818" xr:uid="{00000000-0004-0000-0000-00000C040000}"/>
    <hyperlink ref="G903" r:id="rId819" xr:uid="{00000000-0004-0000-0000-00000D040000}"/>
    <hyperlink ref="G904" r:id="rId820" xr:uid="{00000000-0004-0000-0000-00000E040000}"/>
    <hyperlink ref="G905" r:id="rId821" xr:uid="{00000000-0004-0000-0000-00000F040000}"/>
    <hyperlink ref="F906" r:id="rId822" xr:uid="{00000000-0004-0000-0000-000010040000}"/>
    <hyperlink ref="G907" r:id="rId823" xr:uid="{00000000-0004-0000-0000-000011040000}"/>
    <hyperlink ref="S907" r:id="rId824" xr:uid="{00000000-0004-0000-0000-000012040000}"/>
    <hyperlink ref="F908" r:id="rId825" xr:uid="{00000000-0004-0000-0000-000014040000}"/>
    <hyperlink ref="G910" r:id="rId826" xr:uid="{00000000-0004-0000-0000-000015040000}"/>
    <hyperlink ref="G912" r:id="rId827" xr:uid="{00000000-0004-0000-0000-000016040000}"/>
    <hyperlink ref="G913" r:id="rId828" xr:uid="{00000000-0004-0000-0000-000017040000}"/>
    <hyperlink ref="G914" r:id="rId829" xr:uid="{00000000-0004-0000-0000-00001A040000}"/>
    <hyperlink ref="G915" r:id="rId830" xr:uid="{00000000-0004-0000-0000-00001B040000}"/>
    <hyperlink ref="S915" r:id="rId831" xr:uid="{00000000-0004-0000-0000-00001C040000}"/>
    <hyperlink ref="G916" r:id="rId832" xr:uid="{00000000-0004-0000-0000-00001D040000}"/>
    <hyperlink ref="S917" r:id="rId833" xr:uid="{00000000-0004-0000-0000-00001E040000}"/>
    <hyperlink ref="F919" r:id="rId834" xr:uid="{00000000-0004-0000-0000-000020040000}"/>
    <hyperlink ref="S919" r:id="rId835" xr:uid="{00000000-0004-0000-0000-000021040000}"/>
    <hyperlink ref="G920" r:id="rId836" xr:uid="{00000000-0004-0000-0000-000024040000}"/>
    <hyperlink ref="G921" r:id="rId837" xr:uid="{00000000-0004-0000-0000-000025040000}"/>
    <hyperlink ref="G922" r:id="rId838" xr:uid="{00000000-0004-0000-0000-000026040000}"/>
    <hyperlink ref="S922" r:id="rId839" xr:uid="{00000000-0004-0000-0000-000027040000}"/>
    <hyperlink ref="G923" r:id="rId840" xr:uid="{00000000-0004-0000-0000-000028040000}"/>
    <hyperlink ref="G925" r:id="rId841" xr:uid="{00000000-0004-0000-0000-00002A040000}"/>
    <hyperlink ref="G928" r:id="rId842" xr:uid="{00000000-0004-0000-0000-00002D040000}"/>
    <hyperlink ref="S930" r:id="rId843" xr:uid="{00000000-0004-0000-0000-00002E040000}"/>
    <hyperlink ref="G931" r:id="rId844" xr:uid="{00000000-0004-0000-0000-000030040000}"/>
    <hyperlink ref="G932" r:id="rId845" xr:uid="{00000000-0004-0000-0000-000031040000}"/>
    <hyperlink ref="S932" r:id="rId846" xr:uid="{00000000-0004-0000-0000-000032040000}"/>
    <hyperlink ref="F933" r:id="rId847" xr:uid="{00000000-0004-0000-0000-000036040000}"/>
    <hyperlink ref="G933" r:id="rId848" xr:uid="{00000000-0004-0000-0000-000037040000}"/>
    <hyperlink ref="S933" r:id="rId849" xr:uid="{00000000-0004-0000-0000-000038040000}"/>
    <hyperlink ref="G934" r:id="rId850" xr:uid="{00000000-0004-0000-0000-000039040000}"/>
    <hyperlink ref="S934" r:id="rId851" xr:uid="{00000000-0004-0000-0000-00003A040000}"/>
    <hyperlink ref="G935" r:id="rId852" xr:uid="{00000000-0004-0000-0000-00003B040000}"/>
    <hyperlink ref="G936" r:id="rId853" xr:uid="{00000000-0004-0000-0000-00003C040000}"/>
    <hyperlink ref="S937" r:id="rId854" xr:uid="{00000000-0004-0000-0000-00003D040000}"/>
    <hyperlink ref="G938" r:id="rId855" xr:uid="{00000000-0004-0000-0000-00003E040000}"/>
    <hyperlink ref="G939" r:id="rId856" xr:uid="{00000000-0004-0000-0000-00003F040000}"/>
    <hyperlink ref="G940" r:id="rId857" xr:uid="{00000000-0004-0000-0000-000040040000}"/>
    <hyperlink ref="G941" r:id="rId858" xr:uid="{00000000-0004-0000-0000-000041040000}"/>
    <hyperlink ref="G942" r:id="rId859" xr:uid="{00000000-0004-0000-0000-000042040000}"/>
    <hyperlink ref="S943" r:id="rId860" xr:uid="{00000000-0004-0000-0000-000045040000}"/>
    <hyperlink ref="S944" r:id="rId861" xr:uid="{00000000-0004-0000-0000-000049040000}"/>
    <hyperlink ref="G945" r:id="rId862" xr:uid="{00000000-0004-0000-0000-00004A040000}"/>
    <hyperlink ref="G946" r:id="rId863" xr:uid="{00000000-0004-0000-0000-00004B040000}"/>
    <hyperlink ref="S946" r:id="rId864" xr:uid="{00000000-0004-0000-0000-00004C040000}"/>
    <hyperlink ref="G947" r:id="rId865" xr:uid="{00000000-0004-0000-0000-00004E040000}"/>
    <hyperlink ref="G949" r:id="rId866" xr:uid="{00000000-0004-0000-0000-00004F040000}"/>
    <hyperlink ref="G950" r:id="rId867" xr:uid="{00000000-0004-0000-0000-000050040000}"/>
    <hyperlink ref="F952" r:id="rId868" xr:uid="{00000000-0004-0000-0000-000052040000}"/>
    <hyperlink ref="G952" r:id="rId869" xr:uid="{00000000-0004-0000-0000-000053040000}"/>
    <hyperlink ref="F953" r:id="rId870" xr:uid="{00000000-0004-0000-0000-000054040000}"/>
    <hyperlink ref="G953" r:id="rId871" xr:uid="{00000000-0004-0000-0000-000055040000}"/>
    <hyperlink ref="G959" r:id="rId872" xr:uid="{00000000-0004-0000-0000-000056040000}"/>
    <hyperlink ref="G960" r:id="rId873" xr:uid="{00000000-0004-0000-0000-000057040000}"/>
    <hyperlink ref="G961" r:id="rId874" xr:uid="{00000000-0004-0000-0000-000058040000}"/>
    <hyperlink ref="S961" r:id="rId875" xr:uid="{00000000-0004-0000-0000-000059040000}"/>
    <hyperlink ref="G962" r:id="rId876" xr:uid="{00000000-0004-0000-0000-00005A040000}"/>
    <hyperlink ref="G964" r:id="rId877" xr:uid="{00000000-0004-0000-0000-00005B040000}"/>
    <hyperlink ref="S964" r:id="rId878" xr:uid="{00000000-0004-0000-0000-00005C040000}"/>
    <hyperlink ref="F965" r:id="rId879" xr:uid="{00000000-0004-0000-0000-00005D040000}"/>
    <hyperlink ref="G965" r:id="rId880" xr:uid="{00000000-0004-0000-0000-00005E040000}"/>
    <hyperlink ref="F966" r:id="rId881" xr:uid="{00000000-0004-0000-0000-00005F040000}"/>
    <hyperlink ref="G969" r:id="rId882" xr:uid="{00000000-0004-0000-0000-000060040000}"/>
    <hyperlink ref="G970" r:id="rId883" xr:uid="{00000000-0004-0000-0000-000061040000}"/>
    <hyperlink ref="G975" r:id="rId884" xr:uid="{00000000-0004-0000-0000-000062040000}"/>
    <hyperlink ref="G976" r:id="rId885" xr:uid="{00000000-0004-0000-0000-000063040000}"/>
    <hyperlink ref="G978" r:id="rId886" xr:uid="{00000000-0004-0000-0000-000064040000}"/>
    <hyperlink ref="F980" r:id="rId887" xr:uid="{00000000-0004-0000-0000-000065040000}"/>
    <hyperlink ref="G980" r:id="rId888" xr:uid="{00000000-0004-0000-0000-000066040000}"/>
    <hyperlink ref="S980" r:id="rId889" xr:uid="{00000000-0004-0000-0000-000067040000}"/>
    <hyperlink ref="G982" r:id="rId890" xr:uid="{00000000-0004-0000-0000-000068040000}"/>
    <hyperlink ref="G984" r:id="rId891" xr:uid="{00000000-0004-0000-0000-000069040000}"/>
    <hyperlink ref="S984" r:id="rId892" xr:uid="{00000000-0004-0000-0000-00006A040000}"/>
    <hyperlink ref="G985" r:id="rId893" xr:uid="{00000000-0004-0000-0000-00006B040000}"/>
    <hyperlink ref="S985" r:id="rId894" xr:uid="{00000000-0004-0000-0000-00006C040000}"/>
    <hyperlink ref="G986" r:id="rId895" xr:uid="{00000000-0004-0000-0000-00006D040000}"/>
    <hyperlink ref="R986" r:id="rId896" xr:uid="{00000000-0004-0000-0000-00006E040000}"/>
    <hyperlink ref="S986" r:id="rId897" xr:uid="{00000000-0004-0000-0000-00006F040000}"/>
    <hyperlink ref="F988" r:id="rId898" xr:uid="{00000000-0004-0000-0000-000070040000}"/>
    <hyperlink ref="G988" r:id="rId899" xr:uid="{00000000-0004-0000-0000-000071040000}"/>
    <hyperlink ref="G989" r:id="rId900" xr:uid="{00000000-0004-0000-0000-000072040000}"/>
    <hyperlink ref="S989" r:id="rId901" xr:uid="{00000000-0004-0000-0000-000073040000}"/>
    <hyperlink ref="G990" r:id="rId902" xr:uid="{00000000-0004-0000-0000-000074040000}"/>
    <hyperlink ref="S990" r:id="rId903" xr:uid="{00000000-0004-0000-0000-000075040000}"/>
    <hyperlink ref="G991" r:id="rId904" xr:uid="{00000000-0004-0000-0000-000076040000}"/>
    <hyperlink ref="G993" r:id="rId905" xr:uid="{00000000-0004-0000-0000-000079040000}"/>
    <hyperlink ref="G997" r:id="rId906" xr:uid="{00000000-0004-0000-0000-00007A040000}"/>
    <hyperlink ref="G998" r:id="rId907" xr:uid="{00000000-0004-0000-0000-00007B040000}"/>
    <hyperlink ref="S999" r:id="rId908" xr:uid="{00000000-0004-0000-0000-00007D040000}"/>
    <hyperlink ref="G1000" r:id="rId909" xr:uid="{00000000-0004-0000-0000-00007E040000}"/>
    <hyperlink ref="S1000" r:id="rId910" xr:uid="{00000000-0004-0000-0000-00007F040000}"/>
    <hyperlink ref="G1002" r:id="rId911" xr:uid="{00000000-0004-0000-0000-000080040000}"/>
    <hyperlink ref="G1004" r:id="rId912" xr:uid="{00000000-0004-0000-0000-000081040000}"/>
    <hyperlink ref="S1004" r:id="rId913" xr:uid="{00000000-0004-0000-0000-000082040000}"/>
    <hyperlink ref="G1005" r:id="rId914" xr:uid="{00000000-0004-0000-0000-000083040000}"/>
    <hyperlink ref="F1006" r:id="rId915" xr:uid="{00000000-0004-0000-0000-000086040000}"/>
    <hyperlink ref="G1010" r:id="rId916" xr:uid="{00000000-0004-0000-0000-000087040000}"/>
    <hyperlink ref="G1012" r:id="rId917" xr:uid="{00000000-0004-0000-0000-000089040000}"/>
    <hyperlink ref="G1013" r:id="rId918" xr:uid="{00000000-0004-0000-0000-00008A040000}"/>
    <hyperlink ref="G1014" r:id="rId919" xr:uid="{00000000-0004-0000-0000-00008B040000}"/>
    <hyperlink ref="G1015" r:id="rId920" xr:uid="{00000000-0004-0000-0000-00008C040000}"/>
    <hyperlink ref="F1017" r:id="rId921" xr:uid="{00000000-0004-0000-0000-00008D040000}"/>
    <hyperlink ref="S1017" r:id="rId922" xr:uid="{00000000-0004-0000-0000-00008E040000}"/>
    <hyperlink ref="G1018" r:id="rId923" xr:uid="{00000000-0004-0000-0000-00008F040000}"/>
    <hyperlink ref="G1019" r:id="rId924" xr:uid="{00000000-0004-0000-0000-000090040000}"/>
    <hyperlink ref="S1020" r:id="rId925" xr:uid="{00000000-0004-0000-0000-000091040000}"/>
    <hyperlink ref="G1022" r:id="rId926" xr:uid="{00000000-0004-0000-0000-000092040000}"/>
    <hyperlink ref="S1023" r:id="rId927" xr:uid="{00000000-0004-0000-0000-000093040000}"/>
    <hyperlink ref="G1024" r:id="rId928" xr:uid="{00000000-0004-0000-0000-000094040000}"/>
    <hyperlink ref="F1025" r:id="rId929" xr:uid="{00000000-0004-0000-0000-000095040000}"/>
    <hyperlink ref="G1027" r:id="rId930" xr:uid="{00000000-0004-0000-0000-000096040000}"/>
    <hyperlink ref="G1029" r:id="rId931" xr:uid="{00000000-0004-0000-0000-000097040000}"/>
    <hyperlink ref="G1030" r:id="rId932" xr:uid="{00000000-0004-0000-0000-000098040000}"/>
    <hyperlink ref="F1032" r:id="rId933" xr:uid="{00000000-0004-0000-0000-000099040000}"/>
    <hyperlink ref="G1033" r:id="rId934" xr:uid="{00000000-0004-0000-0000-00009A040000}"/>
    <hyperlink ref="S1033" r:id="rId935" xr:uid="{00000000-0004-0000-0000-00009B040000}"/>
    <hyperlink ref="G1034" r:id="rId936" xr:uid="{00000000-0004-0000-0000-00009C040000}"/>
    <hyperlink ref="S1034" r:id="rId937" xr:uid="{00000000-0004-0000-0000-00009D040000}"/>
    <hyperlink ref="G1036" r:id="rId938" xr:uid="{00000000-0004-0000-0000-00009E040000}"/>
    <hyperlink ref="S1036" r:id="rId939" xr:uid="{00000000-0004-0000-0000-00009F040000}"/>
    <hyperlink ref="G1037" r:id="rId940" xr:uid="{00000000-0004-0000-0000-0000A0040000}"/>
    <hyperlink ref="G1038" r:id="rId941" xr:uid="{00000000-0004-0000-0000-0000A1040000}"/>
    <hyperlink ref="G1039" r:id="rId942" xr:uid="{00000000-0004-0000-0000-0000A2040000}"/>
    <hyperlink ref="S1042" r:id="rId943" xr:uid="{00000000-0004-0000-0000-0000A3040000}"/>
    <hyperlink ref="S1043" r:id="rId944" xr:uid="{00000000-0004-0000-0000-0000A4040000}"/>
    <hyperlink ref="F1044" r:id="rId945" xr:uid="{00000000-0004-0000-0000-0000A5040000}"/>
    <hyperlink ref="G1044" r:id="rId946" xr:uid="{00000000-0004-0000-0000-0000A6040000}"/>
    <hyperlink ref="G1048" r:id="rId947" xr:uid="{00000000-0004-0000-0000-0000A7040000}"/>
    <hyperlink ref="G1049" r:id="rId948" xr:uid="{00000000-0004-0000-0000-0000A8040000}"/>
    <hyperlink ref="S1049" r:id="rId949" xr:uid="{00000000-0004-0000-0000-0000A9040000}"/>
    <hyperlink ref="S1050" r:id="rId950" xr:uid="{00000000-0004-0000-0000-0000AA040000}"/>
    <hyperlink ref="G1051" r:id="rId951" xr:uid="{00000000-0004-0000-0000-0000AB040000}"/>
    <hyperlink ref="G1055" r:id="rId952" xr:uid="{00000000-0004-0000-0000-0000AD040000}"/>
    <hyperlink ref="S1055" r:id="rId953" xr:uid="{00000000-0004-0000-0000-0000AE040000}"/>
    <hyperlink ref="G1057" r:id="rId954" xr:uid="{00000000-0004-0000-0000-0000AF040000}"/>
    <hyperlink ref="S1059" r:id="rId955" xr:uid="{00000000-0004-0000-0000-0000B0040000}"/>
    <hyperlink ref="G1060" r:id="rId956" xr:uid="{00000000-0004-0000-0000-0000B1040000}"/>
    <hyperlink ref="G1061" r:id="rId957" xr:uid="{00000000-0004-0000-0000-0000B4040000}"/>
    <hyperlink ref="G1062" r:id="rId958" xr:uid="{00000000-0004-0000-0000-0000B5040000}"/>
    <hyperlink ref="G1063" r:id="rId959" xr:uid="{00000000-0004-0000-0000-0000B6040000}"/>
    <hyperlink ref="S1063" r:id="rId960" xr:uid="{00000000-0004-0000-0000-0000B7040000}"/>
    <hyperlink ref="G1064" r:id="rId961" xr:uid="{00000000-0004-0000-0000-0000B9040000}"/>
    <hyperlink ref="F1065" r:id="rId962" xr:uid="{00000000-0004-0000-0000-0000BA040000}"/>
    <hyperlink ref="G1065" r:id="rId963" xr:uid="{00000000-0004-0000-0000-0000BB040000}"/>
    <hyperlink ref="G1067" r:id="rId964" xr:uid="{00000000-0004-0000-0000-0000BC040000}"/>
    <hyperlink ref="G1068" r:id="rId965" xr:uid="{00000000-0004-0000-0000-0000BE040000}"/>
    <hyperlink ref="S1069" r:id="rId966" xr:uid="{00000000-0004-0000-0000-0000BF040000}"/>
    <hyperlink ref="G1070" r:id="rId967" xr:uid="{00000000-0004-0000-0000-0000C0040000}"/>
    <hyperlink ref="F1072" r:id="rId968" xr:uid="{00000000-0004-0000-0000-0000C1040000}"/>
    <hyperlink ref="S1072" r:id="rId969" xr:uid="{00000000-0004-0000-0000-0000C2040000}"/>
    <hyperlink ref="G1073" r:id="rId970" xr:uid="{00000000-0004-0000-0000-0000C3040000}"/>
    <hyperlink ref="G1074" r:id="rId971" xr:uid="{00000000-0004-0000-0000-0000C4040000}"/>
    <hyperlink ref="S1074" r:id="rId972" xr:uid="{00000000-0004-0000-0000-0000C5040000}"/>
    <hyperlink ref="G1076" r:id="rId973" xr:uid="{00000000-0004-0000-0000-0000C6040000}"/>
    <hyperlink ref="F1078" r:id="rId974" xr:uid="{00000000-0004-0000-0000-0000C9040000}"/>
    <hyperlink ref="G1080" r:id="rId975" xr:uid="{00000000-0004-0000-0000-0000CA040000}"/>
    <hyperlink ref="G1081" r:id="rId976" xr:uid="{00000000-0004-0000-0000-0000CB040000}"/>
    <hyperlink ref="S1081" r:id="rId977" xr:uid="{00000000-0004-0000-0000-0000CC040000}"/>
    <hyperlink ref="G1082" r:id="rId978" xr:uid="{00000000-0004-0000-0000-0000CD040000}"/>
    <hyperlink ref="G1086" r:id="rId979" xr:uid="{00000000-0004-0000-0000-0000D0040000}"/>
    <hyperlink ref="G1087" r:id="rId980" xr:uid="{00000000-0004-0000-0000-0000D1040000}"/>
    <hyperlink ref="G1088" r:id="rId981" xr:uid="{00000000-0004-0000-0000-0000D2040000}"/>
    <hyperlink ref="G1090" r:id="rId982" xr:uid="{00000000-0004-0000-0000-0000D3040000}"/>
    <hyperlink ref="S1090" r:id="rId983" xr:uid="{00000000-0004-0000-0000-0000D4040000}"/>
    <hyperlink ref="G1091" r:id="rId984" xr:uid="{00000000-0004-0000-0000-0000D5040000}"/>
    <hyperlink ref="G1092" r:id="rId985" xr:uid="{00000000-0004-0000-0000-0000D6040000}"/>
    <hyperlink ref="G1093" r:id="rId986" xr:uid="{00000000-0004-0000-0000-0000D7040000}"/>
    <hyperlink ref="G1094" r:id="rId987" xr:uid="{00000000-0004-0000-0000-0000DA040000}"/>
    <hyperlink ref="G1095" r:id="rId988" xr:uid="{00000000-0004-0000-0000-0000DB040000}"/>
    <hyperlink ref="S1095" r:id="rId989" xr:uid="{00000000-0004-0000-0000-0000DC040000}"/>
    <hyperlink ref="G1096" r:id="rId990" xr:uid="{00000000-0004-0000-0000-0000DD040000}"/>
    <hyperlink ref="S1096" r:id="rId991" xr:uid="{00000000-0004-0000-0000-0000DE040000}"/>
    <hyperlink ref="G1097" r:id="rId992" xr:uid="{00000000-0004-0000-0000-0000DF040000}"/>
    <hyperlink ref="S1097" r:id="rId993" xr:uid="{00000000-0004-0000-0000-0000E0040000}"/>
    <hyperlink ref="F1098" r:id="rId994" xr:uid="{00000000-0004-0000-0000-0000E1040000}"/>
    <hyperlink ref="S1098" r:id="rId995" xr:uid="{00000000-0004-0000-0000-0000E2040000}"/>
    <hyperlink ref="G1100" r:id="rId996" xr:uid="{00000000-0004-0000-0000-0000E3040000}"/>
    <hyperlink ref="G1103" r:id="rId997" xr:uid="{00000000-0004-0000-0000-0000E4040000}"/>
    <hyperlink ref="G1104" r:id="rId998" xr:uid="{00000000-0004-0000-0000-0000E5040000}"/>
    <hyperlink ref="F1105" r:id="rId999" xr:uid="{00000000-0004-0000-0000-0000E6040000}"/>
    <hyperlink ref="G1106" r:id="rId1000" xr:uid="{00000000-0004-0000-0000-0000E7040000}"/>
    <hyperlink ref="G1109" r:id="rId1001" xr:uid="{00000000-0004-0000-0000-0000E8040000}"/>
    <hyperlink ref="F1110" r:id="rId1002" xr:uid="{00000000-0004-0000-0000-0000E9040000}"/>
    <hyperlink ref="F1111" r:id="rId1003" xr:uid="{00000000-0004-0000-0000-0000EA040000}"/>
    <hyperlink ref="S1111" r:id="rId1004" xr:uid="{00000000-0004-0000-0000-0000EB040000}"/>
    <hyperlink ref="G1112" r:id="rId1005" xr:uid="{00000000-0004-0000-0000-0000EC040000}"/>
    <hyperlink ref="S1112" r:id="rId1006" xr:uid="{00000000-0004-0000-0000-0000ED040000}"/>
    <hyperlink ref="G1113" r:id="rId1007" xr:uid="{00000000-0004-0000-0000-0000EE040000}"/>
    <hyperlink ref="S1113" r:id="rId1008" xr:uid="{00000000-0004-0000-0000-0000EF040000}"/>
    <hyperlink ref="G1114" r:id="rId1009" xr:uid="{00000000-0004-0000-0000-0000F0040000}"/>
    <hyperlink ref="G1116" r:id="rId1010" xr:uid="{00000000-0004-0000-0000-0000F3040000}"/>
    <hyperlink ref="G1117" r:id="rId1011" xr:uid="{00000000-0004-0000-0000-0000F4040000}"/>
    <hyperlink ref="G1118" r:id="rId1012" xr:uid="{00000000-0004-0000-0000-0000F5040000}"/>
    <hyperlink ref="S1119" r:id="rId1013" xr:uid="{00000000-0004-0000-0000-0000F6040000}"/>
    <hyperlink ref="G1120" r:id="rId1014" xr:uid="{00000000-0004-0000-0000-0000F7040000}"/>
    <hyperlink ref="S1120" r:id="rId1015" xr:uid="{00000000-0004-0000-0000-0000F8040000}"/>
    <hyperlink ref="G1121" r:id="rId1016" xr:uid="{00000000-0004-0000-0000-0000F9040000}"/>
    <hyperlink ref="G1122" r:id="rId1017" xr:uid="{00000000-0004-0000-0000-0000FA040000}"/>
    <hyperlink ref="G1123" r:id="rId1018" xr:uid="{00000000-0004-0000-0000-0000FB040000}"/>
    <hyperlink ref="S1123" r:id="rId1019" xr:uid="{00000000-0004-0000-0000-0000FC040000}"/>
    <hyperlink ref="G1125" r:id="rId1020" xr:uid="{00000000-0004-0000-0000-0000FF040000}"/>
    <hyperlink ref="G1126" r:id="rId1021" xr:uid="{00000000-0004-0000-0000-000000050000}"/>
    <hyperlink ref="G1127" r:id="rId1022" xr:uid="{00000000-0004-0000-0000-000001050000}"/>
    <hyperlink ref="G1128" r:id="rId1023" xr:uid="{00000000-0004-0000-0000-000002050000}"/>
    <hyperlink ref="F1131" r:id="rId1024" xr:uid="{00000000-0004-0000-0000-000004050000}"/>
    <hyperlink ref="G1131" r:id="rId1025" xr:uid="{00000000-0004-0000-0000-000005050000}"/>
    <hyperlink ref="S1131" r:id="rId1026" xr:uid="{00000000-0004-0000-0000-000006050000}"/>
    <hyperlink ref="G1132" r:id="rId1027" xr:uid="{00000000-0004-0000-0000-000007050000}"/>
    <hyperlink ref="G1133" r:id="rId1028" xr:uid="{00000000-0004-0000-0000-000009050000}"/>
    <hyperlink ref="G1134" r:id="rId1029" xr:uid="{00000000-0004-0000-0000-00000A050000}"/>
    <hyperlink ref="G1137" r:id="rId1030" xr:uid="{00000000-0004-0000-0000-00000B050000}"/>
    <hyperlink ref="S1137" r:id="rId1031" xr:uid="{00000000-0004-0000-0000-00000C050000}"/>
    <hyperlink ref="G1138" r:id="rId1032" xr:uid="{00000000-0004-0000-0000-00000F050000}"/>
    <hyperlink ref="S1138" r:id="rId1033" xr:uid="{00000000-0004-0000-0000-000010050000}"/>
    <hyperlink ref="G1139" r:id="rId1034" xr:uid="{00000000-0004-0000-0000-000011050000}"/>
    <hyperlink ref="G1140" r:id="rId1035" xr:uid="{00000000-0004-0000-0000-000012050000}"/>
    <hyperlink ref="G1143" r:id="rId1036" xr:uid="{00000000-0004-0000-0000-000013050000}"/>
    <hyperlink ref="G1144" r:id="rId1037" xr:uid="{00000000-0004-0000-0000-000014050000}"/>
    <hyperlink ref="S1144" r:id="rId1038" xr:uid="{00000000-0004-0000-0000-000015050000}"/>
    <hyperlink ref="G1145" r:id="rId1039" xr:uid="{00000000-0004-0000-0000-000016050000}"/>
    <hyperlink ref="G1147" r:id="rId1040" xr:uid="{00000000-0004-0000-0000-000019050000}"/>
    <hyperlink ref="S1148" r:id="rId1041" xr:uid="{00000000-0004-0000-0000-00001A050000}"/>
    <hyperlink ref="G1151" r:id="rId1042" xr:uid="{00000000-0004-0000-0000-00001B050000}"/>
    <hyperlink ref="F1153" r:id="rId1043" xr:uid="{00000000-0004-0000-0000-00001C050000}"/>
    <hyperlink ref="G1153" r:id="rId1044" xr:uid="{00000000-0004-0000-0000-00001D050000}"/>
    <hyperlink ref="G1155" r:id="rId1045" xr:uid="{00000000-0004-0000-0000-00001E050000}"/>
    <hyperlink ref="G1156" r:id="rId1046" xr:uid="{00000000-0004-0000-0000-00001F050000}"/>
    <hyperlink ref="S1156" r:id="rId1047" xr:uid="{00000000-0004-0000-0000-000020050000}"/>
    <hyperlink ref="G1157" r:id="rId1048" xr:uid="{00000000-0004-0000-0000-000021050000}"/>
    <hyperlink ref="G1158" r:id="rId1049" xr:uid="{00000000-0004-0000-0000-000022050000}"/>
    <hyperlink ref="G1159" r:id="rId1050" xr:uid="{00000000-0004-0000-0000-000024050000}"/>
    <hyperlink ref="S1159" r:id="rId1051" xr:uid="{00000000-0004-0000-0000-000025050000}"/>
    <hyperlink ref="S1160" r:id="rId1052" xr:uid="{00000000-0004-0000-0000-000026050000}"/>
    <hyperlink ref="G1161" r:id="rId1053" xr:uid="{00000000-0004-0000-0000-000027050000}"/>
    <hyperlink ref="G1162" r:id="rId1054" xr:uid="{00000000-0004-0000-0000-000028050000}"/>
    <hyperlink ref="G1163" r:id="rId1055" xr:uid="{00000000-0004-0000-0000-000029050000}"/>
    <hyperlink ref="S1164" r:id="rId1056" xr:uid="{00000000-0004-0000-0000-00002A050000}"/>
    <hyperlink ref="S1170" r:id="rId1057" xr:uid="{00000000-0004-0000-0000-00002B050000}"/>
    <hyperlink ref="G1173" r:id="rId1058" xr:uid="{00000000-0004-0000-0000-00002F050000}"/>
    <hyperlink ref="F1174" r:id="rId1059" xr:uid="{00000000-0004-0000-0000-000030050000}"/>
    <hyperlink ref="S1175" r:id="rId1060" xr:uid="{00000000-0004-0000-0000-000036050000}"/>
    <hyperlink ref="G1177" r:id="rId1061" xr:uid="{00000000-0004-0000-0000-000039050000}"/>
    <hyperlink ref="S1177" r:id="rId1062" xr:uid="{00000000-0004-0000-0000-00003A050000}"/>
    <hyperlink ref="S1179" r:id="rId1063" xr:uid="{00000000-0004-0000-0000-00003C050000}"/>
    <hyperlink ref="G1181" r:id="rId1064" xr:uid="{00000000-0004-0000-0000-00003E050000}"/>
    <hyperlink ref="G1182" r:id="rId1065" xr:uid="{00000000-0004-0000-0000-00003F050000}"/>
    <hyperlink ref="G1183" r:id="rId1066" xr:uid="{00000000-0004-0000-0000-000040050000}"/>
    <hyperlink ref="G1184" r:id="rId1067" xr:uid="{00000000-0004-0000-0000-000041050000}"/>
    <hyperlink ref="G1185" r:id="rId1068" xr:uid="{00000000-0004-0000-0000-000044050000}"/>
    <hyperlink ref="G1186" r:id="rId1069" xr:uid="{00000000-0004-0000-0000-000045050000}"/>
    <hyperlink ref="C1187" r:id="rId1070" xr:uid="{00000000-0004-0000-0000-000046050000}"/>
    <hyperlink ref="G1187" r:id="rId1071" xr:uid="{00000000-0004-0000-0000-000047050000}"/>
    <hyperlink ref="S1187" r:id="rId1072" xr:uid="{00000000-0004-0000-0000-000048050000}"/>
    <hyperlink ref="G1189" r:id="rId1073" xr:uid="{00000000-0004-0000-0000-000049050000}"/>
    <hyperlink ref="S1189" r:id="rId1074" xr:uid="{00000000-0004-0000-0000-00004A050000}"/>
    <hyperlink ref="G1191" r:id="rId1075" xr:uid="{00000000-0004-0000-0000-00004B050000}"/>
    <hyperlink ref="G1192" r:id="rId1076" xr:uid="{00000000-0004-0000-0000-00004C050000}"/>
    <hyperlink ref="G1193" r:id="rId1077" xr:uid="{00000000-0004-0000-0000-00004E050000}"/>
    <hyperlink ref="G1195" r:id="rId1078" xr:uid="{00000000-0004-0000-0000-000052050000}"/>
    <hyperlink ref="G1196" r:id="rId1079" xr:uid="{00000000-0004-0000-0000-000053050000}"/>
    <hyperlink ref="S1199" r:id="rId1080" xr:uid="{00000000-0004-0000-0000-000056050000}"/>
    <hyperlink ref="G1202" r:id="rId1081" xr:uid="{00000000-0004-0000-0000-000057050000}"/>
    <hyperlink ref="G1203" r:id="rId1082" xr:uid="{00000000-0004-0000-0000-000058050000}"/>
    <hyperlink ref="S1203" r:id="rId1083" xr:uid="{00000000-0004-0000-0000-000059050000}"/>
    <hyperlink ref="G1204" r:id="rId1084" xr:uid="{00000000-0004-0000-0000-00005A050000}"/>
    <hyperlink ref="F1205" r:id="rId1085" xr:uid="{00000000-0004-0000-0000-00005B050000}"/>
    <hyperlink ref="G1205" r:id="rId1086" xr:uid="{00000000-0004-0000-0000-00005C050000}"/>
    <hyperlink ref="S1205" r:id="rId1087" xr:uid="{00000000-0004-0000-0000-00005D050000}"/>
    <hyperlink ref="F1206" r:id="rId1088" xr:uid="{00000000-0004-0000-0000-00005E050000}"/>
    <hyperlink ref="S1207" r:id="rId1089" xr:uid="{00000000-0004-0000-0000-00005F050000}"/>
    <hyperlink ref="G1209" r:id="rId1090" xr:uid="{00000000-0004-0000-0000-000062050000}"/>
    <hyperlink ref="G1210" r:id="rId1091" xr:uid="{00000000-0004-0000-0000-000064050000}"/>
    <hyperlink ref="G1211" r:id="rId1092" xr:uid="{00000000-0004-0000-0000-000065050000}"/>
    <hyperlink ref="S1211" r:id="rId1093" xr:uid="{00000000-0004-0000-0000-000066050000}"/>
    <hyperlink ref="G1212" r:id="rId1094" xr:uid="{00000000-0004-0000-0000-000067050000}"/>
    <hyperlink ref="S1212" r:id="rId1095" xr:uid="{00000000-0004-0000-0000-000068050000}"/>
    <hyperlink ref="G1213" r:id="rId1096" xr:uid="{00000000-0004-0000-0000-000069050000}"/>
    <hyperlink ref="G1214" r:id="rId1097" xr:uid="{00000000-0004-0000-0000-00006A050000}"/>
    <hyperlink ref="G1216" r:id="rId1098" xr:uid="{00000000-0004-0000-0000-00006B050000}"/>
    <hyperlink ref="G1218" r:id="rId1099" xr:uid="{00000000-0004-0000-0000-00006C050000}"/>
    <hyperlink ref="G1220" r:id="rId1100" xr:uid="{00000000-0004-0000-0000-00006D050000}"/>
    <hyperlink ref="S1220" r:id="rId1101" xr:uid="{00000000-0004-0000-0000-00006E050000}"/>
    <hyperlink ref="G1221" r:id="rId1102" xr:uid="{00000000-0004-0000-0000-000070050000}"/>
    <hyperlink ref="G1222" r:id="rId1103" xr:uid="{00000000-0004-0000-0000-000071050000}"/>
    <hyperlink ref="G1223" r:id="rId1104" xr:uid="{00000000-0004-0000-0000-000073050000}"/>
    <hyperlink ref="F1225" r:id="rId1105" xr:uid="{00000000-0004-0000-0000-000074050000}"/>
    <hyperlink ref="F1226" r:id="rId1106" xr:uid="{00000000-0004-0000-0000-000076050000}"/>
    <hyperlink ref="G1226" r:id="rId1107" xr:uid="{00000000-0004-0000-0000-000077050000}"/>
    <hyperlink ref="G1228" r:id="rId1108" xr:uid="{00000000-0004-0000-0000-00007A050000}"/>
    <hyperlink ref="F1229" r:id="rId1109" xr:uid="{00000000-0004-0000-0000-00007F050000}"/>
    <hyperlink ref="G1230" r:id="rId1110" xr:uid="{00000000-0004-0000-0000-000080050000}"/>
    <hyperlink ref="S1230" r:id="rId1111" xr:uid="{00000000-0004-0000-0000-000081050000}"/>
    <hyperlink ref="G1231" r:id="rId1112" xr:uid="{00000000-0004-0000-0000-000082050000}"/>
    <hyperlink ref="G1232" r:id="rId1113" xr:uid="{00000000-0004-0000-0000-000085050000}"/>
    <hyperlink ref="G1233" r:id="rId1114" xr:uid="{00000000-0004-0000-0000-000086050000}"/>
    <hyperlink ref="S1233" r:id="rId1115" xr:uid="{00000000-0004-0000-0000-000087050000}"/>
    <hyperlink ref="G1235" r:id="rId1116" xr:uid="{00000000-0004-0000-0000-00008E050000}"/>
    <hyperlink ref="G1238" r:id="rId1117" xr:uid="{00000000-0004-0000-0000-000090050000}"/>
    <hyperlink ref="G1239" r:id="rId1118" xr:uid="{00000000-0004-0000-0000-000091050000}"/>
    <hyperlink ref="S1239" r:id="rId1119" xr:uid="{00000000-0004-0000-0000-000092050000}"/>
    <hyperlink ref="G1240" r:id="rId1120" xr:uid="{00000000-0004-0000-0000-000093050000}"/>
    <hyperlink ref="F1242" r:id="rId1121" xr:uid="{00000000-0004-0000-0000-000094050000}"/>
    <hyperlink ref="S1242" r:id="rId1122" xr:uid="{00000000-0004-0000-0000-000095050000}"/>
    <hyperlink ref="G1243" r:id="rId1123" xr:uid="{00000000-0004-0000-0000-000096050000}"/>
    <hyperlink ref="G1244" r:id="rId1124" xr:uid="{00000000-0004-0000-0000-000097050000}"/>
    <hyperlink ref="G1245" r:id="rId1125" xr:uid="{00000000-0004-0000-0000-000099050000}"/>
    <hyperlink ref="G1246" r:id="rId1126" xr:uid="{00000000-0004-0000-0000-00009A050000}"/>
    <hyperlink ref="G1247" r:id="rId1127" xr:uid="{00000000-0004-0000-0000-00009B050000}"/>
    <hyperlink ref="G1248" r:id="rId1128" xr:uid="{00000000-0004-0000-0000-00009C050000}"/>
    <hyperlink ref="G1251" r:id="rId1129" xr:uid="{00000000-0004-0000-0000-00009D050000}"/>
    <hyperlink ref="S1251" r:id="rId1130" xr:uid="{00000000-0004-0000-0000-00009E050000}"/>
    <hyperlink ref="G1252" r:id="rId1131" xr:uid="{00000000-0004-0000-0000-0000A1050000}"/>
    <hyperlink ref="S1253" r:id="rId1132" xr:uid="{00000000-0004-0000-0000-0000A2050000}"/>
    <hyperlink ref="G1256" r:id="rId1133" xr:uid="{00000000-0004-0000-0000-0000A7050000}"/>
    <hyperlink ref="G1258" r:id="rId1134" xr:uid="{00000000-0004-0000-0000-0000A8050000}"/>
    <hyperlink ref="G1259" r:id="rId1135" xr:uid="{00000000-0004-0000-0000-0000AB050000}"/>
    <hyperlink ref="F1260" r:id="rId1136" xr:uid="{00000000-0004-0000-0000-0000AC050000}"/>
    <hyperlink ref="C1261" r:id="rId1137" xr:uid="{00000000-0004-0000-0000-0000AD050000}"/>
    <hyperlink ref="G1261" r:id="rId1138" xr:uid="{00000000-0004-0000-0000-0000AE050000}"/>
    <hyperlink ref="S1261" r:id="rId1139" xr:uid="{00000000-0004-0000-0000-0000AF050000}"/>
    <hyperlink ref="F1262" r:id="rId1140" xr:uid="{00000000-0004-0000-0000-0000B0050000}"/>
    <hyperlink ref="S1262" r:id="rId1141" xr:uid="{00000000-0004-0000-0000-0000B1050000}"/>
    <hyperlink ref="F1263" r:id="rId1142" xr:uid="{00000000-0004-0000-0000-0000B2050000}"/>
    <hyperlink ref="G1263" r:id="rId1143" xr:uid="{00000000-0004-0000-0000-0000B3050000}"/>
    <hyperlink ref="G1265" r:id="rId1144" xr:uid="{00000000-0004-0000-0000-0000B4050000}"/>
    <hyperlink ref="G1266" r:id="rId1145" xr:uid="{00000000-0004-0000-0000-0000B5050000}"/>
    <hyperlink ref="S1268" r:id="rId1146" xr:uid="{00000000-0004-0000-0000-0000B6050000}"/>
    <hyperlink ref="S1270" r:id="rId1147" xr:uid="{00000000-0004-0000-0000-0000B7050000}"/>
    <hyperlink ref="G1271" r:id="rId1148" xr:uid="{00000000-0004-0000-0000-0000B9050000}"/>
    <hyperlink ref="S1273" r:id="rId1149" xr:uid="{00000000-0004-0000-0000-0000BC050000}"/>
    <hyperlink ref="G1274" r:id="rId1150" xr:uid="{00000000-0004-0000-0000-0000BD050000}"/>
    <hyperlink ref="S1275" r:id="rId1151" xr:uid="{00000000-0004-0000-0000-0000BE050000}"/>
    <hyperlink ref="G1278" r:id="rId1152" xr:uid="{00000000-0004-0000-0000-0000C0050000}"/>
    <hyperlink ref="S1278" r:id="rId1153" xr:uid="{00000000-0004-0000-0000-0000C1050000}"/>
    <hyperlink ref="G1279" r:id="rId1154" xr:uid="{00000000-0004-0000-0000-0000C2050000}"/>
    <hyperlink ref="F1282" r:id="rId1155" xr:uid="{00000000-0004-0000-0000-0000C3050000}"/>
    <hyperlink ref="G1283" r:id="rId1156" xr:uid="{00000000-0004-0000-0000-0000C5050000}"/>
    <hyperlink ref="S1283" r:id="rId1157" xr:uid="{00000000-0004-0000-0000-0000C6050000}"/>
    <hyperlink ref="G1287" r:id="rId1158" xr:uid="{00000000-0004-0000-0000-0000C9050000}"/>
    <hyperlink ref="S1288" r:id="rId1159" xr:uid="{00000000-0004-0000-0000-0000CA050000}"/>
    <hyperlink ref="G1290" r:id="rId1160" xr:uid="{00000000-0004-0000-0000-0000CC050000}"/>
    <hyperlink ref="F1291" r:id="rId1161" xr:uid="{00000000-0004-0000-0000-0000CD050000}"/>
    <hyperlink ref="F1292" r:id="rId1162" xr:uid="{00000000-0004-0000-0000-0000CE050000}"/>
    <hyperlink ref="G1292" r:id="rId1163" xr:uid="{00000000-0004-0000-0000-0000CF050000}"/>
    <hyperlink ref="G1293" r:id="rId1164" xr:uid="{00000000-0004-0000-0000-0000D0050000}"/>
    <hyperlink ref="G1294" r:id="rId1165" xr:uid="{00000000-0004-0000-0000-0000D1050000}"/>
    <hyperlink ref="G1296" r:id="rId1166" xr:uid="{00000000-0004-0000-0000-0000D4050000}"/>
    <hyperlink ref="S1297" r:id="rId1167" xr:uid="{00000000-0004-0000-0000-0000D5050000}"/>
    <hyperlink ref="G1298" r:id="rId1168" xr:uid="{00000000-0004-0000-0000-0000D6050000}"/>
    <hyperlink ref="S1299" r:id="rId1169" xr:uid="{00000000-0004-0000-0000-0000DA050000}"/>
    <hyperlink ref="G1300" r:id="rId1170" xr:uid="{00000000-0004-0000-0000-0000DB050000}"/>
    <hyperlink ref="G1301" r:id="rId1171" xr:uid="{00000000-0004-0000-0000-0000DC050000}"/>
    <hyperlink ref="G1302" r:id="rId1172" xr:uid="{00000000-0004-0000-0000-0000DD050000}"/>
    <hyperlink ref="G1303" r:id="rId1173" xr:uid="{00000000-0004-0000-0000-0000E0050000}"/>
    <hyperlink ref="S1303" r:id="rId1174" xr:uid="{00000000-0004-0000-0000-0000E1050000}"/>
    <hyperlink ref="S1305" r:id="rId1175" xr:uid="{00000000-0004-0000-0000-0000E3050000}"/>
    <hyperlink ref="G1306" r:id="rId1176" xr:uid="{00000000-0004-0000-0000-0000E4050000}"/>
    <hyperlink ref="S1308" r:id="rId1177" xr:uid="{00000000-0004-0000-0000-0000E5050000}"/>
    <hyperlink ref="G1309" r:id="rId1178" xr:uid="{00000000-0004-0000-0000-0000E6050000}"/>
    <hyperlink ref="S1309" r:id="rId1179" xr:uid="{00000000-0004-0000-0000-0000E7050000}"/>
    <hyperlink ref="F1310" r:id="rId1180" xr:uid="{00000000-0004-0000-0000-0000E9050000}"/>
    <hyperlink ref="G1310" r:id="rId1181" xr:uid="{00000000-0004-0000-0000-0000EA050000}"/>
    <hyperlink ref="S1310" r:id="rId1182" xr:uid="{00000000-0004-0000-0000-0000EB050000}"/>
    <hyperlink ref="G1311" r:id="rId1183" xr:uid="{00000000-0004-0000-0000-0000EC050000}"/>
    <hyperlink ref="G1313" r:id="rId1184" xr:uid="{00000000-0004-0000-0000-0000ED050000}"/>
    <hyperlink ref="G1317" r:id="rId1185" xr:uid="{00000000-0004-0000-0000-0000EE050000}"/>
    <hyperlink ref="S1317" r:id="rId1186" xr:uid="{00000000-0004-0000-0000-0000EF050000}"/>
    <hyperlink ref="F1318" r:id="rId1187" xr:uid="{00000000-0004-0000-0000-0000F0050000}"/>
    <hyperlink ref="G1318" r:id="rId1188" xr:uid="{00000000-0004-0000-0000-0000F1050000}"/>
    <hyperlink ref="C1319" r:id="rId1189" xr:uid="{00000000-0004-0000-0000-0000F2050000}"/>
    <hyperlink ref="S1319" r:id="rId1190" xr:uid="{00000000-0004-0000-0000-0000F3050000}"/>
    <hyperlink ref="G1320" r:id="rId1191" xr:uid="{00000000-0004-0000-0000-0000F4050000}"/>
    <hyperlink ref="G1321" r:id="rId1192" xr:uid="{00000000-0004-0000-0000-0000F5050000}"/>
    <hyperlink ref="S1322" r:id="rId1193" xr:uid="{00000000-0004-0000-0000-0000F6050000}"/>
    <hyperlink ref="G1323" r:id="rId1194" xr:uid="{00000000-0004-0000-0000-0000F9050000}"/>
    <hyperlink ref="S1323" r:id="rId1195" xr:uid="{00000000-0004-0000-0000-0000FA050000}"/>
    <hyperlink ref="G1324" r:id="rId1196" xr:uid="{00000000-0004-0000-0000-0000FB050000}"/>
    <hyperlink ref="S1324" r:id="rId1197" xr:uid="{00000000-0004-0000-0000-0000FC050000}"/>
    <hyperlink ref="G1325" r:id="rId1198" xr:uid="{00000000-0004-0000-0000-0000FD050000}"/>
    <hyperlink ref="G1327" r:id="rId1199" xr:uid="{00000000-0004-0000-0000-0000FE050000}"/>
    <hyperlink ref="G1328" r:id="rId1200" xr:uid="{00000000-0004-0000-0000-000000060000}"/>
    <hyperlink ref="F1332" r:id="rId1201" xr:uid="{00000000-0004-0000-0000-000005060000}"/>
    <hyperlink ref="G1332" r:id="rId1202" xr:uid="{00000000-0004-0000-0000-000006060000}"/>
    <hyperlink ref="S1332" r:id="rId1203" xr:uid="{00000000-0004-0000-0000-000007060000}"/>
    <hyperlink ref="G1333" r:id="rId1204" xr:uid="{00000000-0004-0000-0000-00000B060000}"/>
    <hyperlink ref="S1336" r:id="rId1205" xr:uid="{00000000-0004-0000-0000-00000C060000}"/>
    <hyperlink ref="F1337" r:id="rId1206" xr:uid="{00000000-0004-0000-0000-00000E060000}"/>
    <hyperlink ref="G1338" r:id="rId1207" xr:uid="{00000000-0004-0000-0000-00000F060000}"/>
    <hyperlink ref="G1340" r:id="rId1208" xr:uid="{00000000-0004-0000-0000-000010060000}"/>
    <hyperlink ref="S1341" r:id="rId1209" xr:uid="{00000000-0004-0000-0000-000011060000}"/>
    <hyperlink ref="F1342" r:id="rId1210" xr:uid="{00000000-0004-0000-0000-000012060000}"/>
    <hyperlink ref="S1342" r:id="rId1211" xr:uid="{00000000-0004-0000-0000-000013060000}"/>
    <hyperlink ref="G1343" r:id="rId1212" xr:uid="{00000000-0004-0000-0000-000014060000}"/>
    <hyperlink ref="G1344" r:id="rId1213" xr:uid="{00000000-0004-0000-0000-000018060000}"/>
    <hyperlink ref="G1345" r:id="rId1214" xr:uid="{00000000-0004-0000-0000-000019060000}"/>
    <hyperlink ref="S1345" r:id="rId1215" xr:uid="{00000000-0004-0000-0000-00001A060000}"/>
    <hyperlink ref="G1347" r:id="rId1216" xr:uid="{00000000-0004-0000-0000-00001D060000}"/>
    <hyperlink ref="G1348" r:id="rId1217" xr:uid="{00000000-0004-0000-0000-00001E060000}"/>
    <hyperlink ref="S1348" r:id="rId1218" xr:uid="{00000000-0004-0000-0000-00001F060000}"/>
    <hyperlink ref="G1349" r:id="rId1219" xr:uid="{00000000-0004-0000-0000-000021060000}"/>
    <hyperlink ref="G1350" r:id="rId1220" xr:uid="{00000000-0004-0000-0000-000023060000}"/>
    <hyperlink ref="S1350" r:id="rId1221" xr:uid="{00000000-0004-0000-0000-000024060000}"/>
    <hyperlink ref="S1351" r:id="rId1222" xr:uid="{00000000-0004-0000-0000-000025060000}"/>
    <hyperlink ref="G1352" r:id="rId1223" xr:uid="{00000000-0004-0000-0000-000026060000}"/>
    <hyperlink ref="S1353" r:id="rId1224" xr:uid="{00000000-0004-0000-0000-000027060000}"/>
    <hyperlink ref="G1356" r:id="rId1225" xr:uid="{00000000-0004-0000-0000-000029060000}"/>
    <hyperlink ref="G1359" r:id="rId1226" xr:uid="{00000000-0004-0000-0000-000031060000}"/>
    <hyperlink ref="S1359" r:id="rId1227" xr:uid="{00000000-0004-0000-0000-000032060000}"/>
    <hyperlink ref="S1360" r:id="rId1228" xr:uid="{00000000-0004-0000-0000-000033060000}"/>
    <hyperlink ref="G1361" r:id="rId1229" xr:uid="{00000000-0004-0000-0000-000034060000}"/>
    <hyperlink ref="G1362" r:id="rId1230" xr:uid="{00000000-0004-0000-0000-000035060000}"/>
    <hyperlink ref="S1362" r:id="rId1231" xr:uid="{00000000-0004-0000-0000-000036060000}"/>
    <hyperlink ref="G1363" r:id="rId1232" xr:uid="{00000000-0004-0000-0000-000037060000}"/>
    <hyperlink ref="S1363" r:id="rId1233" xr:uid="{00000000-0004-0000-0000-000038060000}"/>
    <hyperlink ref="G1367" r:id="rId1234" xr:uid="{00000000-0004-0000-0000-000039060000}"/>
    <hyperlink ref="G1371" r:id="rId1235" xr:uid="{00000000-0004-0000-0000-00003B060000}"/>
    <hyperlink ref="G1372" r:id="rId1236" xr:uid="{00000000-0004-0000-0000-00003F060000}"/>
    <hyperlink ref="S1372" r:id="rId1237" xr:uid="{00000000-0004-0000-0000-000040060000}"/>
    <hyperlink ref="G1373" r:id="rId1238" xr:uid="{00000000-0004-0000-0000-000041060000}"/>
    <hyperlink ref="G1374" r:id="rId1239" xr:uid="{00000000-0004-0000-0000-000042060000}"/>
    <hyperlink ref="G1375" r:id="rId1240" xr:uid="{00000000-0004-0000-0000-000043060000}"/>
    <hyperlink ref="G1376" r:id="rId1241" xr:uid="{00000000-0004-0000-0000-000044060000}"/>
    <hyperlink ref="S1377" r:id="rId1242" xr:uid="{00000000-0004-0000-0000-000045060000}"/>
    <hyperlink ref="G1378" r:id="rId1243" xr:uid="{00000000-0004-0000-0000-000046060000}"/>
    <hyperlink ref="G1379" r:id="rId1244" xr:uid="{00000000-0004-0000-0000-000047060000}"/>
    <hyperlink ref="G1382" r:id="rId1245" xr:uid="{00000000-0004-0000-0000-000048060000}"/>
    <hyperlink ref="S1383" r:id="rId1246" xr:uid="{00000000-0004-0000-0000-000049060000}"/>
    <hyperlink ref="G1385" r:id="rId1247" xr:uid="{00000000-0004-0000-0000-00004B060000}"/>
    <hyperlink ref="S1386" r:id="rId1248" xr:uid="{00000000-0004-0000-0000-00004C060000}"/>
    <hyperlink ref="G1388" r:id="rId1249" xr:uid="{00000000-0004-0000-0000-00004D060000}"/>
    <hyperlink ref="G1389" r:id="rId1250" xr:uid="{00000000-0004-0000-0000-00004E060000}"/>
    <hyperlink ref="F1390" r:id="rId1251" xr:uid="{00000000-0004-0000-0000-00004F060000}"/>
    <hyperlink ref="S1390" r:id="rId1252" xr:uid="{00000000-0004-0000-0000-000050060000}"/>
    <hyperlink ref="G1391" r:id="rId1253" xr:uid="{00000000-0004-0000-0000-000051060000}"/>
    <hyperlink ref="G1392" r:id="rId1254" xr:uid="{00000000-0004-0000-0000-000052060000}"/>
    <hyperlink ref="G1393" r:id="rId1255" xr:uid="{00000000-0004-0000-0000-000053060000}"/>
    <hyperlink ref="F1396" r:id="rId1256" xr:uid="{00000000-0004-0000-0000-000057060000}"/>
    <hyperlink ref="G1396" r:id="rId1257" xr:uid="{00000000-0004-0000-0000-000058060000}"/>
    <hyperlink ref="G1397" r:id="rId1258" xr:uid="{00000000-0004-0000-0000-000059060000}"/>
    <hyperlink ref="F1398" r:id="rId1259" xr:uid="{00000000-0004-0000-0000-00005A060000}"/>
    <hyperlink ref="G1399" r:id="rId1260" xr:uid="{00000000-0004-0000-0000-00005B060000}"/>
    <hyperlink ref="G1400" r:id="rId1261" xr:uid="{00000000-0004-0000-0000-00005D060000}"/>
    <hyperlink ref="G1402" r:id="rId1262" xr:uid="{00000000-0004-0000-0000-00005E060000}"/>
    <hyperlink ref="G1403" r:id="rId1263" xr:uid="{00000000-0004-0000-0000-00005F060000}"/>
    <hyperlink ref="G1404" r:id="rId1264" xr:uid="{00000000-0004-0000-0000-000060060000}"/>
    <hyperlink ref="G1405" r:id="rId1265" xr:uid="{00000000-0004-0000-0000-000061060000}"/>
    <hyperlink ref="G1407" r:id="rId1266" xr:uid="{00000000-0004-0000-0000-000062060000}"/>
    <hyperlink ref="G1409" r:id="rId1267" xr:uid="{00000000-0004-0000-0000-000064060000}"/>
    <hyperlink ref="S1409" r:id="rId1268" xr:uid="{00000000-0004-0000-0000-000065060000}"/>
    <hyperlink ref="G1410" r:id="rId1269" xr:uid="{00000000-0004-0000-0000-000066060000}"/>
    <hyperlink ref="G1413" r:id="rId1270" xr:uid="{00000000-0004-0000-0000-000067060000}"/>
    <hyperlink ref="S1413" r:id="rId1271" xr:uid="{00000000-0004-0000-0000-000068060000}"/>
    <hyperlink ref="G1414" r:id="rId1272" xr:uid="{00000000-0004-0000-0000-000069060000}"/>
    <hyperlink ref="G1415" r:id="rId1273" xr:uid="{00000000-0004-0000-0000-00006A060000}"/>
    <hyperlink ref="S1417" r:id="rId1274" xr:uid="{00000000-0004-0000-0000-00006B060000}"/>
    <hyperlink ref="G1418" r:id="rId1275" xr:uid="{00000000-0004-0000-0000-00006D060000}"/>
    <hyperlink ref="F1421" r:id="rId1276" xr:uid="{00000000-0004-0000-0000-000071060000}"/>
    <hyperlink ref="G1421" r:id="rId1277" xr:uid="{00000000-0004-0000-0000-000072060000}"/>
    <hyperlink ref="S1421" r:id="rId1278" xr:uid="{00000000-0004-0000-0000-000073060000}"/>
    <hyperlink ref="G1422" r:id="rId1279" xr:uid="{00000000-0004-0000-0000-000075060000}"/>
    <hyperlink ref="S1422" r:id="rId1280" xr:uid="{00000000-0004-0000-0000-000076060000}"/>
    <hyperlink ref="G1423" r:id="rId1281" xr:uid="{00000000-0004-0000-0000-000077060000}"/>
    <hyperlink ref="G1425" r:id="rId1282" xr:uid="{00000000-0004-0000-0000-000078060000}"/>
    <hyperlink ref="G1426" r:id="rId1283" xr:uid="{00000000-0004-0000-0000-00007B060000}"/>
    <hyperlink ref="S1426" r:id="rId1284" xr:uid="{00000000-0004-0000-0000-00007C060000}"/>
    <hyperlink ref="G1427" r:id="rId1285" xr:uid="{00000000-0004-0000-0000-00007D060000}"/>
    <hyperlink ref="S1427" r:id="rId1286" xr:uid="{00000000-0004-0000-0000-00007E060000}"/>
    <hyperlink ref="S1428" r:id="rId1287" xr:uid="{00000000-0004-0000-0000-00007F060000}"/>
    <hyperlink ref="G1429" r:id="rId1288" xr:uid="{00000000-0004-0000-0000-000080060000}"/>
    <hyperlink ref="S1430" r:id="rId1289" xr:uid="{00000000-0004-0000-0000-000081060000}"/>
    <hyperlink ref="F1431" r:id="rId1290" xr:uid="{00000000-0004-0000-0000-000082060000}"/>
    <hyperlink ref="G1432" r:id="rId1291" xr:uid="{00000000-0004-0000-0000-000084060000}"/>
    <hyperlink ref="G1433" r:id="rId1292" xr:uid="{00000000-0004-0000-0000-000085060000}"/>
    <hyperlink ref="G1435" r:id="rId1293" xr:uid="{00000000-0004-0000-0000-000086060000}"/>
    <hyperlink ref="S1435" r:id="rId1294" xr:uid="{00000000-0004-0000-0000-000087060000}"/>
    <hyperlink ref="G1437" r:id="rId1295" xr:uid="{00000000-0004-0000-0000-000089060000}"/>
    <hyperlink ref="G1439" r:id="rId1296" xr:uid="{00000000-0004-0000-0000-00008A060000}"/>
    <hyperlink ref="S1439" r:id="rId1297" xr:uid="{00000000-0004-0000-0000-00008B060000}"/>
    <hyperlink ref="S1440" r:id="rId1298" xr:uid="{00000000-0004-0000-0000-00008C060000}"/>
    <hyperlink ref="G1441" r:id="rId1299" xr:uid="{00000000-0004-0000-0000-00008D060000}"/>
    <hyperlink ref="C1443" r:id="rId1300" xr:uid="{00000000-0004-0000-0000-000091060000}"/>
    <hyperlink ref="G1443" r:id="rId1301" xr:uid="{00000000-0004-0000-0000-000092060000}"/>
    <hyperlink ref="S1443" r:id="rId1302" xr:uid="{00000000-0004-0000-0000-000093060000}"/>
    <hyperlink ref="G1446" r:id="rId1303" xr:uid="{00000000-0004-0000-0000-000094060000}"/>
    <hyperlink ref="F1447" r:id="rId1304" xr:uid="{00000000-0004-0000-0000-000095060000}"/>
    <hyperlink ref="G1450" r:id="rId1305" xr:uid="{00000000-0004-0000-0000-000096060000}"/>
    <hyperlink ref="S1450" r:id="rId1306" xr:uid="{00000000-0004-0000-0000-000097060000}"/>
    <hyperlink ref="S1451" r:id="rId1307" xr:uid="{00000000-0004-0000-0000-000098060000}"/>
    <hyperlink ref="G1452" r:id="rId1308" xr:uid="{00000000-0004-0000-0000-000099060000}"/>
    <hyperlink ref="G1454" r:id="rId1309" xr:uid="{00000000-0004-0000-0000-00009A060000}"/>
    <hyperlink ref="F1455" r:id="rId1310" xr:uid="{00000000-0004-0000-0000-00009B060000}"/>
    <hyperlink ref="G1456" r:id="rId1311" xr:uid="{00000000-0004-0000-0000-00009C060000}"/>
    <hyperlink ref="S1457" r:id="rId1312" xr:uid="{00000000-0004-0000-0000-00009F060000}"/>
    <hyperlink ref="G1458" r:id="rId1313" xr:uid="{00000000-0004-0000-0000-0000A0060000}"/>
    <hyperlink ref="G1460" r:id="rId1314" xr:uid="{00000000-0004-0000-0000-0000A1060000}"/>
    <hyperlink ref="G1462" r:id="rId1315" xr:uid="{00000000-0004-0000-0000-0000A3060000}"/>
    <hyperlink ref="S1462" r:id="rId1316" xr:uid="{00000000-0004-0000-0000-0000A4060000}"/>
    <hyperlink ref="G1463" r:id="rId1317" xr:uid="{00000000-0004-0000-0000-0000A5060000}"/>
    <hyperlink ref="G1464" r:id="rId1318" xr:uid="{00000000-0004-0000-0000-0000A6060000}"/>
    <hyperlink ref="S1465" r:id="rId1319" xr:uid="{00000000-0004-0000-0000-0000A7060000}"/>
    <hyperlink ref="G1466" r:id="rId1320" xr:uid="{00000000-0004-0000-0000-0000A8060000}"/>
    <hyperlink ref="G1467" r:id="rId1321" xr:uid="{00000000-0004-0000-0000-0000AB060000}"/>
    <hyperlink ref="S1467" r:id="rId1322" xr:uid="{00000000-0004-0000-0000-0000AC060000}"/>
    <hyperlink ref="S1469" r:id="rId1323" xr:uid="{00000000-0004-0000-0000-0000AF060000}"/>
    <hyperlink ref="G1470" r:id="rId1324" xr:uid="{00000000-0004-0000-0000-0000B0060000}"/>
    <hyperlink ref="G1471" r:id="rId1325" xr:uid="{00000000-0004-0000-0000-0000B2060000}"/>
    <hyperlink ref="F1473" r:id="rId1326" xr:uid="{00000000-0004-0000-0000-0000B8060000}"/>
    <hyperlink ref="G1473" r:id="rId1327" xr:uid="{00000000-0004-0000-0000-0000B9060000}"/>
    <hyperlink ref="G1474" r:id="rId1328" xr:uid="{00000000-0004-0000-0000-0000BA060000}"/>
    <hyperlink ref="F1475" r:id="rId1329" xr:uid="{00000000-0004-0000-0000-0000BB060000}"/>
    <hyperlink ref="S1476" r:id="rId1330" xr:uid="{00000000-0004-0000-0000-0000BC060000}"/>
    <hyperlink ref="G1477" r:id="rId1331" xr:uid="{00000000-0004-0000-0000-0000BD060000}"/>
    <hyperlink ref="F1479" r:id="rId1332" xr:uid="{00000000-0004-0000-0000-0000BE060000}"/>
    <hyperlink ref="G1481" r:id="rId1333" xr:uid="{00000000-0004-0000-0000-0000BF060000}"/>
    <hyperlink ref="F1482" r:id="rId1334" xr:uid="{00000000-0004-0000-0000-0000C0060000}"/>
    <hyperlink ref="G1482" r:id="rId1335" xr:uid="{00000000-0004-0000-0000-0000C1060000}"/>
    <hyperlink ref="G1483" r:id="rId1336" xr:uid="{00000000-0004-0000-0000-0000C2060000}"/>
    <hyperlink ref="S1483" r:id="rId1337" xr:uid="{00000000-0004-0000-0000-0000C3060000}"/>
    <hyperlink ref="S1486" r:id="rId1338" xr:uid="{00000000-0004-0000-0000-0000C4060000}"/>
    <hyperlink ref="G1487" r:id="rId1339" xr:uid="{00000000-0004-0000-0000-0000C6060000}"/>
    <hyperlink ref="G1489" r:id="rId1340" xr:uid="{00000000-0004-0000-0000-0000C9060000}"/>
    <hyperlink ref="S1490" r:id="rId1341" xr:uid="{00000000-0004-0000-0000-0000CA060000}"/>
    <hyperlink ref="G1491" r:id="rId1342" xr:uid="{00000000-0004-0000-0000-0000CB060000}"/>
    <hyperlink ref="G1492" r:id="rId1343" xr:uid="{00000000-0004-0000-0000-0000CC060000}"/>
    <hyperlink ref="G1493" r:id="rId1344" xr:uid="{00000000-0004-0000-0000-0000CD060000}"/>
    <hyperlink ref="G1495" r:id="rId1345" xr:uid="{00000000-0004-0000-0000-0000CE060000}"/>
    <hyperlink ref="G1496" r:id="rId1346" xr:uid="{00000000-0004-0000-0000-0000CF060000}"/>
    <hyperlink ref="G1497" r:id="rId1347" xr:uid="{00000000-0004-0000-0000-0000D0060000}"/>
    <hyperlink ref="G1501" r:id="rId1348" xr:uid="{00000000-0004-0000-0000-0000D1060000}"/>
    <hyperlink ref="S1510" r:id="rId1349" xr:uid="{00000000-0004-0000-0000-0000D5060000}"/>
    <hyperlink ref="G1512" r:id="rId1350" xr:uid="{00000000-0004-0000-0000-0000D6060000}"/>
    <hyperlink ref="F1513" r:id="rId1351" xr:uid="{00000000-0004-0000-0000-0000DC060000}"/>
    <hyperlink ref="G1514" r:id="rId1352" xr:uid="{00000000-0004-0000-0000-0000DD060000}"/>
    <hyperlink ref="F1515" r:id="rId1353" xr:uid="{00000000-0004-0000-0000-0000DE060000}"/>
    <hyperlink ref="G1515" r:id="rId1354" xr:uid="{00000000-0004-0000-0000-0000DF060000}"/>
    <hyperlink ref="S1515" r:id="rId1355" xr:uid="{00000000-0004-0000-0000-0000E0060000}"/>
    <hyperlink ref="G1516" r:id="rId1356" xr:uid="{00000000-0004-0000-0000-0000E1060000}"/>
    <hyperlink ref="G1517" r:id="rId1357" xr:uid="{00000000-0004-0000-0000-0000E2060000}"/>
    <hyperlink ref="S1517" r:id="rId1358" xr:uid="{00000000-0004-0000-0000-0000E3060000}"/>
    <hyperlink ref="G1518" r:id="rId1359" xr:uid="{00000000-0004-0000-0000-0000E4060000}"/>
    <hyperlink ref="G1519" r:id="rId1360" xr:uid="{00000000-0004-0000-0000-0000E5060000}"/>
    <hyperlink ref="G1520" r:id="rId1361" xr:uid="{00000000-0004-0000-0000-0000E9060000}"/>
    <hyperlink ref="G1521" r:id="rId1362" xr:uid="{00000000-0004-0000-0000-0000EA060000}"/>
    <hyperlink ref="S1521" r:id="rId1363" xr:uid="{00000000-0004-0000-0000-0000EB060000}"/>
    <hyperlink ref="S1522" r:id="rId1364" xr:uid="{00000000-0004-0000-0000-0000EC060000}"/>
    <hyperlink ref="G1523" r:id="rId1365" xr:uid="{00000000-0004-0000-0000-0000ED060000}"/>
    <hyperlink ref="F1524" r:id="rId1366" xr:uid="{00000000-0004-0000-0000-0000EE060000}"/>
    <hyperlink ref="G1524" r:id="rId1367" xr:uid="{00000000-0004-0000-0000-0000EF060000}"/>
    <hyperlink ref="G1525" r:id="rId1368" xr:uid="{00000000-0004-0000-0000-0000F0060000}"/>
    <hyperlink ref="S1525" r:id="rId1369" xr:uid="{00000000-0004-0000-0000-0000F1060000}"/>
    <hyperlink ref="G1526" r:id="rId1370" xr:uid="{00000000-0004-0000-0000-0000F2060000}"/>
    <hyperlink ref="G1527" r:id="rId1371" xr:uid="{00000000-0004-0000-0000-0000F4060000}"/>
    <hyperlink ref="S1529" r:id="rId1372" xr:uid="{00000000-0004-0000-0000-0000F6060000}"/>
    <hyperlink ref="G1530" r:id="rId1373" xr:uid="{00000000-0004-0000-0000-0000F7060000}"/>
    <hyperlink ref="G1532" r:id="rId1374" xr:uid="{00000000-0004-0000-0000-0000F8060000}"/>
    <hyperlink ref="G1534" r:id="rId1375" xr:uid="{00000000-0004-0000-0000-0000F9060000}"/>
    <hyperlink ref="S1534" r:id="rId1376" xr:uid="{00000000-0004-0000-0000-0000FA060000}"/>
    <hyperlink ref="G1535" r:id="rId1377" xr:uid="{00000000-0004-0000-0000-0000FB060000}"/>
    <hyperlink ref="S1535" r:id="rId1378" xr:uid="{00000000-0004-0000-0000-0000FC060000}"/>
    <hyperlink ref="G1536" r:id="rId1379" xr:uid="{00000000-0004-0000-0000-0000FD060000}"/>
    <hyperlink ref="S1536" r:id="rId1380" xr:uid="{00000000-0004-0000-0000-0000FE060000}"/>
    <hyperlink ref="G1537" r:id="rId1381" xr:uid="{00000000-0004-0000-0000-0000FF060000}"/>
    <hyperlink ref="R1537" r:id="rId1382" xr:uid="{00000000-0004-0000-0000-000000070000}"/>
    <hyperlink ref="G1538" r:id="rId1383" xr:uid="{00000000-0004-0000-0000-000001070000}"/>
    <hyperlink ref="G1540" r:id="rId1384" xr:uid="{00000000-0004-0000-0000-000002070000}"/>
    <hyperlink ref="G1544" r:id="rId1385" xr:uid="{00000000-0004-0000-0000-000003070000}"/>
    <hyperlink ref="G1547" r:id="rId1386" xr:uid="{00000000-0004-0000-0000-000008070000}"/>
    <hyperlink ref="G1548" r:id="rId1387" xr:uid="{00000000-0004-0000-0000-000009070000}"/>
    <hyperlink ref="G1549" r:id="rId1388" xr:uid="{00000000-0004-0000-0000-00000A070000}"/>
    <hyperlink ref="S1549" r:id="rId1389" xr:uid="{00000000-0004-0000-0000-00000B070000}"/>
    <hyperlink ref="G1550" r:id="rId1390" xr:uid="{00000000-0004-0000-0000-00000C070000}"/>
    <hyperlink ref="G1551" r:id="rId1391" xr:uid="{00000000-0004-0000-0000-00000D070000}"/>
    <hyperlink ref="G1552" r:id="rId1392" xr:uid="{00000000-0004-0000-0000-00000E070000}"/>
    <hyperlink ref="G1553" r:id="rId1393" xr:uid="{00000000-0004-0000-0000-00000F070000}"/>
    <hyperlink ref="S1553" r:id="rId1394" xr:uid="{00000000-0004-0000-0000-000010070000}"/>
    <hyperlink ref="G1554" r:id="rId1395" xr:uid="{00000000-0004-0000-0000-000011070000}"/>
    <hyperlink ref="G1555" r:id="rId1396" xr:uid="{00000000-0004-0000-0000-000012070000}"/>
    <hyperlink ref="G1556" r:id="rId1397" xr:uid="{00000000-0004-0000-0000-000013070000}"/>
    <hyperlink ref="G1557" r:id="rId1398" xr:uid="{00000000-0004-0000-0000-000014070000}"/>
    <hyperlink ref="G1558" r:id="rId1399" xr:uid="{00000000-0004-0000-0000-000015070000}"/>
    <hyperlink ref="G1559" r:id="rId1400" xr:uid="{00000000-0004-0000-0000-000016070000}"/>
    <hyperlink ref="G1560" r:id="rId1401" xr:uid="{00000000-0004-0000-0000-000017070000}"/>
    <hyperlink ref="S1560" r:id="rId1402" xr:uid="{00000000-0004-0000-0000-000018070000}"/>
    <hyperlink ref="G1563" r:id="rId1403" xr:uid="{00000000-0004-0000-0000-000019070000}"/>
    <hyperlink ref="F1567" r:id="rId1404" xr:uid="{00000000-0004-0000-0000-00001A070000}"/>
    <hyperlink ref="S1567" r:id="rId1405" xr:uid="{00000000-0004-0000-0000-00001B070000}"/>
    <hyperlink ref="G1568" r:id="rId1406" xr:uid="{00000000-0004-0000-0000-00001C070000}"/>
    <hyperlink ref="G1570" r:id="rId1407" xr:uid="{00000000-0004-0000-0000-00001D070000}"/>
    <hyperlink ref="G1571" r:id="rId1408" xr:uid="{00000000-0004-0000-0000-00001F070000}"/>
    <hyperlink ref="G1572" r:id="rId1409" xr:uid="{00000000-0004-0000-0000-000020070000}"/>
    <hyperlink ref="G1573" r:id="rId1410" xr:uid="{00000000-0004-0000-0000-000021070000}"/>
    <hyperlink ref="S1575" r:id="rId1411" xr:uid="{00000000-0004-0000-0000-000022070000}"/>
    <hyperlink ref="F1577" r:id="rId1412" xr:uid="{00000000-0004-0000-0000-000027070000}"/>
    <hyperlink ref="S1577" r:id="rId1413" xr:uid="{00000000-0004-0000-0000-000028070000}"/>
    <hyperlink ref="S1578" r:id="rId1414" xr:uid="{00000000-0004-0000-0000-000029070000}"/>
    <hyperlink ref="G1580" r:id="rId1415" xr:uid="{00000000-0004-0000-0000-00002A070000}"/>
    <hyperlink ref="G1581" r:id="rId1416" xr:uid="{00000000-0004-0000-0000-00002B070000}"/>
    <hyperlink ref="G1585" r:id="rId1417" xr:uid="{00000000-0004-0000-0000-00002E070000}"/>
    <hyperlink ref="G1586" r:id="rId1418" xr:uid="{00000000-0004-0000-0000-00002F070000}"/>
    <hyperlink ref="S1586" r:id="rId1419" xr:uid="{00000000-0004-0000-0000-000030070000}"/>
    <hyperlink ref="G1587" r:id="rId1420" xr:uid="{00000000-0004-0000-0000-000031070000}"/>
    <hyperlink ref="S1587" r:id="rId1421" xr:uid="{00000000-0004-0000-0000-000032070000}"/>
    <hyperlink ref="G1588" r:id="rId1422" xr:uid="{00000000-0004-0000-0000-000035070000}"/>
    <hyperlink ref="G1589" r:id="rId1423" xr:uid="{00000000-0004-0000-0000-000036070000}"/>
    <hyperlink ref="G1591" r:id="rId1424" xr:uid="{00000000-0004-0000-0000-000037070000}"/>
    <hyperlink ref="G1593" r:id="rId1425" xr:uid="{00000000-0004-0000-0000-000038070000}"/>
    <hyperlink ref="G1595" r:id="rId1426" xr:uid="{00000000-0004-0000-0000-000039070000}"/>
    <hyperlink ref="S1595" r:id="rId1427" xr:uid="{00000000-0004-0000-0000-00003A070000}"/>
    <hyperlink ref="S1596" r:id="rId1428" xr:uid="{00000000-0004-0000-0000-00003B070000}"/>
    <hyperlink ref="G1601" r:id="rId1429" xr:uid="{00000000-0004-0000-0000-00003E070000}"/>
    <hyperlink ref="G1602" r:id="rId1430" xr:uid="{00000000-0004-0000-0000-00003F070000}"/>
    <hyperlink ref="G1603" r:id="rId1431" xr:uid="{00000000-0004-0000-0000-000040070000}"/>
    <hyperlink ref="G1604" r:id="rId1432" xr:uid="{00000000-0004-0000-0000-000041070000}"/>
    <hyperlink ref="G1605" r:id="rId1433" xr:uid="{00000000-0004-0000-0000-000042070000}"/>
    <hyperlink ref="G1606" r:id="rId1434" xr:uid="{00000000-0004-0000-0000-000044070000}"/>
    <hyperlink ref="S1606" r:id="rId1435" xr:uid="{00000000-0004-0000-0000-000045070000}"/>
    <hyperlink ref="G1607" r:id="rId1436" xr:uid="{00000000-0004-0000-0000-000046070000}"/>
    <hyperlink ref="G1608" r:id="rId1437" xr:uid="{00000000-0004-0000-0000-000047070000}"/>
    <hyperlink ref="S1608" r:id="rId1438" xr:uid="{00000000-0004-0000-0000-000048070000}"/>
    <hyperlink ref="G1609" r:id="rId1439" xr:uid="{00000000-0004-0000-0000-000049070000}"/>
    <hyperlink ref="F1610" r:id="rId1440" xr:uid="{00000000-0004-0000-0000-00004A070000}"/>
    <hyperlink ref="G1610" r:id="rId1441" xr:uid="{00000000-0004-0000-0000-00004B070000}"/>
    <hyperlink ref="S1610" r:id="rId1442" xr:uid="{00000000-0004-0000-0000-00004C070000}"/>
    <hyperlink ref="G1613" r:id="rId1443" xr:uid="{00000000-0004-0000-0000-00004D070000}"/>
    <hyperlink ref="G1614" r:id="rId1444" xr:uid="{00000000-0004-0000-0000-00004E070000}"/>
    <hyperlink ref="S1614" r:id="rId1445" xr:uid="{00000000-0004-0000-0000-00004F070000}"/>
    <hyperlink ref="S1615" r:id="rId1446" xr:uid="{00000000-0004-0000-0000-000050070000}"/>
    <hyperlink ref="G1617" r:id="rId1447" xr:uid="{00000000-0004-0000-0000-000051070000}"/>
    <hyperlink ref="G1620" r:id="rId1448" xr:uid="{00000000-0004-0000-0000-000052070000}"/>
    <hyperlink ref="G1621" r:id="rId1449" xr:uid="{00000000-0004-0000-0000-000053070000}"/>
    <hyperlink ref="G1623" r:id="rId1450" xr:uid="{00000000-0004-0000-0000-000055070000}"/>
    <hyperlink ref="G1624" r:id="rId1451" xr:uid="{00000000-0004-0000-0000-000056070000}"/>
    <hyperlink ref="G1625" r:id="rId1452" xr:uid="{00000000-0004-0000-0000-000057070000}"/>
    <hyperlink ref="S1625" r:id="rId1453" xr:uid="{00000000-0004-0000-0000-000058070000}"/>
    <hyperlink ref="G1626" r:id="rId1454" xr:uid="{00000000-0004-0000-0000-000059070000}"/>
    <hyperlink ref="G1628" r:id="rId1455" xr:uid="{00000000-0004-0000-0000-00005A070000}"/>
    <hyperlink ref="G1631" r:id="rId1456" xr:uid="{00000000-0004-0000-0000-00005B070000}"/>
    <hyperlink ref="G1632" r:id="rId1457" xr:uid="{00000000-0004-0000-0000-00005C070000}"/>
    <hyperlink ref="G1633" r:id="rId1458" xr:uid="{00000000-0004-0000-0000-00005D070000}"/>
    <hyperlink ref="S1633" r:id="rId1459" xr:uid="{00000000-0004-0000-0000-00005E070000}"/>
    <hyperlink ref="G1634" r:id="rId1460" xr:uid="{00000000-0004-0000-0000-00005F070000}"/>
    <hyperlink ref="G1636" r:id="rId1461" xr:uid="{00000000-0004-0000-0000-000060070000}"/>
    <hyperlink ref="G1637" r:id="rId1462" xr:uid="{00000000-0004-0000-0000-000061070000}"/>
    <hyperlink ref="S1637" r:id="rId1463" xr:uid="{00000000-0004-0000-0000-000062070000}"/>
    <hyperlink ref="G1638" r:id="rId1464" xr:uid="{00000000-0004-0000-0000-000063070000}"/>
    <hyperlink ref="S1638" r:id="rId1465" xr:uid="{00000000-0004-0000-0000-000064070000}"/>
    <hyperlink ref="S1642" r:id="rId1466" xr:uid="{00000000-0004-0000-0000-000065070000}"/>
    <hyperlink ref="G1645" r:id="rId1467" xr:uid="{00000000-0004-0000-0000-000066070000}"/>
    <hyperlink ref="S1645" r:id="rId1468" xr:uid="{00000000-0004-0000-0000-000067070000}"/>
    <hyperlink ref="G1647" r:id="rId1469" xr:uid="{00000000-0004-0000-0000-000068070000}"/>
    <hyperlink ref="S1647" r:id="rId1470" xr:uid="{00000000-0004-0000-0000-000069070000}"/>
    <hyperlink ref="G1648" r:id="rId1471" xr:uid="{00000000-0004-0000-0000-00006A070000}"/>
    <hyperlink ref="S1649" r:id="rId1472" xr:uid="{00000000-0004-0000-0000-00006C070000}"/>
    <hyperlink ref="G1651" r:id="rId1473" xr:uid="{00000000-0004-0000-0000-00006D070000}"/>
    <hyperlink ref="S1651" r:id="rId1474" xr:uid="{00000000-0004-0000-0000-00006E070000}"/>
    <hyperlink ref="S1652" r:id="rId1475" xr:uid="{00000000-0004-0000-0000-00006F070000}"/>
    <hyperlink ref="G1653" r:id="rId1476" xr:uid="{00000000-0004-0000-0000-000070070000}"/>
    <hyperlink ref="G1654" r:id="rId1477" xr:uid="{00000000-0004-0000-0000-000071070000}"/>
    <hyperlink ref="S1656" r:id="rId1478" xr:uid="{00000000-0004-0000-0000-000072070000}"/>
    <hyperlink ref="G1657" r:id="rId1479" xr:uid="{00000000-0004-0000-0000-000073070000}"/>
    <hyperlink ref="G1658" r:id="rId1480" xr:uid="{00000000-0004-0000-0000-000074070000}"/>
    <hyperlink ref="G1659" r:id="rId1481" xr:uid="{00000000-0004-0000-0000-000075070000}"/>
    <hyperlink ref="S1660" r:id="rId1482" xr:uid="{00000000-0004-0000-0000-000076070000}"/>
    <hyperlink ref="G1661" r:id="rId1483" xr:uid="{00000000-0004-0000-0000-000077070000}"/>
    <hyperlink ref="G1662" r:id="rId1484" xr:uid="{00000000-0004-0000-0000-000079070000}"/>
    <hyperlink ref="F1664" r:id="rId1485" xr:uid="{00000000-0004-0000-0000-00007A070000}"/>
    <hyperlink ref="G1664" r:id="rId1486" xr:uid="{00000000-0004-0000-0000-00007B070000}"/>
    <hyperlink ref="S1664" r:id="rId1487" xr:uid="{00000000-0004-0000-0000-00007C070000}"/>
    <hyperlink ref="S1668" r:id="rId1488" xr:uid="{00000000-0004-0000-0000-000080070000}"/>
    <hyperlink ref="G1669" r:id="rId1489" xr:uid="{00000000-0004-0000-0000-000081070000}"/>
    <hyperlink ref="G1670" r:id="rId1490" xr:uid="{00000000-0004-0000-0000-000082070000}"/>
    <hyperlink ref="S1670" r:id="rId1491" xr:uid="{00000000-0004-0000-0000-000083070000}"/>
    <hyperlink ref="G1671" r:id="rId1492" xr:uid="{00000000-0004-0000-0000-000084070000}"/>
    <hyperlink ref="G1672" r:id="rId1493" xr:uid="{00000000-0004-0000-0000-000085070000}"/>
    <hyperlink ref="F1674" r:id="rId1494" xr:uid="{00000000-0004-0000-0000-000086070000}"/>
    <hyperlink ref="G1674" r:id="rId1495" xr:uid="{00000000-0004-0000-0000-000087070000}"/>
    <hyperlink ref="G1675" r:id="rId1496" xr:uid="{00000000-0004-0000-0000-000088070000}"/>
    <hyperlink ref="F1677" r:id="rId1497" xr:uid="{00000000-0004-0000-0000-000089070000}"/>
    <hyperlink ref="G1678" r:id="rId1498" xr:uid="{00000000-0004-0000-0000-00008A070000}"/>
    <hyperlink ref="S1678" r:id="rId1499" xr:uid="{00000000-0004-0000-0000-00008B070000}"/>
    <hyperlink ref="G1679" r:id="rId1500" xr:uid="{00000000-0004-0000-0000-00008C070000}"/>
    <hyperlink ref="G1681" r:id="rId1501" xr:uid="{00000000-0004-0000-0000-00008D070000}"/>
    <hyperlink ref="G1682" r:id="rId1502" xr:uid="{00000000-0004-0000-0000-00008E070000}"/>
    <hyperlink ref="G1684" r:id="rId1503" xr:uid="{00000000-0004-0000-0000-00008F070000}"/>
    <hyperlink ref="G1686" r:id="rId1504" xr:uid="{00000000-0004-0000-0000-000090070000}"/>
    <hyperlink ref="G1687" r:id="rId1505" xr:uid="{00000000-0004-0000-0000-000091070000}"/>
    <hyperlink ref="G1688" r:id="rId1506" xr:uid="{00000000-0004-0000-0000-000092070000}"/>
    <hyperlink ref="G1689" r:id="rId1507" xr:uid="{00000000-0004-0000-0000-000093070000}"/>
    <hyperlink ref="G1690" r:id="rId1508" xr:uid="{00000000-0004-0000-0000-000094070000}"/>
    <hyperlink ref="S1693" r:id="rId1509" xr:uid="{00000000-0004-0000-0000-000096070000}"/>
    <hyperlink ref="S1695" r:id="rId1510" xr:uid="{00000000-0004-0000-0000-000097070000}"/>
    <hyperlink ref="F1696" r:id="rId1511" xr:uid="{00000000-0004-0000-0000-000098070000}"/>
    <hyperlink ref="G1696" r:id="rId1512" xr:uid="{00000000-0004-0000-0000-000099070000}"/>
    <hyperlink ref="S1696" r:id="rId1513" xr:uid="{00000000-0004-0000-0000-00009A070000}"/>
    <hyperlink ref="S1697" r:id="rId1514" xr:uid="{00000000-0004-0000-0000-00009D070000}"/>
    <hyperlink ref="G1699" r:id="rId1515" xr:uid="{00000000-0004-0000-0000-00009E070000}"/>
    <hyperlink ref="S1699" r:id="rId1516" xr:uid="{00000000-0004-0000-0000-00009F070000}"/>
    <hyperlink ref="G1700" r:id="rId1517" xr:uid="{00000000-0004-0000-0000-0000A0070000}"/>
    <hyperlink ref="F1701" r:id="rId1518" xr:uid="{00000000-0004-0000-0000-0000A1070000}"/>
    <hyperlink ref="S1701" r:id="rId1519" xr:uid="{00000000-0004-0000-0000-0000A2070000}"/>
    <hyperlink ref="G1703" r:id="rId1520" xr:uid="{00000000-0004-0000-0000-0000A3070000}"/>
    <hyperlink ref="G1706" r:id="rId1521" xr:uid="{00000000-0004-0000-0000-0000A7070000}"/>
    <hyperlink ref="G1707" r:id="rId1522" xr:uid="{00000000-0004-0000-0000-0000A8070000}"/>
    <hyperlink ref="S1707" r:id="rId1523" xr:uid="{00000000-0004-0000-0000-0000A9070000}"/>
    <hyperlink ref="G1708" r:id="rId1524" xr:uid="{00000000-0004-0000-0000-0000AA070000}"/>
    <hyperlink ref="S1710" r:id="rId1525" xr:uid="{00000000-0004-0000-0000-0000AB070000}"/>
    <hyperlink ref="G1713" r:id="rId1526" xr:uid="{00000000-0004-0000-0000-0000AC070000}"/>
    <hyperlink ref="G1714" r:id="rId1527" xr:uid="{00000000-0004-0000-0000-0000AD070000}"/>
    <hyperlink ref="G1715" r:id="rId1528" xr:uid="{00000000-0004-0000-0000-0000B0070000}"/>
    <hyperlink ref="G1716" r:id="rId1529" xr:uid="{00000000-0004-0000-0000-0000B1070000}"/>
    <hyperlink ref="C1717" r:id="rId1530" xr:uid="{00000000-0004-0000-0000-0000B2070000}"/>
    <hyperlink ref="F1717" r:id="rId1531" xr:uid="{00000000-0004-0000-0000-0000B3070000}"/>
    <hyperlink ref="G1717" r:id="rId1532" xr:uid="{00000000-0004-0000-0000-0000B4070000}"/>
    <hyperlink ref="S1717" r:id="rId1533" xr:uid="{00000000-0004-0000-0000-0000B5070000}"/>
    <hyperlink ref="G1718" r:id="rId1534" xr:uid="{00000000-0004-0000-0000-0000B6070000}"/>
    <hyperlink ref="G1719" r:id="rId1535" xr:uid="{00000000-0004-0000-0000-0000B7070000}"/>
    <hyperlink ref="G1720" r:id="rId1536" xr:uid="{00000000-0004-0000-0000-0000B8070000}"/>
    <hyperlink ref="S1720" r:id="rId1537" xr:uid="{00000000-0004-0000-0000-0000B9070000}"/>
    <hyperlink ref="G1724" r:id="rId1538" xr:uid="{00000000-0004-0000-0000-0000BA070000}"/>
    <hyperlink ref="S1724" r:id="rId1539" xr:uid="{00000000-0004-0000-0000-0000BB070000}"/>
    <hyperlink ref="G1726" r:id="rId1540" xr:uid="{00000000-0004-0000-0000-0000BC070000}"/>
    <hyperlink ref="G1728" r:id="rId1541" xr:uid="{00000000-0004-0000-0000-0000BD070000}"/>
    <hyperlink ref="G1729" r:id="rId1542" xr:uid="{00000000-0004-0000-0000-0000BE070000}"/>
    <hyperlink ref="G1730" r:id="rId1543" xr:uid="{00000000-0004-0000-0000-0000C0070000}"/>
    <hyperlink ref="G1733" r:id="rId1544" xr:uid="{00000000-0004-0000-0000-0000C3070000}"/>
    <hyperlink ref="S1733" r:id="rId1545" xr:uid="{00000000-0004-0000-0000-0000C4070000}"/>
    <hyperlink ref="G1734" r:id="rId1546" xr:uid="{00000000-0004-0000-0000-0000C5070000}"/>
    <hyperlink ref="G1735" r:id="rId1547" xr:uid="{00000000-0004-0000-0000-0000C6070000}"/>
    <hyperlink ref="G1736" r:id="rId1548" xr:uid="{00000000-0004-0000-0000-0000C8070000}"/>
    <hyperlink ref="S1736" r:id="rId1549" xr:uid="{00000000-0004-0000-0000-0000C9070000}"/>
    <hyperlink ref="G1737" r:id="rId1550" xr:uid="{00000000-0004-0000-0000-0000CA070000}"/>
    <hyperlink ref="S1737" r:id="rId1551" xr:uid="{00000000-0004-0000-0000-0000CB070000}"/>
    <hyperlink ref="F1739" r:id="rId1552" xr:uid="{00000000-0004-0000-0000-0000CC070000}"/>
    <hyperlink ref="G1739" r:id="rId1553" xr:uid="{00000000-0004-0000-0000-0000CD070000}"/>
    <hyperlink ref="S1739" r:id="rId1554" xr:uid="{00000000-0004-0000-0000-0000CE070000}"/>
    <hyperlink ref="G1740" r:id="rId1555" xr:uid="{00000000-0004-0000-0000-0000CF070000}"/>
    <hyperlink ref="G1741" r:id="rId1556" xr:uid="{00000000-0004-0000-0000-0000D0070000}"/>
    <hyperlink ref="G1744" r:id="rId1557" xr:uid="{00000000-0004-0000-0000-0000D1070000}"/>
    <hyperlink ref="G1745" r:id="rId1558" xr:uid="{00000000-0004-0000-0000-0000D2070000}"/>
    <hyperlink ref="S1746" r:id="rId1559" xr:uid="{00000000-0004-0000-0000-0000D3070000}"/>
    <hyperlink ref="G1747" r:id="rId1560" xr:uid="{00000000-0004-0000-0000-0000D4070000}"/>
    <hyperlink ref="S1747" r:id="rId1561" xr:uid="{00000000-0004-0000-0000-0000D5070000}"/>
    <hyperlink ref="G1748" r:id="rId1562" xr:uid="{00000000-0004-0000-0000-0000D6070000}"/>
    <hyperlink ref="S1748" r:id="rId1563" xr:uid="{00000000-0004-0000-0000-0000D7070000}"/>
    <hyperlink ref="S1750" r:id="rId1564" xr:uid="{00000000-0004-0000-0000-0000D8070000}"/>
    <hyperlink ref="G1752" r:id="rId1565" xr:uid="{00000000-0004-0000-0000-0000DC070000}"/>
    <hyperlink ref="G1753" r:id="rId1566" xr:uid="{00000000-0004-0000-0000-0000DD070000}"/>
    <hyperlink ref="G1754" r:id="rId1567" xr:uid="{00000000-0004-0000-0000-0000DE070000}"/>
    <hyperlink ref="G1755" r:id="rId1568" xr:uid="{00000000-0004-0000-0000-0000DF070000}"/>
    <hyperlink ref="S1757" r:id="rId1569" xr:uid="{00000000-0004-0000-0000-0000E1070000}"/>
    <hyperlink ref="G1758" r:id="rId1570" xr:uid="{00000000-0004-0000-0000-0000E2070000}"/>
    <hyperlink ref="S1759" r:id="rId1571" xr:uid="{00000000-0004-0000-0000-0000E4070000}"/>
    <hyperlink ref="F1760" r:id="rId1572" xr:uid="{00000000-0004-0000-0000-0000E5070000}"/>
    <hyperlink ref="G1760" r:id="rId1573" xr:uid="{00000000-0004-0000-0000-0000E6070000}"/>
    <hyperlink ref="S1760" r:id="rId1574" xr:uid="{00000000-0004-0000-0000-0000E7070000}"/>
    <hyperlink ref="G1761" r:id="rId1575" xr:uid="{00000000-0004-0000-0000-0000E8070000}"/>
    <hyperlink ref="G1762" r:id="rId1576" xr:uid="{00000000-0004-0000-0000-0000E9070000}"/>
    <hyperlink ref="G1764" r:id="rId1577" xr:uid="{00000000-0004-0000-0000-0000EA070000}"/>
    <hyperlink ref="S1765" r:id="rId1578" xr:uid="{00000000-0004-0000-0000-0000EB070000}"/>
    <hyperlink ref="G1767" r:id="rId1579" xr:uid="{00000000-0004-0000-0000-0000EC070000}"/>
    <hyperlink ref="G1768" r:id="rId1580" xr:uid="{00000000-0004-0000-0000-0000ED070000}"/>
    <hyperlink ref="G1769" r:id="rId1581" xr:uid="{00000000-0004-0000-0000-0000EE070000}"/>
    <hyperlink ref="G1770" r:id="rId1582" xr:uid="{00000000-0004-0000-0000-0000EF070000}"/>
    <hyperlink ref="F1771" r:id="rId1583" xr:uid="{00000000-0004-0000-0000-0000F2070000}"/>
    <hyperlink ref="S1771" r:id="rId1584" xr:uid="{00000000-0004-0000-0000-0000F3070000}"/>
    <hyperlink ref="C1774" r:id="rId1585" xr:uid="{00000000-0004-0000-0000-0000F4070000}"/>
    <hyperlink ref="F1774" r:id="rId1586" xr:uid="{00000000-0004-0000-0000-0000F5070000}"/>
    <hyperlink ref="G1774" r:id="rId1587" xr:uid="{00000000-0004-0000-0000-0000F6070000}"/>
    <hyperlink ref="S1774" r:id="rId1588" xr:uid="{00000000-0004-0000-0000-0000F7070000}"/>
    <hyperlink ref="G1777" r:id="rId1589" xr:uid="{00000000-0004-0000-0000-0000F8070000}"/>
    <hyperlink ref="G1778" r:id="rId1590" xr:uid="{00000000-0004-0000-0000-0000F9070000}"/>
    <hyperlink ref="S1779" r:id="rId1591" xr:uid="{00000000-0004-0000-0000-0000FA070000}"/>
    <hyperlink ref="G1783" r:id="rId1592" xr:uid="{00000000-0004-0000-0000-0000FB070000}"/>
    <hyperlink ref="G1784" r:id="rId1593" xr:uid="{00000000-0004-0000-0000-0000FC070000}"/>
    <hyperlink ref="G1785" r:id="rId1594" xr:uid="{00000000-0004-0000-0000-0000FD070000}"/>
    <hyperlink ref="S1785" r:id="rId1595" xr:uid="{00000000-0004-0000-0000-0000FE070000}"/>
    <hyperlink ref="G1787" r:id="rId1596" xr:uid="{00000000-0004-0000-0000-0000FF070000}"/>
    <hyperlink ref="S1788" r:id="rId1597" xr:uid="{00000000-0004-0000-0000-000000080000}"/>
    <hyperlink ref="S1789" r:id="rId1598" xr:uid="{00000000-0004-0000-0000-000001080000}"/>
    <hyperlink ref="G1790" r:id="rId1599" xr:uid="{00000000-0004-0000-0000-000002080000}"/>
    <hyperlink ref="S1790" r:id="rId1600" xr:uid="{00000000-0004-0000-0000-000003080000}"/>
    <hyperlink ref="S1791" r:id="rId1601" xr:uid="{00000000-0004-0000-0000-000004080000}"/>
    <hyperlink ref="G1792" r:id="rId1602" xr:uid="{00000000-0004-0000-0000-000006080000}"/>
    <hyperlink ref="G1793" r:id="rId1603" xr:uid="{00000000-0004-0000-0000-000007080000}"/>
    <hyperlink ref="G1795" r:id="rId1604" xr:uid="{00000000-0004-0000-0000-000008080000}"/>
    <hyperlink ref="G1796" r:id="rId1605" xr:uid="{00000000-0004-0000-0000-000009080000}"/>
    <hyperlink ref="G1798" r:id="rId1606" xr:uid="{00000000-0004-0000-0000-00000A080000}"/>
    <hyperlink ref="G1800" r:id="rId1607" xr:uid="{00000000-0004-0000-0000-00000C080000}"/>
    <hyperlink ref="G1801" r:id="rId1608" xr:uid="{00000000-0004-0000-0000-00000D080000}"/>
    <hyperlink ref="S1803" r:id="rId1609" xr:uid="{00000000-0004-0000-0000-00000E080000}"/>
    <hyperlink ref="G1804" r:id="rId1610" xr:uid="{00000000-0004-0000-0000-00000F080000}"/>
    <hyperlink ref="G1805" r:id="rId1611" xr:uid="{00000000-0004-0000-0000-000010080000}"/>
    <hyperlink ref="G1806" r:id="rId1612" xr:uid="{00000000-0004-0000-0000-000011080000}"/>
    <hyperlink ref="G1807" r:id="rId1613" xr:uid="{00000000-0004-0000-0000-000012080000}"/>
    <hyperlink ref="G1808" r:id="rId1614" xr:uid="{00000000-0004-0000-0000-000013080000}"/>
    <hyperlink ref="G1809" r:id="rId1615" xr:uid="{00000000-0004-0000-0000-000014080000}"/>
    <hyperlink ref="G1810" r:id="rId1616" xr:uid="{00000000-0004-0000-0000-000015080000}"/>
    <hyperlink ref="S1810" r:id="rId1617" xr:uid="{00000000-0004-0000-0000-000016080000}"/>
    <hyperlink ref="G1812" r:id="rId1618" xr:uid="{00000000-0004-0000-0000-000017080000}"/>
    <hyperlink ref="S1812" r:id="rId1619" xr:uid="{00000000-0004-0000-0000-000018080000}"/>
    <hyperlink ref="G1818" r:id="rId1620" xr:uid="{00000000-0004-0000-0000-00001E080000}"/>
    <hyperlink ref="S1819" r:id="rId1621" xr:uid="{00000000-0004-0000-0000-00001F080000}"/>
    <hyperlink ref="G1821" r:id="rId1622" xr:uid="{00000000-0004-0000-0000-000020080000}"/>
    <hyperlink ref="G1822" r:id="rId1623" xr:uid="{00000000-0004-0000-0000-000021080000}"/>
    <hyperlink ref="G1823" r:id="rId1624" xr:uid="{00000000-0004-0000-0000-000022080000}"/>
    <hyperlink ref="G1825" r:id="rId1625" xr:uid="{00000000-0004-0000-0000-000027080000}"/>
    <hyperlink ref="G1826" r:id="rId1626" xr:uid="{00000000-0004-0000-0000-00002A080000}"/>
    <hyperlink ref="S1826" r:id="rId1627" xr:uid="{00000000-0004-0000-0000-00002B080000}"/>
    <hyperlink ref="G1827" r:id="rId1628" xr:uid="{00000000-0004-0000-0000-00002C080000}"/>
    <hyperlink ref="S1827" r:id="rId1629" xr:uid="{00000000-0004-0000-0000-00002D080000}"/>
    <hyperlink ref="G1828" r:id="rId1630" xr:uid="{00000000-0004-0000-0000-000030080000}"/>
    <hyperlink ref="F1831" r:id="rId1631" xr:uid="{00000000-0004-0000-0000-000031080000}"/>
    <hyperlink ref="S1832" r:id="rId1632" xr:uid="{00000000-0004-0000-0000-000032080000}"/>
    <hyperlink ref="S1835" r:id="rId1633" xr:uid="{00000000-0004-0000-0000-000034080000}"/>
    <hyperlink ref="G1836" r:id="rId1634" xr:uid="{00000000-0004-0000-0000-000036080000}"/>
    <hyperlink ref="S1836" r:id="rId1635" xr:uid="{00000000-0004-0000-0000-000037080000}"/>
    <hyperlink ref="G1838" r:id="rId1636" xr:uid="{00000000-0004-0000-0000-000038080000}"/>
    <hyperlink ref="S1840" r:id="rId1637" xr:uid="{00000000-0004-0000-0000-00003A080000}"/>
    <hyperlink ref="G1848" r:id="rId1638" xr:uid="{00000000-0004-0000-0000-00003D080000}"/>
    <hyperlink ref="S1849" r:id="rId1639" xr:uid="{00000000-0004-0000-0000-00003E080000}"/>
    <hyperlink ref="G1850" r:id="rId1640" xr:uid="{00000000-0004-0000-0000-000040080000}"/>
    <hyperlink ref="S1850" r:id="rId1641" xr:uid="{00000000-0004-0000-0000-000041080000}"/>
    <hyperlink ref="G1853" r:id="rId1642" xr:uid="{00000000-0004-0000-0000-000042080000}"/>
    <hyperlink ref="S1854" r:id="rId1643" xr:uid="{00000000-0004-0000-0000-000043080000}"/>
    <hyperlink ref="G1856" r:id="rId1644" xr:uid="{00000000-0004-0000-0000-000044080000}"/>
    <hyperlink ref="G1858" r:id="rId1645" xr:uid="{00000000-0004-0000-0000-000045080000}"/>
    <hyperlink ref="S1858" r:id="rId1646" xr:uid="{00000000-0004-0000-0000-000046080000}"/>
    <hyperlink ref="G1859" r:id="rId1647" xr:uid="{00000000-0004-0000-0000-000047080000}"/>
    <hyperlink ref="S1859" r:id="rId1648" xr:uid="{00000000-0004-0000-0000-000048080000}"/>
    <hyperlink ref="G1861" r:id="rId1649" xr:uid="{00000000-0004-0000-0000-000049080000}"/>
    <hyperlink ref="G1862" r:id="rId1650" xr:uid="{00000000-0004-0000-0000-00004A080000}"/>
    <hyperlink ref="G1864" r:id="rId1651" xr:uid="{00000000-0004-0000-0000-00004D080000}"/>
    <hyperlink ref="G1866" r:id="rId1652" xr:uid="{00000000-0004-0000-0000-00004E080000}"/>
    <hyperlink ref="G1867" r:id="rId1653" xr:uid="{00000000-0004-0000-0000-000050080000}"/>
    <hyperlink ref="G1870" r:id="rId1654" xr:uid="{00000000-0004-0000-0000-000051080000}"/>
    <hyperlink ref="S1871" r:id="rId1655" xr:uid="{00000000-0004-0000-0000-000052080000}"/>
    <hyperlink ref="G1874" r:id="rId1656" xr:uid="{00000000-0004-0000-0000-000053080000}"/>
    <hyperlink ref="S1875" r:id="rId1657" xr:uid="{00000000-0004-0000-0000-000054080000}"/>
    <hyperlink ref="G1877" r:id="rId1658" xr:uid="{00000000-0004-0000-0000-000055080000}"/>
    <hyperlink ref="G1878" r:id="rId1659" xr:uid="{00000000-0004-0000-0000-000056080000}"/>
    <hyperlink ref="G1879" r:id="rId1660" xr:uid="{00000000-0004-0000-0000-000057080000}"/>
    <hyperlink ref="G1882" r:id="rId1661" xr:uid="{00000000-0004-0000-0000-000058080000}"/>
    <hyperlink ref="S1884" r:id="rId1662" xr:uid="{00000000-0004-0000-0000-00005B080000}"/>
    <hyperlink ref="G1885" r:id="rId1663" xr:uid="{00000000-0004-0000-0000-00005C080000}"/>
    <hyperlink ref="F1886" r:id="rId1664" xr:uid="{00000000-0004-0000-0000-00005D080000}"/>
    <hyperlink ref="G1886" r:id="rId1665" xr:uid="{00000000-0004-0000-0000-00005E080000}"/>
    <hyperlink ref="G1888" r:id="rId1666" xr:uid="{00000000-0004-0000-0000-00005F080000}"/>
    <hyperlink ref="G1889" r:id="rId1667" xr:uid="{00000000-0004-0000-0000-000060080000}"/>
    <hyperlink ref="G1890" r:id="rId1668" xr:uid="{00000000-0004-0000-0000-000062080000}"/>
    <hyperlink ref="F1892" r:id="rId1669" xr:uid="{00000000-0004-0000-0000-000063080000}"/>
    <hyperlink ref="S1893" r:id="rId1670" xr:uid="{00000000-0004-0000-0000-000064080000}"/>
    <hyperlink ref="G1896" r:id="rId1671" xr:uid="{00000000-0004-0000-0000-000065080000}"/>
    <hyperlink ref="S1899" r:id="rId1672" xr:uid="{00000000-0004-0000-0000-000066080000}"/>
    <hyperlink ref="F1900" r:id="rId1673" xr:uid="{00000000-0004-0000-0000-000067080000}"/>
    <hyperlink ref="S1900" r:id="rId1674" xr:uid="{00000000-0004-0000-0000-000068080000}"/>
    <hyperlink ref="F1901" r:id="rId1675" xr:uid="{00000000-0004-0000-0000-000069080000}"/>
    <hyperlink ref="G1901" r:id="rId1676" xr:uid="{00000000-0004-0000-0000-00006A080000}"/>
    <hyperlink ref="S1901" r:id="rId1677" xr:uid="{00000000-0004-0000-0000-00006B080000}"/>
    <hyperlink ref="G1904" r:id="rId1678" xr:uid="{00000000-0004-0000-0000-00006C080000}"/>
    <hyperlink ref="F1905" r:id="rId1679" xr:uid="{00000000-0004-0000-0000-00006D080000}"/>
    <hyperlink ref="G1905" r:id="rId1680" xr:uid="{00000000-0004-0000-0000-00006E080000}"/>
    <hyperlink ref="G1908" r:id="rId1681" xr:uid="{00000000-0004-0000-0000-00006F080000}"/>
    <hyperlink ref="G1909" r:id="rId1682" xr:uid="{00000000-0004-0000-0000-000070080000}"/>
    <hyperlink ref="S1909" r:id="rId1683" xr:uid="{00000000-0004-0000-0000-000071080000}"/>
    <hyperlink ref="G1911" r:id="rId1684" xr:uid="{00000000-0004-0000-0000-000072080000}"/>
    <hyperlink ref="G1912" r:id="rId1685" xr:uid="{00000000-0004-0000-0000-000073080000}"/>
    <hyperlink ref="S1912" r:id="rId1686" xr:uid="{00000000-0004-0000-0000-000074080000}"/>
    <hyperlink ref="F1915" r:id="rId1687" xr:uid="{00000000-0004-0000-0000-000075080000}"/>
    <hyperlink ref="G1915" r:id="rId1688" xr:uid="{00000000-0004-0000-0000-000076080000}"/>
    <hyperlink ref="G1916" r:id="rId1689" xr:uid="{00000000-0004-0000-0000-000077080000}"/>
    <hyperlink ref="S1917" r:id="rId1690" xr:uid="{00000000-0004-0000-0000-000078080000}"/>
    <hyperlink ref="S1919" r:id="rId1691" xr:uid="{00000000-0004-0000-0000-000079080000}"/>
    <hyperlink ref="G1920" r:id="rId1692" xr:uid="{00000000-0004-0000-0000-00007B080000}"/>
    <hyperlink ref="G1922" r:id="rId1693" xr:uid="{00000000-0004-0000-0000-00007C080000}"/>
    <hyperlink ref="S1924" r:id="rId1694" xr:uid="{00000000-0004-0000-0000-00007E080000}"/>
    <hyperlink ref="F1925" r:id="rId1695" xr:uid="{00000000-0004-0000-0000-00007F080000}"/>
    <hyperlink ref="G1925" r:id="rId1696" xr:uid="{00000000-0004-0000-0000-000080080000}"/>
    <hyperlink ref="G1926" r:id="rId1697" xr:uid="{00000000-0004-0000-0000-000081080000}"/>
    <hyperlink ref="S1927" r:id="rId1698" xr:uid="{00000000-0004-0000-0000-000082080000}"/>
    <hyperlink ref="G1928" r:id="rId1699" xr:uid="{00000000-0004-0000-0000-000083080000}"/>
    <hyperlink ref="S1929" r:id="rId1700" xr:uid="{00000000-0004-0000-0000-000084080000}"/>
    <hyperlink ref="S1930" r:id="rId1701" xr:uid="{00000000-0004-0000-0000-000085080000}"/>
    <hyperlink ref="F1935" r:id="rId1702" xr:uid="{00000000-0004-0000-0000-000087080000}"/>
    <hyperlink ref="S1937" r:id="rId1703" xr:uid="{00000000-0004-0000-0000-000088080000}"/>
    <hyperlink ref="G1940" r:id="rId1704" xr:uid="{00000000-0004-0000-0000-000089080000}"/>
    <hyperlink ref="F1941" r:id="rId1705" xr:uid="{00000000-0004-0000-0000-00008A080000}"/>
    <hyperlink ref="G1943" r:id="rId1706" xr:uid="{00000000-0004-0000-0000-00008B080000}"/>
    <hyperlink ref="G1946" r:id="rId1707" xr:uid="{00000000-0004-0000-0000-00008E080000}"/>
    <hyperlink ref="G1947" r:id="rId1708" xr:uid="{00000000-0004-0000-0000-000092080000}"/>
    <hyperlink ref="G1948" r:id="rId1709" xr:uid="{00000000-0004-0000-0000-000093080000}"/>
    <hyperlink ref="G1949" r:id="rId1710" xr:uid="{00000000-0004-0000-0000-000094080000}"/>
    <hyperlink ref="G1950" r:id="rId1711" xr:uid="{00000000-0004-0000-0000-000095080000}"/>
    <hyperlink ref="G1951" r:id="rId1712" xr:uid="{00000000-0004-0000-0000-000096080000}"/>
    <hyperlink ref="G1955" r:id="rId1713" xr:uid="{00000000-0004-0000-0000-000097080000}"/>
    <hyperlink ref="S1955" r:id="rId1714" xr:uid="{00000000-0004-0000-0000-000098080000}"/>
    <hyperlink ref="G1956" r:id="rId1715" xr:uid="{00000000-0004-0000-0000-000099080000}"/>
    <hyperlink ref="S1958" r:id="rId1716" xr:uid="{00000000-0004-0000-0000-00009A080000}"/>
    <hyperlink ref="F1959" r:id="rId1717" xr:uid="{00000000-0004-0000-0000-00009B080000}"/>
    <hyperlink ref="G1960" r:id="rId1718" xr:uid="{00000000-0004-0000-0000-00009C080000}"/>
    <hyperlink ref="G1962" r:id="rId1719" xr:uid="{00000000-0004-0000-0000-00009D080000}"/>
    <hyperlink ref="G1963" r:id="rId1720" xr:uid="{00000000-0004-0000-0000-00009E080000}"/>
    <hyperlink ref="S1964" r:id="rId1721" xr:uid="{00000000-0004-0000-0000-00009F080000}"/>
    <hyperlink ref="G1965" r:id="rId1722" xr:uid="{00000000-0004-0000-0000-0000A0080000}"/>
    <hyperlink ref="G1968" r:id="rId1723" xr:uid="{00000000-0004-0000-0000-0000A1080000}"/>
    <hyperlink ref="S1971" r:id="rId1724" xr:uid="{00000000-0004-0000-0000-0000A5080000}"/>
    <hyperlink ref="G1972" r:id="rId1725" xr:uid="{00000000-0004-0000-0000-0000A6080000}"/>
    <hyperlink ref="G1973" r:id="rId1726" xr:uid="{00000000-0004-0000-0000-0000A7080000}"/>
    <hyperlink ref="S1974" r:id="rId1727" xr:uid="{00000000-0004-0000-0000-0000A8080000}"/>
    <hyperlink ref="G1975" r:id="rId1728" xr:uid="{00000000-0004-0000-0000-0000A9080000}"/>
    <hyperlink ref="S1975" r:id="rId1729" xr:uid="{00000000-0004-0000-0000-0000AA080000}"/>
    <hyperlink ref="G1976" r:id="rId1730" xr:uid="{00000000-0004-0000-0000-0000AB080000}"/>
    <hyperlink ref="S1979" r:id="rId1731" xr:uid="{00000000-0004-0000-0000-0000AE080000}"/>
    <hyperlink ref="S1983" r:id="rId1732" xr:uid="{00000000-0004-0000-0000-0000AF080000}"/>
    <hyperlink ref="S1987" r:id="rId1733" xr:uid="{00000000-0004-0000-0000-0000B3080000}"/>
    <hyperlink ref="G1988" r:id="rId1734" xr:uid="{00000000-0004-0000-0000-0000B4080000}"/>
    <hyperlink ref="G1989" r:id="rId1735" xr:uid="{00000000-0004-0000-0000-0000B5080000}"/>
    <hyperlink ref="F1990" r:id="rId1736" xr:uid="{00000000-0004-0000-0000-0000B6080000}"/>
    <hyperlink ref="G1990" r:id="rId1737" xr:uid="{00000000-0004-0000-0000-0000B7080000}"/>
    <hyperlink ref="S1992" r:id="rId1738" xr:uid="{00000000-0004-0000-0000-0000BA080000}"/>
    <hyperlink ref="G1993" r:id="rId1739" xr:uid="{00000000-0004-0000-0000-0000BB080000}"/>
    <hyperlink ref="S1994" r:id="rId1740" xr:uid="{00000000-0004-0000-0000-0000BC080000}"/>
    <hyperlink ref="F1997" r:id="rId1741" xr:uid="{00000000-0004-0000-0000-0000BD080000}"/>
    <hyperlink ref="G1997" r:id="rId1742" xr:uid="{00000000-0004-0000-0000-0000BE080000}"/>
    <hyperlink ref="G2000" r:id="rId1743" xr:uid="{00000000-0004-0000-0000-0000BF080000}"/>
    <hyperlink ref="F2001" r:id="rId1744" xr:uid="{00000000-0004-0000-0000-0000C0080000}"/>
    <hyperlink ref="S2002" r:id="rId1745" xr:uid="{00000000-0004-0000-0000-0000C1080000}"/>
    <hyperlink ref="G2004" r:id="rId1746" xr:uid="{00000000-0004-0000-0000-0000C2080000}"/>
    <hyperlink ref="G2008" r:id="rId1747" xr:uid="{00000000-0004-0000-0000-0000C7080000}"/>
    <hyperlink ref="F2011" r:id="rId1748" xr:uid="{00000000-0004-0000-0000-0000C8080000}"/>
    <hyperlink ref="S2011" r:id="rId1749" xr:uid="{00000000-0004-0000-0000-0000C9080000}"/>
    <hyperlink ref="G2012" r:id="rId1750" xr:uid="{00000000-0004-0000-0000-0000CB080000}"/>
    <hyperlink ref="S2012" r:id="rId1751" xr:uid="{00000000-0004-0000-0000-0000CC080000}"/>
    <hyperlink ref="G2014" r:id="rId1752" xr:uid="{00000000-0004-0000-0000-0000CE080000}"/>
    <hyperlink ref="S2015" r:id="rId1753" xr:uid="{00000000-0004-0000-0000-0000D0080000}"/>
    <hyperlink ref="S2017" r:id="rId1754" xr:uid="{00000000-0004-0000-0000-0000D1080000}"/>
    <hyperlink ref="G2018" r:id="rId1755" xr:uid="{00000000-0004-0000-0000-0000D2080000}"/>
    <hyperlink ref="G2019" r:id="rId1756" xr:uid="{00000000-0004-0000-0000-0000D3080000}"/>
    <hyperlink ref="S2019" r:id="rId1757" xr:uid="{00000000-0004-0000-0000-0000D4080000}"/>
    <hyperlink ref="S2020" r:id="rId1758" xr:uid="{00000000-0004-0000-0000-0000D7080000}"/>
    <hyperlink ref="G2021" r:id="rId1759" xr:uid="{00000000-0004-0000-0000-0000D8080000}"/>
    <hyperlink ref="G2022" r:id="rId1760" xr:uid="{00000000-0004-0000-0000-0000D9080000}"/>
    <hyperlink ref="G2024" r:id="rId1761" xr:uid="{00000000-0004-0000-0000-0000DA080000}"/>
    <hyperlink ref="G2025" r:id="rId1762" xr:uid="{00000000-0004-0000-0000-0000DB080000}"/>
    <hyperlink ref="G2026" r:id="rId1763" xr:uid="{00000000-0004-0000-0000-0000DC080000}"/>
    <hyperlink ref="G2027" r:id="rId1764" xr:uid="{00000000-0004-0000-0000-0000DD080000}"/>
    <hyperlink ref="F2029" r:id="rId1765" xr:uid="{00000000-0004-0000-0000-0000DE080000}"/>
    <hyperlink ref="G2029" r:id="rId1766" xr:uid="{00000000-0004-0000-0000-0000DF080000}"/>
    <hyperlink ref="G2032" r:id="rId1767" xr:uid="{00000000-0004-0000-0000-0000E0080000}"/>
    <hyperlink ref="S2032" r:id="rId1768" xr:uid="{00000000-0004-0000-0000-0000E1080000}"/>
    <hyperlink ref="G2033" r:id="rId1769" xr:uid="{00000000-0004-0000-0000-0000E2080000}"/>
    <hyperlink ref="S2033" r:id="rId1770" xr:uid="{00000000-0004-0000-0000-0000E3080000}"/>
    <hyperlink ref="G2036" r:id="rId1771" xr:uid="{00000000-0004-0000-0000-0000E5080000}"/>
    <hyperlink ref="S2036" r:id="rId1772" xr:uid="{00000000-0004-0000-0000-0000E6080000}"/>
    <hyperlink ref="G2038" r:id="rId1773" xr:uid="{00000000-0004-0000-0000-0000E7080000}"/>
    <hyperlink ref="G2039" r:id="rId1774" xr:uid="{00000000-0004-0000-0000-0000E8080000}"/>
    <hyperlink ref="G2041" r:id="rId1775" xr:uid="{00000000-0004-0000-0000-0000E9080000}"/>
    <hyperlink ref="S2042" r:id="rId1776" xr:uid="{00000000-0004-0000-0000-0000EA080000}"/>
    <hyperlink ref="G2047" r:id="rId1777" xr:uid="{00000000-0004-0000-0000-0000EC080000}"/>
    <hyperlink ref="S2047" r:id="rId1778" xr:uid="{00000000-0004-0000-0000-0000ED080000}"/>
    <hyperlink ref="G2050" r:id="rId1779" xr:uid="{00000000-0004-0000-0000-0000EE080000}"/>
    <hyperlink ref="S2050" r:id="rId1780" xr:uid="{00000000-0004-0000-0000-0000EF080000}"/>
    <hyperlink ref="G2051" r:id="rId1781" xr:uid="{00000000-0004-0000-0000-0000F0080000}"/>
    <hyperlink ref="G2052" r:id="rId1782" xr:uid="{00000000-0004-0000-0000-0000F1080000}"/>
    <hyperlink ref="F2053" r:id="rId1783" xr:uid="{00000000-0004-0000-0000-0000F2080000}"/>
    <hyperlink ref="G2053" r:id="rId1784" xr:uid="{00000000-0004-0000-0000-0000F3080000}"/>
    <hyperlink ref="G2054" r:id="rId1785" xr:uid="{00000000-0004-0000-0000-0000F4080000}"/>
    <hyperlink ref="G2056" r:id="rId1786" xr:uid="{00000000-0004-0000-0000-0000F5080000}"/>
    <hyperlink ref="G2058" r:id="rId1787" xr:uid="{00000000-0004-0000-0000-0000F6080000}"/>
    <hyperlink ref="G2060" r:id="rId1788" xr:uid="{00000000-0004-0000-0000-0000F7080000}"/>
    <hyperlink ref="G2061" r:id="rId1789" xr:uid="{00000000-0004-0000-0000-0000F8080000}"/>
    <hyperlink ref="G2063" r:id="rId1790" xr:uid="{00000000-0004-0000-0000-0000F9080000}"/>
    <hyperlink ref="G2065" r:id="rId1791" xr:uid="{00000000-0004-0000-0000-0000FA080000}"/>
    <hyperlink ref="G2066" r:id="rId1792" xr:uid="{00000000-0004-0000-0000-0000FB080000}"/>
    <hyperlink ref="S2066" r:id="rId1793" xr:uid="{00000000-0004-0000-0000-0000FC080000}"/>
    <hyperlink ref="F2067" r:id="rId1794" xr:uid="{00000000-0004-0000-0000-0000FD080000}"/>
    <hyperlink ref="S2068" r:id="rId1795" xr:uid="{00000000-0004-0000-0000-0000FF080000}"/>
    <hyperlink ref="S2069" r:id="rId1796" xr:uid="{00000000-0004-0000-0000-000000090000}"/>
    <hyperlink ref="G2070" r:id="rId1797" xr:uid="{00000000-0004-0000-0000-000001090000}"/>
    <hyperlink ref="G2071" r:id="rId1798" xr:uid="{00000000-0004-0000-0000-000002090000}"/>
    <hyperlink ref="F2072" r:id="rId1799" xr:uid="{00000000-0004-0000-0000-000003090000}"/>
    <hyperlink ref="S2072" r:id="rId1800" xr:uid="{00000000-0004-0000-0000-000004090000}"/>
    <hyperlink ref="F2074" r:id="rId1801" xr:uid="{00000000-0004-0000-0000-000005090000}"/>
    <hyperlink ref="S2074" r:id="rId1802" xr:uid="{00000000-0004-0000-0000-000006090000}"/>
    <hyperlink ref="G2075" r:id="rId1803" xr:uid="{00000000-0004-0000-0000-000007090000}"/>
    <hyperlink ref="G2076" r:id="rId1804" xr:uid="{00000000-0004-0000-0000-000008090000}"/>
    <hyperlink ref="G2079" r:id="rId1805" xr:uid="{00000000-0004-0000-0000-000009090000}"/>
    <hyperlink ref="G2080" r:id="rId1806" xr:uid="{00000000-0004-0000-0000-00000A090000}"/>
    <hyperlink ref="S2083" r:id="rId1807" xr:uid="{00000000-0004-0000-0000-00000B090000}"/>
    <hyperlink ref="G2084" r:id="rId1808" xr:uid="{00000000-0004-0000-0000-00000C090000}"/>
    <hyperlink ref="G2085" r:id="rId1809" xr:uid="{00000000-0004-0000-0000-00000D090000}"/>
    <hyperlink ref="S2085" r:id="rId1810" xr:uid="{00000000-0004-0000-0000-00000E090000}"/>
    <hyperlink ref="G2086" r:id="rId1811" xr:uid="{00000000-0004-0000-0000-00000F090000}"/>
    <hyperlink ref="S2089" r:id="rId1812" xr:uid="{00000000-0004-0000-0000-000012090000}"/>
    <hyperlink ref="G2090" r:id="rId1813" xr:uid="{00000000-0004-0000-0000-000013090000}"/>
    <hyperlink ref="S2090" r:id="rId1814" xr:uid="{00000000-0004-0000-0000-000014090000}"/>
    <hyperlink ref="F2092" r:id="rId1815" xr:uid="{00000000-0004-0000-0000-000018090000}"/>
    <hyperlink ref="G2092" r:id="rId1816" xr:uid="{00000000-0004-0000-0000-000019090000}"/>
    <hyperlink ref="G2093" r:id="rId1817" xr:uid="{00000000-0004-0000-0000-00001A090000}"/>
    <hyperlink ref="G2094" r:id="rId1818" xr:uid="{00000000-0004-0000-0000-00001B090000}"/>
    <hyperlink ref="G2095" r:id="rId1819" xr:uid="{00000000-0004-0000-0000-00001C090000}"/>
    <hyperlink ref="S2096" r:id="rId1820" xr:uid="{00000000-0004-0000-0000-00001D090000}"/>
    <hyperlink ref="G2097" r:id="rId1821" xr:uid="{00000000-0004-0000-0000-00001E090000}"/>
    <hyperlink ref="G2103" r:id="rId1822" xr:uid="{00000000-0004-0000-0000-00001F090000}"/>
    <hyperlink ref="F2107" r:id="rId1823" xr:uid="{00000000-0004-0000-0000-000020090000}"/>
    <hyperlink ref="F2108" r:id="rId1824" xr:uid="{00000000-0004-0000-0000-000021090000}"/>
    <hyperlink ref="S2108" r:id="rId1825" xr:uid="{00000000-0004-0000-0000-000022090000}"/>
    <hyperlink ref="S2109" r:id="rId1826" xr:uid="{00000000-0004-0000-0000-000024090000}"/>
    <hyperlink ref="F2110" r:id="rId1827" xr:uid="{00000000-0004-0000-0000-000025090000}"/>
    <hyperlink ref="G2112" r:id="rId1828" xr:uid="{00000000-0004-0000-0000-000026090000}"/>
    <hyperlink ref="G2113" r:id="rId1829" xr:uid="{00000000-0004-0000-0000-000027090000}"/>
    <hyperlink ref="G2114" r:id="rId1830" xr:uid="{00000000-0004-0000-0000-000028090000}"/>
    <hyperlink ref="S2116" r:id="rId1831" xr:uid="{00000000-0004-0000-0000-000029090000}"/>
    <hyperlink ref="G2119" r:id="rId1832" xr:uid="{00000000-0004-0000-0000-00002A090000}"/>
    <hyperlink ref="G2120" r:id="rId1833" xr:uid="{00000000-0004-0000-0000-00002C090000}"/>
    <hyperlink ref="G2121" r:id="rId1834" xr:uid="{00000000-0004-0000-0000-000030090000}"/>
    <hyperlink ref="G2122" r:id="rId1835" xr:uid="{00000000-0004-0000-0000-000031090000}"/>
    <hyperlink ref="G2126" r:id="rId1836" xr:uid="{00000000-0004-0000-0000-000033090000}"/>
    <hyperlink ref="S2128" r:id="rId1837" xr:uid="{00000000-0004-0000-0000-000034090000}"/>
    <hyperlink ref="G2131" r:id="rId1838" xr:uid="{00000000-0004-0000-0000-000035090000}"/>
    <hyperlink ref="S2132" r:id="rId1839" xr:uid="{00000000-0004-0000-0000-000036090000}"/>
    <hyperlink ref="G2133" r:id="rId1840" xr:uid="{00000000-0004-0000-0000-000037090000}"/>
    <hyperlink ref="S2133" r:id="rId1841" xr:uid="{00000000-0004-0000-0000-000038090000}"/>
    <hyperlink ref="G2134" r:id="rId1842" xr:uid="{00000000-0004-0000-0000-000039090000}"/>
    <hyperlink ref="G2135" r:id="rId1843" xr:uid="{00000000-0004-0000-0000-00003A090000}"/>
    <hyperlink ref="G2136" r:id="rId1844" xr:uid="{00000000-0004-0000-0000-00003B090000}"/>
    <hyperlink ref="G2138" r:id="rId1845" xr:uid="{00000000-0004-0000-0000-00003E090000}"/>
    <hyperlink ref="G2139" r:id="rId1846" xr:uid="{00000000-0004-0000-0000-00003F090000}"/>
    <hyperlink ref="G2141" r:id="rId1847" xr:uid="{00000000-0004-0000-0000-000041090000}"/>
    <hyperlink ref="S2141" r:id="rId1848" xr:uid="{00000000-0004-0000-0000-000042090000}"/>
    <hyperlink ref="G2143" r:id="rId1849" xr:uid="{00000000-0004-0000-0000-000044090000}"/>
    <hyperlink ref="G2144" r:id="rId1850" xr:uid="{00000000-0004-0000-0000-000047090000}"/>
    <hyperlink ref="G2147" r:id="rId1851" xr:uid="{00000000-0004-0000-0000-000048090000}"/>
    <hyperlink ref="F2148" r:id="rId1852" xr:uid="{00000000-0004-0000-0000-000049090000}"/>
    <hyperlink ref="R2148" r:id="rId1853" xr:uid="{00000000-0004-0000-0000-00004A090000}"/>
    <hyperlink ref="G2149" r:id="rId1854" xr:uid="{00000000-0004-0000-0000-00004B090000}"/>
    <hyperlink ref="G2151" r:id="rId1855" xr:uid="{00000000-0004-0000-0000-00004D090000}"/>
    <hyperlink ref="G2152" r:id="rId1856" xr:uid="{00000000-0004-0000-0000-00004E090000}"/>
    <hyperlink ref="G2154" r:id="rId1857" xr:uid="{00000000-0004-0000-0000-00004F090000}"/>
    <hyperlink ref="G2155" r:id="rId1858" xr:uid="{00000000-0004-0000-0000-000050090000}"/>
    <hyperlink ref="S2156" r:id="rId1859" xr:uid="{00000000-0004-0000-0000-000051090000}"/>
    <hyperlink ref="G2161" r:id="rId1860" xr:uid="{00000000-0004-0000-0000-000057090000}"/>
    <hyperlink ref="G2162" r:id="rId1861" xr:uid="{00000000-0004-0000-0000-000058090000}"/>
    <hyperlink ref="G2165" r:id="rId1862" xr:uid="{00000000-0004-0000-0000-00005C090000}"/>
    <hyperlink ref="G2167" r:id="rId1863" xr:uid="{00000000-0004-0000-0000-00005D090000}"/>
    <hyperlink ref="S2167" r:id="rId1864" xr:uid="{00000000-0004-0000-0000-00005E090000}"/>
    <hyperlink ref="G2169" r:id="rId1865" xr:uid="{00000000-0004-0000-0000-00005F090000}"/>
    <hyperlink ref="S2170" r:id="rId1866" xr:uid="{00000000-0004-0000-0000-000060090000}"/>
    <hyperlink ref="G2171" r:id="rId1867" xr:uid="{00000000-0004-0000-0000-000061090000}"/>
    <hyperlink ref="F2172" r:id="rId1868" xr:uid="{00000000-0004-0000-0000-000062090000}"/>
    <hyperlink ref="S2173" r:id="rId1869" xr:uid="{00000000-0004-0000-0000-000065090000}"/>
    <hyperlink ref="F2174" r:id="rId1870" xr:uid="{00000000-0004-0000-0000-000066090000}"/>
    <hyperlink ref="F2175" r:id="rId1871" xr:uid="{00000000-0004-0000-0000-000067090000}"/>
    <hyperlink ref="G2175" r:id="rId1872" xr:uid="{00000000-0004-0000-0000-000068090000}"/>
    <hyperlink ref="F2176" r:id="rId1873" xr:uid="{00000000-0004-0000-0000-000069090000}"/>
    <hyperlink ref="G2176" r:id="rId1874" xr:uid="{00000000-0004-0000-0000-00006A090000}"/>
    <hyperlink ref="G2177" r:id="rId1875" xr:uid="{00000000-0004-0000-0000-00006B090000}"/>
    <hyperlink ref="G2178" r:id="rId1876" xr:uid="{00000000-0004-0000-0000-00006C090000}"/>
    <hyperlink ref="S2180" r:id="rId1877" xr:uid="{00000000-0004-0000-0000-00006D090000}"/>
    <hyperlink ref="G2181" r:id="rId1878" xr:uid="{00000000-0004-0000-0000-00006E090000}"/>
    <hyperlink ref="G2182" r:id="rId1879" xr:uid="{00000000-0004-0000-0000-00006F090000}"/>
    <hyperlink ref="G2183" r:id="rId1880" xr:uid="{00000000-0004-0000-0000-000070090000}"/>
    <hyperlink ref="G2184" r:id="rId1881" xr:uid="{00000000-0004-0000-0000-000071090000}"/>
    <hyperlink ref="G2186" r:id="rId1882" xr:uid="{00000000-0004-0000-0000-000072090000}"/>
    <hyperlink ref="G2187" r:id="rId1883" xr:uid="{00000000-0004-0000-0000-000073090000}"/>
    <hyperlink ref="G2188" r:id="rId1884" xr:uid="{00000000-0004-0000-0000-000074090000}"/>
    <hyperlink ref="G2190" r:id="rId1885" xr:uid="{00000000-0004-0000-0000-000076090000}"/>
    <hyperlink ref="G2191" r:id="rId1886" xr:uid="{00000000-0004-0000-0000-000077090000}"/>
    <hyperlink ref="S2191" r:id="rId1887" xr:uid="{00000000-0004-0000-0000-000078090000}"/>
    <hyperlink ref="G2192" r:id="rId1888" xr:uid="{00000000-0004-0000-0000-000079090000}"/>
    <hyperlink ref="G2195" r:id="rId1889" xr:uid="{00000000-0004-0000-0000-00007B090000}"/>
    <hyperlink ref="G2196" r:id="rId1890" xr:uid="{00000000-0004-0000-0000-00007C090000}"/>
    <hyperlink ref="G2197" r:id="rId1891" xr:uid="{00000000-0004-0000-0000-00007D090000}"/>
    <hyperlink ref="G2199" r:id="rId1892" xr:uid="{00000000-0004-0000-0000-00007E090000}"/>
    <hyperlink ref="G2200" r:id="rId1893" xr:uid="{00000000-0004-0000-0000-00007F090000}"/>
    <hyperlink ref="G2201" r:id="rId1894" xr:uid="{00000000-0004-0000-0000-000080090000}"/>
    <hyperlink ref="G2202" r:id="rId1895" xr:uid="{00000000-0004-0000-0000-000081090000}"/>
    <hyperlink ref="G2203" r:id="rId1896" xr:uid="{00000000-0004-0000-0000-000082090000}"/>
    <hyperlink ref="F2206" r:id="rId1897" xr:uid="{00000000-0004-0000-0000-000083090000}"/>
    <hyperlink ref="G2206" r:id="rId1898" xr:uid="{00000000-0004-0000-0000-000084090000}"/>
    <hyperlink ref="S2206" r:id="rId1899" xr:uid="{00000000-0004-0000-0000-000085090000}"/>
    <hyperlink ref="G2209" r:id="rId1900" xr:uid="{00000000-0004-0000-0000-000088090000}"/>
    <hyperlink ref="S2210" r:id="rId1901" xr:uid="{00000000-0004-0000-0000-000089090000}"/>
    <hyperlink ref="S2211" r:id="rId1902" xr:uid="{00000000-0004-0000-0000-00008A090000}"/>
    <hyperlink ref="G2212" r:id="rId1903" xr:uid="{00000000-0004-0000-0000-00008C090000}"/>
    <hyperlink ref="G2213" r:id="rId1904" xr:uid="{00000000-0004-0000-0000-00008D090000}"/>
    <hyperlink ref="F2214" r:id="rId1905" xr:uid="{00000000-0004-0000-0000-00008E090000}"/>
    <hyperlink ref="G2218" r:id="rId1906" xr:uid="{00000000-0004-0000-0000-000090090000}"/>
    <hyperlink ref="G2219" r:id="rId1907" xr:uid="{00000000-0004-0000-0000-000091090000}"/>
    <hyperlink ref="G2221" r:id="rId1908" xr:uid="{00000000-0004-0000-0000-000093090000}"/>
    <hyperlink ref="G2223" r:id="rId1909" xr:uid="{00000000-0004-0000-0000-000094090000}"/>
    <hyperlink ref="G2224" r:id="rId1910" xr:uid="{00000000-0004-0000-0000-000095090000}"/>
    <hyperlink ref="G2225" r:id="rId1911" xr:uid="{00000000-0004-0000-0000-000096090000}"/>
    <hyperlink ref="G2226" r:id="rId1912" xr:uid="{00000000-0004-0000-0000-00009A090000}"/>
    <hyperlink ref="S2226" r:id="rId1913" xr:uid="{00000000-0004-0000-0000-00009B090000}"/>
    <hyperlink ref="G2227" r:id="rId1914" xr:uid="{00000000-0004-0000-0000-00009C090000}"/>
    <hyperlink ref="G2228" r:id="rId1915" xr:uid="{00000000-0004-0000-0000-00009D090000}"/>
    <hyperlink ref="F2229" r:id="rId1916" xr:uid="{00000000-0004-0000-0000-00009E090000}"/>
    <hyperlink ref="G2229" r:id="rId1917" xr:uid="{00000000-0004-0000-0000-00009F090000}"/>
    <hyperlink ref="S2229" r:id="rId1918" xr:uid="{00000000-0004-0000-0000-0000A0090000}"/>
    <hyperlink ref="G2231" r:id="rId1919" xr:uid="{00000000-0004-0000-0000-0000A3090000}"/>
    <hyperlink ref="F2232" r:id="rId1920" xr:uid="{00000000-0004-0000-0000-0000A4090000}"/>
    <hyperlink ref="G2233" r:id="rId1921" xr:uid="{00000000-0004-0000-0000-0000A5090000}"/>
    <hyperlink ref="G2234" r:id="rId1922" xr:uid="{00000000-0004-0000-0000-0000A6090000}"/>
    <hyperlink ref="G2235" r:id="rId1923" xr:uid="{00000000-0004-0000-0000-0000A7090000}"/>
    <hyperlink ref="S2235" r:id="rId1924" xr:uid="{00000000-0004-0000-0000-0000A8090000}"/>
    <hyperlink ref="G2237" r:id="rId1925" xr:uid="{00000000-0004-0000-0000-0000A9090000}"/>
    <hyperlink ref="G2238" r:id="rId1926" xr:uid="{00000000-0004-0000-0000-0000AA090000}"/>
    <hyperlink ref="G2239" r:id="rId1927" xr:uid="{00000000-0004-0000-0000-0000AC090000}"/>
    <hyperlink ref="S2239" r:id="rId1928" xr:uid="{00000000-0004-0000-0000-0000AD090000}"/>
    <hyperlink ref="G2240" r:id="rId1929" xr:uid="{00000000-0004-0000-0000-0000AE090000}"/>
    <hyperlink ref="F2241" r:id="rId1930" xr:uid="{00000000-0004-0000-0000-0000AF090000}"/>
    <hyperlink ref="S2241" r:id="rId1931" xr:uid="{00000000-0004-0000-0000-0000B0090000}"/>
    <hyperlink ref="G2242" r:id="rId1932" xr:uid="{00000000-0004-0000-0000-0000B1090000}"/>
    <hyperlink ref="F2244" r:id="rId1933" xr:uid="{00000000-0004-0000-0000-0000B2090000}"/>
    <hyperlink ref="F2248" r:id="rId1934" xr:uid="{00000000-0004-0000-0000-0000B4090000}"/>
    <hyperlink ref="S2248" r:id="rId1935" xr:uid="{00000000-0004-0000-0000-0000B5090000}"/>
    <hyperlink ref="G2250" r:id="rId1936" xr:uid="{00000000-0004-0000-0000-0000B6090000}"/>
    <hyperlink ref="S2251" r:id="rId1937" xr:uid="{00000000-0004-0000-0000-0000B8090000}"/>
    <hyperlink ref="G2252" r:id="rId1938" xr:uid="{00000000-0004-0000-0000-0000B9090000}"/>
    <hyperlink ref="G2254" r:id="rId1939" xr:uid="{00000000-0004-0000-0000-0000BA090000}"/>
    <hyperlink ref="G2255" r:id="rId1940" xr:uid="{00000000-0004-0000-0000-0000BB090000}"/>
    <hyperlink ref="G2256" r:id="rId1941" xr:uid="{00000000-0004-0000-0000-0000BC090000}"/>
    <hyperlink ref="G2260" r:id="rId1942" xr:uid="{00000000-0004-0000-0000-0000BD090000}"/>
    <hyperlink ref="F2261" r:id="rId1943" xr:uid="{00000000-0004-0000-0000-0000BE090000}"/>
    <hyperlink ref="G2261" r:id="rId1944" xr:uid="{00000000-0004-0000-0000-0000BF090000}"/>
    <hyperlink ref="G2265" r:id="rId1945" xr:uid="{00000000-0004-0000-0000-0000C0090000}"/>
    <hyperlink ref="G2266" r:id="rId1946" xr:uid="{00000000-0004-0000-0000-0000C1090000}"/>
    <hyperlink ref="G2267" r:id="rId1947" xr:uid="{00000000-0004-0000-0000-0000C2090000}"/>
    <hyperlink ref="G2269" r:id="rId1948" xr:uid="{00000000-0004-0000-0000-0000C3090000}"/>
    <hyperlink ref="F2270" r:id="rId1949" xr:uid="{00000000-0004-0000-0000-0000C4090000}"/>
    <hyperlink ref="G2270" r:id="rId1950" xr:uid="{00000000-0004-0000-0000-0000C5090000}"/>
    <hyperlink ref="S2270" r:id="rId1951" xr:uid="{00000000-0004-0000-0000-0000C6090000}"/>
    <hyperlink ref="G2271" r:id="rId1952" xr:uid="{00000000-0004-0000-0000-0000C8090000}"/>
    <hyperlink ref="G2272" r:id="rId1953" xr:uid="{00000000-0004-0000-0000-0000C9090000}"/>
    <hyperlink ref="G2273" r:id="rId1954" xr:uid="{00000000-0004-0000-0000-0000CA090000}"/>
    <hyperlink ref="G2274" r:id="rId1955" xr:uid="{00000000-0004-0000-0000-0000CB090000}"/>
    <hyperlink ref="F2275" r:id="rId1956" xr:uid="{00000000-0004-0000-0000-0000CC090000}"/>
    <hyperlink ref="S2275" r:id="rId1957" xr:uid="{00000000-0004-0000-0000-0000CD090000}"/>
    <hyperlink ref="G2277" r:id="rId1958" xr:uid="{00000000-0004-0000-0000-0000CE090000}"/>
    <hyperlink ref="G2278" r:id="rId1959" xr:uid="{00000000-0004-0000-0000-0000CF090000}"/>
    <hyperlink ref="G2279" r:id="rId1960" xr:uid="{00000000-0004-0000-0000-0000D0090000}"/>
    <hyperlink ref="F2281" r:id="rId1961" xr:uid="{00000000-0004-0000-0000-0000D2090000}"/>
    <hyperlink ref="G2281" r:id="rId1962" xr:uid="{00000000-0004-0000-0000-0000D3090000}"/>
    <hyperlink ref="S2281" r:id="rId1963" xr:uid="{00000000-0004-0000-0000-0000D4090000}"/>
    <hyperlink ref="F2283" r:id="rId1964" xr:uid="{00000000-0004-0000-0000-0000D8090000}"/>
    <hyperlink ref="G2283" r:id="rId1965" xr:uid="{00000000-0004-0000-0000-0000D9090000}"/>
    <hyperlink ref="G2285" r:id="rId1966" xr:uid="{00000000-0004-0000-0000-0000DA090000}"/>
    <hyperlink ref="F2286" r:id="rId1967" xr:uid="{00000000-0004-0000-0000-0000DB090000}"/>
    <hyperlink ref="G2286" r:id="rId1968" xr:uid="{00000000-0004-0000-0000-0000DC090000}"/>
    <hyperlink ref="S2286" r:id="rId1969" xr:uid="{00000000-0004-0000-0000-0000DD090000}"/>
    <hyperlink ref="S2289" r:id="rId1970" xr:uid="{00000000-0004-0000-0000-0000DE090000}"/>
    <hyperlink ref="G2290" r:id="rId1971" xr:uid="{00000000-0004-0000-0000-0000DF090000}"/>
    <hyperlink ref="G2295" r:id="rId1972" xr:uid="{00000000-0004-0000-0000-0000E2090000}"/>
    <hyperlink ref="G2296" r:id="rId1973" xr:uid="{00000000-0004-0000-0000-0000E4090000}"/>
    <hyperlink ref="G2297" r:id="rId1974" xr:uid="{00000000-0004-0000-0000-0000E5090000}"/>
    <hyperlink ref="G2299" r:id="rId1975" xr:uid="{00000000-0004-0000-0000-0000E6090000}"/>
    <hyperlink ref="G2301" r:id="rId1976" xr:uid="{00000000-0004-0000-0000-0000E7090000}"/>
    <hyperlink ref="F2303" r:id="rId1977" xr:uid="{00000000-0004-0000-0000-0000E8090000}"/>
    <hyperlink ref="G2303" r:id="rId1978" xr:uid="{00000000-0004-0000-0000-0000E9090000}"/>
    <hyperlink ref="F2304" r:id="rId1979" xr:uid="{00000000-0004-0000-0000-0000EA090000}"/>
    <hyperlink ref="G2306" r:id="rId1980" xr:uid="{00000000-0004-0000-0000-0000EB090000}"/>
    <hyperlink ref="S2306" r:id="rId1981" xr:uid="{00000000-0004-0000-0000-0000EC090000}"/>
    <hyperlink ref="G2307" r:id="rId1982" xr:uid="{00000000-0004-0000-0000-0000ED090000}"/>
    <hyperlink ref="G2308" r:id="rId1983" xr:uid="{00000000-0004-0000-0000-0000EE090000}"/>
    <hyperlink ref="G2309" r:id="rId1984" xr:uid="{00000000-0004-0000-0000-0000EF090000}"/>
    <hyperlink ref="G2312" r:id="rId1985" xr:uid="{00000000-0004-0000-0000-0000F0090000}"/>
    <hyperlink ref="S2312" r:id="rId1986" xr:uid="{00000000-0004-0000-0000-0000F1090000}"/>
    <hyperlink ref="G2313" r:id="rId1987" xr:uid="{00000000-0004-0000-0000-0000F2090000}"/>
    <hyperlink ref="S2313" r:id="rId1988" xr:uid="{00000000-0004-0000-0000-0000F3090000}"/>
    <hyperlink ref="G2314" r:id="rId1989" xr:uid="{00000000-0004-0000-0000-0000F4090000}"/>
    <hyperlink ref="S2314" r:id="rId1990" xr:uid="{00000000-0004-0000-0000-0000F5090000}"/>
    <hyperlink ref="G2316" r:id="rId1991" xr:uid="{00000000-0004-0000-0000-0000F6090000}"/>
    <hyperlink ref="G2317" r:id="rId1992" xr:uid="{00000000-0004-0000-0000-0000F7090000}"/>
    <hyperlink ref="G2319" r:id="rId1993" xr:uid="{00000000-0004-0000-0000-0000F8090000}"/>
    <hyperlink ref="G2320" r:id="rId1994" xr:uid="{00000000-0004-0000-0000-0000FD090000}"/>
    <hyperlink ref="G2321" r:id="rId1995" xr:uid="{00000000-0004-0000-0000-0000FE090000}"/>
    <hyperlink ref="G2322" r:id="rId1996" xr:uid="{00000000-0004-0000-0000-0000FF090000}"/>
    <hyperlink ref="G2323" r:id="rId1997" xr:uid="{00000000-0004-0000-0000-0000000A0000}"/>
    <hyperlink ref="G2325" r:id="rId1998" xr:uid="{00000000-0004-0000-0000-0000010A0000}"/>
    <hyperlink ref="S2325" r:id="rId1999" xr:uid="{00000000-0004-0000-0000-0000020A0000}"/>
    <hyperlink ref="G2326" r:id="rId2000" xr:uid="{00000000-0004-0000-0000-0000030A0000}"/>
    <hyperlink ref="S2326" r:id="rId2001" xr:uid="{00000000-0004-0000-0000-0000040A0000}"/>
    <hyperlink ref="G2329" r:id="rId2002" xr:uid="{00000000-0004-0000-0000-0000050A0000}"/>
    <hyperlink ref="G2330" r:id="rId2003" xr:uid="{00000000-0004-0000-0000-0000060A0000}"/>
    <hyperlink ref="G2332" r:id="rId2004" xr:uid="{00000000-0004-0000-0000-0000090A0000}"/>
    <hyperlink ref="G2333" r:id="rId2005" xr:uid="{00000000-0004-0000-0000-00000A0A0000}"/>
    <hyperlink ref="G2336" r:id="rId2006" xr:uid="{00000000-0004-0000-0000-00000B0A0000}"/>
    <hyperlink ref="G2337" r:id="rId2007" xr:uid="{00000000-0004-0000-0000-00000C0A0000}"/>
    <hyperlink ref="G2338" r:id="rId2008" xr:uid="{00000000-0004-0000-0000-00000D0A0000}"/>
    <hyperlink ref="G2344" r:id="rId2009" xr:uid="{00000000-0004-0000-0000-0000100A0000}"/>
    <hyperlink ref="S2344" r:id="rId2010" xr:uid="{00000000-0004-0000-0000-0000110A0000}"/>
    <hyperlink ref="G2345" r:id="rId2011" xr:uid="{00000000-0004-0000-0000-0000120A0000}"/>
    <hyperlink ref="S2345" r:id="rId2012" xr:uid="{00000000-0004-0000-0000-0000130A0000}"/>
    <hyperlink ref="G2348" r:id="rId2013" xr:uid="{00000000-0004-0000-0000-0000140A0000}"/>
    <hyperlink ref="G2350" r:id="rId2014" xr:uid="{00000000-0004-0000-0000-0000150A0000}"/>
    <hyperlink ref="F2353" r:id="rId2015" xr:uid="{00000000-0004-0000-0000-0000160A0000}"/>
    <hyperlink ref="G2354" r:id="rId2016" xr:uid="{00000000-0004-0000-0000-0000170A0000}"/>
    <hyperlink ref="S2354" r:id="rId2017" xr:uid="{00000000-0004-0000-0000-0000180A0000}"/>
    <hyperlink ref="F2355" r:id="rId2018" xr:uid="{00000000-0004-0000-0000-0000190A0000}"/>
    <hyperlink ref="S2355" r:id="rId2019" xr:uid="{00000000-0004-0000-0000-00001A0A0000}"/>
    <hyperlink ref="G2356" r:id="rId2020" xr:uid="{00000000-0004-0000-0000-00001D0A0000}"/>
    <hyperlink ref="G2358" r:id="rId2021" xr:uid="{00000000-0004-0000-0000-00001E0A0000}"/>
    <hyperlink ref="G2359" r:id="rId2022" xr:uid="{00000000-0004-0000-0000-00001F0A0000}"/>
    <hyperlink ref="S2359" r:id="rId2023" xr:uid="{00000000-0004-0000-0000-0000200A0000}"/>
    <hyperlink ref="F2360" r:id="rId2024" xr:uid="{00000000-0004-0000-0000-0000210A0000}"/>
    <hyperlink ref="G2361" r:id="rId2025" xr:uid="{00000000-0004-0000-0000-0000240A0000}"/>
    <hyperlink ref="S2361" r:id="rId2026" xr:uid="{00000000-0004-0000-0000-0000250A0000}"/>
    <hyperlink ref="F2362" r:id="rId2027" xr:uid="{00000000-0004-0000-0000-0000260A0000}"/>
    <hyperlink ref="G2362" r:id="rId2028" xr:uid="{00000000-0004-0000-0000-0000270A0000}"/>
    <hyperlink ref="S2362" r:id="rId2029" xr:uid="{00000000-0004-0000-0000-0000280A0000}"/>
    <hyperlink ref="G2365" r:id="rId2030" xr:uid="{00000000-0004-0000-0000-0000290A0000}"/>
    <hyperlink ref="G2367" r:id="rId2031" xr:uid="{00000000-0004-0000-0000-00002A0A0000}"/>
    <hyperlink ref="G2368" r:id="rId2032" xr:uid="{00000000-0004-0000-0000-00002B0A0000}"/>
    <hyperlink ref="S2368" r:id="rId2033" xr:uid="{00000000-0004-0000-0000-00002C0A0000}"/>
    <hyperlink ref="G2369" r:id="rId2034" xr:uid="{00000000-0004-0000-0000-00002E0A0000}"/>
    <hyperlink ref="G2370" r:id="rId2035" xr:uid="{00000000-0004-0000-0000-00002F0A0000}"/>
    <hyperlink ref="F2372" r:id="rId2036" xr:uid="{00000000-0004-0000-0000-0000300A0000}"/>
    <hyperlink ref="G2372" r:id="rId2037" xr:uid="{00000000-0004-0000-0000-0000310A0000}"/>
    <hyperlink ref="G2373" r:id="rId2038" xr:uid="{00000000-0004-0000-0000-0000320A0000}"/>
    <hyperlink ref="G2377" r:id="rId2039" xr:uid="{00000000-0004-0000-0000-0000360A0000}"/>
    <hyperlink ref="G2378" r:id="rId2040" xr:uid="{00000000-0004-0000-0000-0000370A0000}"/>
    <hyperlink ref="F2379" r:id="rId2041" xr:uid="{00000000-0004-0000-0000-0000380A0000}"/>
    <hyperlink ref="G2379" r:id="rId2042" xr:uid="{00000000-0004-0000-0000-0000390A0000}"/>
    <hyperlink ref="S2380" r:id="rId2043" xr:uid="{00000000-0004-0000-0000-00003A0A0000}"/>
    <hyperlink ref="G2385" r:id="rId2044" xr:uid="{00000000-0004-0000-0000-00003C0A0000}"/>
    <hyperlink ref="G2386" r:id="rId2045" xr:uid="{00000000-0004-0000-0000-00003D0A0000}"/>
    <hyperlink ref="G2387" r:id="rId2046" xr:uid="{00000000-0004-0000-0000-00003E0A0000}"/>
    <hyperlink ref="G2389" r:id="rId2047" xr:uid="{00000000-0004-0000-0000-00003F0A0000}"/>
    <hyperlink ref="S2389" r:id="rId2048" xr:uid="{00000000-0004-0000-0000-0000400A0000}"/>
    <hyperlink ref="G2390" r:id="rId2049" xr:uid="{00000000-0004-0000-0000-0000420A0000}"/>
    <hyperlink ref="S2390" r:id="rId2050" xr:uid="{00000000-0004-0000-0000-0000430A0000}"/>
    <hyperlink ref="G2391" r:id="rId2051" xr:uid="{00000000-0004-0000-0000-0000450A0000}"/>
    <hyperlink ref="G2392" r:id="rId2052" xr:uid="{00000000-0004-0000-0000-0000460A0000}"/>
    <hyperlink ref="G2394" r:id="rId2053" xr:uid="{00000000-0004-0000-0000-0000470A0000}"/>
    <hyperlink ref="G2396" r:id="rId2054" xr:uid="{00000000-0004-0000-0000-0000480A0000}"/>
    <hyperlink ref="G2397" r:id="rId2055" xr:uid="{00000000-0004-0000-0000-0000490A0000}"/>
    <hyperlink ref="G2399" r:id="rId2056" xr:uid="{00000000-0004-0000-0000-00004B0A0000}"/>
    <hyperlink ref="G2400" r:id="rId2057" xr:uid="{00000000-0004-0000-0000-00004C0A0000}"/>
    <hyperlink ref="G2402" r:id="rId2058" xr:uid="{00000000-0004-0000-0000-00004D0A0000}"/>
    <hyperlink ref="G2404" r:id="rId2059" xr:uid="{00000000-0004-0000-0000-00004E0A0000}"/>
    <hyperlink ref="F2405" r:id="rId2060" xr:uid="{00000000-0004-0000-0000-00004F0A0000}"/>
    <hyperlink ref="S2405" r:id="rId2061" xr:uid="{00000000-0004-0000-0000-0000500A0000}"/>
    <hyperlink ref="G2406" r:id="rId2062" xr:uid="{00000000-0004-0000-0000-0000510A0000}"/>
    <hyperlink ref="F2407" r:id="rId2063" xr:uid="{00000000-0004-0000-0000-0000520A0000}"/>
    <hyperlink ref="G2408" r:id="rId2064" xr:uid="{00000000-0004-0000-0000-0000530A0000}"/>
    <hyperlink ref="F2409" r:id="rId2065" xr:uid="{00000000-0004-0000-0000-0000540A0000}"/>
    <hyperlink ref="G2409" r:id="rId2066" xr:uid="{00000000-0004-0000-0000-0000550A0000}"/>
    <hyperlink ref="G2410" r:id="rId2067" xr:uid="{00000000-0004-0000-0000-0000560A0000}"/>
    <hyperlink ref="G2412" r:id="rId2068" xr:uid="{00000000-0004-0000-0000-0000590A0000}"/>
    <hyperlink ref="G2413" r:id="rId2069" xr:uid="{00000000-0004-0000-0000-00005A0A0000}"/>
    <hyperlink ref="G2417" r:id="rId2070" xr:uid="{00000000-0004-0000-0000-00005F0A0000}"/>
    <hyperlink ref="G2419" r:id="rId2071" xr:uid="{00000000-0004-0000-0000-0000600A0000}"/>
    <hyperlink ref="S2419" r:id="rId2072" xr:uid="{00000000-0004-0000-0000-0000610A0000}"/>
    <hyperlink ref="G2420" r:id="rId2073" xr:uid="{00000000-0004-0000-0000-0000620A0000}"/>
    <hyperlink ref="S2423" r:id="rId2074" xr:uid="{00000000-0004-0000-0000-0000630A0000}"/>
    <hyperlink ref="G2424" r:id="rId2075" xr:uid="{00000000-0004-0000-0000-0000650A0000}"/>
    <hyperlink ref="G2425" r:id="rId2076" xr:uid="{00000000-0004-0000-0000-0000660A0000}"/>
    <hyperlink ref="F2426" r:id="rId2077" xr:uid="{00000000-0004-0000-0000-0000670A0000}"/>
    <hyperlink ref="F2428" r:id="rId2078" xr:uid="{00000000-0004-0000-0000-0000680A0000}"/>
    <hyperlink ref="F2429" r:id="rId2079" xr:uid="{00000000-0004-0000-0000-0000690A0000}"/>
    <hyperlink ref="S2429" r:id="rId2080" xr:uid="{00000000-0004-0000-0000-00006A0A0000}"/>
    <hyperlink ref="G2430" r:id="rId2081" xr:uid="{00000000-0004-0000-0000-00006B0A0000}"/>
    <hyperlink ref="S2431" r:id="rId2082" xr:uid="{00000000-0004-0000-0000-00006C0A0000}"/>
    <hyperlink ref="G2433" r:id="rId2083" xr:uid="{00000000-0004-0000-0000-00006D0A0000}"/>
    <hyperlink ref="S2433" r:id="rId2084" xr:uid="{00000000-0004-0000-0000-00006E0A0000}"/>
    <hyperlink ref="G2434" r:id="rId2085" xr:uid="{00000000-0004-0000-0000-00006F0A0000}"/>
    <hyperlink ref="G2435" r:id="rId2086" xr:uid="{00000000-0004-0000-0000-0000700A0000}"/>
    <hyperlink ref="G2436" r:id="rId2087" xr:uid="{00000000-0004-0000-0000-0000710A0000}"/>
    <hyperlink ref="S2440" r:id="rId2088" xr:uid="{00000000-0004-0000-0000-0000730A0000}"/>
    <hyperlink ref="F2441" r:id="rId2089" location=".XZ2-t14O65c.twitter" xr:uid="{00000000-0004-0000-0000-0000740A0000}"/>
    <hyperlink ref="S2442" r:id="rId2090" xr:uid="{00000000-0004-0000-0000-0000750A0000}"/>
    <hyperlink ref="G2443" r:id="rId2091" xr:uid="{00000000-0004-0000-0000-0000760A0000}"/>
    <hyperlink ref="F2444" r:id="rId2092" xr:uid="{00000000-0004-0000-0000-0000770A0000}"/>
    <hyperlink ref="G2444" r:id="rId2093" xr:uid="{00000000-0004-0000-0000-0000780A0000}"/>
    <hyperlink ref="G2445" r:id="rId2094" xr:uid="{00000000-0004-0000-0000-0000790A0000}"/>
    <hyperlink ref="S2448" r:id="rId2095" xr:uid="{00000000-0004-0000-0000-00007B0A0000}"/>
    <hyperlink ref="F2449" r:id="rId2096" xr:uid="{00000000-0004-0000-0000-00007C0A0000}"/>
    <hyperlink ref="S2449" r:id="rId2097" xr:uid="{00000000-0004-0000-0000-00007D0A0000}"/>
    <hyperlink ref="G2450" r:id="rId2098" xr:uid="{00000000-0004-0000-0000-00007E0A0000}"/>
    <hyperlink ref="S2450" r:id="rId2099" xr:uid="{00000000-0004-0000-0000-00007F0A0000}"/>
    <hyperlink ref="G2451" r:id="rId2100" xr:uid="{00000000-0004-0000-0000-0000800A0000}"/>
    <hyperlink ref="S2451" r:id="rId2101" xr:uid="{00000000-0004-0000-0000-0000810A0000}"/>
    <hyperlink ref="G2452" r:id="rId2102" xr:uid="{00000000-0004-0000-0000-0000820A0000}"/>
    <hyperlink ref="G2453" r:id="rId2103" xr:uid="{00000000-0004-0000-0000-0000830A0000}"/>
    <hyperlink ref="F2454" r:id="rId2104" xr:uid="{00000000-0004-0000-0000-0000840A0000}"/>
    <hyperlink ref="G2454" r:id="rId2105" xr:uid="{00000000-0004-0000-0000-0000850A0000}"/>
    <hyperlink ref="F2455" r:id="rId2106" xr:uid="{00000000-0004-0000-0000-0000890A0000}"/>
    <hyperlink ref="G2455" r:id="rId2107" xr:uid="{00000000-0004-0000-0000-00008A0A0000}"/>
    <hyperlink ref="S2456" r:id="rId2108" xr:uid="{00000000-0004-0000-0000-00008C0A0000}"/>
    <hyperlink ref="G2459" r:id="rId2109" xr:uid="{00000000-0004-0000-0000-00008D0A0000}"/>
    <hyperlink ref="G2460" r:id="rId2110" xr:uid="{00000000-0004-0000-0000-00008E0A0000}"/>
    <hyperlink ref="S2460" r:id="rId2111" xr:uid="{00000000-0004-0000-0000-00008F0A0000}"/>
    <hyperlink ref="G2461" r:id="rId2112" xr:uid="{00000000-0004-0000-0000-0000900A0000}"/>
    <hyperlink ref="G2462" r:id="rId2113" xr:uid="{00000000-0004-0000-0000-0000910A0000}"/>
    <hyperlink ref="G2463" r:id="rId2114" xr:uid="{00000000-0004-0000-0000-0000920A0000}"/>
    <hyperlink ref="S2463" r:id="rId2115" xr:uid="{00000000-0004-0000-0000-0000930A0000}"/>
    <hyperlink ref="F2464" r:id="rId2116" xr:uid="{00000000-0004-0000-0000-0000940A0000}"/>
    <hyperlink ref="G2464" r:id="rId2117" xr:uid="{00000000-0004-0000-0000-0000950A0000}"/>
    <hyperlink ref="S2464" r:id="rId2118" xr:uid="{00000000-0004-0000-0000-0000960A0000}"/>
    <hyperlink ref="G2468" r:id="rId2119" xr:uid="{00000000-0004-0000-0000-0000970A0000}"/>
    <hyperlink ref="G2469" r:id="rId2120" xr:uid="{00000000-0004-0000-0000-0000980A0000}"/>
    <hyperlink ref="F2470" r:id="rId2121" xr:uid="{00000000-0004-0000-0000-0000990A0000}"/>
    <hyperlink ref="G2470" r:id="rId2122" xr:uid="{00000000-0004-0000-0000-00009A0A0000}"/>
    <hyperlink ref="G2471" r:id="rId2123" xr:uid="{00000000-0004-0000-0000-00009B0A0000}"/>
    <hyperlink ref="F2472" r:id="rId2124" xr:uid="{00000000-0004-0000-0000-00009D0A0000}"/>
    <hyperlink ref="G2472" r:id="rId2125" xr:uid="{00000000-0004-0000-0000-00009E0A0000}"/>
    <hyperlink ref="G2473" r:id="rId2126" xr:uid="{00000000-0004-0000-0000-00009F0A0000}"/>
    <hyperlink ref="G2474" r:id="rId2127" xr:uid="{00000000-0004-0000-0000-0000A00A0000}"/>
    <hyperlink ref="G2475" r:id="rId2128" xr:uid="{00000000-0004-0000-0000-0000A10A0000}"/>
    <hyperlink ref="G2476" r:id="rId2129" xr:uid="{00000000-0004-0000-0000-0000A20A0000}"/>
    <hyperlink ref="S2477" r:id="rId2130" xr:uid="{00000000-0004-0000-0000-0000A50A0000}"/>
    <hyperlink ref="G2478" r:id="rId2131" xr:uid="{00000000-0004-0000-0000-0000A60A0000}"/>
    <hyperlink ref="G2480" r:id="rId2132" xr:uid="{00000000-0004-0000-0000-0000A90A0000}"/>
    <hyperlink ref="G2481" r:id="rId2133" xr:uid="{00000000-0004-0000-0000-0000AA0A0000}"/>
    <hyperlink ref="F2482" r:id="rId2134" xr:uid="{00000000-0004-0000-0000-0000AB0A0000}"/>
    <hyperlink ref="G2483" r:id="rId2135" xr:uid="{00000000-0004-0000-0000-0000AE0A0000}"/>
    <hyperlink ref="G2485" r:id="rId2136" xr:uid="{00000000-0004-0000-0000-0000AF0A0000}"/>
    <hyperlink ref="G2488" r:id="rId2137" xr:uid="{00000000-0004-0000-0000-0000B00A0000}"/>
    <hyperlink ref="G2489" r:id="rId2138" xr:uid="{00000000-0004-0000-0000-0000B10A0000}"/>
    <hyperlink ref="S2489" r:id="rId2139" xr:uid="{00000000-0004-0000-0000-0000B20A0000}"/>
    <hyperlink ref="G2490" r:id="rId2140" xr:uid="{00000000-0004-0000-0000-0000B30A0000}"/>
    <hyperlink ref="S2490" r:id="rId2141" xr:uid="{00000000-0004-0000-0000-0000B40A0000}"/>
    <hyperlink ref="G2491" r:id="rId2142" xr:uid="{00000000-0004-0000-0000-0000B60A0000}"/>
    <hyperlink ref="G2492" r:id="rId2143" xr:uid="{00000000-0004-0000-0000-0000B70A0000}"/>
    <hyperlink ref="G2494" r:id="rId2144" xr:uid="{00000000-0004-0000-0000-0000B80A0000}"/>
    <hyperlink ref="S2496" r:id="rId2145" xr:uid="{00000000-0004-0000-0000-0000B90A0000}"/>
    <hyperlink ref="G2498" r:id="rId2146" xr:uid="{00000000-0004-0000-0000-0000BA0A0000}"/>
    <hyperlink ref="G2499" r:id="rId2147" xr:uid="{00000000-0004-0000-0000-0000BB0A0000}"/>
    <hyperlink ref="S2499" r:id="rId2148" xr:uid="{00000000-0004-0000-0000-0000BC0A0000}"/>
    <hyperlink ref="G2500" r:id="rId2149" xr:uid="{00000000-0004-0000-0000-0000BD0A0000}"/>
    <hyperlink ref="S2501" r:id="rId2150" xr:uid="{00000000-0004-0000-0000-0000BE0A0000}"/>
    <hyperlink ref="G2502" r:id="rId2151" xr:uid="{00000000-0004-0000-0000-0000BF0A0000}"/>
    <hyperlink ref="G2504" r:id="rId2152" xr:uid="{00000000-0004-0000-0000-0000C00A0000}"/>
    <hyperlink ref="G2507" r:id="rId2153" xr:uid="{00000000-0004-0000-0000-0000C10A0000}"/>
    <hyperlink ref="G2510" r:id="rId2154" xr:uid="{00000000-0004-0000-0000-0000C30A0000}"/>
    <hyperlink ref="F2512" r:id="rId2155" xr:uid="{00000000-0004-0000-0000-0000C40A0000}"/>
    <hyperlink ref="G2512" r:id="rId2156" xr:uid="{00000000-0004-0000-0000-0000C50A0000}"/>
    <hyperlink ref="G2515" r:id="rId2157" xr:uid="{00000000-0004-0000-0000-0000C70A0000}"/>
    <hyperlink ref="G2516" r:id="rId2158" xr:uid="{00000000-0004-0000-0000-0000C80A0000}"/>
    <hyperlink ref="F2519" r:id="rId2159" xr:uid="{00000000-0004-0000-0000-0000C90A0000}"/>
    <hyperlink ref="S2519" r:id="rId2160" xr:uid="{00000000-0004-0000-0000-0000CA0A0000}"/>
    <hyperlink ref="G2521" r:id="rId2161" xr:uid="{00000000-0004-0000-0000-0000CB0A0000}"/>
    <hyperlink ref="G2523" r:id="rId2162" xr:uid="{00000000-0004-0000-0000-0000CC0A0000}"/>
    <hyperlink ref="F2525" r:id="rId2163" xr:uid="{00000000-0004-0000-0000-0000CE0A0000}"/>
    <hyperlink ref="G2526" r:id="rId2164" xr:uid="{00000000-0004-0000-0000-0000CF0A0000}"/>
    <hyperlink ref="G2527" r:id="rId2165" xr:uid="{00000000-0004-0000-0000-0000D00A0000}"/>
    <hyperlink ref="G2528" r:id="rId2166" xr:uid="{00000000-0004-0000-0000-0000D10A0000}"/>
    <hyperlink ref="G2529" r:id="rId2167" xr:uid="{00000000-0004-0000-0000-0000D20A0000}"/>
    <hyperlink ref="G2530" r:id="rId2168" xr:uid="{00000000-0004-0000-0000-0000D30A0000}"/>
    <hyperlink ref="G2531" r:id="rId2169" xr:uid="{00000000-0004-0000-0000-0000D40A0000}"/>
    <hyperlink ref="S2534" r:id="rId2170" xr:uid="{00000000-0004-0000-0000-0000D70A0000}"/>
    <hyperlink ref="G2535" r:id="rId2171" xr:uid="{00000000-0004-0000-0000-0000D80A0000}"/>
    <hyperlink ref="G2536" r:id="rId2172" xr:uid="{00000000-0004-0000-0000-0000D90A0000}"/>
    <hyperlink ref="F2538" r:id="rId2173" xr:uid="{00000000-0004-0000-0000-0000DC0A0000}"/>
    <hyperlink ref="G2538" r:id="rId2174" xr:uid="{00000000-0004-0000-0000-0000DD0A0000}"/>
    <hyperlink ref="G2540" r:id="rId2175" xr:uid="{00000000-0004-0000-0000-0000DE0A0000}"/>
    <hyperlink ref="F2541" r:id="rId2176" xr:uid="{00000000-0004-0000-0000-0000DF0A0000}"/>
    <hyperlink ref="G2541" r:id="rId2177" xr:uid="{00000000-0004-0000-0000-0000E00A0000}"/>
    <hyperlink ref="S2542" r:id="rId2178" xr:uid="{00000000-0004-0000-0000-0000E10A0000}"/>
    <hyperlink ref="G2545" r:id="rId2179" xr:uid="{00000000-0004-0000-0000-0000E30A0000}"/>
    <hyperlink ref="G2546" r:id="rId2180" xr:uid="{00000000-0004-0000-0000-0000E40A0000}"/>
    <hyperlink ref="G2548" r:id="rId2181" xr:uid="{00000000-0004-0000-0000-0000E50A0000}"/>
    <hyperlink ref="G2551" r:id="rId2182" xr:uid="{00000000-0004-0000-0000-0000E60A0000}"/>
    <hyperlink ref="G2552" r:id="rId2183" xr:uid="{00000000-0004-0000-0000-0000E70A0000}"/>
    <hyperlink ref="G2557" r:id="rId2184" xr:uid="{00000000-0004-0000-0000-0000E90A0000}"/>
    <hyperlink ref="G2560" r:id="rId2185" xr:uid="{00000000-0004-0000-0000-0000EA0A0000}"/>
    <hyperlink ref="S2560" r:id="rId2186" xr:uid="{00000000-0004-0000-0000-0000EB0A0000}"/>
    <hyperlink ref="G2562" r:id="rId2187" xr:uid="{00000000-0004-0000-0000-0000EC0A0000}"/>
    <hyperlink ref="G2563" r:id="rId2188" xr:uid="{00000000-0004-0000-0000-0000ED0A0000}"/>
    <hyperlink ref="S2563" r:id="rId2189" xr:uid="{00000000-0004-0000-0000-0000EE0A0000}"/>
    <hyperlink ref="G2564" r:id="rId2190" xr:uid="{00000000-0004-0000-0000-0000EF0A0000}"/>
    <hyperlink ref="G2565" r:id="rId2191" xr:uid="{00000000-0004-0000-0000-0000F00A0000}"/>
    <hyperlink ref="G2567" r:id="rId2192" xr:uid="{00000000-0004-0000-0000-0000F10A0000}"/>
    <hyperlink ref="G2568" r:id="rId2193" xr:uid="{00000000-0004-0000-0000-0000F20A0000}"/>
    <hyperlink ref="G2569" r:id="rId2194" xr:uid="{00000000-0004-0000-0000-0000F30A0000}"/>
    <hyperlink ref="G2571" r:id="rId2195" xr:uid="{00000000-0004-0000-0000-0000FB0A0000}"/>
    <hyperlink ref="G2572" r:id="rId2196" xr:uid="{00000000-0004-0000-0000-0000FC0A0000}"/>
    <hyperlink ref="G2573" r:id="rId2197" xr:uid="{00000000-0004-0000-0000-0000FD0A0000}"/>
    <hyperlink ref="S2573" r:id="rId2198" xr:uid="{00000000-0004-0000-0000-0000FE0A0000}"/>
    <hyperlink ref="G2574" r:id="rId2199" xr:uid="{00000000-0004-0000-0000-0000010B0000}"/>
    <hyperlink ref="S2574" r:id="rId2200" xr:uid="{00000000-0004-0000-0000-0000020B0000}"/>
    <hyperlink ref="G2575" r:id="rId2201" xr:uid="{00000000-0004-0000-0000-0000030B0000}"/>
    <hyperlink ref="G2577" r:id="rId2202" xr:uid="{00000000-0004-0000-0000-0000040B0000}"/>
    <hyperlink ref="G2578" r:id="rId2203" xr:uid="{00000000-0004-0000-0000-0000050B0000}"/>
    <hyperlink ref="S2578" r:id="rId2204" xr:uid="{00000000-0004-0000-0000-0000060B0000}"/>
    <hyperlink ref="G2581" r:id="rId2205" xr:uid="{00000000-0004-0000-0000-0000070B0000}"/>
    <hyperlink ref="G2582" r:id="rId2206" xr:uid="{00000000-0004-0000-0000-0000080B0000}"/>
    <hyperlink ref="S2582" r:id="rId2207" xr:uid="{00000000-0004-0000-0000-0000090B0000}"/>
    <hyperlink ref="F2585" r:id="rId2208" xr:uid="{00000000-0004-0000-0000-00000A0B0000}"/>
    <hyperlink ref="G2586" r:id="rId2209" xr:uid="{00000000-0004-0000-0000-00000B0B0000}"/>
    <hyperlink ref="S2588" r:id="rId2210" xr:uid="{00000000-0004-0000-0000-00000D0B0000}"/>
    <hyperlink ref="G2590" r:id="rId2211" xr:uid="{00000000-0004-0000-0000-0000100B0000}"/>
    <hyperlink ref="S2590" r:id="rId2212" xr:uid="{00000000-0004-0000-0000-0000110B0000}"/>
    <hyperlink ref="G2591" r:id="rId2213" xr:uid="{00000000-0004-0000-0000-0000120B0000}"/>
    <hyperlink ref="G2592" r:id="rId2214" xr:uid="{00000000-0004-0000-0000-0000130B0000}"/>
    <hyperlink ref="G2593" r:id="rId2215" xr:uid="{00000000-0004-0000-0000-0000140B0000}"/>
    <hyperlink ref="S2593" r:id="rId2216" xr:uid="{00000000-0004-0000-0000-0000150B0000}"/>
    <hyperlink ref="G2594" r:id="rId2217" xr:uid="{00000000-0004-0000-0000-0000170B0000}"/>
    <hyperlink ref="G2599" r:id="rId2218" xr:uid="{00000000-0004-0000-0000-0000180B0000}"/>
    <hyperlink ref="G2602" r:id="rId2219" xr:uid="{00000000-0004-0000-0000-0000190B0000}"/>
    <hyperlink ref="G2604" r:id="rId2220" xr:uid="{00000000-0004-0000-0000-00001A0B0000}"/>
    <hyperlink ref="S2604" r:id="rId2221" xr:uid="{00000000-0004-0000-0000-00001B0B0000}"/>
    <hyperlink ref="G2605" r:id="rId2222" xr:uid="{00000000-0004-0000-0000-00001C0B0000}"/>
    <hyperlink ref="S2606" r:id="rId2223" xr:uid="{00000000-0004-0000-0000-00001D0B0000}"/>
    <hyperlink ref="G2608" r:id="rId2224" xr:uid="{00000000-0004-0000-0000-00001E0B0000}"/>
    <hyperlink ref="G2614" r:id="rId2225" xr:uid="{00000000-0004-0000-0000-00001F0B0000}"/>
    <hyperlink ref="F2615" r:id="rId2226" xr:uid="{00000000-0004-0000-0000-0000200B0000}"/>
    <hyperlink ref="G2615" r:id="rId2227" xr:uid="{00000000-0004-0000-0000-0000210B0000}"/>
    <hyperlink ref="G2616" r:id="rId2228" xr:uid="{00000000-0004-0000-0000-0000220B0000}"/>
    <hyperlink ref="G2618" r:id="rId2229" xr:uid="{00000000-0004-0000-0000-0000240B0000}"/>
    <hyperlink ref="S2618" r:id="rId2230" xr:uid="{00000000-0004-0000-0000-0000250B0000}"/>
    <hyperlink ref="S2620" r:id="rId2231" xr:uid="{00000000-0004-0000-0000-0000270B0000}"/>
    <hyperlink ref="S2621" r:id="rId2232" xr:uid="{00000000-0004-0000-0000-0000290B0000}"/>
    <hyperlink ref="S2622" r:id="rId2233" xr:uid="{00000000-0004-0000-0000-00002A0B0000}"/>
    <hyperlink ref="F2623" r:id="rId2234" xr:uid="{00000000-0004-0000-0000-00002B0B0000}"/>
    <hyperlink ref="G2624" r:id="rId2235" xr:uid="{00000000-0004-0000-0000-00002C0B0000}"/>
    <hyperlink ref="G2625" r:id="rId2236" xr:uid="{00000000-0004-0000-0000-00002D0B0000}"/>
    <hyperlink ref="G2626" r:id="rId2237" xr:uid="{00000000-0004-0000-0000-00002E0B0000}"/>
    <hyperlink ref="G2629" r:id="rId2238" xr:uid="{00000000-0004-0000-0000-00002F0B0000}"/>
    <hyperlink ref="G2630" r:id="rId2239" xr:uid="{00000000-0004-0000-0000-0000300B0000}"/>
    <hyperlink ref="G2631" r:id="rId2240" xr:uid="{00000000-0004-0000-0000-0000310B0000}"/>
    <hyperlink ref="G2633" r:id="rId2241" xr:uid="{00000000-0004-0000-0000-0000320B0000}"/>
    <hyperlink ref="G2634" r:id="rId2242" xr:uid="{00000000-0004-0000-0000-0000330B0000}"/>
    <hyperlink ref="G2635" r:id="rId2243" xr:uid="{00000000-0004-0000-0000-0000340B0000}"/>
    <hyperlink ref="S2635" r:id="rId2244" xr:uid="{00000000-0004-0000-0000-0000350B0000}"/>
    <hyperlink ref="G2636" r:id="rId2245" xr:uid="{00000000-0004-0000-0000-0000360B0000}"/>
    <hyperlink ref="G2637" r:id="rId2246" xr:uid="{00000000-0004-0000-0000-0000370B0000}"/>
    <hyperlink ref="F2638" r:id="rId2247" xr:uid="{00000000-0004-0000-0000-0000380B0000}"/>
    <hyperlink ref="G2638" r:id="rId2248" xr:uid="{00000000-0004-0000-0000-0000390B0000}"/>
    <hyperlink ref="S2638" r:id="rId2249" xr:uid="{00000000-0004-0000-0000-00003A0B0000}"/>
    <hyperlink ref="G2639" r:id="rId2250" xr:uid="{00000000-0004-0000-0000-00003B0B0000}"/>
    <hyperlink ref="S2640" r:id="rId2251" xr:uid="{00000000-0004-0000-0000-00003C0B0000}"/>
    <hyperlink ref="G2641" r:id="rId2252" xr:uid="{00000000-0004-0000-0000-00003D0B0000}"/>
    <hyperlink ref="G2643" r:id="rId2253" xr:uid="{00000000-0004-0000-0000-00003E0B0000}"/>
    <hyperlink ref="G2645" r:id="rId2254" xr:uid="{00000000-0004-0000-0000-00003F0B0000}"/>
    <hyperlink ref="G2647" r:id="rId2255" xr:uid="{00000000-0004-0000-0000-0000400B0000}"/>
    <hyperlink ref="G2651" r:id="rId2256" xr:uid="{00000000-0004-0000-0000-0000410B0000}"/>
    <hyperlink ref="G2653" r:id="rId2257" xr:uid="{00000000-0004-0000-0000-0000420B0000}"/>
    <hyperlink ref="F2657" r:id="rId2258" xr:uid="{00000000-0004-0000-0000-0000430B0000}"/>
    <hyperlink ref="S2657" r:id="rId2259" xr:uid="{00000000-0004-0000-0000-0000440B0000}"/>
    <hyperlink ref="G2658" r:id="rId2260" xr:uid="{00000000-0004-0000-0000-0000450B0000}"/>
    <hyperlink ref="G2660" r:id="rId2261" xr:uid="{00000000-0004-0000-0000-0000460B0000}"/>
    <hyperlink ref="G2661" r:id="rId2262" xr:uid="{00000000-0004-0000-0000-0000470B0000}"/>
    <hyperlink ref="G2665" r:id="rId2263" xr:uid="{00000000-0004-0000-0000-0000480B0000}"/>
    <hyperlink ref="G2666" r:id="rId2264" xr:uid="{00000000-0004-0000-0000-0000490B0000}"/>
    <hyperlink ref="G2668" r:id="rId2265" xr:uid="{00000000-0004-0000-0000-00004A0B0000}"/>
    <hyperlink ref="G2669" r:id="rId2266" xr:uid="{00000000-0004-0000-0000-00004B0B0000}"/>
    <hyperlink ref="G2671" r:id="rId2267" xr:uid="{00000000-0004-0000-0000-00004C0B0000}"/>
    <hyperlink ref="G2673" r:id="rId2268" xr:uid="{00000000-0004-0000-0000-00004D0B0000}"/>
    <hyperlink ref="S2674" r:id="rId2269" xr:uid="{00000000-0004-0000-0000-0000500B0000}"/>
    <hyperlink ref="G2675" r:id="rId2270" xr:uid="{00000000-0004-0000-0000-0000520B0000}"/>
    <hyperlink ref="G2677" r:id="rId2271" xr:uid="{00000000-0004-0000-0000-0000530B0000}"/>
    <hyperlink ref="G2679" r:id="rId2272" xr:uid="{00000000-0004-0000-0000-0000550B0000}"/>
    <hyperlink ref="G2680" r:id="rId2273" xr:uid="{00000000-0004-0000-0000-0000560B0000}"/>
    <hyperlink ref="G2681" r:id="rId2274" xr:uid="{00000000-0004-0000-0000-0000570B0000}"/>
    <hyperlink ref="G2683" r:id="rId2275" xr:uid="{00000000-0004-0000-0000-0000580B0000}"/>
    <hyperlink ref="G2684" r:id="rId2276" xr:uid="{00000000-0004-0000-0000-0000590B0000}"/>
    <hyperlink ref="G2685" r:id="rId2277" xr:uid="{00000000-0004-0000-0000-00005A0B0000}"/>
    <hyperlink ref="G2687" r:id="rId2278" xr:uid="{00000000-0004-0000-0000-00005B0B0000}"/>
    <hyperlink ref="G2688" r:id="rId2279" xr:uid="{00000000-0004-0000-0000-00005C0B0000}"/>
    <hyperlink ref="G2689" r:id="rId2280" xr:uid="{00000000-0004-0000-0000-00005F0B0000}"/>
    <hyperlink ref="G2690" r:id="rId2281" xr:uid="{00000000-0004-0000-0000-0000600B0000}"/>
    <hyperlink ref="F2691" r:id="rId2282" xr:uid="{00000000-0004-0000-0000-0000610B0000}"/>
    <hyperlink ref="G2691" r:id="rId2283" xr:uid="{00000000-0004-0000-0000-0000620B0000}"/>
    <hyperlink ref="S2691" r:id="rId2284" xr:uid="{00000000-0004-0000-0000-0000630B0000}"/>
    <hyperlink ref="F2693" r:id="rId2285" xr:uid="{00000000-0004-0000-0000-0000640B0000}"/>
    <hyperlink ref="G2693" r:id="rId2286" xr:uid="{00000000-0004-0000-0000-0000650B0000}"/>
    <hyperlink ref="G2694" r:id="rId2287" xr:uid="{00000000-0004-0000-0000-0000660B0000}"/>
    <hyperlink ref="S2694" r:id="rId2288" xr:uid="{00000000-0004-0000-0000-0000670B0000}"/>
    <hyperlink ref="G2696" r:id="rId2289" xr:uid="{00000000-0004-0000-0000-0000680B0000}"/>
    <hyperlink ref="S2696" r:id="rId2290" xr:uid="{00000000-0004-0000-0000-0000690B0000}"/>
    <hyperlink ref="G2697" r:id="rId2291" xr:uid="{00000000-0004-0000-0000-00006A0B0000}"/>
    <hyperlink ref="G2702" r:id="rId2292" xr:uid="{00000000-0004-0000-0000-0000710B0000}"/>
    <hyperlink ref="G2704" r:id="rId2293" xr:uid="{00000000-0004-0000-0000-0000730B0000}"/>
    <hyperlink ref="G2705" r:id="rId2294" xr:uid="{00000000-0004-0000-0000-0000740B0000}"/>
    <hyperlink ref="G2707" r:id="rId2295" xr:uid="{00000000-0004-0000-0000-0000750B0000}"/>
    <hyperlink ref="G2708" r:id="rId2296" xr:uid="{00000000-0004-0000-0000-0000780B0000}"/>
    <hyperlink ref="S2708" r:id="rId2297" xr:uid="{00000000-0004-0000-0000-0000790B0000}"/>
    <hyperlink ref="G2710" r:id="rId2298" xr:uid="{00000000-0004-0000-0000-00007A0B0000}"/>
    <hyperlink ref="S2712" r:id="rId2299" xr:uid="{00000000-0004-0000-0000-00007B0B0000}"/>
    <hyperlink ref="S2714" r:id="rId2300" xr:uid="{00000000-0004-0000-0000-00007C0B0000}"/>
    <hyperlink ref="S2717" r:id="rId2301" xr:uid="{00000000-0004-0000-0000-00007D0B0000}"/>
    <hyperlink ref="G2719" r:id="rId2302" xr:uid="{00000000-0004-0000-0000-00007E0B0000}"/>
    <hyperlink ref="G2720" r:id="rId2303" xr:uid="{00000000-0004-0000-0000-00007F0B0000}"/>
    <hyperlink ref="G2721" r:id="rId2304" xr:uid="{00000000-0004-0000-0000-0000800B0000}"/>
    <hyperlink ref="G2722" r:id="rId2305" xr:uid="{00000000-0004-0000-0000-0000810B0000}"/>
    <hyperlink ref="G2724" r:id="rId2306" xr:uid="{00000000-0004-0000-0000-0000830B0000}"/>
    <hyperlink ref="F2726" r:id="rId2307" xr:uid="{00000000-0004-0000-0000-0000840B0000}"/>
    <hyperlink ref="G2727" r:id="rId2308" xr:uid="{00000000-0004-0000-0000-0000860B0000}"/>
    <hyperlink ref="G2729" r:id="rId2309" xr:uid="{00000000-0004-0000-0000-0000870B0000}"/>
    <hyperlink ref="G2734" r:id="rId2310" xr:uid="{00000000-0004-0000-0000-0000880B0000}"/>
    <hyperlink ref="G2736" r:id="rId2311" xr:uid="{00000000-0004-0000-0000-00008B0B0000}"/>
    <hyperlink ref="G2738" r:id="rId2312" xr:uid="{00000000-0004-0000-0000-00008E0B0000}"/>
    <hyperlink ref="G2739" r:id="rId2313" xr:uid="{00000000-0004-0000-0000-00008F0B0000}"/>
    <hyperlink ref="G2741" r:id="rId2314" xr:uid="{00000000-0004-0000-0000-0000900B0000}"/>
    <hyperlink ref="G2742" r:id="rId2315" xr:uid="{00000000-0004-0000-0000-0000910B0000}"/>
    <hyperlink ref="G2743" r:id="rId2316" xr:uid="{00000000-0004-0000-0000-0000920B0000}"/>
    <hyperlink ref="G2744" r:id="rId2317" xr:uid="{00000000-0004-0000-0000-0000930B0000}"/>
    <hyperlink ref="G2747" r:id="rId2318" xr:uid="{00000000-0004-0000-0000-0000940B0000}"/>
    <hyperlink ref="S2749" r:id="rId2319" xr:uid="{00000000-0004-0000-0000-0000950B0000}"/>
    <hyperlink ref="F2751" r:id="rId2320" xr:uid="{00000000-0004-0000-0000-0000970B0000}"/>
    <hyperlink ref="G2751" r:id="rId2321" xr:uid="{00000000-0004-0000-0000-0000980B0000}"/>
    <hyperlink ref="G2752" r:id="rId2322" xr:uid="{00000000-0004-0000-0000-0000990B0000}"/>
    <hyperlink ref="S2752" r:id="rId2323" xr:uid="{00000000-0004-0000-0000-00009A0B0000}"/>
    <hyperlink ref="G2753" r:id="rId2324" xr:uid="{00000000-0004-0000-0000-00009B0B0000}"/>
    <hyperlink ref="F2755" r:id="rId2325" xr:uid="{00000000-0004-0000-0000-00009D0B0000}"/>
    <hyperlink ref="G2755" r:id="rId2326" xr:uid="{00000000-0004-0000-0000-00009E0B0000}"/>
    <hyperlink ref="S2755" r:id="rId2327" xr:uid="{00000000-0004-0000-0000-00009F0B0000}"/>
    <hyperlink ref="G2756" r:id="rId2328" xr:uid="{00000000-0004-0000-0000-0000A00B0000}"/>
    <hyperlink ref="F2758" r:id="rId2329" xr:uid="{00000000-0004-0000-0000-0000A10B0000}"/>
    <hyperlink ref="S2758" r:id="rId2330" xr:uid="{00000000-0004-0000-0000-0000A20B0000}"/>
    <hyperlink ref="G2759" r:id="rId2331" xr:uid="{00000000-0004-0000-0000-0000A30B0000}"/>
    <hyperlink ref="G2761" r:id="rId2332" xr:uid="{00000000-0004-0000-0000-0000A60B0000}"/>
    <hyperlink ref="F2763" r:id="rId2333" xr:uid="{00000000-0004-0000-0000-0000A70B0000}"/>
    <hyperlink ref="G2763" r:id="rId2334" xr:uid="{00000000-0004-0000-0000-0000A80B0000}"/>
    <hyperlink ref="G2764" r:id="rId2335" xr:uid="{00000000-0004-0000-0000-0000AB0B0000}"/>
    <hyperlink ref="S2764" r:id="rId2336" xr:uid="{00000000-0004-0000-0000-0000AC0B0000}"/>
    <hyperlink ref="F2765" r:id="rId2337" xr:uid="{00000000-0004-0000-0000-0000AD0B0000}"/>
    <hyperlink ref="G2765" r:id="rId2338" xr:uid="{00000000-0004-0000-0000-0000AE0B0000}"/>
    <hyperlink ref="S2765" r:id="rId2339" xr:uid="{00000000-0004-0000-0000-0000AF0B0000}"/>
    <hyperlink ref="G2766" r:id="rId2340" xr:uid="{00000000-0004-0000-0000-0000B30B0000}"/>
    <hyperlink ref="S2766" r:id="rId2341" xr:uid="{00000000-0004-0000-0000-0000B40B0000}"/>
    <hyperlink ref="G2769" r:id="rId2342" xr:uid="{00000000-0004-0000-0000-0000B70B0000}"/>
    <hyperlink ref="G2772" r:id="rId2343" xr:uid="{00000000-0004-0000-0000-0000B90B0000}"/>
    <hyperlink ref="G2776" r:id="rId2344" xr:uid="{00000000-0004-0000-0000-0000BA0B0000}"/>
    <hyperlink ref="G2777" r:id="rId2345" xr:uid="{00000000-0004-0000-0000-0000BB0B0000}"/>
    <hyperlink ref="G2780" r:id="rId2346" xr:uid="{00000000-0004-0000-0000-0000BE0B0000}"/>
    <hyperlink ref="G2782" r:id="rId2347" xr:uid="{00000000-0004-0000-0000-0000C40B0000}"/>
    <hyperlink ref="S2782" r:id="rId2348" xr:uid="{00000000-0004-0000-0000-0000C50B0000}"/>
    <hyperlink ref="G2783" r:id="rId2349" xr:uid="{00000000-0004-0000-0000-0000C60B0000}"/>
    <hyperlink ref="G2784" r:id="rId2350" xr:uid="{00000000-0004-0000-0000-0000C70B0000}"/>
    <hyperlink ref="G2785" r:id="rId2351" xr:uid="{00000000-0004-0000-0000-0000C80B0000}"/>
    <hyperlink ref="S2785" r:id="rId2352" xr:uid="{00000000-0004-0000-0000-0000C90B0000}"/>
    <hyperlink ref="G2786" r:id="rId2353" xr:uid="{00000000-0004-0000-0000-0000CA0B0000}"/>
    <hyperlink ref="G2787" r:id="rId2354" xr:uid="{00000000-0004-0000-0000-0000CB0B0000}"/>
    <hyperlink ref="S2787" r:id="rId2355" xr:uid="{00000000-0004-0000-0000-0000CC0B0000}"/>
    <hyperlink ref="G2788" r:id="rId2356" xr:uid="{00000000-0004-0000-0000-0000CE0B0000}"/>
    <hyperlink ref="F2790" r:id="rId2357" xr:uid="{00000000-0004-0000-0000-0000CF0B0000}"/>
    <hyperlink ref="G2790" r:id="rId2358" xr:uid="{00000000-0004-0000-0000-0000D00B0000}"/>
    <hyperlink ref="G2792" r:id="rId2359" xr:uid="{00000000-0004-0000-0000-0000D10B0000}"/>
    <hyperlink ref="G2793" r:id="rId2360" xr:uid="{00000000-0004-0000-0000-0000D20B0000}"/>
    <hyperlink ref="G2795" r:id="rId2361" xr:uid="{00000000-0004-0000-0000-0000D30B0000}"/>
    <hyperlink ref="G2796" r:id="rId2362" xr:uid="{00000000-0004-0000-0000-0000D40B0000}"/>
    <hyperlink ref="S2796" r:id="rId2363" xr:uid="{00000000-0004-0000-0000-0000D50B0000}"/>
    <hyperlink ref="F2797" r:id="rId2364" xr:uid="{00000000-0004-0000-0000-0000D60B0000}"/>
    <hyperlink ref="G2798" r:id="rId2365" xr:uid="{00000000-0004-0000-0000-0000D70B0000}"/>
    <hyperlink ref="G2799" r:id="rId2366" xr:uid="{00000000-0004-0000-0000-0000D80B0000}"/>
    <hyperlink ref="G2800" r:id="rId2367" xr:uid="{00000000-0004-0000-0000-0000D90B0000}"/>
    <hyperlink ref="G2801" r:id="rId2368" xr:uid="{00000000-0004-0000-0000-0000DA0B0000}"/>
    <hyperlink ref="G2808" r:id="rId2369" xr:uid="{00000000-0004-0000-0000-0000DC0B0000}"/>
    <hyperlink ref="G2809" r:id="rId2370" xr:uid="{00000000-0004-0000-0000-0000DD0B0000}"/>
    <hyperlink ref="S2809" r:id="rId2371" xr:uid="{00000000-0004-0000-0000-0000DE0B0000}"/>
    <hyperlink ref="C2811" r:id="rId2372" xr:uid="{00000000-0004-0000-0000-0000DF0B0000}"/>
    <hyperlink ref="F2811" r:id="rId2373" xr:uid="{00000000-0004-0000-0000-0000E00B0000}"/>
    <hyperlink ref="S2811" r:id="rId2374" xr:uid="{00000000-0004-0000-0000-0000E10B0000}"/>
    <hyperlink ref="G2812" r:id="rId2375" xr:uid="{00000000-0004-0000-0000-0000E20B0000}"/>
    <hyperlink ref="G2813" r:id="rId2376" xr:uid="{00000000-0004-0000-0000-0000E50B0000}"/>
    <hyperlink ref="G2814" r:id="rId2377" xr:uid="{00000000-0004-0000-0000-0000E80B0000}"/>
    <hyperlink ref="S2814" r:id="rId2378" xr:uid="{00000000-0004-0000-0000-0000E90B0000}"/>
    <hyperlink ref="G2815" r:id="rId2379" xr:uid="{00000000-0004-0000-0000-0000EA0B0000}"/>
    <hyperlink ref="F2817" r:id="rId2380" xr:uid="{00000000-0004-0000-0000-0000EC0B0000}"/>
    <hyperlink ref="G2818" r:id="rId2381" xr:uid="{00000000-0004-0000-0000-0000ED0B0000}"/>
    <hyperlink ref="G2819" r:id="rId2382" xr:uid="{00000000-0004-0000-0000-0000EE0B0000}"/>
    <hyperlink ref="G2820" r:id="rId2383" xr:uid="{00000000-0004-0000-0000-0000EF0B0000}"/>
    <hyperlink ref="F2821" r:id="rId2384" xr:uid="{00000000-0004-0000-0000-0000F00B0000}"/>
    <hyperlink ref="F2822" r:id="rId2385" xr:uid="{00000000-0004-0000-0000-0000F10B0000}"/>
    <hyperlink ref="S2822" r:id="rId2386" xr:uid="{00000000-0004-0000-0000-0000F20B0000}"/>
    <hyperlink ref="G2824" r:id="rId2387" xr:uid="{00000000-0004-0000-0000-0000F50B0000}"/>
    <hyperlink ref="F2826" r:id="rId2388" xr:uid="{00000000-0004-0000-0000-0000F60B0000}"/>
    <hyperlink ref="G2826" r:id="rId2389" xr:uid="{00000000-0004-0000-0000-0000F70B0000}"/>
    <hyperlink ref="F2828" r:id="rId2390" xr:uid="{00000000-0004-0000-0000-0000F80B0000}"/>
    <hyperlink ref="G2828" r:id="rId2391" xr:uid="{00000000-0004-0000-0000-0000F90B0000}"/>
    <hyperlink ref="G2829" r:id="rId2392" xr:uid="{00000000-0004-0000-0000-0000FB0B0000}"/>
    <hyperlink ref="G2832" r:id="rId2393" xr:uid="{00000000-0004-0000-0000-0000FC0B0000}"/>
    <hyperlink ref="G2834" r:id="rId2394" xr:uid="{00000000-0004-0000-0000-0000FD0B0000}"/>
    <hyperlink ref="G2835" r:id="rId2395" xr:uid="{00000000-0004-0000-0000-0000FE0B0000}"/>
    <hyperlink ref="G2837" r:id="rId2396" xr:uid="{00000000-0004-0000-0000-0000FF0B0000}"/>
    <hyperlink ref="F2839" r:id="rId2397" xr:uid="{00000000-0004-0000-0000-0000000C0000}"/>
    <hyperlink ref="G2840" r:id="rId2398" xr:uid="{00000000-0004-0000-0000-0000010C0000}"/>
    <hyperlink ref="G2841" r:id="rId2399" xr:uid="{00000000-0004-0000-0000-0000020C0000}"/>
    <hyperlink ref="F2842" r:id="rId2400" xr:uid="{00000000-0004-0000-0000-0000030C0000}"/>
    <hyperlink ref="G2842" r:id="rId2401" xr:uid="{00000000-0004-0000-0000-0000040C0000}"/>
    <hyperlink ref="G2843" r:id="rId2402" xr:uid="{00000000-0004-0000-0000-0000050C0000}"/>
    <hyperlink ref="S2844" r:id="rId2403" xr:uid="{00000000-0004-0000-0000-0000070C0000}"/>
    <hyperlink ref="G2846" r:id="rId2404" xr:uid="{00000000-0004-0000-0000-00000A0C0000}"/>
    <hyperlink ref="G2847" r:id="rId2405" xr:uid="{00000000-0004-0000-0000-00000B0C0000}"/>
    <hyperlink ref="G2851" r:id="rId2406" xr:uid="{00000000-0004-0000-0000-00000E0C0000}"/>
    <hyperlink ref="S2851" r:id="rId2407" xr:uid="{00000000-0004-0000-0000-00000F0C0000}"/>
    <hyperlink ref="G2854" r:id="rId2408" xr:uid="{00000000-0004-0000-0000-0000100C0000}"/>
    <hyperlink ref="G2855" r:id="rId2409" xr:uid="{00000000-0004-0000-0000-0000130C0000}"/>
    <hyperlink ref="G2856" r:id="rId2410" xr:uid="{00000000-0004-0000-0000-0000140C0000}"/>
    <hyperlink ref="G2858" r:id="rId2411" xr:uid="{00000000-0004-0000-0000-0000150C0000}"/>
    <hyperlink ref="G2859" r:id="rId2412" xr:uid="{00000000-0004-0000-0000-0000160C0000}"/>
    <hyperlink ref="G2860" r:id="rId2413" xr:uid="{00000000-0004-0000-0000-0000170C0000}"/>
    <hyperlink ref="Q2861" r:id="rId2414" xr:uid="{00000000-0004-0000-0000-0000180C0000}"/>
    <hyperlink ref="S2861" r:id="rId2415" xr:uid="{00000000-0004-0000-0000-0000190C0000}"/>
    <hyperlink ref="G2862" r:id="rId2416" xr:uid="{00000000-0004-0000-0000-00001A0C0000}"/>
    <hyperlink ref="G2864" r:id="rId2417" xr:uid="{00000000-0004-0000-0000-00001B0C0000}"/>
    <hyperlink ref="G2866" r:id="rId2418" xr:uid="{00000000-0004-0000-0000-00001C0C0000}"/>
    <hyperlink ref="G2868" r:id="rId2419" xr:uid="{00000000-0004-0000-0000-00001E0C0000}"/>
    <hyperlink ref="G2869" r:id="rId2420" xr:uid="{00000000-0004-0000-0000-00001F0C0000}"/>
    <hyperlink ref="G2870" r:id="rId2421" xr:uid="{00000000-0004-0000-0000-0000200C0000}"/>
    <hyperlink ref="G2872" r:id="rId2422" xr:uid="{00000000-0004-0000-0000-0000210C0000}"/>
    <hyperlink ref="G2873" r:id="rId2423" xr:uid="{00000000-0004-0000-0000-0000220C0000}"/>
    <hyperlink ref="G2875" r:id="rId2424" xr:uid="{00000000-0004-0000-0000-0000230C0000}"/>
    <hyperlink ref="G2876" r:id="rId2425" xr:uid="{00000000-0004-0000-0000-0000270C0000}"/>
    <hyperlink ref="F2877" r:id="rId2426" xr:uid="{00000000-0004-0000-0000-0000280C0000}"/>
    <hyperlink ref="G2878" r:id="rId2427" xr:uid="{00000000-0004-0000-0000-0000290C0000}"/>
    <hyperlink ref="G2880" r:id="rId2428" xr:uid="{00000000-0004-0000-0000-00002A0C0000}"/>
    <hyperlink ref="G2882" r:id="rId2429" xr:uid="{00000000-0004-0000-0000-00002B0C0000}"/>
    <hyperlink ref="G2883" r:id="rId2430" xr:uid="{00000000-0004-0000-0000-00002D0C0000}"/>
    <hyperlink ref="G2886" r:id="rId2431" xr:uid="{00000000-0004-0000-0000-00002E0C0000}"/>
    <hyperlink ref="S2886" r:id="rId2432" xr:uid="{00000000-0004-0000-0000-00002F0C0000}"/>
    <hyperlink ref="G2887" r:id="rId2433" xr:uid="{00000000-0004-0000-0000-0000300C0000}"/>
    <hyperlink ref="G2889" r:id="rId2434" xr:uid="{00000000-0004-0000-0000-0000320C0000}"/>
    <hyperlink ref="G2892" r:id="rId2435" xr:uid="{00000000-0004-0000-0000-0000330C0000}"/>
    <hyperlink ref="F2894" r:id="rId2436" xr:uid="{00000000-0004-0000-0000-0000340C0000}"/>
    <hyperlink ref="G2894" r:id="rId2437" xr:uid="{00000000-0004-0000-0000-0000350C0000}"/>
    <hyperlink ref="G2897" r:id="rId2438" xr:uid="{00000000-0004-0000-0000-0000370C0000}"/>
    <hyperlink ref="G2898" r:id="rId2439" xr:uid="{00000000-0004-0000-0000-0000390C0000}"/>
    <hyperlink ref="G2899" r:id="rId2440" xr:uid="{00000000-0004-0000-0000-00003A0C0000}"/>
    <hyperlink ref="S2899" r:id="rId2441" xr:uid="{00000000-0004-0000-0000-00003B0C0000}"/>
    <hyperlink ref="S2901" r:id="rId2442" xr:uid="{00000000-0004-0000-0000-00003C0C0000}"/>
    <hyperlink ref="F2903" r:id="rId2443" xr:uid="{00000000-0004-0000-0000-00003D0C0000}"/>
    <hyperlink ref="G2903" r:id="rId2444" xr:uid="{00000000-0004-0000-0000-00003E0C0000}"/>
    <hyperlink ref="G2904" r:id="rId2445" xr:uid="{00000000-0004-0000-0000-00003F0C0000}"/>
    <hyperlink ref="S2904" r:id="rId2446" xr:uid="{00000000-0004-0000-0000-0000400C0000}"/>
    <hyperlink ref="G2905" r:id="rId2447" xr:uid="{00000000-0004-0000-0000-0000420C0000}"/>
    <hyperlink ref="G2908" r:id="rId2448" xr:uid="{00000000-0004-0000-0000-0000450C0000}"/>
    <hyperlink ref="S2909" r:id="rId2449" xr:uid="{00000000-0004-0000-0000-0000470C0000}"/>
    <hyperlink ref="G2910" r:id="rId2450" xr:uid="{00000000-0004-0000-0000-0000480C0000}"/>
    <hyperlink ref="F2911" r:id="rId2451" xr:uid="{00000000-0004-0000-0000-0000490C0000}"/>
    <hyperlink ref="S2911" r:id="rId2452" xr:uid="{00000000-0004-0000-0000-00004A0C0000}"/>
    <hyperlink ref="G2913" r:id="rId2453" xr:uid="{00000000-0004-0000-0000-00004C0C0000}"/>
    <hyperlink ref="G2914" r:id="rId2454" xr:uid="{00000000-0004-0000-0000-00004D0C0000}"/>
    <hyperlink ref="S2914" r:id="rId2455" xr:uid="{00000000-0004-0000-0000-00004E0C0000}"/>
    <hyperlink ref="S2917" r:id="rId2456" xr:uid="{00000000-0004-0000-0000-00004F0C0000}"/>
    <hyperlink ref="G2919" r:id="rId2457" xr:uid="{00000000-0004-0000-0000-0000510C0000}"/>
    <hyperlink ref="G2920" r:id="rId2458" xr:uid="{00000000-0004-0000-0000-0000540C0000}"/>
    <hyperlink ref="G2921" r:id="rId2459" xr:uid="{00000000-0004-0000-0000-0000580C0000}"/>
    <hyperlink ref="G2922" r:id="rId2460" xr:uid="{00000000-0004-0000-0000-0000590C0000}"/>
    <hyperlink ref="G2923" r:id="rId2461" xr:uid="{00000000-0004-0000-0000-00005A0C0000}"/>
    <hyperlink ref="G2924" r:id="rId2462" xr:uid="{00000000-0004-0000-0000-00005B0C0000}"/>
    <hyperlink ref="G2925" r:id="rId2463" xr:uid="{00000000-0004-0000-0000-00005D0C0000}"/>
    <hyperlink ref="S2925" r:id="rId2464" xr:uid="{00000000-0004-0000-0000-00005E0C0000}"/>
    <hyperlink ref="S2926" r:id="rId2465" xr:uid="{00000000-0004-0000-0000-00005F0C0000}"/>
    <hyperlink ref="G2928" r:id="rId2466" xr:uid="{00000000-0004-0000-0000-0000600C0000}"/>
    <hyperlink ref="S2928" r:id="rId2467" xr:uid="{00000000-0004-0000-0000-0000610C0000}"/>
    <hyperlink ref="G2929" r:id="rId2468" xr:uid="{00000000-0004-0000-0000-0000640C0000}"/>
    <hyperlink ref="G2930" r:id="rId2469" xr:uid="{00000000-0004-0000-0000-0000650C0000}"/>
    <hyperlink ref="G2931" r:id="rId2470" xr:uid="{00000000-0004-0000-0000-0000660C0000}"/>
    <hyperlink ref="G2932" r:id="rId2471" xr:uid="{00000000-0004-0000-0000-0000680C0000}"/>
    <hyperlink ref="G2934" r:id="rId2472" xr:uid="{00000000-0004-0000-0000-0000690C0000}"/>
    <hyperlink ref="G2935" r:id="rId2473" xr:uid="{00000000-0004-0000-0000-00006A0C0000}"/>
    <hyperlink ref="G2936" r:id="rId2474" xr:uid="{00000000-0004-0000-0000-00006C0C0000}"/>
    <hyperlink ref="G2937" r:id="rId2475" xr:uid="{00000000-0004-0000-0000-00006D0C0000}"/>
    <hyperlink ref="G2941" r:id="rId2476" xr:uid="{00000000-0004-0000-0000-00006F0C0000}"/>
    <hyperlink ref="G2943" r:id="rId2477" xr:uid="{00000000-0004-0000-0000-0000700C0000}"/>
    <hyperlink ref="G2944" r:id="rId2478" xr:uid="{00000000-0004-0000-0000-0000710C0000}"/>
    <hyperlink ref="S2944" r:id="rId2479" xr:uid="{00000000-0004-0000-0000-0000720C0000}"/>
    <hyperlink ref="G2945" r:id="rId2480" xr:uid="{00000000-0004-0000-0000-0000750C0000}"/>
    <hyperlink ref="F2946" r:id="rId2481" xr:uid="{00000000-0004-0000-0000-0000760C0000}"/>
    <hyperlink ref="G2946" r:id="rId2482" xr:uid="{00000000-0004-0000-0000-0000770C0000}"/>
    <hyperlink ref="G2947" r:id="rId2483" xr:uid="{00000000-0004-0000-0000-0000780C0000}"/>
    <hyperlink ref="F2948" r:id="rId2484" xr:uid="{00000000-0004-0000-0000-00007B0C0000}"/>
    <hyperlink ref="G2948" r:id="rId2485" xr:uid="{00000000-0004-0000-0000-00007C0C0000}"/>
    <hyperlink ref="S2948" r:id="rId2486" xr:uid="{00000000-0004-0000-0000-00007D0C0000}"/>
    <hyperlink ref="G2951" r:id="rId2487" xr:uid="{00000000-0004-0000-0000-0000810C0000}"/>
    <hyperlink ref="S2951" r:id="rId2488" xr:uid="{00000000-0004-0000-0000-0000820C0000}"/>
    <hyperlink ref="G2952" r:id="rId2489" xr:uid="{00000000-0004-0000-0000-0000830C0000}"/>
    <hyperlink ref="G2953" r:id="rId2490" xr:uid="{00000000-0004-0000-0000-0000840C0000}"/>
    <hyperlink ref="G2954" r:id="rId2491" xr:uid="{00000000-0004-0000-0000-0000850C0000}"/>
    <hyperlink ref="S2954" r:id="rId2492" xr:uid="{00000000-0004-0000-0000-0000860C0000}"/>
    <hyperlink ref="G2955" r:id="rId2493" xr:uid="{00000000-0004-0000-0000-0000870C0000}"/>
    <hyperlink ref="G2956" r:id="rId2494" xr:uid="{00000000-0004-0000-0000-0000880C0000}"/>
    <hyperlink ref="G2957" r:id="rId2495" xr:uid="{00000000-0004-0000-0000-0000890C0000}"/>
    <hyperlink ref="S2958" r:id="rId2496" xr:uid="{00000000-0004-0000-0000-00008C0C0000}"/>
    <hyperlink ref="G2959" r:id="rId2497" xr:uid="{00000000-0004-0000-0000-00008D0C0000}"/>
    <hyperlink ref="F2961" r:id="rId2498" xr:uid="{00000000-0004-0000-0000-00008E0C0000}"/>
    <hyperlink ref="G2962" r:id="rId2499" xr:uid="{00000000-0004-0000-0000-00008F0C0000}"/>
    <hyperlink ref="G2963" r:id="rId2500" xr:uid="{00000000-0004-0000-0000-0000910C0000}"/>
    <hyperlink ref="G2965" r:id="rId2501" xr:uid="{00000000-0004-0000-0000-0000920C0000}"/>
    <hyperlink ref="G2967" r:id="rId2502" xr:uid="{00000000-0004-0000-0000-0000930C0000}"/>
    <hyperlink ref="G2969" r:id="rId2503" xr:uid="{00000000-0004-0000-0000-0000960C0000}"/>
    <hyperlink ref="G2972" r:id="rId2504" xr:uid="{00000000-0004-0000-0000-0000970C0000}"/>
    <hyperlink ref="F2973" r:id="rId2505" xr:uid="{00000000-0004-0000-0000-0000980C0000}"/>
    <hyperlink ref="G2973" r:id="rId2506" xr:uid="{00000000-0004-0000-0000-0000990C0000}"/>
    <hyperlink ref="S2973" r:id="rId2507" xr:uid="{00000000-0004-0000-0000-00009A0C0000}"/>
    <hyperlink ref="F2974" r:id="rId2508" xr:uid="{00000000-0004-0000-0000-00009B0C0000}"/>
    <hyperlink ref="G2975" r:id="rId2509" xr:uid="{00000000-0004-0000-0000-00009C0C0000}"/>
    <hyperlink ref="G2977" r:id="rId2510" xr:uid="{00000000-0004-0000-0000-00009D0C0000}"/>
    <hyperlink ref="S2979" r:id="rId2511" xr:uid="{00000000-0004-0000-0000-00009E0C0000}"/>
    <hyperlink ref="G2982" r:id="rId2512" xr:uid="{00000000-0004-0000-0000-00009F0C0000}"/>
    <hyperlink ref="G2985" r:id="rId2513" xr:uid="{00000000-0004-0000-0000-0000A20C0000}"/>
    <hyperlink ref="G2986" r:id="rId2514" xr:uid="{00000000-0004-0000-0000-0000A30C0000}"/>
    <hyperlink ref="G2990" r:id="rId2515" xr:uid="{00000000-0004-0000-0000-0000A40C0000}"/>
    <hyperlink ref="G2992" r:id="rId2516" xr:uid="{00000000-0004-0000-0000-0000A50C0000}"/>
    <hyperlink ref="G2993" r:id="rId2517" xr:uid="{00000000-0004-0000-0000-0000A60C0000}"/>
    <hyperlink ref="G2996" r:id="rId2518" xr:uid="{00000000-0004-0000-0000-0000A80C0000}"/>
    <hyperlink ref="G2999" r:id="rId2519" xr:uid="{00000000-0004-0000-0000-0000A90C0000}"/>
    <hyperlink ref="G3001" r:id="rId2520" xr:uid="{00000000-0004-0000-0000-0000AA0C0000}"/>
    <hyperlink ref="G3002" r:id="rId2521" xr:uid="{00000000-0004-0000-0000-0000AB0C0000}"/>
    <hyperlink ref="G3003" r:id="rId2522" xr:uid="{00000000-0004-0000-0000-0000AC0C0000}"/>
    <hyperlink ref="G3005" r:id="rId2523" xr:uid="{00000000-0004-0000-0000-0000AD0C0000}"/>
    <hyperlink ref="G3006" r:id="rId2524" xr:uid="{00000000-0004-0000-0000-0000AE0C0000}"/>
    <hyperlink ref="G3007" r:id="rId2525" xr:uid="{00000000-0004-0000-0000-0000AF0C0000}"/>
    <hyperlink ref="F3008" r:id="rId2526" xr:uid="{00000000-0004-0000-0000-0000B00C0000}"/>
    <hyperlink ref="G3008" r:id="rId2527" xr:uid="{00000000-0004-0000-0000-0000B10C0000}"/>
    <hyperlink ref="S3008" r:id="rId2528" xr:uid="{00000000-0004-0000-0000-0000B20C0000}"/>
    <hyperlink ref="G3009" r:id="rId2529" xr:uid="{00000000-0004-0000-0000-0000B30C0000}"/>
    <hyperlink ref="G3010" r:id="rId2530" xr:uid="{00000000-0004-0000-0000-0000B60C0000}"/>
    <hyperlink ref="G3011" r:id="rId2531" xr:uid="{00000000-0004-0000-0000-0000B70C0000}"/>
    <hyperlink ref="G3012" r:id="rId2532" xr:uid="{00000000-0004-0000-0000-0000B80C0000}"/>
    <hyperlink ref="G3013" r:id="rId2533" xr:uid="{00000000-0004-0000-0000-0000B90C0000}"/>
    <hyperlink ref="G3016" r:id="rId2534" xr:uid="{00000000-0004-0000-0000-0000BE0C0000}"/>
    <hyperlink ref="G3017" r:id="rId2535" xr:uid="{00000000-0004-0000-0000-0000BF0C0000}"/>
    <hyperlink ref="S3017" r:id="rId2536" xr:uid="{00000000-0004-0000-0000-0000C00C0000}"/>
    <hyperlink ref="S3019" r:id="rId2537" xr:uid="{00000000-0004-0000-0000-0000C10C0000}"/>
    <hyperlink ref="S3021" r:id="rId2538" xr:uid="{00000000-0004-0000-0000-0000C20C0000}"/>
    <hyperlink ref="G3022" r:id="rId2539" xr:uid="{00000000-0004-0000-0000-0000C40C0000}"/>
    <hyperlink ref="G3023" r:id="rId2540" xr:uid="{00000000-0004-0000-0000-0000C50C0000}"/>
    <hyperlink ref="G3024" r:id="rId2541" xr:uid="{00000000-0004-0000-0000-0000C60C0000}"/>
    <hyperlink ref="S3030" r:id="rId2542" xr:uid="{00000000-0004-0000-0000-0000C80C0000}"/>
    <hyperlink ref="G3032" r:id="rId2543" xr:uid="{00000000-0004-0000-0000-0000C90C0000}"/>
    <hyperlink ref="G3033" r:id="rId2544" xr:uid="{00000000-0004-0000-0000-0000CA0C0000}"/>
    <hyperlink ref="F3036" r:id="rId2545" xr:uid="{00000000-0004-0000-0000-0000CB0C0000}"/>
    <hyperlink ref="F3037" r:id="rId2546" xr:uid="{00000000-0004-0000-0000-0000CC0C0000}"/>
    <hyperlink ref="G3038" r:id="rId2547" xr:uid="{00000000-0004-0000-0000-0000CE0C0000}"/>
    <hyperlink ref="G3039" r:id="rId2548" xr:uid="{00000000-0004-0000-0000-0000CF0C0000}"/>
    <hyperlink ref="G3040" r:id="rId2549" xr:uid="{00000000-0004-0000-0000-0000D00C0000}"/>
    <hyperlink ref="G3042" r:id="rId2550" xr:uid="{00000000-0004-0000-0000-0000D10C0000}"/>
    <hyperlink ref="S3044" r:id="rId2551" xr:uid="{00000000-0004-0000-0000-0000D30C0000}"/>
    <hyperlink ref="G3045" r:id="rId2552" xr:uid="{00000000-0004-0000-0000-0000D40C0000}"/>
    <hyperlink ref="G3052" r:id="rId2553" xr:uid="{00000000-0004-0000-0000-0000D60C0000}"/>
    <hyperlink ref="S3054" r:id="rId2554" xr:uid="{00000000-0004-0000-0000-0000D70C0000}"/>
    <hyperlink ref="S3055" r:id="rId2555" xr:uid="{00000000-0004-0000-0000-0000D80C0000}"/>
    <hyperlink ref="G3056" r:id="rId2556" xr:uid="{00000000-0004-0000-0000-0000DA0C0000}"/>
    <hyperlink ref="G3057" r:id="rId2557" xr:uid="{00000000-0004-0000-0000-0000DB0C0000}"/>
    <hyperlink ref="G3063" r:id="rId2558" xr:uid="{00000000-0004-0000-0000-0000DF0C0000}"/>
    <hyperlink ref="G3064" r:id="rId2559" xr:uid="{00000000-0004-0000-0000-0000E00C0000}"/>
    <hyperlink ref="S3065" r:id="rId2560" xr:uid="{00000000-0004-0000-0000-0000E10C0000}"/>
    <hyperlink ref="G3066" r:id="rId2561" xr:uid="{00000000-0004-0000-0000-0000E20C0000}"/>
    <hyperlink ref="S3069" r:id="rId2562" xr:uid="{00000000-0004-0000-0000-0000E40C0000}"/>
    <hyperlink ref="G3070" r:id="rId2563" xr:uid="{00000000-0004-0000-0000-0000E50C0000}"/>
    <hyperlink ref="S3071" r:id="rId2564" xr:uid="{00000000-0004-0000-0000-0000E60C0000}"/>
    <hyperlink ref="G3072" r:id="rId2565" xr:uid="{00000000-0004-0000-0000-0000E70C0000}"/>
    <hyperlink ref="S3072" r:id="rId2566" xr:uid="{00000000-0004-0000-0000-0000E80C0000}"/>
    <hyperlink ref="G3073" r:id="rId2567" xr:uid="{00000000-0004-0000-0000-0000E90C0000}"/>
    <hyperlink ref="G3076" r:id="rId2568" xr:uid="{00000000-0004-0000-0000-0000EA0C0000}"/>
    <hyperlink ref="G3077" r:id="rId2569" xr:uid="{00000000-0004-0000-0000-0000EC0C0000}"/>
    <hyperlink ref="G3078" r:id="rId2570" xr:uid="{00000000-0004-0000-0000-0000ED0C0000}"/>
    <hyperlink ref="G3080" r:id="rId2571" xr:uid="{00000000-0004-0000-0000-0000EF0C0000}"/>
    <hyperlink ref="G3081" r:id="rId2572" xr:uid="{00000000-0004-0000-0000-0000F00C0000}"/>
    <hyperlink ref="G3082" r:id="rId2573" xr:uid="{00000000-0004-0000-0000-0000F10C0000}"/>
    <hyperlink ref="G3083" r:id="rId2574" xr:uid="{00000000-0004-0000-0000-0000F20C0000}"/>
    <hyperlink ref="G3085" r:id="rId2575" xr:uid="{00000000-0004-0000-0000-0000F30C0000}"/>
    <hyperlink ref="S3087" r:id="rId2576" xr:uid="{00000000-0004-0000-0000-0000F40C0000}"/>
    <hyperlink ref="G3088" r:id="rId2577" xr:uid="{00000000-0004-0000-0000-0000F50C0000}"/>
    <hyperlink ref="S3089" r:id="rId2578" xr:uid="{00000000-0004-0000-0000-0000F60C0000}"/>
    <hyperlink ref="S3093" r:id="rId2579" xr:uid="{00000000-0004-0000-0000-0000F70C0000}"/>
    <hyperlink ref="G3094" r:id="rId2580" xr:uid="{00000000-0004-0000-0000-0000F90C0000}"/>
    <hyperlink ref="G3095" r:id="rId2581" xr:uid="{00000000-0004-0000-0000-0000FA0C0000}"/>
    <hyperlink ref="G3096" r:id="rId2582" xr:uid="{00000000-0004-0000-0000-0000FB0C0000}"/>
    <hyperlink ref="G3098" r:id="rId2583" xr:uid="{00000000-0004-0000-0000-0000FC0C0000}"/>
    <hyperlink ref="S3098" r:id="rId2584" xr:uid="{00000000-0004-0000-0000-0000FD0C0000}"/>
    <hyperlink ref="G3099" r:id="rId2585" xr:uid="{00000000-0004-0000-0000-0000FE0C0000}"/>
    <hyperlink ref="F3100" r:id="rId2586" xr:uid="{00000000-0004-0000-0000-0000000D0000}"/>
    <hyperlink ref="G3100" r:id="rId2587" xr:uid="{00000000-0004-0000-0000-0000010D0000}"/>
    <hyperlink ref="S3101" r:id="rId2588" xr:uid="{00000000-0004-0000-0000-0000020D0000}"/>
    <hyperlink ref="F3102" r:id="rId2589" xr:uid="{00000000-0004-0000-0000-0000030D0000}"/>
    <hyperlink ref="F3103" r:id="rId2590" xr:uid="{00000000-0004-0000-0000-0000040D0000}"/>
    <hyperlink ref="S3103" r:id="rId2591" xr:uid="{00000000-0004-0000-0000-0000050D0000}"/>
    <hyperlink ref="G3105" r:id="rId2592" xr:uid="{00000000-0004-0000-0000-0000060D0000}"/>
    <hyperlink ref="G3107" r:id="rId2593" xr:uid="{00000000-0004-0000-0000-0000070D0000}"/>
    <hyperlink ref="G3109" r:id="rId2594" xr:uid="{00000000-0004-0000-0000-0000080D0000}"/>
    <hyperlink ref="R3109" r:id="rId2595" xr:uid="{00000000-0004-0000-0000-0000090D0000}"/>
    <hyperlink ref="G3110" r:id="rId2596" xr:uid="{00000000-0004-0000-0000-00000A0D0000}"/>
    <hyperlink ref="S3110" r:id="rId2597" xr:uid="{00000000-0004-0000-0000-00000B0D0000}"/>
    <hyperlink ref="G3113" r:id="rId2598" xr:uid="{00000000-0004-0000-0000-00000C0D0000}"/>
    <hyperlink ref="G3115" r:id="rId2599" xr:uid="{00000000-0004-0000-0000-00000F0D0000}"/>
    <hyperlink ref="G3116" r:id="rId2600" xr:uid="{00000000-0004-0000-0000-0000110D0000}"/>
    <hyperlink ref="G3117" r:id="rId2601" xr:uid="{00000000-0004-0000-0000-0000120D0000}"/>
    <hyperlink ref="G3118" r:id="rId2602" xr:uid="{00000000-0004-0000-0000-0000130D0000}"/>
    <hyperlink ref="G3119" r:id="rId2603" xr:uid="{00000000-0004-0000-0000-0000140D0000}"/>
    <hyperlink ref="G3120" r:id="rId2604" xr:uid="{00000000-0004-0000-0000-0000150D0000}"/>
    <hyperlink ref="G3121" r:id="rId2605" xr:uid="{00000000-0004-0000-0000-0000160D0000}"/>
    <hyperlink ref="G3122" r:id="rId2606" xr:uid="{00000000-0004-0000-0000-0000180D0000}"/>
    <hyperlink ref="S3122" r:id="rId2607" xr:uid="{00000000-0004-0000-0000-0000190D0000}"/>
    <hyperlink ref="S3123" r:id="rId2608" xr:uid="{00000000-0004-0000-0000-00001A0D0000}"/>
    <hyperlink ref="G3124" r:id="rId2609" xr:uid="{00000000-0004-0000-0000-00001B0D0000}"/>
    <hyperlink ref="S3124" r:id="rId2610" xr:uid="{00000000-0004-0000-0000-00001C0D0000}"/>
    <hyperlink ref="G3125" r:id="rId2611" xr:uid="{00000000-0004-0000-0000-00001D0D0000}"/>
    <hyperlink ref="G3126" r:id="rId2612" xr:uid="{00000000-0004-0000-0000-00001E0D0000}"/>
    <hyperlink ref="G3127" r:id="rId2613" xr:uid="{00000000-0004-0000-0000-00001F0D0000}"/>
    <hyperlink ref="S3127" r:id="rId2614" xr:uid="{00000000-0004-0000-0000-0000200D0000}"/>
    <hyperlink ref="G3129" r:id="rId2615" xr:uid="{00000000-0004-0000-0000-0000210D0000}"/>
    <hyperlink ref="S3129" r:id="rId2616" xr:uid="{00000000-0004-0000-0000-0000220D0000}"/>
    <hyperlink ref="G3130" r:id="rId2617" xr:uid="{00000000-0004-0000-0000-0000230D0000}"/>
    <hyperlink ref="S3137" r:id="rId2618" xr:uid="{00000000-0004-0000-0000-0000250D0000}"/>
    <hyperlink ref="G3138" r:id="rId2619" xr:uid="{00000000-0004-0000-0000-0000260D0000}"/>
    <hyperlink ref="G3145" r:id="rId2620" xr:uid="{00000000-0004-0000-0000-0000280D0000}"/>
    <hyperlink ref="G3147" r:id="rId2621" xr:uid="{00000000-0004-0000-0000-00002B0D0000}"/>
    <hyperlink ref="F3148" r:id="rId2622" xr:uid="{00000000-0004-0000-0000-00002C0D0000}"/>
    <hyperlink ref="G3148" r:id="rId2623" xr:uid="{00000000-0004-0000-0000-00002D0D0000}"/>
    <hyperlink ref="F3149" r:id="rId2624" xr:uid="{00000000-0004-0000-0000-00002E0D0000}"/>
    <hyperlink ref="G3149" r:id="rId2625" xr:uid="{00000000-0004-0000-0000-00002F0D0000}"/>
    <hyperlink ref="S3149" r:id="rId2626" xr:uid="{00000000-0004-0000-0000-0000300D0000}"/>
    <hyperlink ref="G3151" r:id="rId2627" xr:uid="{00000000-0004-0000-0000-0000320D0000}"/>
    <hyperlink ref="G3154" r:id="rId2628" xr:uid="{00000000-0004-0000-0000-0000350D0000}"/>
    <hyperlink ref="S3154" r:id="rId2629" xr:uid="{00000000-0004-0000-0000-0000360D0000}"/>
    <hyperlink ref="G3157" r:id="rId2630" xr:uid="{00000000-0004-0000-0000-0000370D0000}"/>
    <hyperlink ref="S3157" r:id="rId2631" xr:uid="{00000000-0004-0000-0000-0000380D0000}"/>
    <hyperlink ref="G3159" r:id="rId2632" xr:uid="{00000000-0004-0000-0000-0000390D0000}"/>
    <hyperlink ref="G3160" r:id="rId2633" xr:uid="{00000000-0004-0000-0000-00003A0D0000}"/>
    <hyperlink ref="G3161" r:id="rId2634" xr:uid="{00000000-0004-0000-0000-00003B0D0000}"/>
    <hyperlink ref="S3161" r:id="rId2635" xr:uid="{00000000-0004-0000-0000-00003C0D0000}"/>
    <hyperlink ref="G3162" r:id="rId2636" xr:uid="{00000000-0004-0000-0000-00003F0D0000}"/>
    <hyperlink ref="G3165" r:id="rId2637" xr:uid="{00000000-0004-0000-0000-0000420D0000}"/>
    <hyperlink ref="G3168" r:id="rId2638" xr:uid="{00000000-0004-0000-0000-0000430D0000}"/>
    <hyperlink ref="G3171" r:id="rId2639" xr:uid="{00000000-0004-0000-0000-0000470D0000}"/>
    <hyperlink ref="S3171" r:id="rId2640" xr:uid="{00000000-0004-0000-0000-0000480D0000}"/>
    <hyperlink ref="F3172" r:id="rId2641" xr:uid="{00000000-0004-0000-0000-0000490D0000}"/>
    <hyperlink ref="S3172" r:id="rId2642" xr:uid="{00000000-0004-0000-0000-00004A0D0000}"/>
    <hyperlink ref="G3174" r:id="rId2643" xr:uid="{00000000-0004-0000-0000-00004C0D0000}"/>
    <hyperlink ref="G3177" r:id="rId2644" xr:uid="{00000000-0004-0000-0000-00004F0D0000}"/>
    <hyperlink ref="G3178" r:id="rId2645" xr:uid="{00000000-0004-0000-0000-0000510D0000}"/>
    <hyperlink ref="S3178" r:id="rId2646" xr:uid="{00000000-0004-0000-0000-0000520D0000}"/>
    <hyperlink ref="G3180" r:id="rId2647" xr:uid="{00000000-0004-0000-0000-0000530D0000}"/>
    <hyperlink ref="G3182" r:id="rId2648" xr:uid="{00000000-0004-0000-0000-0000540D0000}"/>
    <hyperlink ref="G3183" r:id="rId2649" xr:uid="{00000000-0004-0000-0000-0000550D0000}"/>
    <hyperlink ref="G3184" r:id="rId2650" xr:uid="{00000000-0004-0000-0000-00005A0D0000}"/>
    <hyperlink ref="S3185" r:id="rId2651" xr:uid="{00000000-0004-0000-0000-00005C0D0000}"/>
    <hyperlink ref="G3187" r:id="rId2652" xr:uid="{00000000-0004-0000-0000-00005D0D0000}"/>
    <hyperlink ref="S3189" r:id="rId2653" xr:uid="{00000000-0004-0000-0000-00005E0D0000}"/>
    <hyperlink ref="G3190" r:id="rId2654" xr:uid="{00000000-0004-0000-0000-00005F0D0000}"/>
    <hyperlink ref="S3190" r:id="rId2655" xr:uid="{00000000-0004-0000-0000-0000600D0000}"/>
    <hyperlink ref="G3192" r:id="rId2656" xr:uid="{00000000-0004-0000-0000-0000610D0000}"/>
    <hyperlink ref="G3194" r:id="rId2657" xr:uid="{00000000-0004-0000-0000-0000650D0000}"/>
    <hyperlink ref="G3195" r:id="rId2658" xr:uid="{00000000-0004-0000-0000-0000660D0000}"/>
    <hyperlink ref="F3196" r:id="rId2659" xr:uid="{00000000-0004-0000-0000-0000690D0000}"/>
    <hyperlink ref="G3196" r:id="rId2660" xr:uid="{00000000-0004-0000-0000-00006A0D0000}"/>
    <hyperlink ref="F3197" r:id="rId2661" xr:uid="{00000000-0004-0000-0000-00006B0D0000}"/>
    <hyperlink ref="G3197" r:id="rId2662" xr:uid="{00000000-0004-0000-0000-00006C0D0000}"/>
    <hyperlink ref="G3198" r:id="rId2663" xr:uid="{00000000-0004-0000-0000-00006D0D0000}"/>
    <hyperlink ref="G3199" r:id="rId2664" xr:uid="{00000000-0004-0000-0000-00006E0D0000}"/>
    <hyperlink ref="G3202" r:id="rId2665" xr:uid="{00000000-0004-0000-0000-0000710D0000}"/>
    <hyperlink ref="S3203" r:id="rId2666" xr:uid="{00000000-0004-0000-0000-0000720D0000}"/>
    <hyperlink ref="G3204" r:id="rId2667" xr:uid="{00000000-0004-0000-0000-0000730D0000}"/>
    <hyperlink ref="G3206" r:id="rId2668" xr:uid="{00000000-0004-0000-0000-0000750D0000}"/>
    <hyperlink ref="F3207" r:id="rId2669" xr:uid="{00000000-0004-0000-0000-0000760D0000}"/>
    <hyperlink ref="G3207" r:id="rId2670" xr:uid="{00000000-0004-0000-0000-0000770D0000}"/>
    <hyperlink ref="G3208" r:id="rId2671" xr:uid="{00000000-0004-0000-0000-0000790D0000}"/>
    <hyperlink ref="F3209" r:id="rId2672" location="home" xr:uid="{00000000-0004-0000-0000-00007A0D0000}"/>
    <hyperlink ref="G3209" r:id="rId2673" xr:uid="{00000000-0004-0000-0000-00007B0D0000}"/>
    <hyperlink ref="S3209" r:id="rId2674" location="home" xr:uid="{00000000-0004-0000-0000-00007C0D0000}"/>
    <hyperlink ref="F3210" r:id="rId2675" xr:uid="{00000000-0004-0000-0000-00007D0D0000}"/>
    <hyperlink ref="G3212" r:id="rId2676" xr:uid="{00000000-0004-0000-0000-00007E0D0000}"/>
    <hyperlink ref="S3213" r:id="rId2677" xr:uid="{00000000-0004-0000-0000-00007F0D0000}"/>
    <hyperlink ref="G3214" r:id="rId2678" xr:uid="{00000000-0004-0000-0000-0000800D0000}"/>
    <hyperlink ref="G3215" r:id="rId2679" xr:uid="{00000000-0004-0000-0000-0000810D0000}"/>
    <hyperlink ref="G3216" r:id="rId2680" xr:uid="{00000000-0004-0000-0000-0000820D0000}"/>
    <hyperlink ref="G3217" r:id="rId2681" xr:uid="{00000000-0004-0000-0000-0000840D0000}"/>
    <hyperlink ref="S3219" r:id="rId2682" xr:uid="{00000000-0004-0000-0000-0000860D0000}"/>
    <hyperlink ref="G3221" r:id="rId2683" xr:uid="{00000000-0004-0000-0000-0000870D0000}"/>
    <hyperlink ref="G3224" r:id="rId2684" xr:uid="{00000000-0004-0000-0000-00008A0D0000}"/>
    <hyperlink ref="F3225" r:id="rId2685" xr:uid="{00000000-0004-0000-0000-00008B0D0000}"/>
    <hyperlink ref="G3225" r:id="rId2686" xr:uid="{00000000-0004-0000-0000-00008C0D0000}"/>
    <hyperlink ref="G3227" r:id="rId2687" xr:uid="{00000000-0004-0000-0000-00008E0D0000}"/>
    <hyperlink ref="G3228" r:id="rId2688" xr:uid="{00000000-0004-0000-0000-00008F0D0000}"/>
    <hyperlink ref="G3229" r:id="rId2689" xr:uid="{00000000-0004-0000-0000-0000900D0000}"/>
    <hyperlink ref="G3230" r:id="rId2690" xr:uid="{00000000-0004-0000-0000-0000920D0000}"/>
    <hyperlink ref="S3230" r:id="rId2691" xr:uid="{00000000-0004-0000-0000-0000930D0000}"/>
    <hyperlink ref="F3231" r:id="rId2692" xr:uid="{00000000-0004-0000-0000-0000940D0000}"/>
    <hyperlink ref="G3233" r:id="rId2693" xr:uid="{00000000-0004-0000-0000-0000950D0000}"/>
    <hyperlink ref="G3235" r:id="rId2694" xr:uid="{00000000-0004-0000-0000-0000960D0000}"/>
    <hyperlink ref="S3237" r:id="rId2695" xr:uid="{00000000-0004-0000-0000-0000980D0000}"/>
    <hyperlink ref="G3239" r:id="rId2696" xr:uid="{00000000-0004-0000-0000-0000990D0000}"/>
    <hyperlink ref="S3240" r:id="rId2697" xr:uid="{00000000-0004-0000-0000-00009A0D0000}"/>
    <hyperlink ref="G3242" r:id="rId2698" xr:uid="{00000000-0004-0000-0000-00009B0D0000}"/>
    <hyperlink ref="S3242" r:id="rId2699" xr:uid="{00000000-0004-0000-0000-00009C0D0000}"/>
    <hyperlink ref="S3243" r:id="rId2700" xr:uid="{00000000-0004-0000-0000-00009D0D0000}"/>
    <hyperlink ref="G3245" r:id="rId2701" xr:uid="{00000000-0004-0000-0000-00009E0D0000}"/>
    <hyperlink ref="S3247" r:id="rId2702" xr:uid="{00000000-0004-0000-0000-00009F0D0000}"/>
    <hyperlink ref="G3248" r:id="rId2703" xr:uid="{00000000-0004-0000-0000-0000A00D0000}"/>
    <hyperlink ref="G3249" r:id="rId2704" xr:uid="{00000000-0004-0000-0000-0000A10D0000}"/>
    <hyperlink ref="G3251" r:id="rId2705" xr:uid="{00000000-0004-0000-0000-0000A20D0000}"/>
    <hyperlink ref="G3252" r:id="rId2706" xr:uid="{00000000-0004-0000-0000-0000A30D0000}"/>
    <hyperlink ref="S3253" r:id="rId2707" xr:uid="{00000000-0004-0000-0000-0000A40D0000}"/>
    <hyperlink ref="S3258" r:id="rId2708" xr:uid="{00000000-0004-0000-0000-0000A70D0000}"/>
    <hyperlink ref="F3261" r:id="rId2709" xr:uid="{00000000-0004-0000-0000-0000A90D0000}"/>
    <hyperlink ref="G3261" r:id="rId2710" xr:uid="{00000000-0004-0000-0000-0000AA0D0000}"/>
    <hyperlink ref="G3263" r:id="rId2711" xr:uid="{00000000-0004-0000-0000-0000AB0D0000}"/>
    <hyperlink ref="G3268" r:id="rId2712" xr:uid="{00000000-0004-0000-0000-0000AD0D0000}"/>
    <hyperlink ref="G3269" r:id="rId2713" xr:uid="{00000000-0004-0000-0000-0000B10D0000}"/>
    <hyperlink ref="G3270" r:id="rId2714" xr:uid="{00000000-0004-0000-0000-0000B20D0000}"/>
    <hyperlink ref="G3271" r:id="rId2715" xr:uid="{00000000-0004-0000-0000-0000B40D0000}"/>
    <hyperlink ref="G3272" r:id="rId2716" xr:uid="{00000000-0004-0000-0000-0000B50D0000}"/>
    <hyperlink ref="G3273" r:id="rId2717" xr:uid="{00000000-0004-0000-0000-0000B60D0000}"/>
    <hyperlink ref="G3274" r:id="rId2718" xr:uid="{00000000-0004-0000-0000-0000B70D0000}"/>
    <hyperlink ref="G3275" r:id="rId2719" xr:uid="{00000000-0004-0000-0000-0000B80D0000}"/>
    <hyperlink ref="G3278" r:id="rId2720" xr:uid="{00000000-0004-0000-0000-0000BA0D0000}"/>
    <hyperlink ref="S3279" r:id="rId2721" xr:uid="{00000000-0004-0000-0000-0000BD0D0000}"/>
    <hyperlink ref="G3281" r:id="rId2722" xr:uid="{00000000-0004-0000-0000-0000C00D0000}"/>
    <hyperlink ref="G3284" r:id="rId2723" xr:uid="{00000000-0004-0000-0000-0000C30D0000}"/>
    <hyperlink ref="S3284" r:id="rId2724" xr:uid="{00000000-0004-0000-0000-0000C40D0000}"/>
    <hyperlink ref="S3286" r:id="rId2725" xr:uid="{00000000-0004-0000-0000-0000C50D0000}"/>
    <hyperlink ref="G3287" r:id="rId2726" xr:uid="{00000000-0004-0000-0000-0000C60D0000}"/>
    <hyperlink ref="G3288" r:id="rId2727" xr:uid="{00000000-0004-0000-0000-0000C70D0000}"/>
    <hyperlink ref="G3289" r:id="rId2728" xr:uid="{00000000-0004-0000-0000-0000C80D0000}"/>
    <hyperlink ref="G3290" r:id="rId2729" xr:uid="{00000000-0004-0000-0000-0000CB0D0000}"/>
    <hyperlink ref="G3291" r:id="rId2730" xr:uid="{00000000-0004-0000-0000-0000CC0D0000}"/>
    <hyperlink ref="G3294" r:id="rId2731" xr:uid="{00000000-0004-0000-0000-0000CE0D0000}"/>
    <hyperlink ref="S3297" r:id="rId2732" xr:uid="{00000000-0004-0000-0000-0000CF0D0000}"/>
    <hyperlink ref="G3299" r:id="rId2733" xr:uid="{00000000-0004-0000-0000-0000D00D0000}"/>
    <hyperlink ref="S3300" r:id="rId2734" xr:uid="{00000000-0004-0000-0000-0000D20D0000}"/>
    <hyperlink ref="G3301" r:id="rId2735" xr:uid="{00000000-0004-0000-0000-0000D30D0000}"/>
    <hyperlink ref="G3304" r:id="rId2736" xr:uid="{00000000-0004-0000-0000-0000D40D0000}"/>
    <hyperlink ref="G3305" r:id="rId2737" xr:uid="{00000000-0004-0000-0000-0000D50D0000}"/>
    <hyperlink ref="G3307" r:id="rId2738" xr:uid="{00000000-0004-0000-0000-0000D80D0000}"/>
    <hyperlink ref="F3308" r:id="rId2739" xr:uid="{00000000-0004-0000-0000-0000D90D0000}"/>
    <hyperlink ref="S3310" r:id="rId2740" xr:uid="{00000000-0004-0000-0000-0000DA0D0000}"/>
    <hyperlink ref="G3312" r:id="rId2741" xr:uid="{00000000-0004-0000-0000-0000DB0D0000}"/>
    <hyperlink ref="G3314" r:id="rId2742" xr:uid="{00000000-0004-0000-0000-0000DC0D0000}"/>
    <hyperlink ref="G3315" r:id="rId2743" xr:uid="{00000000-0004-0000-0000-0000DD0D0000}"/>
    <hyperlink ref="S3316" r:id="rId2744" xr:uid="{00000000-0004-0000-0000-0000E00D0000}"/>
    <hyperlink ref="G3317" r:id="rId2745" xr:uid="{00000000-0004-0000-0000-0000E10D0000}"/>
    <hyperlink ref="G3319" r:id="rId2746" xr:uid="{00000000-0004-0000-0000-0000E20D0000}"/>
    <hyperlink ref="S3319" r:id="rId2747" xr:uid="{00000000-0004-0000-0000-0000E30D0000}"/>
    <hyperlink ref="G3321" r:id="rId2748" xr:uid="{00000000-0004-0000-0000-0000E50D0000}"/>
    <hyperlink ref="G3324" r:id="rId2749" xr:uid="{00000000-0004-0000-0000-0000E60D0000}"/>
    <hyperlink ref="G3326" r:id="rId2750" xr:uid="{00000000-0004-0000-0000-0000E70D0000}"/>
    <hyperlink ref="S3327" r:id="rId2751" xr:uid="{00000000-0004-0000-0000-0000E80D0000}"/>
    <hyperlink ref="G3329" r:id="rId2752" xr:uid="{00000000-0004-0000-0000-0000EA0D0000}"/>
    <hyperlink ref="S3329" r:id="rId2753" xr:uid="{00000000-0004-0000-0000-0000EB0D0000}"/>
    <hyperlink ref="S3334" r:id="rId2754" xr:uid="{00000000-0004-0000-0000-0000EC0D0000}"/>
    <hyperlink ref="G3335" r:id="rId2755" xr:uid="{00000000-0004-0000-0000-0000ED0D0000}"/>
    <hyperlink ref="G3336" r:id="rId2756" xr:uid="{00000000-0004-0000-0000-0000EF0D0000}"/>
    <hyperlink ref="G3337" r:id="rId2757" xr:uid="{00000000-0004-0000-0000-0000F00D0000}"/>
    <hyperlink ref="G3338" r:id="rId2758" xr:uid="{00000000-0004-0000-0000-0000F10D0000}"/>
    <hyperlink ref="G3345" r:id="rId2759" xr:uid="{00000000-0004-0000-0000-0000F20D0000}"/>
    <hyperlink ref="G3346" r:id="rId2760" xr:uid="{00000000-0004-0000-0000-0000F30D0000}"/>
    <hyperlink ref="G3347" r:id="rId2761" xr:uid="{00000000-0004-0000-0000-0000F50D0000}"/>
    <hyperlink ref="G3348" r:id="rId2762" xr:uid="{00000000-0004-0000-0000-0000F60D0000}"/>
    <hyperlink ref="G3358" r:id="rId2763" xr:uid="{00000000-0004-0000-0000-0000F80D0000}"/>
    <hyperlink ref="G3359" r:id="rId2764" xr:uid="{00000000-0004-0000-0000-0000F90D0000}"/>
    <hyperlink ref="G3360" r:id="rId2765" xr:uid="{00000000-0004-0000-0000-0000FA0D0000}"/>
    <hyperlink ref="G3361" r:id="rId2766" xr:uid="{00000000-0004-0000-0000-0000FB0D0000}"/>
    <hyperlink ref="G3364" r:id="rId2767" xr:uid="{00000000-0004-0000-0000-0000FC0D0000}"/>
    <hyperlink ref="G3366" r:id="rId2768" xr:uid="{00000000-0004-0000-0000-0000FD0D0000}"/>
    <hyperlink ref="G3367" r:id="rId2769" xr:uid="{00000000-0004-0000-0000-0000010E0000}"/>
    <hyperlink ref="S3367" r:id="rId2770" xr:uid="{00000000-0004-0000-0000-0000020E0000}"/>
    <hyperlink ref="G3369" r:id="rId2771" xr:uid="{00000000-0004-0000-0000-0000030E0000}"/>
    <hyperlink ref="F3372" r:id="rId2772" xr:uid="{00000000-0004-0000-0000-0000040E0000}"/>
    <hyperlink ref="G3372" r:id="rId2773" xr:uid="{00000000-0004-0000-0000-0000050E0000}"/>
    <hyperlink ref="G3373" r:id="rId2774" xr:uid="{00000000-0004-0000-0000-0000060E0000}"/>
    <hyperlink ref="S3375" r:id="rId2775" xr:uid="{00000000-0004-0000-0000-0000070E0000}"/>
    <hyperlink ref="G3376" r:id="rId2776" xr:uid="{00000000-0004-0000-0000-0000080E0000}"/>
    <hyperlink ref="G3377" r:id="rId2777" xr:uid="{00000000-0004-0000-0000-0000090E0000}"/>
    <hyperlink ref="G3378" r:id="rId2778" xr:uid="{00000000-0004-0000-0000-00000A0E0000}"/>
    <hyperlink ref="G3379" r:id="rId2779" xr:uid="{00000000-0004-0000-0000-00000C0E0000}"/>
    <hyperlink ref="G3380" r:id="rId2780" xr:uid="{00000000-0004-0000-0000-00000D0E0000}"/>
    <hyperlink ref="G3381" r:id="rId2781" xr:uid="{00000000-0004-0000-0000-00000E0E0000}"/>
    <hyperlink ref="G3382" r:id="rId2782" xr:uid="{00000000-0004-0000-0000-00000F0E0000}"/>
    <hyperlink ref="G3383" r:id="rId2783" xr:uid="{00000000-0004-0000-0000-0000100E0000}"/>
    <hyperlink ref="S3383" r:id="rId2784" xr:uid="{00000000-0004-0000-0000-0000110E0000}"/>
    <hyperlink ref="G3387" r:id="rId2785" xr:uid="{00000000-0004-0000-0000-0000120E0000}"/>
    <hyperlink ref="F3389" r:id="rId2786" xr:uid="{00000000-0004-0000-0000-0000130E0000}"/>
    <hyperlink ref="G3390" r:id="rId2787" xr:uid="{00000000-0004-0000-0000-0000150E0000}"/>
    <hyperlink ref="G3394" r:id="rId2788" xr:uid="{00000000-0004-0000-0000-0000170E0000}"/>
    <hyperlink ref="S3394" r:id="rId2789" xr:uid="{00000000-0004-0000-0000-0000180E0000}"/>
    <hyperlink ref="G3395" r:id="rId2790" xr:uid="{00000000-0004-0000-0000-0000190E0000}"/>
    <hyperlink ref="S3395" r:id="rId2791" xr:uid="{00000000-0004-0000-0000-00001A0E0000}"/>
    <hyperlink ref="G3396" r:id="rId2792" xr:uid="{00000000-0004-0000-0000-00001B0E0000}"/>
    <hyperlink ref="S3396" r:id="rId2793" xr:uid="{00000000-0004-0000-0000-00001C0E0000}"/>
    <hyperlink ref="G3399" r:id="rId2794" xr:uid="{00000000-0004-0000-0000-00001D0E0000}"/>
    <hyperlink ref="F3400" r:id="rId2795" xr:uid="{00000000-0004-0000-0000-00001E0E0000}"/>
    <hyperlink ref="G3401" r:id="rId2796" xr:uid="{00000000-0004-0000-0000-00001F0E0000}"/>
    <hyperlink ref="G3403" r:id="rId2797" xr:uid="{00000000-0004-0000-0000-0000200E0000}"/>
    <hyperlink ref="S3403" r:id="rId2798" xr:uid="{00000000-0004-0000-0000-0000210E0000}"/>
    <hyperlink ref="F3404" r:id="rId2799" xr:uid="{00000000-0004-0000-0000-0000220E0000}"/>
    <hyperlink ref="G3404" r:id="rId2800" xr:uid="{00000000-0004-0000-0000-0000230E0000}"/>
    <hyperlink ref="F3405" r:id="rId2801" xr:uid="{00000000-0004-0000-0000-0000240E0000}"/>
    <hyperlink ref="G3405" r:id="rId2802" xr:uid="{00000000-0004-0000-0000-0000250E0000}"/>
    <hyperlink ref="G3406" r:id="rId2803" xr:uid="{00000000-0004-0000-0000-0000260E0000}"/>
    <hyperlink ref="S3406" r:id="rId2804" xr:uid="{00000000-0004-0000-0000-0000270E0000}"/>
    <hyperlink ref="S3408" r:id="rId2805" xr:uid="{00000000-0004-0000-0000-0000280E0000}"/>
    <hyperlink ref="G3410" r:id="rId2806" xr:uid="{00000000-0004-0000-0000-0000290E0000}"/>
    <hyperlink ref="G3412" r:id="rId2807" xr:uid="{00000000-0004-0000-0000-00002D0E0000}"/>
    <hyperlink ref="G3416" r:id="rId2808" xr:uid="{00000000-0004-0000-0000-0000310E0000}"/>
    <hyperlink ref="G3417" r:id="rId2809" xr:uid="{00000000-0004-0000-0000-0000320E0000}"/>
    <hyperlink ref="S3418" r:id="rId2810" xr:uid="{00000000-0004-0000-0000-0000330E0000}"/>
    <hyperlink ref="S3419" r:id="rId2811" xr:uid="{00000000-0004-0000-0000-0000350E0000}"/>
    <hyperlink ref="G3420" r:id="rId2812" xr:uid="{00000000-0004-0000-0000-0000360E0000}"/>
    <hyperlink ref="G3421" r:id="rId2813" xr:uid="{00000000-0004-0000-0000-0000370E0000}"/>
    <hyperlink ref="G3422" r:id="rId2814" xr:uid="{00000000-0004-0000-0000-0000380E0000}"/>
    <hyperlink ref="G3424" r:id="rId2815" xr:uid="{00000000-0004-0000-0000-0000390E0000}"/>
    <hyperlink ref="G3426" r:id="rId2816" xr:uid="{00000000-0004-0000-0000-00003A0E0000}"/>
    <hyperlink ref="G3427" r:id="rId2817" xr:uid="{00000000-0004-0000-0000-00003B0E0000}"/>
    <hyperlink ref="G3428" r:id="rId2818" xr:uid="{00000000-0004-0000-0000-00003C0E0000}"/>
    <hyperlink ref="G3429" r:id="rId2819" xr:uid="{00000000-0004-0000-0000-00003D0E0000}"/>
    <hyperlink ref="S3430" r:id="rId2820" xr:uid="{00000000-0004-0000-0000-00003E0E0000}"/>
    <hyperlink ref="G3431" r:id="rId2821" xr:uid="{00000000-0004-0000-0000-00003F0E0000}"/>
    <hyperlink ref="G3432" r:id="rId2822" xr:uid="{00000000-0004-0000-0000-0000400E0000}"/>
    <hyperlink ref="G3433" r:id="rId2823" xr:uid="{00000000-0004-0000-0000-0000410E0000}"/>
    <hyperlink ref="G3435" r:id="rId2824" xr:uid="{00000000-0004-0000-0000-0000420E0000}"/>
    <hyperlink ref="G3436" r:id="rId2825" xr:uid="{00000000-0004-0000-0000-0000430E0000}"/>
    <hyperlink ref="G3437" r:id="rId2826" xr:uid="{00000000-0004-0000-0000-0000440E0000}"/>
    <hyperlink ref="G3439" r:id="rId2827" xr:uid="{00000000-0004-0000-0000-0000470E0000}"/>
    <hyperlink ref="G3440" r:id="rId2828" xr:uid="{00000000-0004-0000-0000-0000490E0000}"/>
    <hyperlink ref="G3442" r:id="rId2829" xr:uid="{00000000-0004-0000-0000-00004A0E0000}"/>
    <hyperlink ref="S3443" r:id="rId2830" xr:uid="{00000000-0004-0000-0000-00004B0E0000}"/>
    <hyperlink ref="G3444" r:id="rId2831" xr:uid="{00000000-0004-0000-0000-00004C0E0000}"/>
    <hyperlink ref="F3446" r:id="rId2832" xr:uid="{00000000-0004-0000-0000-00004E0E0000}"/>
    <hyperlink ref="G3448" r:id="rId2833" xr:uid="{00000000-0004-0000-0000-0000500E0000}"/>
    <hyperlink ref="F3449" r:id="rId2834" xr:uid="{00000000-0004-0000-0000-0000510E0000}"/>
    <hyperlink ref="G3449" r:id="rId2835" xr:uid="{00000000-0004-0000-0000-0000520E0000}"/>
    <hyperlink ref="G3450" r:id="rId2836" xr:uid="{00000000-0004-0000-0000-0000530E0000}"/>
    <hyperlink ref="G3451" r:id="rId2837" xr:uid="{00000000-0004-0000-0000-0000540E0000}"/>
    <hyperlink ref="G3452" r:id="rId2838" xr:uid="{00000000-0004-0000-0000-0000560E0000}"/>
    <hyperlink ref="S3452" r:id="rId2839" xr:uid="{00000000-0004-0000-0000-0000570E0000}"/>
    <hyperlink ref="G3453" r:id="rId2840" xr:uid="{00000000-0004-0000-0000-0000580E0000}"/>
    <hyperlink ref="G3454" r:id="rId2841" xr:uid="{00000000-0004-0000-0000-0000590E0000}"/>
    <hyperlink ref="G3455" r:id="rId2842" xr:uid="{00000000-0004-0000-0000-00005C0E0000}"/>
    <hyperlink ref="G3459" r:id="rId2843" xr:uid="{00000000-0004-0000-0000-00005F0E0000}"/>
    <hyperlink ref="G3461" r:id="rId2844" xr:uid="{00000000-0004-0000-0000-0000600E0000}"/>
    <hyperlink ref="G3462" r:id="rId2845" xr:uid="{00000000-0004-0000-0000-0000610E0000}"/>
    <hyperlink ref="F3463" r:id="rId2846" xr:uid="{00000000-0004-0000-0000-0000620E0000}"/>
    <hyperlink ref="G3463" r:id="rId2847" xr:uid="{00000000-0004-0000-0000-0000630E0000}"/>
    <hyperlink ref="G3464" r:id="rId2848" xr:uid="{00000000-0004-0000-0000-0000640E0000}"/>
    <hyperlink ref="S3464" r:id="rId2849" xr:uid="{00000000-0004-0000-0000-0000650E0000}"/>
    <hyperlink ref="G3465" r:id="rId2850" xr:uid="{00000000-0004-0000-0000-0000670E0000}"/>
    <hyperlink ref="F3466" r:id="rId2851" xr:uid="{00000000-0004-0000-0000-0000680E0000}"/>
    <hyperlink ref="G3466" r:id="rId2852" xr:uid="{00000000-0004-0000-0000-0000690E0000}"/>
    <hyperlink ref="G3467" r:id="rId2853" xr:uid="{00000000-0004-0000-0000-00006A0E0000}"/>
    <hyperlink ref="G3468" r:id="rId2854" xr:uid="{00000000-0004-0000-0000-00006B0E0000}"/>
    <hyperlink ref="G3469" r:id="rId2855" xr:uid="{00000000-0004-0000-0000-00006C0E0000}"/>
    <hyperlink ref="G3471" r:id="rId2856" xr:uid="{00000000-0004-0000-0000-00006F0E0000}"/>
    <hyperlink ref="S3471" r:id="rId2857" xr:uid="{00000000-0004-0000-0000-0000700E0000}"/>
    <hyperlink ref="G3472" r:id="rId2858" xr:uid="{00000000-0004-0000-0000-0000710E0000}"/>
    <hyperlink ref="G3473" r:id="rId2859" xr:uid="{00000000-0004-0000-0000-0000720E0000}"/>
    <hyperlink ref="S3473" r:id="rId2860" xr:uid="{00000000-0004-0000-0000-0000730E0000}"/>
    <hyperlink ref="G3474" r:id="rId2861" xr:uid="{00000000-0004-0000-0000-0000740E0000}"/>
    <hyperlink ref="G3475" r:id="rId2862" xr:uid="{00000000-0004-0000-0000-0000750E0000}"/>
    <hyperlink ref="G3476" r:id="rId2863" xr:uid="{00000000-0004-0000-0000-0000770E0000}"/>
    <hyperlink ref="G3477" r:id="rId2864" xr:uid="{00000000-0004-0000-0000-0000790E0000}"/>
    <hyperlink ref="G3480" r:id="rId2865" xr:uid="{00000000-0004-0000-0000-00007B0E0000}"/>
    <hyperlink ref="G3483" r:id="rId2866" xr:uid="{00000000-0004-0000-0000-00007C0E0000}"/>
    <hyperlink ref="G3484" r:id="rId2867" xr:uid="{00000000-0004-0000-0000-00007D0E0000}"/>
    <hyperlink ref="G3487" r:id="rId2868" xr:uid="{00000000-0004-0000-0000-00007E0E0000}"/>
    <hyperlink ref="G3490" r:id="rId2869" xr:uid="{00000000-0004-0000-0000-00007F0E0000}"/>
    <hyperlink ref="S3490" r:id="rId2870" xr:uid="{00000000-0004-0000-0000-0000800E0000}"/>
    <hyperlink ref="G3491" r:id="rId2871" xr:uid="{00000000-0004-0000-0000-0000810E0000}"/>
    <hyperlink ref="G3492" r:id="rId2872" xr:uid="{00000000-0004-0000-0000-0000830E0000}"/>
    <hyperlink ref="G3493" r:id="rId2873" xr:uid="{00000000-0004-0000-0000-0000840E0000}"/>
    <hyperlink ref="S3494" r:id="rId2874" xr:uid="{00000000-0004-0000-0000-0000850E0000}"/>
    <hyperlink ref="F3495" r:id="rId2875" xr:uid="{00000000-0004-0000-0000-0000860E0000}"/>
    <hyperlink ref="G3495" r:id="rId2876" xr:uid="{00000000-0004-0000-0000-0000870E0000}"/>
    <hyperlink ref="G3496" r:id="rId2877" xr:uid="{00000000-0004-0000-0000-0000880E0000}"/>
    <hyperlink ref="S3496" r:id="rId2878" xr:uid="{00000000-0004-0000-0000-0000890E0000}"/>
    <hyperlink ref="S3497" r:id="rId2879" xr:uid="{00000000-0004-0000-0000-00008A0E0000}"/>
    <hyperlink ref="F3498" r:id="rId2880" xr:uid="{00000000-0004-0000-0000-00008B0E0000}"/>
    <hyperlink ref="G3499" r:id="rId2881" xr:uid="{00000000-0004-0000-0000-00008C0E0000}"/>
    <hyperlink ref="S3499" r:id="rId2882" xr:uid="{00000000-0004-0000-0000-00008D0E0000}"/>
    <hyperlink ref="G3500" r:id="rId2883" xr:uid="{00000000-0004-0000-0000-00008E0E0000}"/>
    <hyperlink ref="F3502" r:id="rId2884" xr:uid="{00000000-0004-0000-0000-00008F0E0000}"/>
    <hyperlink ref="G3502" r:id="rId2885" xr:uid="{00000000-0004-0000-0000-0000900E0000}"/>
    <hyperlink ref="G3504" r:id="rId2886" xr:uid="{00000000-0004-0000-0000-0000950E0000}"/>
    <hyperlink ref="S3505" r:id="rId2887" xr:uid="{00000000-0004-0000-0000-0000960E0000}"/>
    <hyperlink ref="F3507" r:id="rId2888" xr:uid="{00000000-0004-0000-0000-0000970E0000}"/>
    <hyperlink ref="G3509" r:id="rId2889" xr:uid="{00000000-0004-0000-0000-0000980E0000}"/>
    <hyperlink ref="F3510" r:id="rId2890" xr:uid="{00000000-0004-0000-0000-0000990E0000}"/>
    <hyperlink ref="G3510" r:id="rId2891" xr:uid="{00000000-0004-0000-0000-00009A0E0000}"/>
    <hyperlink ref="S3510" r:id="rId2892" xr:uid="{00000000-0004-0000-0000-00009B0E0000}"/>
    <hyperlink ref="G3512" r:id="rId2893" xr:uid="{00000000-0004-0000-0000-00009C0E0000}"/>
    <hyperlink ref="R3512" r:id="rId2894" xr:uid="{00000000-0004-0000-0000-00009D0E0000}"/>
    <hyperlink ref="G3515" r:id="rId2895" xr:uid="{00000000-0004-0000-0000-00009E0E0000}"/>
    <hyperlink ref="F3518" r:id="rId2896" xr:uid="{00000000-0004-0000-0000-00009F0E0000}"/>
    <hyperlink ref="G3518" r:id="rId2897" xr:uid="{00000000-0004-0000-0000-0000A00E0000}"/>
    <hyperlink ref="G3522" r:id="rId2898" xr:uid="{00000000-0004-0000-0000-0000A10E0000}"/>
    <hyperlink ref="G3523" r:id="rId2899" xr:uid="{00000000-0004-0000-0000-0000A20E0000}"/>
    <hyperlink ref="G3524" r:id="rId2900" xr:uid="{00000000-0004-0000-0000-0000A30E0000}"/>
    <hyperlink ref="S3524" r:id="rId2901" xr:uid="{00000000-0004-0000-0000-0000A40E0000}"/>
    <hyperlink ref="G3525" r:id="rId2902" xr:uid="{00000000-0004-0000-0000-0000A50E0000}"/>
    <hyperlink ref="G3526" r:id="rId2903" xr:uid="{00000000-0004-0000-0000-0000A60E0000}"/>
    <hyperlink ref="F3527" r:id="rId2904" xr:uid="{00000000-0004-0000-0000-0000A70E0000}"/>
    <hyperlink ref="G3527" r:id="rId2905" xr:uid="{00000000-0004-0000-0000-0000A80E0000}"/>
    <hyperlink ref="G3528" r:id="rId2906" xr:uid="{00000000-0004-0000-0000-0000A90E0000}"/>
    <hyperlink ref="G3532" r:id="rId2907" xr:uid="{00000000-0004-0000-0000-0000AC0E0000}"/>
    <hyperlink ref="G3533" r:id="rId2908" xr:uid="{00000000-0004-0000-0000-0000AE0E0000}"/>
    <hyperlink ref="G3534" r:id="rId2909" xr:uid="{00000000-0004-0000-0000-0000AF0E0000}"/>
    <hyperlink ref="F3537" r:id="rId2910" xr:uid="{00000000-0004-0000-0000-0000B20E0000}"/>
    <hyperlink ref="G3537" r:id="rId2911" xr:uid="{00000000-0004-0000-0000-0000B30E0000}"/>
    <hyperlink ref="S3541" r:id="rId2912" xr:uid="{00000000-0004-0000-0000-0000B40E0000}"/>
    <hyperlink ref="G3542" r:id="rId2913" xr:uid="{00000000-0004-0000-0000-0000B50E0000}"/>
    <hyperlink ref="F3543" r:id="rId2914" xr:uid="{00000000-0004-0000-0000-0000B60E0000}"/>
    <hyperlink ref="G3543" r:id="rId2915" xr:uid="{00000000-0004-0000-0000-0000B70E0000}"/>
    <hyperlink ref="G3544" r:id="rId2916" xr:uid="{00000000-0004-0000-0000-0000B80E0000}"/>
    <hyperlink ref="S3544" r:id="rId2917" xr:uid="{00000000-0004-0000-0000-0000B90E0000}"/>
    <hyperlink ref="G3545" r:id="rId2918" xr:uid="{00000000-0004-0000-0000-0000BA0E0000}"/>
    <hyperlink ref="G3548" r:id="rId2919" xr:uid="{00000000-0004-0000-0000-0000BB0E0000}"/>
    <hyperlink ref="G3549" r:id="rId2920" xr:uid="{00000000-0004-0000-0000-0000BC0E0000}"/>
    <hyperlink ref="F3551" r:id="rId2921" xr:uid="{00000000-0004-0000-0000-0000BD0E0000}"/>
    <hyperlink ref="G3551" r:id="rId2922" xr:uid="{00000000-0004-0000-0000-0000BE0E0000}"/>
    <hyperlink ref="G3552" r:id="rId2923" xr:uid="{00000000-0004-0000-0000-0000BF0E0000}"/>
    <hyperlink ref="G3554" r:id="rId2924" xr:uid="{00000000-0004-0000-0000-0000C00E0000}"/>
    <hyperlink ref="S3554" r:id="rId2925" xr:uid="{00000000-0004-0000-0000-0000C10E0000}"/>
    <hyperlink ref="G3555" r:id="rId2926" xr:uid="{00000000-0004-0000-0000-0000C20E0000}"/>
    <hyperlink ref="G3556" r:id="rId2927" xr:uid="{00000000-0004-0000-0000-0000C30E0000}"/>
    <hyperlink ref="G3557" r:id="rId2928" xr:uid="{00000000-0004-0000-0000-0000C40E0000}"/>
    <hyperlink ref="F3558" r:id="rId2929" xr:uid="{00000000-0004-0000-0000-0000C50E0000}"/>
    <hyperlink ref="G3558" r:id="rId2930" xr:uid="{00000000-0004-0000-0000-0000C60E0000}"/>
    <hyperlink ref="G3560" r:id="rId2931" xr:uid="{00000000-0004-0000-0000-0000C70E0000}"/>
    <hyperlink ref="S3561" r:id="rId2932" xr:uid="{00000000-0004-0000-0000-0000C80E0000}"/>
    <hyperlink ref="G3562" r:id="rId2933" xr:uid="{00000000-0004-0000-0000-0000CA0E0000}"/>
    <hyperlink ref="S3562" r:id="rId2934" xr:uid="{00000000-0004-0000-0000-0000CB0E0000}"/>
    <hyperlink ref="G3563" r:id="rId2935" xr:uid="{00000000-0004-0000-0000-0000CC0E0000}"/>
    <hyperlink ref="F3568" r:id="rId2936" xr:uid="{00000000-0004-0000-0000-0000CF0E0000}"/>
    <hyperlink ref="G3568" r:id="rId2937" xr:uid="{00000000-0004-0000-0000-0000D00E0000}"/>
    <hyperlink ref="F3572" r:id="rId2938" xr:uid="{00000000-0004-0000-0000-0000D10E0000}"/>
    <hyperlink ref="G3573" r:id="rId2939" xr:uid="{00000000-0004-0000-0000-0000D20E0000}"/>
    <hyperlink ref="G3574" r:id="rId2940" xr:uid="{00000000-0004-0000-0000-0000D30E0000}"/>
    <hyperlink ref="S3574" r:id="rId2941" xr:uid="{00000000-0004-0000-0000-0000D40E0000}"/>
    <hyperlink ref="G3575" r:id="rId2942" xr:uid="{00000000-0004-0000-0000-0000D70E0000}"/>
    <hyperlink ref="S3575" r:id="rId2943" xr:uid="{00000000-0004-0000-0000-0000D80E0000}"/>
    <hyperlink ref="G3576" r:id="rId2944" xr:uid="{00000000-0004-0000-0000-0000D90E0000}"/>
    <hyperlink ref="G3578" r:id="rId2945" xr:uid="{00000000-0004-0000-0000-0000DA0E0000}"/>
    <hyperlink ref="S3578" r:id="rId2946" xr:uid="{00000000-0004-0000-0000-0000DB0E0000}"/>
    <hyperlink ref="S3579" r:id="rId2947" xr:uid="{00000000-0004-0000-0000-0000DC0E0000}"/>
    <hyperlink ref="G3580" r:id="rId2948" xr:uid="{00000000-0004-0000-0000-0000DE0E0000}"/>
    <hyperlink ref="G3581" r:id="rId2949" xr:uid="{00000000-0004-0000-0000-0000E10E0000}"/>
    <hyperlink ref="G3582" r:id="rId2950" xr:uid="{00000000-0004-0000-0000-0000E20E0000}"/>
    <hyperlink ref="G3584" r:id="rId2951" xr:uid="{00000000-0004-0000-0000-0000E30E0000}"/>
    <hyperlink ref="S3585" r:id="rId2952" xr:uid="{00000000-0004-0000-0000-0000E40E0000}"/>
    <hyperlink ref="G3586" r:id="rId2953" xr:uid="{00000000-0004-0000-0000-0000E50E0000}"/>
    <hyperlink ref="G3590" r:id="rId2954" xr:uid="{00000000-0004-0000-0000-0000E60E0000}"/>
    <hyperlink ref="G3591" r:id="rId2955" xr:uid="{00000000-0004-0000-0000-0000E70E0000}"/>
    <hyperlink ref="G3593" r:id="rId2956" xr:uid="{00000000-0004-0000-0000-0000E80E0000}"/>
    <hyperlink ref="S3593" r:id="rId2957" xr:uid="{00000000-0004-0000-0000-0000E90E0000}"/>
    <hyperlink ref="G3594" r:id="rId2958" xr:uid="{00000000-0004-0000-0000-0000EA0E0000}"/>
    <hyperlink ref="C3595" r:id="rId2959" xr:uid="{00000000-0004-0000-0000-0000EB0E0000}"/>
    <hyperlink ref="F3595" r:id="rId2960" xr:uid="{00000000-0004-0000-0000-0000EC0E0000}"/>
    <hyperlink ref="S3595" r:id="rId2961" xr:uid="{00000000-0004-0000-0000-0000ED0E0000}"/>
    <hyperlink ref="G3596" r:id="rId2962" xr:uid="{00000000-0004-0000-0000-0000EE0E0000}"/>
    <hyperlink ref="G3597" r:id="rId2963" xr:uid="{00000000-0004-0000-0000-0000EF0E0000}"/>
    <hyperlink ref="G3601" r:id="rId2964" xr:uid="{00000000-0004-0000-0000-0000F00E0000}"/>
    <hyperlink ref="G3605" r:id="rId2965" xr:uid="{00000000-0004-0000-0000-0000F10E0000}"/>
    <hyperlink ref="S3605" r:id="rId2966" xr:uid="{00000000-0004-0000-0000-0000F20E0000}"/>
    <hyperlink ref="G3606" r:id="rId2967" xr:uid="{00000000-0004-0000-0000-0000F30E0000}"/>
    <hyperlink ref="S3606" r:id="rId2968" xr:uid="{00000000-0004-0000-0000-0000F40E0000}"/>
    <hyperlink ref="F3608" r:id="rId2969" xr:uid="{00000000-0004-0000-0000-0000F60E0000}"/>
    <hyperlink ref="G3608" r:id="rId2970" xr:uid="{00000000-0004-0000-0000-0000F70E0000}"/>
    <hyperlink ref="G3610" r:id="rId2971" xr:uid="{00000000-0004-0000-0000-0000F80E0000}"/>
    <hyperlink ref="G3611" r:id="rId2972" xr:uid="{00000000-0004-0000-0000-0000F90E0000}"/>
    <hyperlink ref="G3612" r:id="rId2973" xr:uid="{00000000-0004-0000-0000-0000FA0E0000}"/>
    <hyperlink ref="G3615" r:id="rId2974" xr:uid="{00000000-0004-0000-0000-0000FD0E0000}"/>
    <hyperlink ref="G3616" r:id="rId2975" xr:uid="{00000000-0004-0000-0000-0000FE0E0000}"/>
    <hyperlink ref="G3617" r:id="rId2976" xr:uid="{00000000-0004-0000-0000-0000FF0E0000}"/>
    <hyperlink ref="F3618" r:id="rId2977" xr:uid="{00000000-0004-0000-0000-0000000F0000}"/>
    <hyperlink ref="G3619" r:id="rId2978" xr:uid="{00000000-0004-0000-0000-0000010F0000}"/>
    <hyperlink ref="G3620" r:id="rId2979" xr:uid="{00000000-0004-0000-0000-0000020F0000}"/>
    <hyperlink ref="G3621" r:id="rId2980" xr:uid="{00000000-0004-0000-0000-0000030F0000}"/>
    <hyperlink ref="F3624" r:id="rId2981" xr:uid="{00000000-0004-0000-0000-0000040F0000}"/>
    <hyperlink ref="G3624" r:id="rId2982" xr:uid="{00000000-0004-0000-0000-0000050F0000}"/>
    <hyperlink ref="S3624" r:id="rId2983" xr:uid="{00000000-0004-0000-0000-0000060F0000}"/>
    <hyperlink ref="G3625" r:id="rId2984" xr:uid="{00000000-0004-0000-0000-0000070F0000}"/>
    <hyperlink ref="S3625" r:id="rId2985" xr:uid="{00000000-0004-0000-0000-0000080F0000}"/>
    <hyperlink ref="S3628" r:id="rId2986" xr:uid="{00000000-0004-0000-0000-00000B0F0000}"/>
    <hyperlink ref="G3629" r:id="rId2987" xr:uid="{00000000-0004-0000-0000-00000C0F0000}"/>
    <hyperlink ref="S3629" r:id="rId2988" xr:uid="{00000000-0004-0000-0000-00000D0F0000}"/>
    <hyperlink ref="S3632" r:id="rId2989" xr:uid="{00000000-0004-0000-0000-00000F0F0000}"/>
    <hyperlink ref="G3633" r:id="rId2990" xr:uid="{00000000-0004-0000-0000-0000100F0000}"/>
    <hyperlink ref="G3634" r:id="rId2991" xr:uid="{00000000-0004-0000-0000-0000120F0000}"/>
    <hyperlink ref="G3635" r:id="rId2992" xr:uid="{00000000-0004-0000-0000-0000130F0000}"/>
    <hyperlink ref="G3638" r:id="rId2993" xr:uid="{00000000-0004-0000-0000-0000150F0000}"/>
    <hyperlink ref="F3640" r:id="rId2994" xr:uid="{00000000-0004-0000-0000-0000170F0000}"/>
    <hyperlink ref="G3640" r:id="rId2995" xr:uid="{00000000-0004-0000-0000-0000180F0000}"/>
    <hyperlink ref="S3640" r:id="rId2996" xr:uid="{00000000-0004-0000-0000-0000190F0000}"/>
    <hyperlink ref="G3643" r:id="rId2997" xr:uid="{00000000-0004-0000-0000-00001B0F0000}"/>
    <hyperlink ref="G3644" r:id="rId2998" xr:uid="{00000000-0004-0000-0000-00001C0F0000}"/>
    <hyperlink ref="S3644" r:id="rId2999" xr:uid="{00000000-0004-0000-0000-00001D0F0000}"/>
    <hyperlink ref="G3646" r:id="rId3000" xr:uid="{00000000-0004-0000-0000-00001E0F0000}"/>
    <hyperlink ref="G3647" r:id="rId3001" xr:uid="{00000000-0004-0000-0000-0000230F0000}"/>
    <hyperlink ref="G3650" r:id="rId3002" xr:uid="{00000000-0004-0000-0000-0000240F0000}"/>
    <hyperlink ref="F3651" r:id="rId3003" xr:uid="{00000000-0004-0000-0000-0000250F0000}"/>
    <hyperlink ref="S3651" r:id="rId3004" xr:uid="{00000000-0004-0000-0000-0000260F0000}"/>
    <hyperlink ref="F3653" r:id="rId3005" xr:uid="{00000000-0004-0000-0000-0000270F0000}"/>
    <hyperlink ref="S3653" r:id="rId3006" xr:uid="{00000000-0004-0000-0000-0000280F0000}"/>
    <hyperlink ref="F3655" r:id="rId3007" xr:uid="{00000000-0004-0000-0000-00002A0F0000}"/>
    <hyperlink ref="G3655" r:id="rId3008" xr:uid="{00000000-0004-0000-0000-00002B0F0000}"/>
    <hyperlink ref="S3655" r:id="rId3009" xr:uid="{00000000-0004-0000-0000-00002C0F0000}"/>
    <hyperlink ref="F3656" r:id="rId3010" xr:uid="{00000000-0004-0000-0000-00002D0F0000}"/>
    <hyperlink ref="F3658" r:id="rId3011" xr:uid="{00000000-0004-0000-0000-00002E0F0000}"/>
    <hyperlink ref="G3658" r:id="rId3012" xr:uid="{00000000-0004-0000-0000-00002F0F0000}"/>
    <hyperlink ref="G3659" r:id="rId3013" xr:uid="{00000000-0004-0000-0000-0000300F0000}"/>
    <hyperlink ref="G3664" r:id="rId3014" xr:uid="{00000000-0004-0000-0000-0000310F0000}"/>
    <hyperlink ref="G3665" r:id="rId3015" xr:uid="{00000000-0004-0000-0000-0000320F0000}"/>
    <hyperlink ref="F3666" r:id="rId3016" xr:uid="{00000000-0004-0000-0000-0000340F0000}"/>
    <hyperlink ref="G3666" r:id="rId3017" xr:uid="{00000000-0004-0000-0000-0000350F0000}"/>
    <hyperlink ref="G3669" r:id="rId3018" xr:uid="{00000000-0004-0000-0000-0000370F0000}"/>
    <hyperlink ref="G3670" r:id="rId3019" xr:uid="{00000000-0004-0000-0000-0000380F0000}"/>
    <hyperlink ref="G3671" r:id="rId3020" xr:uid="{00000000-0004-0000-0000-0000390F0000}"/>
    <hyperlink ref="G3672" r:id="rId3021" xr:uid="{00000000-0004-0000-0000-00003A0F0000}"/>
    <hyperlink ref="G3673" r:id="rId3022" xr:uid="{00000000-0004-0000-0000-00003B0F0000}"/>
    <hyperlink ref="G3674" r:id="rId3023" xr:uid="{00000000-0004-0000-0000-00003C0F0000}"/>
    <hyperlink ref="G3677" r:id="rId3024" xr:uid="{00000000-0004-0000-0000-00003D0F0000}"/>
    <hyperlink ref="S3677" r:id="rId3025" xr:uid="{00000000-0004-0000-0000-00003E0F0000}"/>
    <hyperlink ref="F3679" r:id="rId3026" xr:uid="{00000000-0004-0000-0000-00003F0F0000}"/>
    <hyperlink ref="G3679" r:id="rId3027" xr:uid="{00000000-0004-0000-0000-0000400F0000}"/>
    <hyperlink ref="G3680" r:id="rId3028" xr:uid="{00000000-0004-0000-0000-0000410F0000}"/>
    <hyperlink ref="G3681" r:id="rId3029" xr:uid="{00000000-0004-0000-0000-0000420F0000}"/>
    <hyperlink ref="S3681" r:id="rId3030" xr:uid="{00000000-0004-0000-0000-0000430F0000}"/>
    <hyperlink ref="F3682" r:id="rId3031" xr:uid="{00000000-0004-0000-0000-0000440F0000}"/>
    <hyperlink ref="G3682" r:id="rId3032" xr:uid="{00000000-0004-0000-0000-0000450F0000}"/>
    <hyperlink ref="G3685" r:id="rId3033" xr:uid="{00000000-0004-0000-0000-0000470F0000}"/>
    <hyperlink ref="S3685" r:id="rId3034" xr:uid="{00000000-0004-0000-0000-0000480F0000}"/>
    <hyperlink ref="S3686" r:id="rId3035" xr:uid="{00000000-0004-0000-0000-00004A0F0000}"/>
    <hyperlink ref="S3689" r:id="rId3036" xr:uid="{00000000-0004-0000-0000-00004B0F0000}"/>
    <hyperlink ref="G3692" r:id="rId3037" xr:uid="{00000000-0004-0000-0000-00004C0F0000}"/>
    <hyperlink ref="G3693" r:id="rId3038" xr:uid="{00000000-0004-0000-0000-00004D0F0000}"/>
    <hyperlink ref="G3694" r:id="rId3039" xr:uid="{00000000-0004-0000-0000-00004E0F0000}"/>
    <hyperlink ref="G3696" r:id="rId3040" xr:uid="{00000000-0004-0000-0000-00004F0F0000}"/>
    <hyperlink ref="G3697" r:id="rId3041" xr:uid="{00000000-0004-0000-0000-0000510F0000}"/>
    <hyperlink ref="G3700" r:id="rId3042" xr:uid="{00000000-0004-0000-0000-0000520F0000}"/>
    <hyperlink ref="S3700" r:id="rId3043" xr:uid="{00000000-0004-0000-0000-0000530F0000}"/>
    <hyperlink ref="G3701" r:id="rId3044" xr:uid="{00000000-0004-0000-0000-0000570F0000}"/>
    <hyperlink ref="G3702" r:id="rId3045" xr:uid="{00000000-0004-0000-0000-0000590F0000}"/>
    <hyperlink ref="G3703" r:id="rId3046" xr:uid="{00000000-0004-0000-0000-00005A0F0000}"/>
    <hyperlink ref="G3705" r:id="rId3047" xr:uid="{00000000-0004-0000-0000-00005C0F0000}"/>
    <hyperlink ref="G3707" r:id="rId3048" xr:uid="{00000000-0004-0000-0000-00005D0F0000}"/>
    <hyperlink ref="G3709" r:id="rId3049" xr:uid="{00000000-0004-0000-0000-00005E0F0000}"/>
    <hyperlink ref="G3710" r:id="rId3050" xr:uid="{00000000-0004-0000-0000-00005F0F0000}"/>
    <hyperlink ref="G3711" r:id="rId3051" xr:uid="{00000000-0004-0000-0000-0000610F0000}"/>
    <hyperlink ref="S3712" r:id="rId3052" xr:uid="{00000000-0004-0000-0000-0000620F0000}"/>
    <hyperlink ref="G3713" r:id="rId3053" xr:uid="{00000000-0004-0000-0000-0000650F0000}"/>
    <hyperlink ref="G3715" r:id="rId3054" xr:uid="{00000000-0004-0000-0000-0000670F0000}"/>
    <hyperlink ref="G3716" r:id="rId3055" xr:uid="{00000000-0004-0000-0000-0000680F0000}"/>
    <hyperlink ref="G3718" r:id="rId3056" xr:uid="{00000000-0004-0000-0000-0000690F0000}"/>
    <hyperlink ref="G3720" r:id="rId3057" xr:uid="{00000000-0004-0000-0000-00006A0F0000}"/>
    <hyperlink ref="G3721" r:id="rId3058" xr:uid="{00000000-0004-0000-0000-00006B0F0000}"/>
    <hyperlink ref="G3722" r:id="rId3059" xr:uid="{00000000-0004-0000-0000-00006C0F0000}"/>
    <hyperlink ref="G3728" r:id="rId3060" xr:uid="{00000000-0004-0000-0000-0000710F0000}"/>
    <hyperlink ref="G3732" r:id="rId3061" xr:uid="{00000000-0004-0000-0000-0000730F0000}"/>
    <hyperlink ref="G3734" r:id="rId3062" xr:uid="{00000000-0004-0000-0000-0000740F0000}"/>
    <hyperlink ref="G3735" r:id="rId3063" xr:uid="{00000000-0004-0000-0000-0000750F0000}"/>
    <hyperlink ref="S3735" r:id="rId3064" xr:uid="{00000000-0004-0000-0000-0000760F0000}"/>
    <hyperlink ref="G3737" r:id="rId3065" xr:uid="{00000000-0004-0000-0000-0000770F0000}"/>
    <hyperlink ref="S3737" r:id="rId3066" xr:uid="{00000000-0004-0000-0000-0000780F0000}"/>
    <hyperlink ref="F3738" r:id="rId3067" xr:uid="{00000000-0004-0000-0000-0000790F0000}"/>
    <hyperlink ref="G3740" r:id="rId3068" xr:uid="{00000000-0004-0000-0000-00007A0F0000}"/>
    <hyperlink ref="S3743" r:id="rId3069" xr:uid="{00000000-0004-0000-0000-00007B0F0000}"/>
    <hyperlink ref="G3744" r:id="rId3070" xr:uid="{00000000-0004-0000-0000-00007C0F0000}"/>
    <hyperlink ref="F3746" r:id="rId3071" xr:uid="{00000000-0004-0000-0000-00007D0F0000}"/>
    <hyperlink ref="G3748" r:id="rId3072" xr:uid="{00000000-0004-0000-0000-00007E0F0000}"/>
    <hyperlink ref="G3750" r:id="rId3073" xr:uid="{00000000-0004-0000-0000-00007F0F0000}"/>
    <hyperlink ref="S3750" r:id="rId3074" xr:uid="{00000000-0004-0000-0000-0000800F0000}"/>
    <hyperlink ref="F3753" r:id="rId3075" xr:uid="{00000000-0004-0000-0000-0000820F0000}"/>
    <hyperlink ref="S3753" r:id="rId3076" xr:uid="{00000000-0004-0000-0000-0000830F0000}"/>
    <hyperlink ref="G3755" r:id="rId3077" xr:uid="{00000000-0004-0000-0000-0000840F0000}"/>
    <hyperlink ref="G3756" r:id="rId3078" xr:uid="{00000000-0004-0000-0000-0000850F0000}"/>
    <hyperlink ref="G3759" r:id="rId3079" xr:uid="{00000000-0004-0000-0000-0000860F0000}"/>
    <hyperlink ref="G3760" r:id="rId3080" xr:uid="{00000000-0004-0000-0000-0000880F0000}"/>
    <hyperlink ref="F3761" r:id="rId3081" xr:uid="{00000000-0004-0000-0000-0000890F0000}"/>
    <hyperlink ref="G3761" r:id="rId3082" xr:uid="{00000000-0004-0000-0000-00008A0F0000}"/>
    <hyperlink ref="G3763" r:id="rId3083" xr:uid="{00000000-0004-0000-0000-00008B0F0000}"/>
    <hyperlink ref="S3763" r:id="rId3084" xr:uid="{00000000-0004-0000-0000-00008C0F0000}"/>
    <hyperlink ref="G3764" r:id="rId3085" xr:uid="{00000000-0004-0000-0000-00008D0F0000}"/>
    <hyperlink ref="G3765" r:id="rId3086" xr:uid="{00000000-0004-0000-0000-00008E0F0000}"/>
    <hyperlink ref="G3766" r:id="rId3087" xr:uid="{00000000-0004-0000-0000-00008F0F0000}"/>
    <hyperlink ref="S3766" r:id="rId3088" xr:uid="{00000000-0004-0000-0000-0000900F0000}"/>
    <hyperlink ref="S3770" r:id="rId3089" xr:uid="{00000000-0004-0000-0000-0000940F0000}"/>
    <hyperlink ref="F3772" r:id="rId3090" xr:uid="{00000000-0004-0000-0000-0000950F0000}"/>
    <hyperlink ref="G3772" r:id="rId3091" xr:uid="{00000000-0004-0000-0000-0000960F0000}"/>
    <hyperlink ref="G3773" r:id="rId3092" xr:uid="{00000000-0004-0000-0000-0000970F0000}"/>
    <hyperlink ref="S3773" r:id="rId3093" xr:uid="{00000000-0004-0000-0000-0000980F0000}"/>
    <hyperlink ref="G3775" r:id="rId3094" xr:uid="{00000000-0004-0000-0000-0000990F0000}"/>
    <hyperlink ref="G3776" r:id="rId3095" xr:uid="{00000000-0004-0000-0000-00009A0F0000}"/>
    <hyperlink ref="G3777" r:id="rId3096" xr:uid="{00000000-0004-0000-0000-00009C0F0000}"/>
    <hyperlink ref="F3778" r:id="rId3097" xr:uid="{00000000-0004-0000-0000-00009D0F0000}"/>
    <hyperlink ref="G3778" r:id="rId3098" xr:uid="{00000000-0004-0000-0000-00009E0F0000}"/>
    <hyperlink ref="G3780" r:id="rId3099" xr:uid="{00000000-0004-0000-0000-00009F0F0000}"/>
    <hyperlink ref="G3781" r:id="rId3100" xr:uid="{00000000-0004-0000-0000-0000A00F0000}"/>
    <hyperlink ref="G3784" r:id="rId3101" xr:uid="{00000000-0004-0000-0000-0000A30F0000}"/>
    <hyperlink ref="S3784" r:id="rId3102" xr:uid="{00000000-0004-0000-0000-0000A40F0000}"/>
    <hyperlink ref="G3787" r:id="rId3103" xr:uid="{00000000-0004-0000-0000-0000A50F0000}"/>
    <hyperlink ref="G3788" r:id="rId3104" xr:uid="{00000000-0004-0000-0000-0000A60F0000}"/>
    <hyperlink ref="G3789" r:id="rId3105" xr:uid="{00000000-0004-0000-0000-0000A70F0000}"/>
    <hyperlink ref="S3789" r:id="rId3106" xr:uid="{00000000-0004-0000-0000-0000A80F0000}"/>
    <hyperlink ref="G3790" r:id="rId3107" xr:uid="{00000000-0004-0000-0000-0000A90F0000}"/>
    <hyperlink ref="G3791" r:id="rId3108" xr:uid="{00000000-0004-0000-0000-0000AA0F0000}"/>
    <hyperlink ref="G3792" r:id="rId3109" xr:uid="{00000000-0004-0000-0000-0000AB0F0000}"/>
    <hyperlink ref="G3793" r:id="rId3110" xr:uid="{00000000-0004-0000-0000-0000AC0F0000}"/>
    <hyperlink ref="G3795" r:id="rId3111" xr:uid="{00000000-0004-0000-0000-0000AD0F0000}"/>
    <hyperlink ref="G3796" r:id="rId3112" xr:uid="{00000000-0004-0000-0000-0000B10F0000}"/>
    <hyperlink ref="F3798" r:id="rId3113" xr:uid="{00000000-0004-0000-0000-0000B20F0000}"/>
    <hyperlink ref="G3798" r:id="rId3114" xr:uid="{00000000-0004-0000-0000-0000B30F0000}"/>
    <hyperlink ref="G3799" r:id="rId3115" xr:uid="{00000000-0004-0000-0000-0000B40F0000}"/>
    <hyperlink ref="G3800" r:id="rId3116" xr:uid="{00000000-0004-0000-0000-0000B50F0000}"/>
    <hyperlink ref="G3802" r:id="rId3117" xr:uid="{00000000-0004-0000-0000-0000B60F0000}"/>
    <hyperlink ref="R3802" r:id="rId3118" xr:uid="{00000000-0004-0000-0000-0000B70F0000}"/>
    <hyperlink ref="S3802" r:id="rId3119" xr:uid="{00000000-0004-0000-0000-0000B80F0000}"/>
    <hyperlink ref="G3804" r:id="rId3120" xr:uid="{00000000-0004-0000-0000-0000B90F0000}"/>
    <hyperlink ref="G3807" r:id="rId3121" xr:uid="{00000000-0004-0000-0000-0000BD0F0000}"/>
    <hyperlink ref="S3807" r:id="rId3122" xr:uid="{00000000-0004-0000-0000-0000BE0F0000}"/>
    <hyperlink ref="G3808" r:id="rId3123" xr:uid="{00000000-0004-0000-0000-0000BF0F0000}"/>
    <hyperlink ref="G3809" r:id="rId3124" xr:uid="{00000000-0004-0000-0000-0000C00F0000}"/>
    <hyperlink ref="F3810" r:id="rId3125" xr:uid="{00000000-0004-0000-0000-0000C10F0000}"/>
    <hyperlink ref="G3810" r:id="rId3126" xr:uid="{00000000-0004-0000-0000-0000C20F0000}"/>
    <hyperlink ref="G3811" r:id="rId3127" xr:uid="{00000000-0004-0000-0000-0000C30F0000}"/>
    <hyperlink ref="G3813" r:id="rId3128" xr:uid="{00000000-0004-0000-0000-0000C50F0000}"/>
    <hyperlink ref="S3813" r:id="rId3129" xr:uid="{00000000-0004-0000-0000-0000C60F0000}"/>
    <hyperlink ref="G3814" r:id="rId3130" xr:uid="{00000000-0004-0000-0000-0000C80F0000}"/>
    <hyperlink ref="G3816" r:id="rId3131" xr:uid="{00000000-0004-0000-0000-0000C90F0000}"/>
    <hyperlink ref="G3817" r:id="rId3132" xr:uid="{00000000-0004-0000-0000-0000CA0F0000}"/>
    <hyperlink ref="G3818" r:id="rId3133" xr:uid="{00000000-0004-0000-0000-0000CB0F0000}"/>
    <hyperlink ref="G3821" r:id="rId3134" xr:uid="{00000000-0004-0000-0000-0000CC0F0000}"/>
    <hyperlink ref="S3823" r:id="rId3135" xr:uid="{00000000-0004-0000-0000-0000CD0F0000}"/>
    <hyperlink ref="G3825" r:id="rId3136" xr:uid="{00000000-0004-0000-0000-0000CE0F0000}"/>
    <hyperlink ref="G3826" r:id="rId3137" xr:uid="{00000000-0004-0000-0000-0000CF0F0000}"/>
    <hyperlink ref="S3826" r:id="rId3138" xr:uid="{00000000-0004-0000-0000-0000D00F0000}"/>
    <hyperlink ref="G3829" r:id="rId3139" xr:uid="{00000000-0004-0000-0000-0000D30F0000}"/>
    <hyperlink ref="F3830" r:id="rId3140" xr:uid="{00000000-0004-0000-0000-0000D40F0000}"/>
    <hyperlink ref="G3830" r:id="rId3141" xr:uid="{00000000-0004-0000-0000-0000D50F0000}"/>
    <hyperlink ref="G3831" r:id="rId3142" xr:uid="{00000000-0004-0000-0000-0000D60F0000}"/>
    <hyperlink ref="G3832" r:id="rId3143" xr:uid="{00000000-0004-0000-0000-0000D80F0000}"/>
    <hyperlink ref="G3834" r:id="rId3144" xr:uid="{00000000-0004-0000-0000-0000D90F0000}"/>
    <hyperlink ref="G3835" r:id="rId3145" xr:uid="{00000000-0004-0000-0000-0000DA0F0000}"/>
    <hyperlink ref="G3836" r:id="rId3146" xr:uid="{00000000-0004-0000-0000-0000DB0F0000}"/>
    <hyperlink ref="G3838" r:id="rId3147" xr:uid="{00000000-0004-0000-0000-0000DC0F0000}"/>
    <hyperlink ref="G3844" r:id="rId3148" xr:uid="{00000000-0004-0000-0000-0000DE0F0000}"/>
    <hyperlink ref="G3846" r:id="rId3149" xr:uid="{00000000-0004-0000-0000-0000DF0F0000}"/>
    <hyperlink ref="G3851" r:id="rId3150" xr:uid="{00000000-0004-0000-0000-0000E20F0000}"/>
    <hyperlink ref="S3851" r:id="rId3151" xr:uid="{00000000-0004-0000-0000-0000E30F0000}"/>
    <hyperlink ref="F3852" r:id="rId3152" xr:uid="{00000000-0004-0000-0000-0000E40F0000}"/>
    <hyperlink ref="G3853" r:id="rId3153" xr:uid="{00000000-0004-0000-0000-0000E50F0000}"/>
    <hyperlink ref="G3855" r:id="rId3154" xr:uid="{00000000-0004-0000-0000-0000E60F0000}"/>
    <hyperlink ref="G3856" r:id="rId3155" xr:uid="{00000000-0004-0000-0000-0000E70F0000}"/>
    <hyperlink ref="F3857" r:id="rId3156" xr:uid="{00000000-0004-0000-0000-0000E80F0000}"/>
    <hyperlink ref="G3857" r:id="rId3157" xr:uid="{00000000-0004-0000-0000-0000E90F0000}"/>
    <hyperlink ref="S3857" r:id="rId3158" xr:uid="{00000000-0004-0000-0000-0000EA0F0000}"/>
    <hyperlink ref="S3858" r:id="rId3159" xr:uid="{00000000-0004-0000-0000-0000EB0F0000}"/>
    <hyperlink ref="G3859" r:id="rId3160" xr:uid="{00000000-0004-0000-0000-0000EC0F0000}"/>
    <hyperlink ref="F3861" r:id="rId3161" xr:uid="{00000000-0004-0000-0000-0000ED0F0000}"/>
    <hyperlink ref="G3861" r:id="rId3162" xr:uid="{00000000-0004-0000-0000-0000EE0F0000}"/>
    <hyperlink ref="S3861" r:id="rId3163" xr:uid="{00000000-0004-0000-0000-0000EF0F0000}"/>
    <hyperlink ref="G3863" r:id="rId3164" xr:uid="{00000000-0004-0000-0000-0000F00F0000}"/>
    <hyperlink ref="G3864" r:id="rId3165" xr:uid="{00000000-0004-0000-0000-0000F10F0000}"/>
    <hyperlink ref="S3864" r:id="rId3166" xr:uid="{00000000-0004-0000-0000-0000F20F0000}"/>
    <hyperlink ref="S3865" r:id="rId3167" xr:uid="{00000000-0004-0000-0000-0000F30F0000}"/>
    <hyperlink ref="G3866" r:id="rId3168" xr:uid="{00000000-0004-0000-0000-0000F40F0000}"/>
    <hyperlink ref="G3867" r:id="rId3169" xr:uid="{00000000-0004-0000-0000-0000F50F0000}"/>
    <hyperlink ref="F3868" r:id="rId3170" xr:uid="{00000000-0004-0000-0000-0000F60F0000}"/>
    <hyperlink ref="G3868" r:id="rId3171" xr:uid="{00000000-0004-0000-0000-0000F70F0000}"/>
    <hyperlink ref="S3868" r:id="rId3172" xr:uid="{00000000-0004-0000-0000-0000F80F0000}"/>
    <hyperlink ref="G3869" r:id="rId3173" xr:uid="{00000000-0004-0000-0000-0000F90F0000}"/>
    <hyperlink ref="S3870" r:id="rId3174" xr:uid="{00000000-0004-0000-0000-0000FA0F0000}"/>
    <hyperlink ref="G3872" r:id="rId3175" xr:uid="{00000000-0004-0000-0000-0000FB0F0000}"/>
    <hyperlink ref="G3874" r:id="rId3176" xr:uid="{00000000-0004-0000-0000-0000FC0F0000}"/>
    <hyperlink ref="G3876" r:id="rId3177" xr:uid="{00000000-0004-0000-0000-0000FE0F0000}"/>
    <hyperlink ref="G3877" r:id="rId3178" xr:uid="{00000000-0004-0000-0000-000002100000}"/>
    <hyperlink ref="G3878" r:id="rId3179" xr:uid="{00000000-0004-0000-0000-000003100000}"/>
    <hyperlink ref="S3881" r:id="rId3180" xr:uid="{00000000-0004-0000-0000-000004100000}"/>
    <hyperlink ref="F3883" r:id="rId3181" xr:uid="{00000000-0004-0000-0000-000005100000}"/>
    <hyperlink ref="G3883" r:id="rId3182" xr:uid="{00000000-0004-0000-0000-000006100000}"/>
    <hyperlink ref="S3884" r:id="rId3183" xr:uid="{00000000-0004-0000-0000-000007100000}"/>
    <hyperlink ref="S3886" r:id="rId3184" xr:uid="{00000000-0004-0000-0000-000008100000}"/>
    <hyperlink ref="G3887" r:id="rId3185" xr:uid="{00000000-0004-0000-0000-000009100000}"/>
    <hyperlink ref="G3888" r:id="rId3186" xr:uid="{00000000-0004-0000-0000-00000A100000}"/>
    <hyperlink ref="G3889" r:id="rId3187" xr:uid="{00000000-0004-0000-0000-00000B100000}"/>
    <hyperlink ref="G3890" r:id="rId3188" xr:uid="{00000000-0004-0000-0000-00000C100000}"/>
    <hyperlink ref="G3893" r:id="rId3189" xr:uid="{00000000-0004-0000-0000-00000D100000}"/>
    <hyperlink ref="F3895" r:id="rId3190" xr:uid="{00000000-0004-0000-0000-00000F100000}"/>
    <hyperlink ref="G3895" r:id="rId3191" xr:uid="{00000000-0004-0000-0000-000010100000}"/>
    <hyperlink ref="G3897" r:id="rId3192" xr:uid="{00000000-0004-0000-0000-000012100000}"/>
    <hyperlink ref="G3898" r:id="rId3193" xr:uid="{00000000-0004-0000-0000-000013100000}"/>
    <hyperlink ref="S3898" r:id="rId3194" xr:uid="{00000000-0004-0000-0000-000014100000}"/>
    <hyperlink ref="G3899" r:id="rId3195" xr:uid="{00000000-0004-0000-0000-000015100000}"/>
    <hyperlink ref="S3899" r:id="rId3196" xr:uid="{00000000-0004-0000-0000-000016100000}"/>
    <hyperlink ref="G3900" r:id="rId3197" xr:uid="{00000000-0004-0000-0000-000017100000}"/>
    <hyperlink ref="S3900" r:id="rId3198" xr:uid="{00000000-0004-0000-0000-000018100000}"/>
    <hyperlink ref="G3903" r:id="rId3199" xr:uid="{00000000-0004-0000-0000-000019100000}"/>
    <hyperlink ref="G3904" r:id="rId3200" xr:uid="{00000000-0004-0000-0000-00001A100000}"/>
    <hyperlink ref="S3906" r:id="rId3201" xr:uid="{00000000-0004-0000-0000-00001B100000}"/>
    <hyperlink ref="G3909" r:id="rId3202" xr:uid="{00000000-0004-0000-0000-00001C100000}"/>
    <hyperlink ref="S3909" r:id="rId3203" xr:uid="{00000000-0004-0000-0000-00001D100000}"/>
    <hyperlink ref="G3913" r:id="rId3204" xr:uid="{00000000-0004-0000-0000-000020100000}"/>
    <hyperlink ref="S3913" r:id="rId3205" xr:uid="{00000000-0004-0000-0000-000021100000}"/>
    <hyperlink ref="G3915" r:id="rId3206" xr:uid="{00000000-0004-0000-0000-000022100000}"/>
    <hyperlink ref="G3916" r:id="rId3207" xr:uid="{00000000-0004-0000-0000-000023100000}"/>
    <hyperlink ref="G3920" r:id="rId3208" xr:uid="{00000000-0004-0000-0000-000027100000}"/>
    <hyperlink ref="S3927" r:id="rId3209" xr:uid="{00000000-0004-0000-0000-000029100000}"/>
    <hyperlink ref="G3929" r:id="rId3210" xr:uid="{00000000-0004-0000-0000-00002A100000}"/>
    <hyperlink ref="S3931" r:id="rId3211" xr:uid="{00000000-0004-0000-0000-00002C100000}"/>
    <hyperlink ref="G3932" r:id="rId3212" xr:uid="{00000000-0004-0000-0000-00002E100000}"/>
    <hyperlink ref="F3934" r:id="rId3213" xr:uid="{00000000-0004-0000-0000-00002F100000}"/>
    <hyperlink ref="G3934" r:id="rId3214" xr:uid="{00000000-0004-0000-0000-000030100000}"/>
    <hyperlink ref="G3935" r:id="rId3215" xr:uid="{00000000-0004-0000-0000-000032100000}"/>
    <hyperlink ref="G3936" r:id="rId3216" xr:uid="{00000000-0004-0000-0000-000033100000}"/>
    <hyperlink ref="S3936" r:id="rId3217" xr:uid="{00000000-0004-0000-0000-000034100000}"/>
    <hyperlink ref="G3937" r:id="rId3218" xr:uid="{00000000-0004-0000-0000-000035100000}"/>
    <hyperlink ref="F3938" r:id="rId3219" xr:uid="{00000000-0004-0000-0000-000036100000}"/>
    <hyperlink ref="G3938" r:id="rId3220" xr:uid="{00000000-0004-0000-0000-000037100000}"/>
    <hyperlink ref="S3938" r:id="rId3221" xr:uid="{00000000-0004-0000-0000-000038100000}"/>
    <hyperlink ref="G3940" r:id="rId3222" xr:uid="{00000000-0004-0000-0000-00003B100000}"/>
    <hyperlink ref="F3941" r:id="rId3223" xr:uid="{00000000-0004-0000-0000-00003C100000}"/>
    <hyperlink ref="G3942" r:id="rId3224" xr:uid="{00000000-0004-0000-0000-00003D100000}"/>
    <hyperlink ref="S3942" r:id="rId3225" xr:uid="{00000000-0004-0000-0000-00003E100000}"/>
    <hyperlink ref="G3944" r:id="rId3226" xr:uid="{00000000-0004-0000-0000-000040100000}"/>
    <hyperlink ref="G3946" r:id="rId3227" xr:uid="{00000000-0004-0000-0000-000041100000}"/>
    <hyperlink ref="G3947" r:id="rId3228" xr:uid="{00000000-0004-0000-0000-000042100000}"/>
    <hyperlink ref="G3948" r:id="rId3229" xr:uid="{00000000-0004-0000-0000-000043100000}"/>
    <hyperlink ref="G3951" r:id="rId3230" xr:uid="{00000000-0004-0000-0000-000046100000}"/>
    <hyperlink ref="F3952" r:id="rId3231" xr:uid="{00000000-0004-0000-0000-000048100000}"/>
    <hyperlink ref="G3952" r:id="rId3232" xr:uid="{00000000-0004-0000-0000-000049100000}"/>
    <hyperlink ref="F3953" r:id="rId3233" xr:uid="{00000000-0004-0000-0000-00004A100000}"/>
    <hyperlink ref="G3955" r:id="rId3234" xr:uid="{00000000-0004-0000-0000-00004B100000}"/>
    <hyperlink ref="G3956" r:id="rId3235" xr:uid="{00000000-0004-0000-0000-00004C100000}"/>
    <hyperlink ref="G3957" r:id="rId3236" xr:uid="{00000000-0004-0000-0000-00004D100000}"/>
    <hyperlink ref="G3958" r:id="rId3237" xr:uid="{00000000-0004-0000-0000-00004E100000}"/>
    <hyperlink ref="G3962" r:id="rId3238" xr:uid="{00000000-0004-0000-0000-000051100000}"/>
    <hyperlink ref="F3963" r:id="rId3239" xr:uid="{00000000-0004-0000-0000-000052100000}"/>
    <hyperlink ref="S3963" r:id="rId3240" xr:uid="{00000000-0004-0000-0000-000053100000}"/>
    <hyperlink ref="G3964" r:id="rId3241" xr:uid="{00000000-0004-0000-0000-000056100000}"/>
    <hyperlink ref="S3964" r:id="rId3242" xr:uid="{00000000-0004-0000-0000-000057100000}"/>
    <hyperlink ref="F3966" r:id="rId3243" xr:uid="{00000000-0004-0000-0000-000058100000}"/>
    <hyperlink ref="G3966" r:id="rId3244" xr:uid="{00000000-0004-0000-0000-000059100000}"/>
    <hyperlink ref="S3966" r:id="rId3245" xr:uid="{00000000-0004-0000-0000-00005A100000}"/>
    <hyperlink ref="G3967" r:id="rId3246" xr:uid="{00000000-0004-0000-0000-00005B100000}"/>
    <hyperlink ref="G3968" r:id="rId3247" xr:uid="{00000000-0004-0000-0000-00005C100000}"/>
    <hyperlink ref="G3969" r:id="rId3248" xr:uid="{00000000-0004-0000-0000-00005D100000}"/>
    <hyperlink ref="F3971" r:id="rId3249" xr:uid="{00000000-0004-0000-0000-00005F100000}"/>
    <hyperlink ref="G3971" r:id="rId3250" xr:uid="{00000000-0004-0000-0000-000060100000}"/>
    <hyperlink ref="G3972" r:id="rId3251" xr:uid="{00000000-0004-0000-0000-000062100000}"/>
    <hyperlink ref="S3972" r:id="rId3252" xr:uid="{00000000-0004-0000-0000-000063100000}"/>
    <hyperlink ref="G3973" r:id="rId3253" xr:uid="{00000000-0004-0000-0000-000065100000}"/>
    <hyperlink ref="S3974" r:id="rId3254" xr:uid="{00000000-0004-0000-0000-000066100000}"/>
    <hyperlink ref="G3975" r:id="rId3255" xr:uid="{00000000-0004-0000-0000-000067100000}"/>
    <hyperlink ref="G3976" r:id="rId3256" xr:uid="{00000000-0004-0000-0000-000068100000}"/>
    <hyperlink ref="S3976" r:id="rId3257" xr:uid="{00000000-0004-0000-0000-000069100000}"/>
    <hyperlink ref="G3977" r:id="rId3258" xr:uid="{00000000-0004-0000-0000-00006A100000}"/>
    <hyperlink ref="G3978" r:id="rId3259" xr:uid="{00000000-0004-0000-0000-00006B100000}"/>
    <hyperlink ref="G3979" r:id="rId3260" xr:uid="{00000000-0004-0000-0000-00006C100000}"/>
    <hyperlink ref="G3983" r:id="rId3261" xr:uid="{00000000-0004-0000-0000-00006E100000}"/>
    <hyperlink ref="S3983" r:id="rId3262" xr:uid="{00000000-0004-0000-0000-00006F100000}"/>
    <hyperlink ref="G3985" r:id="rId3263" xr:uid="{00000000-0004-0000-0000-000070100000}"/>
    <hyperlink ref="G3987" r:id="rId3264" xr:uid="{00000000-0004-0000-0000-000071100000}"/>
    <hyperlink ref="G3988" r:id="rId3265" xr:uid="{00000000-0004-0000-0000-000072100000}"/>
    <hyperlink ref="G3989" r:id="rId3266" xr:uid="{00000000-0004-0000-0000-000073100000}"/>
    <hyperlink ref="S3989" r:id="rId3267" xr:uid="{00000000-0004-0000-0000-000074100000}"/>
    <hyperlink ref="G3990" r:id="rId3268" xr:uid="{00000000-0004-0000-0000-000075100000}"/>
    <hyperlink ref="G3992" r:id="rId3269" xr:uid="{00000000-0004-0000-0000-000077100000}"/>
    <hyperlink ref="G3993" r:id="rId3270" xr:uid="{00000000-0004-0000-0000-000079100000}"/>
    <hyperlink ref="G3995" r:id="rId3271" xr:uid="{00000000-0004-0000-0000-00007A100000}"/>
    <hyperlink ref="F3996" r:id="rId3272" xr:uid="{00000000-0004-0000-0000-00007B100000}"/>
    <hyperlink ref="G3996" r:id="rId3273" xr:uid="{00000000-0004-0000-0000-00007C100000}"/>
    <hyperlink ref="S3996" r:id="rId3274" xr:uid="{00000000-0004-0000-0000-00007D100000}"/>
    <hyperlink ref="G3999" r:id="rId3275" xr:uid="{00000000-0004-0000-0000-00007F100000}"/>
    <hyperlink ref="G4000" r:id="rId3276" xr:uid="{00000000-0004-0000-0000-000080100000}"/>
    <hyperlink ref="G4001" r:id="rId3277" xr:uid="{00000000-0004-0000-0000-000081100000}"/>
    <hyperlink ref="S4001" r:id="rId3278" xr:uid="{00000000-0004-0000-0000-000082100000}"/>
    <hyperlink ref="G4002" r:id="rId3279" xr:uid="{00000000-0004-0000-0000-000083100000}"/>
    <hyperlink ref="S4003" r:id="rId3280" xr:uid="{00000000-0004-0000-0000-000084100000}"/>
    <hyperlink ref="G4004" r:id="rId3281" xr:uid="{00000000-0004-0000-0000-000086100000}"/>
    <hyperlink ref="G4006" r:id="rId3282" xr:uid="{00000000-0004-0000-0000-000088100000}"/>
    <hyperlink ref="G4007" r:id="rId3283" xr:uid="{00000000-0004-0000-0000-000089100000}"/>
    <hyperlink ref="F4008" r:id="rId3284" xr:uid="{00000000-0004-0000-0000-00008A100000}"/>
    <hyperlink ref="G4009" r:id="rId3285" xr:uid="{00000000-0004-0000-0000-00008E100000}"/>
    <hyperlink ref="S4009" r:id="rId3286" xr:uid="{00000000-0004-0000-0000-00008F100000}"/>
    <hyperlink ref="G4011" r:id="rId3287" xr:uid="{00000000-0004-0000-0000-000090100000}"/>
    <hyperlink ref="S4011" r:id="rId3288" xr:uid="{00000000-0004-0000-0000-000091100000}"/>
    <hyperlink ref="S4013" r:id="rId3289" xr:uid="{00000000-0004-0000-0000-000094100000}"/>
    <hyperlink ref="F4014" r:id="rId3290" xr:uid="{00000000-0004-0000-0000-000096100000}"/>
    <hyperlink ref="G4014" r:id="rId3291" xr:uid="{00000000-0004-0000-0000-000097100000}"/>
    <hyperlink ref="G4016" r:id="rId3292" xr:uid="{00000000-0004-0000-0000-00009A100000}"/>
    <hyperlink ref="G4018" r:id="rId3293" xr:uid="{00000000-0004-0000-0000-00009B100000}"/>
    <hyperlink ref="G4019" r:id="rId3294" xr:uid="{00000000-0004-0000-0000-00009C100000}"/>
    <hyperlink ref="G4021" r:id="rId3295" xr:uid="{00000000-0004-0000-0000-00009E100000}"/>
    <hyperlink ref="G4023" r:id="rId3296" xr:uid="{00000000-0004-0000-0000-00009F100000}"/>
    <hyperlink ref="G4024" r:id="rId3297" xr:uid="{00000000-0004-0000-0000-0000A1100000}"/>
    <hyperlink ref="S4024" r:id="rId3298" xr:uid="{00000000-0004-0000-0000-0000A2100000}"/>
    <hyperlink ref="G4026" r:id="rId3299" xr:uid="{00000000-0004-0000-0000-0000A4100000}"/>
    <hyperlink ref="G4027" r:id="rId3300" xr:uid="{00000000-0004-0000-0000-0000A5100000}"/>
    <hyperlink ref="G4028" r:id="rId3301" xr:uid="{00000000-0004-0000-0000-0000A6100000}"/>
    <hyperlink ref="G4031" r:id="rId3302" xr:uid="{00000000-0004-0000-0000-0000A7100000}"/>
    <hyperlink ref="G4033" r:id="rId3303" xr:uid="{00000000-0004-0000-0000-0000A9100000}"/>
    <hyperlink ref="G4034" r:id="rId3304" xr:uid="{00000000-0004-0000-0000-0000AA100000}"/>
    <hyperlink ref="G4036" r:id="rId3305" xr:uid="{00000000-0004-0000-0000-0000AB100000}"/>
    <hyperlink ref="G4039" r:id="rId3306" xr:uid="{00000000-0004-0000-0000-0000AD100000}"/>
    <hyperlink ref="S4039" r:id="rId3307" xr:uid="{00000000-0004-0000-0000-0000AE100000}"/>
    <hyperlink ref="G4040" r:id="rId3308" xr:uid="{00000000-0004-0000-0000-0000AF100000}"/>
    <hyperlink ref="G4042" r:id="rId3309" xr:uid="{00000000-0004-0000-0000-0000B1100000}"/>
    <hyperlink ref="F4046" r:id="rId3310" xr:uid="{00000000-0004-0000-0000-0000B2100000}"/>
    <hyperlink ref="G4046" r:id="rId3311" xr:uid="{00000000-0004-0000-0000-0000B3100000}"/>
    <hyperlink ref="G4047" r:id="rId3312" xr:uid="{00000000-0004-0000-0000-0000B7100000}"/>
    <hyperlink ref="G4048" r:id="rId3313" xr:uid="{00000000-0004-0000-0000-0000B8100000}"/>
    <hyperlink ref="G4050" r:id="rId3314" xr:uid="{00000000-0004-0000-0000-0000BA100000}"/>
    <hyperlink ref="G4053" r:id="rId3315" xr:uid="{00000000-0004-0000-0000-0000BD100000}"/>
    <hyperlink ref="G4056" r:id="rId3316" xr:uid="{00000000-0004-0000-0000-0000BF100000}"/>
    <hyperlink ref="S4056" r:id="rId3317" xr:uid="{00000000-0004-0000-0000-0000C0100000}"/>
    <hyperlink ref="F4057" r:id="rId3318" xr:uid="{00000000-0004-0000-0000-0000C1100000}"/>
    <hyperlink ref="G4057" r:id="rId3319" xr:uid="{00000000-0004-0000-0000-0000C2100000}"/>
    <hyperlink ref="S4058" r:id="rId3320" xr:uid="{00000000-0004-0000-0000-0000C3100000}"/>
    <hyperlink ref="G4065" r:id="rId3321" xr:uid="{00000000-0004-0000-0000-0000C8100000}"/>
    <hyperlink ref="F4066" r:id="rId3322" xr:uid="{00000000-0004-0000-0000-0000C9100000}"/>
    <hyperlink ref="G4066" r:id="rId3323" xr:uid="{00000000-0004-0000-0000-0000CA100000}"/>
    <hyperlink ref="G4067" r:id="rId3324" xr:uid="{00000000-0004-0000-0000-0000CB100000}"/>
    <hyperlink ref="G4069" r:id="rId3325" xr:uid="{00000000-0004-0000-0000-0000CC100000}"/>
    <hyperlink ref="F4070" r:id="rId3326" xr:uid="{00000000-0004-0000-0000-0000CD100000}"/>
    <hyperlink ref="G4070" r:id="rId3327" xr:uid="{00000000-0004-0000-0000-0000CE100000}"/>
    <hyperlink ref="G4071" r:id="rId3328" xr:uid="{00000000-0004-0000-0000-0000CF100000}"/>
    <hyperlink ref="G4072" r:id="rId3329" xr:uid="{00000000-0004-0000-0000-0000D0100000}"/>
    <hyperlink ref="F4073" r:id="rId3330" xr:uid="{00000000-0004-0000-0000-0000D1100000}"/>
    <hyperlink ref="G4073" r:id="rId3331" xr:uid="{00000000-0004-0000-0000-0000D2100000}"/>
    <hyperlink ref="S4073" r:id="rId3332" xr:uid="{00000000-0004-0000-0000-0000D3100000}"/>
    <hyperlink ref="G4074" r:id="rId3333" xr:uid="{00000000-0004-0000-0000-0000D4100000}"/>
    <hyperlink ref="G4075" r:id="rId3334" xr:uid="{00000000-0004-0000-0000-0000D5100000}"/>
    <hyperlink ref="G4078" r:id="rId3335" xr:uid="{00000000-0004-0000-0000-0000D8100000}"/>
    <hyperlink ref="S4078" r:id="rId3336" xr:uid="{00000000-0004-0000-0000-0000D9100000}"/>
    <hyperlink ref="G4079" r:id="rId3337" xr:uid="{00000000-0004-0000-0000-0000DB100000}"/>
    <hyperlink ref="S4079" r:id="rId3338" xr:uid="{00000000-0004-0000-0000-0000DC100000}"/>
    <hyperlink ref="G4081" r:id="rId3339" xr:uid="{00000000-0004-0000-0000-0000DD100000}"/>
    <hyperlink ref="S4082" r:id="rId3340" xr:uid="{00000000-0004-0000-0000-0000DF100000}"/>
    <hyperlink ref="S4084" r:id="rId3341" xr:uid="{00000000-0004-0000-0000-0000E1100000}"/>
    <hyperlink ref="G4085" r:id="rId3342" xr:uid="{00000000-0004-0000-0000-0000E3100000}"/>
    <hyperlink ref="S4085" r:id="rId3343" xr:uid="{00000000-0004-0000-0000-0000E4100000}"/>
    <hyperlink ref="G4086" r:id="rId3344" xr:uid="{00000000-0004-0000-0000-0000E5100000}"/>
    <hyperlink ref="G4087" r:id="rId3345" xr:uid="{00000000-0004-0000-0000-0000E6100000}"/>
    <hyperlink ref="S4087" r:id="rId3346" xr:uid="{00000000-0004-0000-0000-0000E7100000}"/>
    <hyperlink ref="G4088" r:id="rId3347" xr:uid="{00000000-0004-0000-0000-0000E8100000}"/>
    <hyperlink ref="S4088" r:id="rId3348" xr:uid="{00000000-0004-0000-0000-0000E9100000}"/>
    <hyperlink ref="G4092" r:id="rId3349" xr:uid="{00000000-0004-0000-0000-0000EA100000}"/>
    <hyperlink ref="G4093" r:id="rId3350" xr:uid="{00000000-0004-0000-0000-0000EB100000}"/>
    <hyperlink ref="G4094" r:id="rId3351" xr:uid="{00000000-0004-0000-0000-0000EC100000}"/>
    <hyperlink ref="G4095" r:id="rId3352" xr:uid="{00000000-0004-0000-0000-0000ED100000}"/>
    <hyperlink ref="G4096" r:id="rId3353" xr:uid="{00000000-0004-0000-0000-0000EE100000}"/>
    <hyperlink ref="S4096" r:id="rId3354" xr:uid="{00000000-0004-0000-0000-0000EF100000}"/>
    <hyperlink ref="G4097" r:id="rId3355" xr:uid="{00000000-0004-0000-0000-0000F0100000}"/>
    <hyperlink ref="G4098" r:id="rId3356" xr:uid="{00000000-0004-0000-0000-0000F1100000}"/>
    <hyperlink ref="F4100" r:id="rId3357" xr:uid="{00000000-0004-0000-0000-0000F3100000}"/>
    <hyperlink ref="G4101" r:id="rId3358" xr:uid="{00000000-0004-0000-0000-0000F4100000}"/>
    <hyperlink ref="S4103" r:id="rId3359" xr:uid="{00000000-0004-0000-0000-0000F5100000}"/>
    <hyperlink ref="G4104" r:id="rId3360" xr:uid="{00000000-0004-0000-0000-0000F6100000}"/>
    <hyperlink ref="G4107" r:id="rId3361" xr:uid="{00000000-0004-0000-0000-0000F7100000}"/>
    <hyperlink ref="G4108" r:id="rId3362" xr:uid="{00000000-0004-0000-0000-0000F8100000}"/>
    <hyperlink ref="G4112" r:id="rId3363" xr:uid="{00000000-0004-0000-0000-0000F9100000}"/>
    <hyperlink ref="G4113" r:id="rId3364" xr:uid="{00000000-0004-0000-0000-0000FA100000}"/>
    <hyperlink ref="G4114" r:id="rId3365" xr:uid="{00000000-0004-0000-0000-0000FB100000}"/>
    <hyperlink ref="S4114" r:id="rId3366" xr:uid="{00000000-0004-0000-0000-0000FC100000}"/>
    <hyperlink ref="G4115" r:id="rId3367" xr:uid="{00000000-0004-0000-0000-0000FD100000}"/>
    <hyperlink ref="G4117" r:id="rId3368" xr:uid="{00000000-0004-0000-0000-000000110000}"/>
    <hyperlink ref="F4118" r:id="rId3369" xr:uid="{00000000-0004-0000-0000-000003110000}"/>
    <hyperlink ref="G4118" r:id="rId3370" xr:uid="{00000000-0004-0000-0000-000004110000}"/>
    <hyperlink ref="S4118" r:id="rId3371" xr:uid="{00000000-0004-0000-0000-000005110000}"/>
    <hyperlink ref="G4119" r:id="rId3372" xr:uid="{00000000-0004-0000-0000-000009110000}"/>
    <hyperlink ref="G4122" r:id="rId3373" xr:uid="{00000000-0004-0000-0000-00000C110000}"/>
    <hyperlink ref="G4123" r:id="rId3374" xr:uid="{00000000-0004-0000-0000-00000D110000}"/>
    <hyperlink ref="G4125" r:id="rId3375" xr:uid="{00000000-0004-0000-0000-00000E110000}"/>
    <hyperlink ref="F4127" r:id="rId3376" xr:uid="{00000000-0004-0000-0000-00000F110000}"/>
    <hyperlink ref="G4127" r:id="rId3377" xr:uid="{00000000-0004-0000-0000-000010110000}"/>
    <hyperlink ref="G4128" r:id="rId3378" xr:uid="{00000000-0004-0000-0000-000011110000}"/>
    <hyperlink ref="F4131" r:id="rId3379" xr:uid="{00000000-0004-0000-0000-000012110000}"/>
    <hyperlink ref="G4131" r:id="rId3380" xr:uid="{00000000-0004-0000-0000-000013110000}"/>
    <hyperlink ref="G4134" r:id="rId3381" xr:uid="{00000000-0004-0000-0000-000014110000}"/>
    <hyperlink ref="S4134" r:id="rId3382" xr:uid="{00000000-0004-0000-0000-000015110000}"/>
    <hyperlink ref="F4135" r:id="rId3383" xr:uid="{00000000-0004-0000-0000-000016110000}"/>
    <hyperlink ref="G4135" r:id="rId3384" xr:uid="{00000000-0004-0000-0000-000017110000}"/>
    <hyperlink ref="G4138" r:id="rId3385" xr:uid="{00000000-0004-0000-0000-000018110000}"/>
    <hyperlink ref="G4139" r:id="rId3386" xr:uid="{00000000-0004-0000-0000-000019110000}"/>
    <hyperlink ref="G4141" r:id="rId3387" xr:uid="{00000000-0004-0000-0000-00001A110000}"/>
    <hyperlink ref="S4141" r:id="rId3388" xr:uid="{00000000-0004-0000-0000-00001B110000}"/>
    <hyperlink ref="G4142" r:id="rId3389" xr:uid="{00000000-0004-0000-0000-00001C110000}"/>
    <hyperlink ref="G4143" r:id="rId3390" xr:uid="{00000000-0004-0000-0000-00001F110000}"/>
    <hyperlink ref="G4146" r:id="rId3391" xr:uid="{00000000-0004-0000-0000-000020110000}"/>
    <hyperlink ref="G4148" r:id="rId3392" xr:uid="{00000000-0004-0000-0000-000022110000}"/>
    <hyperlink ref="G4149" r:id="rId3393" xr:uid="{00000000-0004-0000-0000-000023110000}"/>
    <hyperlink ref="S4149" r:id="rId3394" xr:uid="{00000000-0004-0000-0000-000024110000}"/>
    <hyperlink ref="G4150" r:id="rId3395" xr:uid="{00000000-0004-0000-0000-000025110000}"/>
    <hyperlink ref="G4151" r:id="rId3396" xr:uid="{00000000-0004-0000-0000-000026110000}"/>
    <hyperlink ref="G4152" r:id="rId3397" xr:uid="{00000000-0004-0000-0000-000027110000}"/>
    <hyperlink ref="G4153" r:id="rId3398" xr:uid="{00000000-0004-0000-0000-000028110000}"/>
    <hyperlink ref="G4154" r:id="rId3399" xr:uid="{00000000-0004-0000-0000-000029110000}"/>
    <hyperlink ref="G4156" r:id="rId3400" xr:uid="{00000000-0004-0000-0000-00002A110000}"/>
    <hyperlink ref="S4157" r:id="rId3401" xr:uid="{00000000-0004-0000-0000-00002B110000}"/>
    <hyperlink ref="G4159" r:id="rId3402" xr:uid="{00000000-0004-0000-0000-00002D110000}"/>
    <hyperlink ref="S4160" r:id="rId3403" xr:uid="{00000000-0004-0000-0000-00002E110000}"/>
    <hyperlink ref="S4161" r:id="rId3404" xr:uid="{00000000-0004-0000-0000-000030110000}"/>
    <hyperlink ref="G4162" r:id="rId3405" xr:uid="{00000000-0004-0000-0000-000031110000}"/>
    <hyperlink ref="F4166" r:id="rId3406" xr:uid="{00000000-0004-0000-0000-000032110000}"/>
    <hyperlink ref="S4166" r:id="rId3407" xr:uid="{00000000-0004-0000-0000-000033110000}"/>
    <hyperlink ref="G4169" r:id="rId3408" xr:uid="{00000000-0004-0000-0000-000034110000}"/>
    <hyperlink ref="G4171" r:id="rId3409" xr:uid="{00000000-0004-0000-0000-000035110000}"/>
    <hyperlink ref="G4172" r:id="rId3410" xr:uid="{00000000-0004-0000-0000-000036110000}"/>
    <hyperlink ref="S4173" r:id="rId3411" xr:uid="{00000000-0004-0000-0000-000038110000}"/>
    <hyperlink ref="G4174" r:id="rId3412" xr:uid="{00000000-0004-0000-0000-000039110000}"/>
    <hyperlink ref="G4175" r:id="rId3413" xr:uid="{00000000-0004-0000-0000-00003A110000}"/>
    <hyperlink ref="S4176" r:id="rId3414" xr:uid="{00000000-0004-0000-0000-00003B110000}"/>
    <hyperlink ref="G4178" r:id="rId3415" xr:uid="{00000000-0004-0000-0000-00003C110000}"/>
    <hyperlink ref="G4179" r:id="rId3416" xr:uid="{00000000-0004-0000-0000-00003D110000}"/>
    <hyperlink ref="S4179" r:id="rId3417" xr:uid="{00000000-0004-0000-0000-00003E110000}"/>
    <hyperlink ref="G4181" r:id="rId3418" xr:uid="{00000000-0004-0000-0000-00003F110000}"/>
    <hyperlink ref="G4182" r:id="rId3419" xr:uid="{00000000-0004-0000-0000-000040110000}"/>
    <hyperlink ref="S4182" r:id="rId3420" xr:uid="{00000000-0004-0000-0000-000041110000}"/>
    <hyperlink ref="G4183" r:id="rId3421" xr:uid="{00000000-0004-0000-0000-000042110000}"/>
    <hyperlink ref="G4184" r:id="rId3422" xr:uid="{00000000-0004-0000-0000-000043110000}"/>
    <hyperlink ref="G4185" r:id="rId3423" xr:uid="{00000000-0004-0000-0000-000044110000}"/>
    <hyperlink ref="S4185" r:id="rId3424" xr:uid="{00000000-0004-0000-0000-000045110000}"/>
    <hyperlink ref="S4186" r:id="rId3425" xr:uid="{00000000-0004-0000-0000-000047110000}"/>
    <hyperlink ref="G4187" r:id="rId3426" xr:uid="{00000000-0004-0000-0000-000048110000}"/>
    <hyperlink ref="G4188" r:id="rId3427" xr:uid="{00000000-0004-0000-0000-000049110000}"/>
    <hyperlink ref="G4189" r:id="rId3428" xr:uid="{00000000-0004-0000-0000-00004A110000}"/>
    <hyperlink ref="G4194" r:id="rId3429" xr:uid="{00000000-0004-0000-0000-00004E110000}"/>
    <hyperlink ref="G4195" r:id="rId3430" xr:uid="{00000000-0004-0000-0000-00004F110000}"/>
    <hyperlink ref="G4196" r:id="rId3431" xr:uid="{00000000-0004-0000-0000-000050110000}"/>
    <hyperlink ref="F4197" r:id="rId3432" xr:uid="{00000000-0004-0000-0000-000051110000}"/>
    <hyperlink ref="S4197" r:id="rId3433" xr:uid="{00000000-0004-0000-0000-000052110000}"/>
    <hyperlink ref="G4199" r:id="rId3434" xr:uid="{00000000-0004-0000-0000-000053110000}"/>
    <hyperlink ref="G4200" r:id="rId3435" xr:uid="{00000000-0004-0000-0000-000054110000}"/>
    <hyperlink ref="G4202" r:id="rId3436" xr:uid="{00000000-0004-0000-0000-000058110000}"/>
    <hyperlink ref="G4203" r:id="rId3437" xr:uid="{00000000-0004-0000-0000-000059110000}"/>
    <hyperlink ref="S4205" r:id="rId3438" xr:uid="{00000000-0004-0000-0000-00005A110000}"/>
    <hyperlink ref="G4208" r:id="rId3439" xr:uid="{00000000-0004-0000-0000-00005D110000}"/>
    <hyperlink ref="G4209" r:id="rId3440" xr:uid="{00000000-0004-0000-0000-00005F110000}"/>
    <hyperlink ref="G4213" r:id="rId3441" xr:uid="{00000000-0004-0000-0000-000060110000}"/>
    <hyperlink ref="S4213" r:id="rId3442" xr:uid="{00000000-0004-0000-0000-000061110000}"/>
    <hyperlink ref="G4214" r:id="rId3443" xr:uid="{00000000-0004-0000-0000-000062110000}"/>
    <hyperlink ref="G4216" r:id="rId3444" xr:uid="{00000000-0004-0000-0000-000064110000}"/>
    <hyperlink ref="G4218" r:id="rId3445" xr:uid="{00000000-0004-0000-0000-000065110000}"/>
    <hyperlink ref="G4219" r:id="rId3446" xr:uid="{00000000-0004-0000-0000-000066110000}"/>
    <hyperlink ref="G4220" r:id="rId3447" xr:uid="{00000000-0004-0000-0000-000067110000}"/>
    <hyperlink ref="G4222" r:id="rId3448" xr:uid="{00000000-0004-0000-0000-000068110000}"/>
    <hyperlink ref="G4224" r:id="rId3449" xr:uid="{00000000-0004-0000-0000-000069110000}"/>
    <hyperlink ref="G4225" r:id="rId3450" xr:uid="{00000000-0004-0000-0000-00006A110000}"/>
    <hyperlink ref="S4226" r:id="rId3451" xr:uid="{00000000-0004-0000-0000-00006C110000}"/>
    <hyperlink ref="G4227" r:id="rId3452" xr:uid="{00000000-0004-0000-0000-00006D110000}"/>
    <hyperlink ref="G4229" r:id="rId3453" xr:uid="{00000000-0004-0000-0000-00006F110000}"/>
    <hyperlink ref="G4231" r:id="rId3454" xr:uid="{00000000-0004-0000-0000-000072110000}"/>
    <hyperlink ref="S4234" r:id="rId3455" xr:uid="{00000000-0004-0000-0000-000073110000}"/>
    <hyperlink ref="G4235" r:id="rId3456" xr:uid="{00000000-0004-0000-0000-000074110000}"/>
    <hyperlink ref="F4236" r:id="rId3457" xr:uid="{00000000-0004-0000-0000-000075110000}"/>
    <hyperlink ref="G4236" r:id="rId3458" xr:uid="{00000000-0004-0000-0000-000076110000}"/>
    <hyperlink ref="G4240" r:id="rId3459" xr:uid="{00000000-0004-0000-0000-000078110000}"/>
    <hyperlink ref="G4243" r:id="rId3460" xr:uid="{00000000-0004-0000-0000-000079110000}"/>
    <hyperlink ref="S4243" r:id="rId3461" xr:uid="{00000000-0004-0000-0000-00007A110000}"/>
    <hyperlink ref="G4246" r:id="rId3462" xr:uid="{00000000-0004-0000-0000-00007B110000}"/>
    <hyperlink ref="G4248" r:id="rId3463" xr:uid="{00000000-0004-0000-0000-00007C110000}"/>
    <hyperlink ref="S4251" r:id="rId3464" xr:uid="{00000000-0004-0000-0000-000080110000}"/>
    <hyperlink ref="G4253" r:id="rId3465" xr:uid="{00000000-0004-0000-0000-000081110000}"/>
    <hyperlink ref="G4254" r:id="rId3466" xr:uid="{00000000-0004-0000-0000-000082110000}"/>
    <hyperlink ref="S4254" r:id="rId3467" xr:uid="{00000000-0004-0000-0000-000083110000}"/>
    <hyperlink ref="G4255" r:id="rId3468" xr:uid="{00000000-0004-0000-0000-000084110000}"/>
    <hyperlink ref="S4255" r:id="rId3469" xr:uid="{00000000-0004-0000-0000-000085110000}"/>
    <hyperlink ref="G4256" r:id="rId3470" xr:uid="{00000000-0004-0000-0000-000086110000}"/>
    <hyperlink ref="F4257" r:id="rId3471" xr:uid="{00000000-0004-0000-0000-000087110000}"/>
    <hyperlink ref="G4257" r:id="rId3472" xr:uid="{00000000-0004-0000-0000-000088110000}"/>
    <hyperlink ref="S4257" r:id="rId3473" xr:uid="{00000000-0004-0000-0000-000089110000}"/>
    <hyperlink ref="S4258" r:id="rId3474" xr:uid="{00000000-0004-0000-0000-00008A110000}"/>
    <hyperlink ref="G4261" r:id="rId3475" xr:uid="{00000000-0004-0000-0000-00008C110000}"/>
    <hyperlink ref="G4263" r:id="rId3476" xr:uid="{00000000-0004-0000-0000-00008D110000}"/>
    <hyperlink ref="G4266" r:id="rId3477" xr:uid="{00000000-0004-0000-0000-00008E110000}"/>
    <hyperlink ref="G4267" r:id="rId3478" xr:uid="{00000000-0004-0000-0000-000090110000}"/>
    <hyperlink ref="G4268" r:id="rId3479" xr:uid="{00000000-0004-0000-0000-000091110000}"/>
    <hyperlink ref="G4269" r:id="rId3480" xr:uid="{00000000-0004-0000-0000-000093110000}"/>
    <hyperlink ref="G4271" r:id="rId3481" xr:uid="{00000000-0004-0000-0000-000094110000}"/>
    <hyperlink ref="G4272" r:id="rId3482" xr:uid="{00000000-0004-0000-0000-000095110000}"/>
    <hyperlink ref="G4273" r:id="rId3483" xr:uid="{00000000-0004-0000-0000-000099110000}"/>
    <hyperlink ref="G4274" r:id="rId3484" xr:uid="{00000000-0004-0000-0000-00009A110000}"/>
    <hyperlink ref="G4275" r:id="rId3485" xr:uid="{00000000-0004-0000-0000-00009B110000}"/>
    <hyperlink ref="S4276" r:id="rId3486" xr:uid="{00000000-0004-0000-0000-0000A0110000}"/>
    <hyperlink ref="G4281" r:id="rId3487" xr:uid="{00000000-0004-0000-0000-0000A1110000}"/>
    <hyperlink ref="G4283" r:id="rId3488" xr:uid="{00000000-0004-0000-0000-0000A3110000}"/>
    <hyperlink ref="G4284" r:id="rId3489" xr:uid="{00000000-0004-0000-0000-0000A4110000}"/>
    <hyperlink ref="G4287" r:id="rId3490" xr:uid="{00000000-0004-0000-0000-0000A5110000}"/>
    <hyperlink ref="G4289" r:id="rId3491" xr:uid="{00000000-0004-0000-0000-0000A9110000}"/>
    <hyperlink ref="S4290" r:id="rId3492" xr:uid="{00000000-0004-0000-0000-0000AA110000}"/>
    <hyperlink ref="S4291" r:id="rId3493" xr:uid="{00000000-0004-0000-0000-0000AB110000}"/>
    <hyperlink ref="G4292" r:id="rId3494" xr:uid="{00000000-0004-0000-0000-0000AC110000}"/>
    <hyperlink ref="F4293" r:id="rId3495" xr:uid="{00000000-0004-0000-0000-0000AD110000}"/>
    <hyperlink ref="S4293" r:id="rId3496" xr:uid="{00000000-0004-0000-0000-0000AE110000}"/>
    <hyperlink ref="G4294" r:id="rId3497" xr:uid="{00000000-0004-0000-0000-0000AF110000}"/>
    <hyperlink ref="S4294" r:id="rId3498" xr:uid="{00000000-0004-0000-0000-0000B0110000}"/>
    <hyperlink ref="G4295" r:id="rId3499" xr:uid="{00000000-0004-0000-0000-0000B1110000}"/>
    <hyperlink ref="F4300" r:id="rId3500" xr:uid="{00000000-0004-0000-0000-0000B5110000}"/>
    <hyperlink ref="G4300" r:id="rId3501" xr:uid="{00000000-0004-0000-0000-0000B6110000}"/>
    <hyperlink ref="S4306" r:id="rId3502" xr:uid="{00000000-0004-0000-0000-0000B7110000}"/>
    <hyperlink ref="G4307" r:id="rId3503" xr:uid="{00000000-0004-0000-0000-0000B8110000}"/>
    <hyperlink ref="S4307" r:id="rId3504" xr:uid="{00000000-0004-0000-0000-0000B9110000}"/>
    <hyperlink ref="G4309" r:id="rId3505" xr:uid="{00000000-0004-0000-0000-0000BA110000}"/>
    <hyperlink ref="G4311" r:id="rId3506" xr:uid="{00000000-0004-0000-0000-0000BB110000}"/>
    <hyperlink ref="G4312" r:id="rId3507" xr:uid="{00000000-0004-0000-0000-0000BC110000}"/>
    <hyperlink ref="G4315" r:id="rId3508" xr:uid="{00000000-0004-0000-0000-0000C1110000}"/>
    <hyperlink ref="S4316" r:id="rId3509" xr:uid="{00000000-0004-0000-0000-0000C2110000}"/>
    <hyperlink ref="G4321" r:id="rId3510" xr:uid="{00000000-0004-0000-0000-0000C3110000}"/>
    <hyperlink ref="G4326" r:id="rId3511" xr:uid="{00000000-0004-0000-0000-0000C7110000}"/>
    <hyperlink ref="G4327" r:id="rId3512" xr:uid="{00000000-0004-0000-0000-0000C8110000}"/>
    <hyperlink ref="S4327" r:id="rId3513" xr:uid="{00000000-0004-0000-0000-0000C9110000}"/>
    <hyperlink ref="S4329" r:id="rId3514" xr:uid="{00000000-0004-0000-0000-0000CA110000}"/>
    <hyperlink ref="G4330" r:id="rId3515" xr:uid="{00000000-0004-0000-0000-0000CB110000}"/>
    <hyperlink ref="G4332" r:id="rId3516" xr:uid="{00000000-0004-0000-0000-0000CC110000}"/>
    <hyperlink ref="R4332" r:id="rId3517" xr:uid="{00000000-0004-0000-0000-0000CD110000}"/>
    <hyperlink ref="G4335" r:id="rId3518" xr:uid="{00000000-0004-0000-0000-0000CE110000}"/>
    <hyperlink ref="G4336" r:id="rId3519" xr:uid="{00000000-0004-0000-0000-0000CF110000}"/>
    <hyperlink ref="G4337" r:id="rId3520" xr:uid="{00000000-0004-0000-0000-0000D0110000}"/>
    <hyperlink ref="G4339" r:id="rId3521" xr:uid="{00000000-0004-0000-0000-0000D1110000}"/>
    <hyperlink ref="G4342" r:id="rId3522" xr:uid="{00000000-0004-0000-0000-0000D2110000}"/>
    <hyperlink ref="G4343" r:id="rId3523" xr:uid="{00000000-0004-0000-0000-0000D4110000}"/>
    <hyperlink ref="F4344" r:id="rId3524" xr:uid="{00000000-0004-0000-0000-0000D5110000}"/>
    <hyperlink ref="G4345" r:id="rId3525" xr:uid="{00000000-0004-0000-0000-0000D6110000}"/>
    <hyperlink ref="S4345" r:id="rId3526" xr:uid="{00000000-0004-0000-0000-0000D7110000}"/>
    <hyperlink ref="G4347" r:id="rId3527" xr:uid="{00000000-0004-0000-0000-0000D8110000}"/>
    <hyperlink ref="G4348" r:id="rId3528" xr:uid="{00000000-0004-0000-0000-0000D9110000}"/>
    <hyperlink ref="S4348" r:id="rId3529" xr:uid="{00000000-0004-0000-0000-0000DA110000}"/>
    <hyperlink ref="G4349" r:id="rId3530" xr:uid="{00000000-0004-0000-0000-0000DB110000}"/>
    <hyperlink ref="G4351" r:id="rId3531" xr:uid="{00000000-0004-0000-0000-0000DC110000}"/>
    <hyperlink ref="G4352" r:id="rId3532" xr:uid="{00000000-0004-0000-0000-0000DD110000}"/>
    <hyperlink ref="G4353" r:id="rId3533" xr:uid="{00000000-0004-0000-0000-0000DE110000}"/>
    <hyperlink ref="G4354" r:id="rId3534" xr:uid="{00000000-0004-0000-0000-0000DF110000}"/>
    <hyperlink ref="S4354" r:id="rId3535" xr:uid="{00000000-0004-0000-0000-0000E0110000}"/>
    <hyperlink ref="G4355" r:id="rId3536" xr:uid="{00000000-0004-0000-0000-0000E1110000}"/>
    <hyperlink ref="G4356" r:id="rId3537" xr:uid="{00000000-0004-0000-0000-0000E3110000}"/>
    <hyperlink ref="G4360" r:id="rId3538" xr:uid="{00000000-0004-0000-0000-0000E4110000}"/>
    <hyperlink ref="G4362" r:id="rId3539" xr:uid="{00000000-0004-0000-0000-0000E5110000}"/>
    <hyperlink ref="G4363" r:id="rId3540" xr:uid="{00000000-0004-0000-0000-0000E8110000}"/>
    <hyperlink ref="G4364" r:id="rId3541" xr:uid="{00000000-0004-0000-0000-0000E9110000}"/>
    <hyperlink ref="G4367" r:id="rId3542" xr:uid="{00000000-0004-0000-0000-0000EA110000}"/>
    <hyperlink ref="S4368" r:id="rId3543" xr:uid="{00000000-0004-0000-0000-0000EB110000}"/>
    <hyperlink ref="G4370" r:id="rId3544" xr:uid="{00000000-0004-0000-0000-0000EC110000}"/>
    <hyperlink ref="G4371" r:id="rId3545" xr:uid="{00000000-0004-0000-0000-0000ED110000}"/>
    <hyperlink ref="S4371" r:id="rId3546" xr:uid="{00000000-0004-0000-0000-0000EE110000}"/>
    <hyperlink ref="G4372" r:id="rId3547" xr:uid="{00000000-0004-0000-0000-0000EF110000}"/>
    <hyperlink ref="G4373" r:id="rId3548" xr:uid="{00000000-0004-0000-0000-0000F0110000}"/>
    <hyperlink ref="G4374" r:id="rId3549" xr:uid="{00000000-0004-0000-0000-0000F1110000}"/>
    <hyperlink ref="F4378" r:id="rId3550" xr:uid="{00000000-0004-0000-0000-0000F2110000}"/>
    <hyperlink ref="R4378" r:id="rId3551" xr:uid="{00000000-0004-0000-0000-0000F3110000}"/>
    <hyperlink ref="S4378" r:id="rId3552" xr:uid="{00000000-0004-0000-0000-0000F4110000}"/>
    <hyperlink ref="S4382" r:id="rId3553" xr:uid="{00000000-0004-0000-0000-0000F9110000}"/>
    <hyperlink ref="F4383" r:id="rId3554" xr:uid="{00000000-0004-0000-0000-0000FA110000}"/>
    <hyperlink ref="G4383" r:id="rId3555" xr:uid="{00000000-0004-0000-0000-0000FB110000}"/>
    <hyperlink ref="S4383" r:id="rId3556" xr:uid="{00000000-0004-0000-0000-0000FC110000}"/>
    <hyperlink ref="G4385" r:id="rId3557" xr:uid="{00000000-0004-0000-0000-0000FD110000}"/>
    <hyperlink ref="G4386" r:id="rId3558" xr:uid="{00000000-0004-0000-0000-0000FE110000}"/>
    <hyperlink ref="G4389" r:id="rId3559" xr:uid="{00000000-0004-0000-0000-0000FF110000}"/>
    <hyperlink ref="G4390" r:id="rId3560" xr:uid="{00000000-0004-0000-0000-000000120000}"/>
    <hyperlink ref="G4392" r:id="rId3561" xr:uid="{00000000-0004-0000-0000-000001120000}"/>
    <hyperlink ref="S4392" r:id="rId3562" xr:uid="{00000000-0004-0000-0000-000002120000}"/>
    <hyperlink ref="G4396" r:id="rId3563" xr:uid="{00000000-0004-0000-0000-000003120000}"/>
    <hyperlink ref="G4397" r:id="rId3564" xr:uid="{00000000-0004-0000-0000-000004120000}"/>
    <hyperlink ref="G4400" r:id="rId3565" xr:uid="{00000000-0004-0000-0000-000006120000}"/>
    <hyperlink ref="S4402" r:id="rId3566" xr:uid="{00000000-0004-0000-0000-000007120000}"/>
    <hyperlink ref="G4403" r:id="rId3567" xr:uid="{00000000-0004-0000-0000-000009120000}"/>
    <hyperlink ref="G4405" r:id="rId3568" xr:uid="{00000000-0004-0000-0000-00000B120000}"/>
    <hyperlink ref="G4409" r:id="rId3569" xr:uid="{00000000-0004-0000-0000-00000F120000}"/>
    <hyperlink ref="F4410" r:id="rId3570" xr:uid="{00000000-0004-0000-0000-000010120000}"/>
    <hyperlink ref="G4410" r:id="rId3571" xr:uid="{00000000-0004-0000-0000-000011120000}"/>
    <hyperlink ref="G4412" r:id="rId3572" xr:uid="{00000000-0004-0000-0000-000013120000}"/>
    <hyperlink ref="G4413" r:id="rId3573" xr:uid="{00000000-0004-0000-0000-000014120000}"/>
    <hyperlink ref="R4414" r:id="rId3574" xr:uid="{00000000-0004-0000-0000-000015120000}"/>
    <hyperlink ref="G4415" r:id="rId3575" xr:uid="{00000000-0004-0000-0000-000016120000}"/>
    <hyperlink ref="F4418" r:id="rId3576" xr:uid="{00000000-0004-0000-0000-000019120000}"/>
    <hyperlink ref="G4419" r:id="rId3577" xr:uid="{00000000-0004-0000-0000-00001A120000}"/>
    <hyperlink ref="G4421" r:id="rId3578" xr:uid="{00000000-0004-0000-0000-00001B120000}"/>
    <hyperlink ref="G4422" r:id="rId3579" xr:uid="{00000000-0004-0000-0000-00001C120000}"/>
    <hyperlink ref="G4425" r:id="rId3580" xr:uid="{00000000-0004-0000-0000-000025120000}"/>
    <hyperlink ref="G4427" r:id="rId3581" xr:uid="{00000000-0004-0000-0000-000028120000}"/>
    <hyperlink ref="G4428" r:id="rId3582" xr:uid="{00000000-0004-0000-0000-000029120000}"/>
    <hyperlink ref="S4430" r:id="rId3583" xr:uid="{00000000-0004-0000-0000-00002E120000}"/>
    <hyperlink ref="G4434" r:id="rId3584" xr:uid="{00000000-0004-0000-0000-000030120000}"/>
    <hyperlink ref="G4435" r:id="rId3585" xr:uid="{00000000-0004-0000-0000-000033120000}"/>
    <hyperlink ref="S4435" r:id="rId3586" xr:uid="{00000000-0004-0000-0000-000034120000}"/>
    <hyperlink ref="G4438" r:id="rId3587" xr:uid="{00000000-0004-0000-0000-000037120000}"/>
    <hyperlink ref="S4438" r:id="rId3588" xr:uid="{00000000-0004-0000-0000-000038120000}"/>
    <hyperlink ref="G4442" r:id="rId3589" xr:uid="{00000000-0004-0000-0000-00003E120000}"/>
    <hyperlink ref="G4443" r:id="rId3590" xr:uid="{00000000-0004-0000-0000-00003F120000}"/>
    <hyperlink ref="S4443" r:id="rId3591" xr:uid="{00000000-0004-0000-0000-000040120000}"/>
    <hyperlink ref="G4445" r:id="rId3592" xr:uid="{00000000-0004-0000-0000-000043120000}"/>
    <hyperlink ref="F4446" r:id="rId3593" xr:uid="{00000000-0004-0000-0000-000044120000}"/>
    <hyperlink ref="G4446" r:id="rId3594" xr:uid="{00000000-0004-0000-0000-000045120000}"/>
    <hyperlink ref="G4450" r:id="rId3595" xr:uid="{00000000-0004-0000-0000-000047120000}"/>
    <hyperlink ref="G4451" r:id="rId3596" xr:uid="{00000000-0004-0000-0000-000048120000}"/>
    <hyperlink ref="S4452" r:id="rId3597" xr:uid="{00000000-0004-0000-0000-000049120000}"/>
    <hyperlink ref="G4453" r:id="rId3598" xr:uid="{00000000-0004-0000-0000-00004A120000}"/>
    <hyperlink ref="G4455" r:id="rId3599" xr:uid="{00000000-0004-0000-0000-00004B120000}"/>
    <hyperlink ref="S4456" r:id="rId3600" xr:uid="{00000000-0004-0000-0000-00004C120000}"/>
    <hyperlink ref="F4458" r:id="rId3601" xr:uid="{00000000-0004-0000-0000-00004E120000}"/>
    <hyperlink ref="G4458" r:id="rId3602" xr:uid="{00000000-0004-0000-0000-00004F120000}"/>
    <hyperlink ref="G4460" r:id="rId3603" xr:uid="{00000000-0004-0000-0000-000050120000}"/>
    <hyperlink ref="G4462" r:id="rId3604" xr:uid="{00000000-0004-0000-0000-000051120000}"/>
    <hyperlink ref="G4463" r:id="rId3605" xr:uid="{00000000-0004-0000-0000-000052120000}"/>
    <hyperlink ref="G4465" r:id="rId3606" xr:uid="{00000000-0004-0000-0000-000053120000}"/>
    <hyperlink ref="G4467" r:id="rId3607" xr:uid="{00000000-0004-0000-0000-000056120000}"/>
    <hyperlink ref="S4467" r:id="rId3608" xr:uid="{00000000-0004-0000-0000-000057120000}"/>
    <hyperlink ref="F4468" r:id="rId3609" xr:uid="{00000000-0004-0000-0000-000058120000}"/>
    <hyperlink ref="G4468" r:id="rId3610" xr:uid="{00000000-0004-0000-0000-000059120000}"/>
    <hyperlink ref="S4468" r:id="rId3611" xr:uid="{00000000-0004-0000-0000-00005A120000}"/>
    <hyperlink ref="G4469" r:id="rId3612" xr:uid="{00000000-0004-0000-0000-00005B120000}"/>
    <hyperlink ref="S4469" r:id="rId3613" xr:uid="{00000000-0004-0000-0000-00005C120000}"/>
    <hyperlink ref="G4471" r:id="rId3614" xr:uid="{00000000-0004-0000-0000-00005D120000}"/>
    <hyperlink ref="G4474" r:id="rId3615" xr:uid="{00000000-0004-0000-0000-00005E120000}"/>
    <hyperlink ref="G4476" r:id="rId3616" xr:uid="{00000000-0004-0000-0000-00005F120000}"/>
    <hyperlink ref="G4477" r:id="rId3617" xr:uid="{00000000-0004-0000-0000-000060120000}"/>
    <hyperlink ref="S4477" r:id="rId3618" xr:uid="{00000000-0004-0000-0000-000061120000}"/>
    <hyperlink ref="G4478" r:id="rId3619" xr:uid="{00000000-0004-0000-0000-000062120000}"/>
    <hyperlink ref="G4480" r:id="rId3620" xr:uid="{00000000-0004-0000-0000-000065120000}"/>
    <hyperlink ref="S4480" r:id="rId3621" xr:uid="{00000000-0004-0000-0000-000066120000}"/>
    <hyperlink ref="F4481" r:id="rId3622" xr:uid="{00000000-0004-0000-0000-000067120000}"/>
    <hyperlink ref="G4483" r:id="rId3623" xr:uid="{00000000-0004-0000-0000-000069120000}"/>
    <hyperlink ref="S4487" r:id="rId3624" xr:uid="{00000000-0004-0000-0000-00006C120000}"/>
    <hyperlink ref="G4490" r:id="rId3625" xr:uid="{00000000-0004-0000-0000-00006F120000}"/>
    <hyperlink ref="G4491" r:id="rId3626" xr:uid="{00000000-0004-0000-0000-000070120000}"/>
    <hyperlink ref="G4495" r:id="rId3627" xr:uid="{00000000-0004-0000-0000-000073120000}"/>
    <hyperlink ref="G4496" r:id="rId3628" xr:uid="{00000000-0004-0000-0000-000074120000}"/>
    <hyperlink ref="G4497" r:id="rId3629" xr:uid="{00000000-0004-0000-0000-000075120000}"/>
    <hyperlink ref="S4497" r:id="rId3630" xr:uid="{00000000-0004-0000-0000-000076120000}"/>
    <hyperlink ref="G4499" r:id="rId3631" xr:uid="{00000000-0004-0000-0000-000077120000}"/>
    <hyperlink ref="G4500" r:id="rId3632" xr:uid="{00000000-0004-0000-0000-000078120000}"/>
    <hyperlink ref="G4503" r:id="rId3633" xr:uid="{00000000-0004-0000-0000-000079120000}"/>
    <hyperlink ref="G4504" r:id="rId3634" xr:uid="{00000000-0004-0000-0000-00007A120000}"/>
    <hyperlink ref="G4506" r:id="rId3635" xr:uid="{00000000-0004-0000-0000-00007B120000}"/>
    <hyperlink ref="G4507" r:id="rId3636" xr:uid="{00000000-0004-0000-0000-00007C120000}"/>
    <hyperlink ref="S4508" r:id="rId3637" xr:uid="{00000000-0004-0000-0000-00007D120000}"/>
    <hyperlink ref="G4509" r:id="rId3638" xr:uid="{00000000-0004-0000-0000-00007E120000}"/>
    <hyperlink ref="G4510" r:id="rId3639" xr:uid="{00000000-0004-0000-0000-00007F120000}"/>
    <hyperlink ref="G4512" r:id="rId3640" xr:uid="{00000000-0004-0000-0000-000080120000}"/>
    <hyperlink ref="F4514" r:id="rId3641" xr:uid="{00000000-0004-0000-0000-000081120000}"/>
    <hyperlink ref="G4514" r:id="rId3642" xr:uid="{00000000-0004-0000-0000-000082120000}"/>
    <hyperlink ref="G4515" r:id="rId3643" xr:uid="{00000000-0004-0000-0000-000083120000}"/>
    <hyperlink ref="G4517" r:id="rId3644" xr:uid="{00000000-0004-0000-0000-000084120000}"/>
    <hyperlink ref="G4519" r:id="rId3645" xr:uid="{00000000-0004-0000-0000-000085120000}"/>
    <hyperlink ref="G4520" r:id="rId3646" xr:uid="{00000000-0004-0000-0000-000086120000}"/>
    <hyperlink ref="G4523" r:id="rId3647" xr:uid="{00000000-0004-0000-0000-000089120000}"/>
    <hyperlink ref="S4523" r:id="rId3648" xr:uid="{00000000-0004-0000-0000-00008A120000}"/>
    <hyperlink ref="G4528" r:id="rId3649" xr:uid="{00000000-0004-0000-0000-000090120000}"/>
    <hyperlink ref="G4533" r:id="rId3650" xr:uid="{00000000-0004-0000-0000-000092120000}"/>
    <hyperlink ref="G4534" r:id="rId3651" xr:uid="{00000000-0004-0000-0000-000093120000}"/>
    <hyperlink ref="G4536" r:id="rId3652" xr:uid="{00000000-0004-0000-0000-000094120000}"/>
    <hyperlink ref="F4538" r:id="rId3653" xr:uid="{00000000-0004-0000-0000-000095120000}"/>
    <hyperlink ref="G4538" r:id="rId3654" xr:uid="{00000000-0004-0000-0000-000096120000}"/>
    <hyperlink ref="G4539" r:id="rId3655" xr:uid="{00000000-0004-0000-0000-000097120000}"/>
    <hyperlink ref="G4541" r:id="rId3656" xr:uid="{00000000-0004-0000-0000-00009A120000}"/>
    <hyperlink ref="G4543" r:id="rId3657" xr:uid="{00000000-0004-0000-0000-00009C120000}"/>
    <hyperlink ref="G4544" r:id="rId3658" xr:uid="{00000000-0004-0000-0000-00009D120000}"/>
    <hyperlink ref="G4547" r:id="rId3659" xr:uid="{00000000-0004-0000-0000-00009F120000}"/>
    <hyperlink ref="G4548" r:id="rId3660" xr:uid="{00000000-0004-0000-0000-0000A0120000}"/>
    <hyperlink ref="G4550" r:id="rId3661" xr:uid="{00000000-0004-0000-0000-0000A1120000}"/>
    <hyperlink ref="G4551" r:id="rId3662" xr:uid="{00000000-0004-0000-0000-0000A2120000}"/>
    <hyperlink ref="S4552" r:id="rId3663" xr:uid="{00000000-0004-0000-0000-0000A3120000}"/>
    <hyperlink ref="G4556" r:id="rId3664" xr:uid="{00000000-0004-0000-0000-0000A5120000}"/>
    <hyperlink ref="S4556" r:id="rId3665" xr:uid="{00000000-0004-0000-0000-0000A6120000}"/>
    <hyperlink ref="G4557" r:id="rId3666" xr:uid="{00000000-0004-0000-0000-0000A7120000}"/>
    <hyperlink ref="S4557" r:id="rId3667" xr:uid="{00000000-0004-0000-0000-0000A8120000}"/>
    <hyperlink ref="G4558" r:id="rId3668" xr:uid="{00000000-0004-0000-0000-0000A9120000}"/>
    <hyperlink ref="G4563" r:id="rId3669" xr:uid="{00000000-0004-0000-0000-0000AB120000}"/>
    <hyperlink ref="G4569" r:id="rId3670" xr:uid="{00000000-0004-0000-0000-0000AD120000}"/>
    <hyperlink ref="G4572" r:id="rId3671" xr:uid="{00000000-0004-0000-0000-0000AE120000}"/>
    <hyperlink ref="G4574" r:id="rId3672" xr:uid="{00000000-0004-0000-0000-0000AF120000}"/>
    <hyperlink ref="S4575" r:id="rId3673" xr:uid="{00000000-0004-0000-0000-0000B0120000}"/>
    <hyperlink ref="G4578" r:id="rId3674" xr:uid="{00000000-0004-0000-0000-0000B1120000}"/>
    <hyperlink ref="S4578" r:id="rId3675" xr:uid="{00000000-0004-0000-0000-0000B2120000}"/>
    <hyperlink ref="G4580" r:id="rId3676" xr:uid="{00000000-0004-0000-0000-0000B3120000}"/>
    <hyperlink ref="G4581" r:id="rId3677" xr:uid="{00000000-0004-0000-0000-0000B5120000}"/>
    <hyperlink ref="S4581" r:id="rId3678" xr:uid="{00000000-0004-0000-0000-0000B6120000}"/>
    <hyperlink ref="G4582" r:id="rId3679" xr:uid="{00000000-0004-0000-0000-0000B9120000}"/>
    <hyperlink ref="G4584" r:id="rId3680" xr:uid="{00000000-0004-0000-0000-0000BA120000}"/>
    <hyperlink ref="G4587" r:id="rId3681" xr:uid="{00000000-0004-0000-0000-0000BF120000}"/>
    <hyperlink ref="G4588" r:id="rId3682" xr:uid="{00000000-0004-0000-0000-0000C0120000}"/>
    <hyperlink ref="G4589" r:id="rId3683" xr:uid="{00000000-0004-0000-0000-0000C1120000}"/>
    <hyperlink ref="S4590" r:id="rId3684" xr:uid="{00000000-0004-0000-0000-0000C2120000}"/>
    <hyperlink ref="G4592" r:id="rId3685" xr:uid="{00000000-0004-0000-0000-0000C4120000}"/>
    <hyperlink ref="S4592" r:id="rId3686" xr:uid="{00000000-0004-0000-0000-0000C5120000}"/>
    <hyperlink ref="F4593" r:id="rId3687" xr:uid="{00000000-0004-0000-0000-0000C6120000}"/>
    <hyperlink ref="S4593" r:id="rId3688" xr:uid="{00000000-0004-0000-0000-0000C7120000}"/>
    <hyperlink ref="G4594" r:id="rId3689" xr:uid="{00000000-0004-0000-0000-0000C8120000}"/>
    <hyperlink ref="G4595" r:id="rId3690" xr:uid="{00000000-0004-0000-0000-0000C9120000}"/>
    <hyperlink ref="G4596" r:id="rId3691" xr:uid="{00000000-0004-0000-0000-0000CC120000}"/>
    <hyperlink ref="G4598" r:id="rId3692" xr:uid="{00000000-0004-0000-0000-0000CD120000}"/>
    <hyperlink ref="S4598" r:id="rId3693" xr:uid="{00000000-0004-0000-0000-0000CE120000}"/>
    <hyperlink ref="G4602" r:id="rId3694" xr:uid="{00000000-0004-0000-0000-0000CF120000}"/>
    <hyperlink ref="G4603" r:id="rId3695" xr:uid="{00000000-0004-0000-0000-0000D0120000}"/>
    <hyperlink ref="S4604" r:id="rId3696" xr:uid="{00000000-0004-0000-0000-0000D1120000}"/>
    <hyperlink ref="G4605" r:id="rId3697" xr:uid="{00000000-0004-0000-0000-0000D2120000}"/>
    <hyperlink ref="G4607" r:id="rId3698" xr:uid="{00000000-0004-0000-0000-0000D3120000}"/>
    <hyperlink ref="S4608" r:id="rId3699" xr:uid="{00000000-0004-0000-0000-0000D4120000}"/>
    <hyperlink ref="S4610" r:id="rId3700" xr:uid="{00000000-0004-0000-0000-0000D5120000}"/>
    <hyperlink ref="G4612" r:id="rId3701" xr:uid="{00000000-0004-0000-0000-0000D6120000}"/>
    <hyperlink ref="G4616" r:id="rId3702" xr:uid="{00000000-0004-0000-0000-0000D7120000}"/>
    <hyperlink ref="G4617" r:id="rId3703" xr:uid="{00000000-0004-0000-0000-0000D8120000}"/>
    <hyperlink ref="S4617" r:id="rId3704" xr:uid="{00000000-0004-0000-0000-0000D9120000}"/>
    <hyperlink ref="G4620" r:id="rId3705" xr:uid="{00000000-0004-0000-0000-0000DA120000}"/>
    <hyperlink ref="F4621" r:id="rId3706" xr:uid="{00000000-0004-0000-0000-0000DB120000}"/>
    <hyperlink ref="G4621" r:id="rId3707" xr:uid="{00000000-0004-0000-0000-0000DC120000}"/>
    <hyperlink ref="G4622" r:id="rId3708" xr:uid="{00000000-0004-0000-0000-0000DF120000}"/>
    <hyperlink ref="G4623" r:id="rId3709" xr:uid="{00000000-0004-0000-0000-0000E0120000}"/>
    <hyperlink ref="G4625" r:id="rId3710" xr:uid="{00000000-0004-0000-0000-0000E5120000}"/>
    <hyperlink ref="G4629" r:id="rId3711" xr:uid="{00000000-0004-0000-0000-0000E6120000}"/>
    <hyperlink ref="G4631" r:id="rId3712" xr:uid="{00000000-0004-0000-0000-0000E8120000}"/>
    <hyperlink ref="G4632" r:id="rId3713" xr:uid="{00000000-0004-0000-0000-0000E9120000}"/>
    <hyperlink ref="G4634" r:id="rId3714" xr:uid="{00000000-0004-0000-0000-0000EB120000}"/>
    <hyperlink ref="S4634" r:id="rId3715" xr:uid="{00000000-0004-0000-0000-0000EC120000}"/>
    <hyperlink ref="G4637" r:id="rId3716" xr:uid="{00000000-0004-0000-0000-0000EE120000}"/>
    <hyperlink ref="S4637" r:id="rId3717" xr:uid="{00000000-0004-0000-0000-0000EF120000}"/>
    <hyperlink ref="S4638" r:id="rId3718" xr:uid="{00000000-0004-0000-0000-0000F0120000}"/>
    <hyperlink ref="S4639" r:id="rId3719" xr:uid="{00000000-0004-0000-0000-0000F1120000}"/>
    <hyperlink ref="G4644" r:id="rId3720" xr:uid="{00000000-0004-0000-0000-0000F5120000}"/>
    <hyperlink ref="G4645" r:id="rId3721" xr:uid="{00000000-0004-0000-0000-0000F6120000}"/>
    <hyperlink ref="G4648" r:id="rId3722" xr:uid="{00000000-0004-0000-0000-0000F7120000}"/>
    <hyperlink ref="G4649" r:id="rId3723" xr:uid="{00000000-0004-0000-0000-0000F8120000}"/>
    <hyperlink ref="G4650" r:id="rId3724" xr:uid="{00000000-0004-0000-0000-0000F9120000}"/>
    <hyperlink ref="F4651" r:id="rId3725" xr:uid="{00000000-0004-0000-0000-0000FA120000}"/>
    <hyperlink ref="G4652" r:id="rId3726" xr:uid="{00000000-0004-0000-0000-0000FB120000}"/>
    <hyperlink ref="S4652" r:id="rId3727" xr:uid="{00000000-0004-0000-0000-0000FC120000}"/>
    <hyperlink ref="G4653" r:id="rId3728" xr:uid="{00000000-0004-0000-0000-0000FE120000}"/>
    <hyperlink ref="G4654" r:id="rId3729" xr:uid="{00000000-0004-0000-0000-0000FF120000}"/>
    <hyperlink ref="G4655" r:id="rId3730" xr:uid="{00000000-0004-0000-0000-000000130000}"/>
    <hyperlink ref="S4656" r:id="rId3731" xr:uid="{00000000-0004-0000-0000-000002130000}"/>
    <hyperlink ref="G4657" r:id="rId3732" xr:uid="{00000000-0004-0000-0000-000003130000}"/>
    <hyperlink ref="G4658" r:id="rId3733" xr:uid="{00000000-0004-0000-0000-000004130000}"/>
    <hyperlink ref="S4658" r:id="rId3734" xr:uid="{00000000-0004-0000-0000-000005130000}"/>
    <hyperlink ref="G4659" r:id="rId3735" xr:uid="{00000000-0004-0000-0000-000008130000}"/>
    <hyperlink ref="S4660" r:id="rId3736" xr:uid="{00000000-0004-0000-0000-000009130000}"/>
    <hyperlink ref="G4661" r:id="rId3737" xr:uid="{00000000-0004-0000-0000-00000A130000}"/>
    <hyperlink ref="G4663" r:id="rId3738" xr:uid="{00000000-0004-0000-0000-00000B130000}"/>
    <hyperlink ref="G4664" r:id="rId3739" xr:uid="{00000000-0004-0000-0000-00000C130000}"/>
    <hyperlink ref="G4665" r:id="rId3740" xr:uid="{00000000-0004-0000-0000-00000D130000}"/>
    <hyperlink ref="G4666" r:id="rId3741" xr:uid="{00000000-0004-0000-0000-00000E130000}"/>
    <hyperlink ref="G4667" r:id="rId3742" xr:uid="{00000000-0004-0000-0000-00000F130000}"/>
    <hyperlink ref="G4668" r:id="rId3743" xr:uid="{00000000-0004-0000-0000-000010130000}"/>
    <hyperlink ref="G4669" r:id="rId3744" xr:uid="{00000000-0004-0000-0000-000011130000}"/>
    <hyperlink ref="G4673" r:id="rId3745" xr:uid="{00000000-0004-0000-0000-000012130000}"/>
    <hyperlink ref="F4675" r:id="rId3746" xr:uid="{00000000-0004-0000-0000-000013130000}"/>
    <hyperlink ref="G4676" r:id="rId3747" xr:uid="{00000000-0004-0000-0000-000014130000}"/>
    <hyperlink ref="G4677" r:id="rId3748" xr:uid="{00000000-0004-0000-0000-000015130000}"/>
    <hyperlink ref="F4678" r:id="rId3749" xr:uid="{00000000-0004-0000-0000-000016130000}"/>
    <hyperlink ref="G4678" r:id="rId3750" xr:uid="{00000000-0004-0000-0000-000017130000}"/>
    <hyperlink ref="S4678" r:id="rId3751" xr:uid="{00000000-0004-0000-0000-000018130000}"/>
    <hyperlink ref="S4681" r:id="rId3752" xr:uid="{00000000-0004-0000-0000-000019130000}"/>
    <hyperlink ref="G4683" r:id="rId3753" xr:uid="{00000000-0004-0000-0000-00001B130000}"/>
    <hyperlink ref="S4683" r:id="rId3754" xr:uid="{00000000-0004-0000-0000-00001C130000}"/>
    <hyperlink ref="G4685" r:id="rId3755" xr:uid="{00000000-0004-0000-0000-00001D130000}"/>
    <hyperlink ref="G4687" r:id="rId3756" xr:uid="{00000000-0004-0000-0000-00001E130000}"/>
    <hyperlink ref="F4688" r:id="rId3757" xr:uid="{00000000-0004-0000-0000-00001F130000}"/>
    <hyperlink ref="G4688" r:id="rId3758" xr:uid="{00000000-0004-0000-0000-000020130000}"/>
    <hyperlink ref="S4688" r:id="rId3759" xr:uid="{00000000-0004-0000-0000-000021130000}"/>
    <hyperlink ref="G4692" r:id="rId3760" xr:uid="{00000000-0004-0000-0000-000022130000}"/>
    <hyperlink ref="G4693" r:id="rId3761" xr:uid="{00000000-0004-0000-0000-000023130000}"/>
    <hyperlink ref="F4694" r:id="rId3762" xr:uid="{00000000-0004-0000-0000-000024130000}"/>
    <hyperlink ref="S4695" r:id="rId3763" xr:uid="{00000000-0004-0000-0000-000025130000}"/>
    <hyperlink ref="G4696" r:id="rId3764" xr:uid="{00000000-0004-0000-0000-00002A130000}"/>
    <hyperlink ref="G4697" r:id="rId3765" xr:uid="{00000000-0004-0000-0000-00002B130000}"/>
    <hyperlink ref="G4698" r:id="rId3766" xr:uid="{00000000-0004-0000-0000-00002C130000}"/>
    <hyperlink ref="G4700" r:id="rId3767" xr:uid="{00000000-0004-0000-0000-00002D130000}"/>
    <hyperlink ref="G4702" r:id="rId3768" xr:uid="{00000000-0004-0000-0000-00002E130000}"/>
    <hyperlink ref="G4703" r:id="rId3769" xr:uid="{00000000-0004-0000-0000-000031130000}"/>
    <hyperlink ref="G4705" r:id="rId3770" xr:uid="{00000000-0004-0000-0000-000034130000}"/>
    <hyperlink ref="G4706" r:id="rId3771" xr:uid="{00000000-0004-0000-0000-000035130000}"/>
    <hyperlink ref="G4709" r:id="rId3772" xr:uid="{00000000-0004-0000-0000-000036130000}"/>
    <hyperlink ref="S4709" r:id="rId3773" xr:uid="{00000000-0004-0000-0000-000037130000}"/>
    <hyperlink ref="G4710" r:id="rId3774" xr:uid="{00000000-0004-0000-0000-000038130000}"/>
    <hyperlink ref="G4711" r:id="rId3775" xr:uid="{00000000-0004-0000-0000-00003A130000}"/>
    <hyperlink ref="G4712" r:id="rId3776" xr:uid="{00000000-0004-0000-0000-00003C130000}"/>
    <hyperlink ref="G4714" r:id="rId3777" xr:uid="{00000000-0004-0000-0000-00003D130000}"/>
    <hyperlink ref="G4715" r:id="rId3778" xr:uid="{00000000-0004-0000-0000-00003F130000}"/>
    <hyperlink ref="F4716" r:id="rId3779" xr:uid="{00000000-0004-0000-0000-000040130000}"/>
    <hyperlink ref="G4716" r:id="rId3780" xr:uid="{00000000-0004-0000-0000-000041130000}"/>
    <hyperlink ref="G4717" r:id="rId3781" xr:uid="{00000000-0004-0000-0000-000042130000}"/>
    <hyperlink ref="G4720" r:id="rId3782" xr:uid="{00000000-0004-0000-0000-000043130000}"/>
    <hyperlink ref="G4721" r:id="rId3783" xr:uid="{00000000-0004-0000-0000-000044130000}"/>
    <hyperlink ref="G4723" r:id="rId3784" xr:uid="{00000000-0004-0000-0000-000045130000}"/>
    <hyperlink ref="G4724" r:id="rId3785" xr:uid="{00000000-0004-0000-0000-000046130000}"/>
    <hyperlink ref="G4726" r:id="rId3786" xr:uid="{00000000-0004-0000-0000-000047130000}"/>
    <hyperlink ref="S4726" r:id="rId3787" xr:uid="{00000000-0004-0000-0000-000048130000}"/>
    <hyperlink ref="S4727" r:id="rId3788" xr:uid="{00000000-0004-0000-0000-000049130000}"/>
    <hyperlink ref="S4729" r:id="rId3789" xr:uid="{00000000-0004-0000-0000-00004A130000}"/>
    <hyperlink ref="F4732" r:id="rId3790" xr:uid="{00000000-0004-0000-0000-00004B130000}"/>
    <hyperlink ref="G4735" r:id="rId3791" xr:uid="{00000000-0004-0000-0000-00004D130000}"/>
    <hyperlink ref="G4736" r:id="rId3792" xr:uid="{00000000-0004-0000-0000-00004E130000}"/>
    <hyperlink ref="S4736" r:id="rId3793" xr:uid="{00000000-0004-0000-0000-00004F130000}"/>
    <hyperlink ref="G4737" r:id="rId3794" xr:uid="{00000000-0004-0000-0000-000050130000}"/>
    <hyperlink ref="G4739" r:id="rId3795" xr:uid="{00000000-0004-0000-0000-000052130000}"/>
    <hyperlink ref="G4742" r:id="rId3796" xr:uid="{00000000-0004-0000-0000-000054130000}"/>
    <hyperlink ref="G4743" r:id="rId3797" xr:uid="{00000000-0004-0000-0000-000055130000}"/>
    <hyperlink ref="G4744" r:id="rId3798" xr:uid="{00000000-0004-0000-0000-000056130000}"/>
    <hyperlink ref="G4747" r:id="rId3799" xr:uid="{00000000-0004-0000-0000-00005A130000}"/>
    <hyperlink ref="S4749" r:id="rId3800" xr:uid="{00000000-0004-0000-0000-00005B130000}"/>
    <hyperlink ref="G4750" r:id="rId3801" xr:uid="{00000000-0004-0000-0000-00005C130000}"/>
    <hyperlink ref="G4751" r:id="rId3802" xr:uid="{00000000-0004-0000-0000-00005D130000}"/>
    <hyperlink ref="G4752" r:id="rId3803" xr:uid="{00000000-0004-0000-0000-00005E130000}"/>
    <hyperlink ref="G4753" r:id="rId3804" xr:uid="{00000000-0004-0000-0000-00005F130000}"/>
    <hyperlink ref="G4754" r:id="rId3805" xr:uid="{00000000-0004-0000-0000-000060130000}"/>
    <hyperlink ref="G4756" r:id="rId3806" xr:uid="{00000000-0004-0000-0000-000061130000}"/>
    <hyperlink ref="S4757" r:id="rId3807" xr:uid="{00000000-0004-0000-0000-000062130000}"/>
    <hyperlink ref="G4758" r:id="rId3808" xr:uid="{00000000-0004-0000-0000-000063130000}"/>
    <hyperlink ref="S4758" r:id="rId3809" xr:uid="{00000000-0004-0000-0000-000064130000}"/>
    <hyperlink ref="G4760" r:id="rId3810" xr:uid="{00000000-0004-0000-0000-000065130000}"/>
    <hyperlink ref="G4762" r:id="rId3811" xr:uid="{00000000-0004-0000-0000-000067130000}"/>
    <hyperlink ref="G4763" r:id="rId3812" xr:uid="{00000000-0004-0000-0000-000068130000}"/>
    <hyperlink ref="G4764" r:id="rId3813" xr:uid="{00000000-0004-0000-0000-000069130000}"/>
    <hyperlink ref="G4766" r:id="rId3814" xr:uid="{00000000-0004-0000-0000-00006C130000}"/>
    <hyperlink ref="G4767" r:id="rId3815" xr:uid="{00000000-0004-0000-0000-00006D130000}"/>
    <hyperlink ref="G4768" r:id="rId3816" xr:uid="{00000000-0004-0000-0000-00006E130000}"/>
    <hyperlink ref="S4768" r:id="rId3817" xr:uid="{00000000-0004-0000-0000-00006F130000}"/>
    <hyperlink ref="F4769" r:id="rId3818" xr:uid="{00000000-0004-0000-0000-000070130000}"/>
    <hyperlink ref="G4769" r:id="rId3819" xr:uid="{00000000-0004-0000-0000-000071130000}"/>
    <hyperlink ref="G4770" r:id="rId3820" xr:uid="{00000000-0004-0000-0000-000072130000}"/>
    <hyperlink ref="G4771" r:id="rId3821" xr:uid="{00000000-0004-0000-0000-000074130000}"/>
    <hyperlink ref="G4772" r:id="rId3822" xr:uid="{00000000-0004-0000-0000-000075130000}"/>
    <hyperlink ref="G4774" r:id="rId3823" xr:uid="{00000000-0004-0000-0000-000076130000}"/>
    <hyperlink ref="G4775" r:id="rId3824" xr:uid="{00000000-0004-0000-0000-000079130000}"/>
    <hyperlink ref="S4775" r:id="rId3825" xr:uid="{00000000-0004-0000-0000-00007A130000}"/>
    <hyperlink ref="S4776" r:id="rId3826" xr:uid="{00000000-0004-0000-0000-00007B130000}"/>
    <hyperlink ref="S4777" r:id="rId3827" xr:uid="{00000000-0004-0000-0000-00007C130000}"/>
    <hyperlink ref="G4778" r:id="rId3828" xr:uid="{00000000-0004-0000-0000-00007D130000}"/>
    <hyperlink ref="G4779" r:id="rId3829" xr:uid="{00000000-0004-0000-0000-00007E130000}"/>
    <hyperlink ref="S4779" r:id="rId3830" xr:uid="{00000000-0004-0000-0000-00007F130000}"/>
    <hyperlink ref="S4780" r:id="rId3831" xr:uid="{00000000-0004-0000-0000-000080130000}"/>
    <hyperlink ref="S4781" r:id="rId3832" xr:uid="{00000000-0004-0000-0000-000081130000}"/>
    <hyperlink ref="G4782" r:id="rId3833" xr:uid="{00000000-0004-0000-0000-000083130000}"/>
    <hyperlink ref="G4783" r:id="rId3834" xr:uid="{00000000-0004-0000-0000-000084130000}"/>
    <hyperlink ref="S4783" r:id="rId3835" xr:uid="{00000000-0004-0000-0000-000085130000}"/>
    <hyperlink ref="G4786" r:id="rId3836" xr:uid="{00000000-0004-0000-0000-000086130000}"/>
    <hyperlink ref="G4790" r:id="rId3837" xr:uid="{00000000-0004-0000-0000-000088130000}"/>
    <hyperlink ref="G4794" r:id="rId3838" xr:uid="{00000000-0004-0000-0000-00008B130000}"/>
    <hyperlink ref="F4796" r:id="rId3839" xr:uid="{00000000-0004-0000-0000-00008C130000}"/>
    <hyperlink ref="G4797" r:id="rId3840" xr:uid="{00000000-0004-0000-0000-00008D130000}"/>
    <hyperlink ref="G4798" r:id="rId3841" xr:uid="{00000000-0004-0000-0000-00008E130000}"/>
    <hyperlink ref="F4800" r:id="rId3842" xr:uid="{00000000-0004-0000-0000-00008F130000}"/>
    <hyperlink ref="S4800" r:id="rId3843" xr:uid="{00000000-0004-0000-0000-000090130000}"/>
    <hyperlink ref="G4802" r:id="rId3844" xr:uid="{00000000-0004-0000-0000-000092130000}"/>
    <hyperlink ref="S4804" r:id="rId3845" xr:uid="{00000000-0004-0000-0000-000093130000}"/>
    <hyperlink ref="G4805" r:id="rId3846" xr:uid="{00000000-0004-0000-0000-000094130000}"/>
    <hyperlink ref="G4806" r:id="rId3847" xr:uid="{00000000-0004-0000-0000-000095130000}"/>
    <hyperlink ref="F4807" r:id="rId3848" xr:uid="{00000000-0004-0000-0000-000096130000}"/>
    <hyperlink ref="G4807" r:id="rId3849" xr:uid="{00000000-0004-0000-0000-000097130000}"/>
    <hyperlink ref="Q4807" r:id="rId3850" xr:uid="{00000000-0004-0000-0000-000098130000}"/>
    <hyperlink ref="S4807" r:id="rId3851" xr:uid="{00000000-0004-0000-0000-000099130000}"/>
    <hyperlink ref="G4808" r:id="rId3852" xr:uid="{00000000-0004-0000-0000-00009A130000}"/>
    <hyperlink ref="F4809" r:id="rId3853" xr:uid="{00000000-0004-0000-0000-00009B130000}"/>
    <hyperlink ref="G4810" r:id="rId3854" xr:uid="{00000000-0004-0000-0000-00009C130000}"/>
    <hyperlink ref="G4812" r:id="rId3855" xr:uid="{00000000-0004-0000-0000-00009D130000}"/>
    <hyperlink ref="G4813" r:id="rId3856" xr:uid="{00000000-0004-0000-0000-00009E130000}"/>
    <hyperlink ref="G4814" r:id="rId3857" xr:uid="{00000000-0004-0000-0000-00009F130000}"/>
    <hyperlink ref="S4815" r:id="rId3858" xr:uid="{00000000-0004-0000-0000-0000A0130000}"/>
    <hyperlink ref="G4818" r:id="rId3859" xr:uid="{00000000-0004-0000-0000-0000A2130000}"/>
    <hyperlink ref="G4819" r:id="rId3860" xr:uid="{00000000-0004-0000-0000-0000A3130000}"/>
    <hyperlink ref="S4819" r:id="rId3861" xr:uid="{00000000-0004-0000-0000-0000A4130000}"/>
    <hyperlink ref="F4820" r:id="rId3862" xr:uid="{00000000-0004-0000-0000-0000A5130000}"/>
    <hyperlink ref="G4820" r:id="rId3863" xr:uid="{00000000-0004-0000-0000-0000A6130000}"/>
    <hyperlink ref="G4821" r:id="rId3864" xr:uid="{00000000-0004-0000-0000-0000A7130000}"/>
    <hyperlink ref="G4822" r:id="rId3865" xr:uid="{00000000-0004-0000-0000-0000A8130000}"/>
    <hyperlink ref="F4824" r:id="rId3866" xr:uid="{00000000-0004-0000-0000-0000A9130000}"/>
    <hyperlink ref="G4824" r:id="rId3867" xr:uid="{00000000-0004-0000-0000-0000AA130000}"/>
    <hyperlink ref="G4825" r:id="rId3868" xr:uid="{00000000-0004-0000-0000-0000AB130000}"/>
    <hyperlink ref="S4827" r:id="rId3869" xr:uid="{00000000-0004-0000-0000-0000AC130000}"/>
    <hyperlink ref="G4828" r:id="rId3870" xr:uid="{00000000-0004-0000-0000-0000AD130000}"/>
    <hyperlink ref="S4829" r:id="rId3871" xr:uid="{00000000-0004-0000-0000-0000AE130000}"/>
    <hyperlink ref="G4830" r:id="rId3872" xr:uid="{00000000-0004-0000-0000-0000AF130000}"/>
    <hyperlink ref="G4831" r:id="rId3873" xr:uid="{00000000-0004-0000-0000-0000B0130000}"/>
    <hyperlink ref="F4832" r:id="rId3874" xr:uid="{00000000-0004-0000-0000-0000B1130000}"/>
    <hyperlink ref="G4832" r:id="rId3875" xr:uid="{00000000-0004-0000-0000-0000B2130000}"/>
    <hyperlink ref="G4834" r:id="rId3876" xr:uid="{00000000-0004-0000-0000-0000B3130000}"/>
    <hyperlink ref="F4835" r:id="rId3877" xr:uid="{00000000-0004-0000-0000-0000B4130000}"/>
    <hyperlink ref="G4836" r:id="rId3878" xr:uid="{00000000-0004-0000-0000-0000B7130000}"/>
    <hyperlink ref="F4837" r:id="rId3879" xr:uid="{00000000-0004-0000-0000-0000B8130000}"/>
    <hyperlink ref="G4840" r:id="rId3880" xr:uid="{00000000-0004-0000-0000-0000B9130000}"/>
    <hyperlink ref="S4840" r:id="rId3881" xr:uid="{00000000-0004-0000-0000-0000BA130000}"/>
    <hyperlink ref="G4841" r:id="rId3882" xr:uid="{00000000-0004-0000-0000-0000BC130000}"/>
    <hyperlink ref="S4841" r:id="rId3883" xr:uid="{00000000-0004-0000-0000-0000BD130000}"/>
    <hyperlink ref="G4842" r:id="rId3884" xr:uid="{00000000-0004-0000-0000-0000BE130000}"/>
    <hyperlink ref="G4843" r:id="rId3885" xr:uid="{00000000-0004-0000-0000-0000BF130000}"/>
    <hyperlink ref="G4844" r:id="rId3886" xr:uid="{00000000-0004-0000-0000-0000C0130000}"/>
    <hyperlink ref="G4846" r:id="rId3887" xr:uid="{00000000-0004-0000-0000-0000C1130000}"/>
    <hyperlink ref="G4847" r:id="rId3888" xr:uid="{00000000-0004-0000-0000-0000C2130000}"/>
    <hyperlink ref="S4849" r:id="rId3889" xr:uid="{00000000-0004-0000-0000-0000C4130000}"/>
    <hyperlink ref="G4851" r:id="rId3890" xr:uid="{00000000-0004-0000-0000-0000C5130000}"/>
    <hyperlink ref="G4852" r:id="rId3891" xr:uid="{00000000-0004-0000-0000-0000C7130000}"/>
    <hyperlink ref="G4853" r:id="rId3892" xr:uid="{00000000-0004-0000-0000-0000C8130000}"/>
    <hyperlink ref="S4855" r:id="rId3893" xr:uid="{00000000-0004-0000-0000-0000C9130000}"/>
    <hyperlink ref="G4857" r:id="rId3894" xr:uid="{00000000-0004-0000-0000-0000CA130000}"/>
    <hyperlink ref="F4858" r:id="rId3895" xr:uid="{00000000-0004-0000-0000-0000CB130000}"/>
    <hyperlink ref="G4858" r:id="rId3896" xr:uid="{00000000-0004-0000-0000-0000CC130000}"/>
    <hyperlink ref="G4859" r:id="rId3897" xr:uid="{00000000-0004-0000-0000-0000CD130000}"/>
    <hyperlink ref="G4860" r:id="rId3898" xr:uid="{00000000-0004-0000-0000-0000CE130000}"/>
    <hyperlink ref="G4863" r:id="rId3899" xr:uid="{00000000-0004-0000-0000-0000D0130000}"/>
    <hyperlink ref="G4864" r:id="rId3900" xr:uid="{00000000-0004-0000-0000-0000D1130000}"/>
    <hyperlink ref="G4865" r:id="rId3901" xr:uid="{00000000-0004-0000-0000-0000D3130000}"/>
    <hyperlink ref="G4868" r:id="rId3902" xr:uid="{00000000-0004-0000-0000-0000D5130000}"/>
    <hyperlink ref="S4868" r:id="rId3903" xr:uid="{00000000-0004-0000-0000-0000D6130000}"/>
    <hyperlink ref="G4869" r:id="rId3904" xr:uid="{00000000-0004-0000-0000-0000D7130000}"/>
    <hyperlink ref="G4871" r:id="rId3905" xr:uid="{00000000-0004-0000-0000-0000D8130000}"/>
    <hyperlink ref="G4872" r:id="rId3906" xr:uid="{00000000-0004-0000-0000-0000DA130000}"/>
    <hyperlink ref="S4872" r:id="rId3907" xr:uid="{00000000-0004-0000-0000-0000DB130000}"/>
    <hyperlink ref="G4874" r:id="rId3908" xr:uid="{00000000-0004-0000-0000-0000DE130000}"/>
    <hyperlink ref="S4874" r:id="rId3909" xr:uid="{00000000-0004-0000-0000-0000DF130000}"/>
    <hyperlink ref="G4876" r:id="rId3910" xr:uid="{00000000-0004-0000-0000-0000E0130000}"/>
    <hyperlink ref="G4877" r:id="rId3911" xr:uid="{00000000-0004-0000-0000-0000E1130000}"/>
    <hyperlink ref="S4877" r:id="rId3912" xr:uid="{00000000-0004-0000-0000-0000E2130000}"/>
    <hyperlink ref="G4878" r:id="rId3913" xr:uid="{00000000-0004-0000-0000-0000E4130000}"/>
    <hyperlink ref="G4879" r:id="rId3914" xr:uid="{00000000-0004-0000-0000-0000E5130000}"/>
    <hyperlink ref="G4880" r:id="rId3915" xr:uid="{00000000-0004-0000-0000-0000E6130000}"/>
    <hyperlink ref="G4882" r:id="rId3916" xr:uid="{00000000-0004-0000-0000-0000EA130000}"/>
    <hyperlink ref="G4883" r:id="rId3917" xr:uid="{00000000-0004-0000-0000-0000EB130000}"/>
    <hyperlink ref="G4884" r:id="rId3918" xr:uid="{00000000-0004-0000-0000-0000ED130000}"/>
    <hyperlink ref="G4885" r:id="rId3919" xr:uid="{00000000-0004-0000-0000-0000EE130000}"/>
    <hyperlink ref="S4885" r:id="rId3920" xr:uid="{00000000-0004-0000-0000-0000EF130000}"/>
    <hyperlink ref="F4886" r:id="rId3921" xr:uid="{00000000-0004-0000-0000-0000F1130000}"/>
    <hyperlink ref="G4886" r:id="rId3922" xr:uid="{00000000-0004-0000-0000-0000F2130000}"/>
    <hyperlink ref="S4886" r:id="rId3923" xr:uid="{00000000-0004-0000-0000-0000F3130000}"/>
    <hyperlink ref="G4890" r:id="rId3924" xr:uid="{00000000-0004-0000-0000-0000F8130000}"/>
    <hyperlink ref="G4891" r:id="rId3925" xr:uid="{00000000-0004-0000-0000-0000F9130000}"/>
    <hyperlink ref="S4891" r:id="rId3926" xr:uid="{00000000-0004-0000-0000-0000FA130000}"/>
    <hyperlink ref="G4893" r:id="rId3927" xr:uid="{00000000-0004-0000-0000-0000FB130000}"/>
    <hyperlink ref="G4894" r:id="rId3928" xr:uid="{00000000-0004-0000-0000-0000FF130000}"/>
    <hyperlink ref="S4894" r:id="rId3929" xr:uid="{00000000-0004-0000-0000-000000140000}"/>
    <hyperlink ref="G4895" r:id="rId3930" xr:uid="{00000000-0004-0000-0000-000004140000}"/>
    <hyperlink ref="G4896" r:id="rId3931" xr:uid="{00000000-0004-0000-0000-000005140000}"/>
    <hyperlink ref="G4897" r:id="rId3932" xr:uid="{00000000-0004-0000-0000-000006140000}"/>
    <hyperlink ref="S4898" r:id="rId3933" xr:uid="{00000000-0004-0000-0000-000007140000}"/>
    <hyperlink ref="G4899" r:id="rId3934" xr:uid="{00000000-0004-0000-0000-000009140000}"/>
    <hyperlink ref="G4900" r:id="rId3935" xr:uid="{00000000-0004-0000-0000-00000A140000}"/>
    <hyperlink ref="S4900" r:id="rId3936" xr:uid="{00000000-0004-0000-0000-00000B140000}"/>
    <hyperlink ref="G4902" r:id="rId3937" xr:uid="{00000000-0004-0000-0000-00000C140000}"/>
    <hyperlink ref="G4903" r:id="rId3938" xr:uid="{00000000-0004-0000-0000-00000D140000}"/>
    <hyperlink ref="G4904" r:id="rId3939" xr:uid="{00000000-0004-0000-0000-00000E140000}"/>
    <hyperlink ref="G4905" r:id="rId3940" xr:uid="{00000000-0004-0000-0000-000010140000}"/>
    <hyperlink ref="G4907" r:id="rId3941" xr:uid="{00000000-0004-0000-0000-000011140000}"/>
    <hyperlink ref="G4911" r:id="rId3942" xr:uid="{00000000-0004-0000-0000-000013140000}"/>
    <hyperlink ref="G4913" r:id="rId3943" xr:uid="{00000000-0004-0000-0000-000014140000}"/>
    <hyperlink ref="G4915" r:id="rId3944" xr:uid="{00000000-0004-0000-0000-000016140000}"/>
    <hyperlink ref="G4916" r:id="rId3945" xr:uid="{00000000-0004-0000-0000-000017140000}"/>
    <hyperlink ref="F4917" r:id="rId3946" xr:uid="{00000000-0004-0000-0000-000018140000}"/>
    <hyperlink ref="G4918" r:id="rId3947" xr:uid="{00000000-0004-0000-0000-000019140000}"/>
    <hyperlink ref="G4919" r:id="rId3948" xr:uid="{00000000-0004-0000-0000-00001A140000}"/>
    <hyperlink ref="G4920" r:id="rId3949" xr:uid="{00000000-0004-0000-0000-00001C140000}"/>
    <hyperlink ref="G4921" r:id="rId3950" xr:uid="{00000000-0004-0000-0000-00001D140000}"/>
    <hyperlink ref="G4924" r:id="rId3951" xr:uid="{00000000-0004-0000-0000-000020140000}"/>
    <hyperlink ref="G4925" r:id="rId3952" xr:uid="{00000000-0004-0000-0000-000021140000}"/>
    <hyperlink ref="G4926" r:id="rId3953" xr:uid="{00000000-0004-0000-0000-000022140000}"/>
    <hyperlink ref="G4928" r:id="rId3954" xr:uid="{00000000-0004-0000-0000-000023140000}"/>
    <hyperlink ref="G4929" r:id="rId3955" xr:uid="{00000000-0004-0000-0000-000024140000}"/>
    <hyperlink ref="G4930" r:id="rId3956" xr:uid="{00000000-0004-0000-0000-000026140000}"/>
    <hyperlink ref="G4931" r:id="rId3957" xr:uid="{00000000-0004-0000-0000-000027140000}"/>
    <hyperlink ref="G4933" r:id="rId3958" xr:uid="{00000000-0004-0000-0000-000029140000}"/>
    <hyperlink ref="G4937" r:id="rId3959" xr:uid="{00000000-0004-0000-0000-00002A140000}"/>
    <hyperlink ref="G4940" r:id="rId3960" xr:uid="{00000000-0004-0000-0000-00002C140000}"/>
    <hyperlink ref="S4940" r:id="rId3961" xr:uid="{00000000-0004-0000-0000-00002D140000}"/>
    <hyperlink ref="G4941" r:id="rId3962" xr:uid="{00000000-0004-0000-0000-00002E140000}"/>
    <hyperlink ref="G4942" r:id="rId3963" xr:uid="{00000000-0004-0000-0000-00002F140000}"/>
    <hyperlink ref="S4943" r:id="rId3964" xr:uid="{00000000-0004-0000-0000-000030140000}"/>
    <hyperlink ref="G4944" r:id="rId3965" xr:uid="{00000000-0004-0000-0000-000032140000}"/>
    <hyperlink ref="G4945" r:id="rId3966" xr:uid="{00000000-0004-0000-0000-000034140000}"/>
    <hyperlink ref="G4948" r:id="rId3967" xr:uid="{00000000-0004-0000-0000-000038140000}"/>
    <hyperlink ref="G4949" r:id="rId3968" xr:uid="{00000000-0004-0000-0000-00003B140000}"/>
    <hyperlink ref="G4951" r:id="rId3969" xr:uid="{00000000-0004-0000-0000-000041140000}"/>
    <hyperlink ref="S4951" r:id="rId3970" xr:uid="{00000000-0004-0000-0000-000042140000}"/>
    <hyperlink ref="G4952" r:id="rId3971" xr:uid="{00000000-0004-0000-0000-000043140000}"/>
    <hyperlink ref="G4953" r:id="rId3972" xr:uid="{00000000-0004-0000-0000-000044140000}"/>
    <hyperlink ref="S4953" r:id="rId3973" xr:uid="{00000000-0004-0000-0000-000045140000}"/>
    <hyperlink ref="G4954" r:id="rId3974" xr:uid="{00000000-0004-0000-0000-000046140000}"/>
    <hyperlink ref="G4958" r:id="rId3975" xr:uid="{00000000-0004-0000-0000-00004B140000}"/>
    <hyperlink ref="G4959" r:id="rId3976" xr:uid="{00000000-0004-0000-0000-00004C140000}"/>
    <hyperlink ref="S4959" r:id="rId3977" xr:uid="{00000000-0004-0000-0000-00004D140000}"/>
    <hyperlink ref="G4960" r:id="rId3978" xr:uid="{00000000-0004-0000-0000-00004E140000}"/>
    <hyperlink ref="G4961" r:id="rId3979" xr:uid="{00000000-0004-0000-0000-00004F140000}"/>
    <hyperlink ref="G4962" r:id="rId3980" xr:uid="{00000000-0004-0000-0000-000050140000}"/>
    <hyperlink ref="F4968" r:id="rId3981" xr:uid="{00000000-0004-0000-0000-000055140000}"/>
    <hyperlink ref="G4968" r:id="rId3982" xr:uid="{00000000-0004-0000-0000-000056140000}"/>
    <hyperlink ref="G4970" r:id="rId3983" xr:uid="{00000000-0004-0000-0000-000057140000}"/>
    <hyperlink ref="S4970" r:id="rId3984" xr:uid="{00000000-0004-0000-0000-000058140000}"/>
    <hyperlink ref="G4972" r:id="rId3985" xr:uid="{00000000-0004-0000-0000-000059140000}"/>
    <hyperlink ref="F4973" r:id="rId3986" xr:uid="{00000000-0004-0000-0000-00005A140000}"/>
    <hyperlink ref="G4976" r:id="rId3987" xr:uid="{00000000-0004-0000-0000-00005B140000}"/>
    <hyperlink ref="S4976" r:id="rId3988" xr:uid="{00000000-0004-0000-0000-00005C140000}"/>
    <hyperlink ref="S4977" r:id="rId3989" xr:uid="{00000000-0004-0000-0000-00005D140000}"/>
    <hyperlink ref="G4979" r:id="rId3990" xr:uid="{00000000-0004-0000-0000-00005E140000}"/>
    <hyperlink ref="G4980" r:id="rId3991" xr:uid="{00000000-0004-0000-0000-00005F140000}"/>
    <hyperlink ref="G4981" r:id="rId3992" xr:uid="{00000000-0004-0000-0000-000060140000}"/>
    <hyperlink ref="S4981" r:id="rId3993" xr:uid="{00000000-0004-0000-0000-000061140000}"/>
    <hyperlink ref="G4983" r:id="rId3994" xr:uid="{00000000-0004-0000-0000-000062140000}"/>
    <hyperlink ref="F4985" r:id="rId3995" xr:uid="{00000000-0004-0000-0000-000063140000}"/>
    <hyperlink ref="G4987" r:id="rId3996" xr:uid="{00000000-0004-0000-0000-000065140000}"/>
    <hyperlink ref="S4987" r:id="rId3997" xr:uid="{00000000-0004-0000-0000-000066140000}"/>
    <hyperlink ref="S4988" r:id="rId3998" xr:uid="{00000000-0004-0000-0000-000067140000}"/>
    <hyperlink ref="G4989" r:id="rId3999" xr:uid="{00000000-0004-0000-0000-000068140000}"/>
    <hyperlink ref="G4991" r:id="rId4000" xr:uid="{00000000-0004-0000-0000-000069140000}"/>
    <hyperlink ref="F4992" r:id="rId4001" xr:uid="{00000000-0004-0000-0000-00006A140000}"/>
    <hyperlink ref="G4992" r:id="rId4002" xr:uid="{00000000-0004-0000-0000-00006B140000}"/>
    <hyperlink ref="G4993" r:id="rId4003" xr:uid="{00000000-0004-0000-0000-00006C140000}"/>
    <hyperlink ref="G4995" r:id="rId4004" xr:uid="{00000000-0004-0000-0000-00006D140000}"/>
    <hyperlink ref="G4996" r:id="rId4005" xr:uid="{00000000-0004-0000-0000-00006E140000}"/>
    <hyperlink ref="G4997" r:id="rId4006" xr:uid="{00000000-0004-0000-0000-00006F140000}"/>
    <hyperlink ref="F4998" r:id="rId4007" xr:uid="{00000000-0004-0000-0000-000070140000}"/>
    <hyperlink ref="G4998" r:id="rId4008" xr:uid="{00000000-0004-0000-0000-000071140000}"/>
    <hyperlink ref="G5001" r:id="rId4009" xr:uid="{00000000-0004-0000-0000-000073140000}"/>
    <hyperlink ref="G5002" r:id="rId4010" xr:uid="{00000000-0004-0000-0000-000075140000}"/>
    <hyperlink ref="G5004" r:id="rId4011" xr:uid="{00000000-0004-0000-0000-000079140000}"/>
    <hyperlink ref="G5005" r:id="rId4012" xr:uid="{00000000-0004-0000-0000-00007B140000}"/>
    <hyperlink ref="S5005" r:id="rId4013" xr:uid="{00000000-0004-0000-0000-00007C140000}"/>
    <hyperlink ref="G5006" r:id="rId4014" xr:uid="{00000000-0004-0000-0000-00007D140000}"/>
    <hyperlink ref="F5007" r:id="rId4015" xr:uid="{00000000-0004-0000-0000-00007E140000}"/>
    <hyperlink ref="G5007" r:id="rId4016" xr:uid="{00000000-0004-0000-0000-00007F140000}"/>
    <hyperlink ref="G5008" r:id="rId4017" xr:uid="{00000000-0004-0000-0000-000082140000}"/>
    <hyperlink ref="S5008" r:id="rId4018" xr:uid="{00000000-0004-0000-0000-000083140000}"/>
    <hyperlink ref="F5009" r:id="rId4019" xr:uid="{00000000-0004-0000-0000-000084140000}"/>
    <hyperlink ref="G5010" r:id="rId4020" xr:uid="{00000000-0004-0000-0000-000085140000}"/>
    <hyperlink ref="F5011" r:id="rId4021" xr:uid="{00000000-0004-0000-0000-000086140000}"/>
    <hyperlink ref="S5011" r:id="rId4022" xr:uid="{00000000-0004-0000-0000-000087140000}"/>
    <hyperlink ref="G5014" r:id="rId4023" xr:uid="{00000000-0004-0000-0000-000088140000}"/>
    <hyperlink ref="S5014" r:id="rId4024" xr:uid="{00000000-0004-0000-0000-000089140000}"/>
    <hyperlink ref="G5015" r:id="rId4025" xr:uid="{00000000-0004-0000-0000-00008A140000}"/>
    <hyperlink ref="G5016" r:id="rId4026" xr:uid="{00000000-0004-0000-0000-00008B140000}"/>
    <hyperlink ref="G5017" r:id="rId4027" xr:uid="{00000000-0004-0000-0000-00008C140000}"/>
    <hyperlink ref="G5019" r:id="rId4028" xr:uid="{00000000-0004-0000-0000-00008D140000}"/>
    <hyperlink ref="G5020" r:id="rId4029" xr:uid="{00000000-0004-0000-0000-00008E140000}"/>
    <hyperlink ref="S5020" r:id="rId4030" xr:uid="{00000000-0004-0000-0000-00008F140000}"/>
    <hyperlink ref="G5021" r:id="rId4031" xr:uid="{00000000-0004-0000-0000-000090140000}"/>
    <hyperlink ref="G5023" r:id="rId4032" xr:uid="{00000000-0004-0000-0000-000091140000}"/>
    <hyperlink ref="G5025" r:id="rId4033" xr:uid="{00000000-0004-0000-0000-000094140000}"/>
    <hyperlink ref="G5026" r:id="rId4034" xr:uid="{00000000-0004-0000-0000-000096140000}"/>
    <hyperlink ref="G5027" r:id="rId4035" xr:uid="{00000000-0004-0000-0000-000097140000}"/>
    <hyperlink ref="G5028" r:id="rId4036" xr:uid="{00000000-0004-0000-0000-000098140000}"/>
    <hyperlink ref="F5030" r:id="rId4037" xr:uid="{00000000-0004-0000-0000-000099140000}"/>
    <hyperlink ref="G5030" r:id="rId4038" xr:uid="{00000000-0004-0000-0000-00009A140000}"/>
    <hyperlink ref="S5030" r:id="rId4039" xr:uid="{00000000-0004-0000-0000-00009B140000}"/>
    <hyperlink ref="G5031" r:id="rId4040" xr:uid="{00000000-0004-0000-0000-00009C140000}"/>
    <hyperlink ref="S5033" r:id="rId4041" xr:uid="{00000000-0004-0000-0000-00009D140000}"/>
    <hyperlink ref="G5034" r:id="rId4042" xr:uid="{00000000-0004-0000-0000-00009E140000}"/>
    <hyperlink ref="G5035" r:id="rId4043" xr:uid="{00000000-0004-0000-0000-00009F140000}"/>
    <hyperlink ref="G5038" r:id="rId4044" xr:uid="{00000000-0004-0000-0000-0000A0140000}"/>
    <hyperlink ref="G5039" r:id="rId4045" xr:uid="{00000000-0004-0000-0000-0000A1140000}"/>
    <hyperlink ref="S5039" r:id="rId4046" xr:uid="{00000000-0004-0000-0000-0000A2140000}"/>
    <hyperlink ref="G5040" r:id="rId4047" xr:uid="{00000000-0004-0000-0000-0000A3140000}"/>
    <hyperlink ref="G5041" r:id="rId4048" xr:uid="{00000000-0004-0000-0000-0000A4140000}"/>
    <hyperlink ref="S5042" r:id="rId4049" xr:uid="{00000000-0004-0000-0000-0000A6140000}"/>
    <hyperlink ref="S5043" r:id="rId4050" xr:uid="{00000000-0004-0000-0000-0000A9140000}"/>
    <hyperlink ref="G5044" r:id="rId4051" xr:uid="{00000000-0004-0000-0000-0000AB140000}"/>
    <hyperlink ref="G5045" r:id="rId4052" xr:uid="{00000000-0004-0000-0000-0000AC140000}"/>
    <hyperlink ref="G5046" r:id="rId4053" xr:uid="{00000000-0004-0000-0000-0000AD140000}"/>
    <hyperlink ref="S5046" r:id="rId4054" xr:uid="{00000000-0004-0000-0000-0000AE140000}"/>
    <hyperlink ref="G5048" r:id="rId4055" xr:uid="{00000000-0004-0000-0000-0000B0140000}"/>
    <hyperlink ref="G5049" r:id="rId4056" xr:uid="{00000000-0004-0000-0000-0000B1140000}"/>
    <hyperlink ref="G5051" r:id="rId4057" xr:uid="{00000000-0004-0000-0000-0000B2140000}"/>
    <hyperlink ref="G5053" r:id="rId4058" xr:uid="{00000000-0004-0000-0000-0000B3140000}"/>
    <hyperlink ref="G5055" r:id="rId4059" xr:uid="{00000000-0004-0000-0000-0000B4140000}"/>
    <hyperlink ref="G5057" r:id="rId4060" xr:uid="{00000000-0004-0000-0000-0000B5140000}"/>
    <hyperlink ref="G5059" r:id="rId4061" xr:uid="{00000000-0004-0000-0000-0000B7140000}"/>
    <hyperlink ref="G5060" r:id="rId4062" xr:uid="{00000000-0004-0000-0000-0000B8140000}"/>
    <hyperlink ref="G5061" r:id="rId4063" xr:uid="{00000000-0004-0000-0000-0000B9140000}"/>
    <hyperlink ref="G5063" r:id="rId4064" xr:uid="{00000000-0004-0000-0000-0000BC140000}"/>
    <hyperlink ref="G5066" r:id="rId4065" xr:uid="{00000000-0004-0000-0000-0000BE140000}"/>
    <hyperlink ref="S5066" r:id="rId4066" xr:uid="{00000000-0004-0000-0000-0000BF140000}"/>
    <hyperlink ref="G5068" r:id="rId4067" xr:uid="{00000000-0004-0000-0000-0000C1140000}"/>
    <hyperlink ref="G5071" r:id="rId4068" xr:uid="{00000000-0004-0000-0000-0000C2140000}"/>
    <hyperlink ref="G5072" r:id="rId4069" xr:uid="{00000000-0004-0000-0000-0000C3140000}"/>
    <hyperlink ref="G5075" r:id="rId4070" xr:uid="{00000000-0004-0000-0000-0000C4140000}"/>
    <hyperlink ref="S5075" r:id="rId4071" xr:uid="{00000000-0004-0000-0000-0000C5140000}"/>
    <hyperlink ref="G5076" r:id="rId4072" xr:uid="{00000000-0004-0000-0000-0000CA140000}"/>
    <hyperlink ref="G5077" r:id="rId4073" xr:uid="{00000000-0004-0000-0000-0000CB140000}"/>
    <hyperlink ref="G5078" r:id="rId4074" xr:uid="{00000000-0004-0000-0000-0000CC140000}"/>
    <hyperlink ref="G5079" r:id="rId4075" xr:uid="{00000000-0004-0000-0000-0000CF140000}"/>
    <hyperlink ref="G5080" r:id="rId4076" xr:uid="{00000000-0004-0000-0000-0000D0140000}"/>
    <hyperlink ref="G5082" r:id="rId4077" xr:uid="{00000000-0004-0000-0000-0000D4140000}"/>
    <hyperlink ref="G5084" r:id="rId4078" xr:uid="{00000000-0004-0000-0000-0000D9140000}"/>
    <hyperlink ref="G5085" r:id="rId4079" xr:uid="{00000000-0004-0000-0000-0000DA140000}"/>
    <hyperlink ref="F5086" r:id="rId4080" xr:uid="{00000000-0004-0000-0000-0000DB140000}"/>
    <hyperlink ref="G5086" r:id="rId4081" xr:uid="{00000000-0004-0000-0000-0000DC140000}"/>
    <hyperlink ref="S5087" r:id="rId4082" xr:uid="{00000000-0004-0000-0000-0000E0140000}"/>
    <hyperlink ref="G5090" r:id="rId4083" xr:uid="{00000000-0004-0000-0000-0000E1140000}"/>
    <hyperlink ref="G5091" r:id="rId4084" xr:uid="{00000000-0004-0000-0000-0000E4140000}"/>
    <hyperlink ref="S5093" r:id="rId4085" xr:uid="{00000000-0004-0000-0000-0000E5140000}"/>
    <hyperlink ref="G5094" r:id="rId4086" xr:uid="{00000000-0004-0000-0000-0000E6140000}"/>
    <hyperlink ref="G5097" r:id="rId4087" xr:uid="{00000000-0004-0000-0000-0000EB140000}"/>
    <hyperlink ref="G5099" r:id="rId4088" xr:uid="{00000000-0004-0000-0000-0000EC140000}"/>
    <hyperlink ref="G5100" r:id="rId4089" xr:uid="{00000000-0004-0000-0000-0000ED140000}"/>
    <hyperlink ref="G5102" r:id="rId4090" xr:uid="{00000000-0004-0000-0000-0000EF140000}"/>
    <hyperlink ref="F5113" r:id="rId4091" xr:uid="{00000000-0004-0000-0000-0000F2140000}"/>
    <hyperlink ref="G5113" r:id="rId4092" xr:uid="{00000000-0004-0000-0000-0000F3140000}"/>
    <hyperlink ref="G5114" r:id="rId4093" xr:uid="{00000000-0004-0000-0000-0000F4140000}"/>
    <hyperlink ref="G5115" r:id="rId4094" xr:uid="{00000000-0004-0000-0000-0000F5140000}"/>
    <hyperlink ref="G5117" r:id="rId4095" xr:uid="{00000000-0004-0000-0000-0000F6140000}"/>
    <hyperlink ref="G5118" r:id="rId4096" xr:uid="{00000000-0004-0000-0000-0000F7140000}"/>
    <hyperlink ref="G5119" r:id="rId4097" xr:uid="{00000000-0004-0000-0000-0000F8140000}"/>
    <hyperlink ref="G5120" r:id="rId4098" xr:uid="{00000000-0004-0000-0000-0000F9140000}"/>
    <hyperlink ref="F5121" r:id="rId4099" xr:uid="{00000000-0004-0000-0000-0000FA140000}"/>
    <hyperlink ref="G5121" r:id="rId4100" xr:uid="{00000000-0004-0000-0000-0000FB140000}"/>
    <hyperlink ref="S5122" r:id="rId4101" xr:uid="{00000000-0004-0000-0000-0000FC140000}"/>
    <hyperlink ref="G5123" r:id="rId4102" xr:uid="{00000000-0004-0000-0000-0000FD140000}"/>
    <hyperlink ref="G5124" r:id="rId4103" xr:uid="{00000000-0004-0000-0000-0000FF140000}"/>
    <hyperlink ref="G5125" r:id="rId4104" xr:uid="{00000000-0004-0000-0000-000000150000}"/>
    <hyperlink ref="G5126" r:id="rId4105" xr:uid="{00000000-0004-0000-0000-000001150000}"/>
    <hyperlink ref="S5128" r:id="rId4106" location="!/lkmn.ist" xr:uid="{00000000-0004-0000-0000-000002150000}"/>
    <hyperlink ref="G5129" r:id="rId4107" xr:uid="{00000000-0004-0000-0000-000006150000}"/>
    <hyperlink ref="S5129" r:id="rId4108" xr:uid="{00000000-0004-0000-0000-000007150000}"/>
    <hyperlink ref="F5135" r:id="rId4109" xr:uid="{00000000-0004-0000-0000-000009150000}"/>
    <hyperlink ref="S5135" r:id="rId4110" xr:uid="{00000000-0004-0000-0000-00000A150000}"/>
    <hyperlink ref="F5136" r:id="rId4111" xr:uid="{00000000-0004-0000-0000-00000C150000}"/>
    <hyperlink ref="G5136" r:id="rId4112" xr:uid="{00000000-0004-0000-0000-00000D150000}"/>
    <hyperlink ref="G5137" r:id="rId4113" xr:uid="{00000000-0004-0000-0000-00000E150000}"/>
    <hyperlink ref="G5140" r:id="rId4114" xr:uid="{00000000-0004-0000-0000-00000F150000}"/>
    <hyperlink ref="G5141" r:id="rId4115" xr:uid="{00000000-0004-0000-0000-000010150000}"/>
    <hyperlink ref="G5143" r:id="rId4116" xr:uid="{00000000-0004-0000-0000-000011150000}"/>
    <hyperlink ref="G5146" r:id="rId4117" xr:uid="{00000000-0004-0000-0000-000014150000}"/>
    <hyperlink ref="S5147" r:id="rId4118" xr:uid="{00000000-0004-0000-0000-000015150000}"/>
    <hyperlink ref="G5151" r:id="rId4119" xr:uid="{00000000-0004-0000-0000-000018150000}"/>
    <hyperlink ref="G5153" r:id="rId4120" xr:uid="{00000000-0004-0000-0000-000019150000}"/>
    <hyperlink ref="S5153" r:id="rId4121" xr:uid="{00000000-0004-0000-0000-00001A150000}"/>
    <hyperlink ref="F5155" r:id="rId4122" xr:uid="{00000000-0004-0000-0000-000021150000}"/>
    <hyperlink ref="G5155" r:id="rId4123" xr:uid="{00000000-0004-0000-0000-000022150000}"/>
    <hyperlink ref="G5156" r:id="rId4124" xr:uid="{00000000-0004-0000-0000-000023150000}"/>
    <hyperlink ref="S5156" r:id="rId4125" xr:uid="{00000000-0004-0000-0000-000024150000}"/>
    <hyperlink ref="G5157" r:id="rId4126" xr:uid="{00000000-0004-0000-0000-000025150000}"/>
    <hyperlink ref="G5158" r:id="rId4127" xr:uid="{00000000-0004-0000-0000-000027150000}"/>
    <hyperlink ref="S5158" r:id="rId4128" xr:uid="{00000000-0004-0000-0000-000028150000}"/>
    <hyperlink ref="F5159" r:id="rId4129" xr:uid="{00000000-0004-0000-0000-000029150000}"/>
    <hyperlink ref="G5160" r:id="rId4130" xr:uid="{00000000-0004-0000-0000-00002A150000}"/>
    <hyperlink ref="F5163" r:id="rId4131" xr:uid="{00000000-0004-0000-0000-00002D150000}"/>
    <hyperlink ref="G5163" r:id="rId4132" xr:uid="{00000000-0004-0000-0000-00002E150000}"/>
    <hyperlink ref="F5164" r:id="rId4133" xr:uid="{00000000-0004-0000-0000-00002F150000}"/>
    <hyperlink ref="G5167" r:id="rId4134" xr:uid="{00000000-0004-0000-0000-000030150000}"/>
    <hyperlink ref="G5171" r:id="rId4135" xr:uid="{00000000-0004-0000-0000-000031150000}"/>
    <hyperlink ref="S5171" r:id="rId4136" xr:uid="{00000000-0004-0000-0000-000032150000}"/>
    <hyperlink ref="G5172" r:id="rId4137" xr:uid="{00000000-0004-0000-0000-000033150000}"/>
    <hyperlink ref="G5174" r:id="rId4138" xr:uid="{00000000-0004-0000-0000-000036150000}"/>
    <hyperlink ref="G5175" r:id="rId4139" xr:uid="{00000000-0004-0000-0000-000039150000}"/>
    <hyperlink ref="F5176" r:id="rId4140" xr:uid="{00000000-0004-0000-0000-00003A150000}"/>
    <hyperlink ref="G5176" r:id="rId4141" xr:uid="{00000000-0004-0000-0000-00003B150000}"/>
    <hyperlink ref="R5177" r:id="rId4142" xr:uid="{00000000-0004-0000-0000-00003C150000}"/>
    <hyperlink ref="G5178" r:id="rId4143" xr:uid="{00000000-0004-0000-0000-00003F150000}"/>
    <hyperlink ref="G5180" r:id="rId4144" xr:uid="{00000000-0004-0000-0000-000040150000}"/>
    <hyperlink ref="S5180" r:id="rId4145" xr:uid="{00000000-0004-0000-0000-000041150000}"/>
    <hyperlink ref="G5181" r:id="rId4146" xr:uid="{00000000-0004-0000-0000-000042150000}"/>
    <hyperlink ref="S5181" r:id="rId4147" xr:uid="{00000000-0004-0000-0000-000043150000}"/>
    <hyperlink ref="F5183" r:id="rId4148" xr:uid="{00000000-0004-0000-0000-000045150000}"/>
    <hyperlink ref="S5183" r:id="rId4149" xr:uid="{00000000-0004-0000-0000-000046150000}"/>
    <hyperlink ref="G5185" r:id="rId4150" xr:uid="{00000000-0004-0000-0000-000047150000}"/>
    <hyperlink ref="G5187" r:id="rId4151" xr:uid="{00000000-0004-0000-0000-000048150000}"/>
    <hyperlink ref="S5187" r:id="rId4152" xr:uid="{00000000-0004-0000-0000-000049150000}"/>
    <hyperlink ref="G5188" r:id="rId4153" xr:uid="{00000000-0004-0000-0000-00004A150000}"/>
    <hyperlink ref="S5188" r:id="rId4154" xr:uid="{00000000-0004-0000-0000-00004B150000}"/>
    <hyperlink ref="S5190" r:id="rId4155" xr:uid="{00000000-0004-0000-0000-00004E150000}"/>
    <hyperlink ref="G5191" r:id="rId4156" xr:uid="{00000000-0004-0000-0000-00004F150000}"/>
    <hyperlink ref="G5195" r:id="rId4157" xr:uid="{00000000-0004-0000-0000-000050150000}"/>
    <hyperlink ref="G5196" r:id="rId4158" xr:uid="{00000000-0004-0000-0000-000052150000}"/>
    <hyperlink ref="G5198" r:id="rId4159" xr:uid="{00000000-0004-0000-0000-000053150000}"/>
    <hyperlink ref="G5199" r:id="rId4160" xr:uid="{00000000-0004-0000-0000-000054150000}"/>
    <hyperlink ref="G5200" r:id="rId4161" xr:uid="{00000000-0004-0000-0000-000055150000}"/>
    <hyperlink ref="G5202" r:id="rId4162" xr:uid="{00000000-0004-0000-0000-000056150000}"/>
    <hyperlink ref="G5203" r:id="rId4163" xr:uid="{00000000-0004-0000-0000-000057150000}"/>
    <hyperlink ref="F5205" r:id="rId4164" xr:uid="{00000000-0004-0000-0000-000058150000}"/>
    <hyperlink ref="G5205" r:id="rId4165" xr:uid="{00000000-0004-0000-0000-000059150000}"/>
    <hyperlink ref="G5206" r:id="rId4166" xr:uid="{00000000-0004-0000-0000-00005A150000}"/>
    <hyperlink ref="S5208" r:id="rId4167" xr:uid="{00000000-0004-0000-0000-00005C150000}"/>
    <hyperlink ref="G5209" r:id="rId4168" xr:uid="{00000000-0004-0000-0000-00005D150000}"/>
    <hyperlink ref="S5211" r:id="rId4169" xr:uid="{00000000-0004-0000-0000-00005E150000}"/>
    <hyperlink ref="G5213" r:id="rId4170" xr:uid="{00000000-0004-0000-0000-000060150000}"/>
    <hyperlink ref="G5214" r:id="rId4171" xr:uid="{00000000-0004-0000-0000-000063150000}"/>
    <hyperlink ref="S5214" r:id="rId4172" xr:uid="{00000000-0004-0000-0000-000064150000}"/>
    <hyperlink ref="G5215" r:id="rId4173" xr:uid="{00000000-0004-0000-0000-000065150000}"/>
    <hyperlink ref="G5216" r:id="rId4174" xr:uid="{00000000-0004-0000-0000-000066150000}"/>
    <hyperlink ref="G5217" r:id="rId4175" xr:uid="{00000000-0004-0000-0000-000067150000}"/>
    <hyperlink ref="G5218" r:id="rId4176" xr:uid="{00000000-0004-0000-0000-000068150000}"/>
    <hyperlink ref="G5219" r:id="rId4177" xr:uid="{00000000-0004-0000-0000-000069150000}"/>
    <hyperlink ref="S5220" r:id="rId4178" xr:uid="{00000000-0004-0000-0000-00006A150000}"/>
    <hyperlink ref="G5223" r:id="rId4179" xr:uid="{00000000-0004-0000-0000-00006B150000}"/>
    <hyperlink ref="G5224" r:id="rId4180" xr:uid="{00000000-0004-0000-0000-00006C150000}"/>
    <hyperlink ref="G5226" r:id="rId4181" xr:uid="{00000000-0004-0000-0000-00006D150000}"/>
    <hyperlink ref="G5227" r:id="rId4182" xr:uid="{00000000-0004-0000-0000-00006E150000}"/>
    <hyperlink ref="S5227" r:id="rId4183" xr:uid="{00000000-0004-0000-0000-00006F150000}"/>
    <hyperlink ref="G5228" r:id="rId4184" xr:uid="{00000000-0004-0000-0000-000070150000}"/>
    <hyperlink ref="G5230" r:id="rId4185" xr:uid="{00000000-0004-0000-0000-000071150000}"/>
    <hyperlink ref="G5231" r:id="rId4186" xr:uid="{00000000-0004-0000-0000-000072150000}"/>
    <hyperlink ref="G5234" r:id="rId4187" xr:uid="{00000000-0004-0000-0000-000073150000}"/>
    <hyperlink ref="S5234" r:id="rId4188" xr:uid="{00000000-0004-0000-0000-000074150000}"/>
    <hyperlink ref="G5235" r:id="rId4189" xr:uid="{00000000-0004-0000-0000-000075150000}"/>
    <hyperlink ref="G5236" r:id="rId4190" xr:uid="{00000000-0004-0000-0000-000076150000}"/>
    <hyperlink ref="G5238" r:id="rId4191" xr:uid="{00000000-0004-0000-0000-000077150000}"/>
    <hyperlink ref="G5239" r:id="rId4192" xr:uid="{00000000-0004-0000-0000-000078150000}"/>
    <hyperlink ref="G5241" r:id="rId4193" xr:uid="{00000000-0004-0000-0000-00007C150000}"/>
    <hyperlink ref="G5242" r:id="rId4194" xr:uid="{00000000-0004-0000-0000-00007D150000}"/>
    <hyperlink ref="G5243" r:id="rId4195" xr:uid="{00000000-0004-0000-0000-00007E150000}"/>
    <hyperlink ref="S5243" r:id="rId4196" xr:uid="{00000000-0004-0000-0000-00007F150000}"/>
    <hyperlink ref="G5247" r:id="rId4197" xr:uid="{00000000-0004-0000-0000-000081150000}"/>
    <hyperlink ref="G5250" r:id="rId4198" xr:uid="{00000000-0004-0000-0000-000082150000}"/>
    <hyperlink ref="G5251" r:id="rId4199" xr:uid="{00000000-0004-0000-0000-000083150000}"/>
    <hyperlink ref="G5252" r:id="rId4200" xr:uid="{00000000-0004-0000-0000-000084150000}"/>
    <hyperlink ref="S5252" r:id="rId4201" xr:uid="{00000000-0004-0000-0000-000085150000}"/>
    <hyperlink ref="G5253" r:id="rId4202" xr:uid="{00000000-0004-0000-0000-000086150000}"/>
    <hyperlink ref="S5253" r:id="rId4203" xr:uid="{00000000-0004-0000-0000-000087150000}"/>
    <hyperlink ref="G5254" r:id="rId4204" xr:uid="{00000000-0004-0000-0000-000088150000}"/>
    <hyperlink ref="G5255" r:id="rId4205" xr:uid="{00000000-0004-0000-0000-00008A150000}"/>
    <hyperlink ref="G5257" r:id="rId4206" xr:uid="{00000000-0004-0000-0000-00008C150000}"/>
    <hyperlink ref="F5258" r:id="rId4207" xr:uid="{00000000-0004-0000-0000-00008D150000}"/>
    <hyperlink ref="G5258" r:id="rId4208" xr:uid="{00000000-0004-0000-0000-00008E150000}"/>
    <hyperlink ref="G5259" r:id="rId4209" xr:uid="{00000000-0004-0000-0000-00008F150000}"/>
    <hyperlink ref="G5260" r:id="rId4210" xr:uid="{00000000-0004-0000-0000-000090150000}"/>
    <hyperlink ref="Q5260" r:id="rId4211" xr:uid="{00000000-0004-0000-0000-000091150000}"/>
    <hyperlink ref="S5260" r:id="rId4212" xr:uid="{00000000-0004-0000-0000-000092150000}"/>
    <hyperlink ref="G5261" r:id="rId4213" xr:uid="{00000000-0004-0000-0000-000093150000}"/>
    <hyperlink ref="R5261" r:id="rId4214" xr:uid="{00000000-0004-0000-0000-000094150000}"/>
    <hyperlink ref="G5263" r:id="rId4215" xr:uid="{00000000-0004-0000-0000-000095150000}"/>
    <hyperlink ref="G5264" r:id="rId4216" xr:uid="{00000000-0004-0000-0000-000097150000}"/>
    <hyperlink ref="S5264" r:id="rId4217" xr:uid="{00000000-0004-0000-0000-000098150000}"/>
    <hyperlink ref="G5265" r:id="rId4218" xr:uid="{00000000-0004-0000-0000-000099150000}"/>
    <hyperlink ref="F5267" r:id="rId4219" xr:uid="{00000000-0004-0000-0000-00009A150000}"/>
    <hyperlink ref="S5267" r:id="rId4220" xr:uid="{00000000-0004-0000-0000-00009B150000}"/>
    <hyperlink ref="G5268" r:id="rId4221" xr:uid="{00000000-0004-0000-0000-00009C150000}"/>
    <hyperlink ref="G5269" r:id="rId4222" xr:uid="{00000000-0004-0000-0000-00009D150000}"/>
    <hyperlink ref="F5272" r:id="rId4223" xr:uid="{00000000-0004-0000-0000-0000A1150000}"/>
    <hyperlink ref="S5272" r:id="rId4224" xr:uid="{00000000-0004-0000-0000-0000A2150000}"/>
    <hyperlink ref="G5273" r:id="rId4225" xr:uid="{00000000-0004-0000-0000-0000A3150000}"/>
    <hyperlink ref="F5274" r:id="rId4226" xr:uid="{00000000-0004-0000-0000-0000A5150000}"/>
    <hyperlink ref="G5274" r:id="rId4227" xr:uid="{00000000-0004-0000-0000-0000A6150000}"/>
    <hyperlink ref="G5275" r:id="rId4228" xr:uid="{00000000-0004-0000-0000-0000A8150000}"/>
    <hyperlink ref="F5276" r:id="rId4229" xr:uid="{00000000-0004-0000-0000-0000A9150000}"/>
    <hyperlink ref="G5276" r:id="rId4230" xr:uid="{00000000-0004-0000-0000-0000AA150000}"/>
    <hyperlink ref="S5276" r:id="rId4231" xr:uid="{00000000-0004-0000-0000-0000AB150000}"/>
    <hyperlink ref="G5278" r:id="rId4232" xr:uid="{00000000-0004-0000-0000-0000AC150000}"/>
    <hyperlink ref="G5279" r:id="rId4233" xr:uid="{00000000-0004-0000-0000-0000AD150000}"/>
    <hyperlink ref="G5281" r:id="rId4234" xr:uid="{00000000-0004-0000-0000-0000AE150000}"/>
    <hyperlink ref="F5282" r:id="rId4235" xr:uid="{00000000-0004-0000-0000-0000AF150000}"/>
    <hyperlink ref="G5283" r:id="rId4236" xr:uid="{00000000-0004-0000-0000-0000B0150000}"/>
    <hyperlink ref="S5283" r:id="rId4237" xr:uid="{00000000-0004-0000-0000-0000B1150000}"/>
    <hyperlink ref="G5284" r:id="rId4238" xr:uid="{00000000-0004-0000-0000-0000B2150000}"/>
    <hyperlink ref="G5285" r:id="rId4239" xr:uid="{00000000-0004-0000-0000-0000B3150000}"/>
    <hyperlink ref="G5286" r:id="rId4240" xr:uid="{00000000-0004-0000-0000-0000B4150000}"/>
    <hyperlink ref="S5286" r:id="rId4241" xr:uid="{00000000-0004-0000-0000-0000B5150000}"/>
    <hyperlink ref="S5287" r:id="rId4242" xr:uid="{00000000-0004-0000-0000-0000B7150000}"/>
    <hyperlink ref="G5291" r:id="rId4243" xr:uid="{00000000-0004-0000-0000-0000BA150000}"/>
    <hyperlink ref="S5296" r:id="rId4244" xr:uid="{00000000-0004-0000-0000-0000BC150000}"/>
    <hyperlink ref="G5298" r:id="rId4245" xr:uid="{00000000-0004-0000-0000-0000BD150000}"/>
    <hyperlink ref="C5301" r:id="rId4246" xr:uid="{00000000-0004-0000-0000-0000BE150000}"/>
    <hyperlink ref="F5301" r:id="rId4247" xr:uid="{00000000-0004-0000-0000-0000BF150000}"/>
    <hyperlink ref="S5301" r:id="rId4248" xr:uid="{00000000-0004-0000-0000-0000C0150000}"/>
    <hyperlink ref="G5303" r:id="rId4249" xr:uid="{00000000-0004-0000-0000-0000C1150000}"/>
    <hyperlink ref="G5305" r:id="rId4250" xr:uid="{00000000-0004-0000-0000-0000C2150000}"/>
    <hyperlink ref="G5309" r:id="rId4251" xr:uid="{00000000-0004-0000-0000-0000C4150000}"/>
    <hyperlink ref="G5310" r:id="rId4252" xr:uid="{00000000-0004-0000-0000-0000C5150000}"/>
    <hyperlink ref="S5310" r:id="rId4253" xr:uid="{00000000-0004-0000-0000-0000C6150000}"/>
    <hyperlink ref="G5311" r:id="rId4254" xr:uid="{00000000-0004-0000-0000-0000C7150000}"/>
    <hyperlink ref="G5313" r:id="rId4255" xr:uid="{00000000-0004-0000-0000-0000C9150000}"/>
    <hyperlink ref="G5314" r:id="rId4256" xr:uid="{00000000-0004-0000-0000-0000CA150000}"/>
    <hyperlink ref="G5315" r:id="rId4257" xr:uid="{00000000-0004-0000-0000-0000CB150000}"/>
    <hyperlink ref="G5316" r:id="rId4258" xr:uid="{00000000-0004-0000-0000-0000CF150000}"/>
    <hyperlink ref="G5317" r:id="rId4259" xr:uid="{00000000-0004-0000-0000-0000D1150000}"/>
    <hyperlink ref="G5319" r:id="rId4260" xr:uid="{00000000-0004-0000-0000-0000D2150000}"/>
    <hyperlink ref="G5322" r:id="rId4261" xr:uid="{00000000-0004-0000-0000-0000D3150000}"/>
    <hyperlink ref="S5322" r:id="rId4262" xr:uid="{00000000-0004-0000-0000-0000D4150000}"/>
    <hyperlink ref="G5323" r:id="rId4263" xr:uid="{00000000-0004-0000-0000-0000D6150000}"/>
    <hyperlink ref="G5324" r:id="rId4264" xr:uid="{00000000-0004-0000-0000-0000D7150000}"/>
    <hyperlink ref="G5326" r:id="rId4265" xr:uid="{00000000-0004-0000-0000-0000D9150000}"/>
    <hyperlink ref="G5327" r:id="rId4266" xr:uid="{00000000-0004-0000-0000-0000DA150000}"/>
    <hyperlink ref="G5330" r:id="rId4267" xr:uid="{00000000-0004-0000-0000-0000DB150000}"/>
    <hyperlink ref="G5332" r:id="rId4268" xr:uid="{00000000-0004-0000-0000-0000DD150000}"/>
    <hyperlink ref="S5332" r:id="rId4269" xr:uid="{00000000-0004-0000-0000-0000DE150000}"/>
    <hyperlink ref="G5333" r:id="rId4270" xr:uid="{00000000-0004-0000-0000-0000DF150000}"/>
    <hyperlink ref="G5334" r:id="rId4271" xr:uid="{00000000-0004-0000-0000-0000E1150000}"/>
    <hyperlink ref="G5335" r:id="rId4272" xr:uid="{00000000-0004-0000-0000-0000E2150000}"/>
    <hyperlink ref="G5339" r:id="rId4273" xr:uid="{00000000-0004-0000-0000-0000E3150000}"/>
    <hyperlink ref="S5339" r:id="rId4274" xr:uid="{00000000-0004-0000-0000-0000E4150000}"/>
    <hyperlink ref="F5340" r:id="rId4275" xr:uid="{00000000-0004-0000-0000-0000E5150000}"/>
    <hyperlink ref="G5340" r:id="rId4276" xr:uid="{00000000-0004-0000-0000-0000E6150000}"/>
    <hyperlink ref="S5340" r:id="rId4277" xr:uid="{00000000-0004-0000-0000-0000E7150000}"/>
    <hyperlink ref="G5341" r:id="rId4278" xr:uid="{00000000-0004-0000-0000-0000E8150000}"/>
    <hyperlink ref="S5343" r:id="rId4279" xr:uid="{00000000-0004-0000-0000-0000E9150000}"/>
    <hyperlink ref="G5345" r:id="rId4280" xr:uid="{00000000-0004-0000-0000-0000EA150000}"/>
    <hyperlink ref="G5346" r:id="rId4281" xr:uid="{00000000-0004-0000-0000-0000EB150000}"/>
    <hyperlink ref="G5349" r:id="rId4282" xr:uid="{00000000-0004-0000-0000-0000EC150000}"/>
    <hyperlink ref="G5351" r:id="rId4283" xr:uid="{00000000-0004-0000-0000-0000F3150000}"/>
    <hyperlink ref="G5352" r:id="rId4284" xr:uid="{00000000-0004-0000-0000-0000F4150000}"/>
    <hyperlink ref="S5354" r:id="rId4285" xr:uid="{00000000-0004-0000-0000-0000F6150000}"/>
    <hyperlink ref="F5356" r:id="rId4286" xr:uid="{00000000-0004-0000-0000-0000F7150000}"/>
    <hyperlink ref="G5356" r:id="rId4287" xr:uid="{00000000-0004-0000-0000-0000F8150000}"/>
    <hyperlink ref="G5357" r:id="rId4288" xr:uid="{00000000-0004-0000-0000-0000F9150000}"/>
    <hyperlink ref="F5359" r:id="rId4289" xr:uid="{00000000-0004-0000-0000-0000FC150000}"/>
    <hyperlink ref="G5359" r:id="rId4290" xr:uid="{00000000-0004-0000-0000-0000FD150000}"/>
    <hyperlink ref="G5360" r:id="rId4291" xr:uid="{00000000-0004-0000-0000-0000FF150000}"/>
    <hyperlink ref="G5361" r:id="rId4292" xr:uid="{00000000-0004-0000-0000-000000160000}"/>
    <hyperlink ref="G5362" r:id="rId4293" xr:uid="{00000000-0004-0000-0000-000001160000}"/>
    <hyperlink ref="G5364" r:id="rId4294" xr:uid="{00000000-0004-0000-0000-000002160000}"/>
    <hyperlink ref="F5365" r:id="rId4295" xr:uid="{00000000-0004-0000-0000-000003160000}"/>
    <hyperlink ref="G5366" r:id="rId4296" xr:uid="{00000000-0004-0000-0000-000004160000}"/>
    <hyperlink ref="G5367" r:id="rId4297" xr:uid="{00000000-0004-0000-0000-000005160000}"/>
    <hyperlink ref="S5367" r:id="rId4298" xr:uid="{00000000-0004-0000-0000-000006160000}"/>
    <hyperlink ref="G5370" r:id="rId4299" xr:uid="{00000000-0004-0000-0000-000007160000}"/>
    <hyperlink ref="G5372" r:id="rId4300" xr:uid="{00000000-0004-0000-0000-000008160000}"/>
    <hyperlink ref="S5372" r:id="rId4301" xr:uid="{00000000-0004-0000-0000-000009160000}"/>
    <hyperlink ref="G5373" r:id="rId4302" xr:uid="{00000000-0004-0000-0000-00000B160000}"/>
    <hyperlink ref="G5374" r:id="rId4303" xr:uid="{00000000-0004-0000-0000-00000D160000}"/>
    <hyperlink ref="G5375" r:id="rId4304" xr:uid="{00000000-0004-0000-0000-00000E160000}"/>
    <hyperlink ref="S5375" r:id="rId4305" xr:uid="{00000000-0004-0000-0000-00000F160000}"/>
    <hyperlink ref="F5379" r:id="rId4306" xr:uid="{00000000-0004-0000-0000-000010160000}"/>
    <hyperlink ref="G5380" r:id="rId4307" xr:uid="{00000000-0004-0000-0000-000011160000}"/>
    <hyperlink ref="S5380" r:id="rId4308" xr:uid="{00000000-0004-0000-0000-000012160000}"/>
    <hyperlink ref="G5381" r:id="rId4309" xr:uid="{00000000-0004-0000-0000-000013160000}"/>
    <hyperlink ref="G5384" r:id="rId4310" xr:uid="{00000000-0004-0000-0000-000015160000}"/>
    <hyperlink ref="F5385" r:id="rId4311" xr:uid="{00000000-0004-0000-0000-000016160000}"/>
    <hyperlink ref="G5385" r:id="rId4312" xr:uid="{00000000-0004-0000-0000-000017160000}"/>
    <hyperlink ref="F5391" r:id="rId4313" xr:uid="{00000000-0004-0000-0000-000018160000}"/>
    <hyperlink ref="G5391" r:id="rId4314" xr:uid="{00000000-0004-0000-0000-000019160000}"/>
    <hyperlink ref="S5391" r:id="rId4315" xr:uid="{00000000-0004-0000-0000-00001A160000}"/>
    <hyperlink ref="G5393" r:id="rId4316" xr:uid="{00000000-0004-0000-0000-00001D160000}"/>
    <hyperlink ref="C5394" r:id="rId4317" xr:uid="{00000000-0004-0000-0000-00001E160000}"/>
    <hyperlink ref="F5394" r:id="rId4318" xr:uid="{00000000-0004-0000-0000-00001F160000}"/>
    <hyperlink ref="G5394" r:id="rId4319" xr:uid="{00000000-0004-0000-0000-000020160000}"/>
    <hyperlink ref="R5394" r:id="rId4320" xr:uid="{00000000-0004-0000-0000-000021160000}"/>
    <hyperlink ref="G5395" r:id="rId4321" xr:uid="{00000000-0004-0000-0000-000022160000}"/>
    <hyperlink ref="G5397" r:id="rId4322" xr:uid="{00000000-0004-0000-0000-000023160000}"/>
    <hyperlink ref="G5399" r:id="rId4323" xr:uid="{00000000-0004-0000-0000-000024160000}"/>
    <hyperlink ref="G5402" r:id="rId4324" xr:uid="{00000000-0004-0000-0000-000028160000}"/>
    <hyperlink ref="G5404" r:id="rId4325" xr:uid="{00000000-0004-0000-0000-000029160000}"/>
    <hyperlink ref="G5406" r:id="rId4326" xr:uid="{00000000-0004-0000-0000-00002C160000}"/>
    <hyperlink ref="G5407" r:id="rId4327" xr:uid="{00000000-0004-0000-0000-00002D160000}"/>
    <hyperlink ref="G5408" r:id="rId4328" xr:uid="{00000000-0004-0000-0000-000031160000}"/>
    <hyperlink ref="S5408" r:id="rId4329" xr:uid="{00000000-0004-0000-0000-000032160000}"/>
    <hyperlink ref="G5411" r:id="rId4330" xr:uid="{00000000-0004-0000-0000-000034160000}"/>
    <hyperlink ref="F5413" r:id="rId4331" xr:uid="{00000000-0004-0000-0000-000035160000}"/>
    <hyperlink ref="S5413" r:id="rId4332" xr:uid="{00000000-0004-0000-0000-000036160000}"/>
    <hyperlink ref="G5416" r:id="rId4333" xr:uid="{00000000-0004-0000-0000-000039160000}"/>
    <hyperlink ref="S5416" r:id="rId4334" xr:uid="{00000000-0004-0000-0000-00003A160000}"/>
    <hyperlink ref="G5417" r:id="rId4335" xr:uid="{00000000-0004-0000-0000-00003B160000}"/>
    <hyperlink ref="G5418" r:id="rId4336" xr:uid="{00000000-0004-0000-0000-00003C160000}"/>
    <hyperlink ref="G5420" r:id="rId4337" xr:uid="{00000000-0004-0000-0000-00003D160000}"/>
    <hyperlink ref="S5422" r:id="rId4338" xr:uid="{00000000-0004-0000-0000-00003F160000}"/>
    <hyperlink ref="G5423" r:id="rId4339" xr:uid="{00000000-0004-0000-0000-000040160000}"/>
    <hyperlink ref="G5425" r:id="rId4340" xr:uid="{00000000-0004-0000-0000-000041160000}"/>
    <hyperlink ref="G5430" r:id="rId4341" xr:uid="{00000000-0004-0000-0000-000042160000}"/>
    <hyperlink ref="G5432" r:id="rId4342" xr:uid="{00000000-0004-0000-0000-000043160000}"/>
    <hyperlink ref="F5433" r:id="rId4343" xr:uid="{00000000-0004-0000-0000-000045160000}"/>
    <hyperlink ref="S5433" r:id="rId4344" xr:uid="{00000000-0004-0000-0000-000046160000}"/>
    <hyperlink ref="S5435" r:id="rId4345" xr:uid="{00000000-0004-0000-0000-000047160000}"/>
    <hyperlink ref="G5436" r:id="rId4346" xr:uid="{00000000-0004-0000-0000-000048160000}"/>
    <hyperlink ref="S5436" r:id="rId4347" xr:uid="{00000000-0004-0000-0000-000049160000}"/>
    <hyperlink ref="G5438" r:id="rId4348" xr:uid="{00000000-0004-0000-0000-00004B160000}"/>
    <hyperlink ref="G5441" r:id="rId4349" xr:uid="{00000000-0004-0000-0000-00004C160000}"/>
    <hyperlink ref="G5442" r:id="rId4350" xr:uid="{00000000-0004-0000-0000-00004D160000}"/>
    <hyperlink ref="S5443" r:id="rId4351" xr:uid="{00000000-0004-0000-0000-00004E160000}"/>
    <hyperlink ref="G5445" r:id="rId4352" xr:uid="{00000000-0004-0000-0000-00004F160000}"/>
    <hyperlink ref="G5446" r:id="rId4353" xr:uid="{00000000-0004-0000-0000-000050160000}"/>
    <hyperlink ref="F5448" r:id="rId4354" xr:uid="{00000000-0004-0000-0000-000051160000}"/>
    <hyperlink ref="G5448" r:id="rId4355" xr:uid="{00000000-0004-0000-0000-000052160000}"/>
    <hyperlink ref="G5449" r:id="rId4356" xr:uid="{00000000-0004-0000-0000-000053160000}"/>
    <hyperlink ref="G5450" r:id="rId4357" xr:uid="{00000000-0004-0000-0000-000054160000}"/>
    <hyperlink ref="F5451" r:id="rId4358" xr:uid="{00000000-0004-0000-0000-000055160000}"/>
    <hyperlink ref="G5451" r:id="rId4359" xr:uid="{00000000-0004-0000-0000-000056160000}"/>
    <hyperlink ref="S5451" r:id="rId4360" xr:uid="{00000000-0004-0000-0000-000057160000}"/>
    <hyperlink ref="S5452" r:id="rId4361" xr:uid="{00000000-0004-0000-0000-000058160000}"/>
    <hyperlink ref="G5453" r:id="rId4362" xr:uid="{00000000-0004-0000-0000-00005A160000}"/>
    <hyperlink ref="F5454" r:id="rId4363" xr:uid="{00000000-0004-0000-0000-00005B160000}"/>
    <hyperlink ref="G5454" r:id="rId4364" xr:uid="{00000000-0004-0000-0000-00005C160000}"/>
    <hyperlink ref="G5456" r:id="rId4365" xr:uid="{00000000-0004-0000-0000-00005D160000}"/>
    <hyperlink ref="G5457" r:id="rId4366" xr:uid="{00000000-0004-0000-0000-00005E160000}"/>
    <hyperlink ref="G5458" r:id="rId4367" xr:uid="{00000000-0004-0000-0000-00005F160000}"/>
    <hyperlink ref="G5461" r:id="rId4368" xr:uid="{00000000-0004-0000-0000-000060160000}"/>
    <hyperlink ref="F5464" r:id="rId4369" xr:uid="{00000000-0004-0000-0000-000062160000}"/>
    <hyperlink ref="G5464" r:id="rId4370" xr:uid="{00000000-0004-0000-0000-000063160000}"/>
    <hyperlink ref="G5465" r:id="rId4371" xr:uid="{00000000-0004-0000-0000-000064160000}"/>
    <hyperlink ref="G5466" r:id="rId4372" xr:uid="{00000000-0004-0000-0000-000065160000}"/>
    <hyperlink ref="G5470" r:id="rId4373" xr:uid="{00000000-0004-0000-0000-000066160000}"/>
    <hyperlink ref="G5471" r:id="rId4374" xr:uid="{00000000-0004-0000-0000-000067160000}"/>
    <hyperlink ref="G5472" r:id="rId4375" xr:uid="{00000000-0004-0000-0000-000068160000}"/>
    <hyperlink ref="G5473" r:id="rId4376" xr:uid="{00000000-0004-0000-0000-000069160000}"/>
    <hyperlink ref="S5473" r:id="rId4377" xr:uid="{00000000-0004-0000-0000-00006A160000}"/>
    <hyperlink ref="G5475" r:id="rId4378" xr:uid="{00000000-0004-0000-0000-00006B160000}"/>
    <hyperlink ref="G5476" r:id="rId4379" xr:uid="{00000000-0004-0000-0000-00006C160000}"/>
    <hyperlink ref="G5477" r:id="rId4380" xr:uid="{00000000-0004-0000-0000-00006E160000}"/>
    <hyperlink ref="G5478" r:id="rId4381" xr:uid="{00000000-0004-0000-0000-00006F160000}"/>
    <hyperlink ref="S5478" r:id="rId4382" xr:uid="{00000000-0004-0000-0000-000070160000}"/>
    <hyperlink ref="G5479" r:id="rId4383" xr:uid="{00000000-0004-0000-0000-000071160000}"/>
    <hyperlink ref="G5480" r:id="rId4384" xr:uid="{00000000-0004-0000-0000-000074160000}"/>
    <hyperlink ref="G5482" r:id="rId4385" xr:uid="{00000000-0004-0000-0000-000075160000}"/>
    <hyperlink ref="F5484" r:id="rId4386" xr:uid="{00000000-0004-0000-0000-000078160000}"/>
    <hyperlink ref="G5485" r:id="rId4387" xr:uid="{00000000-0004-0000-0000-00007B160000}"/>
    <hyperlink ref="G5486" r:id="rId4388" xr:uid="{00000000-0004-0000-0000-00007C160000}"/>
    <hyperlink ref="G5488" r:id="rId4389" xr:uid="{00000000-0004-0000-0000-00007D160000}"/>
    <hyperlink ref="S5488" r:id="rId4390" xr:uid="{00000000-0004-0000-0000-00007E160000}"/>
    <hyperlink ref="S5490" r:id="rId4391" xr:uid="{00000000-0004-0000-0000-00007F160000}"/>
    <hyperlink ref="G5491" r:id="rId4392" xr:uid="{00000000-0004-0000-0000-000085160000}"/>
    <hyperlink ref="G5492" r:id="rId4393" xr:uid="{00000000-0004-0000-0000-000087160000}"/>
    <hyperlink ref="G5498" r:id="rId4394" xr:uid="{00000000-0004-0000-0000-00008A160000}"/>
    <hyperlink ref="S5498" r:id="rId4395" xr:uid="{00000000-0004-0000-0000-00008B160000}"/>
    <hyperlink ref="S5499" r:id="rId4396" xr:uid="{00000000-0004-0000-0000-00008C160000}"/>
    <hyperlink ref="G5501" r:id="rId4397" xr:uid="{00000000-0004-0000-0000-00008D160000}"/>
    <hyperlink ref="F5502" r:id="rId4398" xr:uid="{00000000-0004-0000-0000-00008F160000}"/>
    <hyperlink ref="G5503" r:id="rId4399" xr:uid="{00000000-0004-0000-0000-000090160000}"/>
    <hyperlink ref="G5505" r:id="rId4400" xr:uid="{00000000-0004-0000-0000-000092160000}"/>
    <hyperlink ref="G5506" r:id="rId4401" xr:uid="{00000000-0004-0000-0000-000093160000}"/>
    <hyperlink ref="S5506" r:id="rId4402" xr:uid="{00000000-0004-0000-0000-000094160000}"/>
    <hyperlink ref="G5508" r:id="rId4403" xr:uid="{00000000-0004-0000-0000-000095160000}"/>
    <hyperlink ref="S5509" r:id="rId4404" xr:uid="{00000000-0004-0000-0000-000099160000}"/>
    <hyperlink ref="F5510" r:id="rId4405" xr:uid="{00000000-0004-0000-0000-00009A160000}"/>
    <hyperlink ref="G5510" r:id="rId4406" xr:uid="{00000000-0004-0000-0000-00009B160000}"/>
    <hyperlink ref="G5511" r:id="rId4407" xr:uid="{00000000-0004-0000-0000-00009C160000}"/>
    <hyperlink ref="G5513" r:id="rId4408" xr:uid="{00000000-0004-0000-0000-00009D160000}"/>
    <hyperlink ref="G5514" r:id="rId4409" xr:uid="{00000000-0004-0000-0000-00009E160000}"/>
    <hyperlink ref="G5516" r:id="rId4410" xr:uid="{00000000-0004-0000-0000-0000A2160000}"/>
    <hyperlink ref="S5516" r:id="rId4411" xr:uid="{00000000-0004-0000-0000-0000A3160000}"/>
    <hyperlink ref="G5518" r:id="rId4412" xr:uid="{00000000-0004-0000-0000-0000A5160000}"/>
    <hyperlink ref="S5519" r:id="rId4413" xr:uid="{00000000-0004-0000-0000-0000A6160000}"/>
    <hyperlink ref="G5520" r:id="rId4414" xr:uid="{00000000-0004-0000-0000-0000A7160000}"/>
    <hyperlink ref="G5522" r:id="rId4415" xr:uid="{00000000-0004-0000-0000-0000A9160000}"/>
    <hyperlink ref="G5526" r:id="rId4416" xr:uid="{00000000-0004-0000-0000-0000AA160000}"/>
    <hyperlink ref="G5527" r:id="rId4417" xr:uid="{00000000-0004-0000-0000-0000AB160000}"/>
    <hyperlink ref="G5528" r:id="rId4418" xr:uid="{00000000-0004-0000-0000-0000AE160000}"/>
    <hyperlink ref="G5529" r:id="rId4419" xr:uid="{00000000-0004-0000-0000-0000B1160000}"/>
    <hyperlink ref="G5532" r:id="rId4420" xr:uid="{00000000-0004-0000-0000-0000B3160000}"/>
    <hyperlink ref="S5532" r:id="rId4421" xr:uid="{00000000-0004-0000-0000-0000B4160000}"/>
    <hyperlink ref="G5535" r:id="rId4422" xr:uid="{00000000-0004-0000-0000-0000B7160000}"/>
    <hyperlink ref="G5536" r:id="rId4423" xr:uid="{00000000-0004-0000-0000-0000B8160000}"/>
    <hyperlink ref="G5537" r:id="rId4424" xr:uid="{00000000-0004-0000-0000-0000B9160000}"/>
    <hyperlink ref="S5538" r:id="rId4425" xr:uid="{00000000-0004-0000-0000-0000BA160000}"/>
    <hyperlink ref="S5539" r:id="rId4426" xr:uid="{00000000-0004-0000-0000-0000BD160000}"/>
    <hyperlink ref="S5540" r:id="rId4427" xr:uid="{00000000-0004-0000-0000-0000BE160000}"/>
    <hyperlink ref="G5541" r:id="rId4428" xr:uid="{00000000-0004-0000-0000-0000BF160000}"/>
    <hyperlink ref="G5542" r:id="rId4429" xr:uid="{00000000-0004-0000-0000-0000C0160000}"/>
    <hyperlink ref="S5543" r:id="rId4430" xr:uid="{00000000-0004-0000-0000-0000C1160000}"/>
    <hyperlink ref="G5547" r:id="rId4431" xr:uid="{00000000-0004-0000-0000-0000C4160000}"/>
    <hyperlink ref="G5548" r:id="rId4432" xr:uid="{00000000-0004-0000-0000-0000C5160000}"/>
    <hyperlink ref="G5549" r:id="rId4433" xr:uid="{00000000-0004-0000-0000-0000C6160000}"/>
    <hyperlink ref="G5550" r:id="rId4434" xr:uid="{00000000-0004-0000-0000-0000C7160000}"/>
    <hyperlink ref="S5550" r:id="rId4435" xr:uid="{00000000-0004-0000-0000-0000C8160000}"/>
    <hyperlink ref="G5551" r:id="rId4436" xr:uid="{00000000-0004-0000-0000-0000C9160000}"/>
    <hyperlink ref="G5552" r:id="rId4437" xr:uid="{00000000-0004-0000-0000-0000CB160000}"/>
    <hyperlink ref="F5554" r:id="rId4438" xr:uid="{00000000-0004-0000-0000-0000CC160000}"/>
    <hyperlink ref="G5554" r:id="rId4439" xr:uid="{00000000-0004-0000-0000-0000CD160000}"/>
    <hyperlink ref="F5555" r:id="rId4440" xr:uid="{00000000-0004-0000-0000-0000CE160000}"/>
    <hyperlink ref="G5555" r:id="rId4441" xr:uid="{00000000-0004-0000-0000-0000CF160000}"/>
    <hyperlink ref="G5559" r:id="rId4442" xr:uid="{00000000-0004-0000-0000-0000D0160000}"/>
    <hyperlink ref="G5560" r:id="rId4443" xr:uid="{00000000-0004-0000-0000-0000D2160000}"/>
    <hyperlink ref="S5562" r:id="rId4444" xr:uid="{00000000-0004-0000-0000-0000D3160000}"/>
    <hyperlink ref="G5563" r:id="rId4445" xr:uid="{00000000-0004-0000-0000-0000D4160000}"/>
    <hyperlink ref="G5567" r:id="rId4446" xr:uid="{00000000-0004-0000-0000-0000D6160000}"/>
    <hyperlink ref="G5568" r:id="rId4447" xr:uid="{00000000-0004-0000-0000-0000D7160000}"/>
    <hyperlink ref="G5569" r:id="rId4448" xr:uid="{00000000-0004-0000-0000-0000D8160000}"/>
    <hyperlink ref="S5569" r:id="rId4449" xr:uid="{00000000-0004-0000-0000-0000D9160000}"/>
    <hyperlink ref="F5571" r:id="rId4450" xr:uid="{00000000-0004-0000-0000-0000DE160000}"/>
    <hyperlink ref="S5571" r:id="rId4451" xr:uid="{00000000-0004-0000-0000-0000DF160000}"/>
    <hyperlink ref="G5573" r:id="rId4452" xr:uid="{00000000-0004-0000-0000-0000E0160000}"/>
    <hyperlink ref="G5576" r:id="rId4453" xr:uid="{00000000-0004-0000-0000-0000E1160000}"/>
    <hyperlink ref="G5577" r:id="rId4454" xr:uid="{00000000-0004-0000-0000-0000E2160000}"/>
    <hyperlink ref="G5579" r:id="rId4455" xr:uid="{00000000-0004-0000-0000-0000E3160000}"/>
    <hyperlink ref="G5580" r:id="rId4456" xr:uid="{00000000-0004-0000-0000-0000E4160000}"/>
    <hyperlink ref="G5581" r:id="rId4457" xr:uid="{00000000-0004-0000-0000-0000E5160000}"/>
    <hyperlink ref="G5582" r:id="rId4458" xr:uid="{00000000-0004-0000-0000-0000E6160000}"/>
    <hyperlink ref="G5583" r:id="rId4459" xr:uid="{00000000-0004-0000-0000-0000E7160000}"/>
    <hyperlink ref="S5584" r:id="rId4460" xr:uid="{00000000-0004-0000-0000-0000E8160000}"/>
    <hyperlink ref="F5585" r:id="rId4461" xr:uid="{00000000-0004-0000-0000-0000E9160000}"/>
    <hyperlink ref="G5585" r:id="rId4462" xr:uid="{00000000-0004-0000-0000-0000EA160000}"/>
    <hyperlink ref="G5586" r:id="rId4463" xr:uid="{00000000-0004-0000-0000-0000EB160000}"/>
    <hyperlink ref="G5587" r:id="rId4464" xr:uid="{00000000-0004-0000-0000-0000EC160000}"/>
    <hyperlink ref="G5590" r:id="rId4465" xr:uid="{00000000-0004-0000-0000-0000EE160000}"/>
    <hyperlink ref="F5592" r:id="rId4466" xr:uid="{00000000-0004-0000-0000-0000EF160000}"/>
    <hyperlink ref="G5592" r:id="rId4467" xr:uid="{00000000-0004-0000-0000-0000F0160000}"/>
    <hyperlink ref="G5593" r:id="rId4468" xr:uid="{00000000-0004-0000-0000-0000F1160000}"/>
    <hyperlink ref="S5593" r:id="rId4469" xr:uid="{00000000-0004-0000-0000-0000F2160000}"/>
    <hyperlink ref="G5595" r:id="rId4470" xr:uid="{00000000-0004-0000-0000-0000F4160000}"/>
    <hyperlink ref="G5596" r:id="rId4471" xr:uid="{00000000-0004-0000-0000-0000F6160000}"/>
    <hyperlink ref="G5598" r:id="rId4472" xr:uid="{00000000-0004-0000-0000-0000F8160000}"/>
    <hyperlink ref="S5600" r:id="rId4473" xr:uid="{00000000-0004-0000-0000-0000F9160000}"/>
    <hyperlink ref="F5601" r:id="rId4474" xr:uid="{00000000-0004-0000-0000-0000FA160000}"/>
    <hyperlink ref="G5601" r:id="rId4475" xr:uid="{00000000-0004-0000-0000-0000FB160000}"/>
    <hyperlink ref="S5601" r:id="rId4476" xr:uid="{00000000-0004-0000-0000-0000FC160000}"/>
    <hyperlink ref="G5603" r:id="rId4477" xr:uid="{00000000-0004-0000-0000-0000FD160000}"/>
    <hyperlink ref="S5603" r:id="rId4478" xr:uid="{00000000-0004-0000-0000-0000FE160000}"/>
    <hyperlink ref="F5606" r:id="rId4479" xr:uid="{00000000-0004-0000-0000-0000FF160000}"/>
    <hyperlink ref="S5606" r:id="rId4480" xr:uid="{00000000-0004-0000-0000-000000170000}"/>
    <hyperlink ref="G5607" r:id="rId4481" xr:uid="{00000000-0004-0000-0000-000002170000}"/>
    <hyperlink ref="G5609" r:id="rId4482" xr:uid="{00000000-0004-0000-0000-000006170000}"/>
    <hyperlink ref="G5611" r:id="rId4483" xr:uid="{00000000-0004-0000-0000-000007170000}"/>
    <hyperlink ref="F5612" r:id="rId4484" xr:uid="{00000000-0004-0000-0000-000008170000}"/>
    <hyperlink ref="S5612" r:id="rId4485" xr:uid="{00000000-0004-0000-0000-000009170000}"/>
    <hyperlink ref="G5613" r:id="rId4486" xr:uid="{00000000-0004-0000-0000-00000A170000}"/>
    <hyperlink ref="G5614" r:id="rId4487" xr:uid="{00000000-0004-0000-0000-00000B170000}"/>
    <hyperlink ref="S5615" r:id="rId4488" xr:uid="{00000000-0004-0000-0000-00000E170000}"/>
    <hyperlink ref="S5616" r:id="rId4489" xr:uid="{00000000-0004-0000-0000-00000F170000}"/>
    <hyperlink ref="G5620" r:id="rId4490" xr:uid="{00000000-0004-0000-0000-000012170000}"/>
    <hyperlink ref="S5620" r:id="rId4491" xr:uid="{00000000-0004-0000-0000-000013170000}"/>
    <hyperlink ref="G5622" r:id="rId4492" xr:uid="{00000000-0004-0000-0000-000014170000}"/>
    <hyperlink ref="S5622" r:id="rId4493" xr:uid="{00000000-0004-0000-0000-000015170000}"/>
    <hyperlink ref="S5627" r:id="rId4494" xr:uid="{00000000-0004-0000-0000-000019170000}"/>
    <hyperlink ref="G5628" r:id="rId4495" xr:uid="{00000000-0004-0000-0000-00001A170000}"/>
    <hyperlink ref="G5630" r:id="rId4496" xr:uid="{00000000-0004-0000-0000-00001B170000}"/>
    <hyperlink ref="G5636" r:id="rId4497" xr:uid="{00000000-0004-0000-0000-00001C170000}"/>
    <hyperlink ref="G5637" r:id="rId4498" xr:uid="{00000000-0004-0000-0000-00001E170000}"/>
    <hyperlink ref="G5642" r:id="rId4499" xr:uid="{00000000-0004-0000-0000-000021170000}"/>
    <hyperlink ref="S5643" r:id="rId4500" xr:uid="{00000000-0004-0000-0000-000022170000}"/>
    <hyperlink ref="G5646" r:id="rId4501" xr:uid="{00000000-0004-0000-0000-000024170000}"/>
    <hyperlink ref="G5651" r:id="rId4502" xr:uid="{00000000-0004-0000-0000-000028170000}"/>
    <hyperlink ref="F5653" r:id="rId4503" xr:uid="{00000000-0004-0000-0000-00002D170000}"/>
    <hyperlink ref="G5653" r:id="rId4504" xr:uid="{00000000-0004-0000-0000-00002E170000}"/>
    <hyperlink ref="G5656" r:id="rId4505" xr:uid="{00000000-0004-0000-0000-00002F170000}"/>
    <hyperlink ref="G5659" r:id="rId4506" xr:uid="{00000000-0004-0000-0000-000032170000}"/>
    <hyperlink ref="G5660" r:id="rId4507" xr:uid="{00000000-0004-0000-0000-000035170000}"/>
    <hyperlink ref="G5661" r:id="rId4508" xr:uid="{00000000-0004-0000-0000-000036170000}"/>
    <hyperlink ref="C5663" r:id="rId4509" xr:uid="{00000000-0004-0000-0000-000037170000}"/>
    <hyperlink ref="G5665" r:id="rId4510" xr:uid="{00000000-0004-0000-0000-000038170000}"/>
    <hyperlink ref="G5667" r:id="rId4511" xr:uid="{00000000-0004-0000-0000-000039170000}"/>
    <hyperlink ref="G5670" r:id="rId4512" xr:uid="{00000000-0004-0000-0000-00003C170000}"/>
    <hyperlink ref="G5672" r:id="rId4513" xr:uid="{00000000-0004-0000-0000-00003D170000}"/>
    <hyperlink ref="F5674" r:id="rId4514" xr:uid="{00000000-0004-0000-0000-00003E170000}"/>
    <hyperlink ref="G5674" r:id="rId4515" xr:uid="{00000000-0004-0000-0000-00003F170000}"/>
    <hyperlink ref="G5675" r:id="rId4516" xr:uid="{00000000-0004-0000-0000-000040170000}"/>
    <hyperlink ref="G5676" r:id="rId4517" xr:uid="{00000000-0004-0000-0000-000041170000}"/>
    <hyperlink ref="G5677" r:id="rId4518" xr:uid="{00000000-0004-0000-0000-000042170000}"/>
    <hyperlink ref="G5682" r:id="rId4519" xr:uid="{00000000-0004-0000-0000-000043170000}"/>
    <hyperlink ref="S5682" r:id="rId4520" xr:uid="{00000000-0004-0000-0000-000044170000}"/>
    <hyperlink ref="G5684" r:id="rId4521" xr:uid="{00000000-0004-0000-0000-000046170000}"/>
    <hyperlink ref="G5685" r:id="rId4522" xr:uid="{00000000-0004-0000-0000-000047170000}"/>
    <hyperlink ref="G5686" r:id="rId4523" xr:uid="{00000000-0004-0000-0000-00004A170000}"/>
    <hyperlink ref="G5688" r:id="rId4524" xr:uid="{00000000-0004-0000-0000-00004E170000}"/>
    <hyperlink ref="G5690" r:id="rId4525" xr:uid="{00000000-0004-0000-0000-000050170000}"/>
  </hyperlinks>
  <pageMargins left="0.7" right="0.7" top="0.75" bottom="0.75" header="0.3" footer="0.3"/>
  <tableParts count="1">
    <tablePart r:id="rId452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3791"/>
  <sheetViews>
    <sheetView tabSelected="1" workbookViewId="0">
      <pane ySplit="2" topLeftCell="A3" activePane="bottomLeft" state="frozen"/>
      <selection pane="bottomLeft" activeCell="C10" sqref="C10"/>
    </sheetView>
  </sheetViews>
  <sheetFormatPr defaultColWidth="14.3984375" defaultRowHeight="15.75" customHeight="1"/>
  <cols>
    <col min="1" max="2" width="15.86328125" customWidth="1"/>
    <col min="3" max="3" width="21.53125" customWidth="1"/>
    <col min="4" max="4" width="43" customWidth="1"/>
    <col min="5" max="5" width="18.73046875" customWidth="1"/>
    <col min="6" max="6" width="21.53125" customWidth="1"/>
  </cols>
  <sheetData>
    <row r="1" spans="1:26" ht="24" customHeight="1">
      <c r="A1" s="1"/>
      <c r="B1" s="2" t="s">
        <v>5</v>
      </c>
      <c r="C1" s="3"/>
      <c r="D1" s="3"/>
      <c r="E1" s="3"/>
      <c r="F1" s="3"/>
      <c r="G1" s="3"/>
      <c r="H1" s="3"/>
      <c r="I1" s="3"/>
      <c r="J1" s="3"/>
      <c r="K1" s="3"/>
      <c r="L1" s="4"/>
      <c r="M1" s="4"/>
      <c r="N1" s="4"/>
      <c r="O1" s="4"/>
      <c r="P1" s="4"/>
      <c r="Q1" s="3"/>
      <c r="R1" s="3"/>
      <c r="S1" s="3"/>
      <c r="T1" s="3"/>
      <c r="U1" s="4"/>
      <c r="V1" s="3"/>
      <c r="W1" s="3"/>
      <c r="X1" s="3"/>
      <c r="Y1" s="3"/>
      <c r="Z1" s="3"/>
    </row>
    <row r="2" spans="1:26" ht="24" customHeight="1">
      <c r="A2" s="5" t="s">
        <v>1</v>
      </c>
      <c r="B2" s="6" t="s">
        <v>2</v>
      </c>
      <c r="C2" s="6" t="s">
        <v>3</v>
      </c>
      <c r="D2" s="6" t="s">
        <v>4</v>
      </c>
      <c r="E2" s="6" t="s">
        <v>7</v>
      </c>
      <c r="F2" s="6" t="s">
        <v>8</v>
      </c>
      <c r="G2" s="6" t="s">
        <v>9</v>
      </c>
      <c r="H2" s="6" t="s">
        <v>10</v>
      </c>
      <c r="I2" s="6" t="s">
        <v>11</v>
      </c>
      <c r="J2" s="6" t="s">
        <v>12</v>
      </c>
      <c r="K2" s="6" t="s">
        <v>13</v>
      </c>
      <c r="L2" s="5" t="s">
        <v>14</v>
      </c>
      <c r="M2" s="5" t="s">
        <v>15</v>
      </c>
      <c r="N2" s="5" t="s">
        <v>16</v>
      </c>
      <c r="O2" s="5" t="s">
        <v>17</v>
      </c>
      <c r="P2" s="5" t="s">
        <v>18</v>
      </c>
      <c r="Q2" s="6" t="s">
        <v>10</v>
      </c>
      <c r="R2" s="6" t="s">
        <v>19</v>
      </c>
      <c r="S2" s="6" t="s">
        <v>20</v>
      </c>
      <c r="T2" s="6" t="s">
        <v>21</v>
      </c>
      <c r="U2" s="5" t="s">
        <v>22</v>
      </c>
      <c r="V2" s="10"/>
      <c r="W2" s="10"/>
      <c r="X2" s="10"/>
      <c r="Y2" s="10"/>
      <c r="Z2" s="10"/>
    </row>
    <row r="3" spans="1:26" ht="12.75">
      <c r="A3" s="11">
        <v>43747.299745370372</v>
      </c>
      <c r="B3" s="12" t="str">
        <f>HYPERLINK("https://twitter.com/AadamShams","@AadamShams")</f>
        <v>@AadamShams</v>
      </c>
      <c r="C3" s="13" t="s">
        <v>25</v>
      </c>
      <c r="D3" s="13" t="s">
        <v>28</v>
      </c>
      <c r="E3" s="12" t="str">
        <f>HYPERLINK("https://twitter.com/AadamShams/status/1181935255281754112","1181935255281754112")</f>
        <v>1181935255281754112</v>
      </c>
      <c r="F3" s="8"/>
      <c r="G3" s="14" t="s">
        <v>31</v>
      </c>
      <c r="H3" s="8"/>
      <c r="I3" s="15">
        <v>0</v>
      </c>
      <c r="J3" s="15">
        <v>0</v>
      </c>
      <c r="K3" s="12" t="str">
        <f>HYPERLINK("https://mobile.twitter.com","Twitter Web App")</f>
        <v>Twitter Web App</v>
      </c>
      <c r="L3" s="16">
        <v>0</v>
      </c>
      <c r="M3" s="16">
        <v>0</v>
      </c>
      <c r="N3" s="16">
        <v>0</v>
      </c>
      <c r="O3" s="17"/>
      <c r="P3" s="18">
        <v>43744.19630787037</v>
      </c>
      <c r="Q3" s="13"/>
      <c r="R3" s="13"/>
      <c r="S3" s="8"/>
      <c r="T3" s="8"/>
      <c r="U3" s="19" t="str">
        <f>HYPERLINK("https://pbs.twimg.com/profile_images/1181569566520074241/gqbTuKj5.jpg","View")</f>
        <v>View</v>
      </c>
      <c r="V3" s="8"/>
      <c r="W3" s="8"/>
      <c r="X3" s="8"/>
      <c r="Y3" s="8"/>
      <c r="Z3" s="8"/>
    </row>
    <row r="4" spans="1:26" ht="12.75">
      <c r="A4" s="11">
        <v>43747.299432870372</v>
      </c>
      <c r="B4" s="12" t="str">
        <f>HYPERLINK("https://twitter.com/galiieb46534","@galiieb46534")</f>
        <v>@galiieb46534</v>
      </c>
      <c r="C4" s="13" t="s">
        <v>37</v>
      </c>
      <c r="D4" s="13" t="s">
        <v>38</v>
      </c>
      <c r="E4" s="12" t="str">
        <f>HYPERLINK("https://twitter.com/galiieb46534/status/1181935140907474948","1181935140907474948")</f>
        <v>1181935140907474948</v>
      </c>
      <c r="F4" s="8"/>
      <c r="G4" s="14" t="s">
        <v>39</v>
      </c>
      <c r="H4" s="8"/>
      <c r="I4" s="15">
        <v>0</v>
      </c>
      <c r="J4" s="15">
        <v>0</v>
      </c>
      <c r="K4" s="12" t="str">
        <f>HYPERLINK("http://twitter.com","Twitter Web Client")</f>
        <v>Twitter Web Client</v>
      </c>
      <c r="L4" s="16">
        <v>6</v>
      </c>
      <c r="M4" s="16">
        <v>50</v>
      </c>
      <c r="N4" s="16">
        <v>0</v>
      </c>
      <c r="O4" s="17"/>
      <c r="P4" s="18">
        <v>42071.713437500002</v>
      </c>
      <c r="Q4" s="13"/>
      <c r="R4" s="13"/>
      <c r="S4" s="8"/>
      <c r="T4" s="8"/>
      <c r="U4" s="19" t="str">
        <f>HYPERLINK("https://pbs.twimg.com/profile_images/574723292512174081/4BfPwQIB.jpeg","View")</f>
        <v>View</v>
      </c>
      <c r="V4" s="8"/>
      <c r="W4" s="8"/>
      <c r="X4" s="8"/>
      <c r="Y4" s="8"/>
      <c r="Z4" s="8"/>
    </row>
    <row r="5" spans="1:26" ht="12.75">
      <c r="A5" s="11">
        <v>43747.299108796295</v>
      </c>
      <c r="B5" s="12" t="str">
        <f>HYPERLINK("https://twitter.com/RX2jNSwVnBRPtPt","@RX2jNSwVnBRPtPt")</f>
        <v>@RX2jNSwVnBRPtPt</v>
      </c>
      <c r="C5" s="13" t="s">
        <v>43</v>
      </c>
      <c r="D5" s="13" t="s">
        <v>44</v>
      </c>
      <c r="E5" s="12" t="str">
        <f>HYPERLINK("https://twitter.com/RX2jNSwVnBRPtPt/status/1181935024146468864","1181935024146468864")</f>
        <v>1181935024146468864</v>
      </c>
      <c r="F5" s="8"/>
      <c r="G5" s="7"/>
      <c r="H5" s="8"/>
      <c r="I5" s="15">
        <v>0</v>
      </c>
      <c r="J5" s="15">
        <v>0</v>
      </c>
      <c r="K5" s="12" t="str">
        <f>HYPERLINK("http://twitter.com/download/android","Twitter for Android")</f>
        <v>Twitter for Android</v>
      </c>
      <c r="L5" s="16">
        <v>58</v>
      </c>
      <c r="M5" s="16">
        <v>912</v>
      </c>
      <c r="N5" s="16">
        <v>0</v>
      </c>
      <c r="O5" s="17"/>
      <c r="P5" s="18">
        <v>43670.533819444448</v>
      </c>
      <c r="Q5" s="7" t="s">
        <v>46</v>
      </c>
      <c r="R5" s="13" t="s">
        <v>47</v>
      </c>
      <c r="S5" s="8"/>
      <c r="T5" s="8"/>
      <c r="U5" s="19" t="str">
        <f>HYPERLINK("https://pbs.twimg.com/profile_images/1176507696306147330/sHlJSnxX.jpg","View")</f>
        <v>View</v>
      </c>
      <c r="V5" s="8"/>
      <c r="W5" s="8"/>
      <c r="X5" s="8"/>
      <c r="Y5" s="8"/>
      <c r="Z5" s="8"/>
    </row>
    <row r="6" spans="1:26" ht="12.75">
      <c r="A6" s="11">
        <v>43747.298796296294</v>
      </c>
      <c r="B6" s="12" t="str">
        <f>HYPERLINK("https://twitter.com/mabkhootburaiki","@mabkhootburaiki")</f>
        <v>@mabkhootburaiki</v>
      </c>
      <c r="C6" s="13" t="s">
        <v>50</v>
      </c>
      <c r="D6" s="13" t="s">
        <v>51</v>
      </c>
      <c r="E6" s="12" t="str">
        <f>HYPERLINK("https://twitter.com/mabkhootburaiki/status/1181934911583850496","1181934911583850496")</f>
        <v>1181934911583850496</v>
      </c>
      <c r="F6" s="8"/>
      <c r="G6" s="14" t="s">
        <v>52</v>
      </c>
      <c r="H6" s="8"/>
      <c r="I6" s="15">
        <v>0</v>
      </c>
      <c r="J6" s="15">
        <v>0</v>
      </c>
      <c r="K6" s="12" t="str">
        <f>HYPERLINK("http://twitter.com","Twitter Web Client")</f>
        <v>Twitter Web Client</v>
      </c>
      <c r="L6" s="16">
        <v>2</v>
      </c>
      <c r="M6" s="16">
        <v>37</v>
      </c>
      <c r="N6" s="16">
        <v>0</v>
      </c>
      <c r="O6" s="17"/>
      <c r="P6" s="18">
        <v>42079.509710648148</v>
      </c>
      <c r="Q6" s="13"/>
      <c r="R6" s="13"/>
      <c r="S6" s="8"/>
      <c r="T6" s="8"/>
      <c r="U6" s="19" t="str">
        <f>HYPERLINK("https://pbs.twimg.com/profile_images/577548591910100992/ndBwBUmc.jpeg","View")</f>
        <v>View</v>
      </c>
      <c r="V6" s="8"/>
      <c r="W6" s="8"/>
      <c r="X6" s="8"/>
      <c r="Y6" s="8"/>
      <c r="Z6" s="8"/>
    </row>
    <row r="7" spans="1:26" ht="12.75">
      <c r="A7" s="11">
        <v>43747.298587962963</v>
      </c>
      <c r="B7" s="12" t="str">
        <f>HYPERLINK("https://twitter.com/onetokebloke","@onetokebloke")</f>
        <v>@onetokebloke</v>
      </c>
      <c r="C7" s="7" t="s">
        <v>53</v>
      </c>
      <c r="D7" s="7" t="s">
        <v>54</v>
      </c>
      <c r="E7" s="12" t="str">
        <f>HYPERLINK("https://twitter.com/onetokebloke/status/1181934835922870272","1181934835922870272")</f>
        <v>1181934835922870272</v>
      </c>
      <c r="F7" s="7" t="s">
        <v>55</v>
      </c>
      <c r="G7" s="7"/>
      <c r="H7" s="8"/>
      <c r="I7" s="15">
        <v>0</v>
      </c>
      <c r="J7" s="15">
        <v>0</v>
      </c>
      <c r="K7" s="12" t="str">
        <f>HYPERLINK("http://twitter.com/download/iphone","Twitter for iPhone")</f>
        <v>Twitter for iPhone</v>
      </c>
      <c r="L7" s="16">
        <v>1179</v>
      </c>
      <c r="M7" s="16">
        <v>871</v>
      </c>
      <c r="N7" s="16">
        <v>71</v>
      </c>
      <c r="O7" s="17"/>
      <c r="P7" s="18">
        <v>40732.408020833333</v>
      </c>
      <c r="Q7" s="7" t="s">
        <v>56</v>
      </c>
      <c r="R7" s="7" t="s">
        <v>57</v>
      </c>
      <c r="S7" s="8"/>
      <c r="T7" s="8"/>
      <c r="U7" s="19" t="str">
        <f>HYPERLINK("https://pbs.twimg.com/profile_images/708448605292650497/4PCTFYhW.jpg","View")</f>
        <v>View</v>
      </c>
      <c r="V7" s="8"/>
      <c r="W7" s="8"/>
      <c r="X7" s="8"/>
      <c r="Y7" s="8"/>
      <c r="Z7" s="8"/>
    </row>
    <row r="8" spans="1:26" ht="12.75">
      <c r="A8" s="11">
        <v>43747.298483796301</v>
      </c>
      <c r="B8" s="12" t="str">
        <f>HYPERLINK("https://twitter.com/salemthekhuraim","@salemthekhuraim")</f>
        <v>@salemthekhuraim</v>
      </c>
      <c r="C8" s="13" t="s">
        <v>58</v>
      </c>
      <c r="D8" s="13" t="s">
        <v>59</v>
      </c>
      <c r="E8" s="12" t="str">
        <f>HYPERLINK("https://twitter.com/salemthekhuraim/status/1181934798593495040","1181934798593495040")</f>
        <v>1181934798593495040</v>
      </c>
      <c r="F8" s="8"/>
      <c r="G8" s="14" t="s">
        <v>60</v>
      </c>
      <c r="H8" s="8"/>
      <c r="I8" s="15">
        <v>0</v>
      </c>
      <c r="J8" s="15">
        <v>0</v>
      </c>
      <c r="K8" s="12" t="str">
        <f>HYPERLINK("http://twitter.com","Twitter Web Client")</f>
        <v>Twitter Web Client</v>
      </c>
      <c r="L8" s="16">
        <v>0</v>
      </c>
      <c r="M8" s="16">
        <v>36</v>
      </c>
      <c r="N8" s="16">
        <v>0</v>
      </c>
      <c r="O8" s="17"/>
      <c r="P8" s="18">
        <v>42077.112118055556</v>
      </c>
      <c r="Q8" s="13"/>
      <c r="R8" s="13"/>
      <c r="S8" s="8"/>
      <c r="T8" s="8"/>
      <c r="U8" s="19" t="str">
        <f>HYPERLINK("https://pbs.twimg.com/profile_images/576679766788431872/N_kkl3KW.jpeg","View")</f>
        <v>View</v>
      </c>
      <c r="V8" s="8"/>
      <c r="W8" s="8"/>
      <c r="X8" s="8"/>
      <c r="Y8" s="8"/>
      <c r="Z8" s="8"/>
    </row>
    <row r="9" spans="1:26" ht="12.75">
      <c r="A9" s="11">
        <v>43747.298379629632</v>
      </c>
      <c r="B9" s="12" t="str">
        <f>HYPERLINK("https://twitter.com/AnnneesJ","@AnnneesJ")</f>
        <v>@AnnneesJ</v>
      </c>
      <c r="C9" s="13" t="s">
        <v>62</v>
      </c>
      <c r="D9" s="13" t="s">
        <v>28</v>
      </c>
      <c r="E9" s="12" t="str">
        <f>HYPERLINK("https://twitter.com/AnnneesJ/status/1181934759762513926","1181934759762513926")</f>
        <v>1181934759762513926</v>
      </c>
      <c r="F9" s="8"/>
      <c r="G9" s="14" t="s">
        <v>31</v>
      </c>
      <c r="H9" s="8"/>
      <c r="I9" s="15">
        <v>0</v>
      </c>
      <c r="J9" s="15">
        <v>0</v>
      </c>
      <c r="K9" s="12" t="str">
        <f>HYPERLINK("https://mobile.twitter.com","Twitter Web App")</f>
        <v>Twitter Web App</v>
      </c>
      <c r="L9" s="16">
        <v>0</v>
      </c>
      <c r="M9" s="16">
        <v>0</v>
      </c>
      <c r="N9" s="16">
        <v>0</v>
      </c>
      <c r="O9" s="17"/>
      <c r="P9" s="18">
        <v>43744.213773148149</v>
      </c>
      <c r="Q9" s="13"/>
      <c r="R9" s="13"/>
      <c r="S9" s="8"/>
      <c r="T9" s="8"/>
      <c r="U9" s="19" t="str">
        <f>HYPERLINK("https://pbs.twimg.com/profile_images/1181571978211274752/Iz_XJ1V0.jpg","View")</f>
        <v>View</v>
      </c>
      <c r="V9" s="8"/>
      <c r="W9" s="8"/>
      <c r="X9" s="8"/>
      <c r="Y9" s="8"/>
      <c r="Z9" s="8"/>
    </row>
    <row r="10" spans="1:26" ht="12.75">
      <c r="A10" s="11">
        <v>43747.297407407408</v>
      </c>
      <c r="B10" s="12" t="str">
        <f>HYPERLINK("https://twitter.com/TeelaResists","@TeelaResists")</f>
        <v>@TeelaResists</v>
      </c>
      <c r="C10" s="7" t="s">
        <v>66</v>
      </c>
      <c r="D10" s="7" t="s">
        <v>67</v>
      </c>
      <c r="E10" s="12" t="str">
        <f>HYPERLINK("https://twitter.com/TeelaResists/status/1181934408321966085","1181934408321966085")</f>
        <v>1181934408321966085</v>
      </c>
      <c r="F10" s="8"/>
      <c r="G10" s="14" t="s">
        <v>68</v>
      </c>
      <c r="H10" s="8"/>
      <c r="I10" s="15">
        <v>0</v>
      </c>
      <c r="J10" s="15">
        <v>0</v>
      </c>
      <c r="K10" s="12" t="str">
        <f>HYPERLINK("https://mobile.twitter.com","Twitter Web App")</f>
        <v>Twitter Web App</v>
      </c>
      <c r="L10" s="16">
        <v>28621</v>
      </c>
      <c r="M10" s="16">
        <v>27413</v>
      </c>
      <c r="N10" s="16">
        <v>31</v>
      </c>
      <c r="O10" s="17"/>
      <c r="P10" s="18">
        <v>42843.256550925929</v>
      </c>
      <c r="Q10" s="7" t="s">
        <v>71</v>
      </c>
      <c r="R10" s="7" t="s">
        <v>72</v>
      </c>
      <c r="S10" s="14" t="s">
        <v>73</v>
      </c>
      <c r="T10" s="8"/>
      <c r="U10" s="19" t="str">
        <f>HYPERLINK("https://pbs.twimg.com/profile_images/1140390860833677312/_i19lOKl.jpg","View")</f>
        <v>View</v>
      </c>
      <c r="V10" s="8"/>
      <c r="W10" s="8"/>
      <c r="X10" s="8"/>
      <c r="Y10" s="8"/>
      <c r="Z10" s="8"/>
    </row>
    <row r="11" spans="1:26" ht="12.75">
      <c r="A11" s="11">
        <v>43747.29614583333</v>
      </c>
      <c r="B11" s="12" t="str">
        <f>HYPERLINK("https://twitter.com/faisalasiri19","@faisalasiri19")</f>
        <v>@faisalasiri19</v>
      </c>
      <c r="C11" s="13" t="s">
        <v>77</v>
      </c>
      <c r="D11" s="13" t="s">
        <v>78</v>
      </c>
      <c r="E11" s="12" t="str">
        <f>HYPERLINK("https://twitter.com/faisalasiri19/status/1181933951121797122","1181933951121797122")</f>
        <v>1181933951121797122</v>
      </c>
      <c r="F11" s="8"/>
      <c r="G11" s="14" t="s">
        <v>79</v>
      </c>
      <c r="H11" s="8"/>
      <c r="I11" s="15">
        <v>0</v>
      </c>
      <c r="J11" s="15">
        <v>0</v>
      </c>
      <c r="K11" s="12" t="str">
        <f>HYPERLINK("http://twitter.com","Twitter Web Client")</f>
        <v>Twitter Web Client</v>
      </c>
      <c r="L11" s="16">
        <v>0</v>
      </c>
      <c r="M11" s="16">
        <v>26</v>
      </c>
      <c r="N11" s="16">
        <v>0</v>
      </c>
      <c r="O11" s="17"/>
      <c r="P11" s="18">
        <v>42078.473796296297</v>
      </c>
      <c r="Q11" s="13"/>
      <c r="R11" s="13"/>
      <c r="S11" s="8"/>
      <c r="T11" s="8"/>
      <c r="U11" s="19" t="str">
        <f>HYPERLINK("https://pbs.twimg.com/profile_images/577179171949928448/5i50mBLR.jpeg","View")</f>
        <v>View</v>
      </c>
      <c r="V11" s="8"/>
      <c r="W11" s="8"/>
      <c r="X11" s="8"/>
      <c r="Y11" s="8"/>
      <c r="Z11" s="8"/>
    </row>
    <row r="12" spans="1:26" ht="12.75">
      <c r="A12" s="11">
        <v>43747.29519675926</v>
      </c>
      <c r="B12" s="12" t="str">
        <f>HYPERLINK("https://twitter.com/ahmedmohamedr1","@ahmedmohamedr1")</f>
        <v>@ahmedmohamedr1</v>
      </c>
      <c r="C12" s="13" t="s">
        <v>83</v>
      </c>
      <c r="D12" s="13" t="s">
        <v>84</v>
      </c>
      <c r="E12" s="12" t="str">
        <f>HYPERLINK("https://twitter.com/ahmedmohamedr1/status/1181933607230824448","1181933607230824448")</f>
        <v>1181933607230824448</v>
      </c>
      <c r="F12" s="8"/>
      <c r="G12" s="14" t="s">
        <v>85</v>
      </c>
      <c r="H12" s="8"/>
      <c r="I12" s="15">
        <v>0</v>
      </c>
      <c r="J12" s="15">
        <v>0</v>
      </c>
      <c r="K12" s="12" t="str">
        <f>HYPERLINK("http://twitter.com","Twitter Web Client")</f>
        <v>Twitter Web Client</v>
      </c>
      <c r="L12" s="16">
        <v>1</v>
      </c>
      <c r="M12" s="16">
        <v>36</v>
      </c>
      <c r="N12" s="16">
        <v>0</v>
      </c>
      <c r="O12" s="17"/>
      <c r="P12" s="18">
        <v>42017.20521990741</v>
      </c>
      <c r="Q12" s="13"/>
      <c r="R12" s="13"/>
      <c r="S12" s="8"/>
      <c r="T12" s="8"/>
      <c r="U12" s="19" t="str">
        <f>HYPERLINK("https://pbs.twimg.com/profile_images/554985208856854528/_n579dQT.jpeg","View")</f>
        <v>View</v>
      </c>
      <c r="V12" s="8"/>
      <c r="W12" s="8"/>
      <c r="X12" s="8"/>
      <c r="Y12" s="8"/>
      <c r="Z12" s="8"/>
    </row>
    <row r="13" spans="1:26" ht="12.75">
      <c r="A13" s="11">
        <v>43747.292395833334</v>
      </c>
      <c r="B13" s="12" t="str">
        <f>HYPERLINK("https://twitter.com/nzaar_lover","@nzaar_lover")</f>
        <v>@nzaar_lover</v>
      </c>
      <c r="C13" s="7" t="s">
        <v>89</v>
      </c>
      <c r="D13" s="13" t="s">
        <v>90</v>
      </c>
      <c r="E13" s="12" t="str">
        <f>HYPERLINK("https://twitter.com/nzaar_lover/status/1181932589331992577","1181932589331992577")</f>
        <v>1181932589331992577</v>
      </c>
      <c r="F13" s="7" t="s">
        <v>91</v>
      </c>
      <c r="G13" s="7"/>
      <c r="H13" s="8"/>
      <c r="I13" s="15">
        <v>0</v>
      </c>
      <c r="J13" s="15">
        <v>0</v>
      </c>
      <c r="K13" s="12" t="str">
        <f>HYPERLINK("http://twitter.com/download/iphone","Twitter for iPhone")</f>
        <v>Twitter for iPhone</v>
      </c>
      <c r="L13" s="16">
        <v>1251</v>
      </c>
      <c r="M13" s="16">
        <v>333</v>
      </c>
      <c r="N13" s="16">
        <v>7</v>
      </c>
      <c r="O13" s="17"/>
      <c r="P13" s="18">
        <v>41024.197905092595</v>
      </c>
      <c r="Q13" s="13" t="s">
        <v>94</v>
      </c>
      <c r="R13" s="13" t="s">
        <v>95</v>
      </c>
      <c r="S13" s="8"/>
      <c r="T13" s="8"/>
      <c r="U13" s="19" t="str">
        <f>HYPERLINK("https://pbs.twimg.com/profile_images/1107163673385201664/IF-ulgsQ.jpg","View")</f>
        <v>View</v>
      </c>
      <c r="V13" s="8"/>
      <c r="W13" s="8"/>
      <c r="X13" s="8"/>
      <c r="Y13" s="8"/>
      <c r="Z13" s="8"/>
    </row>
    <row r="14" spans="1:26" ht="12.75">
      <c r="A14" s="11">
        <v>43747.292372685188</v>
      </c>
      <c r="B14" s="12" t="str">
        <f>HYPERLINK("https://twitter.com/faiasal933","@faiasal933")</f>
        <v>@faiasal933</v>
      </c>
      <c r="C14" s="13" t="s">
        <v>98</v>
      </c>
      <c r="D14" s="13" t="s">
        <v>99</v>
      </c>
      <c r="E14" s="12" t="str">
        <f>HYPERLINK("https://twitter.com/faiasal933/status/1181932582453284864","1181932582453284864")</f>
        <v>1181932582453284864</v>
      </c>
      <c r="F14" s="8"/>
      <c r="G14" s="14" t="s">
        <v>100</v>
      </c>
      <c r="H14" s="8"/>
      <c r="I14" s="15">
        <v>0</v>
      </c>
      <c r="J14" s="15">
        <v>0</v>
      </c>
      <c r="K14" s="12" t="str">
        <f>HYPERLINK("http://twitter.com","Twitter Web Client")</f>
        <v>Twitter Web Client</v>
      </c>
      <c r="L14" s="16">
        <v>12</v>
      </c>
      <c r="M14" s="16">
        <v>48</v>
      </c>
      <c r="N14" s="16">
        <v>0</v>
      </c>
      <c r="O14" s="17"/>
      <c r="P14" s="18">
        <v>42073.3356712963</v>
      </c>
      <c r="Q14" s="13"/>
      <c r="R14" s="13"/>
      <c r="S14" s="8"/>
      <c r="T14" s="8"/>
      <c r="U14" s="19" t="str">
        <f>HYPERLINK("https://pbs.twimg.com/profile_images/575311242924949504/URKvJUFp.jpeg","View")</f>
        <v>View</v>
      </c>
      <c r="V14" s="8"/>
      <c r="W14" s="8"/>
      <c r="X14" s="8"/>
      <c r="Y14" s="8"/>
      <c r="Z14" s="8"/>
    </row>
    <row r="15" spans="1:26" ht="12.75">
      <c r="A15" s="11">
        <v>43747.290821759263</v>
      </c>
      <c r="B15" s="12" t="str">
        <f>HYPERLINK("https://twitter.com/AlradyBejad","@AlradyBejad")</f>
        <v>@AlradyBejad</v>
      </c>
      <c r="C15" s="13" t="s">
        <v>103</v>
      </c>
      <c r="D15" s="13" t="s">
        <v>104</v>
      </c>
      <c r="E15" s="12" t="str">
        <f>HYPERLINK("https://twitter.com/AlradyBejad/status/1181932018839572481","1181932018839572481")</f>
        <v>1181932018839572481</v>
      </c>
      <c r="F15" s="8"/>
      <c r="G15" s="14" t="s">
        <v>105</v>
      </c>
      <c r="H15" s="8"/>
      <c r="I15" s="15">
        <v>0</v>
      </c>
      <c r="J15" s="15">
        <v>0</v>
      </c>
      <c r="K15" s="12" t="str">
        <f>HYPERLINK("http://twitter.com","Twitter Web Client")</f>
        <v>Twitter Web Client</v>
      </c>
      <c r="L15" s="16">
        <v>6</v>
      </c>
      <c r="M15" s="16">
        <v>42</v>
      </c>
      <c r="N15" s="16">
        <v>0</v>
      </c>
      <c r="O15" s="17"/>
      <c r="P15" s="18">
        <v>42071.66982638889</v>
      </c>
      <c r="Q15" s="13"/>
      <c r="R15" s="13"/>
      <c r="S15" s="8"/>
      <c r="T15" s="8"/>
      <c r="U15" s="19" t="str">
        <f>HYPERLINK("https://pbs.twimg.com/profile_images/574713353060274177/QfRWeHwR.jpeg","View")</f>
        <v>View</v>
      </c>
      <c r="V15" s="8"/>
      <c r="W15" s="8"/>
      <c r="X15" s="8"/>
      <c r="Y15" s="8"/>
      <c r="Z15" s="8"/>
    </row>
    <row r="16" spans="1:26" ht="12.75">
      <c r="A16" s="11">
        <v>43747.290509259255</v>
      </c>
      <c r="B16" s="12" t="str">
        <f>HYPERLINK("https://twitter.com/AhmariHammoud","@AhmariHammoud")</f>
        <v>@AhmariHammoud</v>
      </c>
      <c r="C16" s="13" t="s">
        <v>111</v>
      </c>
      <c r="D16" s="13" t="s">
        <v>112</v>
      </c>
      <c r="E16" s="12" t="str">
        <f>HYPERLINK("https://twitter.com/AhmariHammoud/status/1181931904838328320","1181931904838328320")</f>
        <v>1181931904838328320</v>
      </c>
      <c r="F16" s="8"/>
      <c r="G16" s="14" t="s">
        <v>113</v>
      </c>
      <c r="H16" s="8"/>
      <c r="I16" s="15">
        <v>0</v>
      </c>
      <c r="J16" s="15">
        <v>0</v>
      </c>
      <c r="K16" s="12" t="str">
        <f>HYPERLINK("http://twitter.com","Twitter Web Client")</f>
        <v>Twitter Web Client</v>
      </c>
      <c r="L16" s="16">
        <v>1</v>
      </c>
      <c r="M16" s="16">
        <v>22</v>
      </c>
      <c r="N16" s="16">
        <v>0</v>
      </c>
      <c r="O16" s="17"/>
      <c r="P16" s="18">
        <v>42022.595949074079</v>
      </c>
      <c r="Q16" s="13"/>
      <c r="R16" s="13"/>
      <c r="S16" s="8"/>
      <c r="T16" s="8"/>
      <c r="U16" s="19" t="str">
        <f>HYPERLINK("https://pbs.twimg.com/profile_images/556939857474228224/Q0dersZy.jpeg","View")</f>
        <v>View</v>
      </c>
      <c r="V16" s="8"/>
      <c r="W16" s="8"/>
      <c r="X16" s="8"/>
      <c r="Y16" s="8"/>
      <c r="Z16" s="8"/>
    </row>
    <row r="17" spans="1:26" ht="12.75">
      <c r="A17" s="11">
        <v>43747.290023148147</v>
      </c>
      <c r="B17" s="12" t="str">
        <f>HYPERLINK("https://twitter.com/Sho3lMaz3el","@Sho3lMaz3el")</f>
        <v>@Sho3lMaz3el</v>
      </c>
      <c r="C17" s="13" t="s">
        <v>117</v>
      </c>
      <c r="D17" s="13" t="s">
        <v>118</v>
      </c>
      <c r="E17" s="12" t="str">
        <f>HYPERLINK("https://twitter.com/Sho3lMaz3el/status/1181931731915595776","1181931731915595776")</f>
        <v>1181931731915595776</v>
      </c>
      <c r="F17" s="8"/>
      <c r="G17" s="14" t="s">
        <v>119</v>
      </c>
      <c r="H17" s="8"/>
      <c r="I17" s="15">
        <v>0</v>
      </c>
      <c r="J17" s="15">
        <v>0</v>
      </c>
      <c r="K17" s="12" t="str">
        <f>HYPERLINK("http://twitter.com","Twitter Web Client")</f>
        <v>Twitter Web Client</v>
      </c>
      <c r="L17" s="16">
        <v>1</v>
      </c>
      <c r="M17" s="16">
        <v>29</v>
      </c>
      <c r="N17" s="16">
        <v>0</v>
      </c>
      <c r="O17" s="17"/>
      <c r="P17" s="18">
        <v>41827.277870370366</v>
      </c>
      <c r="Q17" s="13"/>
      <c r="R17" s="13"/>
      <c r="S17" s="8"/>
      <c r="T17" s="8"/>
      <c r="U17" s="19" t="str">
        <f>HYPERLINK("https://pbs.twimg.com/profile_images/486142793580957698/WOrFrXEc.jpeg","View")</f>
        <v>View</v>
      </c>
      <c r="V17" s="8"/>
      <c r="W17" s="8"/>
      <c r="X17" s="8"/>
      <c r="Y17" s="8"/>
      <c r="Z17" s="8"/>
    </row>
    <row r="18" spans="1:26" ht="12.75">
      <c r="A18" s="11">
        <v>43747.2890625</v>
      </c>
      <c r="B18" s="12" t="str">
        <f>HYPERLINK("https://twitter.com/superfayezalha1","@superfayezalha1")</f>
        <v>@superfayezalha1</v>
      </c>
      <c r="C18" s="13" t="s">
        <v>123</v>
      </c>
      <c r="D18" s="13" t="s">
        <v>124</v>
      </c>
      <c r="E18" s="12" t="str">
        <f>HYPERLINK("https://twitter.com/superfayezalha1/status/1181931384039976962","1181931384039976962")</f>
        <v>1181931384039976962</v>
      </c>
      <c r="F18" s="8"/>
      <c r="G18" s="14" t="s">
        <v>126</v>
      </c>
      <c r="H18" s="8"/>
      <c r="I18" s="15">
        <v>0</v>
      </c>
      <c r="J18" s="15">
        <v>0</v>
      </c>
      <c r="K18" s="12" t="str">
        <f>HYPERLINK("http://twitter.com","Twitter Web Client")</f>
        <v>Twitter Web Client</v>
      </c>
      <c r="L18" s="16">
        <v>11</v>
      </c>
      <c r="M18" s="16">
        <v>39</v>
      </c>
      <c r="N18" s="16">
        <v>0</v>
      </c>
      <c r="O18" s="17"/>
      <c r="P18" s="18">
        <v>42072.154479166667</v>
      </c>
      <c r="Q18" s="13"/>
      <c r="R18" s="13"/>
      <c r="S18" s="8"/>
      <c r="T18" s="8"/>
      <c r="U18" s="19" t="str">
        <f>HYPERLINK("https://pbs.twimg.com/profile_images/574883701164650496/E0U_XAON.jpeg","View")</f>
        <v>View</v>
      </c>
      <c r="V18" s="8"/>
      <c r="W18" s="8"/>
      <c r="X18" s="8"/>
      <c r="Y18" s="8"/>
      <c r="Z18" s="8"/>
    </row>
    <row r="19" spans="1:26" ht="12.75">
      <c r="A19" s="11">
        <v>43747.288912037038</v>
      </c>
      <c r="B19" s="12" t="str">
        <f>HYPERLINK("https://twitter.com/aliimpressedal2","@aliimpressedal2")</f>
        <v>@aliimpressedal2</v>
      </c>
      <c r="C19" s="13" t="s">
        <v>129</v>
      </c>
      <c r="D19" s="13" t="s">
        <v>130</v>
      </c>
      <c r="E19" s="12" t="str">
        <f>HYPERLINK("https://twitter.com/aliimpressedal2/status/1181931327014293505","1181931327014293505")</f>
        <v>1181931327014293505</v>
      </c>
      <c r="F19" s="8"/>
      <c r="G19" s="14" t="s">
        <v>132</v>
      </c>
      <c r="H19" s="8"/>
      <c r="I19" s="15">
        <v>0</v>
      </c>
      <c r="J19" s="15">
        <v>0</v>
      </c>
      <c r="K19" s="12" t="str">
        <f>HYPERLINK("http://twitter.com","Twitter Web Client")</f>
        <v>Twitter Web Client</v>
      </c>
      <c r="L19" s="16">
        <v>7</v>
      </c>
      <c r="M19" s="16">
        <v>27</v>
      </c>
      <c r="N19" s="16">
        <v>0</v>
      </c>
      <c r="O19" s="17"/>
      <c r="P19" s="18">
        <v>41850.226388888885</v>
      </c>
      <c r="Q19" s="13"/>
      <c r="R19" s="13"/>
      <c r="S19" s="8"/>
      <c r="T19" s="8"/>
      <c r="U19" s="19" t="str">
        <f>HYPERLINK("https://pbs.twimg.com/profile_images/494459146444341248/zaDy-EFA.jpeg","View")</f>
        <v>View</v>
      </c>
      <c r="V19" s="8"/>
      <c r="W19" s="8"/>
      <c r="X19" s="8"/>
      <c r="Y19" s="8"/>
      <c r="Z19" s="8"/>
    </row>
    <row r="20" spans="1:26" ht="12.75">
      <c r="A20" s="11">
        <v>43747.2887962963</v>
      </c>
      <c r="B20" s="12" t="str">
        <f>HYPERLINK("https://twitter.com/sabineyoussef86","@sabineyoussef86")</f>
        <v>@sabineyoussef86</v>
      </c>
      <c r="C20" s="7" t="s">
        <v>137</v>
      </c>
      <c r="D20" s="7" t="s">
        <v>138</v>
      </c>
      <c r="E20" s="12" t="str">
        <f>HYPERLINK("https://twitter.com/sabineyoussef86/status/1181931284140036096","1181931284140036096")</f>
        <v>1181931284140036096</v>
      </c>
      <c r="F20" s="8"/>
      <c r="G20" s="7"/>
      <c r="H20" s="8"/>
      <c r="I20" s="15">
        <v>0</v>
      </c>
      <c r="J20" s="15">
        <v>0</v>
      </c>
      <c r="K20" s="12" t="str">
        <f>HYPERLINK("http://twitter.com/download/iphone","Twitter for iPhone")</f>
        <v>Twitter for iPhone</v>
      </c>
      <c r="L20" s="16">
        <v>5216</v>
      </c>
      <c r="M20" s="16">
        <v>811</v>
      </c>
      <c r="N20" s="16">
        <v>6</v>
      </c>
      <c r="O20" s="17"/>
      <c r="P20" s="18">
        <v>41547.464722222227</v>
      </c>
      <c r="Q20" s="7" t="s">
        <v>142</v>
      </c>
      <c r="R20" s="13" t="s">
        <v>143</v>
      </c>
      <c r="S20" s="8"/>
      <c r="T20" s="8"/>
      <c r="U20" s="19" t="str">
        <f>HYPERLINK("https://pbs.twimg.com/profile_images/1179412310034661377/s-2VFduM.jpg","View")</f>
        <v>View</v>
      </c>
      <c r="V20" s="8"/>
      <c r="W20" s="8"/>
      <c r="X20" s="8"/>
      <c r="Y20" s="8"/>
      <c r="Z20" s="8"/>
    </row>
    <row r="21" spans="1:26" ht="12.75">
      <c r="A21" s="11">
        <v>43747.28875</v>
      </c>
      <c r="B21" s="12" t="str">
        <f>HYPERLINK("https://twitter.com/MuiedSahuieal","@MuiedSahuieal")</f>
        <v>@MuiedSahuieal</v>
      </c>
      <c r="C21" s="13" t="s">
        <v>144</v>
      </c>
      <c r="D21" s="13" t="s">
        <v>145</v>
      </c>
      <c r="E21" s="12" t="str">
        <f>HYPERLINK("https://twitter.com/MuiedSahuieal/status/1181931267685793792","1181931267685793792")</f>
        <v>1181931267685793792</v>
      </c>
      <c r="F21" s="8"/>
      <c r="G21" s="14" t="s">
        <v>149</v>
      </c>
      <c r="H21" s="8"/>
      <c r="I21" s="15">
        <v>0</v>
      </c>
      <c r="J21" s="15">
        <v>0</v>
      </c>
      <c r="K21" s="12" t="str">
        <f>HYPERLINK("http://twitter.com","Twitter Web Client")</f>
        <v>Twitter Web Client</v>
      </c>
      <c r="L21" s="16">
        <v>1</v>
      </c>
      <c r="M21" s="16">
        <v>35</v>
      </c>
      <c r="N21" s="16">
        <v>0</v>
      </c>
      <c r="O21" s="17"/>
      <c r="P21" s="18">
        <v>42089.277546296296</v>
      </c>
      <c r="Q21" s="13"/>
      <c r="R21" s="13"/>
      <c r="S21" s="8"/>
      <c r="T21" s="8"/>
      <c r="U21" s="19" t="str">
        <f>HYPERLINK("https://pbs.twimg.com/profile_images/581090927374008320/SKhp6TOd.jpg","View")</f>
        <v>View</v>
      </c>
      <c r="V21" s="8"/>
      <c r="W21" s="8"/>
      <c r="X21" s="8"/>
      <c r="Y21" s="8"/>
      <c r="Z21" s="8"/>
    </row>
    <row r="22" spans="1:26" ht="12.75">
      <c r="A22" s="11">
        <v>43747.288587962961</v>
      </c>
      <c r="B22" s="12" t="str">
        <f>HYPERLINK("https://twitter.com/aenaeaed","@aenaeaed")</f>
        <v>@aenaeaed</v>
      </c>
      <c r="C22" s="13" t="s">
        <v>153</v>
      </c>
      <c r="D22" s="13" t="s">
        <v>154</v>
      </c>
      <c r="E22" s="12" t="str">
        <f>HYPERLINK("https://twitter.com/aenaeaed/status/1181931210437791744","1181931210437791744")</f>
        <v>1181931210437791744</v>
      </c>
      <c r="F22" s="8"/>
      <c r="G22" s="14" t="s">
        <v>155</v>
      </c>
      <c r="H22" s="8"/>
      <c r="I22" s="15">
        <v>0</v>
      </c>
      <c r="J22" s="15">
        <v>0</v>
      </c>
      <c r="K22" s="12" t="str">
        <f>HYPERLINK("http://twitter.com","Twitter Web Client")</f>
        <v>Twitter Web Client</v>
      </c>
      <c r="L22" s="16">
        <v>1</v>
      </c>
      <c r="M22" s="16">
        <v>42</v>
      </c>
      <c r="N22" s="16">
        <v>0</v>
      </c>
      <c r="O22" s="17"/>
      <c r="P22" s="18">
        <v>42023.163344907407</v>
      </c>
      <c r="Q22" s="13"/>
      <c r="R22" s="13"/>
      <c r="S22" s="8"/>
      <c r="T22" s="8"/>
      <c r="U22" s="19" t="str">
        <f>HYPERLINK("https://pbs.twimg.com/profile_images/557145024882675714/SlkwXNyB.jpeg","View")</f>
        <v>View</v>
      </c>
      <c r="V22" s="8"/>
      <c r="W22" s="8"/>
      <c r="X22" s="8"/>
      <c r="Y22" s="8"/>
      <c r="Z22" s="8"/>
    </row>
    <row r="23" spans="1:26" ht="12.75">
      <c r="A23" s="11">
        <v>43747.28842592593</v>
      </c>
      <c r="B23" s="12" t="str">
        <f>HYPERLINK("https://twitter.com/ibrahimbelt","@ibrahimbelt")</f>
        <v>@ibrahimbelt</v>
      </c>
      <c r="C23" s="13" t="s">
        <v>157</v>
      </c>
      <c r="D23" s="13" t="s">
        <v>158</v>
      </c>
      <c r="E23" s="12" t="str">
        <f>HYPERLINK("https://twitter.com/ibrahimbelt/status/1181931152363405312","1181931152363405312")</f>
        <v>1181931152363405312</v>
      </c>
      <c r="F23" s="8"/>
      <c r="G23" s="14" t="s">
        <v>161</v>
      </c>
      <c r="H23" s="8"/>
      <c r="I23" s="15">
        <v>0</v>
      </c>
      <c r="J23" s="15">
        <v>0</v>
      </c>
      <c r="K23" s="12" t="str">
        <f>HYPERLINK("http://twitter.com","Twitter Web Client")</f>
        <v>Twitter Web Client</v>
      </c>
      <c r="L23" s="16">
        <v>1</v>
      </c>
      <c r="M23" s="16">
        <v>36</v>
      </c>
      <c r="N23" s="16">
        <v>0</v>
      </c>
      <c r="O23" s="17"/>
      <c r="P23" s="18">
        <v>42069.068009259259</v>
      </c>
      <c r="Q23" s="13"/>
      <c r="R23" s="13"/>
      <c r="S23" s="8"/>
      <c r="T23" s="8"/>
      <c r="U23" s="19" t="str">
        <f>HYPERLINK("https://pbs.twimg.com/profile_images/573779821685157888/ysSTMOs9.jpeg","View")</f>
        <v>View</v>
      </c>
      <c r="V23" s="8"/>
      <c r="W23" s="8"/>
      <c r="X23" s="8"/>
      <c r="Y23" s="8"/>
      <c r="Z23" s="8"/>
    </row>
    <row r="24" spans="1:26" ht="12.75">
      <c r="A24" s="11">
        <v>43747.288263888884</v>
      </c>
      <c r="B24" s="12" t="str">
        <f>HYPERLINK("https://twitter.com/abdulrahmanos19","@abdulrahmanos19")</f>
        <v>@abdulrahmanos19</v>
      </c>
      <c r="C24" s="13" t="s">
        <v>164</v>
      </c>
      <c r="D24" s="13" t="s">
        <v>165</v>
      </c>
      <c r="E24" s="12" t="str">
        <f>HYPERLINK("https://twitter.com/abdulrahmanos19/status/1181931094213562369","1181931094213562369")</f>
        <v>1181931094213562369</v>
      </c>
      <c r="F24" s="8"/>
      <c r="G24" s="14" t="s">
        <v>166</v>
      </c>
      <c r="H24" s="8"/>
      <c r="I24" s="15">
        <v>0</v>
      </c>
      <c r="J24" s="15">
        <v>0</v>
      </c>
      <c r="K24" s="12" t="str">
        <f>HYPERLINK("http://twitter.com","Twitter Web Client")</f>
        <v>Twitter Web Client</v>
      </c>
      <c r="L24" s="16">
        <v>0</v>
      </c>
      <c r="M24" s="16">
        <v>37</v>
      </c>
      <c r="N24" s="16">
        <v>0</v>
      </c>
      <c r="O24" s="17"/>
      <c r="P24" s="18">
        <v>42079.807002314818</v>
      </c>
      <c r="Q24" s="13"/>
      <c r="R24" s="13"/>
      <c r="S24" s="8"/>
      <c r="T24" s="8"/>
      <c r="U24" s="19" t="str">
        <f>HYPERLINK("https://pbs.twimg.com/profile_images/577657339869708288/-fOceOkW.jpeg","View")</f>
        <v>View</v>
      </c>
      <c r="V24" s="8"/>
      <c r="W24" s="8"/>
      <c r="X24" s="8"/>
      <c r="Y24" s="8"/>
      <c r="Z24" s="8"/>
    </row>
    <row r="25" spans="1:26" ht="12.75">
      <c r="A25" s="11">
        <v>43747.286689814813</v>
      </c>
      <c r="B25" s="12" t="str">
        <f>HYPERLINK("https://twitter.com/aideaoufi2016","@aideaoufi2016")</f>
        <v>@aideaoufi2016</v>
      </c>
      <c r="C25" s="13" t="s">
        <v>167</v>
      </c>
      <c r="D25" s="13" t="s">
        <v>168</v>
      </c>
      <c r="E25" s="12" t="str">
        <f>HYPERLINK("https://twitter.com/aideaoufi2016/status/1181930524237074437","1181930524237074437")</f>
        <v>1181930524237074437</v>
      </c>
      <c r="F25" s="8"/>
      <c r="G25" s="14" t="s">
        <v>169</v>
      </c>
      <c r="H25" s="8"/>
      <c r="I25" s="15">
        <v>0</v>
      </c>
      <c r="J25" s="15">
        <v>0</v>
      </c>
      <c r="K25" s="12" t="str">
        <f>HYPERLINK("http://twitter.com","Twitter Web Client")</f>
        <v>Twitter Web Client</v>
      </c>
      <c r="L25" s="16">
        <v>2</v>
      </c>
      <c r="M25" s="16">
        <v>35</v>
      </c>
      <c r="N25" s="16">
        <v>0</v>
      </c>
      <c r="O25" s="17"/>
      <c r="P25" s="18">
        <v>42080.360532407409</v>
      </c>
      <c r="Q25" s="13"/>
      <c r="R25" s="13"/>
      <c r="S25" s="8"/>
      <c r="T25" s="8"/>
      <c r="U25" s="19" t="str">
        <f>HYPERLINK("https://pbs.twimg.com/profile_images/577857556200038400/yh6NEeWi.jpeg","View")</f>
        <v>View</v>
      </c>
      <c r="V25" s="8"/>
      <c r="W25" s="8"/>
      <c r="X25" s="8"/>
      <c r="Y25" s="8"/>
      <c r="Z25" s="8"/>
    </row>
    <row r="26" spans="1:26" ht="12.75">
      <c r="A26" s="11">
        <v>43747.286226851851</v>
      </c>
      <c r="B26" s="12" t="str">
        <f>HYPERLINK("https://twitter.com/almgadey","@almgadey")</f>
        <v>@almgadey</v>
      </c>
      <c r="C26" s="13" t="s">
        <v>172</v>
      </c>
      <c r="D26" s="13" t="s">
        <v>173</v>
      </c>
      <c r="E26" s="12" t="str">
        <f>HYPERLINK("https://twitter.com/almgadey/status/1181930353168125952","1181930353168125952")</f>
        <v>1181930353168125952</v>
      </c>
      <c r="F26" s="8"/>
      <c r="G26" s="14" t="s">
        <v>175</v>
      </c>
      <c r="H26" s="8"/>
      <c r="I26" s="15">
        <v>0</v>
      </c>
      <c r="J26" s="15">
        <v>0</v>
      </c>
      <c r="K26" s="12" t="str">
        <f>HYPERLINK("http://twitter.com","Twitter Web Client")</f>
        <v>Twitter Web Client</v>
      </c>
      <c r="L26" s="16">
        <v>2</v>
      </c>
      <c r="M26" s="16">
        <v>42</v>
      </c>
      <c r="N26" s="16">
        <v>0</v>
      </c>
      <c r="O26" s="17"/>
      <c r="P26" s="18">
        <v>42071.209328703699</v>
      </c>
      <c r="Q26" s="13"/>
      <c r="R26" s="13"/>
      <c r="S26" s="8"/>
      <c r="T26" s="8"/>
      <c r="U26" s="19" t="str">
        <f>HYPERLINK("https://pbs.twimg.com/profile_images/574557829119393792/tTg84Mlx.jpeg","View")</f>
        <v>View</v>
      </c>
      <c r="V26" s="8"/>
      <c r="W26" s="8"/>
      <c r="X26" s="8"/>
      <c r="Y26" s="8"/>
      <c r="Z26" s="8"/>
    </row>
    <row r="27" spans="1:26" ht="12.75">
      <c r="A27" s="11">
        <v>43747.286168981482</v>
      </c>
      <c r="B27" s="12" t="str">
        <f>HYPERLINK("https://twitter.com/BoFahad_Qatat","@BoFahad_Qatat")</f>
        <v>@BoFahad_Qatat</v>
      </c>
      <c r="C27" s="7" t="s">
        <v>179</v>
      </c>
      <c r="D27" s="13" t="s">
        <v>180</v>
      </c>
      <c r="E27" s="12" t="str">
        <f>HYPERLINK("https://twitter.com/BoFahad_Qatat/status/1181930333542989825","1181930333542989825")</f>
        <v>1181930333542989825</v>
      </c>
      <c r="F27" s="8"/>
      <c r="G27" s="7"/>
      <c r="H27" s="8"/>
      <c r="I27" s="15">
        <v>0</v>
      </c>
      <c r="J27" s="15">
        <v>0</v>
      </c>
      <c r="K27" s="12" t="str">
        <f>HYPERLINK("http://twitter.com/download/iphone","Twitter for iPhone")</f>
        <v>Twitter for iPhone</v>
      </c>
      <c r="L27" s="16">
        <v>1293</v>
      </c>
      <c r="M27" s="16">
        <v>803</v>
      </c>
      <c r="N27" s="16">
        <v>3</v>
      </c>
      <c r="O27" s="17"/>
      <c r="P27" s="18">
        <v>41172.513784722221</v>
      </c>
      <c r="Q27" s="13" t="s">
        <v>181</v>
      </c>
      <c r="R27" s="13" t="s">
        <v>182</v>
      </c>
      <c r="S27" s="8"/>
      <c r="T27" s="8"/>
      <c r="U27" s="19" t="str">
        <f>HYPERLINK("https://pbs.twimg.com/profile_images/1006734456072237057/E1xHitF_.jpg","View")</f>
        <v>View</v>
      </c>
      <c r="V27" s="8"/>
      <c r="W27" s="8"/>
      <c r="X27" s="8"/>
      <c r="Y27" s="8"/>
      <c r="Z27" s="8"/>
    </row>
    <row r="28" spans="1:26" ht="12.75">
      <c r="A28" s="11">
        <v>43747.285428240742</v>
      </c>
      <c r="B28" s="12" t="str">
        <f>HYPERLINK("https://twitter.com/AyedJuhani","@AyedJuhani")</f>
        <v>@AyedJuhani</v>
      </c>
      <c r="C28" s="13" t="s">
        <v>186</v>
      </c>
      <c r="D28" s="13" t="s">
        <v>187</v>
      </c>
      <c r="E28" s="12" t="str">
        <f>HYPERLINK("https://twitter.com/AyedJuhani/status/1181930067116675072","1181930067116675072")</f>
        <v>1181930067116675072</v>
      </c>
      <c r="F28" s="8"/>
      <c r="G28" s="14" t="s">
        <v>188</v>
      </c>
      <c r="H28" s="8"/>
      <c r="I28" s="15">
        <v>0</v>
      </c>
      <c r="J28" s="15">
        <v>0</v>
      </c>
      <c r="K28" s="12" t="str">
        <f>HYPERLINK("http://twitter.com","Twitter Web Client")</f>
        <v>Twitter Web Client</v>
      </c>
      <c r="L28" s="16">
        <v>0</v>
      </c>
      <c r="M28" s="16">
        <v>31</v>
      </c>
      <c r="N28" s="16">
        <v>0</v>
      </c>
      <c r="O28" s="17"/>
      <c r="P28" s="18">
        <v>42022.379895833335</v>
      </c>
      <c r="Q28" s="13"/>
      <c r="R28" s="13"/>
      <c r="S28" s="8"/>
      <c r="T28" s="8"/>
      <c r="U28" s="19" t="str">
        <f>HYPERLINK("https://pbs.twimg.com/profile_images/556861079016333312/DLpb0DXo.jpeg","View")</f>
        <v>View</v>
      </c>
      <c r="V28" s="8"/>
      <c r="W28" s="8"/>
      <c r="X28" s="8"/>
      <c r="Y28" s="8"/>
      <c r="Z28" s="8"/>
    </row>
    <row r="29" spans="1:26" ht="12.75">
      <c r="A29" s="11">
        <v>43747.284467592588</v>
      </c>
      <c r="B29" s="12" t="str">
        <f>HYPERLINK("https://twitter.com/supergeenie","@supergeenie")</f>
        <v>@supergeenie</v>
      </c>
      <c r="C29" s="7" t="s">
        <v>191</v>
      </c>
      <c r="D29" s="7" t="s">
        <v>192</v>
      </c>
      <c r="E29" s="12" t="str">
        <f>HYPERLINK("https://twitter.com/supergeenie/status/1181929717798064128","1181929717798064128")</f>
        <v>1181929717798064128</v>
      </c>
      <c r="F29" s="7" t="s">
        <v>193</v>
      </c>
      <c r="G29" s="14" t="s">
        <v>194</v>
      </c>
      <c r="H29" s="8"/>
      <c r="I29" s="15">
        <v>1</v>
      </c>
      <c r="J29" s="15">
        <v>2</v>
      </c>
      <c r="K29" s="12" t="str">
        <f>HYPERLINK("http://twitter.com/download/iphone","Twitter for iPhone")</f>
        <v>Twitter for iPhone</v>
      </c>
      <c r="L29" s="16">
        <v>5420</v>
      </c>
      <c r="M29" s="16">
        <v>5347</v>
      </c>
      <c r="N29" s="16">
        <v>5</v>
      </c>
      <c r="O29" s="17"/>
      <c r="P29" s="18">
        <v>39703.669594907406</v>
      </c>
      <c r="Q29" s="13"/>
      <c r="R29" s="7" t="s">
        <v>198</v>
      </c>
      <c r="S29" s="14" t="s">
        <v>199</v>
      </c>
      <c r="T29" s="8"/>
      <c r="U29" s="19" t="str">
        <f>HYPERLINK("https://pbs.twimg.com/profile_images/1142634100018143232/PzP37BoA.jpg","View")</f>
        <v>View</v>
      </c>
      <c r="V29" s="8"/>
      <c r="W29" s="8"/>
      <c r="X29" s="8"/>
      <c r="Y29" s="8"/>
      <c r="Z29" s="8"/>
    </row>
    <row r="30" spans="1:26" ht="12.75">
      <c r="A30" s="11">
        <v>43747.281296296293</v>
      </c>
      <c r="B30" s="12" t="str">
        <f>HYPERLINK("https://twitter.com/AlsamielRkaan","@AlsamielRkaan")</f>
        <v>@AlsamielRkaan</v>
      </c>
      <c r="C30" s="13" t="s">
        <v>202</v>
      </c>
      <c r="D30" s="13" t="s">
        <v>203</v>
      </c>
      <c r="E30" s="12" t="str">
        <f>HYPERLINK("https://twitter.com/AlsamielRkaan/status/1181928568508620800","1181928568508620800")</f>
        <v>1181928568508620800</v>
      </c>
      <c r="F30" s="8"/>
      <c r="G30" s="14" t="s">
        <v>204</v>
      </c>
      <c r="H30" s="8"/>
      <c r="I30" s="15">
        <v>0</v>
      </c>
      <c r="J30" s="15">
        <v>0</v>
      </c>
      <c r="K30" s="12" t="str">
        <f>HYPERLINK("http://twitter.com","Twitter Web Client")</f>
        <v>Twitter Web Client</v>
      </c>
      <c r="L30" s="16">
        <v>6</v>
      </c>
      <c r="M30" s="16">
        <v>43</v>
      </c>
      <c r="N30" s="16">
        <v>0</v>
      </c>
      <c r="O30" s="17"/>
      <c r="P30" s="18">
        <v>42071.658194444448</v>
      </c>
      <c r="Q30" s="13"/>
      <c r="R30" s="13"/>
      <c r="S30" s="8"/>
      <c r="T30" s="8"/>
      <c r="U30" s="19" t="str">
        <f>HYPERLINK("https://pbs.twimg.com/profile_images/574712637239382017/tBWwnHf2.jpeg","View")</f>
        <v>View</v>
      </c>
      <c r="V30" s="8"/>
      <c r="W30" s="8"/>
      <c r="X30" s="8"/>
      <c r="Y30" s="8"/>
      <c r="Z30" s="8"/>
    </row>
    <row r="31" spans="1:26" ht="12.75">
      <c r="A31" s="11">
        <v>43747.278657407413</v>
      </c>
      <c r="B31" s="12" t="str">
        <f>HYPERLINK("https://twitter.com/AhmedOnass","@AhmedOnass")</f>
        <v>@AhmedOnass</v>
      </c>
      <c r="C31" s="13" t="s">
        <v>209</v>
      </c>
      <c r="D31" s="13" t="s">
        <v>211</v>
      </c>
      <c r="E31" s="12" t="str">
        <f>HYPERLINK("https://twitter.com/AhmedOnass/status/1181927613733978112","1181927613733978112")</f>
        <v>1181927613733978112</v>
      </c>
      <c r="F31" s="8"/>
      <c r="G31" s="14" t="s">
        <v>213</v>
      </c>
      <c r="H31" s="8"/>
      <c r="I31" s="15">
        <v>0</v>
      </c>
      <c r="J31" s="15">
        <v>0</v>
      </c>
      <c r="K31" s="12" t="str">
        <f>HYPERLINK("http://twitter.com","Twitter Web Client")</f>
        <v>Twitter Web Client</v>
      </c>
      <c r="L31" s="16">
        <v>1</v>
      </c>
      <c r="M31" s="16">
        <v>41</v>
      </c>
      <c r="N31" s="16">
        <v>0</v>
      </c>
      <c r="O31" s="17"/>
      <c r="P31" s="18">
        <v>42070.377233796295</v>
      </c>
      <c r="Q31" s="13"/>
      <c r="R31" s="13"/>
      <c r="S31" s="8"/>
      <c r="T31" s="8"/>
      <c r="U31" s="19" t="str">
        <f>HYPERLINK("https://pbs.twimg.com/profile_images/574254759168765952/UQISQ_5b.jpeg","View")</f>
        <v>View</v>
      </c>
      <c r="V31" s="8"/>
      <c r="W31" s="8"/>
      <c r="X31" s="8"/>
      <c r="Y31" s="8"/>
      <c r="Z31" s="8"/>
    </row>
    <row r="32" spans="1:26" ht="12.75">
      <c r="A32" s="11">
        <v>43747.277106481481</v>
      </c>
      <c r="B32" s="12" t="str">
        <f>HYPERLINK("https://twitter.com/rizkallahtille1","@rizkallahtille1")</f>
        <v>@rizkallahtille1</v>
      </c>
      <c r="C32" s="13" t="s">
        <v>217</v>
      </c>
      <c r="D32" s="13" t="s">
        <v>218</v>
      </c>
      <c r="E32" s="12" t="str">
        <f>HYPERLINK("https://twitter.com/rizkallahtille1/status/1181927047993679872","1181927047993679872")</f>
        <v>1181927047993679872</v>
      </c>
      <c r="F32" s="8"/>
      <c r="G32" s="14" t="s">
        <v>219</v>
      </c>
      <c r="H32" s="8"/>
      <c r="I32" s="15">
        <v>0</v>
      </c>
      <c r="J32" s="15">
        <v>0</v>
      </c>
      <c r="K32" s="12" t="str">
        <f>HYPERLINK("http://twitter.com","Twitter Web Client")</f>
        <v>Twitter Web Client</v>
      </c>
      <c r="L32" s="16">
        <v>1</v>
      </c>
      <c r="M32" s="16">
        <v>36</v>
      </c>
      <c r="N32" s="16">
        <v>0</v>
      </c>
      <c r="O32" s="17"/>
      <c r="P32" s="18">
        <v>42068.301354166666</v>
      </c>
      <c r="Q32" s="13"/>
      <c r="R32" s="13"/>
      <c r="S32" s="8"/>
      <c r="T32" s="8"/>
      <c r="U32" s="19" t="str">
        <f>HYPERLINK("https://pbs.twimg.com/profile_images/573501951427506176/63JBO6ro.jpeg","View")</f>
        <v>View</v>
      </c>
      <c r="V32" s="8"/>
      <c r="W32" s="8"/>
      <c r="X32" s="8"/>
      <c r="Y32" s="8"/>
      <c r="Z32" s="8"/>
    </row>
    <row r="33" spans="1:26" ht="12.75">
      <c r="A33" s="11">
        <v>43747.276944444442</v>
      </c>
      <c r="B33" s="12" t="str">
        <f>HYPERLINK("https://twitter.com/alraby3a_33","@alraby3a_33")</f>
        <v>@alraby3a_33</v>
      </c>
      <c r="C33" s="13" t="s">
        <v>223</v>
      </c>
      <c r="D33" s="13" t="s">
        <v>224</v>
      </c>
      <c r="E33" s="12" t="str">
        <f>HYPERLINK("https://twitter.com/alraby3a_33/status/1181926990288433153","1181926990288433153")</f>
        <v>1181926990288433153</v>
      </c>
      <c r="F33" s="8"/>
      <c r="G33" s="14" t="s">
        <v>225</v>
      </c>
      <c r="H33" s="8"/>
      <c r="I33" s="15">
        <v>0</v>
      </c>
      <c r="J33" s="15">
        <v>0</v>
      </c>
      <c r="K33" s="12" t="str">
        <f>HYPERLINK("http://twitter.com","Twitter Web Client")</f>
        <v>Twitter Web Client</v>
      </c>
      <c r="L33" s="16">
        <v>0</v>
      </c>
      <c r="M33" s="16">
        <v>46</v>
      </c>
      <c r="N33" s="16">
        <v>0</v>
      </c>
      <c r="O33" s="17"/>
      <c r="P33" s="18">
        <v>42088.216168981482</v>
      </c>
      <c r="Q33" s="13"/>
      <c r="R33" s="13"/>
      <c r="S33" s="8"/>
      <c r="T33" s="8"/>
      <c r="U33" s="19" t="str">
        <f>HYPERLINK("https://pbs.twimg.com/profile_images/580703624130527232/RHsGjWKq.jpg","View")</f>
        <v>View</v>
      </c>
      <c r="V33" s="8"/>
      <c r="W33" s="8"/>
      <c r="X33" s="8"/>
      <c r="Y33" s="8"/>
      <c r="Z33" s="8"/>
    </row>
    <row r="34" spans="1:26" ht="12.75">
      <c r="A34" s="11">
        <v>43747.276620370365</v>
      </c>
      <c r="B34" s="12" t="str">
        <f>HYPERLINK("https://twitter.com/waseuiam","@waseuiam")</f>
        <v>@waseuiam</v>
      </c>
      <c r="C34" s="13" t="s">
        <v>226</v>
      </c>
      <c r="D34" s="13" t="s">
        <v>227</v>
      </c>
      <c r="E34" s="12" t="str">
        <f>HYPERLINK("https://twitter.com/waseuiam/status/1181926872776630273","1181926872776630273")</f>
        <v>1181926872776630273</v>
      </c>
      <c r="F34" s="8"/>
      <c r="G34" s="14" t="s">
        <v>228</v>
      </c>
      <c r="H34" s="8"/>
      <c r="I34" s="15">
        <v>0</v>
      </c>
      <c r="J34" s="15">
        <v>0</v>
      </c>
      <c r="K34" s="12" t="str">
        <f>HYPERLINK("http://twitter.com","Twitter Web Client")</f>
        <v>Twitter Web Client</v>
      </c>
      <c r="L34" s="16">
        <v>2</v>
      </c>
      <c r="M34" s="16">
        <v>41</v>
      </c>
      <c r="N34" s="16">
        <v>0</v>
      </c>
      <c r="O34" s="17"/>
      <c r="P34" s="18">
        <v>42071.424293981487</v>
      </c>
      <c r="Q34" s="13"/>
      <c r="R34" s="13"/>
      <c r="S34" s="8"/>
      <c r="T34" s="8"/>
      <c r="U34" s="19" t="str">
        <f>HYPERLINK("https://pbs.twimg.com/profile_images/574618983573233664/xRdKfbYj.jpeg","View")</f>
        <v>View</v>
      </c>
      <c r="V34" s="8"/>
      <c r="W34" s="8"/>
      <c r="X34" s="8"/>
      <c r="Y34" s="8"/>
      <c r="Z34" s="8"/>
    </row>
    <row r="35" spans="1:26" ht="12.75">
      <c r="A35" s="11">
        <v>43747.27443287037</v>
      </c>
      <c r="B35" s="12" t="str">
        <f>HYPERLINK("https://twitter.com/woodmansaad2015","@woodmansaad2015")</f>
        <v>@woodmansaad2015</v>
      </c>
      <c r="C35" s="13" t="s">
        <v>231</v>
      </c>
      <c r="D35" s="13" t="s">
        <v>232</v>
      </c>
      <c r="E35" s="12" t="str">
        <f>HYPERLINK("https://twitter.com/woodmansaad2015/status/1181926082582372354","1181926082582372354")</f>
        <v>1181926082582372354</v>
      </c>
      <c r="F35" s="8"/>
      <c r="G35" s="14" t="s">
        <v>233</v>
      </c>
      <c r="H35" s="8"/>
      <c r="I35" s="15">
        <v>0</v>
      </c>
      <c r="J35" s="15">
        <v>0</v>
      </c>
      <c r="K35" s="12" t="str">
        <f>HYPERLINK("http://twitter.com","Twitter Web Client")</f>
        <v>Twitter Web Client</v>
      </c>
      <c r="L35" s="16">
        <v>1</v>
      </c>
      <c r="M35" s="16">
        <v>33</v>
      </c>
      <c r="N35" s="16">
        <v>0</v>
      </c>
      <c r="O35" s="17"/>
      <c r="P35" s="18">
        <v>41849.711805555555</v>
      </c>
      <c r="Q35" s="13"/>
      <c r="R35" s="13"/>
      <c r="S35" s="8"/>
      <c r="T35" s="8"/>
      <c r="U35" s="19" t="str">
        <f>HYPERLINK("https://pbs.twimg.com/profile_images/494273063924408320/iYP10YOQ.jpeg","View")</f>
        <v>View</v>
      </c>
      <c r="V35" s="8"/>
      <c r="W35" s="8"/>
      <c r="X35" s="8"/>
      <c r="Y35" s="8"/>
      <c r="Z35" s="8"/>
    </row>
    <row r="36" spans="1:26" ht="12.75">
      <c r="A36" s="11">
        <v>43747.274282407408</v>
      </c>
      <c r="B36" s="12" t="str">
        <f>HYPERLINK("https://twitter.com/elshama_erw","@elshama_erw")</f>
        <v>@elshama_erw</v>
      </c>
      <c r="C36" s="13" t="s">
        <v>238</v>
      </c>
      <c r="D36" s="13" t="s">
        <v>239</v>
      </c>
      <c r="E36" s="12" t="str">
        <f>HYPERLINK("https://twitter.com/elshama_erw/status/1181926024914898944","1181926024914898944")</f>
        <v>1181926024914898944</v>
      </c>
      <c r="F36" s="8"/>
      <c r="G36" s="14" t="s">
        <v>240</v>
      </c>
      <c r="H36" s="8"/>
      <c r="I36" s="15">
        <v>0</v>
      </c>
      <c r="J36" s="15">
        <v>0</v>
      </c>
      <c r="K36" s="12" t="str">
        <f>HYPERLINK("http://twitter.com","Twitter Web Client")</f>
        <v>Twitter Web Client</v>
      </c>
      <c r="L36" s="16">
        <v>8</v>
      </c>
      <c r="M36" s="16">
        <v>44</v>
      </c>
      <c r="N36" s="16">
        <v>0</v>
      </c>
      <c r="O36" s="17"/>
      <c r="P36" s="18">
        <v>42075.191655092596</v>
      </c>
      <c r="Q36" s="13"/>
      <c r="R36" s="13"/>
      <c r="S36" s="8"/>
      <c r="T36" s="8"/>
      <c r="U36" s="19" t="str">
        <f>HYPERLINK("https://pbs.twimg.com/profile_images/575983682084712448/c8AyaD6G.jpg","View")</f>
        <v>View</v>
      </c>
      <c r="V36" s="8"/>
      <c r="W36" s="8"/>
      <c r="X36" s="8"/>
      <c r="Y36" s="8"/>
      <c r="Z36" s="8"/>
    </row>
    <row r="37" spans="1:26" ht="12.75">
      <c r="A37" s="11">
        <v>43747.271990740745</v>
      </c>
      <c r="B37" s="12" t="str">
        <f>HYPERLINK("https://twitter.com/YehiaMelGammal","@YehiaMelGammal")</f>
        <v>@YehiaMelGammal</v>
      </c>
      <c r="C37" s="7" t="s">
        <v>244</v>
      </c>
      <c r="D37" s="13" t="s">
        <v>245</v>
      </c>
      <c r="E37" s="12" t="str">
        <f>HYPERLINK("https://twitter.com/YehiaMelGammal/status/1181925197819138048","1181925197819138048")</f>
        <v>1181925197819138048</v>
      </c>
      <c r="F37" s="8"/>
      <c r="G37" s="7"/>
      <c r="H37" s="8"/>
      <c r="I37" s="15">
        <v>2</v>
      </c>
      <c r="J37" s="15">
        <v>2</v>
      </c>
      <c r="K37" s="12" t="str">
        <f>HYPERLINK("http://twitter.com/download/iphone","Twitter for iPhone")</f>
        <v>Twitter for iPhone</v>
      </c>
      <c r="L37" s="16">
        <v>2866</v>
      </c>
      <c r="M37" s="16">
        <v>1045</v>
      </c>
      <c r="N37" s="16">
        <v>31</v>
      </c>
      <c r="O37" s="17"/>
      <c r="P37" s="18">
        <v>39963.670127314814</v>
      </c>
      <c r="Q37" s="7" t="s">
        <v>249</v>
      </c>
      <c r="R37" s="7" t="s">
        <v>250</v>
      </c>
      <c r="S37" s="14" t="s">
        <v>251</v>
      </c>
      <c r="T37" s="8"/>
      <c r="U37" s="19" t="str">
        <f>HYPERLINK("https://pbs.twimg.com/profile_images/1000147854630023169/u3UIf8IL.jpg","View")</f>
        <v>View</v>
      </c>
      <c r="V37" s="8"/>
      <c r="W37" s="8"/>
      <c r="X37" s="8"/>
      <c r="Y37" s="8"/>
      <c r="Z37" s="8"/>
    </row>
    <row r="38" spans="1:26" ht="12.75">
      <c r="A38" s="11">
        <v>43747.270937499998</v>
      </c>
      <c r="B38" s="12" t="str">
        <f>HYPERLINK("https://twitter.com/salehiiapti","@salehiiapti")</f>
        <v>@salehiiapti</v>
      </c>
      <c r="C38" s="13" t="s">
        <v>254</v>
      </c>
      <c r="D38" s="13" t="s">
        <v>255</v>
      </c>
      <c r="E38" s="12" t="str">
        <f>HYPERLINK("https://twitter.com/salehiiapti/status/1181924815432749058","1181924815432749058")</f>
        <v>1181924815432749058</v>
      </c>
      <c r="F38" s="8"/>
      <c r="G38" s="14" t="s">
        <v>256</v>
      </c>
      <c r="H38" s="8"/>
      <c r="I38" s="15">
        <v>0</v>
      </c>
      <c r="J38" s="15">
        <v>0</v>
      </c>
      <c r="K38" s="12" t="str">
        <f>HYPERLINK("http://twitter.com","Twitter Web Client")</f>
        <v>Twitter Web Client</v>
      </c>
      <c r="L38" s="16">
        <v>1</v>
      </c>
      <c r="M38" s="16">
        <v>36</v>
      </c>
      <c r="N38" s="16">
        <v>0</v>
      </c>
      <c r="O38" s="17"/>
      <c r="P38" s="18">
        <v>42066.241574074069</v>
      </c>
      <c r="Q38" s="13"/>
      <c r="R38" s="13"/>
      <c r="S38" s="8"/>
      <c r="T38" s="8"/>
      <c r="U38" s="19" t="str">
        <f>HYPERLINK("https://pbs.twimg.com/profile_images/572755947877978112/4FPET-g5.jpeg","View")</f>
        <v>View</v>
      </c>
      <c r="V38" s="8"/>
      <c r="W38" s="8"/>
      <c r="X38" s="8"/>
      <c r="Y38" s="8"/>
      <c r="Z38" s="8"/>
    </row>
    <row r="39" spans="1:26" ht="12.75">
      <c r="A39" s="11">
        <v>43747.270625000005</v>
      </c>
      <c r="B39" s="12" t="str">
        <f>HYPERLINK("https://twitter.com/elshahary6844","@elshahary6844")</f>
        <v>@elshahary6844</v>
      </c>
      <c r="C39" s="13" t="s">
        <v>260</v>
      </c>
      <c r="D39" s="13" t="s">
        <v>261</v>
      </c>
      <c r="E39" s="12" t="str">
        <f>HYPERLINK("https://twitter.com/elshahary6844/status/1181924701486092288","1181924701486092288")</f>
        <v>1181924701486092288</v>
      </c>
      <c r="F39" s="8"/>
      <c r="G39" s="14" t="s">
        <v>263</v>
      </c>
      <c r="H39" s="8"/>
      <c r="I39" s="15">
        <v>0</v>
      </c>
      <c r="J39" s="15">
        <v>0</v>
      </c>
      <c r="K39" s="12" t="str">
        <f>HYPERLINK("http://twitter.com","Twitter Web Client")</f>
        <v>Twitter Web Client</v>
      </c>
      <c r="L39" s="16">
        <v>9</v>
      </c>
      <c r="M39" s="16">
        <v>31</v>
      </c>
      <c r="N39" s="16">
        <v>0</v>
      </c>
      <c r="O39" s="17"/>
      <c r="P39" s="18">
        <v>42073.528043981481</v>
      </c>
      <c r="Q39" s="13"/>
      <c r="R39" s="13"/>
      <c r="S39" s="8"/>
      <c r="T39" s="8"/>
      <c r="U39" s="19" t="str">
        <f>HYPERLINK("https://pbs.twimg.com/profile_images/575380857805934592/19YGC05v.jpeg","View")</f>
        <v>View</v>
      </c>
      <c r="V39" s="8"/>
      <c r="W39" s="8"/>
      <c r="X39" s="8"/>
      <c r="Y39" s="8"/>
      <c r="Z39" s="8"/>
    </row>
    <row r="40" spans="1:26" ht="12.75">
      <c r="A40" s="11">
        <v>43747.270312499997</v>
      </c>
      <c r="B40" s="12" t="str">
        <f>HYPERLINK("https://twitter.com/ahmedaljaid1","@ahmedaljaid1")</f>
        <v>@ahmedaljaid1</v>
      </c>
      <c r="C40" s="13" t="s">
        <v>269</v>
      </c>
      <c r="D40" s="13" t="s">
        <v>270</v>
      </c>
      <c r="E40" s="12" t="str">
        <f>HYPERLINK("https://twitter.com/ahmedaljaid1/status/1181924586537062401","1181924586537062401")</f>
        <v>1181924586537062401</v>
      </c>
      <c r="F40" s="8"/>
      <c r="G40" s="14" t="s">
        <v>271</v>
      </c>
      <c r="H40" s="8"/>
      <c r="I40" s="15">
        <v>0</v>
      </c>
      <c r="J40" s="15">
        <v>0</v>
      </c>
      <c r="K40" s="12" t="str">
        <f>HYPERLINK("http://twitter.com","Twitter Web Client")</f>
        <v>Twitter Web Client</v>
      </c>
      <c r="L40" s="16">
        <v>8</v>
      </c>
      <c r="M40" s="16">
        <v>42</v>
      </c>
      <c r="N40" s="16">
        <v>0</v>
      </c>
      <c r="O40" s="17"/>
      <c r="P40" s="18">
        <v>42071.58084490741</v>
      </c>
      <c r="Q40" s="13"/>
      <c r="R40" s="13"/>
      <c r="S40" s="8"/>
      <c r="T40" s="8"/>
      <c r="U40" s="19" t="str">
        <f>HYPERLINK("https://pbs.twimg.com/profile_images/574676081791250433/J4d_6iqb.jpeg","View")</f>
        <v>View</v>
      </c>
      <c r="V40" s="8"/>
      <c r="W40" s="8"/>
      <c r="X40" s="8"/>
      <c r="Y40" s="8"/>
      <c r="Z40" s="8"/>
    </row>
    <row r="41" spans="1:26" ht="12.75">
      <c r="A41" s="11">
        <v>43747.269988425927</v>
      </c>
      <c r="B41" s="12" t="str">
        <f>HYPERLINK("https://twitter.com/alsalaee02W342","@alsalaee02W342")</f>
        <v>@alsalaee02W342</v>
      </c>
      <c r="C41" s="13" t="s">
        <v>275</v>
      </c>
      <c r="D41" s="13" t="s">
        <v>276</v>
      </c>
      <c r="E41" s="12" t="str">
        <f>HYPERLINK("https://twitter.com/alsalaee02W342/status/1181924470140919808","1181924470140919808")</f>
        <v>1181924470140919808</v>
      </c>
      <c r="F41" s="8"/>
      <c r="G41" s="14" t="s">
        <v>277</v>
      </c>
      <c r="H41" s="8"/>
      <c r="I41" s="15">
        <v>0</v>
      </c>
      <c r="J41" s="15">
        <v>0</v>
      </c>
      <c r="K41" s="12" t="str">
        <f>HYPERLINK("http://twitter.com","Twitter Web Client")</f>
        <v>Twitter Web Client</v>
      </c>
      <c r="L41" s="16">
        <v>1</v>
      </c>
      <c r="M41" s="16">
        <v>40</v>
      </c>
      <c r="N41" s="16">
        <v>0</v>
      </c>
      <c r="O41" s="17"/>
      <c r="P41" s="18">
        <v>42070.505625000005</v>
      </c>
      <c r="Q41" s="13"/>
      <c r="R41" s="13"/>
      <c r="S41" s="8"/>
      <c r="T41" s="8"/>
      <c r="U41" s="19" t="str">
        <f>HYPERLINK("https://pbs.twimg.com/profile_images/574300664194461697/1lt8Sh_V.jpeg","View")</f>
        <v>View</v>
      </c>
      <c r="V41" s="8"/>
      <c r="W41" s="8"/>
      <c r="X41" s="8"/>
      <c r="Y41" s="8"/>
      <c r="Z41" s="8"/>
    </row>
    <row r="42" spans="1:26" ht="12.75">
      <c r="A42" s="11">
        <v>43747.268819444449</v>
      </c>
      <c r="B42" s="12" t="str">
        <f>HYPERLINK("https://twitter.com/elkhas3am33","@elkhas3am33")</f>
        <v>@elkhas3am33</v>
      </c>
      <c r="C42" s="13" t="s">
        <v>279</v>
      </c>
      <c r="D42" s="13" t="s">
        <v>280</v>
      </c>
      <c r="E42" s="12" t="str">
        <f>HYPERLINK("https://twitter.com/elkhas3am33/status/1181924046595936256","1181924046595936256")</f>
        <v>1181924046595936256</v>
      </c>
      <c r="F42" s="8"/>
      <c r="G42" s="14" t="s">
        <v>281</v>
      </c>
      <c r="H42" s="8"/>
      <c r="I42" s="15">
        <v>0</v>
      </c>
      <c r="J42" s="15">
        <v>0</v>
      </c>
      <c r="K42" s="12" t="str">
        <f>HYPERLINK("http://twitter.com","Twitter Web Client")</f>
        <v>Twitter Web Client</v>
      </c>
      <c r="L42" s="16">
        <v>11</v>
      </c>
      <c r="M42" s="16">
        <v>49</v>
      </c>
      <c r="N42" s="16">
        <v>0</v>
      </c>
      <c r="O42" s="17"/>
      <c r="P42" s="18">
        <v>42075.421701388885</v>
      </c>
      <c r="Q42" s="13"/>
      <c r="R42" s="13"/>
      <c r="S42" s="8"/>
      <c r="T42" s="8"/>
      <c r="U42" s="19" t="str">
        <f>HYPERLINK("https://pbs.twimg.com/profile_images/576067142107312128/v7-GZeFe.jpeg","View")</f>
        <v>View</v>
      </c>
      <c r="V42" s="8"/>
      <c r="W42" s="8"/>
      <c r="X42" s="8"/>
      <c r="Y42" s="8"/>
      <c r="Z42" s="8"/>
    </row>
    <row r="43" spans="1:26" ht="12.75">
      <c r="A43" s="11">
        <v>43747.26866898148</v>
      </c>
      <c r="B43" s="12" t="str">
        <f>HYPERLINK("https://twitter.com/elzahara34","@elzahara34")</f>
        <v>@elzahara34</v>
      </c>
      <c r="C43" s="13" t="s">
        <v>282</v>
      </c>
      <c r="D43" s="13" t="s">
        <v>284</v>
      </c>
      <c r="E43" s="12" t="str">
        <f>HYPERLINK("https://twitter.com/elzahara34/status/1181923991289774080","1181923991289774080")</f>
        <v>1181923991289774080</v>
      </c>
      <c r="F43" s="8"/>
      <c r="G43" s="14" t="s">
        <v>286</v>
      </c>
      <c r="H43" s="8"/>
      <c r="I43" s="15">
        <v>0</v>
      </c>
      <c r="J43" s="15">
        <v>0</v>
      </c>
      <c r="K43" s="12" t="str">
        <f>HYPERLINK("http://twitter.com","Twitter Web Client")</f>
        <v>Twitter Web Client</v>
      </c>
      <c r="L43" s="16">
        <v>6</v>
      </c>
      <c r="M43" s="16">
        <v>39</v>
      </c>
      <c r="N43" s="16">
        <v>0</v>
      </c>
      <c r="O43" s="17"/>
      <c r="P43" s="18">
        <v>42076.278912037036</v>
      </c>
      <c r="Q43" s="13"/>
      <c r="R43" s="13"/>
      <c r="S43" s="8"/>
      <c r="T43" s="8"/>
      <c r="U43" s="19" t="str">
        <f>HYPERLINK("https://pbs.twimg.com/profile_images/576377851936530432/YdMwfKzs.jpeg","View")</f>
        <v>View</v>
      </c>
      <c r="V43" s="8"/>
      <c r="W43" s="8"/>
      <c r="X43" s="8"/>
      <c r="Y43" s="8"/>
      <c r="Z43" s="8"/>
    </row>
    <row r="44" spans="1:26" ht="12.75">
      <c r="A44" s="11">
        <v>43747.26834490741</v>
      </c>
      <c r="B44" s="12" t="str">
        <f>HYPERLINK("https://twitter.com/jadaanmutairi","@jadaanmutairi")</f>
        <v>@jadaanmutairi</v>
      </c>
      <c r="C44" s="13" t="s">
        <v>293</v>
      </c>
      <c r="D44" s="13" t="s">
        <v>294</v>
      </c>
      <c r="E44" s="12" t="str">
        <f>HYPERLINK("https://twitter.com/jadaanmutairi/status/1181923875480903680","1181923875480903680")</f>
        <v>1181923875480903680</v>
      </c>
      <c r="F44" s="8"/>
      <c r="G44" s="14" t="s">
        <v>295</v>
      </c>
      <c r="H44" s="8"/>
      <c r="I44" s="15">
        <v>0</v>
      </c>
      <c r="J44" s="15">
        <v>0</v>
      </c>
      <c r="K44" s="12" t="str">
        <f>HYPERLINK("http://twitter.com","Twitter Web Client")</f>
        <v>Twitter Web Client</v>
      </c>
      <c r="L44" s="16">
        <v>5</v>
      </c>
      <c r="M44" s="16">
        <v>44</v>
      </c>
      <c r="N44" s="16">
        <v>0</v>
      </c>
      <c r="O44" s="17"/>
      <c r="P44" s="18">
        <v>42075.100960648153</v>
      </c>
      <c r="Q44" s="13"/>
      <c r="R44" s="13"/>
      <c r="S44" s="8"/>
      <c r="T44" s="8"/>
      <c r="U44" s="19" t="str">
        <f>HYPERLINK("https://pbs.twimg.com/profile_images/575950957663526914/DcPLZDG8.jpeg","View")</f>
        <v>View</v>
      </c>
      <c r="V44" s="8"/>
      <c r="W44" s="8"/>
      <c r="X44" s="8"/>
      <c r="Y44" s="8"/>
      <c r="Z44" s="8"/>
    </row>
    <row r="45" spans="1:26" ht="12.75">
      <c r="A45" s="11">
        <v>43747.266724537039</v>
      </c>
      <c r="B45" s="12" t="str">
        <f>HYPERLINK("https://twitter.com/khalidarfag2015","@khalidarfag2015")</f>
        <v>@khalidarfag2015</v>
      </c>
      <c r="C45" s="13" t="s">
        <v>299</v>
      </c>
      <c r="D45" s="13" t="s">
        <v>300</v>
      </c>
      <c r="E45" s="12" t="str">
        <f>HYPERLINK("https://twitter.com/khalidarfag2015/status/1181923286005026818","1181923286005026818")</f>
        <v>1181923286005026818</v>
      </c>
      <c r="F45" s="8"/>
      <c r="G45" s="14" t="s">
        <v>303</v>
      </c>
      <c r="H45" s="8"/>
      <c r="I45" s="15">
        <v>0</v>
      </c>
      <c r="J45" s="15">
        <v>0</v>
      </c>
      <c r="K45" s="12" t="str">
        <f>HYPERLINK("http://twitter.com","Twitter Web Client")</f>
        <v>Twitter Web Client</v>
      </c>
      <c r="L45" s="16">
        <v>0</v>
      </c>
      <c r="M45" s="16">
        <v>34</v>
      </c>
      <c r="N45" s="16">
        <v>0</v>
      </c>
      <c r="O45" s="17"/>
      <c r="P45" s="18">
        <v>42022.704039351855</v>
      </c>
      <c r="Q45" s="13"/>
      <c r="R45" s="13"/>
      <c r="S45" s="8"/>
      <c r="T45" s="8"/>
      <c r="U45" s="19" t="str">
        <f>HYPERLINK("https://pbs.twimg.com/profile_images/556978451022766081/Pez506YS.jpeg","View")</f>
        <v>View</v>
      </c>
      <c r="V45" s="8"/>
      <c r="W45" s="8"/>
      <c r="X45" s="8"/>
      <c r="Y45" s="8"/>
      <c r="Z45" s="8"/>
    </row>
    <row r="46" spans="1:26" ht="12.75">
      <c r="A46" s="11">
        <v>43747.266550925924</v>
      </c>
      <c r="B46" s="12" t="str">
        <f>HYPERLINK("https://twitter.com/zakariia222","@zakariia222")</f>
        <v>@zakariia222</v>
      </c>
      <c r="C46" s="13" t="s">
        <v>305</v>
      </c>
      <c r="D46" s="13" t="s">
        <v>306</v>
      </c>
      <c r="E46" s="12" t="str">
        <f>HYPERLINK("https://twitter.com/zakariia222/status/1181923225707700225","1181923225707700225")</f>
        <v>1181923225707700225</v>
      </c>
      <c r="F46" s="8"/>
      <c r="G46" s="14" t="s">
        <v>308</v>
      </c>
      <c r="H46" s="8"/>
      <c r="I46" s="15">
        <v>0</v>
      </c>
      <c r="J46" s="15">
        <v>0</v>
      </c>
      <c r="K46" s="12" t="str">
        <f>HYPERLINK("http://twitter.com","Twitter Web Client")</f>
        <v>Twitter Web Client</v>
      </c>
      <c r="L46" s="16">
        <v>14</v>
      </c>
      <c r="M46" s="16">
        <v>48</v>
      </c>
      <c r="N46" s="16">
        <v>0</v>
      </c>
      <c r="O46" s="17"/>
      <c r="P46" s="18">
        <v>42073.316296296296</v>
      </c>
      <c r="Q46" s="13"/>
      <c r="R46" s="13"/>
      <c r="S46" s="8"/>
      <c r="T46" s="8"/>
      <c r="U46" s="19" t="str">
        <f>HYPERLINK("https://pbs.twimg.com/profile_images/575304073538183170/x_0jfFaY.jpeg","View")</f>
        <v>View</v>
      </c>
      <c r="V46" s="8"/>
      <c r="W46" s="8"/>
      <c r="X46" s="8"/>
      <c r="Y46" s="8"/>
      <c r="Z46" s="8"/>
    </row>
    <row r="47" spans="1:26" ht="12.75">
      <c r="A47" s="11">
        <v>43747.266388888893</v>
      </c>
      <c r="B47" s="12" t="str">
        <f>HYPERLINK("https://twitter.com/elbassam22","@elbassam22")</f>
        <v>@elbassam22</v>
      </c>
      <c r="C47" s="13" t="s">
        <v>311</v>
      </c>
      <c r="D47" s="13" t="s">
        <v>312</v>
      </c>
      <c r="E47" s="12" t="str">
        <f>HYPERLINK("https://twitter.com/elbassam22/status/1181923166647734274","1181923166647734274")</f>
        <v>1181923166647734274</v>
      </c>
      <c r="F47" s="8"/>
      <c r="G47" s="14" t="s">
        <v>314</v>
      </c>
      <c r="H47" s="8"/>
      <c r="I47" s="15">
        <v>0</v>
      </c>
      <c r="J47" s="15">
        <v>0</v>
      </c>
      <c r="K47" s="12" t="str">
        <f>HYPERLINK("http://twitter.com","Twitter Web Client")</f>
        <v>Twitter Web Client</v>
      </c>
      <c r="L47" s="16">
        <v>8</v>
      </c>
      <c r="M47" s="16">
        <v>44</v>
      </c>
      <c r="N47" s="16">
        <v>0</v>
      </c>
      <c r="O47" s="17"/>
      <c r="P47" s="18">
        <v>42072.381238425922</v>
      </c>
      <c r="Q47" s="13"/>
      <c r="R47" s="13"/>
      <c r="S47" s="8"/>
      <c r="T47" s="8"/>
      <c r="U47" s="19" t="str">
        <f>HYPERLINK("https://pbs.twimg.com/profile_images/574965243090096128/p7M0FYRo.jpeg","View")</f>
        <v>View</v>
      </c>
      <c r="V47" s="8"/>
      <c r="W47" s="8"/>
      <c r="X47" s="8"/>
      <c r="Y47" s="8"/>
      <c r="Z47" s="8"/>
    </row>
    <row r="48" spans="1:26" ht="12.75">
      <c r="A48" s="11">
        <v>43747.263796296298</v>
      </c>
      <c r="B48" s="12" t="str">
        <f>HYPERLINK("https://twitter.com/mosa_el7lese","@mosa_el7lese")</f>
        <v>@mosa_el7lese</v>
      </c>
      <c r="C48" s="13" t="s">
        <v>317</v>
      </c>
      <c r="D48" s="13" t="s">
        <v>318</v>
      </c>
      <c r="E48" s="12" t="str">
        <f>HYPERLINK("https://twitter.com/mosa_el7lese/status/1181922225340977152","1181922225340977152")</f>
        <v>1181922225340977152</v>
      </c>
      <c r="F48" s="8"/>
      <c r="G48" s="14" t="s">
        <v>319</v>
      </c>
      <c r="H48" s="8"/>
      <c r="I48" s="15">
        <v>0</v>
      </c>
      <c r="J48" s="15">
        <v>0</v>
      </c>
      <c r="K48" s="12" t="str">
        <f>HYPERLINK("http://twitter.com","Twitter Web Client")</f>
        <v>Twitter Web Client</v>
      </c>
      <c r="L48" s="16">
        <v>4</v>
      </c>
      <c r="M48" s="16">
        <v>40</v>
      </c>
      <c r="N48" s="16">
        <v>0</v>
      </c>
      <c r="O48" s="17"/>
      <c r="P48" s="18">
        <v>41845.757754629631</v>
      </c>
      <c r="Q48" s="13"/>
      <c r="R48" s="13"/>
      <c r="S48" s="8"/>
      <c r="T48" s="8"/>
      <c r="U48" s="19" t="str">
        <f>HYPERLINK("https://pbs.twimg.com/profile_images/492839588008701952/ncYWT3ln.jpeg","View")</f>
        <v>View</v>
      </c>
      <c r="V48" s="8"/>
      <c r="W48" s="8"/>
      <c r="X48" s="8"/>
      <c r="Y48" s="8"/>
      <c r="Z48" s="8"/>
    </row>
    <row r="49" spans="1:26" ht="12.75">
      <c r="A49" s="11">
        <v>43747.26362268519</v>
      </c>
      <c r="B49" s="12" t="str">
        <f>HYPERLINK("https://twitter.com/AsamaMubarak","@AsamaMubarak")</f>
        <v>@AsamaMubarak</v>
      </c>
      <c r="C49" s="13" t="s">
        <v>323</v>
      </c>
      <c r="D49" s="13" t="s">
        <v>324</v>
      </c>
      <c r="E49" s="12" t="str">
        <f>HYPERLINK("https://twitter.com/AsamaMubarak/status/1181922163001049089","1181922163001049089")</f>
        <v>1181922163001049089</v>
      </c>
      <c r="F49" s="8"/>
      <c r="G49" s="14" t="s">
        <v>325</v>
      </c>
      <c r="H49" s="8"/>
      <c r="I49" s="15">
        <v>0</v>
      </c>
      <c r="J49" s="15">
        <v>0</v>
      </c>
      <c r="K49" s="12" t="str">
        <f>HYPERLINK("http://twitter.com","Twitter Web Client")</f>
        <v>Twitter Web Client</v>
      </c>
      <c r="L49" s="16">
        <v>3</v>
      </c>
      <c r="M49" s="16">
        <v>37</v>
      </c>
      <c r="N49" s="16">
        <v>0</v>
      </c>
      <c r="O49" s="17"/>
      <c r="P49" s="18">
        <v>42072.182939814811</v>
      </c>
      <c r="Q49" s="13"/>
      <c r="R49" s="13"/>
      <c r="S49" s="8"/>
      <c r="T49" s="8"/>
      <c r="U49" s="19" t="str">
        <f>HYPERLINK("https://pbs.twimg.com/profile_images/574894277806809088/dkWIGy7D.jpeg","View")</f>
        <v>View</v>
      </c>
      <c r="V49" s="8"/>
      <c r="W49" s="8"/>
      <c r="X49" s="8"/>
      <c r="Y49" s="8"/>
      <c r="Z49" s="8"/>
    </row>
    <row r="50" spans="1:26" ht="12.75">
      <c r="A50" s="11">
        <v>43747.263460648144</v>
      </c>
      <c r="B50" s="12" t="str">
        <f>HYPERLINK("https://twitter.com/almatere_845","@almatere_845")</f>
        <v>@almatere_845</v>
      </c>
      <c r="C50" s="13" t="s">
        <v>329</v>
      </c>
      <c r="D50" s="13" t="s">
        <v>330</v>
      </c>
      <c r="E50" s="12" t="str">
        <f>HYPERLINK("https://twitter.com/almatere_845/status/1181922106034053120","1181922106034053120")</f>
        <v>1181922106034053120</v>
      </c>
      <c r="F50" s="8"/>
      <c r="G50" s="14" t="s">
        <v>331</v>
      </c>
      <c r="H50" s="8"/>
      <c r="I50" s="15">
        <v>0</v>
      </c>
      <c r="J50" s="15">
        <v>0</v>
      </c>
      <c r="K50" s="12" t="str">
        <f>HYPERLINK("http://twitter.com","Twitter Web Client")</f>
        <v>Twitter Web Client</v>
      </c>
      <c r="L50" s="16">
        <v>4</v>
      </c>
      <c r="M50" s="16">
        <v>33</v>
      </c>
      <c r="N50" s="16">
        <v>0</v>
      </c>
      <c r="O50" s="17"/>
      <c r="P50" s="18">
        <v>41846.554259259261</v>
      </c>
      <c r="Q50" s="13"/>
      <c r="R50" s="13"/>
      <c r="S50" s="8"/>
      <c r="T50" s="8"/>
      <c r="U50" s="19" t="str">
        <f>HYPERLINK("https://pbs.twimg.com/profile_images/493128256246124545/InZJvYAk.jpeg","View")</f>
        <v>View</v>
      </c>
      <c r="V50" s="8"/>
      <c r="W50" s="8"/>
      <c r="X50" s="8"/>
      <c r="Y50" s="8"/>
      <c r="Z50" s="8"/>
    </row>
    <row r="51" spans="1:26" ht="12.75">
      <c r="A51" s="11">
        <v>43747.26284722222</v>
      </c>
      <c r="B51" s="12" t="str">
        <f>HYPERLINK("https://twitter.com/nasseralhassan8","@nasseralhassan8")</f>
        <v>@nasseralhassan8</v>
      </c>
      <c r="C51" s="13" t="s">
        <v>333</v>
      </c>
      <c r="D51" s="13" t="s">
        <v>334</v>
      </c>
      <c r="E51" s="12" t="str">
        <f>HYPERLINK("https://twitter.com/nasseralhassan8/status/1181921884155367424","1181921884155367424")</f>
        <v>1181921884155367424</v>
      </c>
      <c r="F51" s="8"/>
      <c r="G51" s="14" t="s">
        <v>335</v>
      </c>
      <c r="H51" s="8"/>
      <c r="I51" s="15">
        <v>0</v>
      </c>
      <c r="J51" s="15">
        <v>0</v>
      </c>
      <c r="K51" s="12" t="str">
        <f>HYPERLINK("http://twitter.com","Twitter Web Client")</f>
        <v>Twitter Web Client</v>
      </c>
      <c r="L51" s="16">
        <v>12</v>
      </c>
      <c r="M51" s="16">
        <v>42</v>
      </c>
      <c r="N51" s="16">
        <v>0</v>
      </c>
      <c r="O51" s="17"/>
      <c r="P51" s="18">
        <v>42075.461793981478</v>
      </c>
      <c r="Q51" s="13"/>
      <c r="R51" s="13"/>
      <c r="S51" s="8"/>
      <c r="T51" s="8"/>
      <c r="U51" s="19" t="str">
        <f>HYPERLINK("https://pbs.twimg.com/profile_images/576087200011436032/5ApmWBzX.jpeg","View")</f>
        <v>View</v>
      </c>
      <c r="V51" s="8"/>
      <c r="W51" s="8"/>
      <c r="X51" s="8"/>
      <c r="Y51" s="8"/>
      <c r="Z51" s="8"/>
    </row>
    <row r="52" spans="1:26" ht="12.75">
      <c r="A52" s="11">
        <v>43747.262696759259</v>
      </c>
      <c r="B52" s="12" t="str">
        <f>HYPERLINK("https://twitter.com/HamidIhazmi","@HamidIhazmi")</f>
        <v>@HamidIhazmi</v>
      </c>
      <c r="C52" s="13" t="s">
        <v>336</v>
      </c>
      <c r="D52" s="13" t="s">
        <v>337</v>
      </c>
      <c r="E52" s="12" t="str">
        <f>HYPERLINK("https://twitter.com/HamidIhazmi/status/1181921826945060864","1181921826945060864")</f>
        <v>1181921826945060864</v>
      </c>
      <c r="F52" s="8"/>
      <c r="G52" s="14" t="s">
        <v>338</v>
      </c>
      <c r="H52" s="8"/>
      <c r="I52" s="15">
        <v>0</v>
      </c>
      <c r="J52" s="15">
        <v>0</v>
      </c>
      <c r="K52" s="12" t="str">
        <f>HYPERLINK("http://twitter.com","Twitter Web Client")</f>
        <v>Twitter Web Client</v>
      </c>
      <c r="L52" s="16">
        <v>6</v>
      </c>
      <c r="M52" s="16">
        <v>41</v>
      </c>
      <c r="N52" s="16">
        <v>0</v>
      </c>
      <c r="O52" s="17"/>
      <c r="P52" s="18">
        <v>42070.288078703699</v>
      </c>
      <c r="Q52" s="13"/>
      <c r="R52" s="13"/>
      <c r="S52" s="8"/>
      <c r="T52" s="8"/>
      <c r="U52" s="19" t="str">
        <f>HYPERLINK("https://pbs.twimg.com/profile_images/574222157955211265/FQ0Ew36b.jpeg","View")</f>
        <v>View</v>
      </c>
      <c r="V52" s="8"/>
      <c r="W52" s="8"/>
      <c r="X52" s="8"/>
      <c r="Y52" s="8"/>
      <c r="Z52" s="8"/>
    </row>
    <row r="53" spans="1:26" ht="12.75">
      <c r="A53" s="11">
        <v>43747.261597222227</v>
      </c>
      <c r="B53" s="12" t="str">
        <f>HYPERLINK("https://twitter.com/tirediharbi","@tirediharbi")</f>
        <v>@tirediharbi</v>
      </c>
      <c r="C53" s="13" t="s">
        <v>341</v>
      </c>
      <c r="D53" s="13" t="s">
        <v>342</v>
      </c>
      <c r="E53" s="12" t="str">
        <f>HYPERLINK("https://twitter.com/tirediharbi/status/1181921430604255232","1181921430604255232")</f>
        <v>1181921430604255232</v>
      </c>
      <c r="F53" s="8"/>
      <c r="G53" s="14" t="s">
        <v>344</v>
      </c>
      <c r="H53" s="8"/>
      <c r="I53" s="15">
        <v>0</v>
      </c>
      <c r="J53" s="15">
        <v>0</v>
      </c>
      <c r="K53" s="12" t="str">
        <f>HYPERLINK("http://twitter.com","Twitter Web Client")</f>
        <v>Twitter Web Client</v>
      </c>
      <c r="L53" s="16">
        <v>364</v>
      </c>
      <c r="M53" s="16">
        <v>35</v>
      </c>
      <c r="N53" s="16">
        <v>0</v>
      </c>
      <c r="O53" s="17"/>
      <c r="P53" s="18">
        <v>42069.776712962965</v>
      </c>
      <c r="Q53" s="13"/>
      <c r="R53" s="13"/>
      <c r="S53" s="8"/>
      <c r="T53" s="8"/>
      <c r="U53" s="19" t="str">
        <f>HYPERLINK("https://pbs.twimg.com/profile_images/574038426443341824/zxa1iSw-.jpeg","View")</f>
        <v>View</v>
      </c>
      <c r="V53" s="8"/>
      <c r="W53" s="8"/>
      <c r="X53" s="8"/>
      <c r="Y53" s="8"/>
      <c r="Z53" s="8"/>
    </row>
    <row r="54" spans="1:26" ht="12.75">
      <c r="A54" s="11">
        <v>43747.258113425924</v>
      </c>
      <c r="B54" s="12" t="str">
        <f>HYPERLINK("https://twitter.com/muieahtieaof","@muieahtieaof")</f>
        <v>@muieahtieaof</v>
      </c>
      <c r="C54" s="13" t="s">
        <v>348</v>
      </c>
      <c r="D54" s="13" t="s">
        <v>349</v>
      </c>
      <c r="E54" s="12" t="str">
        <f>HYPERLINK("https://twitter.com/muieahtieaof/status/1181920168013914112","1181920168013914112")</f>
        <v>1181920168013914112</v>
      </c>
      <c r="F54" s="8"/>
      <c r="G54" s="14" t="s">
        <v>350</v>
      </c>
      <c r="H54" s="8"/>
      <c r="I54" s="15">
        <v>0</v>
      </c>
      <c r="J54" s="15">
        <v>0</v>
      </c>
      <c r="K54" s="12" t="str">
        <f>HYPERLINK("http://twitter.com","Twitter Web Client")</f>
        <v>Twitter Web Client</v>
      </c>
      <c r="L54" s="16">
        <v>1</v>
      </c>
      <c r="M54" s="16">
        <v>43</v>
      </c>
      <c r="N54" s="16">
        <v>0</v>
      </c>
      <c r="O54" s="17"/>
      <c r="P54" s="18">
        <v>42082.541192129633</v>
      </c>
      <c r="Q54" s="13"/>
      <c r="R54" s="13"/>
      <c r="S54" s="8"/>
      <c r="T54" s="8"/>
      <c r="U54" s="20" t="s">
        <v>354</v>
      </c>
      <c r="V54" s="8"/>
      <c r="W54" s="8"/>
      <c r="X54" s="8"/>
      <c r="Y54" s="8"/>
      <c r="Z54" s="8"/>
    </row>
    <row r="55" spans="1:26" ht="12.75">
      <c r="A55" s="11">
        <v>43747.257662037038</v>
      </c>
      <c r="B55" s="12" t="str">
        <f>HYPERLINK("https://twitter.com/abedalaz333","@abedalaz333")</f>
        <v>@abedalaz333</v>
      </c>
      <c r="C55" s="13" t="s">
        <v>355</v>
      </c>
      <c r="D55" s="13" t="s">
        <v>356</v>
      </c>
      <c r="E55" s="12" t="str">
        <f>HYPERLINK("https://twitter.com/abedalaz333/status/1181920003983101953","1181920003983101953")</f>
        <v>1181920003983101953</v>
      </c>
      <c r="F55" s="8"/>
      <c r="G55" s="14" t="s">
        <v>358</v>
      </c>
      <c r="H55" s="8"/>
      <c r="I55" s="15">
        <v>0</v>
      </c>
      <c r="J55" s="15">
        <v>0</v>
      </c>
      <c r="K55" s="12" t="str">
        <f>HYPERLINK("http://twitter.com","Twitter Web Client")</f>
        <v>Twitter Web Client</v>
      </c>
      <c r="L55" s="16">
        <v>5</v>
      </c>
      <c r="M55" s="16">
        <v>39</v>
      </c>
      <c r="N55" s="16">
        <v>0</v>
      </c>
      <c r="O55" s="17"/>
      <c r="P55" s="18">
        <v>42069.362893518519</v>
      </c>
      <c r="Q55" s="13"/>
      <c r="R55" s="13"/>
      <c r="S55" s="8"/>
      <c r="T55" s="8"/>
      <c r="U55" s="19" t="str">
        <f>HYPERLINK("https://pbs.twimg.com/profile_images/573886711333179392/Jz3wo6dk.jpeg","View")</f>
        <v>View</v>
      </c>
      <c r="V55" s="8"/>
      <c r="W55" s="8"/>
      <c r="X55" s="8"/>
      <c r="Y55" s="8"/>
      <c r="Z55" s="8"/>
    </row>
    <row r="56" spans="1:26" ht="12.75">
      <c r="A56" s="11">
        <v>43747.257511574076</v>
      </c>
      <c r="B56" s="12" t="str">
        <f>HYPERLINK("https://twitter.com/moreomari","@moreomari")</f>
        <v>@moreomari</v>
      </c>
      <c r="C56" s="13" t="s">
        <v>362</v>
      </c>
      <c r="D56" s="13" t="s">
        <v>364</v>
      </c>
      <c r="E56" s="12" t="str">
        <f>HYPERLINK("https://twitter.com/moreomari/status/1181919947733295104","1181919947733295104")</f>
        <v>1181919947733295104</v>
      </c>
      <c r="F56" s="8"/>
      <c r="G56" s="14" t="s">
        <v>365</v>
      </c>
      <c r="H56" s="8"/>
      <c r="I56" s="15">
        <v>0</v>
      </c>
      <c r="J56" s="15">
        <v>0</v>
      </c>
      <c r="K56" s="12" t="str">
        <f>HYPERLINK("http://twitter.com","Twitter Web Client")</f>
        <v>Twitter Web Client</v>
      </c>
      <c r="L56" s="16">
        <v>0</v>
      </c>
      <c r="M56" s="16">
        <v>27</v>
      </c>
      <c r="N56" s="16">
        <v>0</v>
      </c>
      <c r="O56" s="17"/>
      <c r="P56" s="18">
        <v>42019.122314814813</v>
      </c>
      <c r="Q56" s="13"/>
      <c r="R56" s="13"/>
      <c r="S56" s="8"/>
      <c r="T56" s="8"/>
      <c r="U56" s="19" t="str">
        <f>HYPERLINK("https://pbs.twimg.com/profile_images/555680366971727872/NF7988TN.jpeg","View")</f>
        <v>View</v>
      </c>
      <c r="V56" s="8"/>
      <c r="W56" s="8"/>
      <c r="X56" s="8"/>
      <c r="Y56" s="8"/>
      <c r="Z56" s="8"/>
    </row>
    <row r="57" spans="1:26" ht="12.75">
      <c r="A57" s="11">
        <v>43747.256111111114</v>
      </c>
      <c r="B57" s="12" t="str">
        <f>HYPERLINK("https://twitter.com/ieaali","@ieaali")</f>
        <v>@ieaali</v>
      </c>
      <c r="C57" s="13" t="s">
        <v>366</v>
      </c>
      <c r="D57" s="13" t="s">
        <v>367</v>
      </c>
      <c r="E57" s="12" t="str">
        <f>HYPERLINK("https://twitter.com/ieaali/status/1181919440230895617","1181919440230895617")</f>
        <v>1181919440230895617</v>
      </c>
      <c r="F57" s="8"/>
      <c r="G57" s="14" t="s">
        <v>368</v>
      </c>
      <c r="H57" s="8"/>
      <c r="I57" s="15">
        <v>0</v>
      </c>
      <c r="J57" s="15">
        <v>0</v>
      </c>
      <c r="K57" s="12" t="str">
        <f>HYPERLINK("http://twitter.com","Twitter Web Client")</f>
        <v>Twitter Web Client</v>
      </c>
      <c r="L57" s="16">
        <v>4</v>
      </c>
      <c r="M57" s="16">
        <v>37</v>
      </c>
      <c r="N57" s="16">
        <v>0</v>
      </c>
      <c r="O57" s="17"/>
      <c r="P57" s="18">
        <v>42081.36482638889</v>
      </c>
      <c r="Q57" s="13"/>
      <c r="R57" s="13"/>
      <c r="S57" s="8"/>
      <c r="T57" s="8"/>
      <c r="U57" s="19" t="str">
        <f>HYPERLINK("https://pbs.twimg.com/profile_images/578221231922511873/o6A6Qs2K.jpeg","View")</f>
        <v>View</v>
      </c>
      <c r="V57" s="8"/>
      <c r="W57" s="8"/>
      <c r="X57" s="8"/>
      <c r="Y57" s="8"/>
      <c r="Z57" s="8"/>
    </row>
    <row r="58" spans="1:26" ht="12.75">
      <c r="A58" s="11">
        <v>43747.255787037036</v>
      </c>
      <c r="B58" s="12" t="str">
        <f>HYPERLINK("https://twitter.com/alabadeliie456","@alabadeliie456")</f>
        <v>@alabadeliie456</v>
      </c>
      <c r="C58" s="13" t="s">
        <v>369</v>
      </c>
      <c r="D58" s="13" t="s">
        <v>370</v>
      </c>
      <c r="E58" s="12" t="str">
        <f>HYPERLINK("https://twitter.com/alabadeliie456/status/1181919325084471297","1181919325084471297")</f>
        <v>1181919325084471297</v>
      </c>
      <c r="F58" s="8"/>
      <c r="G58" s="14" t="s">
        <v>371</v>
      </c>
      <c r="H58" s="8"/>
      <c r="I58" s="15">
        <v>0</v>
      </c>
      <c r="J58" s="15">
        <v>0</v>
      </c>
      <c r="K58" s="12" t="str">
        <f>HYPERLINK("http://twitter.com","Twitter Web Client")</f>
        <v>Twitter Web Client</v>
      </c>
      <c r="L58" s="16">
        <v>18</v>
      </c>
      <c r="M58" s="16">
        <v>50</v>
      </c>
      <c r="N58" s="16">
        <v>0</v>
      </c>
      <c r="O58" s="17"/>
      <c r="P58" s="18">
        <v>42071.664201388892</v>
      </c>
      <c r="Q58" s="13"/>
      <c r="R58" s="13"/>
      <c r="S58" s="8"/>
      <c r="T58" s="8"/>
      <c r="U58" s="19" t="str">
        <f>HYPERLINK("https://pbs.twimg.com/profile_images/574705409568563201/EMXqZ_zG.jpeg","View")</f>
        <v>View</v>
      </c>
      <c r="V58" s="8"/>
      <c r="W58" s="8"/>
      <c r="X58" s="8"/>
      <c r="Y58" s="8"/>
      <c r="Z58" s="8"/>
    </row>
    <row r="59" spans="1:26" ht="12.75">
      <c r="A59" s="11">
        <v>43747.255335648151</v>
      </c>
      <c r="B59" s="12" t="str">
        <f>HYPERLINK("https://twitter.com/akmonaiwer3","@akmonaiwer3")</f>
        <v>@akmonaiwer3</v>
      </c>
      <c r="C59" s="13" t="s">
        <v>372</v>
      </c>
      <c r="D59" s="13" t="s">
        <v>373</v>
      </c>
      <c r="E59" s="12" t="str">
        <f>HYPERLINK("https://twitter.com/akmonaiwer3/status/1181919162186321920","1181919162186321920")</f>
        <v>1181919162186321920</v>
      </c>
      <c r="F59" s="8"/>
      <c r="G59" s="14" t="s">
        <v>374</v>
      </c>
      <c r="H59" s="8"/>
      <c r="I59" s="15">
        <v>0</v>
      </c>
      <c r="J59" s="15">
        <v>0</v>
      </c>
      <c r="K59" s="12" t="str">
        <f>HYPERLINK("http://twitter.com","Twitter Web Client")</f>
        <v>Twitter Web Client</v>
      </c>
      <c r="L59" s="16">
        <v>10</v>
      </c>
      <c r="M59" s="16">
        <v>43</v>
      </c>
      <c r="N59" s="16">
        <v>0</v>
      </c>
      <c r="O59" s="17"/>
      <c r="P59" s="18">
        <v>42075.53396990741</v>
      </c>
      <c r="Q59" s="13"/>
      <c r="R59" s="13"/>
      <c r="S59" s="8"/>
      <c r="T59" s="8"/>
      <c r="U59" s="19" t="str">
        <f>HYPERLINK("https://pbs.twimg.com/profile_images/576107781410828288/YfBZiAgg.jpeg","View")</f>
        <v>View</v>
      </c>
      <c r="V59" s="8"/>
      <c r="W59" s="8"/>
      <c r="X59" s="8"/>
      <c r="Y59" s="8"/>
      <c r="Z59" s="8"/>
    </row>
    <row r="60" spans="1:26" ht="12.75">
      <c r="A60" s="11">
        <v>43747.254375000004</v>
      </c>
      <c r="B60" s="12" t="str">
        <f>HYPERLINK("https://twitter.com/sa3aedd234","@sa3aedd234")</f>
        <v>@sa3aedd234</v>
      </c>
      <c r="C60" s="13" t="s">
        <v>375</v>
      </c>
      <c r="D60" s="13" t="s">
        <v>376</v>
      </c>
      <c r="E60" s="12" t="str">
        <f>HYPERLINK("https://twitter.com/sa3aedd234/status/1181918811202699264","1181918811202699264")</f>
        <v>1181918811202699264</v>
      </c>
      <c r="F60" s="8"/>
      <c r="G60" s="14" t="s">
        <v>377</v>
      </c>
      <c r="H60" s="8"/>
      <c r="I60" s="15">
        <v>0</v>
      </c>
      <c r="J60" s="15">
        <v>0</v>
      </c>
      <c r="K60" s="12" t="str">
        <f>HYPERLINK("http://twitter.com","Twitter Web Client")</f>
        <v>Twitter Web Client</v>
      </c>
      <c r="L60" s="16">
        <v>2</v>
      </c>
      <c r="M60" s="16">
        <v>50</v>
      </c>
      <c r="N60" s="16">
        <v>0</v>
      </c>
      <c r="O60" s="17"/>
      <c r="P60" s="18">
        <v>42076.676215277781</v>
      </c>
      <c r="Q60" s="13"/>
      <c r="R60" s="13"/>
      <c r="S60" s="8"/>
      <c r="T60" s="8"/>
      <c r="U60" s="19" t="str">
        <f>HYPERLINK("https://pbs.twimg.com/profile_images/576521772129890305/iRXZg87s.jpeg","View")</f>
        <v>View</v>
      </c>
      <c r="V60" s="8"/>
      <c r="W60" s="8"/>
      <c r="X60" s="8"/>
      <c r="Y60" s="8"/>
      <c r="Z60" s="8"/>
    </row>
    <row r="61" spans="1:26" ht="12.75">
      <c r="A61" s="11">
        <v>43747.251562500001</v>
      </c>
      <c r="B61" s="12" t="str">
        <f>HYPERLINK("https://twitter.com/RebeccaRambar","@RebeccaRambar")</f>
        <v>@RebeccaRambar</v>
      </c>
      <c r="C61" s="7" t="s">
        <v>378</v>
      </c>
      <c r="D61" s="7" t="s">
        <v>379</v>
      </c>
      <c r="E61" s="12" t="str">
        <f>HYPERLINK("https://twitter.com/RebeccaRambar/status/1181917794708930561","1181917794708930561")</f>
        <v>1181917794708930561</v>
      </c>
      <c r="F61" s="14" t="s">
        <v>380</v>
      </c>
      <c r="G61" s="14" t="s">
        <v>381</v>
      </c>
      <c r="H61" s="8"/>
      <c r="I61" s="15">
        <v>0</v>
      </c>
      <c r="J61" s="15">
        <v>1</v>
      </c>
      <c r="K61" s="12" t="str">
        <f>HYPERLINK("https://about.twitter.com/products/tweetdeck","TweetDeck")</f>
        <v>TweetDeck</v>
      </c>
      <c r="L61" s="16">
        <v>3439</v>
      </c>
      <c r="M61" s="16">
        <v>0</v>
      </c>
      <c r="N61" s="16">
        <v>63</v>
      </c>
      <c r="O61" s="17"/>
      <c r="P61" s="18">
        <v>42863.381712962961</v>
      </c>
      <c r="Q61" s="7" t="s">
        <v>382</v>
      </c>
      <c r="R61" s="7" t="s">
        <v>383</v>
      </c>
      <c r="S61" s="8"/>
      <c r="T61" s="8"/>
      <c r="U61" s="19" t="str">
        <f>HYPERLINK("https://pbs.twimg.com/profile_images/861619388146962437/sA4UFm12.jpg","View")</f>
        <v>View</v>
      </c>
      <c r="V61" s="8"/>
      <c r="W61" s="8"/>
      <c r="X61" s="8"/>
      <c r="Y61" s="8"/>
      <c r="Z61" s="8"/>
    </row>
    <row r="62" spans="1:26" ht="12.75">
      <c r="A62" s="11">
        <v>43747.251087962963</v>
      </c>
      <c r="B62" s="12" t="str">
        <f>HYPERLINK("https://twitter.com/alshya5iie555","@alshya5iie555")</f>
        <v>@alshya5iie555</v>
      </c>
      <c r="C62" s="13" t="s">
        <v>384</v>
      </c>
      <c r="D62" s="13" t="s">
        <v>385</v>
      </c>
      <c r="E62" s="12" t="str">
        <f>HYPERLINK("https://twitter.com/alshya5iie555/status/1181917620985049090","1181917620985049090")</f>
        <v>1181917620985049090</v>
      </c>
      <c r="F62" s="8"/>
      <c r="G62" s="14" t="s">
        <v>386</v>
      </c>
      <c r="H62" s="8"/>
      <c r="I62" s="15">
        <v>0</v>
      </c>
      <c r="J62" s="15">
        <v>0</v>
      </c>
      <c r="K62" s="12" t="str">
        <f>HYPERLINK("http://twitter.com","Twitter Web Client")</f>
        <v>Twitter Web Client</v>
      </c>
      <c r="L62" s="16">
        <v>3</v>
      </c>
      <c r="M62" s="16">
        <v>37</v>
      </c>
      <c r="N62" s="16">
        <v>0</v>
      </c>
      <c r="O62" s="17"/>
      <c r="P62" s="18">
        <v>42069.368275462963</v>
      </c>
      <c r="Q62" s="13"/>
      <c r="R62" s="13"/>
      <c r="S62" s="8"/>
      <c r="T62" s="8"/>
      <c r="U62" s="19" t="str">
        <f>HYPERLINK("https://pbs.twimg.com/profile_images/573888588548476929/8PsxJTYv.jpeg","View")</f>
        <v>View</v>
      </c>
      <c r="V62" s="8"/>
      <c r="W62" s="8"/>
      <c r="X62" s="8"/>
      <c r="Y62" s="8"/>
      <c r="Z62" s="8"/>
    </row>
    <row r="63" spans="1:26" ht="12.75">
      <c r="A63" s="11">
        <v>43747.248761574076</v>
      </c>
      <c r="B63" s="12" t="str">
        <f>HYPERLINK("https://twitter.com/AhmElghamdy","@AhmElghamdy")</f>
        <v>@AhmElghamdy</v>
      </c>
      <c r="C63" s="13" t="s">
        <v>387</v>
      </c>
      <c r="D63" s="13" t="s">
        <v>388</v>
      </c>
      <c r="E63" s="12" t="str">
        <f>HYPERLINK("https://twitter.com/AhmElghamdy/status/1181916778433261568","1181916778433261568")</f>
        <v>1181916778433261568</v>
      </c>
      <c r="F63" s="8"/>
      <c r="G63" s="14" t="s">
        <v>389</v>
      </c>
      <c r="H63" s="8"/>
      <c r="I63" s="15">
        <v>0</v>
      </c>
      <c r="J63" s="15">
        <v>0</v>
      </c>
      <c r="K63" s="12" t="str">
        <f>HYPERLINK("http://twitter.com","Twitter Web Client")</f>
        <v>Twitter Web Client</v>
      </c>
      <c r="L63" s="16">
        <v>0</v>
      </c>
      <c r="M63" s="16">
        <v>30</v>
      </c>
      <c r="N63" s="16">
        <v>0</v>
      </c>
      <c r="O63" s="17"/>
      <c r="P63" s="18">
        <v>41823.381631944445</v>
      </c>
      <c r="Q63" s="13"/>
      <c r="R63" s="13"/>
      <c r="S63" s="8"/>
      <c r="T63" s="8"/>
      <c r="U63" s="19" t="str">
        <f>HYPERLINK("https://pbs.twimg.com/profile_images/484730981669027840/e7k-Xgv9.jpeg","View")</f>
        <v>View</v>
      </c>
      <c r="V63" s="8"/>
      <c r="W63" s="8"/>
      <c r="X63" s="8"/>
      <c r="Y63" s="8"/>
      <c r="Z63" s="8"/>
    </row>
    <row r="64" spans="1:26" ht="12.75">
      <c r="A64" s="11">
        <v>43747.248599537037</v>
      </c>
      <c r="B64" s="12" t="str">
        <f>HYPERLINK("https://twitter.com/AliLharthy","@AliLharthy")</f>
        <v>@AliLharthy</v>
      </c>
      <c r="C64" s="13" t="s">
        <v>390</v>
      </c>
      <c r="D64" s="13" t="s">
        <v>391</v>
      </c>
      <c r="E64" s="12" t="str">
        <f>HYPERLINK("https://twitter.com/AliLharthy/status/1181916718836387843","1181916718836387843")</f>
        <v>1181916718836387843</v>
      </c>
      <c r="F64" s="8"/>
      <c r="G64" s="14" t="s">
        <v>392</v>
      </c>
      <c r="H64" s="8"/>
      <c r="I64" s="15">
        <v>0</v>
      </c>
      <c r="J64" s="15">
        <v>0</v>
      </c>
      <c r="K64" s="12" t="str">
        <f>HYPERLINK("http://twitter.com","Twitter Web Client")</f>
        <v>Twitter Web Client</v>
      </c>
      <c r="L64" s="16">
        <v>1</v>
      </c>
      <c r="M64" s="16">
        <v>36</v>
      </c>
      <c r="N64" s="16">
        <v>0</v>
      </c>
      <c r="O64" s="17"/>
      <c r="P64" s="18">
        <v>42022.616388888884</v>
      </c>
      <c r="Q64" s="13"/>
      <c r="R64" s="13"/>
      <c r="S64" s="8"/>
      <c r="T64" s="8"/>
      <c r="U64" s="19" t="str">
        <f>HYPERLINK("https://pbs.twimg.com/profile_images/556947522984222720/aRP_Jd0p.jpeg","View")</f>
        <v>View</v>
      </c>
      <c r="V64" s="8"/>
      <c r="W64" s="8"/>
      <c r="X64" s="8"/>
      <c r="Y64" s="8"/>
      <c r="Z64" s="8"/>
    </row>
    <row r="65" spans="1:26" ht="12.75">
      <c r="A65" s="11">
        <v>43747.247962962967</v>
      </c>
      <c r="B65" s="12" t="str">
        <f>HYPERLINK("https://twitter.com/obaidullahharb3","@obaidullahharb3")</f>
        <v>@obaidullahharb3</v>
      </c>
      <c r="C65" s="13" t="s">
        <v>393</v>
      </c>
      <c r="D65" s="13" t="s">
        <v>394</v>
      </c>
      <c r="E65" s="12" t="str">
        <f>HYPERLINK("https://twitter.com/obaidullahharb3/status/1181916487357026306","1181916487357026306")</f>
        <v>1181916487357026306</v>
      </c>
      <c r="F65" s="8"/>
      <c r="G65" s="14" t="s">
        <v>395</v>
      </c>
      <c r="H65" s="8"/>
      <c r="I65" s="15">
        <v>0</v>
      </c>
      <c r="J65" s="15">
        <v>0</v>
      </c>
      <c r="K65" s="12" t="str">
        <f>HYPERLINK("http://twitter.com","Twitter Web Client")</f>
        <v>Twitter Web Client</v>
      </c>
      <c r="L65" s="16">
        <v>1</v>
      </c>
      <c r="M65" s="16">
        <v>37</v>
      </c>
      <c r="N65" s="16">
        <v>0</v>
      </c>
      <c r="O65" s="17"/>
      <c r="P65" s="18">
        <v>42080.208020833335</v>
      </c>
      <c r="Q65" s="13"/>
      <c r="R65" s="13"/>
      <c r="S65" s="8"/>
      <c r="T65" s="8"/>
      <c r="U65" s="19" t="str">
        <f>HYPERLINK("https://pbs.twimg.com/profile_images/577803666012303360/41HVW54-.jpeg","View")</f>
        <v>View</v>
      </c>
      <c r="V65" s="8"/>
      <c r="W65" s="8"/>
      <c r="X65" s="8"/>
      <c r="Y65" s="8"/>
      <c r="Z65" s="8"/>
    </row>
    <row r="66" spans="1:26" ht="12.75">
      <c r="A66" s="11">
        <v>43747.247650462959</v>
      </c>
      <c r="B66" s="12" t="str">
        <f>HYPERLINK("https://twitter.com/HamedMastuor","@HamedMastuor")</f>
        <v>@HamedMastuor</v>
      </c>
      <c r="C66" s="13" t="s">
        <v>396</v>
      </c>
      <c r="D66" s="13" t="s">
        <v>397</v>
      </c>
      <c r="E66" s="12" t="str">
        <f>HYPERLINK("https://twitter.com/HamedMastuor/status/1181916373649362944","1181916373649362944")</f>
        <v>1181916373649362944</v>
      </c>
      <c r="F66" s="8"/>
      <c r="G66" s="14" t="s">
        <v>398</v>
      </c>
      <c r="H66" s="8"/>
      <c r="I66" s="15">
        <v>0</v>
      </c>
      <c r="J66" s="15">
        <v>0</v>
      </c>
      <c r="K66" s="12" t="str">
        <f>HYPERLINK("http://twitter.com","Twitter Web Client")</f>
        <v>Twitter Web Client</v>
      </c>
      <c r="L66" s="16">
        <v>1</v>
      </c>
      <c r="M66" s="16">
        <v>38</v>
      </c>
      <c r="N66" s="16">
        <v>0</v>
      </c>
      <c r="O66" s="17"/>
      <c r="P66" s="18">
        <v>42073.667731481481</v>
      </c>
      <c r="Q66" s="13"/>
      <c r="R66" s="13"/>
      <c r="S66" s="8"/>
      <c r="T66" s="8"/>
      <c r="U66" s="19" t="str">
        <f>HYPERLINK("https://pbs.twimg.com/profile_images/575435149644427264/_PKGWeug.jpeg","View")</f>
        <v>View</v>
      </c>
      <c r="V66" s="8"/>
      <c r="W66" s="8"/>
      <c r="X66" s="8"/>
      <c r="Y66" s="8"/>
      <c r="Z66" s="8"/>
    </row>
    <row r="67" spans="1:26" ht="12.75">
      <c r="A67" s="11">
        <v>43747.246400462958</v>
      </c>
      <c r="B67" s="12" t="str">
        <f>HYPERLINK("https://twitter.com/hamad_qtr1881q","@hamad_qtr1881q")</f>
        <v>@hamad_qtr1881q</v>
      </c>
      <c r="C67" s="7" t="s">
        <v>399</v>
      </c>
      <c r="D67" s="13" t="s">
        <v>400</v>
      </c>
      <c r="E67" s="12" t="str">
        <f>HYPERLINK("https://twitter.com/hamad_qtr1881q/status/1181915921562132482","1181915921562132482")</f>
        <v>1181915921562132482</v>
      </c>
      <c r="F67" s="8"/>
      <c r="G67" s="7"/>
      <c r="H67" s="8"/>
      <c r="I67" s="15">
        <v>0</v>
      </c>
      <c r="J67" s="15">
        <v>0</v>
      </c>
      <c r="K67" s="12" t="str">
        <f>HYPERLINK("http://twitter.com/download/iphone","Twitter for iPhone")</f>
        <v>Twitter for iPhone</v>
      </c>
      <c r="L67" s="16">
        <v>155</v>
      </c>
      <c r="M67" s="16">
        <v>152</v>
      </c>
      <c r="N67" s="16">
        <v>0</v>
      </c>
      <c r="O67" s="17"/>
      <c r="P67" s="18">
        <v>42910.65960648148</v>
      </c>
      <c r="Q67" s="13"/>
      <c r="R67" s="13" t="s">
        <v>401</v>
      </c>
      <c r="S67" s="8"/>
      <c r="T67" s="8"/>
      <c r="U67" s="19" t="str">
        <f>HYPERLINK("https://pbs.twimg.com/profile_images/1100501719434301447/-k_day6C.jpg","View")</f>
        <v>View</v>
      </c>
      <c r="V67" s="8"/>
      <c r="W67" s="8"/>
      <c r="X67" s="8"/>
      <c r="Y67" s="8"/>
      <c r="Z67" s="8"/>
    </row>
    <row r="68" spans="1:26" ht="12.75">
      <c r="A68" s="11">
        <v>43747.245219907403</v>
      </c>
      <c r="B68" s="12" t="str">
        <f>HYPERLINK("https://twitter.com/Aliaa_Abutayah","@Aliaa_Abutayah")</f>
        <v>@Aliaa_Abutayah</v>
      </c>
      <c r="C68" s="13" t="s">
        <v>402</v>
      </c>
      <c r="D68" s="13" t="s">
        <v>403</v>
      </c>
      <c r="E68" s="12" t="str">
        <f>HYPERLINK("https://twitter.com/Aliaa_Abutayah/status/1181915494439370752","1181915494439370752")</f>
        <v>1181915494439370752</v>
      </c>
      <c r="F68" s="8"/>
      <c r="G68" s="7"/>
      <c r="H68" s="8"/>
      <c r="I68" s="15">
        <v>4</v>
      </c>
      <c r="J68" s="15">
        <v>8</v>
      </c>
      <c r="K68" s="12" t="str">
        <f>HYPERLINK("http://twitter.com/download/iphone","Twitter for iPhone")</f>
        <v>Twitter for iPhone</v>
      </c>
      <c r="L68" s="16">
        <v>7392</v>
      </c>
      <c r="M68" s="16">
        <v>548</v>
      </c>
      <c r="N68" s="16">
        <v>28</v>
      </c>
      <c r="O68" s="17"/>
      <c r="P68" s="18">
        <v>40875.289502314816</v>
      </c>
      <c r="Q68" s="13" t="s">
        <v>404</v>
      </c>
      <c r="R68" s="13" t="s">
        <v>405</v>
      </c>
      <c r="S68" s="14" t="s">
        <v>406</v>
      </c>
      <c r="T68" s="8"/>
      <c r="U68" s="19" t="str">
        <f>HYPERLINK("https://pbs.twimg.com/profile_images/1173941961746800642/yChRjnDB.jpg","View")</f>
        <v>View</v>
      </c>
      <c r="V68" s="8"/>
      <c r="W68" s="8"/>
      <c r="X68" s="8"/>
      <c r="Y68" s="8"/>
      <c r="Z68" s="8"/>
    </row>
    <row r="69" spans="1:26" ht="12.75">
      <c r="A69" s="11">
        <v>43747.245046296295</v>
      </c>
      <c r="B69" s="12" t="str">
        <f>HYPERLINK("https://twitter.com/mubarakalabdan1","@mubarakalabdan1")</f>
        <v>@mubarakalabdan1</v>
      </c>
      <c r="C69" s="13" t="s">
        <v>407</v>
      </c>
      <c r="D69" s="13" t="s">
        <v>408</v>
      </c>
      <c r="E69" s="12" t="str">
        <f>HYPERLINK("https://twitter.com/mubarakalabdan1/status/1181915430719574016","1181915430719574016")</f>
        <v>1181915430719574016</v>
      </c>
      <c r="F69" s="8"/>
      <c r="G69" s="14" t="s">
        <v>409</v>
      </c>
      <c r="H69" s="8"/>
      <c r="I69" s="15">
        <v>0</v>
      </c>
      <c r="J69" s="15">
        <v>0</v>
      </c>
      <c r="K69" s="12" t="str">
        <f>HYPERLINK("http://twitter.com","Twitter Web Client")</f>
        <v>Twitter Web Client</v>
      </c>
      <c r="L69" s="16">
        <v>9</v>
      </c>
      <c r="M69" s="16">
        <v>39</v>
      </c>
      <c r="N69" s="16">
        <v>0</v>
      </c>
      <c r="O69" s="17"/>
      <c r="P69" s="18">
        <v>42070.68818287037</v>
      </c>
      <c r="Q69" s="13"/>
      <c r="R69" s="13"/>
      <c r="S69" s="8"/>
      <c r="T69" s="8"/>
      <c r="U69" s="19" t="str">
        <f>HYPERLINK("https://pbs.twimg.com/profile_images/574366758435299329/x7eS6eRM.jpeg","View")</f>
        <v>View</v>
      </c>
      <c r="V69" s="8"/>
      <c r="W69" s="8"/>
      <c r="X69" s="8"/>
      <c r="Y69" s="8"/>
      <c r="Z69" s="8"/>
    </row>
    <row r="70" spans="1:26" ht="12.75">
      <c r="A70" s="11">
        <v>43747.243796296301</v>
      </c>
      <c r="B70" s="12" t="str">
        <f>HYPERLINK("https://twitter.com/hadialihadiali1","@hadialihadiali1")</f>
        <v>@hadialihadiali1</v>
      </c>
      <c r="C70" s="13" t="s">
        <v>410</v>
      </c>
      <c r="D70" s="13" t="s">
        <v>411</v>
      </c>
      <c r="E70" s="12" t="str">
        <f>HYPERLINK("https://twitter.com/hadialihadiali1/status/1181914980335140864","1181914980335140864")</f>
        <v>1181914980335140864</v>
      </c>
      <c r="F70" s="8"/>
      <c r="G70" s="14" t="s">
        <v>412</v>
      </c>
      <c r="H70" s="8"/>
      <c r="I70" s="15">
        <v>0</v>
      </c>
      <c r="J70" s="15">
        <v>0</v>
      </c>
      <c r="K70" s="12" t="str">
        <f>HYPERLINK("http://twitter.com","Twitter Web Client")</f>
        <v>Twitter Web Client</v>
      </c>
      <c r="L70" s="16">
        <v>1</v>
      </c>
      <c r="M70" s="16">
        <v>36</v>
      </c>
      <c r="N70" s="16">
        <v>0</v>
      </c>
      <c r="O70" s="17"/>
      <c r="P70" s="18">
        <v>42069.056400462963</v>
      </c>
      <c r="Q70" s="13"/>
      <c r="R70" s="13"/>
      <c r="S70" s="8"/>
      <c r="T70" s="8"/>
      <c r="U70" s="19" t="str">
        <f>HYPERLINK("https://pbs.twimg.com/profile_images/573775642438696962/L1C0sufh.jpeg","View")</f>
        <v>View</v>
      </c>
      <c r="V70" s="8"/>
      <c r="W70" s="8"/>
      <c r="X70" s="8"/>
      <c r="Y70" s="8"/>
      <c r="Z70" s="8"/>
    </row>
    <row r="71" spans="1:26" ht="12.75">
      <c r="A71" s="11">
        <v>43747.243333333332</v>
      </c>
      <c r="B71" s="12" t="str">
        <f>HYPERLINK("https://twitter.com/mubararehaili","@mubararehaili")</f>
        <v>@mubararehaili</v>
      </c>
      <c r="C71" s="13" t="s">
        <v>416</v>
      </c>
      <c r="D71" s="13" t="s">
        <v>417</v>
      </c>
      <c r="E71" s="12" t="str">
        <f>HYPERLINK("https://twitter.com/mubararehaili/status/1181914810147057671","1181914810147057671")</f>
        <v>1181914810147057671</v>
      </c>
      <c r="F71" s="8"/>
      <c r="G71" s="14" t="s">
        <v>418</v>
      </c>
      <c r="H71" s="8"/>
      <c r="I71" s="15">
        <v>0</v>
      </c>
      <c r="J71" s="15">
        <v>0</v>
      </c>
      <c r="K71" s="12" t="str">
        <f>HYPERLINK("http://twitter.com","Twitter Web Client")</f>
        <v>Twitter Web Client</v>
      </c>
      <c r="L71" s="16">
        <v>0</v>
      </c>
      <c r="M71" s="16">
        <v>44</v>
      </c>
      <c r="N71" s="16">
        <v>0</v>
      </c>
      <c r="O71" s="17"/>
      <c r="P71" s="18">
        <v>42074.809259259258</v>
      </c>
      <c r="Q71" s="13"/>
      <c r="R71" s="13"/>
      <c r="S71" s="8"/>
      <c r="T71" s="8"/>
      <c r="U71" s="19" t="str">
        <f>HYPERLINK("https://pbs.twimg.com/profile_images/575846056295976960/1sk-S5O1.jpeg","View")</f>
        <v>View</v>
      </c>
      <c r="V71" s="8"/>
      <c r="W71" s="8"/>
      <c r="X71" s="8"/>
      <c r="Y71" s="8"/>
      <c r="Z71" s="8"/>
    </row>
    <row r="72" spans="1:26" ht="12.75">
      <c r="A72" s="11">
        <v>43747.242233796293</v>
      </c>
      <c r="B72" s="12" t="str">
        <f>HYPERLINK("https://twitter.com/alyazedee78","@alyazedee78")</f>
        <v>@alyazedee78</v>
      </c>
      <c r="C72" s="13" t="s">
        <v>421</v>
      </c>
      <c r="D72" s="13" t="s">
        <v>422</v>
      </c>
      <c r="E72" s="12" t="str">
        <f>HYPERLINK("https://twitter.com/alyazedee78/status/1181914412816490496","1181914412816490496")</f>
        <v>1181914412816490496</v>
      </c>
      <c r="F72" s="8"/>
      <c r="G72" s="14" t="s">
        <v>423</v>
      </c>
      <c r="H72" s="8"/>
      <c r="I72" s="15">
        <v>0</v>
      </c>
      <c r="J72" s="15">
        <v>0</v>
      </c>
      <c r="K72" s="12" t="str">
        <f>HYPERLINK("http://twitter.com","Twitter Web Client")</f>
        <v>Twitter Web Client</v>
      </c>
      <c r="L72" s="16">
        <v>8</v>
      </c>
      <c r="M72" s="16">
        <v>39</v>
      </c>
      <c r="N72" s="16">
        <v>0</v>
      </c>
      <c r="O72" s="17"/>
      <c r="P72" s="18">
        <v>42072.141481481478</v>
      </c>
      <c r="Q72" s="13"/>
      <c r="R72" s="13"/>
      <c r="S72" s="8"/>
      <c r="T72" s="8"/>
      <c r="U72" s="19" t="str">
        <f>HYPERLINK("https://pbs.twimg.com/profile_images/574878369629667329/t3hWd_1C.jpeg","View")</f>
        <v>View</v>
      </c>
      <c r="V72" s="8"/>
      <c r="W72" s="8"/>
      <c r="X72" s="8"/>
      <c r="Y72" s="8"/>
      <c r="Z72" s="8"/>
    </row>
    <row r="73" spans="1:26" ht="12.75">
      <c r="A73" s="11">
        <v>43747.241284722222</v>
      </c>
      <c r="B73" s="12" t="str">
        <f>HYPERLINK("https://twitter.com/hamr343","@hamr343")</f>
        <v>@hamr343</v>
      </c>
      <c r="C73" s="13" t="s">
        <v>427</v>
      </c>
      <c r="D73" s="13" t="s">
        <v>428</v>
      </c>
      <c r="E73" s="12" t="str">
        <f>HYPERLINK("https://twitter.com/hamr343/status/1181914067209990144","1181914067209990144")</f>
        <v>1181914067209990144</v>
      </c>
      <c r="F73" s="8"/>
      <c r="G73" s="14" t="s">
        <v>429</v>
      </c>
      <c r="H73" s="8"/>
      <c r="I73" s="15">
        <v>0</v>
      </c>
      <c r="J73" s="15">
        <v>0</v>
      </c>
      <c r="K73" s="12" t="str">
        <f>HYPERLINK("http://twitter.com","Twitter Web Client")</f>
        <v>Twitter Web Client</v>
      </c>
      <c r="L73" s="16">
        <v>0</v>
      </c>
      <c r="M73" s="16">
        <v>32</v>
      </c>
      <c r="N73" s="16">
        <v>0</v>
      </c>
      <c r="O73" s="17"/>
      <c r="P73" s="18">
        <v>42078.661747685182</v>
      </c>
      <c r="Q73" s="13"/>
      <c r="R73" s="13"/>
      <c r="S73" s="8"/>
      <c r="T73" s="8"/>
      <c r="U73" s="19" t="str">
        <f>HYPERLINK("https://pbs.twimg.com/profile_images/577241301558558720/mu6CZyfE.jpeg","View")</f>
        <v>View</v>
      </c>
      <c r="V73" s="8"/>
      <c r="W73" s="8"/>
      <c r="X73" s="8"/>
      <c r="Y73" s="8"/>
      <c r="Z73" s="8"/>
    </row>
    <row r="74" spans="1:26" ht="12.75">
      <c r="A74" s="11">
        <v>43747.240497685183</v>
      </c>
      <c r="B74" s="12" t="str">
        <f>HYPERLINK("https://twitter.com/faysal_aleanzi","@faysal_aleanzi")</f>
        <v>@faysal_aleanzi</v>
      </c>
      <c r="C74" s="13" t="s">
        <v>433</v>
      </c>
      <c r="D74" s="13" t="s">
        <v>434</v>
      </c>
      <c r="E74" s="12" t="str">
        <f>HYPERLINK("https://twitter.com/faysal_aleanzi/status/1181913784706830337","1181913784706830337")</f>
        <v>1181913784706830337</v>
      </c>
      <c r="F74" s="8"/>
      <c r="G74" s="14" t="s">
        <v>435</v>
      </c>
      <c r="H74" s="8"/>
      <c r="I74" s="15">
        <v>0</v>
      </c>
      <c r="J74" s="15">
        <v>0</v>
      </c>
      <c r="K74" s="12" t="str">
        <f>HYPERLINK("http://twitter.com","Twitter Web Client")</f>
        <v>Twitter Web Client</v>
      </c>
      <c r="L74" s="16">
        <v>13</v>
      </c>
      <c r="M74" s="16">
        <v>124</v>
      </c>
      <c r="N74" s="16">
        <v>0</v>
      </c>
      <c r="O74" s="17"/>
      <c r="P74" s="18">
        <v>41482.404351851852</v>
      </c>
      <c r="Q74" s="13"/>
      <c r="R74" s="13" t="s">
        <v>439</v>
      </c>
      <c r="S74" s="8"/>
      <c r="T74" s="8"/>
      <c r="U74" s="19" t="str">
        <f>HYPERLINK("https://pbs.twimg.com/profile_images/825097647728029696/UXWbd8dt.jpg","View")</f>
        <v>View</v>
      </c>
      <c r="V74" s="8"/>
      <c r="W74" s="8"/>
      <c r="X74" s="8"/>
      <c r="Y74" s="8"/>
      <c r="Z74" s="8"/>
    </row>
    <row r="75" spans="1:26" ht="12.75">
      <c r="A75" s="11">
        <v>43747.239583333328</v>
      </c>
      <c r="B75" s="12" t="str">
        <f>HYPERLINK("https://twitter.com/yahyasheikhi","@yahyasheikhi")</f>
        <v>@yahyasheikhi</v>
      </c>
      <c r="C75" s="13" t="s">
        <v>441</v>
      </c>
      <c r="D75" s="13" t="s">
        <v>443</v>
      </c>
      <c r="E75" s="12" t="str">
        <f>HYPERLINK("https://twitter.com/yahyasheikhi/status/1181913450412421120","1181913450412421120")</f>
        <v>1181913450412421120</v>
      </c>
      <c r="F75" s="8"/>
      <c r="G75" s="14" t="s">
        <v>444</v>
      </c>
      <c r="H75" s="8"/>
      <c r="I75" s="15">
        <v>0</v>
      </c>
      <c r="J75" s="15">
        <v>0</v>
      </c>
      <c r="K75" s="12" t="str">
        <f>HYPERLINK("http://twitter.com","Twitter Web Client")</f>
        <v>Twitter Web Client</v>
      </c>
      <c r="L75" s="16">
        <v>0</v>
      </c>
      <c r="M75" s="16">
        <v>36</v>
      </c>
      <c r="N75" s="16">
        <v>0</v>
      </c>
      <c r="O75" s="17"/>
      <c r="P75" s="18">
        <v>42025.213275462964</v>
      </c>
      <c r="Q75" s="13"/>
      <c r="R75" s="13"/>
      <c r="S75" s="8"/>
      <c r="T75" s="8"/>
      <c r="U75" s="19" t="str">
        <f>HYPERLINK("https://pbs.twimg.com/profile_images/557887311501746176/AF-ars4b.jpeg","View")</f>
        <v>View</v>
      </c>
      <c r="V75" s="8"/>
      <c r="W75" s="8"/>
      <c r="X75" s="8"/>
      <c r="Y75" s="8"/>
      <c r="Z75" s="8"/>
    </row>
    <row r="76" spans="1:26" ht="12.75">
      <c r="A76" s="11">
        <v>43747.239421296297</v>
      </c>
      <c r="B76" s="12" t="str">
        <f>HYPERLINK("https://twitter.com/elma3es333","@elma3es333")</f>
        <v>@elma3es333</v>
      </c>
      <c r="C76" s="13" t="s">
        <v>449</v>
      </c>
      <c r="D76" s="13" t="s">
        <v>450</v>
      </c>
      <c r="E76" s="12" t="str">
        <f>HYPERLINK("https://twitter.com/elma3es333/status/1181913395232149505","1181913395232149505")</f>
        <v>1181913395232149505</v>
      </c>
      <c r="F76" s="8"/>
      <c r="G76" s="14" t="s">
        <v>452</v>
      </c>
      <c r="H76" s="8"/>
      <c r="I76" s="15">
        <v>0</v>
      </c>
      <c r="J76" s="15">
        <v>0</v>
      </c>
      <c r="K76" s="12" t="str">
        <f>HYPERLINK("http://twitter.com","Twitter Web Client")</f>
        <v>Twitter Web Client</v>
      </c>
      <c r="L76" s="16">
        <v>5</v>
      </c>
      <c r="M76" s="16">
        <v>44</v>
      </c>
      <c r="N76" s="16">
        <v>0</v>
      </c>
      <c r="O76" s="17"/>
      <c r="P76" s="18">
        <v>42072.636990740742</v>
      </c>
      <c r="Q76" s="13"/>
      <c r="R76" s="13"/>
      <c r="S76" s="8"/>
      <c r="T76" s="8"/>
      <c r="U76" s="19" t="str">
        <f>HYPERLINK("https://pbs.twimg.com/profile_images/575058037674651649/oEze_p43.jpeg","View")</f>
        <v>View</v>
      </c>
      <c r="V76" s="8"/>
      <c r="W76" s="8"/>
      <c r="X76" s="8"/>
      <c r="Y76" s="8"/>
      <c r="Z76" s="8"/>
    </row>
    <row r="77" spans="1:26" ht="12.75">
      <c r="A77" s="11">
        <v>43747.239120370374</v>
      </c>
      <c r="B77" s="12" t="str">
        <f>HYPERLINK("https://twitter.com/alharabiie7876","@alharabiie7876")</f>
        <v>@alharabiie7876</v>
      </c>
      <c r="C77" s="13" t="s">
        <v>454</v>
      </c>
      <c r="D77" s="13" t="s">
        <v>455</v>
      </c>
      <c r="E77" s="12" t="str">
        <f>HYPERLINK("https://twitter.com/alharabiie7876/status/1181913282564608003","1181913282564608003")</f>
        <v>1181913282564608003</v>
      </c>
      <c r="F77" s="8"/>
      <c r="G77" s="14" t="s">
        <v>456</v>
      </c>
      <c r="H77" s="8"/>
      <c r="I77" s="15">
        <v>0</v>
      </c>
      <c r="J77" s="15">
        <v>0</v>
      </c>
      <c r="K77" s="12" t="str">
        <f>HYPERLINK("http://twitter.com","Twitter Web Client")</f>
        <v>Twitter Web Client</v>
      </c>
      <c r="L77" s="16">
        <v>6</v>
      </c>
      <c r="M77" s="16">
        <v>52</v>
      </c>
      <c r="N77" s="16">
        <v>0</v>
      </c>
      <c r="O77" s="17"/>
      <c r="P77" s="18">
        <v>42072.163101851853</v>
      </c>
      <c r="Q77" s="13"/>
      <c r="R77" s="13"/>
      <c r="S77" s="8"/>
      <c r="T77" s="8"/>
      <c r="U77" s="19" t="str">
        <f>HYPERLINK("https://pbs.twimg.com/profile_images/574886171018293248/7wDlDxB2.jpeg","View")</f>
        <v>View</v>
      </c>
      <c r="V77" s="8"/>
      <c r="W77" s="8"/>
      <c r="X77" s="8"/>
      <c r="Y77" s="8"/>
      <c r="Z77" s="8"/>
    </row>
    <row r="78" spans="1:26" ht="12.75">
      <c r="A78" s="11">
        <v>43747.238495370373</v>
      </c>
      <c r="B78" s="12" t="str">
        <f>HYPERLINK("https://twitter.com/AlroogyMansur","@AlroogyMansur")</f>
        <v>@AlroogyMansur</v>
      </c>
      <c r="C78" s="13" t="s">
        <v>457</v>
      </c>
      <c r="D78" s="13" t="s">
        <v>458</v>
      </c>
      <c r="E78" s="12" t="str">
        <f>HYPERLINK("https://twitter.com/AlroogyMansur/status/1181913056420470785","1181913056420470785")</f>
        <v>1181913056420470785</v>
      </c>
      <c r="F78" s="8"/>
      <c r="G78" s="14" t="s">
        <v>459</v>
      </c>
      <c r="H78" s="8"/>
      <c r="I78" s="15">
        <v>0</v>
      </c>
      <c r="J78" s="15">
        <v>0</v>
      </c>
      <c r="K78" s="12" t="str">
        <f>HYPERLINK("http://twitter.com","Twitter Web Client")</f>
        <v>Twitter Web Client</v>
      </c>
      <c r="L78" s="16">
        <v>1</v>
      </c>
      <c r="M78" s="16">
        <v>37</v>
      </c>
      <c r="N78" s="16">
        <v>0</v>
      </c>
      <c r="O78" s="17"/>
      <c r="P78" s="18">
        <v>42075.27506944444</v>
      </c>
      <c r="Q78" s="13"/>
      <c r="R78" s="13"/>
      <c r="S78" s="8"/>
      <c r="T78" s="8"/>
      <c r="U78" s="19" t="str">
        <f>HYPERLINK("https://pbs.twimg.com/profile_images/576014638908735488/Ck5kT_tb.jpeg","View")</f>
        <v>View</v>
      </c>
      <c r="V78" s="8"/>
      <c r="W78" s="8"/>
      <c r="X78" s="8"/>
      <c r="Y78" s="8"/>
      <c r="Z78" s="8"/>
    </row>
    <row r="79" spans="1:26" ht="12.75">
      <c r="A79" s="11">
        <v>43747.23741898148</v>
      </c>
      <c r="B79" s="12" t="str">
        <f>HYPERLINK("https://twitter.com/AliOyazidi","@AliOyazidi")</f>
        <v>@AliOyazidi</v>
      </c>
      <c r="C79" s="13" t="s">
        <v>463</v>
      </c>
      <c r="D79" s="13" t="s">
        <v>464</v>
      </c>
      <c r="E79" s="12" t="str">
        <f>HYPERLINK("https://twitter.com/AliOyazidi/status/1181912668443222016","1181912668443222016")</f>
        <v>1181912668443222016</v>
      </c>
      <c r="F79" s="8"/>
      <c r="G79" s="14" t="s">
        <v>465</v>
      </c>
      <c r="H79" s="8"/>
      <c r="I79" s="15">
        <v>0</v>
      </c>
      <c r="J79" s="15">
        <v>0</v>
      </c>
      <c r="K79" s="12" t="str">
        <f>HYPERLINK("http://twitter.com","Twitter Web Client")</f>
        <v>Twitter Web Client</v>
      </c>
      <c r="L79" s="16">
        <v>9</v>
      </c>
      <c r="M79" s="16">
        <v>38</v>
      </c>
      <c r="N79" s="16">
        <v>0</v>
      </c>
      <c r="O79" s="17"/>
      <c r="P79" s="18">
        <v>42072.332256944443</v>
      </c>
      <c r="Q79" s="13"/>
      <c r="R79" s="13"/>
      <c r="S79" s="8"/>
      <c r="T79" s="8"/>
      <c r="U79" s="19" t="str">
        <f>HYPERLINK("https://pbs.twimg.com/profile_images/574948057067880448/WE_ogwTy.jpeg","View")</f>
        <v>View</v>
      </c>
      <c r="V79" s="8"/>
      <c r="W79" s="8"/>
      <c r="X79" s="8"/>
      <c r="Y79" s="8"/>
      <c r="Z79" s="8"/>
    </row>
    <row r="80" spans="1:26" ht="12.75">
      <c r="A80" s="11">
        <v>43747.237256944441</v>
      </c>
      <c r="B80" s="12" t="str">
        <f>HYPERLINK("https://twitter.com/alsahalii33","@alsahalii33")</f>
        <v>@alsahalii33</v>
      </c>
      <c r="C80" s="13" t="s">
        <v>468</v>
      </c>
      <c r="D80" s="13" t="s">
        <v>469</v>
      </c>
      <c r="E80" s="12" t="str">
        <f>HYPERLINK("https://twitter.com/alsahalii33/status/1181912609714528258","1181912609714528258")</f>
        <v>1181912609714528258</v>
      </c>
      <c r="F80" s="8"/>
      <c r="G80" s="14" t="s">
        <v>472</v>
      </c>
      <c r="H80" s="8"/>
      <c r="I80" s="15">
        <v>0</v>
      </c>
      <c r="J80" s="15">
        <v>0</v>
      </c>
      <c r="K80" s="12" t="str">
        <f>HYPERLINK("http://twitter.com","Twitter Web Client")</f>
        <v>Twitter Web Client</v>
      </c>
      <c r="L80" s="16">
        <v>9</v>
      </c>
      <c r="M80" s="16">
        <v>33</v>
      </c>
      <c r="N80" s="16">
        <v>0</v>
      </c>
      <c r="O80" s="17"/>
      <c r="P80" s="18">
        <v>42077.300324074073</v>
      </c>
      <c r="Q80" s="13"/>
      <c r="R80" s="13"/>
      <c r="S80" s="8"/>
      <c r="T80" s="8"/>
      <c r="U80" s="19" t="str">
        <f>HYPERLINK("https://pbs.twimg.com/profile_images/576747856595283968/N89iD24u.jpeg","View")</f>
        <v>View</v>
      </c>
      <c r="V80" s="8"/>
      <c r="W80" s="8"/>
      <c r="X80" s="8"/>
      <c r="Y80" s="8"/>
      <c r="Z80" s="8"/>
    </row>
    <row r="81" spans="1:26" ht="12.75">
      <c r="A81" s="11">
        <v>43747.236250000002</v>
      </c>
      <c r="B81" s="12" t="str">
        <f>HYPERLINK("https://twitter.com/mohd_87_","@mohd_87_")</f>
        <v>@mohd_87_</v>
      </c>
      <c r="C81" s="13" t="s">
        <v>475</v>
      </c>
      <c r="D81" s="13" t="s">
        <v>476</v>
      </c>
      <c r="E81" s="12" t="str">
        <f>HYPERLINK("https://twitter.com/mohd_87_/status/1181912243086249984","1181912243086249984")</f>
        <v>1181912243086249984</v>
      </c>
      <c r="F81" s="8"/>
      <c r="G81" s="7"/>
      <c r="H81" s="8"/>
      <c r="I81" s="15">
        <v>0</v>
      </c>
      <c r="J81" s="15">
        <v>0</v>
      </c>
      <c r="K81" s="12" t="str">
        <f>HYPERLINK("http://twitter.com/download/iphone","Twitter for iPhone")</f>
        <v>Twitter for iPhone</v>
      </c>
      <c r="L81" s="16">
        <v>284</v>
      </c>
      <c r="M81" s="16">
        <v>143</v>
      </c>
      <c r="N81" s="16">
        <v>3</v>
      </c>
      <c r="O81" s="17"/>
      <c r="P81" s="18">
        <v>41381.385127314818</v>
      </c>
      <c r="Q81" s="7" t="s">
        <v>477</v>
      </c>
      <c r="R81" s="13"/>
      <c r="S81" s="8"/>
      <c r="T81" s="8"/>
      <c r="U81" s="19" t="str">
        <f>HYPERLINK("https://pbs.twimg.com/profile_images/1168955771431923713/nGNuHQMm.jpg","View")</f>
        <v>View</v>
      </c>
      <c r="V81" s="8"/>
      <c r="W81" s="8"/>
      <c r="X81" s="8"/>
      <c r="Y81" s="8"/>
      <c r="Z81" s="8"/>
    </row>
    <row r="82" spans="1:26" ht="12.75">
      <c r="A82" s="11">
        <v>43747.236030092594</v>
      </c>
      <c r="B82" s="12" t="str">
        <f>HYPERLINK("https://twitter.com/hassanalharitea","@hassanalharitea")</f>
        <v>@hassanalharitea</v>
      </c>
      <c r="C82" s="13" t="s">
        <v>478</v>
      </c>
      <c r="D82" s="13" t="s">
        <v>479</v>
      </c>
      <c r="E82" s="12" t="str">
        <f>HYPERLINK("https://twitter.com/hassanalharitea/status/1181912162874413056","1181912162874413056")</f>
        <v>1181912162874413056</v>
      </c>
      <c r="F82" s="8"/>
      <c r="G82" s="14" t="s">
        <v>480</v>
      </c>
      <c r="H82" s="8"/>
      <c r="I82" s="15">
        <v>0</v>
      </c>
      <c r="J82" s="15">
        <v>0</v>
      </c>
      <c r="K82" s="12" t="str">
        <f>HYPERLINK("http://twitter.com","Twitter Web Client")</f>
        <v>Twitter Web Client</v>
      </c>
      <c r="L82" s="16">
        <v>2</v>
      </c>
      <c r="M82" s="16">
        <v>37</v>
      </c>
      <c r="N82" s="16">
        <v>0</v>
      </c>
      <c r="O82" s="17"/>
      <c r="P82" s="18">
        <v>42081.773194444446</v>
      </c>
      <c r="Q82" s="13"/>
      <c r="R82" s="13"/>
      <c r="S82" s="8"/>
      <c r="T82" s="8"/>
      <c r="U82" s="19" t="str">
        <f>HYPERLINK("https://pbs.twimg.com/profile_images/578371945584070657/QEMVV2-d.jpeg","View")</f>
        <v>View</v>
      </c>
      <c r="V82" s="8"/>
      <c r="W82" s="8"/>
      <c r="X82" s="8"/>
      <c r="Y82" s="8"/>
      <c r="Z82" s="8"/>
    </row>
    <row r="83" spans="1:26" ht="12.75">
      <c r="A83" s="11">
        <v>43747.235868055555</v>
      </c>
      <c r="B83" s="12" t="str">
        <f>HYPERLINK("https://twitter.com/osmaa34234","@osmaa34234")</f>
        <v>@osmaa34234</v>
      </c>
      <c r="C83" s="13" t="s">
        <v>484</v>
      </c>
      <c r="D83" s="13" t="s">
        <v>485</v>
      </c>
      <c r="E83" s="12" t="str">
        <f>HYPERLINK("https://twitter.com/osmaa34234/status/1181912104695222273","1181912104695222273")</f>
        <v>1181912104695222273</v>
      </c>
      <c r="F83" s="8"/>
      <c r="G83" s="14" t="s">
        <v>486</v>
      </c>
      <c r="H83" s="8"/>
      <c r="I83" s="15">
        <v>0</v>
      </c>
      <c r="J83" s="15">
        <v>0</v>
      </c>
      <c r="K83" s="12" t="str">
        <f>HYPERLINK("http://twitter.com","Twitter Web Client")</f>
        <v>Twitter Web Client</v>
      </c>
      <c r="L83" s="16">
        <v>15</v>
      </c>
      <c r="M83" s="16">
        <v>40</v>
      </c>
      <c r="N83" s="16">
        <v>0</v>
      </c>
      <c r="O83" s="17"/>
      <c r="P83" s="18">
        <v>42073.379351851851</v>
      </c>
      <c r="Q83" s="13"/>
      <c r="R83" s="13"/>
      <c r="S83" s="8"/>
      <c r="T83" s="8"/>
      <c r="U83" s="19" t="str">
        <f>HYPERLINK("https://pbs.twimg.com/profile_images/575326974895202304/PaDPCN_z.jpeg","View")</f>
        <v>View</v>
      </c>
      <c r="V83" s="8"/>
      <c r="W83" s="8"/>
      <c r="X83" s="8"/>
      <c r="Y83" s="8"/>
      <c r="Z83" s="8"/>
    </row>
    <row r="84" spans="1:26" ht="12.75">
      <c r="A84" s="11">
        <v>43747.234918981485</v>
      </c>
      <c r="B84" s="12" t="str">
        <f>HYPERLINK("https://twitter.com/alkorani33","@alkorani33")</f>
        <v>@alkorani33</v>
      </c>
      <c r="C84" s="13" t="s">
        <v>488</v>
      </c>
      <c r="D84" s="13" t="s">
        <v>489</v>
      </c>
      <c r="E84" s="12" t="str">
        <f>HYPERLINK("https://twitter.com/alkorani33/status/1181911760586117126","1181911760586117126")</f>
        <v>1181911760586117126</v>
      </c>
      <c r="F84" s="8"/>
      <c r="G84" s="14" t="s">
        <v>490</v>
      </c>
      <c r="H84" s="8"/>
      <c r="I84" s="15">
        <v>0</v>
      </c>
      <c r="J84" s="15">
        <v>0</v>
      </c>
      <c r="K84" s="12" t="str">
        <f>HYPERLINK("http://twitter.com","Twitter Web Client")</f>
        <v>Twitter Web Client</v>
      </c>
      <c r="L84" s="16">
        <v>3</v>
      </c>
      <c r="M84" s="16">
        <v>35</v>
      </c>
      <c r="N84" s="16">
        <v>0</v>
      </c>
      <c r="O84" s="17"/>
      <c r="P84" s="18">
        <v>42083.263888888891</v>
      </c>
      <c r="Q84" s="13"/>
      <c r="R84" s="13"/>
      <c r="S84" s="8"/>
      <c r="T84" s="8"/>
      <c r="U84" s="19" t="str">
        <f>HYPERLINK("https://pbs.twimg.com/profile_images/578909066350583809/uNcL3iBt.jpeg","View")</f>
        <v>View</v>
      </c>
      <c r="V84" s="8"/>
      <c r="W84" s="8"/>
      <c r="X84" s="8"/>
      <c r="Y84" s="8"/>
      <c r="Z84" s="8"/>
    </row>
    <row r="85" spans="1:26" ht="12.75">
      <c r="A85" s="11">
        <v>43747.234432870369</v>
      </c>
      <c r="B85" s="12" t="str">
        <f>HYPERLINK("https://twitter.com/elkahatany_88","@elkahatany_88")</f>
        <v>@elkahatany_88</v>
      </c>
      <c r="C85" s="13" t="s">
        <v>493</v>
      </c>
      <c r="D85" s="13" t="s">
        <v>494</v>
      </c>
      <c r="E85" s="12" t="str">
        <f>HYPERLINK("https://twitter.com/elkahatany_88/status/1181911586639925248","1181911586639925248")</f>
        <v>1181911586639925248</v>
      </c>
      <c r="F85" s="8"/>
      <c r="G85" s="14" t="s">
        <v>495</v>
      </c>
      <c r="H85" s="8"/>
      <c r="I85" s="15">
        <v>0</v>
      </c>
      <c r="J85" s="15">
        <v>0</v>
      </c>
      <c r="K85" s="12" t="str">
        <f>HYPERLINK("http://twitter.com","Twitter Web Client")</f>
        <v>Twitter Web Client</v>
      </c>
      <c r="L85" s="16">
        <v>8</v>
      </c>
      <c r="M85" s="16">
        <v>43</v>
      </c>
      <c r="N85" s="16">
        <v>0</v>
      </c>
      <c r="O85" s="17"/>
      <c r="P85" s="18">
        <v>42075.215162037042</v>
      </c>
      <c r="Q85" s="13"/>
      <c r="R85" s="13"/>
      <c r="S85" s="8"/>
      <c r="T85" s="8"/>
      <c r="U85" s="19" t="str">
        <f>HYPERLINK("https://pbs.twimg.com/profile_images/575992204725878785/pnR08gXq.jpeg","View")</f>
        <v>View</v>
      </c>
      <c r="V85" s="8"/>
      <c r="W85" s="8"/>
      <c r="X85" s="8"/>
      <c r="Y85" s="8"/>
      <c r="Z85" s="8"/>
    </row>
    <row r="86" spans="1:26" ht="12.75">
      <c r="A86" s="11">
        <v>43747.23302083333</v>
      </c>
      <c r="B86" s="12" t="str">
        <f>HYPERLINK("https://twitter.com/alhabane33","@alhabane33")</f>
        <v>@alhabane33</v>
      </c>
      <c r="C86" s="13" t="s">
        <v>500</v>
      </c>
      <c r="D86" s="13" t="s">
        <v>501</v>
      </c>
      <c r="E86" s="12" t="str">
        <f>HYPERLINK("https://twitter.com/alhabane33/status/1181911075509415936","1181911075509415936")</f>
        <v>1181911075509415936</v>
      </c>
      <c r="F86" s="8"/>
      <c r="G86" s="14" t="s">
        <v>503</v>
      </c>
      <c r="H86" s="8"/>
      <c r="I86" s="15">
        <v>0</v>
      </c>
      <c r="J86" s="15">
        <v>0</v>
      </c>
      <c r="K86" s="12" t="str">
        <f>HYPERLINK("http://twitter.com","Twitter Web Client")</f>
        <v>Twitter Web Client</v>
      </c>
      <c r="L86" s="16">
        <v>1</v>
      </c>
      <c r="M86" s="16">
        <v>37</v>
      </c>
      <c r="N86" s="16">
        <v>0</v>
      </c>
      <c r="O86" s="17"/>
      <c r="P86" s="18">
        <v>42074.271701388891</v>
      </c>
      <c r="Q86" s="13"/>
      <c r="R86" s="13"/>
      <c r="S86" s="8"/>
      <c r="T86" s="8"/>
      <c r="U86" s="19" t="str">
        <f>HYPERLINK("https://pbs.twimg.com/profile_images/575650777571532800/CXtzGue3.jpeg","View")</f>
        <v>View</v>
      </c>
      <c r="V86" s="8"/>
      <c r="W86" s="8"/>
      <c r="X86" s="8"/>
      <c r="Y86" s="8"/>
      <c r="Z86" s="8"/>
    </row>
    <row r="87" spans="1:26" ht="12.75">
      <c r="A87" s="11">
        <v>43747.231990740736</v>
      </c>
      <c r="B87" s="12" t="str">
        <f>HYPERLINK("https://twitter.com/artisteboy","@artisteboy")</f>
        <v>@artisteboy</v>
      </c>
      <c r="C87" s="7" t="s">
        <v>505</v>
      </c>
      <c r="D87" s="7" t="s">
        <v>506</v>
      </c>
      <c r="E87" s="12" t="str">
        <f>HYPERLINK("https://twitter.com/artisteboy/status/1181910701692076032","1181910701692076032")</f>
        <v>1181910701692076032</v>
      </c>
      <c r="F87" s="8"/>
      <c r="G87" s="7"/>
      <c r="H87" s="8"/>
      <c r="I87" s="15">
        <v>0</v>
      </c>
      <c r="J87" s="15">
        <v>0</v>
      </c>
      <c r="K87" s="12" t="str">
        <f>HYPERLINK("http://twitter.com/download/android","Twitter for Android")</f>
        <v>Twitter for Android</v>
      </c>
      <c r="L87" s="16">
        <v>1143</v>
      </c>
      <c r="M87" s="16">
        <v>1126</v>
      </c>
      <c r="N87" s="16">
        <v>6</v>
      </c>
      <c r="O87" s="17"/>
      <c r="P87" s="18">
        <v>41278.867881944447</v>
      </c>
      <c r="Q87" s="7" t="s">
        <v>507</v>
      </c>
      <c r="R87" s="7" t="s">
        <v>508</v>
      </c>
      <c r="S87" s="8"/>
      <c r="T87" s="8"/>
      <c r="U87" s="19" t="str">
        <f>HYPERLINK("https://pbs.twimg.com/profile_images/909246728125255680/Vk1UjabO.jpg","View")</f>
        <v>View</v>
      </c>
      <c r="V87" s="8"/>
      <c r="W87" s="8"/>
      <c r="X87" s="8"/>
      <c r="Y87" s="8"/>
      <c r="Z87" s="8"/>
    </row>
    <row r="88" spans="1:26" ht="12.75">
      <c r="A88" s="11">
        <v>43747.231041666666</v>
      </c>
      <c r="B88" s="12" t="str">
        <f>HYPERLINK("https://twitter.com/anrasa2","@anrasa2")</f>
        <v>@anrasa2</v>
      </c>
      <c r="C88" s="7" t="s">
        <v>509</v>
      </c>
      <c r="D88" s="7" t="s">
        <v>510</v>
      </c>
      <c r="E88" s="12" t="str">
        <f>HYPERLINK("https://twitter.com/anrasa2/status/1181910355062050816","1181910355062050816")</f>
        <v>1181910355062050816</v>
      </c>
      <c r="F88" s="8"/>
      <c r="G88" s="7"/>
      <c r="H88" s="8"/>
      <c r="I88" s="15">
        <v>0</v>
      </c>
      <c r="J88" s="15">
        <v>0</v>
      </c>
      <c r="K88" s="12" t="str">
        <f>HYPERLINK("https://mobile.twitter.com","Twitter Web App")</f>
        <v>Twitter Web App</v>
      </c>
      <c r="L88" s="16">
        <v>2</v>
      </c>
      <c r="M88" s="16">
        <v>1</v>
      </c>
      <c r="N88" s="16">
        <v>0</v>
      </c>
      <c r="O88" s="17"/>
      <c r="P88" s="18">
        <v>43663.936909722222</v>
      </c>
      <c r="Q88" s="13"/>
      <c r="R88" s="13"/>
      <c r="S88" s="8"/>
      <c r="T88" s="8"/>
      <c r="U88" s="20" t="s">
        <v>354</v>
      </c>
      <c r="V88" s="8"/>
      <c r="W88" s="8"/>
      <c r="X88" s="8"/>
      <c r="Y88" s="8"/>
      <c r="Z88" s="8"/>
    </row>
    <row r="89" spans="1:26" ht="12.75">
      <c r="A89" s="11">
        <v>43747.23065972222</v>
      </c>
      <c r="B89" s="12" t="str">
        <f>HYPERLINK("https://twitter.com/ghazibinfahd1","@ghazibinfahd1")</f>
        <v>@ghazibinfahd1</v>
      </c>
      <c r="C89" s="13" t="s">
        <v>511</v>
      </c>
      <c r="D89" s="13" t="s">
        <v>512</v>
      </c>
      <c r="E89" s="12" t="str">
        <f>HYPERLINK("https://twitter.com/ghazibinfahd1/status/1181910219598774272","1181910219598774272")</f>
        <v>1181910219598774272</v>
      </c>
      <c r="F89" s="8"/>
      <c r="G89" s="14" t="s">
        <v>513</v>
      </c>
      <c r="H89" s="8"/>
      <c r="I89" s="15">
        <v>0</v>
      </c>
      <c r="J89" s="15">
        <v>0</v>
      </c>
      <c r="K89" s="12" t="str">
        <f>HYPERLINK("http://twitter.com","Twitter Web Client")</f>
        <v>Twitter Web Client</v>
      </c>
      <c r="L89" s="16">
        <v>0</v>
      </c>
      <c r="M89" s="16">
        <v>34</v>
      </c>
      <c r="N89" s="16">
        <v>0</v>
      </c>
      <c r="O89" s="17"/>
      <c r="P89" s="18">
        <v>42023.163148148145</v>
      </c>
      <c r="Q89" s="13"/>
      <c r="R89" s="13"/>
      <c r="S89" s="8"/>
      <c r="T89" s="8"/>
      <c r="U89" s="19" t="str">
        <f>HYPERLINK("https://pbs.twimg.com/profile_images/557145536252243971/G8lCzaXp.jpeg","View")</f>
        <v>View</v>
      </c>
      <c r="V89" s="8"/>
      <c r="W89" s="8"/>
      <c r="X89" s="8"/>
      <c r="Y89" s="8"/>
      <c r="Z89" s="8"/>
    </row>
    <row r="90" spans="1:26" ht="12.75">
      <c r="A90" s="11">
        <v>43747.229733796295</v>
      </c>
      <c r="B90" s="12" t="str">
        <f>HYPERLINK("https://twitter.com/albalawi_han","@albalawi_han")</f>
        <v>@albalawi_han</v>
      </c>
      <c r="C90" s="13" t="s">
        <v>516</v>
      </c>
      <c r="D90" s="13" t="s">
        <v>517</v>
      </c>
      <c r="E90" s="12" t="str">
        <f>HYPERLINK("https://twitter.com/albalawi_han/status/1181909884301910016","1181909884301910016")</f>
        <v>1181909884301910016</v>
      </c>
      <c r="F90" s="8"/>
      <c r="G90" s="14" t="s">
        <v>520</v>
      </c>
      <c r="H90" s="8"/>
      <c r="I90" s="15">
        <v>0</v>
      </c>
      <c r="J90" s="15">
        <v>0</v>
      </c>
      <c r="K90" s="12" t="str">
        <f>HYPERLINK("http://twitter.com","Twitter Web Client")</f>
        <v>Twitter Web Client</v>
      </c>
      <c r="L90" s="16">
        <v>3</v>
      </c>
      <c r="M90" s="16">
        <v>52</v>
      </c>
      <c r="N90" s="16">
        <v>0</v>
      </c>
      <c r="O90" s="17"/>
      <c r="P90" s="18">
        <v>42087.253425925926</v>
      </c>
      <c r="Q90" s="13"/>
      <c r="R90" s="13"/>
      <c r="S90" s="8"/>
      <c r="T90" s="8"/>
      <c r="U90" s="19" t="str">
        <f>HYPERLINK("https://pbs.twimg.com/profile_images/580354893073948672/j_NpCu_G.jpg","View")</f>
        <v>View</v>
      </c>
      <c r="V90" s="8"/>
      <c r="W90" s="8"/>
      <c r="X90" s="8"/>
      <c r="Y90" s="8"/>
      <c r="Z90" s="8"/>
    </row>
    <row r="91" spans="1:26" ht="12.75">
      <c r="A91" s="11">
        <v>43747.229421296295</v>
      </c>
      <c r="B91" s="12" t="str">
        <f>HYPERLINK("https://twitter.com/nasseralhamda14","@nasseralhamda14")</f>
        <v>@nasseralhamda14</v>
      </c>
      <c r="C91" s="13" t="s">
        <v>523</v>
      </c>
      <c r="D91" s="13" t="s">
        <v>524</v>
      </c>
      <c r="E91" s="12" t="str">
        <f>HYPERLINK("https://twitter.com/nasseralhamda14/status/1181909767834554370","1181909767834554370")</f>
        <v>1181909767834554370</v>
      </c>
      <c r="F91" s="8"/>
      <c r="G91" s="14" t="s">
        <v>527</v>
      </c>
      <c r="H91" s="8"/>
      <c r="I91" s="15">
        <v>0</v>
      </c>
      <c r="J91" s="15">
        <v>0</v>
      </c>
      <c r="K91" s="12" t="str">
        <f>HYPERLINK("http://twitter.com","Twitter Web Client")</f>
        <v>Twitter Web Client</v>
      </c>
      <c r="L91" s="16">
        <v>2</v>
      </c>
      <c r="M91" s="16">
        <v>33</v>
      </c>
      <c r="N91" s="16">
        <v>0</v>
      </c>
      <c r="O91" s="17"/>
      <c r="P91" s="18">
        <v>42019.230532407411</v>
      </c>
      <c r="Q91" s="13"/>
      <c r="R91" s="13"/>
      <c r="S91" s="8"/>
      <c r="T91" s="8"/>
      <c r="U91" s="19" t="str">
        <f>HYPERLINK("https://pbs.twimg.com/profile_images/555719813511663616/zjylngvO.jpeg","View")</f>
        <v>View</v>
      </c>
      <c r="V91" s="8"/>
      <c r="W91" s="8"/>
      <c r="X91" s="8"/>
      <c r="Y91" s="8"/>
      <c r="Z91" s="8"/>
    </row>
    <row r="92" spans="1:26" ht="12.75">
      <c r="A92" s="11">
        <v>43747.228935185187</v>
      </c>
      <c r="B92" s="12" t="str">
        <f>HYPERLINK("https://twitter.com/hassanoharith1","@hassanoharith1")</f>
        <v>@hassanoharith1</v>
      </c>
      <c r="C92" s="13" t="s">
        <v>478</v>
      </c>
      <c r="D92" s="13" t="s">
        <v>530</v>
      </c>
      <c r="E92" s="12" t="str">
        <f>HYPERLINK("https://twitter.com/hassanoharith1/status/1181909595301847045","1181909595301847045")</f>
        <v>1181909595301847045</v>
      </c>
      <c r="F92" s="8"/>
      <c r="G92" s="14" t="s">
        <v>532</v>
      </c>
      <c r="H92" s="8"/>
      <c r="I92" s="15">
        <v>0</v>
      </c>
      <c r="J92" s="15">
        <v>0</v>
      </c>
      <c r="K92" s="12" t="str">
        <f>HYPERLINK("http://twitter.com","Twitter Web Client")</f>
        <v>Twitter Web Client</v>
      </c>
      <c r="L92" s="16">
        <v>0</v>
      </c>
      <c r="M92" s="16">
        <v>44</v>
      </c>
      <c r="N92" s="16">
        <v>0</v>
      </c>
      <c r="O92" s="17"/>
      <c r="P92" s="18">
        <v>42074.146087962959</v>
      </c>
      <c r="Q92" s="13"/>
      <c r="R92" s="13"/>
      <c r="S92" s="8"/>
      <c r="T92" s="8"/>
      <c r="U92" s="19" t="str">
        <f>HYPERLINK("https://pbs.twimg.com/profile_images/575606037568323584/x5qKXr4C.jpeg","View")</f>
        <v>View</v>
      </c>
      <c r="V92" s="8"/>
      <c r="W92" s="8"/>
      <c r="X92" s="8"/>
      <c r="Y92" s="8"/>
      <c r="Z92" s="8"/>
    </row>
    <row r="93" spans="1:26" ht="12.75">
      <c r="A93" s="11">
        <v>43747.228645833333</v>
      </c>
      <c r="B93" s="12" t="str">
        <f>HYPERLINK("https://twitter.com/hamadaljuhan","@hamadaljuhan")</f>
        <v>@hamadaljuhan</v>
      </c>
      <c r="C93" s="13" t="s">
        <v>534</v>
      </c>
      <c r="D93" s="13" t="s">
        <v>535</v>
      </c>
      <c r="E93" s="12" t="str">
        <f>HYPERLINK("https://twitter.com/hamadaljuhan/status/1181909490423259136","1181909490423259136")</f>
        <v>1181909490423259136</v>
      </c>
      <c r="F93" s="8"/>
      <c r="G93" s="14" t="s">
        <v>536</v>
      </c>
      <c r="H93" s="8"/>
      <c r="I93" s="15">
        <v>0</v>
      </c>
      <c r="J93" s="15">
        <v>0</v>
      </c>
      <c r="K93" s="12" t="str">
        <f>HYPERLINK("http://twitter.com","Twitter Web Client")</f>
        <v>Twitter Web Client</v>
      </c>
      <c r="L93" s="16">
        <v>2</v>
      </c>
      <c r="M93" s="16">
        <v>34</v>
      </c>
      <c r="N93" s="16">
        <v>0</v>
      </c>
      <c r="O93" s="17"/>
      <c r="P93" s="18">
        <v>42073.696273148147</v>
      </c>
      <c r="Q93" s="13"/>
      <c r="R93" s="13"/>
      <c r="S93" s="8"/>
      <c r="T93" s="8"/>
      <c r="U93" s="19" t="str">
        <f>HYPERLINK("https://pbs.twimg.com/profile_images/575445249109024769/tBUVcwja.jpeg","View")</f>
        <v>View</v>
      </c>
      <c r="V93" s="8"/>
      <c r="W93" s="8"/>
      <c r="X93" s="8"/>
      <c r="Y93" s="8"/>
      <c r="Z93" s="8"/>
    </row>
    <row r="94" spans="1:26" ht="12.75">
      <c r="A94" s="11">
        <v>43747.228333333333</v>
      </c>
      <c r="B94" s="12" t="str">
        <f>HYPERLINK("https://twitter.com/tasheeii33","@tasheeii33")</f>
        <v>@tasheeii33</v>
      </c>
      <c r="C94" s="13" t="s">
        <v>537</v>
      </c>
      <c r="D94" s="13" t="s">
        <v>538</v>
      </c>
      <c r="E94" s="12" t="str">
        <f>HYPERLINK("https://twitter.com/tasheeii33/status/1181909375226728448","1181909375226728448")</f>
        <v>1181909375226728448</v>
      </c>
      <c r="F94" s="8"/>
      <c r="G94" s="14" t="s">
        <v>539</v>
      </c>
      <c r="H94" s="8"/>
      <c r="I94" s="15">
        <v>0</v>
      </c>
      <c r="J94" s="15">
        <v>0</v>
      </c>
      <c r="K94" s="12" t="str">
        <f>HYPERLINK("http://twitter.com","Twitter Web Client")</f>
        <v>Twitter Web Client</v>
      </c>
      <c r="L94" s="16">
        <v>11</v>
      </c>
      <c r="M94" s="16">
        <v>44</v>
      </c>
      <c r="N94" s="16">
        <v>0</v>
      </c>
      <c r="O94" s="17"/>
      <c r="P94" s="18">
        <v>42076.652557870373</v>
      </c>
      <c r="Q94" s="13"/>
      <c r="R94" s="13"/>
      <c r="S94" s="8"/>
      <c r="T94" s="8"/>
      <c r="U94" s="19" t="str">
        <f>HYPERLINK("https://pbs.twimg.com/profile_images/576513224385765376/5CrS7GEt.jpeg","View")</f>
        <v>View</v>
      </c>
      <c r="V94" s="8"/>
      <c r="W94" s="8"/>
      <c r="X94" s="8"/>
      <c r="Y94" s="8"/>
      <c r="Z94" s="8"/>
    </row>
    <row r="95" spans="1:26" ht="12.75">
      <c r="A95" s="11">
        <v>43747.227812500001</v>
      </c>
      <c r="B95" s="12" t="str">
        <f>HYPERLINK("https://twitter.com/With_Y_Self","@With_Y_Self")</f>
        <v>@With_Y_Self</v>
      </c>
      <c r="C95" s="13" t="s">
        <v>540</v>
      </c>
      <c r="D95" s="13" t="s">
        <v>541</v>
      </c>
      <c r="E95" s="12" t="str">
        <f>HYPERLINK("https://twitter.com/With_Y_Self/status/1181909186810171396","1181909186810171396")</f>
        <v>1181909186810171396</v>
      </c>
      <c r="F95" s="8"/>
      <c r="G95" s="7"/>
      <c r="H95" s="8"/>
      <c r="I95" s="15">
        <v>0</v>
      </c>
      <c r="J95" s="15">
        <v>3</v>
      </c>
      <c r="K95" s="12" t="str">
        <f>HYPERLINK("http://twitter.com/download/iphone","Twitter for iPhone")</f>
        <v>Twitter for iPhone</v>
      </c>
      <c r="L95" s="16">
        <v>54</v>
      </c>
      <c r="M95" s="16">
        <v>120</v>
      </c>
      <c r="N95" s="16">
        <v>0</v>
      </c>
      <c r="O95" s="17"/>
      <c r="P95" s="18">
        <v>41085.983055555553</v>
      </c>
      <c r="Q95" s="13"/>
      <c r="R95" s="13"/>
      <c r="S95" s="8"/>
      <c r="T95" s="8"/>
      <c r="U95" s="19" t="str">
        <f>HYPERLINK("https://pbs.twimg.com/profile_images/1105658774705131520/5RYuOygP.jpg","View")</f>
        <v>View</v>
      </c>
      <c r="V95" s="8"/>
      <c r="W95" s="8"/>
      <c r="X95" s="8"/>
      <c r="Y95" s="8"/>
      <c r="Z95" s="8"/>
    </row>
    <row r="96" spans="1:26" ht="12.75">
      <c r="A96" s="11">
        <v>43747.226157407407</v>
      </c>
      <c r="B96" s="12" t="str">
        <f>HYPERLINK("https://twitter.com/gama3ann53","@gama3ann53")</f>
        <v>@gama3ann53</v>
      </c>
      <c r="C96" s="13" t="s">
        <v>543</v>
      </c>
      <c r="D96" s="13" t="s">
        <v>544</v>
      </c>
      <c r="E96" s="12" t="str">
        <f>HYPERLINK("https://twitter.com/gama3ann53/status/1181908586647015424","1181908586647015424")</f>
        <v>1181908586647015424</v>
      </c>
      <c r="F96" s="8"/>
      <c r="G96" s="14" t="s">
        <v>546</v>
      </c>
      <c r="H96" s="8"/>
      <c r="I96" s="15">
        <v>0</v>
      </c>
      <c r="J96" s="15">
        <v>0</v>
      </c>
      <c r="K96" s="12" t="str">
        <f>HYPERLINK("http://twitter.com","Twitter Web Client")</f>
        <v>Twitter Web Client</v>
      </c>
      <c r="L96" s="16">
        <v>3</v>
      </c>
      <c r="M96" s="16">
        <v>41</v>
      </c>
      <c r="N96" s="16">
        <v>0</v>
      </c>
      <c r="O96" s="17"/>
      <c r="P96" s="18">
        <v>42073.154988425929</v>
      </c>
      <c r="Q96" s="13"/>
      <c r="R96" s="13"/>
      <c r="S96" s="8"/>
      <c r="T96" s="8"/>
      <c r="U96" s="19" t="str">
        <f>HYPERLINK("https://pbs.twimg.com/profile_images/575245627434528768/ECqPLJuV.jpeg","View")</f>
        <v>View</v>
      </c>
      <c r="V96" s="8"/>
      <c r="W96" s="8"/>
      <c r="X96" s="8"/>
      <c r="Y96" s="8"/>
      <c r="Z96" s="8"/>
    </row>
    <row r="97" spans="1:26" ht="12.75">
      <c r="A97" s="11">
        <v>43747.225995370369</v>
      </c>
      <c r="B97" s="12" t="str">
        <f>HYPERLINK("https://twitter.com/hamydaan53","@hamydaan53")</f>
        <v>@hamydaan53</v>
      </c>
      <c r="C97" s="13" t="s">
        <v>550</v>
      </c>
      <c r="D97" s="13" t="s">
        <v>551</v>
      </c>
      <c r="E97" s="12" t="str">
        <f>HYPERLINK("https://twitter.com/hamydaan53/status/1181908528052625409","1181908528052625409")</f>
        <v>1181908528052625409</v>
      </c>
      <c r="F97" s="8"/>
      <c r="G97" s="14" t="s">
        <v>552</v>
      </c>
      <c r="H97" s="8"/>
      <c r="I97" s="15">
        <v>0</v>
      </c>
      <c r="J97" s="15">
        <v>0</v>
      </c>
      <c r="K97" s="12" t="str">
        <f>HYPERLINK("http://twitter.com","Twitter Web Client")</f>
        <v>Twitter Web Client</v>
      </c>
      <c r="L97" s="16">
        <v>5</v>
      </c>
      <c r="M97" s="16">
        <v>35</v>
      </c>
      <c r="N97" s="16">
        <v>0</v>
      </c>
      <c r="O97" s="17"/>
      <c r="P97" s="18">
        <v>42071.293136574073</v>
      </c>
      <c r="Q97" s="13"/>
      <c r="R97" s="13"/>
      <c r="S97" s="8"/>
      <c r="T97" s="8"/>
      <c r="U97" s="19" t="str">
        <f>HYPERLINK("https://pbs.twimg.com/profile_images/574570922729865216/mLjcDpdS.jpeg","View")</f>
        <v>View</v>
      </c>
      <c r="V97" s="8"/>
      <c r="W97" s="8"/>
      <c r="X97" s="8"/>
      <c r="Y97" s="8"/>
      <c r="Z97" s="8"/>
    </row>
    <row r="98" spans="1:26" ht="12.75">
      <c r="A98" s="11">
        <v>43747.225289351853</v>
      </c>
      <c r="B98" s="12" t="str">
        <f>HYPERLINK("https://twitter.com/wcwyt","@wcwyt")</f>
        <v>@wcwyt</v>
      </c>
      <c r="C98" s="7" t="s">
        <v>555</v>
      </c>
      <c r="D98" s="7" t="s">
        <v>556</v>
      </c>
      <c r="E98" s="12" t="str">
        <f>HYPERLINK("https://twitter.com/wcwyt/status/1181908271617040384","1181908271617040384")</f>
        <v>1181908271617040384</v>
      </c>
      <c r="F98" s="14" t="s">
        <v>380</v>
      </c>
      <c r="G98" s="7"/>
      <c r="H98" s="8"/>
      <c r="I98" s="15">
        <v>0</v>
      </c>
      <c r="J98" s="15">
        <v>0</v>
      </c>
      <c r="K98" s="12" t="str">
        <f>HYPERLINK("http://twitter.com/#!/download/ipad","Twitter for iPad")</f>
        <v>Twitter for iPad</v>
      </c>
      <c r="L98" s="16">
        <v>81</v>
      </c>
      <c r="M98" s="16">
        <v>140</v>
      </c>
      <c r="N98" s="16">
        <v>0</v>
      </c>
      <c r="O98" s="17"/>
      <c r="P98" s="18">
        <v>42744.485810185186</v>
      </c>
      <c r="Q98" s="7" t="s">
        <v>558</v>
      </c>
      <c r="R98" s="13"/>
      <c r="S98" s="14" t="s">
        <v>560</v>
      </c>
      <c r="T98" s="8"/>
      <c r="U98" s="19" t="str">
        <f>HYPERLINK("https://pbs.twimg.com/profile_images/830098956629659648/6cfM2vjo.jpg","View")</f>
        <v>View</v>
      </c>
      <c r="V98" s="8"/>
      <c r="W98" s="8"/>
      <c r="X98" s="8"/>
      <c r="Y98" s="8"/>
      <c r="Z98" s="8"/>
    </row>
    <row r="99" spans="1:26" ht="12.75">
      <c r="A99" s="11">
        <v>43747.225057870368</v>
      </c>
      <c r="B99" s="12" t="str">
        <f>HYPERLINK("https://twitter.com/suleimanziadi","@suleimanziadi")</f>
        <v>@suleimanziadi</v>
      </c>
      <c r="C99" s="13" t="s">
        <v>561</v>
      </c>
      <c r="D99" s="13" t="s">
        <v>563</v>
      </c>
      <c r="E99" s="12" t="str">
        <f>HYPERLINK("https://twitter.com/suleimanziadi/status/1181908188779761666","1181908188779761666")</f>
        <v>1181908188779761666</v>
      </c>
      <c r="F99" s="8"/>
      <c r="G99" s="14" t="s">
        <v>564</v>
      </c>
      <c r="H99" s="8"/>
      <c r="I99" s="15">
        <v>0</v>
      </c>
      <c r="J99" s="15">
        <v>0</v>
      </c>
      <c r="K99" s="12" t="str">
        <f>HYPERLINK("http://twitter.com","Twitter Web Client")</f>
        <v>Twitter Web Client</v>
      </c>
      <c r="L99" s="16">
        <v>6</v>
      </c>
      <c r="M99" s="16">
        <v>36</v>
      </c>
      <c r="N99" s="16">
        <v>0</v>
      </c>
      <c r="O99" s="17"/>
      <c r="P99" s="18">
        <v>42068.176273148143</v>
      </c>
      <c r="Q99" s="13"/>
      <c r="R99" s="13"/>
      <c r="S99" s="8"/>
      <c r="T99" s="8"/>
      <c r="U99" s="19" t="str">
        <f>HYPERLINK("https://pbs.twimg.com/profile_images/573456598376423424/4wOXJ1uz.jpeg","View")</f>
        <v>View</v>
      </c>
      <c r="V99" s="8"/>
      <c r="W99" s="8"/>
      <c r="X99" s="8"/>
      <c r="Y99" s="8"/>
      <c r="Z99" s="8"/>
    </row>
    <row r="100" spans="1:26" ht="12.75">
      <c r="A100" s="11">
        <v>43747.224907407406</v>
      </c>
      <c r="B100" s="12" t="str">
        <f>HYPERLINK("https://twitter.com/fahaoserdari","@fahaoserdari")</f>
        <v>@fahaoserdari</v>
      </c>
      <c r="C100" s="13" t="s">
        <v>568</v>
      </c>
      <c r="D100" s="13" t="s">
        <v>569</v>
      </c>
      <c r="E100" s="12" t="str">
        <f>HYPERLINK("https://twitter.com/fahaoserdari/status/1181908131900788736","1181908131900788736")</f>
        <v>1181908131900788736</v>
      </c>
      <c r="F100" s="8"/>
      <c r="G100" s="14" t="s">
        <v>570</v>
      </c>
      <c r="H100" s="8"/>
      <c r="I100" s="15">
        <v>0</v>
      </c>
      <c r="J100" s="15">
        <v>0</v>
      </c>
      <c r="K100" s="12" t="str">
        <f>HYPERLINK("http://twitter.com","Twitter Web Client")</f>
        <v>Twitter Web Client</v>
      </c>
      <c r="L100" s="16">
        <v>0</v>
      </c>
      <c r="M100" s="16">
        <v>27</v>
      </c>
      <c r="N100" s="16">
        <v>0</v>
      </c>
      <c r="O100" s="17"/>
      <c r="P100" s="18">
        <v>41827.207303240742</v>
      </c>
      <c r="Q100" s="13"/>
      <c r="R100" s="13"/>
      <c r="S100" s="8"/>
      <c r="T100" s="8"/>
      <c r="U100" s="19" t="str">
        <f>HYPERLINK("https://pbs.twimg.com/profile_images/486117554180485120/BoMTv-VF.jpeg","View")</f>
        <v>View</v>
      </c>
      <c r="V100" s="8"/>
      <c r="W100" s="8"/>
      <c r="X100" s="8"/>
      <c r="Y100" s="8"/>
      <c r="Z100" s="8"/>
    </row>
    <row r="101" spans="1:26" ht="12.75">
      <c r="A101" s="11">
        <v>43747.224745370375</v>
      </c>
      <c r="B101" s="12" t="str">
        <f>HYPERLINK("https://twitter.com/magma3iiee77","@magma3iiee77")</f>
        <v>@magma3iiee77</v>
      </c>
      <c r="C101" s="13" t="s">
        <v>571</v>
      </c>
      <c r="D101" s="13" t="s">
        <v>572</v>
      </c>
      <c r="E101" s="12" t="str">
        <f>HYPERLINK("https://twitter.com/magma3iiee77/status/1181908074250014722","1181908074250014722")</f>
        <v>1181908074250014722</v>
      </c>
      <c r="F101" s="8"/>
      <c r="G101" s="14" t="s">
        <v>575</v>
      </c>
      <c r="H101" s="8"/>
      <c r="I101" s="15">
        <v>0</v>
      </c>
      <c r="J101" s="15">
        <v>0</v>
      </c>
      <c r="K101" s="12" t="str">
        <f>HYPERLINK("http://twitter.com","Twitter Web Client")</f>
        <v>Twitter Web Client</v>
      </c>
      <c r="L101" s="16">
        <v>0</v>
      </c>
      <c r="M101" s="16">
        <v>26</v>
      </c>
      <c r="N101" s="16">
        <v>0</v>
      </c>
      <c r="O101" s="17"/>
      <c r="P101" s="18">
        <v>42083.401469907403</v>
      </c>
      <c r="Q101" s="13"/>
      <c r="R101" s="13"/>
      <c r="S101" s="8"/>
      <c r="T101" s="8"/>
      <c r="U101" s="19" t="str">
        <f>HYPERLINK("https://pbs.twimg.com/profile_images/578958856413409280/-dm6FPzc.jpeg","View")</f>
        <v>View</v>
      </c>
      <c r="V101" s="8"/>
      <c r="W101" s="8"/>
      <c r="X101" s="8"/>
      <c r="Y101" s="8"/>
      <c r="Z101" s="8"/>
    </row>
    <row r="102" spans="1:26" ht="12.75">
      <c r="A102" s="11">
        <v>43747.221608796295</v>
      </c>
      <c r="B102" s="12" t="str">
        <f>HYPERLINK("https://twitter.com/atyaeeq767","@atyaeeq767")</f>
        <v>@atyaeeq767</v>
      </c>
      <c r="C102" s="7" t="s">
        <v>587</v>
      </c>
      <c r="D102" s="7" t="s">
        <v>588</v>
      </c>
      <c r="E102" s="12" t="str">
        <f>HYPERLINK("https://twitter.com/atyaeeq767/status/1181906937153228802","1181906937153228802")</f>
        <v>1181906937153228802</v>
      </c>
      <c r="F102" s="15"/>
      <c r="G102" s="14" t="s">
        <v>589</v>
      </c>
      <c r="H102" s="8"/>
      <c r="I102" s="15">
        <v>0</v>
      </c>
      <c r="J102" s="15">
        <v>0</v>
      </c>
      <c r="K102" s="12" t="str">
        <f>HYPERLINK("http://twitter.com","Twitter Web Client")</f>
        <v>Twitter Web Client</v>
      </c>
      <c r="L102" s="16">
        <v>5</v>
      </c>
      <c r="M102" s="16">
        <v>48</v>
      </c>
      <c r="N102" s="16">
        <v>0</v>
      </c>
      <c r="O102" s="17"/>
      <c r="P102" s="18">
        <v>42072.343414351853</v>
      </c>
      <c r="Q102" s="7"/>
      <c r="R102" s="13"/>
      <c r="S102" s="15"/>
      <c r="T102" s="8"/>
      <c r="U102" s="19" t="str">
        <f>HYPERLINK("https://pbs.twimg.com/profile_images/574951573807218689/5K0tvHCz.jpeg","View")</f>
        <v>View</v>
      </c>
      <c r="V102" s="8"/>
      <c r="W102" s="8"/>
      <c r="X102" s="8"/>
      <c r="Y102" s="8"/>
      <c r="Z102" s="8"/>
    </row>
    <row r="103" spans="1:26" ht="12.75">
      <c r="A103" s="11">
        <v>43747.220312500001</v>
      </c>
      <c r="B103" s="12" t="str">
        <f>HYPERLINK("https://twitter.com/taha5556","@taha5556")</f>
        <v>@taha5556</v>
      </c>
      <c r="C103" s="13" t="s">
        <v>593</v>
      </c>
      <c r="D103" s="13" t="s">
        <v>594</v>
      </c>
      <c r="E103" s="12" t="str">
        <f>HYPERLINK("https://twitter.com/taha5556/status/1181906469794521090","1181906469794521090")</f>
        <v>1181906469794521090</v>
      </c>
      <c r="F103" s="8"/>
      <c r="G103" s="14" t="s">
        <v>597</v>
      </c>
      <c r="H103" s="8"/>
      <c r="I103" s="15">
        <v>0</v>
      </c>
      <c r="J103" s="15">
        <v>0</v>
      </c>
      <c r="K103" s="12" t="str">
        <f>HYPERLINK("http://twitter.com","Twitter Web Client")</f>
        <v>Twitter Web Client</v>
      </c>
      <c r="L103" s="16">
        <v>12</v>
      </c>
      <c r="M103" s="16">
        <v>47</v>
      </c>
      <c r="N103" s="16">
        <v>0</v>
      </c>
      <c r="O103" s="17"/>
      <c r="P103" s="18">
        <v>42073.284432870365</v>
      </c>
      <c r="Q103" s="7"/>
      <c r="R103" s="13"/>
      <c r="S103" s="8"/>
      <c r="T103" s="8"/>
      <c r="U103" s="19" t="str">
        <f>HYPERLINK("https://pbs.twimg.com/profile_images/575292596953616384/Ezhd136Z.jpeg","View")</f>
        <v>View</v>
      </c>
      <c r="V103" s="8"/>
      <c r="W103" s="8"/>
      <c r="X103" s="8"/>
      <c r="Y103" s="8"/>
      <c r="Z103" s="8"/>
    </row>
    <row r="104" spans="1:26" ht="12.75">
      <c r="A104" s="11">
        <v>43747.219918981486</v>
      </c>
      <c r="B104" s="12" t="str">
        <f>HYPERLINK("https://twitter.com/AlshebaniyBrgs","@AlshebaniyBrgs")</f>
        <v>@AlshebaniyBrgs</v>
      </c>
      <c r="C104" s="13" t="s">
        <v>600</v>
      </c>
      <c r="D104" s="13" t="s">
        <v>601</v>
      </c>
      <c r="E104" s="12" t="str">
        <f>HYPERLINK("https://twitter.com/AlshebaniyBrgs/status/1181906326831730688","1181906326831730688")</f>
        <v>1181906326831730688</v>
      </c>
      <c r="F104" s="8"/>
      <c r="G104" s="14" t="s">
        <v>603</v>
      </c>
      <c r="H104" s="8"/>
      <c r="I104" s="15">
        <v>0</v>
      </c>
      <c r="J104" s="15">
        <v>0</v>
      </c>
      <c r="K104" s="12" t="str">
        <f>HYPERLINK("http://twitter.com","Twitter Web Client")</f>
        <v>Twitter Web Client</v>
      </c>
      <c r="L104" s="16">
        <v>1</v>
      </c>
      <c r="M104" s="16">
        <v>38</v>
      </c>
      <c r="N104" s="16">
        <v>0</v>
      </c>
      <c r="O104" s="17"/>
      <c r="P104" s="18">
        <v>42069.508298611108</v>
      </c>
      <c r="Q104" s="7"/>
      <c r="R104" s="13"/>
      <c r="S104" s="8"/>
      <c r="T104" s="8"/>
      <c r="U104" s="19" t="str">
        <f>HYPERLINK("https://pbs.twimg.com/profile_images/573981945148768257/6sHOOEal.jpeg","View")</f>
        <v>View</v>
      </c>
      <c r="V104" s="8"/>
      <c r="W104" s="8"/>
      <c r="X104" s="8"/>
      <c r="Y104" s="8"/>
      <c r="Z104" s="8"/>
    </row>
    <row r="105" spans="1:26" ht="12.75">
      <c r="A105" s="11">
        <v>43747.219768518524</v>
      </c>
      <c r="B105" s="12" t="str">
        <f>HYPERLINK("https://twitter.com/AerefElsamal48","@AerefElsamal48")</f>
        <v>@AerefElsamal48</v>
      </c>
      <c r="C105" s="13" t="s">
        <v>611</v>
      </c>
      <c r="D105" s="13" t="s">
        <v>612</v>
      </c>
      <c r="E105" s="12" t="str">
        <f>HYPERLINK("https://twitter.com/AerefElsamal48/status/1181906269558456320","1181906269558456320")</f>
        <v>1181906269558456320</v>
      </c>
      <c r="F105" s="8"/>
      <c r="G105" s="14" t="s">
        <v>613</v>
      </c>
      <c r="H105" s="8"/>
      <c r="I105" s="15">
        <v>0</v>
      </c>
      <c r="J105" s="15">
        <v>0</v>
      </c>
      <c r="K105" s="12" t="str">
        <f>HYPERLINK("http://twitter.com","Twitter Web Client")</f>
        <v>Twitter Web Client</v>
      </c>
      <c r="L105" s="16">
        <v>0</v>
      </c>
      <c r="M105" s="16">
        <v>34</v>
      </c>
      <c r="N105" s="16">
        <v>0</v>
      </c>
      <c r="O105" s="17"/>
      <c r="P105" s="18">
        <v>42533.974722222221</v>
      </c>
      <c r="Q105" s="13"/>
      <c r="R105" s="13" t="s">
        <v>616</v>
      </c>
      <c r="S105" s="8"/>
      <c r="T105" s="8"/>
      <c r="U105" s="19" t="str">
        <f>HYPERLINK("https://pbs.twimg.com/profile_images/742241246664622082/2PRs7lHJ.jpg","View")</f>
        <v>View</v>
      </c>
      <c r="V105" s="8"/>
      <c r="W105" s="8"/>
      <c r="X105" s="8"/>
      <c r="Y105" s="8"/>
      <c r="Z105" s="8"/>
    </row>
    <row r="106" spans="1:26" ht="12.75">
      <c r="A106" s="11">
        <v>43747.216412037036</v>
      </c>
      <c r="B106" s="12" t="str">
        <f>HYPERLINK("https://twitter.com/absolutealerdad","@absolutealerdad")</f>
        <v>@absolutealerdad</v>
      </c>
      <c r="C106" s="13" t="s">
        <v>618</v>
      </c>
      <c r="D106" s="13" t="s">
        <v>619</v>
      </c>
      <c r="E106" s="12" t="str">
        <f>HYPERLINK("https://twitter.com/absolutealerdad/status/1181905053986238464","1181905053986238464")</f>
        <v>1181905053986238464</v>
      </c>
      <c r="F106" s="8"/>
      <c r="G106" s="14" t="s">
        <v>622</v>
      </c>
      <c r="H106" s="8"/>
      <c r="I106" s="15">
        <v>0</v>
      </c>
      <c r="J106" s="15">
        <v>0</v>
      </c>
      <c r="K106" s="12" t="str">
        <f>HYPERLINK("http://twitter.com","Twitter Web Client")</f>
        <v>Twitter Web Client</v>
      </c>
      <c r="L106" s="16">
        <v>0</v>
      </c>
      <c r="M106" s="16">
        <v>36</v>
      </c>
      <c r="N106" s="16">
        <v>0</v>
      </c>
      <c r="O106" s="17"/>
      <c r="P106" s="18">
        <v>41844.292685185181</v>
      </c>
      <c r="Q106" s="13"/>
      <c r="R106" s="13"/>
      <c r="S106" s="8"/>
      <c r="T106" s="8"/>
      <c r="U106" s="19" t="str">
        <f>HYPERLINK("https://pbs.twimg.com/profile_images/492309464880410625/aLeDmTZX.jpeg","View")</f>
        <v>View</v>
      </c>
      <c r="V106" s="8"/>
      <c r="W106" s="8"/>
      <c r="X106" s="8"/>
      <c r="Y106" s="8"/>
      <c r="Z106" s="8"/>
    </row>
    <row r="107" spans="1:26" ht="12.75">
      <c r="A107" s="11">
        <v>43747.215821759259</v>
      </c>
      <c r="B107" s="12" t="str">
        <f>HYPERLINK("https://twitter.com/mutairihilal1","@mutairihilal1")</f>
        <v>@mutairihilal1</v>
      </c>
      <c r="C107" s="13" t="s">
        <v>627</v>
      </c>
      <c r="D107" s="13" t="s">
        <v>628</v>
      </c>
      <c r="E107" s="12" t="str">
        <f>HYPERLINK("https://twitter.com/mutairihilal1/status/1181904841527959552","1181904841527959552")</f>
        <v>1181904841527959552</v>
      </c>
      <c r="F107" s="8"/>
      <c r="G107" s="14" t="s">
        <v>629</v>
      </c>
      <c r="H107" s="8"/>
      <c r="I107" s="15">
        <v>0</v>
      </c>
      <c r="J107" s="15">
        <v>0</v>
      </c>
      <c r="K107" s="12" t="str">
        <f>HYPERLINK("http://twitter.com","Twitter Web Client")</f>
        <v>Twitter Web Client</v>
      </c>
      <c r="L107" s="16">
        <v>0</v>
      </c>
      <c r="M107" s="16">
        <v>38</v>
      </c>
      <c r="N107" s="16">
        <v>0</v>
      </c>
      <c r="O107" s="17"/>
      <c r="P107" s="18">
        <v>42081.079247685186</v>
      </c>
      <c r="Q107" s="13"/>
      <c r="R107" s="13"/>
      <c r="S107" s="8"/>
      <c r="T107" s="8"/>
      <c r="U107" s="19" t="str">
        <f>HYPERLINK("https://pbs.twimg.com/profile_images/578117441340862464/gFvd2v7S.jpeg","View")</f>
        <v>View</v>
      </c>
      <c r="V107" s="8"/>
      <c r="W107" s="8"/>
      <c r="X107" s="8"/>
      <c r="Y107" s="8"/>
      <c r="Z107" s="8"/>
    </row>
    <row r="108" spans="1:26" ht="12.75">
      <c r="A108" s="11">
        <v>43747.215520833328</v>
      </c>
      <c r="B108" s="12" t="str">
        <f>HYPERLINK("https://twitter.com/saeedshahra1","@saeedshahra1")</f>
        <v>@saeedshahra1</v>
      </c>
      <c r="C108" s="7" t="s">
        <v>632</v>
      </c>
      <c r="D108" s="7" t="s">
        <v>633</v>
      </c>
      <c r="E108" s="12" t="str">
        <f>HYPERLINK("https://twitter.com/saeedshahra1/status/1181904731423363072","1181904731423363072")</f>
        <v>1181904731423363072</v>
      </c>
      <c r="F108" s="15"/>
      <c r="G108" s="14" t="s">
        <v>634</v>
      </c>
      <c r="H108" s="8"/>
      <c r="I108" s="15">
        <v>0</v>
      </c>
      <c r="J108" s="15">
        <v>0</v>
      </c>
      <c r="K108" s="12" t="str">
        <f>HYPERLINK("http://twitter.com","Twitter Web Client")</f>
        <v>Twitter Web Client</v>
      </c>
      <c r="L108" s="16">
        <v>15</v>
      </c>
      <c r="M108" s="16">
        <v>43</v>
      </c>
      <c r="N108" s="16">
        <v>0</v>
      </c>
      <c r="O108" s="17"/>
      <c r="P108" s="18">
        <v>42073.637430555551</v>
      </c>
      <c r="Q108" s="7"/>
      <c r="R108" s="13"/>
      <c r="S108" s="15"/>
      <c r="T108" s="8"/>
      <c r="U108" s="19" t="str">
        <f>HYPERLINK("https://pbs.twimg.com/profile_images/575421149875568640/wx8xa8F_.jpeg","View")</f>
        <v>View</v>
      </c>
      <c r="V108" s="8"/>
      <c r="W108" s="8"/>
      <c r="X108" s="8"/>
      <c r="Y108" s="8"/>
      <c r="Z108" s="8"/>
    </row>
    <row r="109" spans="1:26" ht="12.75">
      <c r="A109" s="11">
        <v>43747.215196759258</v>
      </c>
      <c r="B109" s="12" t="str">
        <f>HYPERLINK("https://twitter.com/elmutair33","@elmutair33")</f>
        <v>@elmutair33</v>
      </c>
      <c r="C109" s="13" t="s">
        <v>638</v>
      </c>
      <c r="D109" s="13" t="s">
        <v>639</v>
      </c>
      <c r="E109" s="12" t="str">
        <f>HYPERLINK("https://twitter.com/elmutair33/status/1181904613928308736","1181904613928308736")</f>
        <v>1181904613928308736</v>
      </c>
      <c r="F109" s="8"/>
      <c r="G109" s="14" t="s">
        <v>640</v>
      </c>
      <c r="H109" s="8"/>
      <c r="I109" s="15">
        <v>0</v>
      </c>
      <c r="J109" s="15">
        <v>0</v>
      </c>
      <c r="K109" s="12" t="str">
        <f>HYPERLINK("http://twitter.com","Twitter Web Client")</f>
        <v>Twitter Web Client</v>
      </c>
      <c r="L109" s="16">
        <v>15</v>
      </c>
      <c r="M109" s="16">
        <v>48</v>
      </c>
      <c r="N109" s="16">
        <v>0</v>
      </c>
      <c r="O109" s="17"/>
      <c r="P109" s="18">
        <v>42075.412002314813</v>
      </c>
      <c r="Q109" s="13"/>
      <c r="R109" s="13"/>
      <c r="S109" s="8"/>
      <c r="T109" s="8"/>
      <c r="U109" s="19" t="str">
        <f>HYPERLINK("https://pbs.twimg.com/profile_images/576063711141474304/_nSEeYSe.jpeg","View")</f>
        <v>View</v>
      </c>
      <c r="V109" s="8"/>
      <c r="W109" s="8"/>
      <c r="X109" s="8"/>
      <c r="Y109" s="8"/>
      <c r="Z109" s="8"/>
    </row>
    <row r="110" spans="1:26" ht="12.75">
      <c r="A110" s="11">
        <v>43747.214085648149</v>
      </c>
      <c r="B110" s="12" t="str">
        <f>HYPERLINK("https://twitter.com/mohmmedalahmed","@mohmmedalahmed")</f>
        <v>@mohmmedalahmed</v>
      </c>
      <c r="C110" s="13" t="s">
        <v>645</v>
      </c>
      <c r="D110" s="13" t="s">
        <v>646</v>
      </c>
      <c r="E110" s="12" t="str">
        <f>HYPERLINK("https://twitter.com/mohmmedalahmed/status/1181904211862265856","1181904211862265856")</f>
        <v>1181904211862265856</v>
      </c>
      <c r="F110" s="8"/>
      <c r="G110" s="15"/>
      <c r="H110" s="8"/>
      <c r="I110" s="15">
        <v>1</v>
      </c>
      <c r="J110" s="15">
        <v>0</v>
      </c>
      <c r="K110" s="12" t="str">
        <f>HYPERLINK("http://twitter.com/download/iphone","Twitter for iPhone")</f>
        <v>Twitter for iPhone</v>
      </c>
      <c r="L110" s="16">
        <v>1823</v>
      </c>
      <c r="M110" s="16">
        <v>1043</v>
      </c>
      <c r="N110" s="16">
        <v>0</v>
      </c>
      <c r="O110" s="17"/>
      <c r="P110" s="18">
        <v>40841.569733796292</v>
      </c>
      <c r="Q110" s="13" t="s">
        <v>648</v>
      </c>
      <c r="R110" s="13" t="s">
        <v>649</v>
      </c>
      <c r="S110" s="8"/>
      <c r="T110" s="8"/>
      <c r="U110" s="19" t="str">
        <f>HYPERLINK("https://pbs.twimg.com/profile_images/1175913573631057923/g44L5ZKM.jpg","View")</f>
        <v>View</v>
      </c>
      <c r="V110" s="8"/>
      <c r="W110" s="8"/>
      <c r="X110" s="8"/>
      <c r="Y110" s="8"/>
      <c r="Z110" s="8"/>
    </row>
    <row r="111" spans="1:26" ht="12.75">
      <c r="A111" s="11">
        <v>43747.212696759263</v>
      </c>
      <c r="B111" s="12" t="str">
        <f>HYPERLINK("https://twitter.com/ViveLePartage","@ViveLePartage")</f>
        <v>@ViveLePartage</v>
      </c>
      <c r="C111" s="13" t="s">
        <v>650</v>
      </c>
      <c r="D111" s="13" t="s">
        <v>651</v>
      </c>
      <c r="E111" s="12" t="str">
        <f>HYPERLINK("https://twitter.com/ViveLePartage/status/1181903708168294401","1181903708168294401")</f>
        <v>1181903708168294401</v>
      </c>
      <c r="F111" s="8"/>
      <c r="G111" s="14" t="s">
        <v>652</v>
      </c>
      <c r="H111" s="8"/>
      <c r="I111" s="15">
        <v>0</v>
      </c>
      <c r="J111" s="15">
        <v>0</v>
      </c>
      <c r="K111" s="12" t="str">
        <f>HYPERLINK("http://twitter.com/download/android","Twitter for Android")</f>
        <v>Twitter for Android</v>
      </c>
      <c r="L111" s="16">
        <v>627</v>
      </c>
      <c r="M111" s="16">
        <v>224</v>
      </c>
      <c r="N111" s="16">
        <v>52</v>
      </c>
      <c r="O111" s="17"/>
      <c r="P111" s="18">
        <v>40312.509097222224</v>
      </c>
      <c r="Q111" s="13" t="s">
        <v>653</v>
      </c>
      <c r="R111" s="13" t="s">
        <v>654</v>
      </c>
      <c r="S111" s="8"/>
      <c r="T111" s="8"/>
      <c r="U111" s="19" t="str">
        <f>HYPERLINK("https://pbs.twimg.com/profile_images/1153266772243619841/oZoJlC-1.jpg","View")</f>
        <v>View</v>
      </c>
      <c r="V111" s="8"/>
      <c r="W111" s="8"/>
      <c r="X111" s="8"/>
      <c r="Y111" s="8"/>
      <c r="Z111" s="8"/>
    </row>
    <row r="112" spans="1:26" ht="12.75">
      <c r="A112" s="11">
        <v>43747.212442129632</v>
      </c>
      <c r="B112" s="12" t="str">
        <f>HYPERLINK("https://twitter.com/AlshamkhFahd","@AlshamkhFahd")</f>
        <v>@AlshamkhFahd</v>
      </c>
      <c r="C112" s="13" t="s">
        <v>656</v>
      </c>
      <c r="D112" s="13" t="s">
        <v>657</v>
      </c>
      <c r="E112" s="12" t="str">
        <f>HYPERLINK("https://twitter.com/AlshamkhFahd/status/1181903614308212736","1181903614308212736")</f>
        <v>1181903614308212736</v>
      </c>
      <c r="F112" s="8"/>
      <c r="G112" s="14" t="s">
        <v>659</v>
      </c>
      <c r="H112" s="8"/>
      <c r="I112" s="15">
        <v>0</v>
      </c>
      <c r="J112" s="15">
        <v>0</v>
      </c>
      <c r="K112" s="12" t="str">
        <f>HYPERLINK("http://twitter.com","Twitter Web Client")</f>
        <v>Twitter Web Client</v>
      </c>
      <c r="L112" s="16">
        <v>8</v>
      </c>
      <c r="M112" s="16">
        <v>41</v>
      </c>
      <c r="N112" s="16">
        <v>0</v>
      </c>
      <c r="O112" s="17"/>
      <c r="P112" s="18">
        <v>42071.675254629634</v>
      </c>
      <c r="Q112" s="13"/>
      <c r="R112" s="13"/>
      <c r="S112" s="8"/>
      <c r="T112" s="8"/>
      <c r="U112" s="19" t="str">
        <f>HYPERLINK("https://pbs.twimg.com/profile_images/574712901287612417/7TUh_NSG.jpeg","View")</f>
        <v>View</v>
      </c>
      <c r="V112" s="8"/>
      <c r="W112" s="8"/>
      <c r="X112" s="8"/>
      <c r="Y112" s="8"/>
      <c r="Z112" s="8"/>
    </row>
    <row r="113" spans="1:26" ht="12.75">
      <c r="A113" s="11">
        <v>43747.212152777778</v>
      </c>
      <c r="B113" s="12" t="str">
        <f>HYPERLINK("https://twitter.com/almahda22","@almahda22")</f>
        <v>@almahda22</v>
      </c>
      <c r="C113" s="13" t="s">
        <v>664</v>
      </c>
      <c r="D113" s="13" t="s">
        <v>665</v>
      </c>
      <c r="E113" s="12" t="str">
        <f>HYPERLINK("https://twitter.com/almahda22/status/1181903512499838976","1181903512499838976")</f>
        <v>1181903512499838976</v>
      </c>
      <c r="F113" s="8"/>
      <c r="G113" s="14" t="s">
        <v>667</v>
      </c>
      <c r="H113" s="8"/>
      <c r="I113" s="15">
        <v>0</v>
      </c>
      <c r="J113" s="15">
        <v>0</v>
      </c>
      <c r="K113" s="12" t="str">
        <f>HYPERLINK("http://twitter.com","Twitter Web Client")</f>
        <v>Twitter Web Client</v>
      </c>
      <c r="L113" s="16">
        <v>8</v>
      </c>
      <c r="M113" s="16">
        <v>50</v>
      </c>
      <c r="N113" s="16">
        <v>0</v>
      </c>
      <c r="O113" s="17"/>
      <c r="P113" s="18">
        <v>42072.178310185191</v>
      </c>
      <c r="Q113" s="13"/>
      <c r="R113" s="13"/>
      <c r="S113" s="8"/>
      <c r="T113" s="8"/>
      <c r="U113" s="19" t="str">
        <f>HYPERLINK("https://pbs.twimg.com/profile_images/574891756023496704/E_HyM_1_.jpeg","View")</f>
        <v>View</v>
      </c>
      <c r="V113" s="8"/>
      <c r="W113" s="8"/>
      <c r="X113" s="8"/>
      <c r="Y113" s="8"/>
      <c r="Z113" s="8"/>
    </row>
    <row r="114" spans="1:26" ht="12.75">
      <c r="A114" s="11">
        <v>43747.209097222221</v>
      </c>
      <c r="B114" s="12" t="str">
        <f>HYPERLINK("https://twitter.com/saadalsahli17","@saadalsahli17")</f>
        <v>@saadalsahli17</v>
      </c>
      <c r="C114" s="7" t="s">
        <v>670</v>
      </c>
      <c r="D114" s="7" t="s">
        <v>671</v>
      </c>
      <c r="E114" s="12" t="str">
        <f>HYPERLINK("https://twitter.com/saadalsahli17/status/1181902403441963010","1181902403441963010")</f>
        <v>1181902403441963010</v>
      </c>
      <c r="F114" s="8"/>
      <c r="G114" s="14" t="s">
        <v>672</v>
      </c>
      <c r="H114" s="8"/>
      <c r="I114" s="15">
        <v>0</v>
      </c>
      <c r="J114" s="15">
        <v>0</v>
      </c>
      <c r="K114" s="12" t="str">
        <f>HYPERLINK("http://twitter.com","Twitter Web Client")</f>
        <v>Twitter Web Client</v>
      </c>
      <c r="L114" s="16">
        <v>1</v>
      </c>
      <c r="M114" s="16">
        <v>38</v>
      </c>
      <c r="N114" s="16">
        <v>0</v>
      </c>
      <c r="O114" s="17"/>
      <c r="P114" s="18">
        <v>42081.106898148151</v>
      </c>
      <c r="Q114" s="13"/>
      <c r="R114" s="13"/>
      <c r="S114" s="8"/>
      <c r="T114" s="8"/>
      <c r="U114" s="19" t="str">
        <f>HYPERLINK("https://pbs.twimg.com/profile_images/578127396676595712/i7tdmFtR.jpeg","View")</f>
        <v>View</v>
      </c>
      <c r="V114" s="8"/>
      <c r="W114" s="8"/>
      <c r="X114" s="8"/>
      <c r="Y114" s="8"/>
      <c r="Z114" s="8"/>
    </row>
    <row r="115" spans="1:26" ht="12.75">
      <c r="A115" s="11">
        <v>43747.208912037036</v>
      </c>
      <c r="B115" s="12" t="str">
        <f>HYPERLINK("https://twitter.com/AbubakerAhlawe2","@AbubakerAhlawe2")</f>
        <v>@AbubakerAhlawe2</v>
      </c>
      <c r="C115" s="7" t="s">
        <v>678</v>
      </c>
      <c r="D115" s="13" t="s">
        <v>679</v>
      </c>
      <c r="E115" s="12" t="str">
        <f>HYPERLINK("https://twitter.com/AbubakerAhlawe2/status/1181902338962939905","1181902338962939905")</f>
        <v>1181902338962939905</v>
      </c>
      <c r="F115" s="8"/>
      <c r="G115" s="14" t="s">
        <v>680</v>
      </c>
      <c r="H115" s="8"/>
      <c r="I115" s="15">
        <v>0</v>
      </c>
      <c r="J115" s="15">
        <v>0</v>
      </c>
      <c r="K115" s="12" t="str">
        <f>HYPERLINK("http://twitter.com","Twitter Web Client")</f>
        <v>Twitter Web Client</v>
      </c>
      <c r="L115" s="16">
        <v>7</v>
      </c>
      <c r="M115" s="16">
        <v>64</v>
      </c>
      <c r="N115" s="16">
        <v>0</v>
      </c>
      <c r="O115" s="17"/>
      <c r="P115" s="18">
        <v>41483.58865740741</v>
      </c>
      <c r="Q115" s="7"/>
      <c r="R115" s="13" t="s">
        <v>684</v>
      </c>
      <c r="S115" s="8"/>
      <c r="T115" s="8"/>
      <c r="U115" s="19" t="str">
        <f>HYPERLINK("https://pbs.twimg.com/profile_images/825000201920380928/j-tv21rJ.jpg","View")</f>
        <v>View</v>
      </c>
      <c r="V115" s="8"/>
      <c r="W115" s="8"/>
      <c r="X115" s="8"/>
      <c r="Y115" s="8"/>
      <c r="Z115" s="8"/>
    </row>
    <row r="116" spans="1:26" ht="12.75">
      <c r="A116" s="11">
        <v>43747.208518518513</v>
      </c>
      <c r="B116" s="12" t="str">
        <f>HYPERLINK("https://twitter.com/massadmaliki201","@massadmaliki201")</f>
        <v>@massadmaliki201</v>
      </c>
      <c r="C116" s="13" t="s">
        <v>688</v>
      </c>
      <c r="D116" s="13" t="s">
        <v>689</v>
      </c>
      <c r="E116" s="12" t="str">
        <f>HYPERLINK("https://twitter.com/massadmaliki201/status/1181902195706474496","1181902195706474496")</f>
        <v>1181902195706474496</v>
      </c>
      <c r="F116" s="8"/>
      <c r="G116" s="14" t="s">
        <v>690</v>
      </c>
      <c r="H116" s="8"/>
      <c r="I116" s="15">
        <v>0</v>
      </c>
      <c r="J116" s="15">
        <v>0</v>
      </c>
      <c r="K116" s="12" t="str">
        <f>HYPERLINK("http://twitter.com","Twitter Web Client")</f>
        <v>Twitter Web Client</v>
      </c>
      <c r="L116" s="16">
        <v>0</v>
      </c>
      <c r="M116" s="16">
        <v>34</v>
      </c>
      <c r="N116" s="16">
        <v>0</v>
      </c>
      <c r="O116" s="17"/>
      <c r="P116" s="18">
        <v>41848.258750000001</v>
      </c>
      <c r="Q116" s="13"/>
      <c r="R116" s="13"/>
      <c r="S116" s="8"/>
      <c r="T116" s="8"/>
      <c r="U116" s="19" t="str">
        <f>HYPERLINK("https://pbs.twimg.com/profile_images/493746206724464640/lHK4Tpd8.jpeg","View")</f>
        <v>View</v>
      </c>
      <c r="V116" s="8"/>
      <c r="W116" s="8"/>
      <c r="X116" s="8"/>
      <c r="Y116" s="8"/>
      <c r="Z116" s="8"/>
    </row>
    <row r="117" spans="1:26" ht="12.75">
      <c r="A117" s="11">
        <v>43747.20789351852</v>
      </c>
      <c r="B117" s="12" t="str">
        <f>HYPERLINK("https://twitter.com/ma7medGoomaa","@ma7medGoomaa")</f>
        <v>@ma7medGoomaa</v>
      </c>
      <c r="C117" s="13" t="s">
        <v>691</v>
      </c>
      <c r="D117" s="13" t="s">
        <v>692</v>
      </c>
      <c r="E117" s="12" t="str">
        <f>HYPERLINK("https://twitter.com/ma7medGoomaa/status/1181901966072528896","1181901966072528896")</f>
        <v>1181901966072528896</v>
      </c>
      <c r="F117" s="8"/>
      <c r="G117" s="14" t="s">
        <v>693</v>
      </c>
      <c r="H117" s="8"/>
      <c r="I117" s="15">
        <v>4</v>
      </c>
      <c r="J117" s="15">
        <v>4</v>
      </c>
      <c r="K117" s="12" t="str">
        <f>HYPERLINK("http://twitter.com/download/android","Twitter for Android")</f>
        <v>Twitter for Android</v>
      </c>
      <c r="L117" s="16">
        <v>2874</v>
      </c>
      <c r="M117" s="16">
        <v>1826</v>
      </c>
      <c r="N117" s="16">
        <v>3</v>
      </c>
      <c r="O117" s="17"/>
      <c r="P117" s="18">
        <v>43440.296701388885</v>
      </c>
      <c r="Q117" s="13"/>
      <c r="R117" s="13" t="s">
        <v>694</v>
      </c>
      <c r="S117" s="8"/>
      <c r="T117" s="8"/>
      <c r="U117" s="19" t="str">
        <f>HYPERLINK("https://pbs.twimg.com/profile_images/1167524330290524162/ahcqRnPQ.jpg","View")</f>
        <v>View</v>
      </c>
      <c r="V117" s="8"/>
      <c r="W117" s="8"/>
      <c r="X117" s="8"/>
      <c r="Y117" s="8"/>
      <c r="Z117" s="8"/>
    </row>
    <row r="118" spans="1:26" ht="12.75">
      <c r="A118" s="11">
        <v>43747.206655092596</v>
      </c>
      <c r="B118" s="12" t="str">
        <f>HYPERLINK("https://twitter.com/French_24saudi","@French_24saudi")</f>
        <v>@French_24saudi</v>
      </c>
      <c r="C118" s="13" t="s">
        <v>699</v>
      </c>
      <c r="D118" s="13" t="s">
        <v>700</v>
      </c>
      <c r="E118" s="12" t="str">
        <f>HYPERLINK("https://twitter.com/French_24saudi/status/1181901517932154881","1181901517932154881")</f>
        <v>1181901517932154881</v>
      </c>
      <c r="F118" s="8"/>
      <c r="G118" s="14" t="s">
        <v>703</v>
      </c>
      <c r="H118" s="8"/>
      <c r="I118" s="15">
        <v>0</v>
      </c>
      <c r="J118" s="15">
        <v>0</v>
      </c>
      <c r="K118" s="12" t="str">
        <f>HYPERLINK("https://mobile.twitter.com","Twitter Web App")</f>
        <v>Twitter Web App</v>
      </c>
      <c r="L118" s="16">
        <v>16103</v>
      </c>
      <c r="M118" s="16">
        <v>0</v>
      </c>
      <c r="N118" s="16">
        <v>9</v>
      </c>
      <c r="O118" s="17"/>
      <c r="P118" s="18">
        <v>41105.319120370368</v>
      </c>
      <c r="Q118" s="13"/>
      <c r="R118" s="13" t="s">
        <v>705</v>
      </c>
      <c r="S118" s="8"/>
      <c r="T118" s="8"/>
      <c r="U118" s="19" t="str">
        <f>HYPERLINK("https://pbs.twimg.com/profile_images/1103018339222372352/kLu2hGvN.png","View")</f>
        <v>View</v>
      </c>
      <c r="V118" s="8"/>
      <c r="W118" s="8"/>
      <c r="X118" s="8"/>
      <c r="Y118" s="8"/>
      <c r="Z118" s="8"/>
    </row>
    <row r="119" spans="1:26" ht="12.75">
      <c r="A119" s="11">
        <v>43747.206562499996</v>
      </c>
      <c r="B119" s="12" t="str">
        <f>HYPERLINK("https://twitter.com/rada_elmomen","@rada_elmomen")</f>
        <v>@rada_elmomen</v>
      </c>
      <c r="C119" s="7" t="s">
        <v>708</v>
      </c>
      <c r="D119" s="13" t="s">
        <v>709</v>
      </c>
      <c r="E119" s="12" t="str">
        <f>HYPERLINK("https://twitter.com/rada_elmomen/status/1181901486797787137","1181901486797787137")</f>
        <v>1181901486797787137</v>
      </c>
      <c r="F119" s="8"/>
      <c r="G119" s="14" t="s">
        <v>710</v>
      </c>
      <c r="H119" s="8"/>
      <c r="I119" s="15">
        <v>0</v>
      </c>
      <c r="J119" s="15">
        <v>0</v>
      </c>
      <c r="K119" s="12" t="str">
        <f>HYPERLINK("http://twitter.com","Twitter Web Client")</f>
        <v>Twitter Web Client</v>
      </c>
      <c r="L119" s="16">
        <v>2</v>
      </c>
      <c r="M119" s="16">
        <v>29</v>
      </c>
      <c r="N119" s="16">
        <v>0</v>
      </c>
      <c r="O119" s="17"/>
      <c r="P119" s="18">
        <v>41845.35796296296</v>
      </c>
      <c r="Q119" s="13"/>
      <c r="R119" s="13"/>
      <c r="S119" s="8"/>
      <c r="T119" s="8"/>
      <c r="U119" s="19" t="str">
        <f>HYPERLINK("https://pbs.twimg.com/profile_images/492694923020234754/VemnpdpO.jpeg","View")</f>
        <v>View</v>
      </c>
      <c r="V119" s="8"/>
      <c r="W119" s="8"/>
      <c r="X119" s="8"/>
      <c r="Y119" s="8"/>
      <c r="Z119" s="8"/>
    </row>
    <row r="120" spans="1:26" ht="12.75">
      <c r="A120" s="11">
        <v>43747.206261574072</v>
      </c>
      <c r="B120" s="12" t="str">
        <f>HYPERLINK("https://twitter.com/nasseralayed203","@nasseralayed203")</f>
        <v>@nasseralayed203</v>
      </c>
      <c r="C120" s="13" t="s">
        <v>715</v>
      </c>
      <c r="D120" s="13" t="s">
        <v>716</v>
      </c>
      <c r="E120" s="12" t="str">
        <f>HYPERLINK("https://twitter.com/nasseralayed203/status/1181901375271309312","1181901375271309312")</f>
        <v>1181901375271309312</v>
      </c>
      <c r="F120" s="8"/>
      <c r="G120" s="14" t="s">
        <v>717</v>
      </c>
      <c r="H120" s="8"/>
      <c r="I120" s="15">
        <v>0</v>
      </c>
      <c r="J120" s="15">
        <v>0</v>
      </c>
      <c r="K120" s="12" t="str">
        <f>HYPERLINK("http://twitter.com","Twitter Web Client")</f>
        <v>Twitter Web Client</v>
      </c>
      <c r="L120" s="16">
        <v>2</v>
      </c>
      <c r="M120" s="16">
        <v>39</v>
      </c>
      <c r="N120" s="16">
        <v>0</v>
      </c>
      <c r="O120" s="17"/>
      <c r="P120" s="18">
        <v>42074.845601851848</v>
      </c>
      <c r="Q120" s="13"/>
      <c r="R120" s="13"/>
      <c r="S120" s="8"/>
      <c r="T120" s="8"/>
      <c r="U120" s="19" t="str">
        <f>HYPERLINK("https://pbs.twimg.com/profile_images/575859150560718849/2PhJ_-Qf.jpeg","View")</f>
        <v>View</v>
      </c>
      <c r="V120" s="8"/>
      <c r="W120" s="8"/>
      <c r="X120" s="8"/>
      <c r="Y120" s="8"/>
      <c r="Z120" s="8"/>
    </row>
    <row r="121" spans="1:26" ht="12.75">
      <c r="A121" s="11">
        <v>43747.205474537041</v>
      </c>
      <c r="B121" s="12" t="str">
        <f>HYPERLINK("https://twitter.com/ayedaljuhaniay3","@ayedaljuhaniay3")</f>
        <v>@ayedaljuhaniay3</v>
      </c>
      <c r="C121" s="13" t="s">
        <v>721</v>
      </c>
      <c r="D121" s="13" t="s">
        <v>722</v>
      </c>
      <c r="E121" s="12" t="str">
        <f>HYPERLINK("https://twitter.com/ayedaljuhaniay3/status/1181901089685327872","1181901089685327872")</f>
        <v>1181901089685327872</v>
      </c>
      <c r="F121" s="8"/>
      <c r="G121" s="14" t="s">
        <v>723</v>
      </c>
      <c r="H121" s="8"/>
      <c r="I121" s="15">
        <v>0</v>
      </c>
      <c r="J121" s="15">
        <v>0</v>
      </c>
      <c r="K121" s="12" t="str">
        <f>HYPERLINK("http://twitter.com","Twitter Web Client")</f>
        <v>Twitter Web Client</v>
      </c>
      <c r="L121" s="16">
        <v>3</v>
      </c>
      <c r="M121" s="16">
        <v>43</v>
      </c>
      <c r="N121" s="16">
        <v>0</v>
      </c>
      <c r="O121" s="17"/>
      <c r="P121" s="18">
        <v>42082.34646990741</v>
      </c>
      <c r="Q121" s="13"/>
      <c r="R121" s="13"/>
      <c r="S121" s="8"/>
      <c r="T121" s="8"/>
      <c r="U121" s="19" t="str">
        <f>HYPERLINK("https://pbs.twimg.com/profile_images/578576973125066752/XcCGmOcW.jpeg","View")</f>
        <v>View</v>
      </c>
      <c r="V121" s="8"/>
      <c r="W121" s="8"/>
      <c r="X121" s="8"/>
      <c r="Y121" s="8"/>
      <c r="Z121" s="8"/>
    </row>
    <row r="122" spans="1:26" ht="12.75">
      <c r="A122" s="11">
        <v>43747.205185185187</v>
      </c>
      <c r="B122" s="12" t="str">
        <f>HYPERLINK("https://twitter.com/almalakiie54","@almalakiie54")</f>
        <v>@almalakiie54</v>
      </c>
      <c r="C122" s="13" t="s">
        <v>727</v>
      </c>
      <c r="D122" s="13" t="s">
        <v>728</v>
      </c>
      <c r="E122" s="12" t="str">
        <f>HYPERLINK("https://twitter.com/almalakiie54/status/1181900986597687296","1181900986597687296")</f>
        <v>1181900986597687296</v>
      </c>
      <c r="F122" s="15"/>
      <c r="G122" s="14" t="s">
        <v>729</v>
      </c>
      <c r="H122" s="8"/>
      <c r="I122" s="15">
        <v>0</v>
      </c>
      <c r="J122" s="15">
        <v>0</v>
      </c>
      <c r="K122" s="12" t="str">
        <f>HYPERLINK("http://twitter.com","Twitter Web Client")</f>
        <v>Twitter Web Client</v>
      </c>
      <c r="L122" s="16">
        <v>8</v>
      </c>
      <c r="M122" s="16">
        <v>43</v>
      </c>
      <c r="N122" s="16">
        <v>0</v>
      </c>
      <c r="O122" s="17"/>
      <c r="P122" s="18">
        <v>42072.228055555555</v>
      </c>
      <c r="Q122" s="13"/>
      <c r="R122" s="13"/>
      <c r="S122" s="15"/>
      <c r="T122" s="8"/>
      <c r="U122" s="19" t="str">
        <f>HYPERLINK("https://pbs.twimg.com/profile_images/574909722022703104/AMyTO8_n.jpeg","View")</f>
        <v>View</v>
      </c>
      <c r="V122" s="8"/>
      <c r="W122" s="8"/>
      <c r="X122" s="8"/>
      <c r="Y122" s="8"/>
      <c r="Z122" s="8"/>
    </row>
    <row r="123" spans="1:26" ht="12.75">
      <c r="A123" s="11">
        <v>43747.203703703708</v>
      </c>
      <c r="B123" s="12" t="str">
        <f>HYPERLINK("https://twitter.com/FalehEl3ser","@FalehEl3ser")</f>
        <v>@FalehEl3ser</v>
      </c>
      <c r="C123" s="7" t="s">
        <v>732</v>
      </c>
      <c r="D123" s="7" t="s">
        <v>733</v>
      </c>
      <c r="E123" s="12" t="str">
        <f>HYPERLINK("https://twitter.com/FalehEl3ser/status/1181900451660386304","1181900451660386304")</f>
        <v>1181900451660386304</v>
      </c>
      <c r="F123" s="8"/>
      <c r="G123" s="14" t="s">
        <v>734</v>
      </c>
      <c r="H123" s="8"/>
      <c r="I123" s="15">
        <v>0</v>
      </c>
      <c r="J123" s="15">
        <v>0</v>
      </c>
      <c r="K123" s="12" t="str">
        <f>HYPERLINK("http://twitter.com","Twitter Web Client")</f>
        <v>Twitter Web Client</v>
      </c>
      <c r="L123" s="16">
        <v>1</v>
      </c>
      <c r="M123" s="16">
        <v>30</v>
      </c>
      <c r="N123" s="16">
        <v>0</v>
      </c>
      <c r="O123" s="17"/>
      <c r="P123" s="18">
        <v>41828.253171296295</v>
      </c>
      <c r="Q123" s="13"/>
      <c r="R123" s="7"/>
      <c r="S123" s="8"/>
      <c r="T123" s="8"/>
      <c r="U123" s="19" t="str">
        <f>HYPERLINK("https://pbs.twimg.com/profile_images/486496566979485696/3yyNej6G.jpeg","View")</f>
        <v>View</v>
      </c>
      <c r="V123" s="8"/>
      <c r="W123" s="8"/>
      <c r="X123" s="8"/>
      <c r="Y123" s="8"/>
      <c r="Z123" s="8"/>
    </row>
    <row r="124" spans="1:26" ht="12.75">
      <c r="A124" s="11">
        <v>43747.203009259261</v>
      </c>
      <c r="B124" s="12" t="str">
        <f>HYPERLINK("https://twitter.com/TANBEESH","@TANBEESH")</f>
        <v>@TANBEESH</v>
      </c>
      <c r="C124" s="13" t="s">
        <v>738</v>
      </c>
      <c r="D124" s="13" t="s">
        <v>740</v>
      </c>
      <c r="E124" s="12" t="str">
        <f>HYPERLINK("https://twitter.com/TANBEESH/status/1181900197003051008","1181900197003051008")</f>
        <v>1181900197003051008</v>
      </c>
      <c r="F124" s="8"/>
      <c r="G124" s="14" t="s">
        <v>741</v>
      </c>
      <c r="H124" s="8"/>
      <c r="I124" s="15">
        <v>0</v>
      </c>
      <c r="J124" s="15">
        <v>0</v>
      </c>
      <c r="K124" s="12" t="str">
        <f>HYPERLINK("http://twitter.com/download/iphone","Twitter for iPhone")</f>
        <v>Twitter for iPhone</v>
      </c>
      <c r="L124" s="16">
        <v>1732</v>
      </c>
      <c r="M124" s="16">
        <v>11</v>
      </c>
      <c r="N124" s="16">
        <v>3</v>
      </c>
      <c r="O124" s="17"/>
      <c r="P124" s="18">
        <v>43666.972974537042</v>
      </c>
      <c r="Q124" s="13"/>
      <c r="R124" s="13" t="s">
        <v>742</v>
      </c>
      <c r="S124" s="8"/>
      <c r="T124" s="8"/>
      <c r="U124" s="19" t="str">
        <f>HYPERLINK("https://pbs.twimg.com/profile_images/1152826484454805504/lJKmNRtk.jpg","View")</f>
        <v>View</v>
      </c>
      <c r="V124" s="8"/>
      <c r="W124" s="8"/>
      <c r="X124" s="8"/>
      <c r="Y124" s="8"/>
      <c r="Z124" s="8"/>
    </row>
    <row r="125" spans="1:26" ht="12.75">
      <c r="A125" s="11">
        <v>43747.202453703707</v>
      </c>
      <c r="B125" s="12" t="str">
        <f>HYPERLINK("https://twitter.com/madameshawshank","@madameshawshank")</f>
        <v>@madameshawshank</v>
      </c>
      <c r="C125" s="13" t="s">
        <v>745</v>
      </c>
      <c r="D125" s="13" t="s">
        <v>746</v>
      </c>
      <c r="E125" s="12" t="str">
        <f>HYPERLINK("https://twitter.com/madameshawshank/status/1181899997823942656","1181899997823942656")</f>
        <v>1181899997823942656</v>
      </c>
      <c r="F125" s="8" t="s">
        <v>747</v>
      </c>
      <c r="G125" s="15"/>
      <c r="H125" s="8"/>
      <c r="I125" s="15">
        <v>0</v>
      </c>
      <c r="J125" s="15">
        <v>0</v>
      </c>
      <c r="K125" s="12" t="str">
        <f>HYPERLINK("https://mobile.twitter.com","Twitter Web App")</f>
        <v>Twitter Web App</v>
      </c>
      <c r="L125" s="16">
        <v>1550</v>
      </c>
      <c r="M125" s="16">
        <v>2283</v>
      </c>
      <c r="N125" s="16">
        <v>11</v>
      </c>
      <c r="O125" s="17"/>
      <c r="P125" s="18">
        <v>40131.916099537033</v>
      </c>
      <c r="Q125" s="13" t="s">
        <v>748</v>
      </c>
      <c r="R125" s="13" t="s">
        <v>749</v>
      </c>
      <c r="S125" s="8"/>
      <c r="T125" s="8"/>
      <c r="U125" s="19" t="str">
        <f>HYPERLINK("https://pbs.twimg.com/profile_images/929117823082807296/SA_JwGIx.jpg","View")</f>
        <v>View</v>
      </c>
      <c r="V125" s="8"/>
      <c r="W125" s="8"/>
      <c r="X125" s="8"/>
      <c r="Y125" s="8"/>
      <c r="Z125" s="8"/>
    </row>
    <row r="126" spans="1:26" ht="12.75">
      <c r="A126" s="11">
        <v>43747.199606481481</v>
      </c>
      <c r="B126" s="12" t="str">
        <f>HYPERLINK("https://twitter.com/mubarakalkhate4","@mubarakalkhate4")</f>
        <v>@mubarakalkhate4</v>
      </c>
      <c r="C126" s="13" t="s">
        <v>750</v>
      </c>
      <c r="D126" s="13" t="s">
        <v>751</v>
      </c>
      <c r="E126" s="12" t="str">
        <f>HYPERLINK("https://twitter.com/mubarakalkhate4/status/1181898963479343105","1181898963479343105")</f>
        <v>1181898963479343105</v>
      </c>
      <c r="F126" s="8"/>
      <c r="G126" s="14" t="s">
        <v>752</v>
      </c>
      <c r="H126" s="8"/>
      <c r="I126" s="15">
        <v>0</v>
      </c>
      <c r="J126" s="15">
        <v>0</v>
      </c>
      <c r="K126" s="12" t="str">
        <f>HYPERLINK("http://twitter.com","Twitter Web Client")</f>
        <v>Twitter Web Client</v>
      </c>
      <c r="L126" s="16">
        <v>1</v>
      </c>
      <c r="M126" s="16">
        <v>37</v>
      </c>
      <c r="N126" s="16">
        <v>0</v>
      </c>
      <c r="O126" s="17"/>
      <c r="P126" s="18">
        <v>42080.177604166667</v>
      </c>
      <c r="Q126" s="13"/>
      <c r="R126" s="13"/>
      <c r="S126" s="8"/>
      <c r="T126" s="8"/>
      <c r="U126" s="19" t="str">
        <f>HYPERLINK("https://pbs.twimg.com/profile_images/577792722456563712/xvo4wbZo.jpeg","View")</f>
        <v>View</v>
      </c>
      <c r="V126" s="8"/>
      <c r="W126" s="8"/>
      <c r="X126" s="8"/>
      <c r="Y126" s="8"/>
      <c r="Z126" s="8"/>
    </row>
    <row r="127" spans="1:26" ht="12.75">
      <c r="A127" s="11">
        <v>43747.199513888889</v>
      </c>
      <c r="B127" s="12" t="str">
        <f>HYPERLINK("https://twitter.com/japanes_24saudi","@japanes_24saudi")</f>
        <v>@japanes_24saudi</v>
      </c>
      <c r="C127" s="13" t="s">
        <v>753</v>
      </c>
      <c r="D127" s="13" t="s">
        <v>754</v>
      </c>
      <c r="E127" s="12" t="str">
        <f>HYPERLINK("https://twitter.com/japanes_24saudi/status/1181898932810637312","1181898932810637312")</f>
        <v>1181898932810637312</v>
      </c>
      <c r="F127" s="8"/>
      <c r="G127" s="14" t="s">
        <v>755</v>
      </c>
      <c r="H127" s="8"/>
      <c r="I127" s="15">
        <v>0</v>
      </c>
      <c r="J127" s="15">
        <v>0</v>
      </c>
      <c r="K127" s="12" t="str">
        <f>HYPERLINK("https://mobile.twitter.com","Twitter Web App")</f>
        <v>Twitter Web App</v>
      </c>
      <c r="L127" s="16">
        <v>821</v>
      </c>
      <c r="M127" s="16">
        <v>4</v>
      </c>
      <c r="N127" s="16">
        <v>1</v>
      </c>
      <c r="O127" s="17"/>
      <c r="P127" s="18">
        <v>42217.147337962961</v>
      </c>
      <c r="Q127" s="13"/>
      <c r="R127" s="13" t="s">
        <v>756</v>
      </c>
      <c r="S127" s="8"/>
      <c r="T127" s="8"/>
      <c r="U127" s="19" t="str">
        <f>HYPERLINK("https://pbs.twimg.com/profile_images/1102660805827411969/gdcCEjEI.png","View")</f>
        <v>View</v>
      </c>
      <c r="V127" s="8"/>
      <c r="W127" s="8"/>
      <c r="X127" s="8"/>
      <c r="Y127" s="8"/>
      <c r="Z127" s="8"/>
    </row>
    <row r="128" spans="1:26" ht="12.75">
      <c r="A128" s="11">
        <v>43747.198541666672</v>
      </c>
      <c r="B128" s="12" t="str">
        <f>HYPERLINK("https://twitter.com/ahmedmosfer2","@ahmedmosfer2")</f>
        <v>@ahmedmosfer2</v>
      </c>
      <c r="C128" s="13" t="s">
        <v>757</v>
      </c>
      <c r="D128" s="13" t="s">
        <v>758</v>
      </c>
      <c r="E128" s="12" t="str">
        <f>HYPERLINK("https://twitter.com/ahmedmosfer2/status/1181898578576453633","1181898578576453633")</f>
        <v>1181898578576453633</v>
      </c>
      <c r="F128" s="8"/>
      <c r="G128" s="14" t="s">
        <v>759</v>
      </c>
      <c r="H128" s="8"/>
      <c r="I128" s="15">
        <v>0</v>
      </c>
      <c r="J128" s="15">
        <v>0</v>
      </c>
      <c r="K128" s="12" t="str">
        <f>HYPERLINK("http://twitter.com","Twitter Web Client")</f>
        <v>Twitter Web Client</v>
      </c>
      <c r="L128" s="16">
        <v>9</v>
      </c>
      <c r="M128" s="16">
        <v>43</v>
      </c>
      <c r="N128" s="16">
        <v>0</v>
      </c>
      <c r="O128" s="17"/>
      <c r="P128" s="18">
        <v>42075.20894675926</v>
      </c>
      <c r="Q128" s="13"/>
      <c r="R128" s="13"/>
      <c r="S128" s="8"/>
      <c r="T128" s="8"/>
      <c r="U128" s="19" t="str">
        <f>HYPERLINK("https://pbs.twimg.com/profile_images/575990139819708416/Qx5Dr3CO.jpeg","View")</f>
        <v>View</v>
      </c>
      <c r="V128" s="8"/>
      <c r="W128" s="8"/>
      <c r="X128" s="8"/>
      <c r="Y128" s="8"/>
      <c r="Z128" s="8"/>
    </row>
    <row r="129" spans="1:26" ht="12.75">
      <c r="A129" s="11">
        <v>43747.198136574079</v>
      </c>
      <c r="B129" s="12" t="str">
        <f>HYPERLINK("https://twitter.com/abedalaze5634","@abedalaze5634")</f>
        <v>@abedalaze5634</v>
      </c>
      <c r="C129" s="13" t="s">
        <v>760</v>
      </c>
      <c r="D129" s="7" t="s">
        <v>761</v>
      </c>
      <c r="E129" s="12" t="str">
        <f>HYPERLINK("https://twitter.com/abedalaze5634/status/1181898432694423552","1181898432694423552")</f>
        <v>1181898432694423552</v>
      </c>
      <c r="F129" s="8"/>
      <c r="G129" s="14" t="s">
        <v>762</v>
      </c>
      <c r="H129" s="8"/>
      <c r="I129" s="15">
        <v>0</v>
      </c>
      <c r="J129" s="15">
        <v>0</v>
      </c>
      <c r="K129" s="12" t="str">
        <f>HYPERLINK("http://twitter.com","Twitter Web Client")</f>
        <v>Twitter Web Client</v>
      </c>
      <c r="L129" s="16">
        <v>11</v>
      </c>
      <c r="M129" s="16">
        <v>48</v>
      </c>
      <c r="N129" s="16">
        <v>0</v>
      </c>
      <c r="O129" s="17"/>
      <c r="P129" s="18">
        <v>42075.531446759254</v>
      </c>
      <c r="Q129" s="13"/>
      <c r="R129" s="13"/>
      <c r="S129" s="8"/>
      <c r="T129" s="8"/>
      <c r="U129" s="19" t="str">
        <f>HYPERLINK("https://pbs.twimg.com/profile_images/576106866490519552/ngDylRdR.jpeg","View")</f>
        <v>View</v>
      </c>
      <c r="V129" s="8"/>
      <c r="W129" s="8"/>
      <c r="X129" s="8"/>
      <c r="Y129" s="8"/>
      <c r="Z129" s="8"/>
    </row>
    <row r="130" spans="1:26" ht="12.75">
      <c r="A130" s="11">
        <v>43747.196111111116</v>
      </c>
      <c r="B130" s="12" t="str">
        <f>HYPERLINK("https://twitter.com/elkahatany55","@elkahatany55")</f>
        <v>@elkahatany55</v>
      </c>
      <c r="C130" s="7" t="s">
        <v>763</v>
      </c>
      <c r="D130" s="7" t="s">
        <v>764</v>
      </c>
      <c r="E130" s="12" t="str">
        <f>HYPERLINK("https://twitter.com/elkahatany55/status/1181897699991445504","1181897699991445504")</f>
        <v>1181897699991445504</v>
      </c>
      <c r="F130" s="7"/>
      <c r="G130" s="14" t="s">
        <v>765</v>
      </c>
      <c r="H130" s="8"/>
      <c r="I130" s="15">
        <v>0</v>
      </c>
      <c r="J130" s="15">
        <v>0</v>
      </c>
      <c r="K130" s="12" t="str">
        <f>HYPERLINK("http://twitter.com","Twitter Web Client")</f>
        <v>Twitter Web Client</v>
      </c>
      <c r="L130" s="16">
        <v>13</v>
      </c>
      <c r="M130" s="16">
        <v>40</v>
      </c>
      <c r="N130" s="16">
        <v>0</v>
      </c>
      <c r="O130" s="17"/>
      <c r="P130" s="18">
        <v>42075.501446759255</v>
      </c>
      <c r="Q130" s="7"/>
      <c r="R130" s="7"/>
      <c r="S130" s="8"/>
      <c r="T130" s="8"/>
      <c r="U130" s="19" t="str">
        <f>HYPERLINK("https://pbs.twimg.com/profile_images/576095983987134464/cdSNHnXZ.jpeg","View")</f>
        <v>View</v>
      </c>
      <c r="V130" s="8"/>
      <c r="W130" s="8"/>
      <c r="X130" s="8"/>
      <c r="Y130" s="8"/>
      <c r="Z130" s="8"/>
    </row>
    <row r="131" spans="1:26" ht="12.75">
      <c r="A131" s="11">
        <v>43747.195868055554</v>
      </c>
      <c r="B131" s="12" t="str">
        <f>HYPERLINK("https://twitter.com/Turkish_24saudi","@Turkish_24saudi")</f>
        <v>@Turkish_24saudi</v>
      </c>
      <c r="C131" s="13" t="s">
        <v>766</v>
      </c>
      <c r="D131" s="13" t="s">
        <v>767</v>
      </c>
      <c r="E131" s="12" t="str">
        <f>HYPERLINK("https://twitter.com/Turkish_24saudi/status/1181897610501791745","1181897610501791745")</f>
        <v>1181897610501791745</v>
      </c>
      <c r="F131" s="8"/>
      <c r="G131" s="14" t="s">
        <v>768</v>
      </c>
      <c r="H131" s="8"/>
      <c r="I131" s="15">
        <v>0</v>
      </c>
      <c r="J131" s="15">
        <v>0</v>
      </c>
      <c r="K131" s="12" t="str">
        <f>HYPERLINK("https://mobile.twitter.com","Twitter Web App")</f>
        <v>Twitter Web App</v>
      </c>
      <c r="L131" s="16">
        <v>12217</v>
      </c>
      <c r="M131" s="16">
        <v>0</v>
      </c>
      <c r="N131" s="16">
        <v>52</v>
      </c>
      <c r="O131" s="17"/>
      <c r="P131" s="18">
        <v>41324.405694444446</v>
      </c>
      <c r="Q131" s="14" t="s">
        <v>769</v>
      </c>
      <c r="R131" s="13" t="s">
        <v>770</v>
      </c>
      <c r="S131" s="8"/>
      <c r="T131" s="8"/>
      <c r="U131" s="19" t="str">
        <f>HYPERLINK("https://pbs.twimg.com/profile_images/1103022713512308738/mUUnfTOj.png","View")</f>
        <v>View</v>
      </c>
      <c r="V131" s="8"/>
      <c r="W131" s="8"/>
      <c r="X131" s="8"/>
      <c r="Y131" s="8"/>
      <c r="Z131" s="8"/>
    </row>
    <row r="132" spans="1:26" ht="12.75">
      <c r="A132" s="11">
        <v>43747.195706018523</v>
      </c>
      <c r="B132" s="12" t="str">
        <f>HYPERLINK("https://twitter.com/bejbejafeudeea","@bejbejafeudeea")</f>
        <v>@bejbejafeudeea</v>
      </c>
      <c r="C132" s="7" t="s">
        <v>771</v>
      </c>
      <c r="D132" s="7" t="s">
        <v>772</v>
      </c>
      <c r="E132" s="12" t="str">
        <f>HYPERLINK("https://twitter.com/bejbejafeudeea/status/1181897551697633280","1181897551697633280")</f>
        <v>1181897551697633280</v>
      </c>
      <c r="F132" s="8"/>
      <c r="G132" s="14" t="s">
        <v>773</v>
      </c>
      <c r="H132" s="8"/>
      <c r="I132" s="15">
        <v>0</v>
      </c>
      <c r="J132" s="15">
        <v>0</v>
      </c>
      <c r="K132" s="12" t="str">
        <f>HYPERLINK("http://twitter.com","Twitter Web Client")</f>
        <v>Twitter Web Client</v>
      </c>
      <c r="L132" s="16">
        <v>2</v>
      </c>
      <c r="M132" s="16">
        <v>22</v>
      </c>
      <c r="N132" s="16">
        <v>0</v>
      </c>
      <c r="O132" s="17"/>
      <c r="P132" s="18">
        <v>41829.327893518523</v>
      </c>
      <c r="Q132" s="13"/>
      <c r="R132" s="7"/>
      <c r="S132" s="8"/>
      <c r="T132" s="8"/>
      <c r="U132" s="19" t="str">
        <f>HYPERLINK("https://pbs.twimg.com/profile_images/486889789837164544/JmGq9m6r.jpeg","View")</f>
        <v>View</v>
      </c>
      <c r="V132" s="8"/>
      <c r="W132" s="8"/>
      <c r="X132" s="8"/>
      <c r="Y132" s="8"/>
      <c r="Z132" s="8"/>
    </row>
    <row r="133" spans="1:26" ht="12.75">
      <c r="A133" s="11">
        <v>43747.195219907408</v>
      </c>
      <c r="B133" s="12" t="str">
        <f>HYPERLINK("https://twitter.com/donomom54","@donomom54")</f>
        <v>@donomom54</v>
      </c>
      <c r="C133" s="13" t="s">
        <v>774</v>
      </c>
      <c r="D133" s="13" t="s">
        <v>775</v>
      </c>
      <c r="E133" s="12" t="str">
        <f>HYPERLINK("https://twitter.com/donomom54/status/1181897376165978112","1181897376165978112")</f>
        <v>1181897376165978112</v>
      </c>
      <c r="F133" s="8"/>
      <c r="G133" s="15"/>
      <c r="H133" s="8"/>
      <c r="I133" s="15">
        <v>0</v>
      </c>
      <c r="J133" s="15">
        <v>0</v>
      </c>
      <c r="K133" s="12" t="str">
        <f>HYPERLINK("https://mobile.twitter.com","Twitter Web App")</f>
        <v>Twitter Web App</v>
      </c>
      <c r="L133" s="16">
        <v>158</v>
      </c>
      <c r="M133" s="16">
        <v>346</v>
      </c>
      <c r="N133" s="16">
        <v>0</v>
      </c>
      <c r="O133" s="17"/>
      <c r="P133" s="18">
        <v>42737.362245370372</v>
      </c>
      <c r="Q133" s="13" t="s">
        <v>776</v>
      </c>
      <c r="R133" s="13" t="s">
        <v>777</v>
      </c>
      <c r="S133" s="8"/>
      <c r="T133" s="8"/>
      <c r="U133" s="19" t="str">
        <f>HYPERLINK("https://pbs.twimg.com/profile_images/1179093830596988928/dQXdKBUZ.jpg","View")</f>
        <v>View</v>
      </c>
      <c r="V133" s="8"/>
      <c r="W133" s="8"/>
      <c r="X133" s="8"/>
      <c r="Y133" s="8"/>
      <c r="Z133" s="8"/>
    </row>
    <row r="134" spans="1:26" ht="12.75">
      <c r="A134" s="11">
        <v>43747.195196759261</v>
      </c>
      <c r="B134" s="12" t="str">
        <f>HYPERLINK("https://twitter.com/raf3_elmalkee","@raf3_elmalkee")</f>
        <v>@raf3_elmalkee</v>
      </c>
      <c r="C134" s="13" t="s">
        <v>778</v>
      </c>
      <c r="D134" s="13" t="s">
        <v>779</v>
      </c>
      <c r="E134" s="12" t="str">
        <f>HYPERLINK("https://twitter.com/raf3_elmalkee/status/1181897367919955969","1181897367919955969")</f>
        <v>1181897367919955969</v>
      </c>
      <c r="F134" s="8"/>
      <c r="G134" s="14" t="s">
        <v>780</v>
      </c>
      <c r="H134" s="8"/>
      <c r="I134" s="15">
        <v>0</v>
      </c>
      <c r="J134" s="15">
        <v>0</v>
      </c>
      <c r="K134" s="12" t="str">
        <f>HYPERLINK("http://twitter.com","Twitter Web Client")</f>
        <v>Twitter Web Client</v>
      </c>
      <c r="L134" s="16">
        <v>7</v>
      </c>
      <c r="M134" s="16">
        <v>36</v>
      </c>
      <c r="N134" s="16">
        <v>0</v>
      </c>
      <c r="O134" s="17"/>
      <c r="P134" s="18">
        <v>41845.624664351853</v>
      </c>
      <c r="Q134" s="13"/>
      <c r="R134" s="13"/>
      <c r="S134" s="8"/>
      <c r="T134" s="8"/>
      <c r="U134" s="19" t="str">
        <f>HYPERLINK("https://pbs.twimg.com/profile_images/492791369765629952/ZnG5nBJE.jpeg","View")</f>
        <v>View</v>
      </c>
      <c r="V134" s="8"/>
      <c r="W134" s="8"/>
      <c r="X134" s="8"/>
      <c r="Y134" s="8"/>
      <c r="Z134" s="8"/>
    </row>
    <row r="135" spans="1:26" ht="12.75">
      <c r="A135" s="11">
        <v>43747.195057870369</v>
      </c>
      <c r="B135" s="12" t="str">
        <f>HYPERLINK("https://twitter.com/Rashed3Ali","@Rashed3Ali")</f>
        <v>@Rashed3Ali</v>
      </c>
      <c r="C135" s="13" t="s">
        <v>785</v>
      </c>
      <c r="D135" s="13" t="s">
        <v>786</v>
      </c>
      <c r="E135" s="12" t="str">
        <f>HYPERLINK("https://twitter.com/Rashed3Ali/status/1181897314841059329","1181897314841059329")</f>
        <v>1181897314841059329</v>
      </c>
      <c r="F135" s="8"/>
      <c r="G135" s="14" t="s">
        <v>787</v>
      </c>
      <c r="H135" s="8"/>
      <c r="I135" s="15">
        <v>0</v>
      </c>
      <c r="J135" s="15">
        <v>0</v>
      </c>
      <c r="K135" s="12" t="str">
        <f>HYPERLINK("http://twitter.com","Twitter Web Client")</f>
        <v>Twitter Web Client</v>
      </c>
      <c r="L135" s="16">
        <v>1</v>
      </c>
      <c r="M135" s="16">
        <v>36</v>
      </c>
      <c r="N135" s="16">
        <v>0</v>
      </c>
      <c r="O135" s="17"/>
      <c r="P135" s="18">
        <v>42022.176145833335</v>
      </c>
      <c r="Q135" s="13"/>
      <c r="R135" s="13"/>
      <c r="S135" s="8"/>
      <c r="T135" s="8"/>
      <c r="U135" s="19" t="str">
        <f>HYPERLINK("https://pbs.twimg.com/profile_images/556787921986912256/6NwmcSmk.jpeg","View")</f>
        <v>View</v>
      </c>
      <c r="V135" s="8"/>
      <c r="W135" s="8"/>
      <c r="X135" s="8"/>
      <c r="Y135" s="8"/>
      <c r="Z135" s="8"/>
    </row>
    <row r="136" spans="1:26" ht="12.75">
      <c r="A136" s="11">
        <v>43747.194490740745</v>
      </c>
      <c r="B136" s="12" t="str">
        <f>HYPERLINK("https://twitter.com/solayma33","@solayma33")</f>
        <v>@solayma33</v>
      </c>
      <c r="C136" s="7" t="s">
        <v>790</v>
      </c>
      <c r="D136" s="7" t="s">
        <v>792</v>
      </c>
      <c r="E136" s="12" t="str">
        <f>HYPERLINK("https://twitter.com/solayma33/status/1181897112398831618","1181897112398831618")</f>
        <v>1181897112398831618</v>
      </c>
      <c r="F136" s="8"/>
      <c r="G136" s="14" t="s">
        <v>793</v>
      </c>
      <c r="H136" s="8"/>
      <c r="I136" s="15">
        <v>0</v>
      </c>
      <c r="J136" s="15">
        <v>0</v>
      </c>
      <c r="K136" s="12" t="str">
        <f>HYPERLINK("http://twitter.com","Twitter Web Client")</f>
        <v>Twitter Web Client</v>
      </c>
      <c r="L136" s="16">
        <v>10</v>
      </c>
      <c r="M136" s="16">
        <v>39</v>
      </c>
      <c r="N136" s="16">
        <v>0</v>
      </c>
      <c r="O136" s="17"/>
      <c r="P136" s="18">
        <v>42076.650995370372</v>
      </c>
      <c r="Q136" s="15"/>
      <c r="R136" s="7"/>
      <c r="S136" s="8"/>
      <c r="T136" s="8"/>
      <c r="U136" s="19" t="str">
        <f>HYPERLINK("https://pbs.twimg.com/profile_images/576512665134059520/NCdS8j30.jpeg","View")</f>
        <v>View</v>
      </c>
      <c r="V136" s="8"/>
      <c r="W136" s="8"/>
      <c r="X136" s="8"/>
      <c r="Y136" s="8"/>
      <c r="Z136" s="8"/>
    </row>
    <row r="137" spans="1:26" ht="12.75">
      <c r="A137" s="11">
        <v>43747.194201388891</v>
      </c>
      <c r="B137" s="12" t="str">
        <f>HYPERLINK("https://twitter.com/hasan55aleabsi","@hasan55aleabsi")</f>
        <v>@hasan55aleabsi</v>
      </c>
      <c r="C137" s="13" t="s">
        <v>795</v>
      </c>
      <c r="D137" s="13" t="s">
        <v>796</v>
      </c>
      <c r="E137" s="12" t="str">
        <f>HYPERLINK("https://twitter.com/hasan55aleabsi/status/1181897006727516160","1181897006727516160")</f>
        <v>1181897006727516160</v>
      </c>
      <c r="F137" s="8"/>
      <c r="G137" s="14" t="s">
        <v>797</v>
      </c>
      <c r="H137" s="8"/>
      <c r="I137" s="15">
        <v>0</v>
      </c>
      <c r="J137" s="15">
        <v>0</v>
      </c>
      <c r="K137" s="12" t="str">
        <f>HYPERLINK("http://twitter.com","Twitter Web Client")</f>
        <v>Twitter Web Client</v>
      </c>
      <c r="L137" s="16">
        <v>14</v>
      </c>
      <c r="M137" s="16">
        <v>116</v>
      </c>
      <c r="N137" s="16">
        <v>0</v>
      </c>
      <c r="O137" s="17"/>
      <c r="P137" s="18">
        <v>41482.303854166668</v>
      </c>
      <c r="Q137" s="13"/>
      <c r="R137" s="13" t="s">
        <v>798</v>
      </c>
      <c r="S137" s="8"/>
      <c r="T137" s="8"/>
      <c r="U137" s="19" t="str">
        <f>HYPERLINK("https://pbs.twimg.com/profile_images/825103168400945155/MvWeWDCl.jpg","View")</f>
        <v>View</v>
      </c>
      <c r="V137" s="8"/>
      <c r="W137" s="8"/>
      <c r="X137" s="8"/>
      <c r="Y137" s="8"/>
      <c r="Z137" s="8"/>
    </row>
    <row r="138" spans="1:26" ht="12.75">
      <c r="A138" s="11">
        <v>43747.194062499999</v>
      </c>
      <c r="B138" s="12" t="str">
        <f>HYPERLINK("https://twitter.com/Chinese_24saudi","@Chinese_24saudi")</f>
        <v>@Chinese_24saudi</v>
      </c>
      <c r="C138" s="7" t="s">
        <v>799</v>
      </c>
      <c r="D138" s="7" t="s">
        <v>800</v>
      </c>
      <c r="E138" s="12" t="str">
        <f>HYPERLINK("https://twitter.com/Chinese_24saudi/status/1181896954164502528","1181896954164502528")</f>
        <v>1181896954164502528</v>
      </c>
      <c r="F138" s="8"/>
      <c r="G138" s="14" t="s">
        <v>801</v>
      </c>
      <c r="H138" s="8"/>
      <c r="I138" s="15">
        <v>0</v>
      </c>
      <c r="J138" s="15">
        <v>0</v>
      </c>
      <c r="K138" s="12" t="str">
        <f>HYPERLINK("https://mobile.twitter.com","Twitter Web App")</f>
        <v>Twitter Web App</v>
      </c>
      <c r="L138" s="16">
        <v>800</v>
      </c>
      <c r="M138" s="16">
        <v>0</v>
      </c>
      <c r="N138" s="16">
        <v>2</v>
      </c>
      <c r="O138" s="17"/>
      <c r="P138" s="18">
        <v>41338.572939814811</v>
      </c>
      <c r="Q138" s="7"/>
      <c r="R138" s="7" t="s">
        <v>804</v>
      </c>
      <c r="S138" s="8"/>
      <c r="T138" s="8"/>
      <c r="U138" s="19" t="str">
        <f>HYPERLINK("https://pbs.twimg.com/profile_images/1102639636063678464/i6YY8h0N.png","View")</f>
        <v>View</v>
      </c>
      <c r="V138" s="8"/>
      <c r="W138" s="8"/>
      <c r="X138" s="8"/>
      <c r="Y138" s="8"/>
      <c r="Z138" s="8"/>
    </row>
    <row r="139" spans="1:26" ht="12.75">
      <c r="A139" s="11">
        <v>43747.193553240737</v>
      </c>
      <c r="B139" s="12" t="str">
        <f>HYPERLINK("https://twitter.com/al3alawiie87825","@al3alawiie87825")</f>
        <v>@al3alawiie87825</v>
      </c>
      <c r="C139" s="13" t="s">
        <v>805</v>
      </c>
      <c r="D139" s="13" t="s">
        <v>806</v>
      </c>
      <c r="E139" s="12" t="str">
        <f>HYPERLINK("https://twitter.com/al3alawiie87825/status/1181896771448066048","1181896771448066048")</f>
        <v>1181896771448066048</v>
      </c>
      <c r="F139" s="8"/>
      <c r="G139" s="14" t="s">
        <v>808</v>
      </c>
      <c r="H139" s="8"/>
      <c r="I139" s="15">
        <v>0</v>
      </c>
      <c r="J139" s="15">
        <v>0</v>
      </c>
      <c r="K139" s="12" t="str">
        <f>HYPERLINK("http://twitter.com","Twitter Web Client")</f>
        <v>Twitter Web Client</v>
      </c>
      <c r="L139" s="16">
        <v>12</v>
      </c>
      <c r="M139" s="16">
        <v>51</v>
      </c>
      <c r="N139" s="16">
        <v>0</v>
      </c>
      <c r="O139" s="17"/>
      <c r="P139" s="18">
        <v>42071.689363425925</v>
      </c>
      <c r="Q139" s="13"/>
      <c r="R139" s="13"/>
      <c r="S139" s="8"/>
      <c r="T139" s="8"/>
      <c r="U139" s="19" t="str">
        <f>HYPERLINK("https://pbs.twimg.com/profile_images/574714649356062721/hCeyCp8c.jpeg","View")</f>
        <v>View</v>
      </c>
      <c r="V139" s="8"/>
      <c r="W139" s="8"/>
      <c r="X139" s="8"/>
      <c r="Y139" s="8"/>
      <c r="Z139" s="8"/>
    </row>
    <row r="140" spans="1:26" ht="12.75">
      <c r="A140" s="11">
        <v>43747.193206018521</v>
      </c>
      <c r="B140" s="12" t="str">
        <f>HYPERLINK("https://twitter.com/SafranQ8","@SafranQ8")</f>
        <v>@SafranQ8</v>
      </c>
      <c r="C140" s="13" t="s">
        <v>809</v>
      </c>
      <c r="D140" s="13" t="s">
        <v>810</v>
      </c>
      <c r="E140" s="12" t="str">
        <f>HYPERLINK("https://twitter.com/SafranQ8/status/1181896647388880896","1181896647388880896")</f>
        <v>1181896647388880896</v>
      </c>
      <c r="F140" s="8"/>
      <c r="G140" s="15"/>
      <c r="H140" s="8"/>
      <c r="I140" s="15">
        <v>0</v>
      </c>
      <c r="J140" s="15">
        <v>0</v>
      </c>
      <c r="K140" s="12" t="str">
        <f>HYPERLINK("http://twitter.com/download/iphone","Twitter for iPhone")</f>
        <v>Twitter for iPhone</v>
      </c>
      <c r="L140" s="16">
        <v>429</v>
      </c>
      <c r="M140" s="16">
        <v>229</v>
      </c>
      <c r="N140" s="16">
        <v>1</v>
      </c>
      <c r="O140" s="17"/>
      <c r="P140" s="18">
        <v>40590.666250000002</v>
      </c>
      <c r="Q140" s="13" t="s">
        <v>811</v>
      </c>
      <c r="R140" s="13" t="s">
        <v>812</v>
      </c>
      <c r="S140" s="8"/>
      <c r="T140" s="8"/>
      <c r="U140" s="19" t="str">
        <f>HYPERLINK("https://pbs.twimg.com/profile_images/877047719830982656/NwLxGB_h.jpg","View")</f>
        <v>View</v>
      </c>
      <c r="V140" s="8"/>
      <c r="W140" s="8"/>
      <c r="X140" s="8"/>
      <c r="Y140" s="8"/>
      <c r="Z140" s="8"/>
    </row>
    <row r="141" spans="1:26" ht="12.75">
      <c r="A141" s="11">
        <v>43747.192546296297</v>
      </c>
      <c r="B141" s="12" t="str">
        <f>HYPERLINK("https://twitter.com/Spanish_24saudi","@Spanish_24saudi")</f>
        <v>@Spanish_24saudi</v>
      </c>
      <c r="C141" s="13" t="s">
        <v>813</v>
      </c>
      <c r="D141" s="13" t="s">
        <v>814</v>
      </c>
      <c r="E141" s="12" t="str">
        <f>HYPERLINK("https://twitter.com/Spanish_24saudi/status/1181896407210496001","1181896407210496001")</f>
        <v>1181896407210496001</v>
      </c>
      <c r="F141" s="8"/>
      <c r="G141" s="14" t="s">
        <v>815</v>
      </c>
      <c r="H141" s="8"/>
      <c r="I141" s="15">
        <v>0</v>
      </c>
      <c r="J141" s="15">
        <v>0</v>
      </c>
      <c r="K141" s="12" t="str">
        <f>HYPERLINK("https://mobile.twitter.com","Twitter Web App")</f>
        <v>Twitter Web App</v>
      </c>
      <c r="L141" s="16">
        <v>747</v>
      </c>
      <c r="M141" s="16">
        <v>4</v>
      </c>
      <c r="N141" s="16">
        <v>2</v>
      </c>
      <c r="O141" s="17"/>
      <c r="P141" s="18">
        <v>41338.966874999998</v>
      </c>
      <c r="Q141" s="13"/>
      <c r="R141" s="13" t="s">
        <v>819</v>
      </c>
      <c r="S141" s="8"/>
      <c r="T141" s="8"/>
      <c r="U141" s="19" t="str">
        <f>HYPERLINK("https://pbs.twimg.com/profile_images/1102634029092880384/Ezu75pDD.png","View")</f>
        <v>View</v>
      </c>
      <c r="V141" s="8"/>
      <c r="W141" s="8"/>
      <c r="X141" s="8"/>
      <c r="Y141" s="8"/>
      <c r="Z141" s="8"/>
    </row>
    <row r="142" spans="1:26" ht="12.75">
      <c r="A142" s="11">
        <v>43747.192326388889</v>
      </c>
      <c r="B142" s="12" t="str">
        <f>HYPERLINK("https://twitter.com/alzahraniie784","@alzahraniie784")</f>
        <v>@alzahraniie784</v>
      </c>
      <c r="C142" s="13" t="s">
        <v>820</v>
      </c>
      <c r="D142" s="13" t="s">
        <v>821</v>
      </c>
      <c r="E142" s="12" t="str">
        <f>HYPERLINK("https://twitter.com/alzahraniie784/status/1181896326633660416","1181896326633660416")</f>
        <v>1181896326633660416</v>
      </c>
      <c r="F142" s="8"/>
      <c r="G142" s="14" t="s">
        <v>822</v>
      </c>
      <c r="H142" s="8"/>
      <c r="I142" s="15">
        <v>0</v>
      </c>
      <c r="J142" s="15">
        <v>0</v>
      </c>
      <c r="K142" s="12" t="str">
        <f>HYPERLINK("http://twitter.com","Twitter Web Client")</f>
        <v>Twitter Web Client</v>
      </c>
      <c r="L142" s="16">
        <v>16</v>
      </c>
      <c r="M142" s="16">
        <v>49</v>
      </c>
      <c r="N142" s="16">
        <v>0</v>
      </c>
      <c r="O142" s="17"/>
      <c r="P142" s="18">
        <v>42071.676678240736</v>
      </c>
      <c r="Q142" s="13"/>
      <c r="R142" s="13"/>
      <c r="S142" s="8"/>
      <c r="T142" s="8"/>
      <c r="U142" s="19" t="str">
        <f>HYPERLINK("https://pbs.twimg.com/profile_images/574709975588589570/xYphkguJ.jpeg","View")</f>
        <v>View</v>
      </c>
      <c r="V142" s="8"/>
      <c r="W142" s="8"/>
      <c r="X142" s="8"/>
      <c r="Y142" s="8"/>
      <c r="Z142" s="8"/>
    </row>
    <row r="143" spans="1:26" ht="12.75">
      <c r="A143" s="11">
        <v>43747.191481481481</v>
      </c>
      <c r="B143" s="12" t="str">
        <f>HYPERLINK("https://twitter.com/elharby_yy","@elharby_yy")</f>
        <v>@elharby_yy</v>
      </c>
      <c r="C143" s="7" t="s">
        <v>454</v>
      </c>
      <c r="D143" s="7" t="s">
        <v>830</v>
      </c>
      <c r="E143" s="12" t="str">
        <f>HYPERLINK("https://twitter.com/elharby_yy/status/1181896022185971713","1181896022185971713")</f>
        <v>1181896022185971713</v>
      </c>
      <c r="F143" s="8"/>
      <c r="G143" s="14" t="s">
        <v>831</v>
      </c>
      <c r="H143" s="8"/>
      <c r="I143" s="15">
        <v>0</v>
      </c>
      <c r="J143" s="15">
        <v>0</v>
      </c>
      <c r="K143" s="12" t="str">
        <f>HYPERLINK("http://twitter.com","Twitter Web Client")</f>
        <v>Twitter Web Client</v>
      </c>
      <c r="L143" s="16">
        <v>11</v>
      </c>
      <c r="M143" s="16">
        <v>56</v>
      </c>
      <c r="N143" s="16">
        <v>0</v>
      </c>
      <c r="O143" s="17"/>
      <c r="P143" s="18">
        <v>42073.667384259257</v>
      </c>
      <c r="Q143" s="13"/>
      <c r="R143" s="7"/>
      <c r="S143" s="8"/>
      <c r="T143" s="8"/>
      <c r="U143" s="19" t="str">
        <f>HYPERLINK("https://pbs.twimg.com/profile_images/575431726412906496/YnDc4Qk0.jpeg","View")</f>
        <v>View</v>
      </c>
      <c r="V143" s="8"/>
      <c r="W143" s="8"/>
      <c r="X143" s="8"/>
      <c r="Y143" s="8"/>
      <c r="Z143" s="8"/>
    </row>
    <row r="144" spans="1:26" ht="12.75">
      <c r="A144" s="11">
        <v>43747.190636574072</v>
      </c>
      <c r="B144" s="12" t="str">
        <f>HYPERLINK("https://twitter.com/alhazamaii4","@alhazamaii4")</f>
        <v>@alhazamaii4</v>
      </c>
      <c r="C144" s="13" t="s">
        <v>834</v>
      </c>
      <c r="D144" s="13" t="s">
        <v>835</v>
      </c>
      <c r="E144" s="12" t="str">
        <f>HYPERLINK("https://twitter.com/alhazamaii4/status/1181895716064628736","1181895716064628736")</f>
        <v>1181895716064628736</v>
      </c>
      <c r="F144" s="8"/>
      <c r="G144" s="14" t="s">
        <v>836</v>
      </c>
      <c r="H144" s="8"/>
      <c r="I144" s="15">
        <v>0</v>
      </c>
      <c r="J144" s="15">
        <v>0</v>
      </c>
      <c r="K144" s="12" t="str">
        <f>HYPERLINK("http://twitter.com","Twitter Web Client")</f>
        <v>Twitter Web Client</v>
      </c>
      <c r="L144" s="16">
        <v>8</v>
      </c>
      <c r="M144" s="16">
        <v>45</v>
      </c>
      <c r="N144" s="16">
        <v>0</v>
      </c>
      <c r="O144" s="17"/>
      <c r="P144" s="18">
        <v>42071.395162037035</v>
      </c>
      <c r="Q144" s="13"/>
      <c r="R144" s="13"/>
      <c r="S144" s="8"/>
      <c r="T144" s="8"/>
      <c r="U144" s="19" t="str">
        <f>HYPERLINK("https://pbs.twimg.com/profile_images/574607906458312705/9rZO1Tfx.jpeg","View")</f>
        <v>View</v>
      </c>
      <c r="V144" s="8"/>
      <c r="W144" s="8"/>
      <c r="X144" s="8"/>
      <c r="Y144" s="8"/>
      <c r="Z144" s="8"/>
    </row>
    <row r="145" spans="1:26" ht="12.75">
      <c r="A145" s="11">
        <v>43747.189930555556</v>
      </c>
      <c r="B145" s="12" t="str">
        <f>HYPERLINK("https://twitter.com/iuasiri","@iuasiri")</f>
        <v>@iuasiri</v>
      </c>
      <c r="C145" s="13" t="s">
        <v>840</v>
      </c>
      <c r="D145" s="13" t="s">
        <v>841</v>
      </c>
      <c r="E145" s="12" t="str">
        <f>HYPERLINK("https://twitter.com/iuasiri/status/1181895460480585731","1181895460480585731")</f>
        <v>1181895460480585731</v>
      </c>
      <c r="F145" s="8"/>
      <c r="G145" s="14" t="s">
        <v>842</v>
      </c>
      <c r="H145" s="8"/>
      <c r="I145" s="15">
        <v>0</v>
      </c>
      <c r="J145" s="15">
        <v>0</v>
      </c>
      <c r="K145" s="12" t="str">
        <f>HYPERLINK("http://twitter.com","Twitter Web Client")</f>
        <v>Twitter Web Client</v>
      </c>
      <c r="L145" s="16">
        <v>1</v>
      </c>
      <c r="M145" s="16">
        <v>37</v>
      </c>
      <c r="N145" s="16">
        <v>0</v>
      </c>
      <c r="O145" s="17"/>
      <c r="P145" s="18">
        <v>42081.332199074073</v>
      </c>
      <c r="Q145" s="13"/>
      <c r="R145" s="13"/>
      <c r="S145" s="8"/>
      <c r="T145" s="8"/>
      <c r="U145" s="19" t="str">
        <f>HYPERLINK("https://pbs.twimg.com/profile_images/578213655352774657/3UD2Hq9W.jpeg","View")</f>
        <v>View</v>
      </c>
      <c r="V145" s="8"/>
      <c r="W145" s="8"/>
      <c r="X145" s="8"/>
      <c r="Y145" s="8"/>
      <c r="Z145" s="8"/>
    </row>
    <row r="146" spans="1:26" ht="12.75">
      <c r="A146" s="11">
        <v>43747.189745370371</v>
      </c>
      <c r="B146" s="12" t="str">
        <f>HYPERLINK("https://twitter.com/jamanalghamdi4","@jamanalghamdi4")</f>
        <v>@jamanalghamdi4</v>
      </c>
      <c r="C146" s="7" t="s">
        <v>843</v>
      </c>
      <c r="D146" s="7" t="s">
        <v>844</v>
      </c>
      <c r="E146" s="12" t="str">
        <f>HYPERLINK("https://twitter.com/jamanalghamdi4/status/1181895389408088067","1181895389408088067")</f>
        <v>1181895389408088067</v>
      </c>
      <c r="F146" s="8"/>
      <c r="G146" s="14" t="s">
        <v>846</v>
      </c>
      <c r="H146" s="8"/>
      <c r="I146" s="15">
        <v>0</v>
      </c>
      <c r="J146" s="15">
        <v>0</v>
      </c>
      <c r="K146" s="12" t="str">
        <f>HYPERLINK("http://twitter.com","Twitter Web Client")</f>
        <v>Twitter Web Client</v>
      </c>
      <c r="L146" s="16">
        <v>10</v>
      </c>
      <c r="M146" s="16">
        <v>36</v>
      </c>
      <c r="N146" s="16">
        <v>0</v>
      </c>
      <c r="O146" s="17"/>
      <c r="P146" s="18">
        <v>42068.399259259255</v>
      </c>
      <c r="Q146" s="13"/>
      <c r="R146" s="7"/>
      <c r="S146" s="8"/>
      <c r="T146" s="8"/>
      <c r="U146" s="19" t="str">
        <f>HYPERLINK("https://pbs.twimg.com/profile_images/573537433263824896/hEWfPa7B.jpeg","View")</f>
        <v>View</v>
      </c>
      <c r="V146" s="8"/>
      <c r="W146" s="8"/>
      <c r="X146" s="8"/>
      <c r="Y146" s="8"/>
      <c r="Z146" s="8"/>
    </row>
    <row r="147" spans="1:26" ht="12.75">
      <c r="A147" s="11">
        <v>43747.18855324074</v>
      </c>
      <c r="B147" s="12" t="str">
        <f>HYPERLINK("https://twitter.com/AlkorsheJoseph","@AlkorsheJoseph")</f>
        <v>@AlkorsheJoseph</v>
      </c>
      <c r="C147" s="13" t="s">
        <v>848</v>
      </c>
      <c r="D147" s="13" t="s">
        <v>849</v>
      </c>
      <c r="E147" s="12" t="str">
        <f>HYPERLINK("https://twitter.com/AlkorsheJoseph/status/1181894958183325696","1181894958183325696")</f>
        <v>1181894958183325696</v>
      </c>
      <c r="F147" s="8"/>
      <c r="G147" s="14" t="s">
        <v>851</v>
      </c>
      <c r="H147" s="8"/>
      <c r="I147" s="15">
        <v>0</v>
      </c>
      <c r="J147" s="15">
        <v>0</v>
      </c>
      <c r="K147" s="12" t="str">
        <f>HYPERLINK("http://twitter.com","Twitter Web Client")</f>
        <v>Twitter Web Client</v>
      </c>
      <c r="L147" s="16">
        <v>2</v>
      </c>
      <c r="M147" s="16">
        <v>37</v>
      </c>
      <c r="N147" s="16">
        <v>0</v>
      </c>
      <c r="O147" s="17"/>
      <c r="P147" s="18">
        <v>42073.674409722225</v>
      </c>
      <c r="Q147" s="13"/>
      <c r="R147" s="13"/>
      <c r="S147" s="8"/>
      <c r="T147" s="8"/>
      <c r="U147" s="19" t="str">
        <f>HYPERLINK("https://pbs.twimg.com/profile_images/575434655429627904/gAbk0VMs.jpeg","View")</f>
        <v>View</v>
      </c>
      <c r="V147" s="8"/>
      <c r="W147" s="8"/>
      <c r="X147" s="8"/>
      <c r="Y147" s="8"/>
      <c r="Z147" s="8"/>
    </row>
    <row r="148" spans="1:26" ht="12.75">
      <c r="A148" s="11">
        <v>43747.187662037039</v>
      </c>
      <c r="B148" s="12" t="str">
        <f>HYPERLINK("https://twitter.com/eisaharbi2","@eisaharbi2")</f>
        <v>@eisaharbi2</v>
      </c>
      <c r="C148" s="7" t="s">
        <v>854</v>
      </c>
      <c r="D148" s="7" t="s">
        <v>855</v>
      </c>
      <c r="E148" s="12" t="str">
        <f>HYPERLINK("https://twitter.com/eisaharbi2/status/1181894637709078528","1181894637709078528")</f>
        <v>1181894637709078528</v>
      </c>
      <c r="F148" s="8"/>
      <c r="G148" s="14" t="s">
        <v>856</v>
      </c>
      <c r="H148" s="8"/>
      <c r="I148" s="15">
        <v>0</v>
      </c>
      <c r="J148" s="15">
        <v>0</v>
      </c>
      <c r="K148" s="12" t="str">
        <f>HYPERLINK("http://twitter.com","Twitter Web Client")</f>
        <v>Twitter Web Client</v>
      </c>
      <c r="L148" s="16">
        <v>2</v>
      </c>
      <c r="M148" s="16">
        <v>42</v>
      </c>
      <c r="N148" s="16">
        <v>0</v>
      </c>
      <c r="O148" s="17"/>
      <c r="P148" s="18">
        <v>42071.232465277775</v>
      </c>
      <c r="Q148" s="13"/>
      <c r="R148" s="7"/>
      <c r="S148" s="8"/>
      <c r="T148" s="8"/>
      <c r="U148" s="19" t="str">
        <f>HYPERLINK("https://pbs.twimg.com/profile_images/574549084125581312/zBw3kyoU.jpeg","View")</f>
        <v>View</v>
      </c>
      <c r="V148" s="8"/>
      <c r="W148" s="8"/>
      <c r="X148" s="8"/>
      <c r="Y148" s="8"/>
      <c r="Z148" s="8"/>
    </row>
    <row r="149" spans="1:26" ht="12.75">
      <c r="A149" s="11">
        <v>43747.186006944445</v>
      </c>
      <c r="B149" s="12" t="str">
        <f>HYPERLINK("https://twitter.com/AlmadeyJassim","@AlmadeyJassim")</f>
        <v>@AlmadeyJassim</v>
      </c>
      <c r="C149" s="7" t="s">
        <v>863</v>
      </c>
      <c r="D149" s="7" t="s">
        <v>864</v>
      </c>
      <c r="E149" s="12" t="str">
        <f>HYPERLINK("https://twitter.com/AlmadeyJassim/status/1181894034673061888","1181894034673061888")</f>
        <v>1181894034673061888</v>
      </c>
      <c r="F149" s="8"/>
      <c r="G149" s="14" t="s">
        <v>865</v>
      </c>
      <c r="H149" s="8"/>
      <c r="I149" s="15">
        <v>0</v>
      </c>
      <c r="J149" s="15">
        <v>0</v>
      </c>
      <c r="K149" s="12" t="str">
        <f>HYPERLINK("http://twitter.com","Twitter Web Client")</f>
        <v>Twitter Web Client</v>
      </c>
      <c r="L149" s="16">
        <v>17</v>
      </c>
      <c r="M149" s="16">
        <v>36</v>
      </c>
      <c r="N149" s="16">
        <v>0</v>
      </c>
      <c r="O149" s="17"/>
      <c r="P149" s="18">
        <v>42078.200879629629</v>
      </c>
      <c r="Q149" s="13"/>
      <c r="R149" s="7"/>
      <c r="S149" s="8"/>
      <c r="T149" s="8"/>
      <c r="U149" s="19" t="str">
        <f>HYPERLINK("https://pbs.twimg.com/profile_images/577255963595427841/lISqFu7b.jpeg","View")</f>
        <v>View</v>
      </c>
      <c r="V149" s="8"/>
      <c r="W149" s="8"/>
      <c r="X149" s="8"/>
      <c r="Y149" s="8"/>
      <c r="Z149" s="8"/>
    </row>
    <row r="150" spans="1:26" ht="12.75">
      <c r="A150" s="11">
        <v>43747.18440972222</v>
      </c>
      <c r="B150" s="12" t="str">
        <f>HYPERLINK("https://twitter.com/alfares_said","@alfares_said")</f>
        <v>@alfares_said</v>
      </c>
      <c r="C150" s="7" t="s">
        <v>871</v>
      </c>
      <c r="D150" s="7" t="s">
        <v>872</v>
      </c>
      <c r="E150" s="12" t="str">
        <f>HYPERLINK("https://twitter.com/alfares_said/status/1181893455867502593","1181893455867502593")</f>
        <v>1181893455867502593</v>
      </c>
      <c r="F150" s="8"/>
      <c r="G150" s="14" t="s">
        <v>873</v>
      </c>
      <c r="H150" s="8"/>
      <c r="I150" s="15">
        <v>0</v>
      </c>
      <c r="J150" s="15">
        <v>0</v>
      </c>
      <c r="K150" s="12" t="str">
        <f>HYPERLINK("http://twitter.com","Twitter Web Client")</f>
        <v>Twitter Web Client</v>
      </c>
      <c r="L150" s="16">
        <v>0</v>
      </c>
      <c r="M150" s="16">
        <v>41</v>
      </c>
      <c r="N150" s="16">
        <v>0</v>
      </c>
      <c r="O150" s="17"/>
      <c r="P150" s="18">
        <v>42074.314062500001</v>
      </c>
      <c r="Q150" s="13"/>
      <c r="R150" s="7"/>
      <c r="S150" s="8"/>
      <c r="T150" s="8"/>
      <c r="U150" s="19" t="str">
        <f>HYPERLINK("https://pbs.twimg.com/profile_images/575668751896444928/eFvri5bj.jpeg","View")</f>
        <v>View</v>
      </c>
      <c r="V150" s="8"/>
      <c r="W150" s="8"/>
      <c r="X150" s="8"/>
      <c r="Y150" s="8"/>
      <c r="Z150" s="8"/>
    </row>
    <row r="151" spans="1:26" ht="12.75">
      <c r="A151" s="11">
        <v>43747.184259259258</v>
      </c>
      <c r="B151" s="12" t="str">
        <f>HYPERLINK("https://twitter.com/huossam33","@huossam33")</f>
        <v>@huossam33</v>
      </c>
      <c r="C151" s="7" t="s">
        <v>874</v>
      </c>
      <c r="D151" s="7" t="s">
        <v>875</v>
      </c>
      <c r="E151" s="12" t="str">
        <f>HYPERLINK("https://twitter.com/huossam33/status/1181893405082882049","1181893405082882049")</f>
        <v>1181893405082882049</v>
      </c>
      <c r="F151" s="8"/>
      <c r="G151" s="14" t="s">
        <v>876</v>
      </c>
      <c r="H151" s="8"/>
      <c r="I151" s="15">
        <v>0</v>
      </c>
      <c r="J151" s="15">
        <v>0</v>
      </c>
      <c r="K151" s="12" t="str">
        <f>HYPERLINK("http://twitter.com","Twitter Web Client")</f>
        <v>Twitter Web Client</v>
      </c>
      <c r="L151" s="16">
        <v>15</v>
      </c>
      <c r="M151" s="16">
        <v>42</v>
      </c>
      <c r="N151" s="16">
        <v>0</v>
      </c>
      <c r="O151" s="17"/>
      <c r="P151" s="18">
        <v>42075.401469907403</v>
      </c>
      <c r="Q151" s="13"/>
      <c r="R151" s="7"/>
      <c r="S151" s="8"/>
      <c r="T151" s="8"/>
      <c r="U151" s="19" t="str">
        <f>HYPERLINK("https://pbs.twimg.com/profile_images/576060084079362048/9h8zMcnj.jpeg","View")</f>
        <v>View</v>
      </c>
      <c r="V151" s="8"/>
      <c r="W151" s="8"/>
      <c r="X151" s="8"/>
      <c r="Y151" s="8"/>
      <c r="Z151" s="8"/>
    </row>
    <row r="152" spans="1:26" ht="12.75">
      <c r="A152" s="11">
        <v>43747.183993055558</v>
      </c>
      <c r="B152" s="12" t="str">
        <f>HYPERLINK("https://twitter.com/MieaneaQarni","@MieaneaQarni")</f>
        <v>@MieaneaQarni</v>
      </c>
      <c r="C152" s="13" t="s">
        <v>879</v>
      </c>
      <c r="D152" s="13" t="s">
        <v>880</v>
      </c>
      <c r="E152" s="12" t="str">
        <f>HYPERLINK("https://twitter.com/MieaneaQarni/status/1181893304864198656","1181893304864198656")</f>
        <v>1181893304864198656</v>
      </c>
      <c r="F152" s="8"/>
      <c r="G152" s="14" t="s">
        <v>882</v>
      </c>
      <c r="H152" s="8"/>
      <c r="I152" s="15">
        <v>0</v>
      </c>
      <c r="J152" s="15">
        <v>0</v>
      </c>
      <c r="K152" s="12" t="str">
        <f>HYPERLINK("http://twitter.com","Twitter Web Client")</f>
        <v>Twitter Web Client</v>
      </c>
      <c r="L152" s="16">
        <v>0</v>
      </c>
      <c r="M152" s="16">
        <v>41</v>
      </c>
      <c r="N152" s="16">
        <v>0</v>
      </c>
      <c r="O152" s="17"/>
      <c r="P152" s="18">
        <v>42073.205625000002</v>
      </c>
      <c r="Q152" s="13"/>
      <c r="R152" s="13"/>
      <c r="S152" s="8"/>
      <c r="T152" s="8"/>
      <c r="U152" s="19" t="str">
        <f>HYPERLINK("https://pbs.twimg.com/profile_images/575265071200215040/KRHYQcDm.jpeg","View")</f>
        <v>View</v>
      </c>
      <c r="V152" s="8"/>
      <c r="W152" s="8"/>
      <c r="X152" s="8"/>
      <c r="Y152" s="8"/>
      <c r="Z152" s="8"/>
    </row>
    <row r="153" spans="1:26" ht="12.75">
      <c r="A153" s="11">
        <v>43747.183854166666</v>
      </c>
      <c r="B153" s="12" t="str">
        <f>HYPERLINK("https://twitter.com/mohamedasiri4","@mohamedasiri4")</f>
        <v>@mohamedasiri4</v>
      </c>
      <c r="C153" s="13" t="s">
        <v>885</v>
      </c>
      <c r="D153" s="13" t="s">
        <v>886</v>
      </c>
      <c r="E153" s="12" t="str">
        <f>HYPERLINK("https://twitter.com/mohamedasiri4/status/1181893255086166017","1181893255086166017")</f>
        <v>1181893255086166017</v>
      </c>
      <c r="F153" s="8"/>
      <c r="G153" s="14" t="s">
        <v>887</v>
      </c>
      <c r="H153" s="8"/>
      <c r="I153" s="15">
        <v>0</v>
      </c>
      <c r="J153" s="15">
        <v>0</v>
      </c>
      <c r="K153" s="12" t="str">
        <f>HYPERLINK("http://twitter.com","Twitter Web Client")</f>
        <v>Twitter Web Client</v>
      </c>
      <c r="L153" s="16">
        <v>0</v>
      </c>
      <c r="M153" s="16">
        <v>36</v>
      </c>
      <c r="N153" s="16">
        <v>0</v>
      </c>
      <c r="O153" s="17"/>
      <c r="P153" s="18">
        <v>42021.242893518516</v>
      </c>
      <c r="Q153" s="13"/>
      <c r="R153" s="13"/>
      <c r="S153" s="8"/>
      <c r="T153" s="8"/>
      <c r="U153" s="19" t="str">
        <f>HYPERLINK("https://pbs.twimg.com/profile_images/556448413022052353/sSaAAndj.jpeg","View")</f>
        <v>View</v>
      </c>
      <c r="V153" s="8"/>
      <c r="W153" s="8"/>
      <c r="X153" s="8"/>
      <c r="Y153" s="8"/>
      <c r="Z153" s="8"/>
    </row>
    <row r="154" spans="1:26" ht="12.75">
      <c r="A154" s="11">
        <v>43747.183344907404</v>
      </c>
      <c r="B154" s="12" t="str">
        <f>HYPERLINK("https://twitter.com/supermaterasir3","@supermaterasir3")</f>
        <v>@supermaterasir3</v>
      </c>
      <c r="C154" s="13" t="s">
        <v>895</v>
      </c>
      <c r="D154" s="13" t="s">
        <v>896</v>
      </c>
      <c r="E154" s="12" t="str">
        <f>HYPERLINK("https://twitter.com/supermaterasir3/status/1181893070767493121","1181893070767493121")</f>
        <v>1181893070767493121</v>
      </c>
      <c r="F154" s="8"/>
      <c r="G154" s="14" t="s">
        <v>897</v>
      </c>
      <c r="H154" s="8"/>
      <c r="I154" s="15">
        <v>0</v>
      </c>
      <c r="J154" s="15">
        <v>0</v>
      </c>
      <c r="K154" s="12" t="str">
        <f>HYPERLINK("http://twitter.com","Twitter Web Client")</f>
        <v>Twitter Web Client</v>
      </c>
      <c r="L154" s="16">
        <v>0</v>
      </c>
      <c r="M154" s="16">
        <v>39</v>
      </c>
      <c r="N154" s="16">
        <v>0</v>
      </c>
      <c r="O154" s="17"/>
      <c r="P154" s="18">
        <v>42089.560567129629</v>
      </c>
      <c r="Q154" s="13"/>
      <c r="R154" s="13"/>
      <c r="S154" s="8"/>
      <c r="T154" s="8"/>
      <c r="U154" s="19" t="str">
        <f>HYPERLINK("https://pbs.twimg.com/profile_images/581191329314516992/g6ZgXhbx.jpg","View")</f>
        <v>View</v>
      </c>
      <c r="V154" s="8"/>
      <c r="W154" s="8"/>
      <c r="X154" s="8"/>
      <c r="Y154" s="8"/>
      <c r="Z154" s="8"/>
    </row>
    <row r="155" spans="1:26" ht="12.75">
      <c r="A155" s="11">
        <v>43747.180613425924</v>
      </c>
      <c r="B155" s="12" t="str">
        <f>HYPERLINK("https://twitter.com/SekhTara","@SekhTara")</f>
        <v>@SekhTara</v>
      </c>
      <c r="C155" s="13" t="s">
        <v>906</v>
      </c>
      <c r="D155" s="13" t="s">
        <v>907</v>
      </c>
      <c r="E155" s="12" t="str">
        <f>HYPERLINK("https://twitter.com/SekhTara/status/1181892079959429127","1181892079959429127")</f>
        <v>1181892079959429127</v>
      </c>
      <c r="F155" s="8"/>
      <c r="G155" s="14" t="s">
        <v>910</v>
      </c>
      <c r="H155" s="8"/>
      <c r="I155" s="15">
        <v>0</v>
      </c>
      <c r="J155" s="15">
        <v>0</v>
      </c>
      <c r="K155" s="12" t="str">
        <f>HYPERLINK("https://mobile.twitter.com","Twitter Web App")</f>
        <v>Twitter Web App</v>
      </c>
      <c r="L155" s="16">
        <v>0</v>
      </c>
      <c r="M155" s="16">
        <v>0</v>
      </c>
      <c r="N155" s="16">
        <v>0</v>
      </c>
      <c r="O155" s="17"/>
      <c r="P155" s="18">
        <v>43730.082511574074</v>
      </c>
      <c r="Q155" s="13" t="s">
        <v>911</v>
      </c>
      <c r="R155" s="13" t="s">
        <v>912</v>
      </c>
      <c r="S155" s="8"/>
      <c r="T155" s="8"/>
      <c r="U155" s="19" t="str">
        <f>HYPERLINK("https://pbs.twimg.com/profile_images/1180425560930959360/unT0UThE.jpg","View")</f>
        <v>View</v>
      </c>
      <c r="V155" s="8"/>
      <c r="W155" s="8"/>
      <c r="X155" s="8"/>
      <c r="Y155" s="8"/>
      <c r="Z155" s="8"/>
    </row>
    <row r="156" spans="1:26" ht="12.75">
      <c r="A156" s="11">
        <v>43747.18032407407</v>
      </c>
      <c r="B156" s="12" t="str">
        <f>HYPERLINK("https://twitter.com/KhawlahDin","@KhawlahDin")</f>
        <v>@KhawlahDin</v>
      </c>
      <c r="C156" s="13" t="s">
        <v>913</v>
      </c>
      <c r="D156" s="13" t="s">
        <v>914</v>
      </c>
      <c r="E156" s="12" t="str">
        <f>HYPERLINK("https://twitter.com/KhawlahDin/status/1181891976968294401","1181891976968294401")</f>
        <v>1181891976968294401</v>
      </c>
      <c r="F156" s="8"/>
      <c r="G156" s="14" t="s">
        <v>917</v>
      </c>
      <c r="H156" s="8"/>
      <c r="I156" s="15">
        <v>0</v>
      </c>
      <c r="J156" s="15">
        <v>0</v>
      </c>
      <c r="K156" s="12" t="str">
        <f>HYPERLINK("https://mobile.twitter.com","Twitter Web App")</f>
        <v>Twitter Web App</v>
      </c>
      <c r="L156" s="16">
        <v>0</v>
      </c>
      <c r="M156" s="16">
        <v>0</v>
      </c>
      <c r="N156" s="16">
        <v>0</v>
      </c>
      <c r="O156" s="17"/>
      <c r="P156" s="18">
        <v>43732.950578703705</v>
      </c>
      <c r="Q156" s="13" t="s">
        <v>920</v>
      </c>
      <c r="R156" s="13" t="s">
        <v>921</v>
      </c>
      <c r="S156" s="8"/>
      <c r="T156" s="8"/>
      <c r="U156" s="19" t="str">
        <f>HYPERLINK("https://pbs.twimg.com/profile_images/1181520165604741120/6K7f7Asi.jpg","View")</f>
        <v>View</v>
      </c>
      <c r="V156" s="8"/>
      <c r="W156" s="8"/>
      <c r="X156" s="8"/>
      <c r="Y156" s="8"/>
      <c r="Z156" s="8"/>
    </row>
    <row r="157" spans="1:26" ht="12.75">
      <c r="A157" s="11">
        <v>43747.180127314816</v>
      </c>
      <c r="B157" s="12" t="str">
        <f>HYPERLINK("https://twitter.com/AhemadTanya","@AhemadTanya")</f>
        <v>@AhemadTanya</v>
      </c>
      <c r="C157" s="13" t="s">
        <v>922</v>
      </c>
      <c r="D157" s="13" t="s">
        <v>923</v>
      </c>
      <c r="E157" s="12" t="str">
        <f>HYPERLINK("https://twitter.com/AhemadTanya/status/1181891904440430592","1181891904440430592")</f>
        <v>1181891904440430592</v>
      </c>
      <c r="F157" s="8"/>
      <c r="G157" s="14" t="s">
        <v>924</v>
      </c>
      <c r="H157" s="8"/>
      <c r="I157" s="15">
        <v>0</v>
      </c>
      <c r="J157" s="15">
        <v>0</v>
      </c>
      <c r="K157" s="12" t="str">
        <f>HYPERLINK("https://mobile.twitter.com","Twitter Web App")</f>
        <v>Twitter Web App</v>
      </c>
      <c r="L157" s="16">
        <v>0</v>
      </c>
      <c r="M157" s="16">
        <v>0</v>
      </c>
      <c r="N157" s="16">
        <v>0</v>
      </c>
      <c r="O157" s="17"/>
      <c r="P157" s="18">
        <v>43732.008402777778</v>
      </c>
      <c r="Q157" s="13" t="s">
        <v>911</v>
      </c>
      <c r="R157" s="13" t="s">
        <v>925</v>
      </c>
      <c r="S157" s="8"/>
      <c r="T157" s="8"/>
      <c r="U157" s="19" t="str">
        <f>HYPERLINK("https://pbs.twimg.com/profile_images/1180425363215642628/b-vz8lmm.jpg","View")</f>
        <v>View</v>
      </c>
      <c r="V157" s="8"/>
      <c r="W157" s="8"/>
      <c r="X157" s="8"/>
      <c r="Y157" s="8"/>
      <c r="Z157" s="8"/>
    </row>
    <row r="158" spans="1:26" ht="12.75">
      <c r="A158" s="11">
        <v>43747.180092592593</v>
      </c>
      <c r="B158" s="12" t="str">
        <f>HYPERLINK("https://twitter.com/KamaliKhulood","@KamaliKhulood")</f>
        <v>@KamaliKhulood</v>
      </c>
      <c r="C158" s="7" t="s">
        <v>926</v>
      </c>
      <c r="D158" s="7" t="s">
        <v>28</v>
      </c>
      <c r="E158" s="12" t="str">
        <f>HYPERLINK("https://twitter.com/KamaliKhulood/status/1181891892444708865","1181891892444708865")</f>
        <v>1181891892444708865</v>
      </c>
      <c r="F158" s="8"/>
      <c r="G158" s="14" t="s">
        <v>31</v>
      </c>
      <c r="H158" s="8"/>
      <c r="I158" s="15">
        <v>0</v>
      </c>
      <c r="J158" s="15">
        <v>0</v>
      </c>
      <c r="K158" s="12" t="str">
        <f>HYPERLINK("https://mobile.twitter.com","Twitter Web App")</f>
        <v>Twitter Web App</v>
      </c>
      <c r="L158" s="16">
        <v>0</v>
      </c>
      <c r="M158" s="16">
        <v>0</v>
      </c>
      <c r="N158" s="16">
        <v>0</v>
      </c>
      <c r="O158" s="17"/>
      <c r="P158" s="18">
        <v>43741.027465277773</v>
      </c>
      <c r="Q158" s="13" t="s">
        <v>928</v>
      </c>
      <c r="R158" s="7" t="s">
        <v>929</v>
      </c>
      <c r="S158" s="8"/>
      <c r="T158" s="8"/>
      <c r="U158" s="19" t="str">
        <f>HYPERLINK("https://pbs.twimg.com/profile_images/1181519747667484672/iECDbb7L.jpg","View")</f>
        <v>View</v>
      </c>
      <c r="V158" s="8"/>
      <c r="W158" s="8"/>
      <c r="X158" s="8"/>
      <c r="Y158" s="8"/>
      <c r="Z158" s="8"/>
    </row>
    <row r="159" spans="1:26" ht="12.75">
      <c r="A159" s="11">
        <v>43747.179826388892</v>
      </c>
      <c r="B159" s="12" t="str">
        <f>HYPERLINK("https://twitter.com/elzahara_66","@elzahara_66")</f>
        <v>@elzahara_66</v>
      </c>
      <c r="C159" s="7" t="s">
        <v>931</v>
      </c>
      <c r="D159" s="7" t="s">
        <v>932</v>
      </c>
      <c r="E159" s="12" t="str">
        <f>HYPERLINK("https://twitter.com/elzahara_66/status/1181891796621807616","1181891796621807616")</f>
        <v>1181891796621807616</v>
      </c>
      <c r="F159" s="8"/>
      <c r="G159" s="14" t="s">
        <v>933</v>
      </c>
      <c r="H159" s="8"/>
      <c r="I159" s="15">
        <v>0</v>
      </c>
      <c r="J159" s="15">
        <v>0</v>
      </c>
      <c r="K159" s="12" t="str">
        <f>HYPERLINK("http://twitter.com","Twitter Web Client")</f>
        <v>Twitter Web Client</v>
      </c>
      <c r="L159" s="16">
        <v>19</v>
      </c>
      <c r="M159" s="16">
        <v>44</v>
      </c>
      <c r="N159" s="16">
        <v>0</v>
      </c>
      <c r="O159" s="17"/>
      <c r="P159" s="18">
        <v>42075.403796296298</v>
      </c>
      <c r="Q159" s="13"/>
      <c r="R159" s="7"/>
      <c r="S159" s="8"/>
      <c r="T159" s="8"/>
      <c r="U159" s="19" t="str">
        <f>HYPERLINK("https://pbs.twimg.com/profile_images/576060572124332032/pEH6XCx5.jpeg","View")</f>
        <v>View</v>
      </c>
      <c r="V159" s="8"/>
      <c r="W159" s="8"/>
      <c r="X159" s="8"/>
      <c r="Y159" s="8"/>
      <c r="Z159" s="8"/>
    </row>
    <row r="160" spans="1:26" ht="12.75">
      <c r="A160" s="11">
        <v>43747.179594907408</v>
      </c>
      <c r="B160" s="12" t="str">
        <f>HYPERLINK("https://twitter.com/DinTanisha","@DinTanisha")</f>
        <v>@DinTanisha</v>
      </c>
      <c r="C160" s="13" t="s">
        <v>936</v>
      </c>
      <c r="D160" s="13" t="s">
        <v>937</v>
      </c>
      <c r="E160" s="12" t="str">
        <f>HYPERLINK("https://twitter.com/DinTanisha/status/1181891713456955394","1181891713456955394")</f>
        <v>1181891713456955394</v>
      </c>
      <c r="F160" s="8"/>
      <c r="G160" s="14" t="s">
        <v>938</v>
      </c>
      <c r="H160" s="8"/>
      <c r="I160" s="15">
        <v>0</v>
      </c>
      <c r="J160" s="15">
        <v>0</v>
      </c>
      <c r="K160" s="12" t="str">
        <f>HYPERLINK("https://mobile.twitter.com","Twitter Web App")</f>
        <v>Twitter Web App</v>
      </c>
      <c r="L160" s="16">
        <v>0</v>
      </c>
      <c r="M160" s="16">
        <v>0</v>
      </c>
      <c r="N160" s="16">
        <v>0</v>
      </c>
      <c r="O160" s="17"/>
      <c r="P160" s="18">
        <v>43730.078032407408</v>
      </c>
      <c r="Q160" s="13" t="s">
        <v>939</v>
      </c>
      <c r="R160" s="13" t="s">
        <v>925</v>
      </c>
      <c r="S160" s="8"/>
      <c r="T160" s="8"/>
      <c r="U160" s="19" t="str">
        <f>HYPERLINK("https://pbs.twimg.com/profile_images/1180422768854061056/z4RQPZMV.jpg","View")</f>
        <v>View</v>
      </c>
      <c r="V160" s="8"/>
      <c r="W160" s="8"/>
      <c r="X160" s="8"/>
      <c r="Y160" s="8"/>
      <c r="Z160" s="8"/>
    </row>
    <row r="161" spans="1:26" ht="12.75">
      <c r="A161" s="11">
        <v>43747.179537037038</v>
      </c>
      <c r="B161" s="12" t="str">
        <f>HYPERLINK("https://twitter.com/elganadel_77","@elganadel_77")</f>
        <v>@elganadel_77</v>
      </c>
      <c r="C161" s="7" t="s">
        <v>940</v>
      </c>
      <c r="D161" s="7" t="s">
        <v>941</v>
      </c>
      <c r="E161" s="12" t="str">
        <f>HYPERLINK("https://twitter.com/elganadel_77/status/1181891693227970560","1181891693227970560")</f>
        <v>1181891693227970560</v>
      </c>
      <c r="F161" s="8"/>
      <c r="G161" s="14" t="s">
        <v>942</v>
      </c>
      <c r="H161" s="8"/>
      <c r="I161" s="15">
        <v>0</v>
      </c>
      <c r="J161" s="15">
        <v>0</v>
      </c>
      <c r="K161" s="12" t="str">
        <f>HYPERLINK("http://twitter.com","Twitter Web Client")</f>
        <v>Twitter Web Client</v>
      </c>
      <c r="L161" s="16">
        <v>8</v>
      </c>
      <c r="M161" s="16">
        <v>38</v>
      </c>
      <c r="N161" s="16">
        <v>0</v>
      </c>
      <c r="O161" s="17"/>
      <c r="P161" s="18">
        <v>42075.216226851851</v>
      </c>
      <c r="Q161" s="13"/>
      <c r="R161" s="7"/>
      <c r="S161" s="8"/>
      <c r="T161" s="8"/>
      <c r="U161" s="19" t="str">
        <f>HYPERLINK("https://pbs.twimg.com/profile_images/575992633203425280/T4YmULhi.jpeg","View")</f>
        <v>View</v>
      </c>
      <c r="V161" s="8"/>
      <c r="W161" s="8"/>
      <c r="X161" s="8"/>
      <c r="Y161" s="8"/>
      <c r="Z161" s="8"/>
    </row>
    <row r="162" spans="1:26" ht="12.75">
      <c r="A162" s="11">
        <v>43747.179490740746</v>
      </c>
      <c r="B162" s="12" t="str">
        <f>HYPERLINK("https://twitter.com/RaabiaEl","@RaabiaEl")</f>
        <v>@RaabiaEl</v>
      </c>
      <c r="C162" s="7" t="s">
        <v>943</v>
      </c>
      <c r="D162" s="7" t="s">
        <v>944</v>
      </c>
      <c r="E162" s="12" t="str">
        <f>HYPERLINK("https://twitter.com/RaabiaEl/status/1181891676081545216","1181891676081545216")</f>
        <v>1181891676081545216</v>
      </c>
      <c r="F162" s="8"/>
      <c r="G162" s="14" t="s">
        <v>945</v>
      </c>
      <c r="H162" s="8"/>
      <c r="I162" s="15">
        <v>0</v>
      </c>
      <c r="J162" s="15">
        <v>0</v>
      </c>
      <c r="K162" s="12" t="str">
        <f>HYPERLINK("https://mobile.twitter.com","Twitter Web App")</f>
        <v>Twitter Web App</v>
      </c>
      <c r="L162" s="16">
        <v>0</v>
      </c>
      <c r="M162" s="16">
        <v>0</v>
      </c>
      <c r="N162" s="16">
        <v>0</v>
      </c>
      <c r="O162" s="17"/>
      <c r="P162" s="18">
        <v>43741.031458333338</v>
      </c>
      <c r="Q162" s="13" t="s">
        <v>949</v>
      </c>
      <c r="R162" s="7" t="s">
        <v>950</v>
      </c>
      <c r="S162" s="8"/>
      <c r="T162" s="8"/>
      <c r="U162" s="19" t="str">
        <f>HYPERLINK("https://pbs.twimg.com/profile_images/1181519356083130368/7Far8U9e.jpg","View")</f>
        <v>View</v>
      </c>
      <c r="V162" s="8"/>
      <c r="W162" s="8"/>
      <c r="X162" s="8"/>
      <c r="Y162" s="8"/>
      <c r="Z162" s="8"/>
    </row>
    <row r="163" spans="1:26" ht="12.75">
      <c r="A163" s="11">
        <v>43747.179212962961</v>
      </c>
      <c r="B163" s="12" t="str">
        <f>HYPERLINK("https://twitter.com/HabibiTamara","@HabibiTamara")</f>
        <v>@HabibiTamara</v>
      </c>
      <c r="C163" s="7" t="s">
        <v>951</v>
      </c>
      <c r="D163" s="7" t="s">
        <v>952</v>
      </c>
      <c r="E163" s="12" t="str">
        <f>HYPERLINK("https://twitter.com/HabibiTamara/status/1181891573509869570","1181891573509869570")</f>
        <v>1181891573509869570</v>
      </c>
      <c r="F163" s="8"/>
      <c r="G163" s="14" t="s">
        <v>953</v>
      </c>
      <c r="H163" s="8"/>
      <c r="I163" s="15">
        <v>0</v>
      </c>
      <c r="J163" s="15">
        <v>0</v>
      </c>
      <c r="K163" s="12" t="str">
        <f>HYPERLINK("https://mobile.twitter.com","Twitter Web App")</f>
        <v>Twitter Web App</v>
      </c>
      <c r="L163" s="16">
        <v>0</v>
      </c>
      <c r="M163" s="16">
        <v>0</v>
      </c>
      <c r="N163" s="16">
        <v>0</v>
      </c>
      <c r="O163" s="17"/>
      <c r="P163" s="18">
        <v>43730.076342592598</v>
      </c>
      <c r="Q163" s="13" t="s">
        <v>939</v>
      </c>
      <c r="R163" s="7" t="s">
        <v>955</v>
      </c>
      <c r="S163" s="8"/>
      <c r="T163" s="8"/>
      <c r="U163" s="19" t="str">
        <f>HYPERLINK("https://pbs.twimg.com/profile_images/1180421901128105984/l4svMyht.jpg","View")</f>
        <v>View</v>
      </c>
      <c r="V163" s="8"/>
      <c r="W163" s="8"/>
      <c r="X163" s="8"/>
      <c r="Y163" s="8"/>
      <c r="Z163" s="8"/>
    </row>
    <row r="164" spans="1:26" ht="12.75">
      <c r="A164" s="11">
        <v>43747.178912037038</v>
      </c>
      <c r="B164" s="12" t="str">
        <f>HYPERLINK("https://twitter.com/saudi24tv_news","@saudi24tv_news")</f>
        <v>@saudi24tv_news</v>
      </c>
      <c r="C164" s="13" t="s">
        <v>959</v>
      </c>
      <c r="D164" s="13" t="s">
        <v>961</v>
      </c>
      <c r="E164" s="12" t="str">
        <f>HYPERLINK("https://twitter.com/saudi24tv_news/status/1181891464617500672","1181891464617500672")</f>
        <v>1181891464617500672</v>
      </c>
      <c r="F164" s="8"/>
      <c r="G164" s="14" t="s">
        <v>963</v>
      </c>
      <c r="H164" s="8"/>
      <c r="I164" s="15">
        <v>0</v>
      </c>
      <c r="J164" s="15">
        <v>0</v>
      </c>
      <c r="K164" s="12" t="str">
        <f>HYPERLINK("https://mobile.twitter.com","Twitter Web App")</f>
        <v>Twitter Web App</v>
      </c>
      <c r="L164" s="16">
        <v>7921</v>
      </c>
      <c r="M164" s="16">
        <v>23</v>
      </c>
      <c r="N164" s="16">
        <v>15</v>
      </c>
      <c r="O164" s="17"/>
      <c r="P164" s="18">
        <v>43396.610682870371</v>
      </c>
      <c r="Q164" s="13" t="s">
        <v>964</v>
      </c>
      <c r="R164" s="13"/>
      <c r="S164" s="14" t="s">
        <v>769</v>
      </c>
      <c r="T164" s="8"/>
      <c r="U164" s="19" t="str">
        <f>HYPERLINK("https://pbs.twimg.com/profile_images/1108454511176228864/NrSNx1O-.png","View")</f>
        <v>View</v>
      </c>
      <c r="V164" s="8"/>
      <c r="W164" s="8"/>
      <c r="X164" s="8"/>
      <c r="Y164" s="8"/>
      <c r="Z164" s="8"/>
    </row>
    <row r="165" spans="1:26" ht="12.75">
      <c r="A165" s="11">
        <v>43747.17869212963</v>
      </c>
      <c r="B165" s="12" t="str">
        <f>HYPERLINK("https://twitter.com/ZulfaMahdi","@ZulfaMahdi")</f>
        <v>@ZulfaMahdi</v>
      </c>
      <c r="C165" s="13" t="s">
        <v>967</v>
      </c>
      <c r="D165" s="13" t="s">
        <v>968</v>
      </c>
      <c r="E165" s="12" t="str">
        <f>HYPERLINK("https://twitter.com/ZulfaMahdi/status/1181891387442126849","1181891387442126849")</f>
        <v>1181891387442126849</v>
      </c>
      <c r="F165" s="8"/>
      <c r="G165" s="14" t="s">
        <v>969</v>
      </c>
      <c r="H165" s="8"/>
      <c r="I165" s="15">
        <v>0</v>
      </c>
      <c r="J165" s="15">
        <v>0</v>
      </c>
      <c r="K165" s="12" t="str">
        <f>HYPERLINK("https://mobile.twitter.com","Twitter Web App")</f>
        <v>Twitter Web App</v>
      </c>
      <c r="L165" s="16">
        <v>0</v>
      </c>
      <c r="M165" s="16">
        <v>0</v>
      </c>
      <c r="N165" s="16">
        <v>0</v>
      </c>
      <c r="O165" s="17"/>
      <c r="P165" s="18">
        <v>43740.163912037038</v>
      </c>
      <c r="Q165" s="13" t="s">
        <v>972</v>
      </c>
      <c r="R165" s="13" t="s">
        <v>973</v>
      </c>
      <c r="S165" s="8"/>
      <c r="T165" s="8"/>
      <c r="U165" s="19" t="str">
        <f>HYPERLINK("https://pbs.twimg.com/profile_images/1181518012119052290/7GV7W_BK.jpg","View")</f>
        <v>View</v>
      </c>
      <c r="V165" s="8"/>
      <c r="W165" s="8"/>
      <c r="X165" s="8"/>
      <c r="Y165" s="8"/>
      <c r="Z165" s="8"/>
    </row>
    <row r="166" spans="1:26" ht="12.75">
      <c r="A166" s="11">
        <v>43747.178553240738</v>
      </c>
      <c r="B166" s="12" t="str">
        <f>HYPERLINK("https://twitter.com/alhdrayt_645","@alhdrayt_645")</f>
        <v>@alhdrayt_645</v>
      </c>
      <c r="C166" s="7" t="s">
        <v>975</v>
      </c>
      <c r="D166" s="7" t="s">
        <v>977</v>
      </c>
      <c r="E166" s="12" t="str">
        <f>HYPERLINK("https://twitter.com/alhdrayt_645/status/1181891336758337537","1181891336758337537")</f>
        <v>1181891336758337537</v>
      </c>
      <c r="F166" s="8"/>
      <c r="G166" s="14" t="s">
        <v>978</v>
      </c>
      <c r="H166" s="8"/>
      <c r="I166" s="15">
        <v>0</v>
      </c>
      <c r="J166" s="15">
        <v>0</v>
      </c>
      <c r="K166" s="12" t="str">
        <f>HYPERLINK("http://twitter.com","Twitter Web Client")</f>
        <v>Twitter Web Client</v>
      </c>
      <c r="L166" s="16">
        <v>10</v>
      </c>
      <c r="M166" s="16">
        <v>43</v>
      </c>
      <c r="N166" s="16">
        <v>0</v>
      </c>
      <c r="O166" s="17"/>
      <c r="P166" s="18">
        <v>42070.090601851851</v>
      </c>
      <c r="Q166" s="13"/>
      <c r="R166" s="7"/>
      <c r="S166" s="8"/>
      <c r="T166" s="8"/>
      <c r="U166" s="19" t="str">
        <f>HYPERLINK("https://pbs.twimg.com/profile_images/574150293069287424/ifiTOB4K.jpeg","View")</f>
        <v>View</v>
      </c>
      <c r="V166" s="8"/>
      <c r="W166" s="8"/>
      <c r="X166" s="8"/>
      <c r="Y166" s="8"/>
      <c r="Z166" s="8"/>
    </row>
    <row r="167" spans="1:26" ht="12.75">
      <c r="A167" s="11">
        <v>43747.177442129629</v>
      </c>
      <c r="B167" s="12" t="str">
        <f>HYPERLINK("https://twitter.com/omranassaedi1","@omranassaedi1")</f>
        <v>@omranassaedi1</v>
      </c>
      <c r="C167" s="7" t="s">
        <v>990</v>
      </c>
      <c r="D167" s="7" t="s">
        <v>991</v>
      </c>
      <c r="E167" s="12" t="str">
        <f>HYPERLINK("https://twitter.com/omranassaedi1/status/1181890933354369031","1181890933354369031")</f>
        <v>1181890933354369031</v>
      </c>
      <c r="F167" s="8"/>
      <c r="G167" s="14" t="s">
        <v>992</v>
      </c>
      <c r="H167" s="8"/>
      <c r="I167" s="15">
        <v>0</v>
      </c>
      <c r="J167" s="15">
        <v>0</v>
      </c>
      <c r="K167" s="12" t="str">
        <f>HYPERLINK("http://twitter.com","Twitter Web Client")</f>
        <v>Twitter Web Client</v>
      </c>
      <c r="L167" s="16">
        <v>0</v>
      </c>
      <c r="M167" s="16">
        <v>27</v>
      </c>
      <c r="N167" s="16">
        <v>0</v>
      </c>
      <c r="O167" s="17"/>
      <c r="P167" s="18">
        <v>42022.152025462958</v>
      </c>
      <c r="Q167" s="13"/>
      <c r="R167" s="7"/>
      <c r="S167" s="8"/>
      <c r="T167" s="8"/>
      <c r="U167" s="19" t="str">
        <f>HYPERLINK("https://pbs.twimg.com/profile_images/556778991604871171/bAqvi8iJ.jpeg","View")</f>
        <v>View</v>
      </c>
      <c r="V167" s="8"/>
      <c r="W167" s="8"/>
      <c r="X167" s="8"/>
      <c r="Y167" s="8"/>
      <c r="Z167" s="8"/>
    </row>
    <row r="168" spans="1:26" ht="12.75">
      <c r="A168" s="11">
        <v>43747.176979166667</v>
      </c>
      <c r="B168" s="12" t="str">
        <f>HYPERLINK("https://twitter.com/saadthaqaf","@saadthaqaf")</f>
        <v>@saadthaqaf</v>
      </c>
      <c r="C168" s="13" t="s">
        <v>997</v>
      </c>
      <c r="D168" s="13" t="s">
        <v>998</v>
      </c>
      <c r="E168" s="12" t="str">
        <f>HYPERLINK("https://twitter.com/saadthaqaf/status/1181890766228086785","1181890766228086785")</f>
        <v>1181890766228086785</v>
      </c>
      <c r="F168" s="8"/>
      <c r="G168" s="14" t="s">
        <v>1000</v>
      </c>
      <c r="H168" s="8"/>
      <c r="I168" s="15">
        <v>0</v>
      </c>
      <c r="J168" s="15">
        <v>0</v>
      </c>
      <c r="K168" s="12" t="str">
        <f>HYPERLINK("http://twitter.com","Twitter Web Client")</f>
        <v>Twitter Web Client</v>
      </c>
      <c r="L168" s="16">
        <v>4</v>
      </c>
      <c r="M168" s="16">
        <v>37</v>
      </c>
      <c r="N168" s="16">
        <v>0</v>
      </c>
      <c r="O168" s="17"/>
      <c r="P168" s="18">
        <v>42078.603946759264</v>
      </c>
      <c r="Q168" s="13"/>
      <c r="R168" s="13"/>
      <c r="S168" s="8"/>
      <c r="T168" s="8"/>
      <c r="U168" s="19" t="str">
        <f>HYPERLINK("https://pbs.twimg.com/profile_images/577223842231283712/OPsJLcxe.jpeg","View")</f>
        <v>View</v>
      </c>
      <c r="V168" s="8"/>
      <c r="W168" s="8"/>
      <c r="X168" s="8"/>
      <c r="Y168" s="8"/>
      <c r="Z168" s="8"/>
    </row>
    <row r="169" spans="1:26" ht="12.75">
      <c r="A169" s="11">
        <v>43747.176782407405</v>
      </c>
      <c r="B169" s="12" t="str">
        <f>HYPERLINK("https://twitter.com/AnziKhalaf","@AnziKhalaf")</f>
        <v>@AnziKhalaf</v>
      </c>
      <c r="C169" s="13" t="s">
        <v>1002</v>
      </c>
      <c r="D169" s="13" t="s">
        <v>1003</v>
      </c>
      <c r="E169" s="12" t="str">
        <f>HYPERLINK("https://twitter.com/AnziKhalaf/status/1181890694107058176","1181890694107058176")</f>
        <v>1181890694107058176</v>
      </c>
      <c r="F169" s="8"/>
      <c r="G169" s="14" t="s">
        <v>1006</v>
      </c>
      <c r="H169" s="8"/>
      <c r="I169" s="15">
        <v>0</v>
      </c>
      <c r="J169" s="15">
        <v>0</v>
      </c>
      <c r="K169" s="12" t="str">
        <f>HYPERLINK("http://twitter.com","Twitter Web Client")</f>
        <v>Twitter Web Client</v>
      </c>
      <c r="L169" s="16">
        <v>0</v>
      </c>
      <c r="M169" s="16">
        <v>36</v>
      </c>
      <c r="N169" s="16">
        <v>0</v>
      </c>
      <c r="O169" s="17"/>
      <c r="P169" s="18">
        <v>42022.136550925927</v>
      </c>
      <c r="Q169" s="13"/>
      <c r="R169" s="13"/>
      <c r="S169" s="8"/>
      <c r="T169" s="8"/>
      <c r="U169" s="19" t="str">
        <f>HYPERLINK("https://pbs.twimg.com/profile_images/556773341294362626/C5k9082E.jpeg","View")</f>
        <v>View</v>
      </c>
      <c r="V169" s="8"/>
      <c r="W169" s="8"/>
      <c r="X169" s="8"/>
      <c r="Y169" s="8"/>
      <c r="Z169" s="8"/>
    </row>
    <row r="170" spans="1:26" ht="12.75">
      <c r="A170" s="11">
        <v>43747.17664351852</v>
      </c>
      <c r="B170" s="12" t="str">
        <f>HYPERLINK("https://twitter.com/saadalrashidi10","@saadalrashidi10")</f>
        <v>@saadalrashidi10</v>
      </c>
      <c r="C170" s="7" t="s">
        <v>1010</v>
      </c>
      <c r="D170" s="7" t="s">
        <v>1011</v>
      </c>
      <c r="E170" s="12" t="str">
        <f>HYPERLINK("https://twitter.com/saadalrashidi10/status/1181890643632775170","1181890643632775170")</f>
        <v>1181890643632775170</v>
      </c>
      <c r="F170" s="8"/>
      <c r="G170" s="14" t="s">
        <v>1012</v>
      </c>
      <c r="H170" s="8"/>
      <c r="I170" s="15">
        <v>0</v>
      </c>
      <c r="J170" s="15">
        <v>0</v>
      </c>
      <c r="K170" s="12" t="str">
        <f>HYPERLINK("http://twitter.com","Twitter Web Client")</f>
        <v>Twitter Web Client</v>
      </c>
      <c r="L170" s="16">
        <v>2</v>
      </c>
      <c r="M170" s="16">
        <v>36</v>
      </c>
      <c r="N170" s="16">
        <v>0</v>
      </c>
      <c r="O170" s="17"/>
      <c r="P170" s="18">
        <v>42068.200960648144</v>
      </c>
      <c r="Q170" s="13"/>
      <c r="R170" s="7"/>
      <c r="S170" s="8"/>
      <c r="T170" s="8"/>
      <c r="U170" s="19" t="str">
        <f>HYPERLINK("https://pbs.twimg.com/profile_images/573465591664660480/LqIxMJJZ.jpeg","View")</f>
        <v>View</v>
      </c>
      <c r="V170" s="8"/>
      <c r="W170" s="8"/>
      <c r="X170" s="8"/>
      <c r="Y170" s="8"/>
      <c r="Z170" s="8"/>
    </row>
    <row r="171" spans="1:26" ht="12.75">
      <c r="A171" s="11">
        <v>43747.175196759257</v>
      </c>
      <c r="B171" s="12" t="str">
        <f>HYPERLINK("https://twitter.com/nooh1","@nooh1")</f>
        <v>@nooh1</v>
      </c>
      <c r="C171" s="13" t="s">
        <v>1017</v>
      </c>
      <c r="D171" s="13" t="s">
        <v>1018</v>
      </c>
      <c r="E171" s="12" t="str">
        <f>HYPERLINK("https://twitter.com/nooh1/status/1181890120145879040","1181890120145879040")</f>
        <v>1181890120145879040</v>
      </c>
      <c r="F171" s="8"/>
      <c r="G171" s="15"/>
      <c r="H171" s="8"/>
      <c r="I171" s="15">
        <v>0</v>
      </c>
      <c r="J171" s="15">
        <v>0</v>
      </c>
      <c r="K171" s="12" t="str">
        <f>HYPERLINK("http://twitter.com/download/iphone","Twitter for iPhone")</f>
        <v>Twitter for iPhone</v>
      </c>
      <c r="L171" s="16">
        <v>53774</v>
      </c>
      <c r="M171" s="16">
        <v>54851</v>
      </c>
      <c r="N171" s="16">
        <v>25</v>
      </c>
      <c r="O171" s="17"/>
      <c r="P171" s="18">
        <v>40768.872361111113</v>
      </c>
      <c r="Q171" s="13" t="s">
        <v>648</v>
      </c>
      <c r="R171" s="13"/>
      <c r="S171" s="8"/>
      <c r="T171" s="8"/>
      <c r="U171" s="19" t="str">
        <f>HYPERLINK("https://pbs.twimg.com/profile_images/1174722947661074434/O7b7Mqv-.jpg","View")</f>
        <v>View</v>
      </c>
      <c r="V171" s="8"/>
      <c r="W171" s="8"/>
      <c r="X171" s="8"/>
      <c r="Y171" s="8"/>
      <c r="Z171" s="8"/>
    </row>
    <row r="172" spans="1:26" ht="12.75">
      <c r="A172" s="11">
        <v>43747.175138888888</v>
      </c>
      <c r="B172" s="12" t="str">
        <f>HYPERLINK("https://twitter.com/faisalgabriel2","@faisalgabriel2")</f>
        <v>@faisalgabriel2</v>
      </c>
      <c r="C172" s="7" t="s">
        <v>1022</v>
      </c>
      <c r="D172" s="7" t="s">
        <v>1023</v>
      </c>
      <c r="E172" s="12" t="str">
        <f>HYPERLINK("https://twitter.com/faisalgabriel2/status/1181890098708791302","1181890098708791302")</f>
        <v>1181890098708791302</v>
      </c>
      <c r="F172" s="8"/>
      <c r="G172" s="14" t="s">
        <v>1024</v>
      </c>
      <c r="H172" s="8"/>
      <c r="I172" s="15">
        <v>0</v>
      </c>
      <c r="J172" s="15">
        <v>0</v>
      </c>
      <c r="K172" s="12" t="str">
        <f>HYPERLINK("http://twitter.com","Twitter Web Client")</f>
        <v>Twitter Web Client</v>
      </c>
      <c r="L172" s="16">
        <v>5</v>
      </c>
      <c r="M172" s="16">
        <v>37</v>
      </c>
      <c r="N172" s="16">
        <v>0</v>
      </c>
      <c r="O172" s="17"/>
      <c r="P172" s="18">
        <v>42067.437372685185</v>
      </c>
      <c r="Q172" s="15"/>
      <c r="R172" s="7"/>
      <c r="S172" s="8"/>
      <c r="T172" s="8"/>
      <c r="U172" s="19" t="str">
        <f>HYPERLINK("https://pbs.twimg.com/profile_images/573188848563310595/DdBuSi3A.jpeg","View")</f>
        <v>View</v>
      </c>
      <c r="V172" s="8"/>
      <c r="W172" s="8"/>
      <c r="X172" s="8"/>
      <c r="Y172" s="8"/>
      <c r="Z172" s="8"/>
    </row>
    <row r="173" spans="1:26" ht="12.75">
      <c r="A173" s="11">
        <v>43747.175138888888</v>
      </c>
      <c r="B173" s="12" t="str">
        <f>HYPERLINK("https://twitter.com/ShuraihB","@ShuraihB")</f>
        <v>@ShuraihB</v>
      </c>
      <c r="C173" s="7" t="s">
        <v>1029</v>
      </c>
      <c r="D173" s="7" t="s">
        <v>1030</v>
      </c>
      <c r="E173" s="12" t="str">
        <f>HYPERLINK("https://twitter.com/ShuraihB/status/1181890098389909505","1181890098389909505")</f>
        <v>1181890098389909505</v>
      </c>
      <c r="F173" s="8"/>
      <c r="G173" s="14" t="s">
        <v>1031</v>
      </c>
      <c r="H173" s="8"/>
      <c r="I173" s="15">
        <v>0</v>
      </c>
      <c r="J173" s="15">
        <v>0</v>
      </c>
      <c r="K173" s="12" t="str">
        <f>HYPERLINK("https://mobile.twitter.com","Twitter Web App")</f>
        <v>Twitter Web App</v>
      </c>
      <c r="L173" s="16">
        <v>0</v>
      </c>
      <c r="M173" s="16">
        <v>0</v>
      </c>
      <c r="N173" s="16">
        <v>0</v>
      </c>
      <c r="O173" s="17"/>
      <c r="P173" s="18">
        <v>43737.95039351852</v>
      </c>
      <c r="Q173" s="15"/>
      <c r="R173" s="7"/>
      <c r="S173" s="8"/>
      <c r="T173" s="8"/>
      <c r="U173" s="19" t="str">
        <f>HYPERLINK("https://pbs.twimg.com/profile_images/1181889948707778560/mHG8uL6P.jpg","View")</f>
        <v>View</v>
      </c>
      <c r="V173" s="8"/>
      <c r="W173" s="8"/>
      <c r="X173" s="8"/>
      <c r="Y173" s="8"/>
      <c r="Z173" s="8"/>
    </row>
    <row r="174" spans="1:26" ht="12.75">
      <c r="A174" s="11">
        <v>43747.174849537041</v>
      </c>
      <c r="B174" s="12" t="str">
        <f>HYPERLINK("https://twitter.com/BassilAbdi","@BassilAbdi")</f>
        <v>@BassilAbdi</v>
      </c>
      <c r="C174" s="7" t="s">
        <v>1034</v>
      </c>
      <c r="D174" s="7" t="s">
        <v>28</v>
      </c>
      <c r="E174" s="12" t="str">
        <f>HYPERLINK("https://twitter.com/BassilAbdi/status/1181889993054117888","1181889993054117888")</f>
        <v>1181889993054117888</v>
      </c>
      <c r="F174" s="8"/>
      <c r="G174" s="14" t="s">
        <v>31</v>
      </c>
      <c r="H174" s="8"/>
      <c r="I174" s="15">
        <v>0</v>
      </c>
      <c r="J174" s="15">
        <v>0</v>
      </c>
      <c r="K174" s="12" t="str">
        <f>HYPERLINK("https://mobile.twitter.com","Twitter Web App")</f>
        <v>Twitter Web App</v>
      </c>
      <c r="L174" s="16">
        <v>0</v>
      </c>
      <c r="M174" s="16">
        <v>0</v>
      </c>
      <c r="N174" s="16">
        <v>0</v>
      </c>
      <c r="O174" s="17"/>
      <c r="P174" s="18">
        <v>43744.219351851847</v>
      </c>
      <c r="Q174" s="15"/>
      <c r="R174" s="7"/>
      <c r="S174" s="8"/>
      <c r="T174" s="8"/>
      <c r="U174" s="19" t="str">
        <f>HYPERLINK("https://pbs.twimg.com/profile_images/1181571989603000322/aspvRAIG.jpg","View")</f>
        <v>View</v>
      </c>
      <c r="V174" s="8"/>
      <c r="W174" s="8"/>
      <c r="X174" s="8"/>
      <c r="Y174" s="8"/>
      <c r="Z174" s="8"/>
    </row>
    <row r="175" spans="1:26" ht="12.75">
      <c r="A175" s="11">
        <v>43747.174641203703</v>
      </c>
      <c r="B175" s="12" t="str">
        <f>HYPERLINK("https://twitter.com/wedaini","@wedaini")</f>
        <v>@wedaini</v>
      </c>
      <c r="C175" s="13" t="s">
        <v>1035</v>
      </c>
      <c r="D175" s="7" t="s">
        <v>1036</v>
      </c>
      <c r="E175" s="12" t="str">
        <f>HYPERLINK("https://twitter.com/wedaini/status/1181889918949380097","1181889918949380097")</f>
        <v>1181889918949380097</v>
      </c>
      <c r="F175" s="8"/>
      <c r="G175" s="14" t="s">
        <v>1037</v>
      </c>
      <c r="H175" s="8"/>
      <c r="I175" s="15">
        <v>0</v>
      </c>
      <c r="J175" s="15">
        <v>0</v>
      </c>
      <c r="K175" s="12" t="str">
        <f>HYPERLINK("http://twitter.com","Twitter Web Client")</f>
        <v>Twitter Web Client</v>
      </c>
      <c r="L175" s="16">
        <v>8</v>
      </c>
      <c r="M175" s="16">
        <v>42</v>
      </c>
      <c r="N175" s="16">
        <v>0</v>
      </c>
      <c r="O175" s="17"/>
      <c r="P175" s="18">
        <v>42071.330879629633</v>
      </c>
      <c r="Q175" s="7"/>
      <c r="R175" s="13"/>
      <c r="S175" s="8"/>
      <c r="T175" s="8"/>
      <c r="U175" s="19" t="str">
        <f>HYPERLINK("https://pbs.twimg.com/profile_images/574585463438057474/6bz3Pach.jpeg","View")</f>
        <v>View</v>
      </c>
      <c r="V175" s="8"/>
      <c r="W175" s="8"/>
      <c r="X175" s="8"/>
      <c r="Y175" s="8"/>
      <c r="Z175" s="8"/>
    </row>
    <row r="176" spans="1:26" ht="12.75">
      <c r="A176" s="11">
        <v>43747.174502314811</v>
      </c>
      <c r="B176" s="12" t="str">
        <f>HYPERLINK("https://twitter.com/ihiblan","@ihiblan")</f>
        <v>@ihiblan</v>
      </c>
      <c r="C176" s="13" t="s">
        <v>1042</v>
      </c>
      <c r="D176" s="13" t="s">
        <v>1043</v>
      </c>
      <c r="E176" s="12" t="str">
        <f>HYPERLINK("https://twitter.com/ihiblan/status/1181889868647063553","1181889868647063553")</f>
        <v>1181889868647063553</v>
      </c>
      <c r="F176" s="8"/>
      <c r="G176" s="14" t="s">
        <v>1046</v>
      </c>
      <c r="H176" s="8"/>
      <c r="I176" s="15">
        <v>0</v>
      </c>
      <c r="J176" s="15">
        <v>0</v>
      </c>
      <c r="K176" s="12" t="str">
        <f>HYPERLINK("http://twitter.com","Twitter Web Client")</f>
        <v>Twitter Web Client</v>
      </c>
      <c r="L176" s="16">
        <v>10</v>
      </c>
      <c r="M176" s="16">
        <v>35</v>
      </c>
      <c r="N176" s="16">
        <v>0</v>
      </c>
      <c r="O176" s="17"/>
      <c r="P176" s="18">
        <v>42068.313090277778</v>
      </c>
      <c r="Q176" s="7"/>
      <c r="R176" s="13"/>
      <c r="S176" s="8"/>
      <c r="T176" s="8"/>
      <c r="U176" s="19" t="str">
        <f>HYPERLINK("https://pbs.twimg.com/profile_images/573506509348339712/cGBUoiXx.jpeg","View")</f>
        <v>View</v>
      </c>
      <c r="V176" s="8"/>
      <c r="W176" s="8"/>
      <c r="X176" s="8"/>
      <c r="Y176" s="8"/>
      <c r="Z176" s="8"/>
    </row>
    <row r="177" spans="1:26" ht="12.75">
      <c r="A177" s="11">
        <v>43747.174305555556</v>
      </c>
      <c r="B177" s="12" t="str">
        <f>HYPERLINK("https://twitter.com/hassanbthan1","@hassanbthan1")</f>
        <v>@hassanbthan1</v>
      </c>
      <c r="C177" s="13" t="s">
        <v>1052</v>
      </c>
      <c r="D177" s="7" t="s">
        <v>1053</v>
      </c>
      <c r="E177" s="12" t="str">
        <f>HYPERLINK("https://twitter.com/hassanbthan1/status/1181889796173631488","1181889796173631488")</f>
        <v>1181889796173631488</v>
      </c>
      <c r="F177" s="8"/>
      <c r="G177" s="14" t="s">
        <v>1054</v>
      </c>
      <c r="H177" s="8"/>
      <c r="I177" s="15">
        <v>0</v>
      </c>
      <c r="J177" s="15">
        <v>0</v>
      </c>
      <c r="K177" s="12" t="str">
        <f>HYPERLINK("http://twitter.com","Twitter Web Client")</f>
        <v>Twitter Web Client</v>
      </c>
      <c r="L177" s="16">
        <v>0</v>
      </c>
      <c r="M177" s="16">
        <v>34</v>
      </c>
      <c r="N177" s="16">
        <v>0</v>
      </c>
      <c r="O177" s="17"/>
      <c r="P177" s="18">
        <v>42084.759872685187</v>
      </c>
      <c r="Q177" s="7"/>
      <c r="R177" s="13"/>
      <c r="S177" s="8"/>
      <c r="T177" s="8"/>
      <c r="U177" s="19" t="str">
        <f>HYPERLINK("https://pbs.twimg.com/profile_images/579452484483072000/V3T8NCQS.jpg","View")</f>
        <v>View</v>
      </c>
      <c r="V177" s="8"/>
      <c r="W177" s="8"/>
      <c r="X177" s="8"/>
      <c r="Y177" s="8"/>
      <c r="Z177" s="8"/>
    </row>
    <row r="178" spans="1:26" ht="12.75">
      <c r="A178" s="11">
        <v>43747.174108796295</v>
      </c>
      <c r="B178" s="12" t="str">
        <f>HYPERLINK("https://twitter.com/mahamawa44","@mahamawa44")</f>
        <v>@mahamawa44</v>
      </c>
      <c r="C178" s="13" t="s">
        <v>1058</v>
      </c>
      <c r="D178" s="13" t="s">
        <v>1059</v>
      </c>
      <c r="E178" s="12" t="str">
        <f>HYPERLINK("https://twitter.com/mahamawa44/status/1181889725231226881","1181889725231226881")</f>
        <v>1181889725231226881</v>
      </c>
      <c r="F178" s="8"/>
      <c r="G178" s="14" t="s">
        <v>1061</v>
      </c>
      <c r="H178" s="8"/>
      <c r="I178" s="15">
        <v>0</v>
      </c>
      <c r="J178" s="15">
        <v>0</v>
      </c>
      <c r="K178" s="12" t="str">
        <f>HYPERLINK("http://twitter.com","Twitter Web Client")</f>
        <v>Twitter Web Client</v>
      </c>
      <c r="L178" s="16">
        <v>1</v>
      </c>
      <c r="M178" s="16">
        <v>33</v>
      </c>
      <c r="N178" s="16">
        <v>0</v>
      </c>
      <c r="O178" s="17"/>
      <c r="P178" s="18">
        <v>42079.767071759255</v>
      </c>
      <c r="Q178" s="7"/>
      <c r="R178" s="13"/>
      <c r="S178" s="8"/>
      <c r="T178" s="8"/>
      <c r="U178" s="19" t="str">
        <f>HYPERLINK("https://pbs.twimg.com/profile_images/577641781363224576/2z5BFjAb.jpeg","View")</f>
        <v>View</v>
      </c>
      <c r="V178" s="8"/>
      <c r="W178" s="8"/>
      <c r="X178" s="8"/>
      <c r="Y178" s="8"/>
      <c r="Z178" s="8"/>
    </row>
    <row r="179" spans="1:26" ht="12.75">
      <c r="A179" s="11">
        <v>43747.17396990741</v>
      </c>
      <c r="B179" s="12" t="str">
        <f>HYPERLINK("https://twitter.com/yuosif3343","@yuosif3343")</f>
        <v>@yuosif3343</v>
      </c>
      <c r="C179" s="13" t="s">
        <v>1064</v>
      </c>
      <c r="D179" s="13" t="s">
        <v>1065</v>
      </c>
      <c r="E179" s="12" t="str">
        <f>HYPERLINK("https://twitter.com/yuosif3343/status/1181889673314144256","1181889673314144256")</f>
        <v>1181889673314144256</v>
      </c>
      <c r="F179" s="8"/>
      <c r="G179" s="14" t="s">
        <v>1068</v>
      </c>
      <c r="H179" s="8"/>
      <c r="I179" s="15">
        <v>0</v>
      </c>
      <c r="J179" s="15">
        <v>0</v>
      </c>
      <c r="K179" s="12" t="str">
        <f>HYPERLINK("http://twitter.com","Twitter Web Client")</f>
        <v>Twitter Web Client</v>
      </c>
      <c r="L179" s="16">
        <v>10</v>
      </c>
      <c r="M179" s="16">
        <v>42</v>
      </c>
      <c r="N179" s="16">
        <v>0</v>
      </c>
      <c r="O179" s="17"/>
      <c r="P179" s="18">
        <v>42075.478506944448</v>
      </c>
      <c r="Q179" s="13"/>
      <c r="R179" s="13"/>
      <c r="S179" s="8"/>
      <c r="T179" s="8"/>
      <c r="U179" s="19" t="str">
        <f>HYPERLINK("https://pbs.twimg.com/profile_images/576087699137822720/avRgXyYv.jpeg","View")</f>
        <v>View</v>
      </c>
      <c r="V179" s="8"/>
      <c r="W179" s="8"/>
      <c r="X179" s="8"/>
      <c r="Y179" s="8"/>
      <c r="Z179" s="8"/>
    </row>
    <row r="180" spans="1:26" ht="12.75">
      <c r="A180" s="11">
        <v>43747.172500000001</v>
      </c>
      <c r="B180" s="12" t="str">
        <f>HYPERLINK("https://twitter.com/LinaQuadri","@LinaQuadri")</f>
        <v>@LinaQuadri</v>
      </c>
      <c r="C180" s="13" t="s">
        <v>1071</v>
      </c>
      <c r="D180" s="7" t="s">
        <v>944</v>
      </c>
      <c r="E180" s="12" t="str">
        <f>HYPERLINK("https://twitter.com/LinaQuadri/status/1181889142889701377","1181889142889701377")</f>
        <v>1181889142889701377</v>
      </c>
      <c r="F180" s="8"/>
      <c r="G180" s="14" t="s">
        <v>1074</v>
      </c>
      <c r="H180" s="8"/>
      <c r="I180" s="15">
        <v>0</v>
      </c>
      <c r="J180" s="15">
        <v>0</v>
      </c>
      <c r="K180" s="12" t="str">
        <f>HYPERLINK("https://mobile.twitter.com","Twitter Web App")</f>
        <v>Twitter Web App</v>
      </c>
      <c r="L180" s="16">
        <v>0</v>
      </c>
      <c r="M180" s="16">
        <v>0</v>
      </c>
      <c r="N180" s="16">
        <v>0</v>
      </c>
      <c r="O180" s="17"/>
      <c r="P180" s="18">
        <v>43731.180868055555</v>
      </c>
      <c r="Q180" s="7" t="s">
        <v>949</v>
      </c>
      <c r="R180" s="13" t="s">
        <v>1075</v>
      </c>
      <c r="S180" s="8"/>
      <c r="T180" s="8"/>
      <c r="U180" s="19" t="str">
        <f>HYPERLINK("https://pbs.twimg.com/profile_images/1181889088535715843/YCWb58hd.jpg","View")</f>
        <v>View</v>
      </c>
      <c r="V180" s="8"/>
      <c r="W180" s="8"/>
      <c r="X180" s="8"/>
      <c r="Y180" s="8"/>
      <c r="Z180" s="8"/>
    </row>
    <row r="181" spans="1:26" ht="12.75">
      <c r="A181" s="11">
        <v>43747.172210648147</v>
      </c>
      <c r="B181" s="12" t="str">
        <f>HYPERLINK("https://twitter.com/paddydosari1","@paddydosari1")</f>
        <v>@paddydosari1</v>
      </c>
      <c r="C181" s="13" t="s">
        <v>1078</v>
      </c>
      <c r="D181" s="13" t="s">
        <v>1079</v>
      </c>
      <c r="E181" s="12" t="str">
        <f>HYPERLINK("https://twitter.com/paddydosari1/status/1181889037692555266","1181889037692555266")</f>
        <v>1181889037692555266</v>
      </c>
      <c r="F181" s="8"/>
      <c r="G181" s="14" t="s">
        <v>1081</v>
      </c>
      <c r="H181" s="8"/>
      <c r="I181" s="15">
        <v>0</v>
      </c>
      <c r="J181" s="15">
        <v>0</v>
      </c>
      <c r="K181" s="12" t="str">
        <f>HYPERLINK("http://twitter.com","Twitter Web Client")</f>
        <v>Twitter Web Client</v>
      </c>
      <c r="L181" s="16">
        <v>4</v>
      </c>
      <c r="M181" s="16">
        <v>41</v>
      </c>
      <c r="N181" s="16">
        <v>0</v>
      </c>
      <c r="O181" s="17"/>
      <c r="P181" s="18">
        <v>42071.129432870366</v>
      </c>
      <c r="Q181" s="13"/>
      <c r="R181" s="13"/>
      <c r="S181" s="8"/>
      <c r="T181" s="8"/>
      <c r="U181" s="19" t="str">
        <f>HYPERLINK("https://pbs.twimg.com/profile_images/574512637947457537/lFMTVyxY.jpeg","View")</f>
        <v>View</v>
      </c>
      <c r="V181" s="8"/>
      <c r="W181" s="8"/>
      <c r="X181" s="8"/>
      <c r="Y181" s="8"/>
      <c r="Z181" s="8"/>
    </row>
    <row r="182" spans="1:26" ht="12.75">
      <c r="A182" s="11">
        <v>43747.1715162037</v>
      </c>
      <c r="B182" s="12" t="str">
        <f>HYPERLINK("https://twitter.com/hamaag33","@hamaag33")</f>
        <v>@hamaag33</v>
      </c>
      <c r="C182" s="13" t="s">
        <v>1085</v>
      </c>
      <c r="D182" s="7" t="s">
        <v>1086</v>
      </c>
      <c r="E182" s="12" t="str">
        <f>HYPERLINK("https://twitter.com/hamaag33/status/1181888785749020673","1181888785749020673")</f>
        <v>1181888785749020673</v>
      </c>
      <c r="F182" s="8"/>
      <c r="G182" s="14" t="s">
        <v>1087</v>
      </c>
      <c r="H182" s="8"/>
      <c r="I182" s="15">
        <v>0</v>
      </c>
      <c r="J182" s="15">
        <v>0</v>
      </c>
      <c r="K182" s="12" t="str">
        <f>HYPERLINK("http://twitter.com","Twitter Web Client")</f>
        <v>Twitter Web Client</v>
      </c>
      <c r="L182" s="16">
        <v>2</v>
      </c>
      <c r="M182" s="16">
        <v>29</v>
      </c>
      <c r="N182" s="16">
        <v>0</v>
      </c>
      <c r="O182" s="17"/>
      <c r="P182" s="18">
        <v>42081.687708333338</v>
      </c>
      <c r="Q182" s="7"/>
      <c r="R182" s="13"/>
      <c r="S182" s="8"/>
      <c r="T182" s="8"/>
      <c r="U182" s="19" t="str">
        <f>HYPERLINK("https://pbs.twimg.com/profile_images/578337908022730753/N57WGBDh.jpeg","View")</f>
        <v>View</v>
      </c>
      <c r="V182" s="8"/>
      <c r="W182" s="8"/>
      <c r="X182" s="8"/>
      <c r="Y182" s="8"/>
      <c r="Z182" s="8"/>
    </row>
    <row r="183" spans="1:26" ht="12.75">
      <c r="A183" s="11">
        <v>43747.171377314815</v>
      </c>
      <c r="B183" s="12" t="str">
        <f>HYPERLINK("https://twitter.com/alanza20131","@alanza20131")</f>
        <v>@alanza20131</v>
      </c>
      <c r="C183" s="13" t="s">
        <v>1088</v>
      </c>
      <c r="D183" s="7" t="s">
        <v>1089</v>
      </c>
      <c r="E183" s="12" t="str">
        <f>HYPERLINK("https://twitter.com/alanza20131/status/1181888734888894464","1181888734888894464")</f>
        <v>1181888734888894464</v>
      </c>
      <c r="F183" s="8"/>
      <c r="G183" s="14" t="s">
        <v>1090</v>
      </c>
      <c r="H183" s="8"/>
      <c r="I183" s="15">
        <v>0</v>
      </c>
      <c r="J183" s="15">
        <v>0</v>
      </c>
      <c r="K183" s="12" t="str">
        <f>HYPERLINK("http://twitter.com","Twitter Web Client")</f>
        <v>Twitter Web Client</v>
      </c>
      <c r="L183" s="16">
        <v>5</v>
      </c>
      <c r="M183" s="16">
        <v>44</v>
      </c>
      <c r="N183" s="16">
        <v>0</v>
      </c>
      <c r="O183" s="17"/>
      <c r="P183" s="18">
        <v>42268.767129629632</v>
      </c>
      <c r="Q183" s="7"/>
      <c r="R183" s="13"/>
      <c r="S183" s="8"/>
      <c r="T183" s="8"/>
      <c r="U183" s="19" t="str">
        <f>HYPERLINK("https://pbs.twimg.com/profile_images/646342336411103232/XKUcypcK.jpg","View")</f>
        <v>View</v>
      </c>
      <c r="V183" s="8"/>
      <c r="W183" s="8"/>
      <c r="X183" s="8"/>
      <c r="Y183" s="8"/>
      <c r="Z183" s="8"/>
    </row>
    <row r="184" spans="1:26" ht="12.75">
      <c r="A184" s="11">
        <v>43747.17123842593</v>
      </c>
      <c r="B184" s="12" t="str">
        <f>HYPERLINK("https://twitter.com/AlsmietYahya2","@AlsmietYahya2")</f>
        <v>@AlsmietYahya2</v>
      </c>
      <c r="C184" s="7" t="s">
        <v>1092</v>
      </c>
      <c r="D184" s="7" t="s">
        <v>1094</v>
      </c>
      <c r="E184" s="12" t="str">
        <f>HYPERLINK("https://twitter.com/AlsmietYahya2/status/1181888684267917312","1181888684267917312")</f>
        <v>1181888684267917312</v>
      </c>
      <c r="F184" s="8"/>
      <c r="G184" s="14" t="s">
        <v>1095</v>
      </c>
      <c r="H184" s="8"/>
      <c r="I184" s="15">
        <v>0</v>
      </c>
      <c r="J184" s="15">
        <v>0</v>
      </c>
      <c r="K184" s="12" t="str">
        <f>HYPERLINK("http://twitter.com","Twitter Web Client")</f>
        <v>Twitter Web Client</v>
      </c>
      <c r="L184" s="16">
        <v>6</v>
      </c>
      <c r="M184" s="16">
        <v>37</v>
      </c>
      <c r="N184" s="16">
        <v>0</v>
      </c>
      <c r="O184" s="17"/>
      <c r="P184" s="18">
        <v>42073.261886574073</v>
      </c>
      <c r="Q184" s="13"/>
      <c r="R184" s="7"/>
      <c r="S184" s="8"/>
      <c r="T184" s="8"/>
      <c r="U184" s="19" t="str">
        <f>HYPERLINK("https://pbs.twimg.com/profile_images/575294313556373507/JklmjkpA.jpeg","View")</f>
        <v>View</v>
      </c>
      <c r="V184" s="8"/>
      <c r="W184" s="8"/>
      <c r="X184" s="8"/>
      <c r="Y184" s="8"/>
      <c r="Z184" s="8"/>
    </row>
    <row r="185" spans="1:26" ht="12.75">
      <c r="A185" s="11">
        <v>43747.170937499999</v>
      </c>
      <c r="B185" s="12" t="str">
        <f>HYPERLINK("https://twitter.com/ahmarimuitealk1","@ahmarimuitealk1")</f>
        <v>@ahmarimuitealk1</v>
      </c>
      <c r="C185" s="13" t="s">
        <v>1098</v>
      </c>
      <c r="D185" s="13" t="s">
        <v>1099</v>
      </c>
      <c r="E185" s="12" t="str">
        <f>HYPERLINK("https://twitter.com/ahmarimuitealk1/status/1181888576453304320","1181888576453304320")</f>
        <v>1181888576453304320</v>
      </c>
      <c r="F185" s="8"/>
      <c r="G185" s="14" t="s">
        <v>1100</v>
      </c>
      <c r="H185" s="8"/>
      <c r="I185" s="15">
        <v>0</v>
      </c>
      <c r="J185" s="15">
        <v>0</v>
      </c>
      <c r="K185" s="12" t="str">
        <f>HYPERLINK("http://twitter.com","Twitter Web Client")</f>
        <v>Twitter Web Client</v>
      </c>
      <c r="L185" s="16">
        <v>7</v>
      </c>
      <c r="M185" s="16">
        <v>42</v>
      </c>
      <c r="N185" s="16">
        <v>0</v>
      </c>
      <c r="O185" s="17"/>
      <c r="P185" s="18">
        <v>42075.337847222225</v>
      </c>
      <c r="Q185" s="7"/>
      <c r="R185" s="13"/>
      <c r="S185" s="15"/>
      <c r="T185" s="8"/>
      <c r="U185" s="19" t="str">
        <f>HYPERLINK("https://pbs.twimg.com/profile_images/576039703884894208/ucx-Hwop.jpeg","View")</f>
        <v>View</v>
      </c>
      <c r="V185" s="8"/>
      <c r="W185" s="8"/>
      <c r="X185" s="8"/>
      <c r="Y185" s="8"/>
      <c r="Z185" s="8"/>
    </row>
    <row r="186" spans="1:26" ht="12.75">
      <c r="A186" s="11">
        <v>43747.169259259259</v>
      </c>
      <c r="B186" s="12" t="str">
        <f>HYPERLINK("https://twitter.com/razzaqaldousar1","@razzaqaldousar1")</f>
        <v>@razzaqaldousar1</v>
      </c>
      <c r="C186" s="13" t="s">
        <v>1101</v>
      </c>
      <c r="D186" s="7" t="s">
        <v>1102</v>
      </c>
      <c r="E186" s="12" t="str">
        <f>HYPERLINK("https://twitter.com/razzaqaldousar1/status/1181887967805267968","1181887967805267968")</f>
        <v>1181887967805267968</v>
      </c>
      <c r="F186" s="8"/>
      <c r="G186" s="14" t="s">
        <v>1103</v>
      </c>
      <c r="H186" s="8"/>
      <c r="I186" s="15">
        <v>0</v>
      </c>
      <c r="J186" s="15">
        <v>0</v>
      </c>
      <c r="K186" s="12" t="str">
        <f>HYPERLINK("http://twitter.com","Twitter Web Client")</f>
        <v>Twitter Web Client</v>
      </c>
      <c r="L186" s="16">
        <v>0</v>
      </c>
      <c r="M186" s="16">
        <v>37</v>
      </c>
      <c r="N186" s="16">
        <v>0</v>
      </c>
      <c r="O186" s="17"/>
      <c r="P186" s="18">
        <v>42067.587094907409</v>
      </c>
      <c r="Q186" s="7"/>
      <c r="R186" s="13"/>
      <c r="S186" s="8"/>
      <c r="T186" s="8"/>
      <c r="U186" s="19" t="str">
        <f>HYPERLINK("https://pbs.twimg.com/profile_images/573270795830476800/1yPnownB.jpeg","View")</f>
        <v>View</v>
      </c>
      <c r="V186" s="8"/>
      <c r="W186" s="8"/>
      <c r="X186" s="8"/>
      <c r="Y186" s="8"/>
      <c r="Z186" s="8"/>
    </row>
    <row r="187" spans="1:26" ht="12.75">
      <c r="A187" s="11">
        <v>43747.169247685189</v>
      </c>
      <c r="B187" s="12" t="str">
        <f>HYPERLINK("https://twitter.com/KhuwalidiJumana","@KhuwalidiJumana")</f>
        <v>@KhuwalidiJumana</v>
      </c>
      <c r="C187" s="13" t="s">
        <v>1106</v>
      </c>
      <c r="D187" s="13" t="s">
        <v>1107</v>
      </c>
      <c r="E187" s="12" t="str">
        <f>HYPERLINK("https://twitter.com/KhuwalidiJumana/status/1181887964931997697","1181887964931997697")</f>
        <v>1181887964931997697</v>
      </c>
      <c r="F187" s="8"/>
      <c r="G187" s="14" t="s">
        <v>1109</v>
      </c>
      <c r="H187" s="8"/>
      <c r="I187" s="15">
        <v>0</v>
      </c>
      <c r="J187" s="15">
        <v>0</v>
      </c>
      <c r="K187" s="12" t="str">
        <f>HYPERLINK("https://mobile.twitter.com","Twitter Web App")</f>
        <v>Twitter Web App</v>
      </c>
      <c r="L187" s="16">
        <v>0</v>
      </c>
      <c r="M187" s="16">
        <v>0</v>
      </c>
      <c r="N187" s="16">
        <v>0</v>
      </c>
      <c r="O187" s="17"/>
      <c r="P187" s="18">
        <v>43730.936851851853</v>
      </c>
      <c r="Q187" s="13" t="s">
        <v>928</v>
      </c>
      <c r="R187" s="13" t="s">
        <v>1110</v>
      </c>
      <c r="S187" s="8"/>
      <c r="T187" s="8"/>
      <c r="U187" s="19" t="str">
        <f>HYPERLINK("https://pbs.twimg.com/profile_images/1181887773185175552/Fuywsdr3.jpg","View")</f>
        <v>View</v>
      </c>
      <c r="V187" s="8"/>
      <c r="W187" s="8"/>
      <c r="X187" s="8"/>
      <c r="Y187" s="8"/>
      <c r="Z187" s="8"/>
    </row>
    <row r="188" spans="1:26" ht="12.75">
      <c r="A188" s="11">
        <v>43747.168715277774</v>
      </c>
      <c r="B188" s="12" t="str">
        <f>HYPERLINK("https://twitter.com/alzaware33","@alzaware33")</f>
        <v>@alzaware33</v>
      </c>
      <c r="C188" s="7" t="s">
        <v>1114</v>
      </c>
      <c r="D188" s="7" t="s">
        <v>1115</v>
      </c>
      <c r="E188" s="12" t="str">
        <f>HYPERLINK("https://twitter.com/alzaware33/status/1181887769150406656","1181887769150406656")</f>
        <v>1181887769150406656</v>
      </c>
      <c r="F188" s="8"/>
      <c r="G188" s="14" t="s">
        <v>1116</v>
      </c>
      <c r="H188" s="8"/>
      <c r="I188" s="15">
        <v>0</v>
      </c>
      <c r="J188" s="15">
        <v>0</v>
      </c>
      <c r="K188" s="12" t="str">
        <f>HYPERLINK("http://twitter.com","Twitter Web Client")</f>
        <v>Twitter Web Client</v>
      </c>
      <c r="L188" s="16">
        <v>10</v>
      </c>
      <c r="M188" s="16">
        <v>34</v>
      </c>
      <c r="N188" s="16">
        <v>0</v>
      </c>
      <c r="O188" s="17"/>
      <c r="P188" s="18">
        <v>42073.242777777778</v>
      </c>
      <c r="Q188" s="13"/>
      <c r="R188" s="7"/>
      <c r="S188" s="8"/>
      <c r="T188" s="8"/>
      <c r="U188" s="19" t="str">
        <f>HYPERLINK("https://pbs.twimg.com/profile_images/575277467771871233/XDVUWYJ_.jpeg","View")</f>
        <v>View</v>
      </c>
      <c r="V188" s="8"/>
      <c r="W188" s="8"/>
      <c r="X188" s="8"/>
      <c r="Y188" s="8"/>
      <c r="Z188" s="8"/>
    </row>
    <row r="189" spans="1:26" ht="12.75">
      <c r="A189" s="11">
        <v>43747.168379629627</v>
      </c>
      <c r="B189" s="12" t="str">
        <f>HYPERLINK("https://twitter.com/kasemelshatery","@kasemelshatery")</f>
        <v>@kasemelshatery</v>
      </c>
      <c r="C189" s="7" t="s">
        <v>1119</v>
      </c>
      <c r="D189" s="7" t="s">
        <v>1120</v>
      </c>
      <c r="E189" s="12" t="str">
        <f>HYPERLINK("https://twitter.com/kasemelshatery/status/1181887646731292673","1181887646731292673")</f>
        <v>1181887646731292673</v>
      </c>
      <c r="F189" s="8"/>
      <c r="G189" s="14" t="s">
        <v>1121</v>
      </c>
      <c r="H189" s="8"/>
      <c r="I189" s="15">
        <v>0</v>
      </c>
      <c r="J189" s="15">
        <v>0</v>
      </c>
      <c r="K189" s="12" t="str">
        <f>HYPERLINK("http://twitter.com","Twitter Web Client")</f>
        <v>Twitter Web Client</v>
      </c>
      <c r="L189" s="16">
        <v>0</v>
      </c>
      <c r="M189" s="16">
        <v>27</v>
      </c>
      <c r="N189" s="16">
        <v>0</v>
      </c>
      <c r="O189" s="17"/>
      <c r="P189" s="18">
        <v>41823.411747685182</v>
      </c>
      <c r="Q189" s="13"/>
      <c r="R189" s="7"/>
      <c r="S189" s="8"/>
      <c r="T189" s="8"/>
      <c r="U189" s="19" t="str">
        <f>HYPERLINK("https://pbs.twimg.com/profile_images/484741775823618049/cut7srGp.jpeg","View")</f>
        <v>View</v>
      </c>
      <c r="V189" s="8"/>
      <c r="W189" s="8"/>
      <c r="X189" s="8"/>
      <c r="Y189" s="8"/>
      <c r="Z189" s="8"/>
    </row>
    <row r="190" spans="1:26" ht="12.75">
      <c r="A190" s="11">
        <v>43747.167743055557</v>
      </c>
      <c r="B190" s="12" t="str">
        <f>HYPERLINK("https://twitter.com/almalkiie343","@almalkiie343")</f>
        <v>@almalkiie343</v>
      </c>
      <c r="C190" s="13" t="s">
        <v>1125</v>
      </c>
      <c r="D190" s="13" t="s">
        <v>1126</v>
      </c>
      <c r="E190" s="12" t="str">
        <f>HYPERLINK("https://twitter.com/almalkiie343/status/1181887416677863424","1181887416677863424")</f>
        <v>1181887416677863424</v>
      </c>
      <c r="F190" s="8"/>
      <c r="G190" s="14" t="s">
        <v>1127</v>
      </c>
      <c r="H190" s="8"/>
      <c r="I190" s="15">
        <v>0</v>
      </c>
      <c r="J190" s="15">
        <v>0</v>
      </c>
      <c r="K190" s="12" t="str">
        <f>HYPERLINK("http://twitter.com","Twitter Web Client")</f>
        <v>Twitter Web Client</v>
      </c>
      <c r="L190" s="16">
        <v>4</v>
      </c>
      <c r="M190" s="16">
        <v>38</v>
      </c>
      <c r="N190" s="16">
        <v>0</v>
      </c>
      <c r="O190" s="17"/>
      <c r="P190" s="18">
        <v>42082.349375000005</v>
      </c>
      <c r="Q190" s="13"/>
      <c r="R190" s="13"/>
      <c r="S190" s="8"/>
      <c r="T190" s="8"/>
      <c r="U190" s="19" t="str">
        <f>HYPERLINK("https://pbs.twimg.com/profile_images/578577618728927232/tILKUQTc.jpeg","View")</f>
        <v>View</v>
      </c>
      <c r="V190" s="8"/>
      <c r="W190" s="8"/>
      <c r="X190" s="8"/>
      <c r="Y190" s="8"/>
      <c r="Z190" s="8"/>
    </row>
    <row r="191" spans="1:26" ht="12.75">
      <c r="A191" s="11">
        <v>43747.167604166665</v>
      </c>
      <c r="B191" s="12" t="str">
        <f>HYPERLINK("https://twitter.com/QuadriLina","@QuadriLina")</f>
        <v>@QuadriLina</v>
      </c>
      <c r="C191" s="13" t="s">
        <v>1071</v>
      </c>
      <c r="D191" s="13" t="s">
        <v>1130</v>
      </c>
      <c r="E191" s="12" t="str">
        <f>HYPERLINK("https://twitter.com/QuadriLina/status/1181887365838561280","1181887365838561280")</f>
        <v>1181887365838561280</v>
      </c>
      <c r="F191" s="8"/>
      <c r="G191" s="14" t="s">
        <v>1131</v>
      </c>
      <c r="H191" s="8"/>
      <c r="I191" s="15">
        <v>0</v>
      </c>
      <c r="J191" s="15">
        <v>0</v>
      </c>
      <c r="K191" s="12" t="str">
        <f>HYPERLINK("https://mobile.twitter.com","Twitter Web App")</f>
        <v>Twitter Web App</v>
      </c>
      <c r="L191" s="16">
        <v>0</v>
      </c>
      <c r="M191" s="16">
        <v>0</v>
      </c>
      <c r="N191" s="16">
        <v>0</v>
      </c>
      <c r="O191" s="17"/>
      <c r="P191" s="18">
        <v>43732.93751157407</v>
      </c>
      <c r="Q191" s="13" t="s">
        <v>1133</v>
      </c>
      <c r="R191" s="13" t="s">
        <v>1135</v>
      </c>
      <c r="S191" s="8"/>
      <c r="T191" s="8"/>
      <c r="U191" s="19" t="str">
        <f>HYPERLINK("https://pbs.twimg.com/profile_images/1180776050176868353/Bqyt6c0E.jpg","View")</f>
        <v>View</v>
      </c>
      <c r="V191" s="8"/>
      <c r="W191" s="8"/>
      <c r="X191" s="8"/>
      <c r="Y191" s="8"/>
      <c r="Z191" s="8"/>
    </row>
    <row r="192" spans="1:26" ht="12.75">
      <c r="A192" s="11">
        <v>43747.166886574079</v>
      </c>
      <c r="B192" s="12" t="str">
        <f>HYPERLINK("https://twitter.com/rashidsinani1","@rashidsinani1")</f>
        <v>@rashidsinani1</v>
      </c>
      <c r="C192" s="13" t="s">
        <v>1136</v>
      </c>
      <c r="D192" s="13" t="s">
        <v>1137</v>
      </c>
      <c r="E192" s="12" t="str">
        <f>HYPERLINK("https://twitter.com/rashidsinani1/status/1181887107960324098","1181887107960324098")</f>
        <v>1181887107960324098</v>
      </c>
      <c r="F192" s="8"/>
      <c r="G192" s="14" t="s">
        <v>1140</v>
      </c>
      <c r="H192" s="8"/>
      <c r="I192" s="15">
        <v>0</v>
      </c>
      <c r="J192" s="15">
        <v>0</v>
      </c>
      <c r="K192" s="12" t="str">
        <f>HYPERLINK("http://twitter.com","Twitter Web Client")</f>
        <v>Twitter Web Client</v>
      </c>
      <c r="L192" s="16">
        <v>1</v>
      </c>
      <c r="M192" s="16">
        <v>35</v>
      </c>
      <c r="N192" s="16">
        <v>0</v>
      </c>
      <c r="O192" s="17"/>
      <c r="P192" s="18">
        <v>42081.378900462965</v>
      </c>
      <c r="Q192" s="13"/>
      <c r="R192" s="13"/>
      <c r="S192" s="8"/>
      <c r="T192" s="8"/>
      <c r="U192" s="19" t="str">
        <f>HYPERLINK("https://pbs.twimg.com/profile_images/578226329570557952/ul6A2b7D.jpeg","View")</f>
        <v>View</v>
      </c>
      <c r="V192" s="8"/>
      <c r="W192" s="8"/>
      <c r="X192" s="8"/>
      <c r="Y192" s="8"/>
      <c r="Z192" s="8"/>
    </row>
    <row r="193" spans="1:26" ht="12.75">
      <c r="A193" s="11">
        <v>43747.166342592594</v>
      </c>
      <c r="B193" s="12" t="str">
        <f>HYPERLINK("https://twitter.com/nasserismail8","@nasserismail8")</f>
        <v>@nasserismail8</v>
      </c>
      <c r="C193" s="13" t="s">
        <v>1143</v>
      </c>
      <c r="D193" s="13" t="s">
        <v>1144</v>
      </c>
      <c r="E193" s="12" t="str">
        <f>HYPERLINK("https://twitter.com/nasserismail8/status/1181886908881915904","1181886908881915904")</f>
        <v>1181886908881915904</v>
      </c>
      <c r="F193" s="8"/>
      <c r="G193" s="14" t="s">
        <v>1146</v>
      </c>
      <c r="H193" s="8"/>
      <c r="I193" s="15">
        <v>0</v>
      </c>
      <c r="J193" s="15">
        <v>0</v>
      </c>
      <c r="K193" s="12" t="str">
        <f>HYPERLINK("http://twitter.com","Twitter Web Client")</f>
        <v>Twitter Web Client</v>
      </c>
      <c r="L193" s="16">
        <v>10</v>
      </c>
      <c r="M193" s="16">
        <v>43</v>
      </c>
      <c r="N193" s="16">
        <v>0</v>
      </c>
      <c r="O193" s="17"/>
      <c r="P193" s="18">
        <v>42072.603171296301</v>
      </c>
      <c r="Q193" s="13"/>
      <c r="R193" s="13"/>
      <c r="S193" s="8"/>
      <c r="T193" s="8"/>
      <c r="U193" s="19" t="str">
        <f>HYPERLINK("https://pbs.twimg.com/profile_images/575046660650217472/kwI53ABR.jpeg","View")</f>
        <v>View</v>
      </c>
      <c r="V193" s="8"/>
      <c r="W193" s="8"/>
      <c r="X193" s="8"/>
      <c r="Y193" s="8"/>
      <c r="Z193" s="8"/>
    </row>
    <row r="194" spans="1:26" ht="12.75">
      <c r="A194" s="11">
        <v>43747.165925925925</v>
      </c>
      <c r="B194" s="12" t="str">
        <f>HYPERLINK("https://twitter.com/al7arabi898","@al7arabi898")</f>
        <v>@al7arabi898</v>
      </c>
      <c r="C194" s="7" t="s">
        <v>1149</v>
      </c>
      <c r="D194" s="7" t="s">
        <v>1151</v>
      </c>
      <c r="E194" s="12" t="str">
        <f>HYPERLINK("https://twitter.com/al7arabi898/status/1181886760982327297","1181886760982327297")</f>
        <v>1181886760982327297</v>
      </c>
      <c r="F194" s="8"/>
      <c r="G194" s="14" t="s">
        <v>1152</v>
      </c>
      <c r="H194" s="8"/>
      <c r="I194" s="15">
        <v>0</v>
      </c>
      <c r="J194" s="15">
        <v>0</v>
      </c>
      <c r="K194" s="12" t="str">
        <f>HYPERLINK("http://twitter.com","Twitter Web Client")</f>
        <v>Twitter Web Client</v>
      </c>
      <c r="L194" s="16">
        <v>1</v>
      </c>
      <c r="M194" s="16">
        <v>33</v>
      </c>
      <c r="N194" s="16">
        <v>0</v>
      </c>
      <c r="O194" s="17"/>
      <c r="P194" s="18">
        <v>42088.376134259262</v>
      </c>
      <c r="Q194" s="13"/>
      <c r="R194" s="7"/>
      <c r="S194" s="8"/>
      <c r="T194" s="8"/>
      <c r="U194" s="19" t="str">
        <f>HYPERLINK("https://pbs.twimg.com/profile_images/580761638883692544/0PhW7PR6.jpg","View")</f>
        <v>View</v>
      </c>
      <c r="V194" s="8"/>
      <c r="W194" s="8"/>
      <c r="X194" s="8"/>
      <c r="Y194" s="8"/>
      <c r="Z194" s="8"/>
    </row>
    <row r="195" spans="1:26" ht="12.75">
      <c r="A195" s="11">
        <v>43747.165393518517</v>
      </c>
      <c r="B195" s="12" t="str">
        <f>HYPERLINK("https://twitter.com/Ghodai1","@Ghodai1")</f>
        <v>@Ghodai1</v>
      </c>
      <c r="C195" s="7" t="s">
        <v>1153</v>
      </c>
      <c r="D195" s="13" t="s">
        <v>1154</v>
      </c>
      <c r="E195" s="12" t="str">
        <f>HYPERLINK("https://twitter.com/Ghodai1/status/1181886565389340672","1181886565389340672")</f>
        <v>1181886565389340672</v>
      </c>
      <c r="F195" s="8"/>
      <c r="G195" s="7"/>
      <c r="H195" s="8"/>
      <c r="I195" s="15">
        <v>0</v>
      </c>
      <c r="J195" s="15">
        <v>0</v>
      </c>
      <c r="K195" s="12" t="str">
        <f>HYPERLINK("http://twitter.com/download/iphone","Twitter for iPhone")</f>
        <v>Twitter for iPhone</v>
      </c>
      <c r="L195" s="16">
        <v>1897</v>
      </c>
      <c r="M195" s="16">
        <v>1846</v>
      </c>
      <c r="N195" s="16">
        <v>0</v>
      </c>
      <c r="O195" s="17"/>
      <c r="P195" s="18">
        <v>43482.429340277777</v>
      </c>
      <c r="Q195" s="13" t="s">
        <v>1155</v>
      </c>
      <c r="R195" s="13" t="s">
        <v>1156</v>
      </c>
      <c r="S195" s="8"/>
      <c r="T195" s="8"/>
      <c r="U195" s="19" t="str">
        <f>HYPERLINK("https://pbs.twimg.com/profile_images/1143529626209312770/ksFcDdYS.jpg","View")</f>
        <v>View</v>
      </c>
      <c r="V195" s="8"/>
      <c r="W195" s="8"/>
      <c r="X195" s="8"/>
      <c r="Y195" s="8"/>
      <c r="Z195" s="8"/>
    </row>
    <row r="196" spans="1:26" ht="12.75">
      <c r="A196" s="11">
        <v>43747.164918981478</v>
      </c>
      <c r="B196" s="12" t="str">
        <f>HYPERLINK("https://twitter.com/AlhwshanIsmail2","@AlhwshanIsmail2")</f>
        <v>@AlhwshanIsmail2</v>
      </c>
      <c r="C196" s="13" t="s">
        <v>1159</v>
      </c>
      <c r="D196" s="13" t="s">
        <v>1160</v>
      </c>
      <c r="E196" s="12" t="str">
        <f>HYPERLINK("https://twitter.com/AlhwshanIsmail2/status/1181886395486486529","1181886395486486529")</f>
        <v>1181886395486486529</v>
      </c>
      <c r="F196" s="8"/>
      <c r="G196" s="14" t="s">
        <v>1162</v>
      </c>
      <c r="H196" s="8"/>
      <c r="I196" s="15">
        <v>0</v>
      </c>
      <c r="J196" s="15">
        <v>0</v>
      </c>
      <c r="K196" s="12" t="str">
        <f>HYPERLINK("http://twitter.com","Twitter Web Client")</f>
        <v>Twitter Web Client</v>
      </c>
      <c r="L196" s="16">
        <v>3</v>
      </c>
      <c r="M196" s="16">
        <v>37</v>
      </c>
      <c r="N196" s="16">
        <v>0</v>
      </c>
      <c r="O196" s="17"/>
      <c r="P196" s="18">
        <v>42070.601724537039</v>
      </c>
      <c r="Q196" s="7"/>
      <c r="R196" s="13"/>
      <c r="S196" s="8"/>
      <c r="T196" s="8"/>
      <c r="U196" s="19" t="str">
        <f>HYPERLINK("https://pbs.twimg.com/profile_images/574362294592778240/8HywbqNG.jpeg","View")</f>
        <v>View</v>
      </c>
      <c r="V196" s="8"/>
      <c r="W196" s="8"/>
      <c r="X196" s="8"/>
      <c r="Y196" s="8"/>
      <c r="Z196" s="8"/>
    </row>
    <row r="197" spans="1:26" ht="12.75">
      <c r="A197" s="11">
        <v>43747.164641203708</v>
      </c>
      <c r="B197" s="12" t="str">
        <f>HYPERLINK("https://twitter.com/elhasary4534","@elhasary4534")</f>
        <v>@elhasary4534</v>
      </c>
      <c r="C197" s="13" t="s">
        <v>1167</v>
      </c>
      <c r="D197" s="7" t="s">
        <v>1168</v>
      </c>
      <c r="E197" s="12" t="str">
        <f>HYPERLINK("https://twitter.com/elhasary4534/status/1181886293187452928","1181886293187452928")</f>
        <v>1181886293187452928</v>
      </c>
      <c r="F197" s="8"/>
      <c r="G197" s="14" t="s">
        <v>1169</v>
      </c>
      <c r="H197" s="8"/>
      <c r="I197" s="15">
        <v>0</v>
      </c>
      <c r="J197" s="15">
        <v>0</v>
      </c>
      <c r="K197" s="12" t="str">
        <f>HYPERLINK("http://twitter.com","Twitter Web Client")</f>
        <v>Twitter Web Client</v>
      </c>
      <c r="L197" s="16">
        <v>9</v>
      </c>
      <c r="M197" s="16">
        <v>52</v>
      </c>
      <c r="N197" s="16">
        <v>0</v>
      </c>
      <c r="O197" s="17"/>
      <c r="P197" s="18">
        <v>42073.422893518524</v>
      </c>
      <c r="Q197" s="7"/>
      <c r="R197" s="13"/>
      <c r="S197" s="8"/>
      <c r="T197" s="8"/>
      <c r="U197" s="19" t="str">
        <f>HYPERLINK("https://pbs.twimg.com/profile_images/575342716222988288/Y1jO7Aup.jpeg","View")</f>
        <v>View</v>
      </c>
      <c r="V197" s="8"/>
      <c r="W197" s="8"/>
      <c r="X197" s="8"/>
      <c r="Y197" s="8"/>
      <c r="Z197" s="8"/>
    </row>
    <row r="198" spans="1:26" ht="12.75">
      <c r="A198" s="11">
        <v>43747.164502314816</v>
      </c>
      <c r="B198" s="12" t="str">
        <f>HYPERLINK("https://twitter.com/mosferhamrani","@mosferhamrani")</f>
        <v>@mosferhamrani</v>
      </c>
      <c r="C198" s="13" t="s">
        <v>1171</v>
      </c>
      <c r="D198" s="13" t="s">
        <v>1172</v>
      </c>
      <c r="E198" s="12" t="str">
        <f>HYPERLINK("https://twitter.com/mosferhamrani/status/1181886241928876033","1181886241928876033")</f>
        <v>1181886241928876033</v>
      </c>
      <c r="F198" s="8"/>
      <c r="G198" s="14" t="s">
        <v>1173</v>
      </c>
      <c r="H198" s="8"/>
      <c r="I198" s="15">
        <v>0</v>
      </c>
      <c r="J198" s="15">
        <v>0</v>
      </c>
      <c r="K198" s="12" t="str">
        <f>HYPERLINK("http://twitter.com","Twitter Web Client")</f>
        <v>Twitter Web Client</v>
      </c>
      <c r="L198" s="16">
        <v>0</v>
      </c>
      <c r="M198" s="16">
        <v>39</v>
      </c>
      <c r="N198" s="16">
        <v>0</v>
      </c>
      <c r="O198" s="17"/>
      <c r="P198" s="18">
        <v>42090.658993055556</v>
      </c>
      <c r="Q198" s="7"/>
      <c r="R198" s="13"/>
      <c r="S198" s="8"/>
      <c r="T198" s="8"/>
      <c r="U198" s="19" t="str">
        <f>HYPERLINK("https://pbs.twimg.com/profile_images/581597394397073410/GB0_Pg-O.jpg","View")</f>
        <v>View</v>
      </c>
      <c r="V198" s="8"/>
      <c r="W198" s="8"/>
      <c r="X198" s="8"/>
      <c r="Y198" s="8"/>
      <c r="Z198" s="8"/>
    </row>
    <row r="199" spans="1:26" ht="12.75">
      <c r="A199" s="11">
        <v>43747.164467592593</v>
      </c>
      <c r="B199" s="12" t="str">
        <f>HYPERLINK("https://twitter.com/BishiLara","@BishiLara")</f>
        <v>@BishiLara</v>
      </c>
      <c r="C199" s="13" t="s">
        <v>1177</v>
      </c>
      <c r="D199" s="13" t="s">
        <v>1178</v>
      </c>
      <c r="E199" s="12" t="str">
        <f>HYPERLINK("https://twitter.com/BishiLara/status/1181886230071365632","1181886230071365632")</f>
        <v>1181886230071365632</v>
      </c>
      <c r="F199" s="8"/>
      <c r="G199" s="14" t="s">
        <v>1181</v>
      </c>
      <c r="H199" s="8"/>
      <c r="I199" s="15">
        <v>0</v>
      </c>
      <c r="J199" s="15">
        <v>0</v>
      </c>
      <c r="K199" s="12" t="str">
        <f>HYPERLINK("https://mobile.twitter.com","Twitter Web App")</f>
        <v>Twitter Web App</v>
      </c>
      <c r="L199" s="16">
        <v>0</v>
      </c>
      <c r="M199" s="16">
        <v>0</v>
      </c>
      <c r="N199" s="16">
        <v>0</v>
      </c>
      <c r="O199" s="17"/>
      <c r="P199" s="18">
        <v>43731.172685185185</v>
      </c>
      <c r="Q199" s="7"/>
      <c r="R199" s="13" t="s">
        <v>1135</v>
      </c>
      <c r="S199" s="8"/>
      <c r="T199" s="8"/>
      <c r="U199" s="19" t="str">
        <f>HYPERLINK("https://pbs.twimg.com/profile_images/1181883322605002752/5ifz6jYo.jpg","View")</f>
        <v>View</v>
      </c>
      <c r="V199" s="8"/>
      <c r="W199" s="8"/>
      <c r="X199" s="8"/>
      <c r="Y199" s="8"/>
      <c r="Z199" s="8"/>
    </row>
    <row r="200" spans="1:26" ht="12.75">
      <c r="A200" s="11">
        <v>43747.162326388891</v>
      </c>
      <c r="B200" s="12" t="str">
        <f>HYPERLINK("https://twitter.com/ismailsoud2","@ismailsoud2")</f>
        <v>@ismailsoud2</v>
      </c>
      <c r="C200" s="13" t="s">
        <v>1184</v>
      </c>
      <c r="D200" s="13" t="s">
        <v>1185</v>
      </c>
      <c r="E200" s="12" t="str">
        <f>HYPERLINK("https://twitter.com/ismailsoud2/status/1181885456029552641","1181885456029552641")</f>
        <v>1181885456029552641</v>
      </c>
      <c r="F200" s="8"/>
      <c r="G200" s="14" t="s">
        <v>1186</v>
      </c>
      <c r="H200" s="8"/>
      <c r="I200" s="15">
        <v>0</v>
      </c>
      <c r="J200" s="15">
        <v>0</v>
      </c>
      <c r="K200" s="12" t="str">
        <f>HYPERLINK("http://twitter.com","Twitter Web Client")</f>
        <v>Twitter Web Client</v>
      </c>
      <c r="L200" s="16">
        <v>10</v>
      </c>
      <c r="M200" s="16">
        <v>27</v>
      </c>
      <c r="N200" s="16">
        <v>0</v>
      </c>
      <c r="O200" s="17"/>
      <c r="P200" s="18">
        <v>42024.20417824074</v>
      </c>
      <c r="Q200" s="7"/>
      <c r="R200" s="13"/>
      <c r="S200" s="8"/>
      <c r="T200" s="8"/>
      <c r="U200" s="19" t="str">
        <f>HYPERLINK("https://pbs.twimg.com/profile_images/557522138752491520/7BdIhqiB.jpeg","View")</f>
        <v>View</v>
      </c>
      <c r="V200" s="8"/>
      <c r="W200" s="8"/>
      <c r="X200" s="8"/>
      <c r="Y200" s="8"/>
      <c r="Z200" s="8"/>
    </row>
    <row r="201" spans="1:26" ht="12.75">
      <c r="A201" s="11">
        <v>43747.16206018519</v>
      </c>
      <c r="B201" s="12" t="str">
        <f>HYPERLINK("https://twitter.com/AyaQuadri","@AyaQuadri")</f>
        <v>@AyaQuadri</v>
      </c>
      <c r="C201" s="13" t="s">
        <v>1189</v>
      </c>
      <c r="D201" s="7" t="s">
        <v>907</v>
      </c>
      <c r="E201" s="12" t="str">
        <f>HYPERLINK("https://twitter.com/AyaQuadri/status/1181885356955717632","1181885356955717632")</f>
        <v>1181885356955717632</v>
      </c>
      <c r="F201" s="8"/>
      <c r="G201" s="14" t="s">
        <v>1191</v>
      </c>
      <c r="H201" s="8"/>
      <c r="I201" s="15">
        <v>0</v>
      </c>
      <c r="J201" s="15">
        <v>0</v>
      </c>
      <c r="K201" s="12" t="str">
        <f>HYPERLINK("https://mobile.twitter.com","Twitter Web App")</f>
        <v>Twitter Web App</v>
      </c>
      <c r="L201" s="16">
        <v>0</v>
      </c>
      <c r="M201" s="16">
        <v>0</v>
      </c>
      <c r="N201" s="16">
        <v>0</v>
      </c>
      <c r="O201" s="17"/>
      <c r="P201" s="18">
        <v>43733.05023148148</v>
      </c>
      <c r="Q201" s="7" t="s">
        <v>1192</v>
      </c>
      <c r="R201" s="13" t="s">
        <v>925</v>
      </c>
      <c r="S201" s="8"/>
      <c r="T201" s="8"/>
      <c r="U201" s="19" t="str">
        <f>HYPERLINK("https://pbs.twimg.com/profile_images/1179692847638777856/wAc4m4RW.jpg","View")</f>
        <v>View</v>
      </c>
      <c r="V201" s="8"/>
      <c r="W201" s="8"/>
      <c r="X201" s="8"/>
      <c r="Y201" s="8"/>
      <c r="Z201" s="8"/>
    </row>
    <row r="202" spans="1:26" ht="12.75">
      <c r="A202" s="11">
        <v>43747.162025462967</v>
      </c>
      <c r="B202" s="12" t="str">
        <f>HYPERLINK("https://twitter.com/husseinhamam1","@husseinhamam1")</f>
        <v>@husseinhamam1</v>
      </c>
      <c r="C202" s="13" t="s">
        <v>1194</v>
      </c>
      <c r="D202" s="13" t="s">
        <v>1195</v>
      </c>
      <c r="E202" s="12" t="str">
        <f>HYPERLINK("https://twitter.com/husseinhamam1/status/1181885347573194752","1181885347573194752")</f>
        <v>1181885347573194752</v>
      </c>
      <c r="F202" s="8"/>
      <c r="G202" s="14" t="s">
        <v>1198</v>
      </c>
      <c r="H202" s="8"/>
      <c r="I202" s="15">
        <v>0</v>
      </c>
      <c r="J202" s="15">
        <v>0</v>
      </c>
      <c r="K202" s="12" t="str">
        <f>HYPERLINK("http://twitter.com","Twitter Web Client")</f>
        <v>Twitter Web Client</v>
      </c>
      <c r="L202" s="16">
        <v>4</v>
      </c>
      <c r="M202" s="16">
        <v>39</v>
      </c>
      <c r="N202" s="16">
        <v>0</v>
      </c>
      <c r="O202" s="17"/>
      <c r="P202" s="18">
        <v>42265.795706018514</v>
      </c>
      <c r="Q202" s="7"/>
      <c r="R202" s="13"/>
      <c r="S202" s="8"/>
      <c r="T202" s="8"/>
      <c r="U202" s="19" t="str">
        <f>HYPERLINK("https://pbs.twimg.com/profile_images/645056270060363776/ltSPjsHZ.jpg","View")</f>
        <v>View</v>
      </c>
      <c r="V202" s="8"/>
      <c r="W202" s="8"/>
      <c r="X202" s="8"/>
      <c r="Y202" s="8"/>
      <c r="Z202" s="8"/>
    </row>
    <row r="203" spans="1:26" ht="12.75">
      <c r="A203" s="11">
        <v>43747.161898148144</v>
      </c>
      <c r="B203" s="12" t="str">
        <f>HYPERLINK("https://twitter.com/TalalRahel","@TalalRahel")</f>
        <v>@TalalRahel</v>
      </c>
      <c r="C203" s="13" t="s">
        <v>1202</v>
      </c>
      <c r="D203" s="13" t="s">
        <v>1203</v>
      </c>
      <c r="E203" s="12" t="str">
        <f>HYPERLINK("https://twitter.com/TalalRahel/status/1181885297849769984","1181885297849769984")</f>
        <v>1181885297849769984</v>
      </c>
      <c r="F203" s="8"/>
      <c r="G203" s="14" t="s">
        <v>1204</v>
      </c>
      <c r="H203" s="8"/>
      <c r="I203" s="15">
        <v>0</v>
      </c>
      <c r="J203" s="15">
        <v>0</v>
      </c>
      <c r="K203" s="12" t="str">
        <f>HYPERLINK("http://twitter.com","Twitter Web Client")</f>
        <v>Twitter Web Client</v>
      </c>
      <c r="L203" s="16">
        <v>0</v>
      </c>
      <c r="M203" s="16">
        <v>35</v>
      </c>
      <c r="N203" s="16">
        <v>0</v>
      </c>
      <c r="O203" s="17"/>
      <c r="P203" s="18">
        <v>41827.279965277776</v>
      </c>
      <c r="Q203" s="7"/>
      <c r="R203" s="13"/>
      <c r="S203" s="8"/>
      <c r="T203" s="8"/>
      <c r="U203" s="19" t="str">
        <f>HYPERLINK("https://pbs.twimg.com/profile_images/486143568264704000/tZRBAsWX.jpeg","View")</f>
        <v>View</v>
      </c>
      <c r="V203" s="8"/>
      <c r="W203" s="8"/>
      <c r="X203" s="8"/>
      <c r="Y203" s="8"/>
      <c r="Z203" s="8"/>
    </row>
    <row r="204" spans="1:26" ht="12.75">
      <c r="A204" s="11">
        <v>43747.161759259259</v>
      </c>
      <c r="B204" s="12" t="str">
        <f>HYPERLINK("https://twitter.com/alemam_66","@alemam_66")</f>
        <v>@alemam_66</v>
      </c>
      <c r="C204" s="13" t="s">
        <v>1207</v>
      </c>
      <c r="D204" s="13" t="s">
        <v>1208</v>
      </c>
      <c r="E204" s="12" t="str">
        <f>HYPERLINK("https://twitter.com/alemam_66/status/1181885249460015105","1181885249460015105")</f>
        <v>1181885249460015105</v>
      </c>
      <c r="F204" s="8"/>
      <c r="G204" s="14" t="s">
        <v>1209</v>
      </c>
      <c r="H204" s="8"/>
      <c r="I204" s="15">
        <v>0</v>
      </c>
      <c r="J204" s="15">
        <v>0</v>
      </c>
      <c r="K204" s="12" t="str">
        <f>HYPERLINK("http://twitter.com","Twitter Web Client")</f>
        <v>Twitter Web Client</v>
      </c>
      <c r="L204" s="16">
        <v>6</v>
      </c>
      <c r="M204" s="16">
        <v>38</v>
      </c>
      <c r="N204" s="16">
        <v>0</v>
      </c>
      <c r="O204" s="17"/>
      <c r="P204" s="18">
        <v>42074.632314814815</v>
      </c>
      <c r="Q204" s="7"/>
      <c r="R204" s="13"/>
      <c r="S204" s="8"/>
      <c r="T204" s="8"/>
      <c r="U204" s="19" t="str">
        <f>HYPERLINK("https://pbs.twimg.com/profile_images/575781114091999232/HeWi7vOD.jpeg","View")</f>
        <v>View</v>
      </c>
      <c r="V204" s="8"/>
      <c r="W204" s="8"/>
      <c r="X204" s="8"/>
      <c r="Y204" s="8"/>
      <c r="Z204" s="8"/>
    </row>
    <row r="205" spans="1:26" ht="12.75">
      <c r="A205" s="11">
        <v>43747.161620370374</v>
      </c>
      <c r="B205" s="12" t="str">
        <f>HYPERLINK("https://twitter.com/masharee44","@masharee44")</f>
        <v>@masharee44</v>
      </c>
      <c r="C205" s="13" t="s">
        <v>1213</v>
      </c>
      <c r="D205" s="7" t="s">
        <v>1214</v>
      </c>
      <c r="E205" s="12" t="str">
        <f>HYPERLINK("https://twitter.com/masharee44/status/1181885199220645888","1181885199220645888")</f>
        <v>1181885199220645888</v>
      </c>
      <c r="F205" s="8"/>
      <c r="G205" s="14" t="s">
        <v>1215</v>
      </c>
      <c r="H205" s="8"/>
      <c r="I205" s="15">
        <v>0</v>
      </c>
      <c r="J205" s="15">
        <v>0</v>
      </c>
      <c r="K205" s="12" t="str">
        <f>HYPERLINK("http://twitter.com","Twitter Web Client")</f>
        <v>Twitter Web Client</v>
      </c>
      <c r="L205" s="16">
        <v>8</v>
      </c>
      <c r="M205" s="16">
        <v>33</v>
      </c>
      <c r="N205" s="16">
        <v>0</v>
      </c>
      <c r="O205" s="17"/>
      <c r="P205" s="18">
        <v>42080.690740740742</v>
      </c>
      <c r="Q205" s="7"/>
      <c r="R205" s="13"/>
      <c r="S205" s="8"/>
      <c r="T205" s="8"/>
      <c r="U205" s="19" t="str">
        <f>HYPERLINK("https://pbs.twimg.com/profile_images/577976522931183618/NfdTeFqB.jpg","View")</f>
        <v>View</v>
      </c>
      <c r="V205" s="8"/>
      <c r="W205" s="8"/>
      <c r="X205" s="8"/>
      <c r="Y205" s="8"/>
      <c r="Z205" s="8"/>
    </row>
    <row r="206" spans="1:26" ht="12.75">
      <c r="A206" s="11">
        <v>43747.161076388889</v>
      </c>
      <c r="B206" s="12" t="str">
        <f>HYPERLINK("https://twitter.com/hammoudsaleh4","@hammoudsaleh4")</f>
        <v>@hammoudsaleh4</v>
      </c>
      <c r="C206" s="13" t="s">
        <v>1217</v>
      </c>
      <c r="D206" s="13" t="s">
        <v>1218</v>
      </c>
      <c r="E206" s="12" t="str">
        <f>HYPERLINK("https://twitter.com/hammoudsaleh4/status/1181885000511377408","1181885000511377408")</f>
        <v>1181885000511377408</v>
      </c>
      <c r="F206" s="8"/>
      <c r="G206" s="14" t="s">
        <v>1219</v>
      </c>
      <c r="H206" s="8"/>
      <c r="I206" s="15">
        <v>0</v>
      </c>
      <c r="J206" s="15">
        <v>0</v>
      </c>
      <c r="K206" s="12" t="str">
        <f>HYPERLINK("http://twitter.com","Twitter Web Client")</f>
        <v>Twitter Web Client</v>
      </c>
      <c r="L206" s="16">
        <v>0</v>
      </c>
      <c r="M206" s="16">
        <v>28</v>
      </c>
      <c r="N206" s="16">
        <v>0</v>
      </c>
      <c r="O206" s="17"/>
      <c r="P206" s="18">
        <v>42072.477141203708</v>
      </c>
      <c r="Q206" s="7"/>
      <c r="R206" s="13"/>
      <c r="S206" s="8"/>
      <c r="T206" s="8"/>
      <c r="U206" s="19" t="str">
        <f>HYPERLINK("https://pbs.twimg.com/profile_images/575000600091340800/TiyWxPcf.jpeg","View")</f>
        <v>View</v>
      </c>
      <c r="V206" s="8"/>
      <c r="W206" s="8"/>
      <c r="X206" s="8"/>
      <c r="Y206" s="8"/>
      <c r="Z206" s="8"/>
    </row>
    <row r="207" spans="1:26" ht="12.75">
      <c r="A207" s="11">
        <v>43747.160949074074</v>
      </c>
      <c r="B207" s="12" t="str">
        <f>HYPERLINK("https://twitter.com/MaryamAlSaker1","@MaryamAlSaker1")</f>
        <v>@MaryamAlSaker1</v>
      </c>
      <c r="C207" s="13" t="s">
        <v>1223</v>
      </c>
      <c r="D207" s="13" t="s">
        <v>907</v>
      </c>
      <c r="E207" s="12" t="str">
        <f>HYPERLINK("https://twitter.com/MaryamAlSaker1/status/1181884957129469952","1181884957129469952")</f>
        <v>1181884957129469952</v>
      </c>
      <c r="F207" s="8"/>
      <c r="G207" s="14" t="s">
        <v>1225</v>
      </c>
      <c r="H207" s="8"/>
      <c r="I207" s="15">
        <v>0</v>
      </c>
      <c r="J207" s="15">
        <v>0</v>
      </c>
      <c r="K207" s="12" t="str">
        <f>HYPERLINK("https://mobile.twitter.com","Twitter Web App")</f>
        <v>Twitter Web App</v>
      </c>
      <c r="L207" s="16">
        <v>0</v>
      </c>
      <c r="M207" s="16">
        <v>0</v>
      </c>
      <c r="N207" s="16">
        <v>0</v>
      </c>
      <c r="O207" s="17"/>
      <c r="P207" s="18">
        <v>43730.057384259257</v>
      </c>
      <c r="Q207" s="7" t="s">
        <v>1228</v>
      </c>
      <c r="R207" s="13" t="s">
        <v>912</v>
      </c>
      <c r="S207" s="8"/>
      <c r="T207" s="8"/>
      <c r="U207" s="19" t="str">
        <f>HYPERLINK("https://pbs.twimg.com/profile_images/1181133460276006912/CjXdafel.jpg","View")</f>
        <v>View</v>
      </c>
      <c r="V207" s="8"/>
      <c r="W207" s="8"/>
      <c r="X207" s="8"/>
      <c r="Y207" s="8"/>
      <c r="Z207" s="8"/>
    </row>
    <row r="208" spans="1:26" ht="12.75">
      <c r="A208" s="11">
        <v>43747.160925925928</v>
      </c>
      <c r="B208" s="12" t="str">
        <f>HYPERLINK("https://twitter.com/AlshayeaFahid","@AlshayeaFahid")</f>
        <v>@AlshayeaFahid</v>
      </c>
      <c r="C208" s="13" t="s">
        <v>1231</v>
      </c>
      <c r="D208" s="13" t="s">
        <v>1232</v>
      </c>
      <c r="E208" s="12" t="str">
        <f>HYPERLINK("https://twitter.com/AlshayeaFahid/status/1181884945452736517","1181884945452736517")</f>
        <v>1181884945452736517</v>
      </c>
      <c r="F208" s="8"/>
      <c r="G208" s="14" t="s">
        <v>1233</v>
      </c>
      <c r="H208" s="8"/>
      <c r="I208" s="15">
        <v>0</v>
      </c>
      <c r="J208" s="15">
        <v>0</v>
      </c>
      <c r="K208" s="12" t="str">
        <f>HYPERLINK("http://twitter.com","Twitter Web Client")</f>
        <v>Twitter Web Client</v>
      </c>
      <c r="L208" s="16">
        <v>0</v>
      </c>
      <c r="M208" s="16">
        <v>37</v>
      </c>
      <c r="N208" s="16">
        <v>0</v>
      </c>
      <c r="O208" s="17"/>
      <c r="P208" s="18">
        <v>42070.21975694444</v>
      </c>
      <c r="Q208" s="7"/>
      <c r="R208" s="13"/>
      <c r="S208" s="8"/>
      <c r="T208" s="8"/>
      <c r="U208" s="19" t="str">
        <f>HYPERLINK("https://pbs.twimg.com/profile_images/574359422257864705/ptJlBwqk.jpeg","View")</f>
        <v>View</v>
      </c>
      <c r="V208" s="8"/>
      <c r="W208" s="8"/>
      <c r="X208" s="8"/>
      <c r="Y208" s="8"/>
      <c r="Z208" s="8"/>
    </row>
    <row r="209" spans="1:26" ht="12.75">
      <c r="A209" s="11">
        <v>43747.160636574074</v>
      </c>
      <c r="B209" s="12" t="str">
        <f>HYPERLINK("https://twitter.com/hammoudasalba","@hammoudasalba")</f>
        <v>@hammoudasalba</v>
      </c>
      <c r="C209" s="13" t="s">
        <v>1241</v>
      </c>
      <c r="D209" s="13" t="s">
        <v>1242</v>
      </c>
      <c r="E209" s="12" t="str">
        <f>HYPERLINK("https://twitter.com/hammoudasalba/status/1181884843526955008","1181884843526955008")</f>
        <v>1181884843526955008</v>
      </c>
      <c r="F209" s="8"/>
      <c r="G209" s="14" t="s">
        <v>1243</v>
      </c>
      <c r="H209" s="8"/>
      <c r="I209" s="15">
        <v>0</v>
      </c>
      <c r="J209" s="15">
        <v>0</v>
      </c>
      <c r="K209" s="12" t="str">
        <f>HYPERLINK("http://twitter.com","Twitter Web Client")</f>
        <v>Twitter Web Client</v>
      </c>
      <c r="L209" s="16">
        <v>2</v>
      </c>
      <c r="M209" s="16">
        <v>22</v>
      </c>
      <c r="N209" s="16">
        <v>0</v>
      </c>
      <c r="O209" s="17"/>
      <c r="P209" s="18">
        <v>41828.168356481481</v>
      </c>
      <c r="Q209" s="7"/>
      <c r="R209" s="13"/>
      <c r="S209" s="8"/>
      <c r="T209" s="8"/>
      <c r="U209" s="19" t="str">
        <f>HYPERLINK("https://pbs.twimg.com/profile_images/486465726740320257/584n30ej.jpeg","View")</f>
        <v>View</v>
      </c>
      <c r="V209" s="8"/>
      <c r="W209" s="8"/>
      <c r="X209" s="8"/>
      <c r="Y209" s="8"/>
      <c r="Z209" s="8"/>
    </row>
    <row r="210" spans="1:26" ht="12.75">
      <c r="A210" s="11">
        <v>43747.160567129627</v>
      </c>
      <c r="B210" s="12" t="str">
        <f>HYPERLINK("https://twitter.com/AbdullahAbkarM2","@AbdullahAbkarM2")</f>
        <v>@AbdullahAbkarM2</v>
      </c>
      <c r="C210" s="13" t="s">
        <v>1245</v>
      </c>
      <c r="D210" s="13" t="s">
        <v>1236</v>
      </c>
      <c r="E210" s="12" t="str">
        <f>HYPERLINK("https://twitter.com/AbdullahAbkarM2/status/1181884816330854401","1181884816330854401")</f>
        <v>1181884816330854401</v>
      </c>
      <c r="F210" s="8"/>
      <c r="G210" s="14" t="s">
        <v>1247</v>
      </c>
      <c r="H210" s="8"/>
      <c r="I210" s="15">
        <v>0</v>
      </c>
      <c r="J210" s="15">
        <v>0</v>
      </c>
      <c r="K210" s="12" t="str">
        <f>HYPERLINK("https://mobile.twitter.com","Twitter Web App")</f>
        <v>Twitter Web App</v>
      </c>
      <c r="L210" s="16">
        <v>1</v>
      </c>
      <c r="M210" s="16">
        <v>1</v>
      </c>
      <c r="N210" s="16">
        <v>0</v>
      </c>
      <c r="O210" s="17"/>
      <c r="P210" s="18">
        <v>43723.092037037037</v>
      </c>
      <c r="Q210" s="7" t="s">
        <v>1249</v>
      </c>
      <c r="R210" s="13" t="s">
        <v>1135</v>
      </c>
      <c r="S210" s="8"/>
      <c r="T210" s="8"/>
      <c r="U210" s="19" t="str">
        <f>HYPERLINK("https://pbs.twimg.com/profile_images/1180409153216380928/np7oWfAe.jpg","View")</f>
        <v>View</v>
      </c>
      <c r="V210" s="8"/>
      <c r="W210" s="8"/>
      <c r="X210" s="8"/>
      <c r="Y210" s="8"/>
      <c r="Z210" s="8"/>
    </row>
    <row r="211" spans="1:26" ht="12.75">
      <c r="A211" s="11">
        <v>43747.160370370373</v>
      </c>
      <c r="B211" s="12" t="str">
        <f>HYPERLINK("https://twitter.com/SomailyMarwa","@SomailyMarwa")</f>
        <v>@SomailyMarwa</v>
      </c>
      <c r="C211" s="13" t="s">
        <v>1252</v>
      </c>
      <c r="D211" s="13" t="s">
        <v>923</v>
      </c>
      <c r="E211" s="12" t="str">
        <f>HYPERLINK("https://twitter.com/SomailyMarwa/status/1181884748257349632","1181884748257349632")</f>
        <v>1181884748257349632</v>
      </c>
      <c r="F211" s="8"/>
      <c r="G211" s="14" t="s">
        <v>1253</v>
      </c>
      <c r="H211" s="8"/>
      <c r="I211" s="15">
        <v>0</v>
      </c>
      <c r="J211" s="15">
        <v>0</v>
      </c>
      <c r="K211" s="12" t="str">
        <f>HYPERLINK("https://mobile.twitter.com","Twitter Web App")</f>
        <v>Twitter Web App</v>
      </c>
      <c r="L211" s="16">
        <v>0</v>
      </c>
      <c r="M211" s="16">
        <v>0</v>
      </c>
      <c r="N211" s="16">
        <v>0</v>
      </c>
      <c r="O211" s="17"/>
      <c r="P211" s="18">
        <v>43732.146423611106</v>
      </c>
      <c r="Q211" s="7"/>
      <c r="R211" s="13" t="s">
        <v>1258</v>
      </c>
      <c r="S211" s="8"/>
      <c r="T211" s="8"/>
      <c r="U211" s="19" t="str">
        <f>HYPERLINK("https://pbs.twimg.com/profile_images/1181133111813230592/_pufR-r1.jpg","View")</f>
        <v>View</v>
      </c>
      <c r="V211" s="8"/>
      <c r="W211" s="8"/>
      <c r="X211" s="8"/>
      <c r="Y211" s="8"/>
      <c r="Z211" s="8"/>
    </row>
    <row r="212" spans="1:26" ht="12.75">
      <c r="A212" s="11">
        <v>43747.16006944445</v>
      </c>
      <c r="B212" s="12" t="str">
        <f>HYPERLINK("https://twitter.com/ibrahimmuhaisi5","@ibrahimmuhaisi5")</f>
        <v>@ibrahimmuhaisi5</v>
      </c>
      <c r="C212" s="13" t="s">
        <v>1259</v>
      </c>
      <c r="D212" s="7" t="s">
        <v>1260</v>
      </c>
      <c r="E212" s="12" t="str">
        <f>HYPERLINK("https://twitter.com/ibrahimmuhaisi5/status/1181884637762768896","1181884637762768896")</f>
        <v>1181884637762768896</v>
      </c>
      <c r="F212" s="8"/>
      <c r="G212" s="14" t="s">
        <v>1261</v>
      </c>
      <c r="H212" s="8"/>
      <c r="I212" s="15">
        <v>0</v>
      </c>
      <c r="J212" s="15">
        <v>0</v>
      </c>
      <c r="K212" s="12" t="str">
        <f>HYPERLINK("http://twitter.com","Twitter Web Client")</f>
        <v>Twitter Web Client</v>
      </c>
      <c r="L212" s="16">
        <v>3</v>
      </c>
      <c r="M212" s="16">
        <v>43</v>
      </c>
      <c r="N212" s="16">
        <v>0</v>
      </c>
      <c r="O212" s="17"/>
      <c r="P212" s="18">
        <v>42082.199907407412</v>
      </c>
      <c r="Q212" s="7"/>
      <c r="R212" s="13"/>
      <c r="S212" s="8"/>
      <c r="T212" s="8"/>
      <c r="U212" s="19" t="str">
        <f>HYPERLINK("https://pbs.twimg.com/profile_images/578524651833397248/sVJGJprB.jpeg","View")</f>
        <v>View</v>
      </c>
      <c r="V212" s="8"/>
      <c r="W212" s="8"/>
      <c r="X212" s="8"/>
      <c r="Y212" s="8"/>
      <c r="Z212" s="8"/>
    </row>
    <row r="213" spans="1:26" ht="12.75">
      <c r="A213" s="11">
        <v>43747.16006944445</v>
      </c>
      <c r="B213" s="12" t="str">
        <f>HYPERLINK("https://twitter.com/youssef_masrahi","@youssef_masrahi")</f>
        <v>@youssef_masrahi</v>
      </c>
      <c r="C213" s="13" t="s">
        <v>1266</v>
      </c>
      <c r="D213" s="13" t="s">
        <v>28</v>
      </c>
      <c r="E213" s="12" t="str">
        <f>HYPERLINK("https://twitter.com/youssef_masrahi/status/1181884637343178752","1181884637343178752")</f>
        <v>1181884637343178752</v>
      </c>
      <c r="F213" s="8"/>
      <c r="G213" s="14" t="s">
        <v>1267</v>
      </c>
      <c r="H213" s="8"/>
      <c r="I213" s="15">
        <v>0</v>
      </c>
      <c r="J213" s="15">
        <v>0</v>
      </c>
      <c r="K213" s="12" t="str">
        <f>HYPERLINK("https://mobile.twitter.com","Twitter Web App")</f>
        <v>Twitter Web App</v>
      </c>
      <c r="L213" s="16">
        <v>0</v>
      </c>
      <c r="M213" s="16">
        <v>2</v>
      </c>
      <c r="N213" s="16">
        <v>0</v>
      </c>
      <c r="O213" s="17"/>
      <c r="P213" s="18">
        <v>43723.113067129627</v>
      </c>
      <c r="Q213" s="7" t="s">
        <v>1133</v>
      </c>
      <c r="R213" s="13" t="s">
        <v>955</v>
      </c>
      <c r="S213" s="8"/>
      <c r="T213" s="8"/>
      <c r="U213" s="19" t="str">
        <f>HYPERLINK("https://pbs.twimg.com/profile_images/1180410740026400769/_9Vvn6LJ.jpg","View")</f>
        <v>View</v>
      </c>
      <c r="V213" s="8"/>
      <c r="W213" s="8"/>
      <c r="X213" s="8"/>
      <c r="Y213" s="8"/>
      <c r="Z213" s="8"/>
    </row>
    <row r="214" spans="1:26" ht="12.75">
      <c r="A214" s="11">
        <v>43747.159537037034</v>
      </c>
      <c r="B214" s="12" t="str">
        <f>HYPERLINK("https://twitter.com/mohamme_salhi","@mohamme_salhi")</f>
        <v>@mohamme_salhi</v>
      </c>
      <c r="C214" s="13" t="s">
        <v>1270</v>
      </c>
      <c r="D214" s="13" t="s">
        <v>914</v>
      </c>
      <c r="E214" s="12" t="str">
        <f>HYPERLINK("https://twitter.com/mohamme_salhi/status/1181884445474738176","1181884445474738176")</f>
        <v>1181884445474738176</v>
      </c>
      <c r="F214" s="8"/>
      <c r="G214" s="14" t="s">
        <v>917</v>
      </c>
      <c r="H214" s="8"/>
      <c r="I214" s="15">
        <v>0</v>
      </c>
      <c r="J214" s="15">
        <v>0</v>
      </c>
      <c r="K214" s="12" t="str">
        <f>HYPERLINK("https://mobile.twitter.com","Twitter Web App")</f>
        <v>Twitter Web App</v>
      </c>
      <c r="L214" s="16">
        <v>1</v>
      </c>
      <c r="M214" s="16">
        <v>1</v>
      </c>
      <c r="N214" s="16">
        <v>0</v>
      </c>
      <c r="O214" s="17"/>
      <c r="P214" s="18">
        <v>43724.12872685185</v>
      </c>
      <c r="Q214" s="7" t="s">
        <v>1271</v>
      </c>
      <c r="R214" s="13" t="s">
        <v>925</v>
      </c>
      <c r="S214" s="8"/>
      <c r="T214" s="8"/>
      <c r="U214" s="19" t="str">
        <f>HYPERLINK("https://pbs.twimg.com/profile_images/1180411283750805504/k33J5Ov8.jpg","View")</f>
        <v>View</v>
      </c>
      <c r="V214" s="8"/>
      <c r="W214" s="8"/>
      <c r="X214" s="8"/>
      <c r="Y214" s="8"/>
      <c r="Z214" s="8"/>
    </row>
    <row r="215" spans="1:26" ht="12.75">
      <c r="A215" s="11">
        <v>43747.158877314811</v>
      </c>
      <c r="B215" s="12" t="str">
        <f>HYPERLINK("https://twitter.com/HamdiUzza","@HamdiUzza")</f>
        <v>@HamdiUzza</v>
      </c>
      <c r="C215" s="13" t="s">
        <v>1274</v>
      </c>
      <c r="D215" s="13" t="s">
        <v>907</v>
      </c>
      <c r="E215" s="12" t="str">
        <f>HYPERLINK("https://twitter.com/HamdiUzza/status/1181884206130982912","1181884206130982912")</f>
        <v>1181884206130982912</v>
      </c>
      <c r="F215" s="8"/>
      <c r="G215" s="14" t="s">
        <v>1275</v>
      </c>
      <c r="H215" s="8"/>
      <c r="I215" s="15">
        <v>0</v>
      </c>
      <c r="J215" s="15">
        <v>0</v>
      </c>
      <c r="K215" s="12" t="str">
        <f>HYPERLINK("https://mobile.twitter.com","Twitter Web App")</f>
        <v>Twitter Web App</v>
      </c>
      <c r="L215" s="16">
        <v>0</v>
      </c>
      <c r="M215" s="16">
        <v>1</v>
      </c>
      <c r="N215" s="16">
        <v>0</v>
      </c>
      <c r="O215" s="17"/>
      <c r="P215" s="18">
        <v>43725.973368055551</v>
      </c>
      <c r="Q215" s="7" t="s">
        <v>1276</v>
      </c>
      <c r="R215" s="13" t="s">
        <v>1277</v>
      </c>
      <c r="S215" s="8"/>
      <c r="T215" s="8"/>
      <c r="U215" s="19" t="str">
        <f>HYPERLINK("https://pbs.twimg.com/profile_images/1180417695927291904/ab7DV5lT.jpg","View")</f>
        <v>View</v>
      </c>
      <c r="V215" s="8"/>
      <c r="W215" s="8"/>
      <c r="X215" s="8"/>
      <c r="Y215" s="8"/>
      <c r="Z215" s="8"/>
    </row>
    <row r="216" spans="1:26" ht="12.75">
      <c r="A216" s="11">
        <v>43747.158715277779</v>
      </c>
      <c r="B216" s="12" t="str">
        <f>HYPERLINK("https://twitter.com/RidaelMuhammed1","@RidaelMuhammed1")</f>
        <v>@RidaelMuhammed1</v>
      </c>
      <c r="C216" s="13" t="s">
        <v>1278</v>
      </c>
      <c r="D216" s="7" t="s">
        <v>907</v>
      </c>
      <c r="E216" s="12" t="str">
        <f>HYPERLINK("https://twitter.com/RidaelMuhammed1/status/1181884145921748992","1181884145921748992")</f>
        <v>1181884145921748992</v>
      </c>
      <c r="F216" s="8"/>
      <c r="G216" s="14" t="s">
        <v>1279</v>
      </c>
      <c r="H216" s="8"/>
      <c r="I216" s="15">
        <v>0</v>
      </c>
      <c r="J216" s="15">
        <v>0</v>
      </c>
      <c r="K216" s="12" t="str">
        <f>HYPERLINK("https://mobile.twitter.com","Twitter Web App")</f>
        <v>Twitter Web App</v>
      </c>
      <c r="L216" s="16">
        <v>0</v>
      </c>
      <c r="M216" s="16">
        <v>0</v>
      </c>
      <c r="N216" s="16">
        <v>0</v>
      </c>
      <c r="O216" s="17"/>
      <c r="P216" s="18">
        <v>43737.129780092597</v>
      </c>
      <c r="Q216" s="7" t="s">
        <v>1280</v>
      </c>
      <c r="R216" s="13" t="s">
        <v>1281</v>
      </c>
      <c r="S216" s="8"/>
      <c r="T216" s="8"/>
      <c r="U216" s="19" t="str">
        <f>HYPERLINK("https://pbs.twimg.com/profile_images/1181504481994760192/yKvtyQg5.jpg","View")</f>
        <v>View</v>
      </c>
      <c r="V216" s="8"/>
      <c r="W216" s="8"/>
      <c r="X216" s="8"/>
      <c r="Y216" s="8"/>
      <c r="Z216" s="8"/>
    </row>
    <row r="217" spans="1:26" ht="12.75">
      <c r="A217" s="11">
        <v>43747.158136574071</v>
      </c>
      <c r="B217" s="12" t="str">
        <f>HYPERLINK("https://twitter.com/elbaz_al","@elbaz_al")</f>
        <v>@elbaz_al</v>
      </c>
      <c r="C217" s="13" t="s">
        <v>1282</v>
      </c>
      <c r="D217" s="13" t="s">
        <v>968</v>
      </c>
      <c r="E217" s="12" t="str">
        <f>HYPERLINK("https://twitter.com/elbaz_al/status/1181883937628409857","1181883937628409857")</f>
        <v>1181883937628409857</v>
      </c>
      <c r="F217" s="8"/>
      <c r="G217" s="14" t="s">
        <v>1283</v>
      </c>
      <c r="H217" s="8"/>
      <c r="I217" s="15">
        <v>0</v>
      </c>
      <c r="J217" s="15">
        <v>0</v>
      </c>
      <c r="K217" s="12" t="str">
        <f>HYPERLINK("https://mobile.twitter.com","Twitter Web App")</f>
        <v>Twitter Web App</v>
      </c>
      <c r="L217" s="16">
        <v>0</v>
      </c>
      <c r="M217" s="16">
        <v>0</v>
      </c>
      <c r="N217" s="16">
        <v>0</v>
      </c>
      <c r="O217" s="17"/>
      <c r="P217" s="18">
        <v>43740.004074074073</v>
      </c>
      <c r="Q217" s="7" t="s">
        <v>1284</v>
      </c>
      <c r="R217" s="13" t="s">
        <v>1285</v>
      </c>
      <c r="S217" s="8"/>
      <c r="T217" s="8"/>
      <c r="U217" s="19" t="str">
        <f>HYPERLINK("https://pbs.twimg.com/profile_images/1180806047520346112/wUAacBsG.jpg","View")</f>
        <v>View</v>
      </c>
      <c r="V217" s="8"/>
      <c r="W217" s="8"/>
      <c r="X217" s="8"/>
      <c r="Y217" s="8"/>
      <c r="Z217" s="8"/>
    </row>
    <row r="218" spans="1:26" ht="12.75">
      <c r="A218" s="11">
        <v>43747.158055555556</v>
      </c>
      <c r="B218" s="12" t="str">
        <f>HYPERLINK("https://twitter.com/AsgharRahaman","@AsgharRahaman")</f>
        <v>@AsgharRahaman</v>
      </c>
      <c r="C218" s="13" t="s">
        <v>1286</v>
      </c>
      <c r="D218" s="13" t="s">
        <v>1236</v>
      </c>
      <c r="E218" s="12" t="str">
        <f>HYPERLINK("https://twitter.com/AsgharRahaman/status/1181883907391623169","1181883907391623169")</f>
        <v>1181883907391623169</v>
      </c>
      <c r="F218" s="8"/>
      <c r="G218" s="14" t="s">
        <v>1287</v>
      </c>
      <c r="H218" s="8"/>
      <c r="I218" s="15">
        <v>0</v>
      </c>
      <c r="J218" s="15">
        <v>0</v>
      </c>
      <c r="K218" s="12" t="str">
        <f>HYPERLINK("https://mobile.twitter.com","Twitter Web App")</f>
        <v>Twitter Web App</v>
      </c>
      <c r="L218" s="16">
        <v>0</v>
      </c>
      <c r="M218" s="16">
        <v>0</v>
      </c>
      <c r="N218" s="16">
        <v>0</v>
      </c>
      <c r="O218" s="17"/>
      <c r="P218" s="18">
        <v>43737.918958333335</v>
      </c>
      <c r="Q218" s="7" t="s">
        <v>1288</v>
      </c>
      <c r="R218" s="13" t="s">
        <v>1075</v>
      </c>
      <c r="S218" s="8"/>
      <c r="T218" s="8"/>
      <c r="U218" s="19" t="str">
        <f>HYPERLINK("https://pbs.twimg.com/profile_images/1181503365315887104/cZlxYzYk.jpg","View")</f>
        <v>View</v>
      </c>
      <c r="V218" s="8"/>
      <c r="W218" s="8"/>
      <c r="X218" s="8"/>
      <c r="Y218" s="8"/>
      <c r="Z218" s="8"/>
    </row>
    <row r="219" spans="1:26" ht="12.75">
      <c r="A219" s="11">
        <v>43747.157314814816</v>
      </c>
      <c r="B219" s="12" t="str">
        <f>HYPERLINK("https://twitter.com/AliLahmari","@AliLahmari")</f>
        <v>@AliLahmari</v>
      </c>
      <c r="C219" s="13" t="s">
        <v>1291</v>
      </c>
      <c r="D219" s="13" t="s">
        <v>1293</v>
      </c>
      <c r="E219" s="12" t="str">
        <f>HYPERLINK("https://twitter.com/AliLahmari/status/1181883640889909250","1181883640889909250")</f>
        <v>1181883640889909250</v>
      </c>
      <c r="F219" s="8"/>
      <c r="G219" s="14" t="s">
        <v>1294</v>
      </c>
      <c r="H219" s="8"/>
      <c r="I219" s="15">
        <v>0</v>
      </c>
      <c r="J219" s="15">
        <v>0</v>
      </c>
      <c r="K219" s="12" t="str">
        <f>HYPERLINK("http://twitter.com","Twitter Web Client")</f>
        <v>Twitter Web Client</v>
      </c>
      <c r="L219" s="16">
        <v>1</v>
      </c>
      <c r="M219" s="16">
        <v>41</v>
      </c>
      <c r="N219" s="16">
        <v>0</v>
      </c>
      <c r="O219" s="17"/>
      <c r="P219" s="18">
        <v>42070.691296296296</v>
      </c>
      <c r="Q219" s="7"/>
      <c r="R219" s="13"/>
      <c r="S219" s="8"/>
      <c r="T219" s="8"/>
      <c r="U219" s="19" t="str">
        <f>HYPERLINK("https://pbs.twimg.com/profile_images/574369212853964801/yCaHmd9e.jpeg","View")</f>
        <v>View</v>
      </c>
      <c r="V219" s="8"/>
      <c r="W219" s="8"/>
      <c r="X219" s="8"/>
      <c r="Y219" s="8"/>
      <c r="Z219" s="8"/>
    </row>
    <row r="220" spans="1:26" ht="12.75">
      <c r="A220" s="11">
        <v>43747.157083333332</v>
      </c>
      <c r="B220" s="12" t="str">
        <f>HYPERLINK("https://twitter.com/AtikahQahtani","@AtikahQahtani")</f>
        <v>@AtikahQahtani</v>
      </c>
      <c r="C220" s="13" t="s">
        <v>1297</v>
      </c>
      <c r="D220" s="13" t="s">
        <v>1236</v>
      </c>
      <c r="E220" s="12" t="str">
        <f>HYPERLINK("https://twitter.com/AtikahQahtani/status/1181883553090420737","1181883553090420737")</f>
        <v>1181883553090420737</v>
      </c>
      <c r="F220" s="8"/>
      <c r="G220" s="14" t="s">
        <v>1300</v>
      </c>
      <c r="H220" s="8"/>
      <c r="I220" s="15">
        <v>0</v>
      </c>
      <c r="J220" s="15">
        <v>0</v>
      </c>
      <c r="K220" s="12" t="str">
        <f>HYPERLINK("https://mobile.twitter.com","Twitter Web App")</f>
        <v>Twitter Web App</v>
      </c>
      <c r="L220" s="16">
        <v>0</v>
      </c>
      <c r="M220" s="16">
        <v>0</v>
      </c>
      <c r="N220" s="16">
        <v>0</v>
      </c>
      <c r="O220" s="17"/>
      <c r="P220" s="18">
        <v>43730.078796296293</v>
      </c>
      <c r="Q220" s="13" t="s">
        <v>1249</v>
      </c>
      <c r="R220" s="13" t="s">
        <v>912</v>
      </c>
      <c r="S220" s="8"/>
      <c r="T220" s="8"/>
      <c r="U220" s="19" t="str">
        <f>HYPERLINK("https://pbs.twimg.com/profile_images/1179693475219922944/qk7HfclP.jpg","View")</f>
        <v>View</v>
      </c>
      <c r="V220" s="8"/>
      <c r="W220" s="8"/>
      <c r="X220" s="8"/>
      <c r="Y220" s="8"/>
      <c r="Z220" s="8"/>
    </row>
    <row r="221" spans="1:26" ht="12.75">
      <c r="A221" s="11">
        <v>43747.156701388885</v>
      </c>
      <c r="B221" s="12" t="str">
        <f>HYPERLINK("https://twitter.com/AldsoukiySalieh","@AldsoukiySalieh")</f>
        <v>@AldsoukiySalieh</v>
      </c>
      <c r="C221" s="13" t="s">
        <v>1303</v>
      </c>
      <c r="D221" s="13" t="s">
        <v>1304</v>
      </c>
      <c r="E221" s="12" t="str">
        <f>HYPERLINK("https://twitter.com/AldsoukiySalieh/status/1181883416620490752","1181883416620490752")</f>
        <v>1181883416620490752</v>
      </c>
      <c r="F221" s="8"/>
      <c r="G221" s="14" t="s">
        <v>1305</v>
      </c>
      <c r="H221" s="8"/>
      <c r="I221" s="15">
        <v>0</v>
      </c>
      <c r="J221" s="15">
        <v>0</v>
      </c>
      <c r="K221" s="12" t="str">
        <f>HYPERLINK("http://twitter.com","Twitter Web Client")</f>
        <v>Twitter Web Client</v>
      </c>
      <c r="L221" s="16">
        <v>3</v>
      </c>
      <c r="M221" s="16">
        <v>37</v>
      </c>
      <c r="N221" s="16">
        <v>0</v>
      </c>
      <c r="O221" s="17"/>
      <c r="P221" s="18">
        <v>42081.618784722217</v>
      </c>
      <c r="Q221" s="7"/>
      <c r="R221" s="13"/>
      <c r="S221" s="8"/>
      <c r="T221" s="8"/>
      <c r="U221" s="19" t="str">
        <f>HYPERLINK("https://pbs.twimg.com/profile_images/578331607972626432/JZxki1gP.jpeg","View")</f>
        <v>View</v>
      </c>
      <c r="V221" s="8"/>
      <c r="W221" s="8"/>
      <c r="X221" s="8"/>
      <c r="Y221" s="8"/>
      <c r="Z221" s="8"/>
    </row>
    <row r="222" spans="1:26" ht="12.75">
      <c r="A222" s="11">
        <v>43747.156296296293</v>
      </c>
      <c r="B222" s="12" t="str">
        <f>HYPERLINK("https://twitter.com/HuireabiNueva","@HuireabiNueva")</f>
        <v>@HuireabiNueva</v>
      </c>
      <c r="C222" s="13" t="s">
        <v>1308</v>
      </c>
      <c r="D222" s="13" t="s">
        <v>1309</v>
      </c>
      <c r="E222" s="12" t="str">
        <f>HYPERLINK("https://twitter.com/HuireabiNueva/status/1181883268330901504","1181883268330901504")</f>
        <v>1181883268330901504</v>
      </c>
      <c r="F222" s="8"/>
      <c r="G222" s="14" t="s">
        <v>1310</v>
      </c>
      <c r="H222" s="8"/>
      <c r="I222" s="15">
        <v>0</v>
      </c>
      <c r="J222" s="15">
        <v>0</v>
      </c>
      <c r="K222" s="12" t="str">
        <f>HYPERLINK("http://twitter.com","Twitter Web Client")</f>
        <v>Twitter Web Client</v>
      </c>
      <c r="L222" s="16">
        <v>0</v>
      </c>
      <c r="M222" s="16">
        <v>39</v>
      </c>
      <c r="N222" s="16">
        <v>0</v>
      </c>
      <c r="O222" s="17"/>
      <c r="P222" s="18">
        <v>42071.413437499999</v>
      </c>
      <c r="Q222" s="7"/>
      <c r="R222" s="13"/>
      <c r="S222" s="8"/>
      <c r="T222" s="8"/>
      <c r="U222" s="19" t="str">
        <f>HYPERLINK("https://pbs.twimg.com/profile_images/574615100008460289/g8sAYW98.jpeg","View")</f>
        <v>View</v>
      </c>
      <c r="V222" s="8"/>
      <c r="W222" s="8"/>
      <c r="X222" s="8"/>
      <c r="Y222" s="8"/>
      <c r="Z222" s="8"/>
    </row>
    <row r="223" spans="1:26" ht="12.75">
      <c r="A223" s="11">
        <v>43747.154826388884</v>
      </c>
      <c r="B223" s="12" t="str">
        <f>HYPERLINK("https://twitter.com/alfakyah75342","@alfakyah75342")</f>
        <v>@alfakyah75342</v>
      </c>
      <c r="C223" s="13" t="s">
        <v>1315</v>
      </c>
      <c r="D223" s="13" t="s">
        <v>1316</v>
      </c>
      <c r="E223" s="12" t="str">
        <f>HYPERLINK("https://twitter.com/alfakyah75342/status/1181882737600290816","1181882737600290816")</f>
        <v>1181882737600290816</v>
      </c>
      <c r="F223" s="8"/>
      <c r="G223" s="14" t="s">
        <v>1317</v>
      </c>
      <c r="H223" s="8"/>
      <c r="I223" s="15">
        <v>0</v>
      </c>
      <c r="J223" s="15">
        <v>0</v>
      </c>
      <c r="K223" s="12" t="str">
        <f>HYPERLINK("http://twitter.com","Twitter Web Client")</f>
        <v>Twitter Web Client</v>
      </c>
      <c r="L223" s="16">
        <v>3</v>
      </c>
      <c r="M223" s="16">
        <v>37</v>
      </c>
      <c r="N223" s="16">
        <v>0</v>
      </c>
      <c r="O223" s="17"/>
      <c r="P223" s="18">
        <v>42069.452824074076</v>
      </c>
      <c r="Q223" s="7"/>
      <c r="R223" s="13"/>
      <c r="S223" s="8"/>
      <c r="T223" s="8"/>
      <c r="U223" s="19" t="str">
        <f>HYPERLINK("https://pbs.twimg.com/profile_images/573919351213948929/Ar-oQxwg.jpeg","View")</f>
        <v>View</v>
      </c>
      <c r="V223" s="8"/>
      <c r="W223" s="8"/>
      <c r="X223" s="8"/>
      <c r="Y223" s="8"/>
      <c r="Z223" s="8"/>
    </row>
    <row r="224" spans="1:26" ht="12.75">
      <c r="A224" s="11">
        <v>43747.153935185182</v>
      </c>
      <c r="B224" s="12" t="str">
        <f>HYPERLINK("https://twitter.com/amri_hadid","@amri_hadid")</f>
        <v>@amri_hadid</v>
      </c>
      <c r="C224" s="13" t="s">
        <v>1323</v>
      </c>
      <c r="D224" s="7" t="s">
        <v>1236</v>
      </c>
      <c r="E224" s="12" t="str">
        <f>HYPERLINK("https://twitter.com/amri_hadid/status/1181882415632896000","1181882415632896000")</f>
        <v>1181882415632896000</v>
      </c>
      <c r="F224" s="8"/>
      <c r="G224" s="14" t="s">
        <v>1324</v>
      </c>
      <c r="H224" s="8"/>
      <c r="I224" s="15">
        <v>0</v>
      </c>
      <c r="J224" s="15">
        <v>0</v>
      </c>
      <c r="K224" s="12" t="str">
        <f>HYPERLINK("https://mobile.twitter.com","Twitter Web App")</f>
        <v>Twitter Web App</v>
      </c>
      <c r="L224" s="16">
        <v>0</v>
      </c>
      <c r="M224" s="16">
        <v>2</v>
      </c>
      <c r="N224" s="16">
        <v>0</v>
      </c>
      <c r="O224" s="17"/>
      <c r="P224" s="18">
        <v>43728.939675925925</v>
      </c>
      <c r="Q224" s="7" t="s">
        <v>1328</v>
      </c>
      <c r="R224" s="13" t="s">
        <v>1281</v>
      </c>
      <c r="S224" s="8"/>
      <c r="T224" s="8"/>
      <c r="U224" s="19" t="str">
        <f>HYPERLINK("https://pbs.twimg.com/profile_images/1180412351280906241/ndju01BF.jpg","View")</f>
        <v>View</v>
      </c>
      <c r="V224" s="8"/>
      <c r="W224" s="8"/>
      <c r="X224" s="8"/>
      <c r="Y224" s="8"/>
      <c r="Z224" s="8"/>
    </row>
    <row r="225" spans="1:26" ht="12.75">
      <c r="A225" s="11">
        <v>43747.15351851852</v>
      </c>
      <c r="B225" s="12" t="str">
        <f>HYPERLINK("https://twitter.com/saad_daran","@saad_daran")</f>
        <v>@saad_daran</v>
      </c>
      <c r="C225" s="13" t="s">
        <v>1329</v>
      </c>
      <c r="D225" s="13" t="s">
        <v>968</v>
      </c>
      <c r="E225" s="12" t="str">
        <f>HYPERLINK("https://twitter.com/saad_daran/status/1181882263950114816","1181882263950114816")</f>
        <v>1181882263950114816</v>
      </c>
      <c r="F225" s="8"/>
      <c r="G225" s="14" t="s">
        <v>1330</v>
      </c>
      <c r="H225" s="8"/>
      <c r="I225" s="15">
        <v>0</v>
      </c>
      <c r="J225" s="15">
        <v>0</v>
      </c>
      <c r="K225" s="12" t="str">
        <f>HYPERLINK("https://mobile.twitter.com","Twitter Web App")</f>
        <v>Twitter Web App</v>
      </c>
      <c r="L225" s="16">
        <v>0</v>
      </c>
      <c r="M225" s="16">
        <v>1</v>
      </c>
      <c r="N225" s="16">
        <v>0</v>
      </c>
      <c r="O225" s="17"/>
      <c r="P225" s="18">
        <v>43726.92696759259</v>
      </c>
      <c r="Q225" s="7" t="s">
        <v>1284</v>
      </c>
      <c r="R225" s="13" t="s">
        <v>1333</v>
      </c>
      <c r="S225" s="8"/>
      <c r="T225" s="8"/>
      <c r="U225" s="19" t="str">
        <f>HYPERLINK("https://pbs.twimg.com/profile_images/1180411627180412928/XyZ5j35d.jpg","View")</f>
        <v>View</v>
      </c>
      <c r="V225" s="8"/>
      <c r="W225" s="8"/>
      <c r="X225" s="8"/>
      <c r="Y225" s="8"/>
      <c r="Z225" s="8"/>
    </row>
    <row r="226" spans="1:26" ht="12.75">
      <c r="A226" s="11">
        <v>43747.152743055558</v>
      </c>
      <c r="B226" s="12" t="str">
        <f>HYPERLINK("https://twitter.com/hamidal19590789","@hamidal19590789")</f>
        <v>@hamidal19590789</v>
      </c>
      <c r="C226" s="13" t="s">
        <v>1334</v>
      </c>
      <c r="D226" s="7" t="s">
        <v>1335</v>
      </c>
      <c r="E226" s="12" t="str">
        <f>HYPERLINK("https://twitter.com/hamidal19590789/status/1181881983422668800","1181881983422668800")</f>
        <v>1181881983422668800</v>
      </c>
      <c r="F226" s="8"/>
      <c r="G226" s="14" t="s">
        <v>1336</v>
      </c>
      <c r="H226" s="8"/>
      <c r="I226" s="15">
        <v>0</v>
      </c>
      <c r="J226" s="15">
        <v>0</v>
      </c>
      <c r="K226" s="12" t="str">
        <f>HYPERLINK("http://twitter.com","Twitter Web Client")</f>
        <v>Twitter Web Client</v>
      </c>
      <c r="L226" s="16">
        <v>1</v>
      </c>
      <c r="M226" s="16">
        <v>21</v>
      </c>
      <c r="N226" s="16">
        <v>0</v>
      </c>
      <c r="O226" s="17"/>
      <c r="P226" s="18">
        <v>41824.258761574078</v>
      </c>
      <c r="Q226" s="7"/>
      <c r="R226" s="13"/>
      <c r="S226" s="8"/>
      <c r="T226" s="8"/>
      <c r="U226" s="19" t="str">
        <f>HYPERLINK("https://pbs.twimg.com/profile_images/485048701283340288/PGEUM8QX.jpeg","View")</f>
        <v>View</v>
      </c>
      <c r="V226" s="8"/>
      <c r="W226" s="8"/>
      <c r="X226" s="8"/>
      <c r="Y226" s="8"/>
      <c r="Z226" s="8"/>
    </row>
    <row r="227" spans="1:26" ht="12.75">
      <c r="A227" s="11">
        <v>43747.152060185181</v>
      </c>
      <c r="B227" s="12" t="str">
        <f>HYPERLINK("https://twitter.com/turkialhussein2","@turkialhussein2")</f>
        <v>@turkialhussein2</v>
      </c>
      <c r="C227" s="13" t="s">
        <v>1340</v>
      </c>
      <c r="D227" s="13" t="s">
        <v>1341</v>
      </c>
      <c r="E227" s="12" t="str">
        <f>HYPERLINK("https://twitter.com/turkialhussein2/status/1181881734264164353","1181881734264164353")</f>
        <v>1181881734264164353</v>
      </c>
      <c r="F227" s="8"/>
      <c r="G227" s="14" t="s">
        <v>1342</v>
      </c>
      <c r="H227" s="8"/>
      <c r="I227" s="15">
        <v>0</v>
      </c>
      <c r="J227" s="15">
        <v>0</v>
      </c>
      <c r="K227" s="12" t="str">
        <f>HYPERLINK("http://twitter.com","Twitter Web Client")</f>
        <v>Twitter Web Client</v>
      </c>
      <c r="L227" s="16">
        <v>5</v>
      </c>
      <c r="M227" s="16">
        <v>28</v>
      </c>
      <c r="N227" s="16">
        <v>0</v>
      </c>
      <c r="O227" s="17"/>
      <c r="P227" s="18">
        <v>42080.139664351853</v>
      </c>
      <c r="Q227" s="7"/>
      <c r="R227" s="13"/>
      <c r="S227" s="8"/>
      <c r="T227" s="8"/>
      <c r="U227" s="19" t="str">
        <f>HYPERLINK("https://pbs.twimg.com/profile_images/577777157063065600/bIo2o1we.jpeg","View")</f>
        <v>View</v>
      </c>
      <c r="V227" s="8"/>
      <c r="W227" s="8"/>
      <c r="X227" s="8"/>
      <c r="Y227" s="8"/>
      <c r="Z227" s="8"/>
    </row>
    <row r="228" spans="1:26" ht="12.75">
      <c r="A228" s="11">
        <v>43747.151504629626</v>
      </c>
      <c r="B228" s="12" t="str">
        <f>HYPERLINK("https://twitter.com/ShaddadSa","@ShaddadSa")</f>
        <v>@ShaddadSa</v>
      </c>
      <c r="C228" s="13" t="s">
        <v>1347</v>
      </c>
      <c r="D228" s="13" t="s">
        <v>944</v>
      </c>
      <c r="E228" s="12" t="str">
        <f>HYPERLINK("https://twitter.com/ShaddadSa/status/1181881533067431936","1181881533067431936")</f>
        <v>1181881533067431936</v>
      </c>
      <c r="F228" s="8"/>
      <c r="G228" s="14" t="s">
        <v>1349</v>
      </c>
      <c r="H228" s="8"/>
      <c r="I228" s="15">
        <v>0</v>
      </c>
      <c r="J228" s="15">
        <v>0</v>
      </c>
      <c r="K228" s="12" t="str">
        <f>HYPERLINK("https://mobile.twitter.com","Twitter Web App")</f>
        <v>Twitter Web App</v>
      </c>
      <c r="L228" s="16">
        <v>0</v>
      </c>
      <c r="M228" s="16">
        <v>1</v>
      </c>
      <c r="N228" s="16">
        <v>0</v>
      </c>
      <c r="O228" s="17"/>
      <c r="P228" s="18">
        <v>43724.932291666672</v>
      </c>
      <c r="Q228" s="7" t="s">
        <v>1228</v>
      </c>
      <c r="R228" s="13" t="s">
        <v>1281</v>
      </c>
      <c r="S228" s="8"/>
      <c r="T228" s="8"/>
      <c r="U228" s="19" t="str">
        <f>HYPERLINK("https://pbs.twimg.com/profile_images/1180415745160691713/Hcf28xV-.jpg","View")</f>
        <v>View</v>
      </c>
      <c r="V228" s="8"/>
      <c r="W228" s="8"/>
      <c r="X228" s="8"/>
      <c r="Y228" s="8"/>
      <c r="Z228" s="8"/>
    </row>
    <row r="229" spans="1:26" ht="12.75">
      <c r="A229" s="11">
        <v>43747.151365740741</v>
      </c>
      <c r="B229" s="12" t="str">
        <f>HYPERLINK("https://twitter.com/GhulamJoud","@GhulamJoud")</f>
        <v>@GhulamJoud</v>
      </c>
      <c r="C229" s="13" t="s">
        <v>1351</v>
      </c>
      <c r="D229" s="13" t="s">
        <v>28</v>
      </c>
      <c r="E229" s="12" t="str">
        <f>HYPERLINK("https://twitter.com/GhulamJoud/status/1181881481641086977","1181881481641086977")</f>
        <v>1181881481641086977</v>
      </c>
      <c r="F229" s="8"/>
      <c r="G229" s="14" t="s">
        <v>31</v>
      </c>
      <c r="H229" s="8"/>
      <c r="I229" s="15">
        <v>0</v>
      </c>
      <c r="J229" s="15">
        <v>0</v>
      </c>
      <c r="K229" s="12" t="str">
        <f>HYPERLINK("https://mobile.twitter.com","Twitter Web App")</f>
        <v>Twitter Web App</v>
      </c>
      <c r="L229" s="16">
        <v>0</v>
      </c>
      <c r="M229" s="16">
        <v>2</v>
      </c>
      <c r="N229" s="16">
        <v>0</v>
      </c>
      <c r="O229" s="17"/>
      <c r="P229" s="18">
        <v>43724.963136574079</v>
      </c>
      <c r="Q229" s="7" t="s">
        <v>1355</v>
      </c>
      <c r="R229" s="13" t="s">
        <v>925</v>
      </c>
      <c r="S229" s="8"/>
      <c r="T229" s="8"/>
      <c r="U229" s="19" t="str">
        <f>HYPERLINK("https://pbs.twimg.com/profile_images/1173842652489379840/i7repbOM.jpg","View")</f>
        <v>View</v>
      </c>
      <c r="V229" s="8"/>
      <c r="W229" s="8"/>
      <c r="X229" s="8"/>
      <c r="Y229" s="8"/>
      <c r="Z229" s="8"/>
    </row>
    <row r="230" spans="1:26" ht="12.75">
      <c r="A230" s="11">
        <v>43747.151354166665</v>
      </c>
      <c r="B230" s="12" t="str">
        <f>HYPERLINK("https://twitter.com/hosaeen33","@hosaeen33")</f>
        <v>@hosaeen33</v>
      </c>
      <c r="C230" s="13" t="s">
        <v>1357</v>
      </c>
      <c r="D230" s="13" t="s">
        <v>1358</v>
      </c>
      <c r="E230" s="12" t="str">
        <f>HYPERLINK("https://twitter.com/hosaeen33/status/1181881480605253632","1181881480605253632")</f>
        <v>1181881480605253632</v>
      </c>
      <c r="F230" s="8"/>
      <c r="G230" s="14" t="s">
        <v>1359</v>
      </c>
      <c r="H230" s="8"/>
      <c r="I230" s="15">
        <v>0</v>
      </c>
      <c r="J230" s="15">
        <v>0</v>
      </c>
      <c r="K230" s="12" t="str">
        <f>HYPERLINK("http://twitter.com","Twitter Web Client")</f>
        <v>Twitter Web Client</v>
      </c>
      <c r="L230" s="16">
        <v>6</v>
      </c>
      <c r="M230" s="16">
        <v>43</v>
      </c>
      <c r="N230" s="16">
        <v>0</v>
      </c>
      <c r="O230" s="17"/>
      <c r="P230" s="18">
        <v>42075.245462962965</v>
      </c>
      <c r="Q230" s="7"/>
      <c r="R230" s="13"/>
      <c r="S230" s="8"/>
      <c r="T230" s="8"/>
      <c r="U230" s="19" t="str">
        <f>HYPERLINK("https://pbs.twimg.com/profile_images/576003223707783168/E4KhmTw8.jpeg","View")</f>
        <v>View</v>
      </c>
      <c r="V230" s="8"/>
      <c r="W230" s="8"/>
      <c r="X230" s="8"/>
      <c r="Y230" s="8"/>
      <c r="Z230" s="8"/>
    </row>
    <row r="231" spans="1:26" ht="12.75">
      <c r="A231" s="11">
        <v>43747.150659722218</v>
      </c>
      <c r="B231" s="12" t="str">
        <f>HYPERLINK("https://twitter.com/AmriGhulam","@AmriGhulam")</f>
        <v>@AmriGhulam</v>
      </c>
      <c r="C231" s="13" t="s">
        <v>1362</v>
      </c>
      <c r="D231" s="13" t="s">
        <v>968</v>
      </c>
      <c r="E231" s="12" t="str">
        <f>HYPERLINK("https://twitter.com/AmriGhulam/status/1181881226661003264","1181881226661003264")</f>
        <v>1181881226661003264</v>
      </c>
      <c r="F231" s="8"/>
      <c r="G231" s="14" t="s">
        <v>1363</v>
      </c>
      <c r="H231" s="8"/>
      <c r="I231" s="15">
        <v>0</v>
      </c>
      <c r="J231" s="15">
        <v>0</v>
      </c>
      <c r="K231" s="12" t="str">
        <f>HYPERLINK("https://mobile.twitter.com","Twitter Web App")</f>
        <v>Twitter Web App</v>
      </c>
      <c r="L231" s="16">
        <v>0</v>
      </c>
      <c r="M231" s="16">
        <v>1</v>
      </c>
      <c r="N231" s="16">
        <v>0</v>
      </c>
      <c r="O231" s="17"/>
      <c r="P231" s="18">
        <v>43728.936828703707</v>
      </c>
      <c r="Q231" s="7" t="s">
        <v>1367</v>
      </c>
      <c r="R231" s="13" t="s">
        <v>1075</v>
      </c>
      <c r="S231" s="8"/>
      <c r="T231" s="8"/>
      <c r="U231" s="19" t="str">
        <f>HYPERLINK("https://pbs.twimg.com/profile_images/1176439740347740166/UiVAUodt.jpg","View")</f>
        <v>View</v>
      </c>
      <c r="V231" s="8"/>
      <c r="W231" s="8"/>
      <c r="X231" s="8"/>
      <c r="Y231" s="8"/>
      <c r="Z231" s="8"/>
    </row>
    <row r="232" spans="1:26" ht="12.75">
      <c r="A232" s="11">
        <v>43747.150520833333</v>
      </c>
      <c r="B232" s="12" t="str">
        <f>HYPERLINK("https://twitter.com/noor_aasim","@noor_aasim")</f>
        <v>@noor_aasim</v>
      </c>
      <c r="C232" s="13" t="s">
        <v>1368</v>
      </c>
      <c r="D232" s="7" t="s">
        <v>907</v>
      </c>
      <c r="E232" s="12" t="str">
        <f>HYPERLINK("https://twitter.com/noor_aasim/status/1181881174760681473","1181881174760681473")</f>
        <v>1181881174760681473</v>
      </c>
      <c r="F232" s="8"/>
      <c r="G232" s="14" t="s">
        <v>1369</v>
      </c>
      <c r="H232" s="8"/>
      <c r="I232" s="15">
        <v>0</v>
      </c>
      <c r="J232" s="15">
        <v>0</v>
      </c>
      <c r="K232" s="12" t="str">
        <f>HYPERLINK("https://mobile.twitter.com","Twitter Web App")</f>
        <v>Twitter Web App</v>
      </c>
      <c r="L232" s="16">
        <v>0</v>
      </c>
      <c r="M232" s="16">
        <v>2</v>
      </c>
      <c r="N232" s="16">
        <v>0</v>
      </c>
      <c r="O232" s="17"/>
      <c r="P232" s="18">
        <v>43740.947349537033</v>
      </c>
      <c r="Q232" s="7" t="s">
        <v>1271</v>
      </c>
      <c r="R232" s="13" t="s">
        <v>1110</v>
      </c>
      <c r="S232" s="8"/>
      <c r="T232" s="8"/>
      <c r="U232" s="19" t="str">
        <f>HYPERLINK("https://pbs.twimg.com/profile_images/1181504481965432832/Vw5mKv3O.jpg","View")</f>
        <v>View</v>
      </c>
      <c r="V232" s="8"/>
      <c r="W232" s="8"/>
      <c r="X232" s="8"/>
      <c r="Y232" s="8"/>
      <c r="Z232" s="8"/>
    </row>
    <row r="233" spans="1:26" ht="12.75">
      <c r="A233" s="11">
        <v>43747.150335648148</v>
      </c>
      <c r="B233" s="12" t="str">
        <f>HYPERLINK("https://twitter.com/GhassanAlQahta1","@GhassanAlQahta1")</f>
        <v>@GhassanAlQahta1</v>
      </c>
      <c r="C233" s="13" t="s">
        <v>1375</v>
      </c>
      <c r="D233" s="13" t="s">
        <v>944</v>
      </c>
      <c r="E233" s="12" t="str">
        <f>HYPERLINK("https://twitter.com/GhassanAlQahta1/status/1181881111565103105","1181881111565103105")</f>
        <v>1181881111565103105</v>
      </c>
      <c r="F233" s="8"/>
      <c r="G233" s="14" t="s">
        <v>1376</v>
      </c>
      <c r="H233" s="8"/>
      <c r="I233" s="15">
        <v>0</v>
      </c>
      <c r="J233" s="15">
        <v>0</v>
      </c>
      <c r="K233" s="12" t="str">
        <f>HYPERLINK("https://mobile.twitter.com","Twitter Web App")</f>
        <v>Twitter Web App</v>
      </c>
      <c r="L233" s="16">
        <v>0</v>
      </c>
      <c r="M233" s="16">
        <v>2</v>
      </c>
      <c r="N233" s="16">
        <v>0</v>
      </c>
      <c r="O233" s="17"/>
      <c r="P233" s="18">
        <v>43723.975474537037</v>
      </c>
      <c r="Q233" s="7" t="s">
        <v>1379</v>
      </c>
      <c r="R233" s="13" t="s">
        <v>912</v>
      </c>
      <c r="S233" s="8"/>
      <c r="T233" s="8"/>
      <c r="U233" s="19" t="str">
        <f>HYPERLINK("https://pbs.twimg.com/profile_images/1173482944251351040/tbfg-gVd.jpg","View")</f>
        <v>View</v>
      </c>
      <c r="V233" s="8"/>
      <c r="W233" s="8"/>
      <c r="X233" s="8"/>
      <c r="Y233" s="8"/>
      <c r="Z233" s="8"/>
    </row>
    <row r="234" spans="1:26" ht="12.75">
      <c r="A234" s="11">
        <v>43747.150254629625</v>
      </c>
      <c r="B234" s="12" t="str">
        <f>HYPERLINK("https://twitter.com/mahmoud71201796","@mahmoud71201796")</f>
        <v>@mahmoud71201796</v>
      </c>
      <c r="C234" s="13" t="s">
        <v>1380</v>
      </c>
      <c r="D234" s="7" t="s">
        <v>1381</v>
      </c>
      <c r="E234" s="12" t="str">
        <f>HYPERLINK("https://twitter.com/mahmoud71201796/status/1181881080045064192","1181881080045064192")</f>
        <v>1181881080045064192</v>
      </c>
      <c r="F234" s="8"/>
      <c r="G234" s="14" t="s">
        <v>1382</v>
      </c>
      <c r="H234" s="8"/>
      <c r="I234" s="15">
        <v>0</v>
      </c>
      <c r="J234" s="15">
        <v>0</v>
      </c>
      <c r="K234" s="12" t="str">
        <f>HYPERLINK("http://twitter.com","Twitter Web Client")</f>
        <v>Twitter Web Client</v>
      </c>
      <c r="L234" s="16">
        <v>0</v>
      </c>
      <c r="M234" s="16">
        <v>42</v>
      </c>
      <c r="N234" s="16">
        <v>0</v>
      </c>
      <c r="O234" s="17"/>
      <c r="P234" s="18">
        <v>42071.439675925925</v>
      </c>
      <c r="Q234" s="7"/>
      <c r="R234" s="13"/>
      <c r="S234" s="8"/>
      <c r="T234" s="8"/>
      <c r="U234" s="19" t="str">
        <f>HYPERLINK("https://pbs.twimg.com/profile_images/574624317494816768/tJd43-7r.jpeg","View")</f>
        <v>View</v>
      </c>
      <c r="V234" s="8"/>
      <c r="W234" s="8"/>
      <c r="X234" s="8"/>
      <c r="Y234" s="8"/>
      <c r="Z234" s="8"/>
    </row>
    <row r="235" spans="1:26" ht="12.75">
      <c r="A235" s="11">
        <v>43747.15011574074</v>
      </c>
      <c r="B235" s="12" t="str">
        <f>HYPERLINK("https://twitter.com/salehalisaleha5","@salehalisaleha5")</f>
        <v>@salehalisaleha5</v>
      </c>
      <c r="C235" s="13" t="s">
        <v>1383</v>
      </c>
      <c r="D235" s="13" t="s">
        <v>1384</v>
      </c>
      <c r="E235" s="12" t="str">
        <f>HYPERLINK("https://twitter.com/salehalisaleha5/status/1181881030657150977","1181881030657150977")</f>
        <v>1181881030657150977</v>
      </c>
      <c r="F235" s="8"/>
      <c r="G235" s="14" t="s">
        <v>1385</v>
      </c>
      <c r="H235" s="8"/>
      <c r="I235" s="15">
        <v>0</v>
      </c>
      <c r="J235" s="15">
        <v>0</v>
      </c>
      <c r="K235" s="12" t="str">
        <f>HYPERLINK("http://twitter.com","Twitter Web Client")</f>
        <v>Twitter Web Client</v>
      </c>
      <c r="L235" s="16">
        <v>6</v>
      </c>
      <c r="M235" s="16">
        <v>37</v>
      </c>
      <c r="N235" s="16">
        <v>0</v>
      </c>
      <c r="O235" s="17"/>
      <c r="P235" s="18">
        <v>42067.431296296301</v>
      </c>
      <c r="Q235" s="7"/>
      <c r="R235" s="13"/>
      <c r="S235" s="8"/>
      <c r="T235" s="8"/>
      <c r="U235" s="19" t="str">
        <f>HYPERLINK("https://pbs.twimg.com/profile_images/573186637250732032/4XzjQM03.jpeg","View")</f>
        <v>View</v>
      </c>
      <c r="V235" s="8"/>
      <c r="W235" s="8"/>
      <c r="X235" s="8"/>
      <c r="Y235" s="8"/>
      <c r="Z235" s="8"/>
    </row>
    <row r="236" spans="1:26" ht="12.75">
      <c r="A236" s="11">
        <v>43747.149930555555</v>
      </c>
      <c r="B236" s="12" t="str">
        <f>HYPERLINK("https://twitter.com/GhanemAsmari","@GhanemAsmari")</f>
        <v>@GhanemAsmari</v>
      </c>
      <c r="C236" s="13" t="s">
        <v>1386</v>
      </c>
      <c r="D236" s="7" t="s">
        <v>944</v>
      </c>
      <c r="E236" s="12" t="str">
        <f>HYPERLINK("https://twitter.com/GhanemAsmari/status/1181880964890234880","1181880964890234880")</f>
        <v>1181880964890234880</v>
      </c>
      <c r="F236" s="8"/>
      <c r="G236" s="14" t="s">
        <v>1387</v>
      </c>
      <c r="H236" s="8"/>
      <c r="I236" s="15">
        <v>0</v>
      </c>
      <c r="J236" s="15">
        <v>0</v>
      </c>
      <c r="K236" s="12" t="str">
        <f>HYPERLINK("https://mobile.twitter.com","Twitter Web App")</f>
        <v>Twitter Web App</v>
      </c>
      <c r="L236" s="16">
        <v>0</v>
      </c>
      <c r="M236" s="16">
        <v>1</v>
      </c>
      <c r="N236" s="16">
        <v>0</v>
      </c>
      <c r="O236" s="17"/>
      <c r="P236" s="18">
        <v>43728.923935185187</v>
      </c>
      <c r="Q236" s="7" t="s">
        <v>1328</v>
      </c>
      <c r="R236" s="13" t="s">
        <v>955</v>
      </c>
      <c r="S236" s="8"/>
      <c r="T236" s="8"/>
      <c r="U236" s="19" t="str">
        <f>HYPERLINK("https://pbs.twimg.com/profile_images/1175277701302607874/GYqpjybK.jpg","View")</f>
        <v>View</v>
      </c>
      <c r="V236" s="8"/>
      <c r="W236" s="8"/>
      <c r="X236" s="8"/>
      <c r="Y236" s="8"/>
      <c r="Z236" s="8"/>
    </row>
    <row r="237" spans="1:26" ht="12.75">
      <c r="A237" s="11">
        <v>43747.148969907408</v>
      </c>
      <c r="B237" s="12" t="str">
        <f>HYPERLINK("https://twitter.com/bin_fazl","@bin_fazl")</f>
        <v>@bin_fazl</v>
      </c>
      <c r="C237" s="13" t="s">
        <v>1391</v>
      </c>
      <c r="D237" s="7" t="s">
        <v>937</v>
      </c>
      <c r="E237" s="12" t="str">
        <f>HYPERLINK("https://twitter.com/bin_fazl/status/1181880612862324737","1181880612862324737")</f>
        <v>1181880612862324737</v>
      </c>
      <c r="F237" s="8"/>
      <c r="G237" s="14" t="s">
        <v>1394</v>
      </c>
      <c r="H237" s="8"/>
      <c r="I237" s="15">
        <v>0</v>
      </c>
      <c r="J237" s="15">
        <v>0</v>
      </c>
      <c r="K237" s="12" t="str">
        <f>HYPERLINK("https://mobile.twitter.com","Twitter Web App")</f>
        <v>Twitter Web App</v>
      </c>
      <c r="L237" s="16">
        <v>1</v>
      </c>
      <c r="M237" s="16">
        <v>0</v>
      </c>
      <c r="N237" s="16">
        <v>0</v>
      </c>
      <c r="O237" s="17"/>
      <c r="P237" s="18">
        <v>43728.944178240738</v>
      </c>
      <c r="Q237" s="7" t="s">
        <v>1396</v>
      </c>
      <c r="R237" s="13" t="s">
        <v>1110</v>
      </c>
      <c r="S237" s="8"/>
      <c r="T237" s="8"/>
      <c r="U237" s="19" t="str">
        <f>HYPERLINK("https://pbs.twimg.com/profile_images/1176454988211482625/yv-3guR4.jpg","View")</f>
        <v>View</v>
      </c>
      <c r="V237" s="8"/>
      <c r="W237" s="8"/>
      <c r="X237" s="8"/>
      <c r="Y237" s="8"/>
      <c r="Z237" s="8"/>
    </row>
    <row r="238" spans="1:26" ht="12.75">
      <c r="A238" s="11">
        <v>43747.147638888884</v>
      </c>
      <c r="B238" s="12" t="str">
        <f>HYPERLINK("https://twitter.com/TariqAhmedAlAm5","@TariqAhmedAlAm5")</f>
        <v>@TariqAhmedAlAm5</v>
      </c>
      <c r="C238" s="13" t="s">
        <v>1401</v>
      </c>
      <c r="D238" s="13" t="s">
        <v>1030</v>
      </c>
      <c r="E238" s="12" t="str">
        <f>HYPERLINK("https://twitter.com/TariqAhmedAlAm5/status/1181880131511390210","1181880131511390210")</f>
        <v>1181880131511390210</v>
      </c>
      <c r="F238" s="8"/>
      <c r="G238" s="14" t="s">
        <v>1402</v>
      </c>
      <c r="H238" s="8"/>
      <c r="I238" s="15">
        <v>0</v>
      </c>
      <c r="J238" s="15">
        <v>0</v>
      </c>
      <c r="K238" s="12" t="str">
        <f>HYPERLINK("https://mobile.twitter.com","Twitter Web App")</f>
        <v>Twitter Web App</v>
      </c>
      <c r="L238" s="16">
        <v>0</v>
      </c>
      <c r="M238" s="16">
        <v>1</v>
      </c>
      <c r="N238" s="16">
        <v>0</v>
      </c>
      <c r="O238" s="17"/>
      <c r="P238" s="18">
        <v>43724.981689814813</v>
      </c>
      <c r="Q238" s="7" t="s">
        <v>1405</v>
      </c>
      <c r="R238" s="13" t="s">
        <v>912</v>
      </c>
      <c r="S238" s="8"/>
      <c r="T238" s="8"/>
      <c r="U238" s="19" t="str">
        <f>HYPERLINK("https://pbs.twimg.com/profile_images/1176433620707205120/fmcx7tmS.jpg","View")</f>
        <v>View</v>
      </c>
      <c r="V238" s="8"/>
      <c r="W238" s="8"/>
      <c r="X238" s="8"/>
      <c r="Y238" s="8"/>
      <c r="Z238" s="8"/>
    </row>
    <row r="239" spans="1:26" ht="12.75">
      <c r="A239" s="11">
        <v>43747.147407407407</v>
      </c>
      <c r="B239" s="12" t="str">
        <f>HYPERLINK("https://twitter.com/GhaaziyaL","@GhaaziyaL")</f>
        <v>@GhaaziyaL</v>
      </c>
      <c r="C239" s="13" t="s">
        <v>1407</v>
      </c>
      <c r="D239" s="13" t="s">
        <v>28</v>
      </c>
      <c r="E239" s="12" t="str">
        <f>HYPERLINK("https://twitter.com/GhaaziyaL/status/1181880047189127168","1181880047189127168")</f>
        <v>1181880047189127168</v>
      </c>
      <c r="F239" s="8"/>
      <c r="G239" s="14" t="s">
        <v>1267</v>
      </c>
      <c r="H239" s="8"/>
      <c r="I239" s="15">
        <v>0</v>
      </c>
      <c r="J239" s="15">
        <v>0</v>
      </c>
      <c r="K239" s="12" t="str">
        <f>HYPERLINK("https://mobile.twitter.com","Twitter Web App")</f>
        <v>Twitter Web App</v>
      </c>
      <c r="L239" s="16">
        <v>0</v>
      </c>
      <c r="M239" s="16">
        <v>0</v>
      </c>
      <c r="N239" s="16">
        <v>0</v>
      </c>
      <c r="O239" s="17"/>
      <c r="P239" s="18">
        <v>43736.974189814813</v>
      </c>
      <c r="Q239" s="7" t="s">
        <v>1249</v>
      </c>
      <c r="R239" s="13" t="s">
        <v>1135</v>
      </c>
      <c r="S239" s="8"/>
      <c r="T239" s="8"/>
      <c r="U239" s="19" t="str">
        <f>HYPERLINK("https://pbs.twimg.com/profile_images/1181490948091441157/SHFrKNV9.jpg","View")</f>
        <v>View</v>
      </c>
      <c r="V239" s="8"/>
      <c r="W239" s="8"/>
      <c r="X239" s="8"/>
      <c r="Y239" s="8"/>
      <c r="Z239" s="8"/>
    </row>
    <row r="240" spans="1:26" ht="12.75">
      <c r="A240" s="11">
        <v>43747.147268518514</v>
      </c>
      <c r="B240" s="12" t="str">
        <f>HYPERLINK("https://twitter.com/anaza7333","@anaza7333")</f>
        <v>@anaza7333</v>
      </c>
      <c r="C240" s="13" t="s">
        <v>1410</v>
      </c>
      <c r="D240" s="13" t="s">
        <v>1411</v>
      </c>
      <c r="E240" s="12" t="str">
        <f>HYPERLINK("https://twitter.com/anaza7333/status/1181879997017055232","1181879997017055232")</f>
        <v>1181879997017055232</v>
      </c>
      <c r="F240" s="8"/>
      <c r="G240" s="14" t="s">
        <v>1412</v>
      </c>
      <c r="H240" s="8"/>
      <c r="I240" s="15">
        <v>0</v>
      </c>
      <c r="J240" s="15">
        <v>0</v>
      </c>
      <c r="K240" s="12" t="str">
        <f>HYPERLINK("http://twitter.com","Twitter Web Client")</f>
        <v>Twitter Web Client</v>
      </c>
      <c r="L240" s="16">
        <v>5</v>
      </c>
      <c r="M240" s="16">
        <v>39</v>
      </c>
      <c r="N240" s="16">
        <v>0</v>
      </c>
      <c r="O240" s="17"/>
      <c r="P240" s="18">
        <v>42073.687118055561</v>
      </c>
      <c r="Q240" s="7"/>
      <c r="R240" s="13"/>
      <c r="S240" s="8"/>
      <c r="T240" s="8"/>
      <c r="U240" s="19" t="str">
        <f>HYPERLINK("https://pbs.twimg.com/profile_images/575438493435871232/ehtPiu_x.jpeg","View")</f>
        <v>View</v>
      </c>
      <c r="V240" s="8"/>
      <c r="W240" s="8"/>
      <c r="X240" s="8"/>
      <c r="Y240" s="8"/>
      <c r="Z240" s="8"/>
    </row>
    <row r="241" spans="1:26" ht="12.75">
      <c r="A241" s="11">
        <v>43747.146909722222</v>
      </c>
      <c r="B241" s="12" t="str">
        <f>HYPERLINK("https://twitter.com/FawazSaffar","@FawazSaffar")</f>
        <v>@FawazSaffar</v>
      </c>
      <c r="C241" s="13" t="s">
        <v>1419</v>
      </c>
      <c r="D241" s="7" t="s">
        <v>1178</v>
      </c>
      <c r="E241" s="12" t="str">
        <f>HYPERLINK("https://twitter.com/FawazSaffar/status/1181879869904277504","1181879869904277504")</f>
        <v>1181879869904277504</v>
      </c>
      <c r="F241" s="8"/>
      <c r="G241" s="14" t="s">
        <v>1420</v>
      </c>
      <c r="H241" s="8"/>
      <c r="I241" s="15">
        <v>0</v>
      </c>
      <c r="J241" s="15">
        <v>0</v>
      </c>
      <c r="K241" s="12" t="str">
        <f>HYPERLINK("https://mobile.twitter.com","Twitter Web App")</f>
        <v>Twitter Web App</v>
      </c>
      <c r="L241" s="16">
        <v>0</v>
      </c>
      <c r="M241" s="16">
        <v>0</v>
      </c>
      <c r="N241" s="16">
        <v>0</v>
      </c>
      <c r="O241" s="17"/>
      <c r="P241" s="18">
        <v>43725.940671296295</v>
      </c>
      <c r="Q241" s="7" t="s">
        <v>1422</v>
      </c>
      <c r="R241" s="13" t="s">
        <v>912</v>
      </c>
      <c r="S241" s="8"/>
      <c r="T241" s="8"/>
      <c r="U241" s="19" t="str">
        <f>HYPERLINK("https://pbs.twimg.com/profile_images/1181128957598429185/w005qkT3.jpg","View")</f>
        <v>View</v>
      </c>
      <c r="V241" s="8"/>
      <c r="W241" s="8"/>
      <c r="X241" s="8"/>
      <c r="Y241" s="8"/>
      <c r="Z241" s="8"/>
    </row>
    <row r="242" spans="1:26" ht="12.75">
      <c r="A242" s="11">
        <v>43747.146111111113</v>
      </c>
      <c r="B242" s="12" t="str">
        <f>HYPERLINK("https://twitter.com/HusseinAlYami18","@HusseinAlYami18")</f>
        <v>@HusseinAlYami18</v>
      </c>
      <c r="C242" s="13" t="s">
        <v>1426</v>
      </c>
      <c r="D242" s="7" t="s">
        <v>1130</v>
      </c>
      <c r="E242" s="12" t="str">
        <f>HYPERLINK("https://twitter.com/HusseinAlYami18/status/1181879578526019584","1181879578526019584")</f>
        <v>1181879578526019584</v>
      </c>
      <c r="F242" s="8"/>
      <c r="G242" s="14" t="s">
        <v>1427</v>
      </c>
      <c r="H242" s="8"/>
      <c r="I242" s="15">
        <v>0</v>
      </c>
      <c r="J242" s="15">
        <v>0</v>
      </c>
      <c r="K242" s="12" t="str">
        <f>HYPERLINK("https://mobile.twitter.com","Twitter Web App")</f>
        <v>Twitter Web App</v>
      </c>
      <c r="L242" s="16">
        <v>0</v>
      </c>
      <c r="M242" s="16">
        <v>1</v>
      </c>
      <c r="N242" s="16">
        <v>0</v>
      </c>
      <c r="O242" s="17"/>
      <c r="P242" s="18">
        <v>43728.95685185185</v>
      </c>
      <c r="Q242" s="7" t="s">
        <v>1428</v>
      </c>
      <c r="R242" s="13" t="s">
        <v>1429</v>
      </c>
      <c r="S242" s="8"/>
      <c r="T242" s="8"/>
      <c r="U242" s="19" t="str">
        <f>HYPERLINK("https://pbs.twimg.com/profile_images/1176435781574901760/pFk27Fey.jpg","View")</f>
        <v>View</v>
      </c>
      <c r="V242" s="8"/>
      <c r="W242" s="8"/>
      <c r="X242" s="8"/>
      <c r="Y242" s="8"/>
      <c r="Z242" s="8"/>
    </row>
    <row r="243" spans="1:26" ht="12.75">
      <c r="A243" s="11">
        <v>43747.14570601852</v>
      </c>
      <c r="B243" s="12" t="str">
        <f>HYPERLINK("https://twitter.com/SouaHadi","@SouaHadi")</f>
        <v>@SouaHadi</v>
      </c>
      <c r="C243" s="13" t="s">
        <v>1432</v>
      </c>
      <c r="D243" s="7" t="s">
        <v>1107</v>
      </c>
      <c r="E243" s="12" t="str">
        <f>HYPERLINK("https://twitter.com/SouaHadi/status/1181879429934403592","1181879429934403592")</f>
        <v>1181879429934403592</v>
      </c>
      <c r="F243" s="8"/>
      <c r="G243" s="14" t="s">
        <v>1433</v>
      </c>
      <c r="H243" s="8"/>
      <c r="I243" s="15">
        <v>0</v>
      </c>
      <c r="J243" s="15">
        <v>0</v>
      </c>
      <c r="K243" s="12" t="str">
        <f>HYPERLINK("https://mobile.twitter.com","Twitter Web App")</f>
        <v>Twitter Web App</v>
      </c>
      <c r="L243" s="16">
        <v>0</v>
      </c>
      <c r="M243" s="16">
        <v>1</v>
      </c>
      <c r="N243" s="16">
        <v>0</v>
      </c>
      <c r="O243" s="17"/>
      <c r="P243" s="18">
        <v>43727.151319444441</v>
      </c>
      <c r="Q243" s="7" t="s">
        <v>1436</v>
      </c>
      <c r="R243" s="13" t="s">
        <v>1437</v>
      </c>
      <c r="S243" s="8"/>
      <c r="T243" s="8"/>
      <c r="U243" s="19" t="str">
        <f>HYPERLINK("https://pbs.twimg.com/profile_images/1176439750191747072/oHctzB3-.jpg","View")</f>
        <v>View</v>
      </c>
      <c r="V243" s="8"/>
      <c r="W243" s="8"/>
      <c r="X243" s="8"/>
      <c r="Y243" s="8"/>
      <c r="Z243" s="8"/>
    </row>
    <row r="244" spans="1:26" ht="12.75">
      <c r="A244" s="11">
        <v>43747.145370370374</v>
      </c>
      <c r="B244" s="12" t="str">
        <f>HYPERLINK("https://twitter.com/MarzoukKareena","@MarzoukKareena")</f>
        <v>@MarzoukKareena</v>
      </c>
      <c r="C244" s="13" t="s">
        <v>1439</v>
      </c>
      <c r="D244" s="7" t="s">
        <v>952</v>
      </c>
      <c r="E244" s="12" t="str">
        <f>HYPERLINK("https://twitter.com/MarzoukKareena/status/1181879310518378497","1181879310518378497")</f>
        <v>1181879310518378497</v>
      </c>
      <c r="F244" s="8"/>
      <c r="G244" s="14" t="s">
        <v>1440</v>
      </c>
      <c r="H244" s="8"/>
      <c r="I244" s="15">
        <v>0</v>
      </c>
      <c r="J244" s="15">
        <v>0</v>
      </c>
      <c r="K244" s="12" t="str">
        <f>HYPERLINK("https://mobile.twitter.com","Twitter Web App")</f>
        <v>Twitter Web App</v>
      </c>
      <c r="L244" s="16">
        <v>0</v>
      </c>
      <c r="M244" s="16">
        <v>0</v>
      </c>
      <c r="N244" s="16">
        <v>0</v>
      </c>
      <c r="O244" s="17"/>
      <c r="P244" s="18">
        <v>43730.937754629631</v>
      </c>
      <c r="Q244" s="7" t="s">
        <v>1405</v>
      </c>
      <c r="R244" s="13" t="s">
        <v>1442</v>
      </c>
      <c r="S244" s="8"/>
      <c r="T244" s="8"/>
      <c r="U244" s="19" t="str">
        <f>HYPERLINK("https://pbs.twimg.com/profile_images/1181527171254239232/wD6qfwnc.jpg","View")</f>
        <v>View</v>
      </c>
      <c r="V244" s="8"/>
      <c r="W244" s="8"/>
      <c r="X244" s="8"/>
      <c r="Y244" s="8"/>
      <c r="Z244" s="8"/>
    </row>
    <row r="245" spans="1:26" ht="12.75">
      <c r="A245" s="11">
        <v>43747.145219907412</v>
      </c>
      <c r="B245" s="12" t="str">
        <f>HYPERLINK("https://twitter.com/ahmed_amri3","@ahmed_amri3")</f>
        <v>@ahmed_amri3</v>
      </c>
      <c r="C245" s="13" t="s">
        <v>1443</v>
      </c>
      <c r="D245" s="13" t="s">
        <v>907</v>
      </c>
      <c r="E245" s="12" t="str">
        <f>HYPERLINK("https://twitter.com/ahmed_amri3/status/1181879256340557825","1181879256340557825")</f>
        <v>1181879256340557825</v>
      </c>
      <c r="F245" s="8"/>
      <c r="G245" s="14" t="s">
        <v>1446</v>
      </c>
      <c r="H245" s="8"/>
      <c r="I245" s="15">
        <v>0</v>
      </c>
      <c r="J245" s="15">
        <v>0</v>
      </c>
      <c r="K245" s="12" t="str">
        <f>HYPERLINK("https://mobile.twitter.com","Twitter Web App")</f>
        <v>Twitter Web App</v>
      </c>
      <c r="L245" s="16">
        <v>0</v>
      </c>
      <c r="M245" s="16">
        <v>2</v>
      </c>
      <c r="N245" s="16">
        <v>0</v>
      </c>
      <c r="O245" s="17"/>
      <c r="P245" s="18">
        <v>43727.016770833332</v>
      </c>
      <c r="Q245" s="7" t="s">
        <v>911</v>
      </c>
      <c r="R245" s="13" t="s">
        <v>1135</v>
      </c>
      <c r="S245" s="8"/>
      <c r="T245" s="8"/>
      <c r="U245" s="19" t="str">
        <f>HYPERLINK("https://pbs.twimg.com/profile_images/1176442513013346304/D4RYPKNf.jpg","View")</f>
        <v>View</v>
      </c>
      <c r="V245" s="8"/>
      <c r="W245" s="8"/>
      <c r="X245" s="8"/>
      <c r="Y245" s="8"/>
      <c r="Z245" s="8"/>
    </row>
    <row r="246" spans="1:26" ht="12.75">
      <c r="A246" s="11">
        <v>43747.145162037035</v>
      </c>
      <c r="B246" s="12" t="str">
        <f>HYPERLINK("https://twitter.com/elshakak_33","@elshakak_33")</f>
        <v>@elshakak_33</v>
      </c>
      <c r="C246" s="13" t="s">
        <v>1449</v>
      </c>
      <c r="D246" s="7" t="s">
        <v>1450</v>
      </c>
      <c r="E246" s="12" t="str">
        <f>HYPERLINK("https://twitter.com/elshakak_33/status/1181879236300349440","1181879236300349440")</f>
        <v>1181879236300349440</v>
      </c>
      <c r="F246" s="8"/>
      <c r="G246" s="14" t="s">
        <v>1451</v>
      </c>
      <c r="H246" s="8"/>
      <c r="I246" s="15">
        <v>0</v>
      </c>
      <c r="J246" s="15">
        <v>0</v>
      </c>
      <c r="K246" s="12" t="str">
        <f>HYPERLINK("http://twitter.com","Twitter Web Client")</f>
        <v>Twitter Web Client</v>
      </c>
      <c r="L246" s="16">
        <v>11</v>
      </c>
      <c r="M246" s="16">
        <v>35</v>
      </c>
      <c r="N246" s="16">
        <v>0</v>
      </c>
      <c r="O246" s="17"/>
      <c r="P246" s="18">
        <v>42075.509606481486</v>
      </c>
      <c r="Q246" s="7"/>
      <c r="R246" s="13"/>
      <c r="S246" s="8"/>
      <c r="T246" s="8"/>
      <c r="U246" s="19" t="str">
        <f>HYPERLINK("https://pbs.twimg.com/profile_images/576098964308520961/3_M86yZ7.jpeg","View")</f>
        <v>View</v>
      </c>
      <c r="V246" s="8"/>
      <c r="W246" s="8"/>
      <c r="X246" s="8"/>
      <c r="Y246" s="8"/>
      <c r="Z246" s="8"/>
    </row>
    <row r="247" spans="1:26" ht="12.75">
      <c r="A247" s="11">
        <v>43747.145138888889</v>
      </c>
      <c r="B247" s="12" t="str">
        <f>HYPERLINK("https://twitter.com/JuliaAssegaf","@JuliaAssegaf")</f>
        <v>@JuliaAssegaf</v>
      </c>
      <c r="C247" s="13" t="s">
        <v>1452</v>
      </c>
      <c r="D247" s="13" t="s">
        <v>1178</v>
      </c>
      <c r="E247" s="12" t="str">
        <f>HYPERLINK("https://twitter.com/JuliaAssegaf/status/1181879226376474624","1181879226376474624")</f>
        <v>1181879226376474624</v>
      </c>
      <c r="F247" s="8"/>
      <c r="G247" s="14" t="s">
        <v>1453</v>
      </c>
      <c r="H247" s="8"/>
      <c r="I247" s="15">
        <v>0</v>
      </c>
      <c r="J247" s="15">
        <v>0</v>
      </c>
      <c r="K247" s="12" t="str">
        <f>HYPERLINK("https://mobile.twitter.com","Twitter Web App")</f>
        <v>Twitter Web App</v>
      </c>
      <c r="L247" s="16">
        <v>0</v>
      </c>
      <c r="M247" s="16">
        <v>0</v>
      </c>
      <c r="N247" s="16">
        <v>0</v>
      </c>
      <c r="O247" s="17"/>
      <c r="P247" s="18">
        <v>43730.935520833329</v>
      </c>
      <c r="Q247" s="7" t="s">
        <v>1454</v>
      </c>
      <c r="R247" s="13" t="s">
        <v>1455</v>
      </c>
      <c r="S247" s="8"/>
      <c r="T247" s="8"/>
      <c r="U247" s="19" t="str">
        <f>HYPERLINK("https://pbs.twimg.com/profile_images/1181526701009846279/BPCDequt.jpg","View")</f>
        <v>View</v>
      </c>
      <c r="V247" s="8"/>
      <c r="W247" s="8"/>
      <c r="X247" s="8"/>
      <c r="Y247" s="8"/>
      <c r="Z247" s="8"/>
    </row>
    <row r="248" spans="1:26" ht="12.75">
      <c r="A248" s="11">
        <v>43747.144942129627</v>
      </c>
      <c r="B248" s="12" t="str">
        <f>HYPERLINK("https://twitter.com/KhairunnisaalH1","@KhairunnisaalH1")</f>
        <v>@KhairunnisaalH1</v>
      </c>
      <c r="C248" s="13" t="s">
        <v>1458</v>
      </c>
      <c r="D248" s="13" t="s">
        <v>907</v>
      </c>
      <c r="E248" s="12" t="str">
        <f>HYPERLINK("https://twitter.com/KhairunnisaalH1/status/1181879156331515904","1181879156331515904")</f>
        <v>1181879156331515904</v>
      </c>
      <c r="F248" s="8"/>
      <c r="G248" s="14" t="s">
        <v>1460</v>
      </c>
      <c r="H248" s="8"/>
      <c r="I248" s="15">
        <v>0</v>
      </c>
      <c r="J248" s="15">
        <v>0</v>
      </c>
      <c r="K248" s="12" t="str">
        <f>HYPERLINK("https://mobile.twitter.com","Twitter Web App")</f>
        <v>Twitter Web App</v>
      </c>
      <c r="L248" s="16">
        <v>0</v>
      </c>
      <c r="M248" s="16">
        <v>0</v>
      </c>
      <c r="N248" s="16">
        <v>0</v>
      </c>
      <c r="O248" s="17"/>
      <c r="P248" s="18">
        <v>43732.953726851847</v>
      </c>
      <c r="Q248" s="7" t="s">
        <v>1396</v>
      </c>
      <c r="R248" s="13" t="s">
        <v>1463</v>
      </c>
      <c r="S248" s="8"/>
      <c r="T248" s="8"/>
      <c r="U248" s="19" t="str">
        <f>HYPERLINK("https://pbs.twimg.com/profile_images/1178605171867209728/wnyptOJ7.jpg","View")</f>
        <v>View</v>
      </c>
      <c r="V248" s="8"/>
      <c r="W248" s="8"/>
      <c r="X248" s="8"/>
      <c r="Y248" s="8"/>
      <c r="Z248" s="8"/>
    </row>
    <row r="249" spans="1:26" ht="12.75">
      <c r="A249" s="11">
        <v>43747.144895833335</v>
      </c>
      <c r="B249" s="12" t="str">
        <f>HYPERLINK("https://twitter.com/MubarakAtaMuba1","@MubarakAtaMuba1")</f>
        <v>@MubarakAtaMuba1</v>
      </c>
      <c r="C249" s="13" t="s">
        <v>1465</v>
      </c>
      <c r="D249" s="13" t="s">
        <v>923</v>
      </c>
      <c r="E249" s="12" t="str">
        <f>HYPERLINK("https://twitter.com/MubarakAtaMuba1/status/1181879137109020672","1181879137109020672")</f>
        <v>1181879137109020672</v>
      </c>
      <c r="F249" s="8"/>
      <c r="G249" s="14" t="s">
        <v>1467</v>
      </c>
      <c r="H249" s="8"/>
      <c r="I249" s="15">
        <v>0</v>
      </c>
      <c r="J249" s="15">
        <v>0</v>
      </c>
      <c r="K249" s="12" t="str">
        <f>HYPERLINK("https://mobile.twitter.com","Twitter Web App")</f>
        <v>Twitter Web App</v>
      </c>
      <c r="L249" s="16">
        <v>0</v>
      </c>
      <c r="M249" s="16">
        <v>1</v>
      </c>
      <c r="N249" s="16">
        <v>0</v>
      </c>
      <c r="O249" s="17"/>
      <c r="P249" s="18">
        <v>43727.013726851852</v>
      </c>
      <c r="Q249" s="7" t="s">
        <v>939</v>
      </c>
      <c r="R249" s="13" t="s">
        <v>1470</v>
      </c>
      <c r="S249" s="8"/>
      <c r="T249" s="8"/>
      <c r="U249" s="19" t="str">
        <f>HYPERLINK("https://pbs.twimg.com/profile_images/1176443243380101120/2lhISD6L.jpg","View")</f>
        <v>View</v>
      </c>
      <c r="V249" s="8"/>
      <c r="W249" s="8"/>
      <c r="X249" s="8"/>
      <c r="Y249" s="8"/>
      <c r="Z249" s="8"/>
    </row>
    <row r="250" spans="1:26" ht="12.75">
      <c r="A250" s="11">
        <v>43747.144733796296</v>
      </c>
      <c r="B250" s="12" t="str">
        <f>HYPERLINK("https://twitter.com/IkramullahSekh","@IkramullahSekh")</f>
        <v>@IkramullahSekh</v>
      </c>
      <c r="C250" s="13" t="s">
        <v>1474</v>
      </c>
      <c r="D250" s="13" t="s">
        <v>1236</v>
      </c>
      <c r="E250" s="12" t="str">
        <f>HYPERLINK("https://twitter.com/IkramullahSekh/status/1181879080955699200","1181879080955699200")</f>
        <v>1181879080955699200</v>
      </c>
      <c r="F250" s="8"/>
      <c r="G250" s="14" t="s">
        <v>1475</v>
      </c>
      <c r="H250" s="8"/>
      <c r="I250" s="15">
        <v>0</v>
      </c>
      <c r="J250" s="15">
        <v>0</v>
      </c>
      <c r="K250" s="12" t="str">
        <f>HYPERLINK("https://mobile.twitter.com","Twitter Web App")</f>
        <v>Twitter Web App</v>
      </c>
      <c r="L250" s="16">
        <v>0</v>
      </c>
      <c r="M250" s="16">
        <v>0</v>
      </c>
      <c r="N250" s="16">
        <v>0</v>
      </c>
      <c r="O250" s="17"/>
      <c r="P250" s="18">
        <v>43732.921747685185</v>
      </c>
      <c r="Q250" s="7" t="s">
        <v>1328</v>
      </c>
      <c r="R250" s="13" t="s">
        <v>1477</v>
      </c>
      <c r="S250" s="8"/>
      <c r="T250" s="8"/>
      <c r="U250" s="19" t="str">
        <f>HYPERLINK("https://pbs.twimg.com/profile_images/1180414327968256001/-FyKiWHt.jpg","View")</f>
        <v>View</v>
      </c>
      <c r="V250" s="8"/>
      <c r="W250" s="8"/>
      <c r="X250" s="8"/>
      <c r="Y250" s="8"/>
      <c r="Z250" s="8"/>
    </row>
    <row r="251" spans="1:26" ht="12.75">
      <c r="A251" s="11">
        <v>43747.144699074073</v>
      </c>
      <c r="B251" s="12" t="str">
        <f>HYPERLINK("https://twitter.com/FathallahAlHam1","@FathallahAlHam1")</f>
        <v>@FathallahAlHam1</v>
      </c>
      <c r="C251" s="13" t="s">
        <v>1480</v>
      </c>
      <c r="D251" s="7" t="s">
        <v>1236</v>
      </c>
      <c r="E251" s="12" t="str">
        <f>HYPERLINK("https://twitter.com/FathallahAlHam1/status/1181879065378078723","1181879065378078723")</f>
        <v>1181879065378078723</v>
      </c>
      <c r="F251" s="8"/>
      <c r="G251" s="14" t="s">
        <v>1482</v>
      </c>
      <c r="H251" s="8"/>
      <c r="I251" s="15">
        <v>0</v>
      </c>
      <c r="J251" s="15">
        <v>0</v>
      </c>
      <c r="K251" s="12" t="str">
        <f>HYPERLINK("https://mobile.twitter.com","Twitter Web App")</f>
        <v>Twitter Web App</v>
      </c>
      <c r="L251" s="16">
        <v>0</v>
      </c>
      <c r="M251" s="16">
        <v>0</v>
      </c>
      <c r="N251" s="16">
        <v>0</v>
      </c>
      <c r="O251" s="17"/>
      <c r="P251" s="18">
        <v>43725.119629629626</v>
      </c>
      <c r="Q251" s="7" t="s">
        <v>1379</v>
      </c>
      <c r="R251" s="13" t="s">
        <v>925</v>
      </c>
      <c r="S251" s="8"/>
      <c r="T251" s="8"/>
      <c r="U251" s="19" t="str">
        <f>HYPERLINK("https://pbs.twimg.com/profile_images/1181128126526410758/oGXokVEq.jpg","View")</f>
        <v>View</v>
      </c>
      <c r="V251" s="8"/>
      <c r="W251" s="8"/>
      <c r="X251" s="8"/>
      <c r="Y251" s="8"/>
      <c r="Z251" s="8"/>
    </row>
    <row r="252" spans="1:26" ht="12.75">
      <c r="A252" s="11">
        <v>43747.14466435185</v>
      </c>
      <c r="B252" s="12" t="str">
        <f>HYPERLINK("https://twitter.com/saffar_jamal","@saffar_jamal")</f>
        <v>@saffar_jamal</v>
      </c>
      <c r="C252" s="13" t="s">
        <v>1483</v>
      </c>
      <c r="D252" s="7" t="s">
        <v>937</v>
      </c>
      <c r="E252" s="12" t="str">
        <f>HYPERLINK("https://twitter.com/saffar_jamal/status/1181879053847941121","1181879053847941121")</f>
        <v>1181879053847941121</v>
      </c>
      <c r="F252" s="8"/>
      <c r="G252" s="14" t="s">
        <v>1484</v>
      </c>
      <c r="H252" s="8"/>
      <c r="I252" s="15">
        <v>0</v>
      </c>
      <c r="J252" s="15">
        <v>0</v>
      </c>
      <c r="K252" s="12" t="str">
        <f>HYPERLINK("http://twitter.com","Twitter Web Client")</f>
        <v>Twitter Web Client</v>
      </c>
      <c r="L252" s="16">
        <v>0</v>
      </c>
      <c r="M252" s="16">
        <v>1</v>
      </c>
      <c r="N252" s="16">
        <v>0</v>
      </c>
      <c r="O252" s="17"/>
      <c r="P252" s="18">
        <v>43727.084675925929</v>
      </c>
      <c r="Q252" s="7" t="s">
        <v>1276</v>
      </c>
      <c r="R252" s="13" t="s">
        <v>1470</v>
      </c>
      <c r="S252" s="8"/>
      <c r="T252" s="8"/>
      <c r="U252" s="19" t="str">
        <f>HYPERLINK("https://pbs.twimg.com/profile_images/1176445921531330560/xozxtT63.png","View")</f>
        <v>View</v>
      </c>
      <c r="V252" s="8"/>
      <c r="W252" s="8"/>
      <c r="X252" s="8"/>
      <c r="Y252" s="8"/>
      <c r="Z252" s="8"/>
    </row>
    <row r="253" spans="1:26" ht="12.75">
      <c r="A253" s="11">
        <v>43747.144537037035</v>
      </c>
      <c r="B253" s="12" t="str">
        <f>HYPERLINK("https://twitter.com/IkhtiyarDin","@IkhtiyarDin")</f>
        <v>@IkhtiyarDin</v>
      </c>
      <c r="C253" s="13" t="s">
        <v>1488</v>
      </c>
      <c r="D253" s="13" t="s">
        <v>28</v>
      </c>
      <c r="E253" s="12" t="str">
        <f>HYPERLINK("https://twitter.com/IkhtiyarDin/status/1181879009912602624","1181879009912602624")</f>
        <v>1181879009912602624</v>
      </c>
      <c r="F253" s="8"/>
      <c r="G253" s="14" t="s">
        <v>1267</v>
      </c>
      <c r="H253" s="8"/>
      <c r="I253" s="15">
        <v>0</v>
      </c>
      <c r="J253" s="15">
        <v>0</v>
      </c>
      <c r="K253" s="12" t="str">
        <f>HYPERLINK("https://mobile.twitter.com","Twitter Web App")</f>
        <v>Twitter Web App</v>
      </c>
      <c r="L253" s="16">
        <v>0</v>
      </c>
      <c r="M253" s="16">
        <v>5</v>
      </c>
      <c r="N253" s="16">
        <v>0</v>
      </c>
      <c r="O253" s="17"/>
      <c r="P253" s="18">
        <v>43729.960960648154</v>
      </c>
      <c r="Q253" s="7" t="s">
        <v>1422</v>
      </c>
      <c r="R253" s="13" t="s">
        <v>1492</v>
      </c>
      <c r="S253" s="8"/>
      <c r="T253" s="8"/>
      <c r="U253" s="19" t="str">
        <f>HYPERLINK("https://pbs.twimg.com/profile_images/1180414139946024961/5jwI1VUF.jpg","View")</f>
        <v>View</v>
      </c>
      <c r="V253" s="8"/>
      <c r="W253" s="8"/>
      <c r="X253" s="8"/>
      <c r="Y253" s="8"/>
      <c r="Z253" s="8"/>
    </row>
    <row r="254" spans="1:26" ht="12.75">
      <c r="A254" s="11">
        <v>43747.144375000003</v>
      </c>
      <c r="B254" s="12" t="str">
        <f>HYPERLINK("https://twitter.com/MohamedBishi","@MohamedBishi")</f>
        <v>@MohamedBishi</v>
      </c>
      <c r="C254" s="13" t="s">
        <v>1493</v>
      </c>
      <c r="D254" s="13" t="s">
        <v>952</v>
      </c>
      <c r="E254" s="12" t="str">
        <f>HYPERLINK("https://twitter.com/MohamedBishi/status/1181878950844174336","1181878950844174336")</f>
        <v>1181878950844174336</v>
      </c>
      <c r="F254" s="8"/>
      <c r="G254" s="14" t="s">
        <v>1494</v>
      </c>
      <c r="H254" s="8"/>
      <c r="I254" s="15">
        <v>0</v>
      </c>
      <c r="J254" s="15">
        <v>0</v>
      </c>
      <c r="K254" s="12" t="str">
        <f>HYPERLINK("https://mobile.twitter.com","Twitter Web App")</f>
        <v>Twitter Web App</v>
      </c>
      <c r="L254" s="16">
        <v>0</v>
      </c>
      <c r="M254" s="16">
        <v>1</v>
      </c>
      <c r="N254" s="16">
        <v>0</v>
      </c>
      <c r="O254" s="17"/>
      <c r="P254" s="18">
        <v>43726.995567129634</v>
      </c>
      <c r="Q254" s="7" t="s">
        <v>1396</v>
      </c>
      <c r="R254" s="13" t="s">
        <v>1495</v>
      </c>
      <c r="S254" s="8"/>
      <c r="T254" s="8"/>
      <c r="U254" s="19" t="str">
        <f>HYPERLINK("https://pbs.twimg.com/profile_images/1176061233700589568/h8JR6ELP.jpg","View")</f>
        <v>View</v>
      </c>
      <c r="V254" s="8"/>
      <c r="W254" s="8"/>
      <c r="X254" s="8"/>
      <c r="Y254" s="8"/>
      <c r="Z254" s="8"/>
    </row>
    <row r="255" spans="1:26" ht="12.75">
      <c r="A255" s="11">
        <v>43747.144108796296</v>
      </c>
      <c r="B255" s="12" t="str">
        <f>HYPERLINK("https://twitter.com/HebshiIbro","@HebshiIbro")</f>
        <v>@HebshiIbro</v>
      </c>
      <c r="C255" s="13" t="s">
        <v>1496</v>
      </c>
      <c r="D255" s="7" t="s">
        <v>28</v>
      </c>
      <c r="E255" s="12" t="str">
        <f>HYPERLINK("https://twitter.com/HebshiIbro/status/1181878854580760576","1181878854580760576")</f>
        <v>1181878854580760576</v>
      </c>
      <c r="F255" s="8"/>
      <c r="G255" s="14" t="s">
        <v>31</v>
      </c>
      <c r="H255" s="8"/>
      <c r="I255" s="15">
        <v>0</v>
      </c>
      <c r="J255" s="15">
        <v>0</v>
      </c>
      <c r="K255" s="12" t="str">
        <f>HYPERLINK("https://mobile.twitter.com","Twitter Web App")</f>
        <v>Twitter Web App</v>
      </c>
      <c r="L255" s="16">
        <v>0</v>
      </c>
      <c r="M255" s="16">
        <v>0</v>
      </c>
      <c r="N255" s="16">
        <v>0</v>
      </c>
      <c r="O255" s="17"/>
      <c r="P255" s="18">
        <v>43729.928784722222</v>
      </c>
      <c r="Q255" s="7" t="s">
        <v>1422</v>
      </c>
      <c r="R255" s="13" t="s">
        <v>1497</v>
      </c>
      <c r="S255" s="8"/>
      <c r="T255" s="8"/>
      <c r="U255" s="19" t="str">
        <f>HYPERLINK("https://pbs.twimg.com/profile_images/1180413545810259968/9ppb0_EB.jpg","View")</f>
        <v>View</v>
      </c>
      <c r="V255" s="8"/>
      <c r="W255" s="8"/>
      <c r="X255" s="8"/>
      <c r="Y255" s="8"/>
      <c r="Z255" s="8"/>
    </row>
    <row r="256" spans="1:26" ht="12.75">
      <c r="A256" s="11">
        <v>43747.14398148148</v>
      </c>
      <c r="B256" s="12" t="str">
        <f>HYPERLINK("https://twitter.com/FasihSaker","@FasihSaker")</f>
        <v>@FasihSaker</v>
      </c>
      <c r="C256" s="13" t="s">
        <v>1501</v>
      </c>
      <c r="D256" s="13" t="s">
        <v>914</v>
      </c>
      <c r="E256" s="12" t="str">
        <f>HYPERLINK("https://twitter.com/FasihSaker/status/1181878806241398784","1181878806241398784")</f>
        <v>1181878806241398784</v>
      </c>
      <c r="F256" s="8"/>
      <c r="G256" s="14" t="s">
        <v>917</v>
      </c>
      <c r="H256" s="8"/>
      <c r="I256" s="15">
        <v>0</v>
      </c>
      <c r="J256" s="15">
        <v>0</v>
      </c>
      <c r="K256" s="12" t="str">
        <f>HYPERLINK("https://mobile.twitter.com","Twitter Web App")</f>
        <v>Twitter Web App</v>
      </c>
      <c r="L256" s="16">
        <v>0</v>
      </c>
      <c r="M256" s="16">
        <v>0</v>
      </c>
      <c r="N256" s="16">
        <v>0</v>
      </c>
      <c r="O256" s="17"/>
      <c r="P256" s="18">
        <v>43725.11613425926</v>
      </c>
      <c r="Q256" s="7" t="s">
        <v>1503</v>
      </c>
      <c r="R256" s="13" t="s">
        <v>955</v>
      </c>
      <c r="S256" s="8"/>
      <c r="T256" s="8"/>
      <c r="U256" s="19" t="str">
        <f>HYPERLINK("https://pbs.twimg.com/profile_images/1181125652256190464/RjTyIFy5.jpg","View")</f>
        <v>View</v>
      </c>
      <c r="V256" s="8"/>
      <c r="W256" s="8"/>
      <c r="X256" s="8"/>
      <c r="Y256" s="8"/>
      <c r="Z256" s="8"/>
    </row>
    <row r="257" spans="1:26" ht="12.75">
      <c r="A257" s="11">
        <v>43747.143912037034</v>
      </c>
      <c r="B257" s="12" t="str">
        <f>HYPERLINK("https://twitter.com/SomailyHazem","@SomailyHazem")</f>
        <v>@SomailyHazem</v>
      </c>
      <c r="C257" s="13" t="s">
        <v>1504</v>
      </c>
      <c r="D257" s="13" t="s">
        <v>968</v>
      </c>
      <c r="E257" s="12" t="str">
        <f>HYPERLINK("https://twitter.com/SomailyHazem/status/1181878780685516801","1181878780685516801")</f>
        <v>1181878780685516801</v>
      </c>
      <c r="F257" s="8"/>
      <c r="G257" s="14" t="s">
        <v>1505</v>
      </c>
      <c r="H257" s="8"/>
      <c r="I257" s="15">
        <v>0</v>
      </c>
      <c r="J257" s="15">
        <v>0</v>
      </c>
      <c r="K257" s="12" t="str">
        <f>HYPERLINK("https://mobile.twitter.com","Twitter Web App")</f>
        <v>Twitter Web App</v>
      </c>
      <c r="L257" s="16">
        <v>0</v>
      </c>
      <c r="M257" s="16">
        <v>5</v>
      </c>
      <c r="N257" s="16">
        <v>0</v>
      </c>
      <c r="O257" s="17"/>
      <c r="P257" s="18">
        <v>43729.98055555555</v>
      </c>
      <c r="Q257" s="7" t="s">
        <v>1288</v>
      </c>
      <c r="R257" s="13" t="s">
        <v>1506</v>
      </c>
      <c r="S257" s="8"/>
      <c r="T257" s="8"/>
      <c r="U257" s="19" t="str">
        <f>HYPERLINK("https://pbs.twimg.com/profile_images/1180408938744827904/P1XubUBR.jpg","View")</f>
        <v>View</v>
      </c>
      <c r="V257" s="8"/>
      <c r="W257" s="8"/>
      <c r="X257" s="8"/>
      <c r="Y257" s="8"/>
      <c r="Z257" s="8"/>
    </row>
    <row r="258" spans="1:26" ht="12.75">
      <c r="A258" s="11">
        <v>43747.143888888888</v>
      </c>
      <c r="B258" s="12" t="str">
        <f>HYPERLINK("https://twitter.com/KamelUwais","@KamelUwais")</f>
        <v>@KamelUwais</v>
      </c>
      <c r="C258" s="13" t="s">
        <v>1507</v>
      </c>
      <c r="D258" s="7" t="s">
        <v>937</v>
      </c>
      <c r="E258" s="12" t="str">
        <f>HYPERLINK("https://twitter.com/KamelUwais/status/1181878771642560512","1181878771642560512")</f>
        <v>1181878771642560512</v>
      </c>
      <c r="F258" s="8"/>
      <c r="G258" s="14" t="s">
        <v>1510</v>
      </c>
      <c r="H258" s="8"/>
      <c r="I258" s="15">
        <v>0</v>
      </c>
      <c r="J258" s="15">
        <v>0</v>
      </c>
      <c r="K258" s="12" t="str">
        <f>HYPERLINK("https://mobile.twitter.com","Twitter Web App")</f>
        <v>Twitter Web App</v>
      </c>
      <c r="L258" s="16">
        <v>0</v>
      </c>
      <c r="M258" s="16">
        <v>2</v>
      </c>
      <c r="N258" s="16">
        <v>0</v>
      </c>
      <c r="O258" s="17"/>
      <c r="P258" s="18">
        <v>43740.927071759259</v>
      </c>
      <c r="Q258" s="7" t="s">
        <v>1249</v>
      </c>
      <c r="R258" s="13" t="s">
        <v>925</v>
      </c>
      <c r="S258" s="8"/>
      <c r="T258" s="8"/>
      <c r="U258" s="19" t="str">
        <f>HYPERLINK("https://pbs.twimg.com/profile_images/1179625928931999744/UKDyEEQt.jpg","View")</f>
        <v>View</v>
      </c>
      <c r="V258" s="8"/>
      <c r="W258" s="8"/>
      <c r="X258" s="8"/>
      <c r="Y258" s="8"/>
      <c r="Z258" s="8"/>
    </row>
    <row r="259" spans="1:26" ht="12.75">
      <c r="A259" s="11">
        <v>43747.143854166672</v>
      </c>
      <c r="B259" s="12" t="str">
        <f>HYPERLINK("https://twitter.com/Mohamed6Obaid","@Mohamed6Obaid")</f>
        <v>@Mohamed6Obaid</v>
      </c>
      <c r="C259" s="13" t="s">
        <v>1514</v>
      </c>
      <c r="D259" s="7" t="s">
        <v>1178</v>
      </c>
      <c r="E259" s="12" t="str">
        <f>HYPERLINK("https://twitter.com/Mohamed6Obaid/status/1181878761299398657","1181878761299398657")</f>
        <v>1181878761299398657</v>
      </c>
      <c r="F259" s="8"/>
      <c r="G259" s="14" t="s">
        <v>1515</v>
      </c>
      <c r="H259" s="8"/>
      <c r="I259" s="15">
        <v>0</v>
      </c>
      <c r="J259" s="15">
        <v>0</v>
      </c>
      <c r="K259" s="12" t="str">
        <f>HYPERLINK("https://mobile.twitter.com","Twitter Web App")</f>
        <v>Twitter Web App</v>
      </c>
      <c r="L259" s="16">
        <v>0</v>
      </c>
      <c r="M259" s="16">
        <v>1</v>
      </c>
      <c r="N259" s="16">
        <v>0</v>
      </c>
      <c r="O259" s="17"/>
      <c r="P259" s="18">
        <v>43726.963391203702</v>
      </c>
      <c r="Q259" s="7" t="s">
        <v>1284</v>
      </c>
      <c r="R259" s="13" t="s">
        <v>955</v>
      </c>
      <c r="S259" s="8"/>
      <c r="T259" s="8"/>
      <c r="U259" s="19" t="str">
        <f>HYPERLINK("https://pbs.twimg.com/profile_images/1176448111041904640/tI4M-LGo.jpg","View")</f>
        <v>View</v>
      </c>
      <c r="V259" s="8"/>
      <c r="W259" s="8"/>
      <c r="X259" s="8"/>
      <c r="Y259" s="8"/>
      <c r="Z259" s="8"/>
    </row>
    <row r="260" spans="1:26" ht="12.75">
      <c r="A260" s="11">
        <v>43747.143761574072</v>
      </c>
      <c r="B260" s="12" t="str">
        <f>HYPERLINK("https://twitter.com/bashir_qahtani","@bashir_qahtani")</f>
        <v>@bashir_qahtani</v>
      </c>
      <c r="C260" s="13" t="s">
        <v>1518</v>
      </c>
      <c r="D260" s="7" t="s">
        <v>944</v>
      </c>
      <c r="E260" s="12" t="str">
        <f>HYPERLINK("https://twitter.com/bashir_qahtani/status/1181878727480754181","1181878727480754181")</f>
        <v>1181878727480754181</v>
      </c>
      <c r="F260" s="8"/>
      <c r="G260" s="14" t="s">
        <v>1519</v>
      </c>
      <c r="H260" s="8"/>
      <c r="I260" s="15">
        <v>0</v>
      </c>
      <c r="J260" s="15">
        <v>0</v>
      </c>
      <c r="K260" s="12" t="str">
        <f>HYPERLINK("https://mobile.twitter.com","Twitter Web App")</f>
        <v>Twitter Web App</v>
      </c>
      <c r="L260" s="16">
        <v>0</v>
      </c>
      <c r="M260" s="16">
        <v>1</v>
      </c>
      <c r="N260" s="16">
        <v>0</v>
      </c>
      <c r="O260" s="17"/>
      <c r="P260" s="18">
        <v>43728.951018518521</v>
      </c>
      <c r="Q260" s="7" t="s">
        <v>1249</v>
      </c>
      <c r="R260" s="13" t="s">
        <v>1135</v>
      </c>
      <c r="S260" s="8"/>
      <c r="T260" s="8"/>
      <c r="U260" s="19" t="str">
        <f>HYPERLINK("https://pbs.twimg.com/profile_images/1176092636152680448/h6QEPK2T.jpg","View")</f>
        <v>View</v>
      </c>
      <c r="V260" s="8"/>
      <c r="W260" s="8"/>
      <c r="X260" s="8"/>
      <c r="Y260" s="8"/>
      <c r="Z260" s="8"/>
    </row>
    <row r="261" spans="1:26" ht="12.75">
      <c r="A261" s="11">
        <v>43747.143703703703</v>
      </c>
      <c r="B261" s="12" t="str">
        <f>HYPERLINK("https://twitter.com/HassanA80590483","@HassanA80590483")</f>
        <v>@HassanA80590483</v>
      </c>
      <c r="C261" s="13" t="s">
        <v>1523</v>
      </c>
      <c r="D261" s="13" t="s">
        <v>944</v>
      </c>
      <c r="E261" s="12" t="str">
        <f>HYPERLINK("https://twitter.com/HassanA80590483/status/1181878705192230912","1181878705192230912")</f>
        <v>1181878705192230912</v>
      </c>
      <c r="F261" s="8"/>
      <c r="G261" s="14" t="s">
        <v>1524</v>
      </c>
      <c r="H261" s="8"/>
      <c r="I261" s="15">
        <v>0</v>
      </c>
      <c r="J261" s="15">
        <v>0</v>
      </c>
      <c r="K261" s="12" t="str">
        <f>HYPERLINK("https://mobile.twitter.com","Twitter Web App")</f>
        <v>Twitter Web App</v>
      </c>
      <c r="L261" s="16">
        <v>0</v>
      </c>
      <c r="M261" s="16">
        <v>5</v>
      </c>
      <c r="N261" s="16">
        <v>0</v>
      </c>
      <c r="O261" s="17"/>
      <c r="P261" s="18">
        <v>43729.031689814816</v>
      </c>
      <c r="Q261" s="7" t="s">
        <v>1527</v>
      </c>
      <c r="R261" s="13" t="s">
        <v>1528</v>
      </c>
      <c r="S261" s="8"/>
      <c r="T261" s="8"/>
      <c r="U261" s="19" t="str">
        <f>HYPERLINK("https://pbs.twimg.com/profile_images/1180408137649573889/cO6Km-DD.jpg","View")</f>
        <v>View</v>
      </c>
      <c r="V261" s="8"/>
      <c r="W261" s="8"/>
      <c r="X261" s="8"/>
      <c r="Y261" s="8"/>
      <c r="Z261" s="8"/>
    </row>
    <row r="262" spans="1:26" ht="12.75">
      <c r="A262" s="11">
        <v>43747.14340277778</v>
      </c>
      <c r="B262" s="12" t="str">
        <f>HYPERLINK("https://twitter.com/FSomaily","@FSomaily")</f>
        <v>@FSomaily</v>
      </c>
      <c r="C262" s="13" t="s">
        <v>1531</v>
      </c>
      <c r="D262" s="13" t="s">
        <v>28</v>
      </c>
      <c r="E262" s="12" t="str">
        <f>HYPERLINK("https://twitter.com/FSomaily/status/1181878595829956609","1181878595829956609")</f>
        <v>1181878595829956609</v>
      </c>
      <c r="F262" s="8"/>
      <c r="G262" s="14" t="s">
        <v>31</v>
      </c>
      <c r="H262" s="8"/>
      <c r="I262" s="15">
        <v>0</v>
      </c>
      <c r="J262" s="15">
        <v>0</v>
      </c>
      <c r="K262" s="12" t="str">
        <f>HYPERLINK("https://mobile.twitter.com","Twitter Web App")</f>
        <v>Twitter Web App</v>
      </c>
      <c r="L262" s="16">
        <v>0</v>
      </c>
      <c r="M262" s="16">
        <v>0</v>
      </c>
      <c r="N262" s="16">
        <v>0</v>
      </c>
      <c r="O262" s="17"/>
      <c r="P262" s="18">
        <v>43725.097349537042</v>
      </c>
      <c r="Q262" s="7" t="s">
        <v>1533</v>
      </c>
      <c r="R262" s="13" t="s">
        <v>1281</v>
      </c>
      <c r="S262" s="8"/>
      <c r="T262" s="8"/>
      <c r="U262" s="19" t="str">
        <f>HYPERLINK("https://pbs.twimg.com/profile_images/1181124594490413056/bASAhlcp.jpg","View")</f>
        <v>View</v>
      </c>
      <c r="V262" s="8"/>
      <c r="W262" s="8"/>
      <c r="X262" s="8"/>
      <c r="Y262" s="8"/>
      <c r="Z262" s="8"/>
    </row>
    <row r="263" spans="1:26" ht="12.75">
      <c r="A263" s="11">
        <v>43747.14335648148</v>
      </c>
      <c r="B263" s="12" t="str">
        <f>HYPERLINK("https://twitter.com/riggerowaied","@riggerowaied")</f>
        <v>@riggerowaied</v>
      </c>
      <c r="C263" s="13" t="s">
        <v>1534</v>
      </c>
      <c r="D263" s="7" t="s">
        <v>1535</v>
      </c>
      <c r="E263" s="12" t="str">
        <f>HYPERLINK("https://twitter.com/riggerowaied/status/1181878580709658624","1181878580709658624")</f>
        <v>1181878580709658624</v>
      </c>
      <c r="F263" s="8"/>
      <c r="G263" s="14" t="s">
        <v>1536</v>
      </c>
      <c r="H263" s="8"/>
      <c r="I263" s="15">
        <v>0</v>
      </c>
      <c r="J263" s="15">
        <v>0</v>
      </c>
      <c r="K263" s="12" t="str">
        <f>HYPERLINK("http://twitter.com","Twitter Web Client")</f>
        <v>Twitter Web Client</v>
      </c>
      <c r="L263" s="16">
        <v>1</v>
      </c>
      <c r="M263" s="16">
        <v>18</v>
      </c>
      <c r="N263" s="16">
        <v>0</v>
      </c>
      <c r="O263" s="17"/>
      <c r="P263" s="18">
        <v>42022.188171296293</v>
      </c>
      <c r="Q263" s="7"/>
      <c r="R263" s="13"/>
      <c r="S263" s="8"/>
      <c r="T263" s="8"/>
      <c r="U263" s="19" t="str">
        <f>HYPERLINK("https://pbs.twimg.com/profile_images/556791723750215680/b0PK7O-L.jpeg","View")</f>
        <v>View</v>
      </c>
      <c r="V263" s="8"/>
      <c r="W263" s="8"/>
      <c r="X263" s="8"/>
      <c r="Y263" s="8"/>
      <c r="Z263" s="8"/>
    </row>
    <row r="264" spans="1:26" ht="12.75">
      <c r="A264" s="11">
        <v>43747.143333333333</v>
      </c>
      <c r="B264" s="12" t="str">
        <f>HYPERLINK("https://twitter.com/HamaidiDalia","@HamaidiDalia")</f>
        <v>@HamaidiDalia</v>
      </c>
      <c r="C264" s="13" t="s">
        <v>1539</v>
      </c>
      <c r="D264" s="7" t="s">
        <v>907</v>
      </c>
      <c r="E264" s="12" t="str">
        <f>HYPERLINK("https://twitter.com/HamaidiDalia/status/1181878570378858496","1181878570378858496")</f>
        <v>1181878570378858496</v>
      </c>
      <c r="F264" s="8"/>
      <c r="G264" s="14" t="s">
        <v>1540</v>
      </c>
      <c r="H264" s="8"/>
      <c r="I264" s="15">
        <v>0</v>
      </c>
      <c r="J264" s="15">
        <v>0</v>
      </c>
      <c r="K264" s="12" t="str">
        <f>HYPERLINK("https://mobile.twitter.com","Twitter Web App")</f>
        <v>Twitter Web App</v>
      </c>
      <c r="L264" s="16">
        <v>0</v>
      </c>
      <c r="M264" s="16">
        <v>0</v>
      </c>
      <c r="N264" s="16">
        <v>0</v>
      </c>
      <c r="O264" s="17"/>
      <c r="P264" s="18">
        <v>43731.948923611111</v>
      </c>
      <c r="Q264" s="7" t="s">
        <v>949</v>
      </c>
      <c r="R264" s="13" t="s">
        <v>921</v>
      </c>
      <c r="S264" s="8"/>
      <c r="T264" s="8"/>
      <c r="U264" s="19" t="str">
        <f>HYPERLINK("https://pbs.twimg.com/profile_images/1178261365900767232/oCBR7v4e.jpg","View")</f>
        <v>View</v>
      </c>
      <c r="V264" s="8"/>
      <c r="W264" s="8"/>
      <c r="X264" s="8"/>
      <c r="Y264" s="8"/>
      <c r="Z264" s="8"/>
    </row>
    <row r="265" spans="1:26" ht="12.75">
      <c r="A265" s="11">
        <v>43747.143043981487</v>
      </c>
      <c r="B265" s="12" t="str">
        <f>HYPERLINK("https://twitter.com/SaffarDareen","@SaffarDareen")</f>
        <v>@SaffarDareen</v>
      </c>
      <c r="C265" s="13" t="s">
        <v>1541</v>
      </c>
      <c r="D265" s="13" t="s">
        <v>1236</v>
      </c>
      <c r="E265" s="12" t="str">
        <f>HYPERLINK("https://twitter.com/SaffarDareen/status/1181878465932349440","1181878465932349440")</f>
        <v>1181878465932349440</v>
      </c>
      <c r="F265" s="8"/>
      <c r="G265" s="14" t="s">
        <v>1542</v>
      </c>
      <c r="H265" s="8"/>
      <c r="I265" s="15">
        <v>0</v>
      </c>
      <c r="J265" s="15">
        <v>0</v>
      </c>
      <c r="K265" s="12" t="str">
        <f>HYPERLINK("https://mobile.twitter.com","Twitter Web App")</f>
        <v>Twitter Web App</v>
      </c>
      <c r="L265" s="16">
        <v>0</v>
      </c>
      <c r="M265" s="16">
        <v>0</v>
      </c>
      <c r="N265" s="16">
        <v>0</v>
      </c>
      <c r="O265" s="17"/>
      <c r="P265" s="18">
        <v>43732.922939814816</v>
      </c>
      <c r="Q265" s="7" t="s">
        <v>1367</v>
      </c>
      <c r="R265" s="13" t="s">
        <v>925</v>
      </c>
      <c r="S265" s="15"/>
      <c r="T265" s="8"/>
      <c r="U265" s="19" t="str">
        <f>HYPERLINK("https://pbs.twimg.com/profile_images/1179289296601112577/h1K2MgnK.jpg","View")</f>
        <v>View</v>
      </c>
      <c r="V265" s="8"/>
      <c r="W265" s="8"/>
      <c r="X265" s="8"/>
      <c r="Y265" s="8"/>
      <c r="Z265" s="8"/>
    </row>
    <row r="266" spans="1:26" ht="12.75">
      <c r="A266" s="11">
        <v>43747.143020833333</v>
      </c>
      <c r="B266" s="12" t="str">
        <f>HYPERLINK("https://twitter.com/HarunAsmari","@HarunAsmari")</f>
        <v>@HarunAsmari</v>
      </c>
      <c r="C266" s="13" t="s">
        <v>1543</v>
      </c>
      <c r="D266" s="7" t="s">
        <v>1030</v>
      </c>
      <c r="E266" s="12" t="str">
        <f>HYPERLINK("https://twitter.com/HarunAsmari/status/1181878459695386625","1181878459695386625")</f>
        <v>1181878459695386625</v>
      </c>
      <c r="F266" s="8"/>
      <c r="G266" s="14" t="s">
        <v>1544</v>
      </c>
      <c r="H266" s="8"/>
      <c r="I266" s="15">
        <v>0</v>
      </c>
      <c r="J266" s="15">
        <v>0</v>
      </c>
      <c r="K266" s="12" t="str">
        <f>HYPERLINK("https://mobile.twitter.com","Twitter Web App")</f>
        <v>Twitter Web App</v>
      </c>
      <c r="L266" s="16">
        <v>0</v>
      </c>
      <c r="M266" s="16">
        <v>2</v>
      </c>
      <c r="N266" s="16">
        <v>0</v>
      </c>
      <c r="O266" s="17"/>
      <c r="P266" s="18">
        <v>43729.002256944441</v>
      </c>
      <c r="Q266" s="7" t="s">
        <v>1249</v>
      </c>
      <c r="R266" s="13" t="s">
        <v>1547</v>
      </c>
      <c r="S266" s="8"/>
      <c r="T266" s="8"/>
      <c r="U266" s="19" t="str">
        <f>HYPERLINK("https://pbs.twimg.com/profile_images/1180404649515372544/3HPHnJ0T.jpg","View")</f>
        <v>View</v>
      </c>
      <c r="V266" s="8"/>
      <c r="W266" s="8"/>
      <c r="X266" s="8"/>
      <c r="Y266" s="8"/>
      <c r="Z266" s="8"/>
    </row>
    <row r="267" spans="1:26" ht="12.75">
      <c r="A267" s="11">
        <v>43747.143020833333</v>
      </c>
      <c r="B267" s="12" t="str">
        <f>HYPERLINK("https://twitter.com/boutros_al","@boutros_al")</f>
        <v>@boutros_al</v>
      </c>
      <c r="C267" s="13" t="s">
        <v>1548</v>
      </c>
      <c r="D267" s="13" t="s">
        <v>1130</v>
      </c>
      <c r="E267" s="12" t="str">
        <f>HYPERLINK("https://twitter.com/boutros_al/status/1181878459032731648","1181878459032731648")</f>
        <v>1181878459032731648</v>
      </c>
      <c r="F267" s="8"/>
      <c r="G267" s="14" t="s">
        <v>1551</v>
      </c>
      <c r="H267" s="8"/>
      <c r="I267" s="15">
        <v>0</v>
      </c>
      <c r="J267" s="15">
        <v>0</v>
      </c>
      <c r="K267" s="12" t="str">
        <f>HYPERLINK("https://mobile.twitter.com","Twitter Web App")</f>
        <v>Twitter Web App</v>
      </c>
      <c r="L267" s="16">
        <v>0</v>
      </c>
      <c r="M267" s="16">
        <v>0</v>
      </c>
      <c r="N267" s="16">
        <v>0</v>
      </c>
      <c r="O267" s="17"/>
      <c r="P267" s="18">
        <v>43729.00001157407</v>
      </c>
      <c r="Q267" s="7" t="s">
        <v>1527</v>
      </c>
      <c r="R267" s="13" t="s">
        <v>1552</v>
      </c>
      <c r="S267" s="8"/>
      <c r="T267" s="8"/>
      <c r="U267" s="19" t="str">
        <f>HYPERLINK("https://pbs.twimg.com/profile_images/1177148242112311296/hrIinbiK.jpg","View")</f>
        <v>View</v>
      </c>
      <c r="V267" s="8"/>
      <c r="W267" s="8"/>
      <c r="X267" s="8"/>
      <c r="Y267" s="8"/>
      <c r="Z267" s="8"/>
    </row>
    <row r="268" spans="1:26" ht="12.75">
      <c r="A268" s="11">
        <v>43747.142743055556</v>
      </c>
      <c r="B268" s="12" t="str">
        <f>HYPERLINK("https://twitter.com/bishi_dina","@bishi_dina")</f>
        <v>@bishi_dina</v>
      </c>
      <c r="C268" s="13" t="s">
        <v>1553</v>
      </c>
      <c r="D268" s="13" t="s">
        <v>28</v>
      </c>
      <c r="E268" s="12" t="str">
        <f>HYPERLINK("https://twitter.com/bishi_dina/status/1181878360265252864","1181878360265252864")</f>
        <v>1181878360265252864</v>
      </c>
      <c r="F268" s="8"/>
      <c r="G268" s="14" t="s">
        <v>1267</v>
      </c>
      <c r="H268" s="8"/>
      <c r="I268" s="15">
        <v>0</v>
      </c>
      <c r="J268" s="15">
        <v>0</v>
      </c>
      <c r="K268" s="12" t="str">
        <f>HYPERLINK("https://mobile.twitter.com","Twitter Web App")</f>
        <v>Twitter Web App</v>
      </c>
      <c r="L268" s="16">
        <v>0</v>
      </c>
      <c r="M268" s="16">
        <v>0</v>
      </c>
      <c r="N268" s="16">
        <v>0</v>
      </c>
      <c r="O268" s="17"/>
      <c r="P268" s="18">
        <v>43731.981365740736</v>
      </c>
      <c r="Q268" s="7" t="s">
        <v>1422</v>
      </c>
      <c r="R268" s="13" t="s">
        <v>912</v>
      </c>
      <c r="S268" s="8"/>
      <c r="T268" s="8"/>
      <c r="U268" s="19" t="str">
        <f>HYPERLINK("https://pbs.twimg.com/profile_images/1179289851176243201/pgYxR-ds.jpg","View")</f>
        <v>View</v>
      </c>
      <c r="V268" s="8"/>
      <c r="W268" s="8"/>
      <c r="X268" s="8"/>
      <c r="Y268" s="8"/>
      <c r="Z268" s="8"/>
    </row>
    <row r="269" spans="1:26" ht="12.75">
      <c r="A269" s="11">
        <v>43747.14271990741</v>
      </c>
      <c r="B269" s="12" t="str">
        <f>HYPERLINK("https://twitter.com/SakerBurhan","@SakerBurhan")</f>
        <v>@SakerBurhan</v>
      </c>
      <c r="C269" s="13" t="s">
        <v>1556</v>
      </c>
      <c r="D269" s="13" t="s">
        <v>1107</v>
      </c>
      <c r="E269" s="12" t="str">
        <f>HYPERLINK("https://twitter.com/SakerBurhan/status/1181878348810571777","1181878348810571777")</f>
        <v>1181878348810571777</v>
      </c>
      <c r="F269" s="8"/>
      <c r="G269" s="14" t="s">
        <v>1557</v>
      </c>
      <c r="H269" s="8"/>
      <c r="I269" s="15">
        <v>0</v>
      </c>
      <c r="J269" s="15">
        <v>0</v>
      </c>
      <c r="K269" s="12" t="str">
        <f>HYPERLINK("https://mobile.twitter.com","Twitter Web App")</f>
        <v>Twitter Web App</v>
      </c>
      <c r="L269" s="16">
        <v>0</v>
      </c>
      <c r="M269" s="16">
        <v>0</v>
      </c>
      <c r="N269" s="16">
        <v>0</v>
      </c>
      <c r="O269" s="17"/>
      <c r="P269" s="18">
        <v>43729.029479166667</v>
      </c>
      <c r="Q269" s="7" t="s">
        <v>1288</v>
      </c>
      <c r="R269" s="13" t="s">
        <v>1281</v>
      </c>
      <c r="S269" s="15"/>
      <c r="T269" s="8"/>
      <c r="U269" s="19" t="str">
        <f>HYPERLINK("https://pbs.twimg.com/profile_images/1176454080199217152/kWXLMzK8.jpg","View")</f>
        <v>View</v>
      </c>
      <c r="V269" s="8"/>
      <c r="W269" s="8"/>
      <c r="X269" s="8"/>
      <c r="Y269" s="8"/>
      <c r="Z269" s="8"/>
    </row>
    <row r="270" spans="1:26" ht="12.75">
      <c r="A270" s="11">
        <v>43747.142361111109</v>
      </c>
      <c r="B270" s="12" t="str">
        <f>HYPERLINK("https://twitter.com/FMoualed","@FMoualed")</f>
        <v>@FMoualed</v>
      </c>
      <c r="C270" s="13" t="s">
        <v>1419</v>
      </c>
      <c r="D270" s="7" t="s">
        <v>968</v>
      </c>
      <c r="E270" s="12" t="str">
        <f>HYPERLINK("https://twitter.com/FMoualed/status/1181878219571486726","1181878219571486726")</f>
        <v>1181878219571486726</v>
      </c>
      <c r="F270" s="8"/>
      <c r="G270" s="14" t="s">
        <v>1558</v>
      </c>
      <c r="H270" s="8"/>
      <c r="I270" s="15">
        <v>0</v>
      </c>
      <c r="J270" s="15">
        <v>0</v>
      </c>
      <c r="K270" s="12" t="str">
        <f>HYPERLINK("https://mobile.twitter.com","Twitter Web App")</f>
        <v>Twitter Web App</v>
      </c>
      <c r="L270" s="16">
        <v>0</v>
      </c>
      <c r="M270" s="16">
        <v>0</v>
      </c>
      <c r="N270" s="16">
        <v>0</v>
      </c>
      <c r="O270" s="17"/>
      <c r="P270" s="18">
        <v>43725.090925925921</v>
      </c>
      <c r="Q270" s="7" t="s">
        <v>1527</v>
      </c>
      <c r="R270" s="13" t="s">
        <v>1075</v>
      </c>
      <c r="S270" s="8"/>
      <c r="T270" s="8"/>
      <c r="U270" s="19" t="str">
        <f>HYPERLINK("https://pbs.twimg.com/profile_images/1181123283187425280/VpmET3uC.jpg","View")</f>
        <v>View</v>
      </c>
      <c r="V270" s="8"/>
      <c r="W270" s="8"/>
      <c r="X270" s="8"/>
      <c r="Y270" s="8"/>
      <c r="Z270" s="8"/>
    </row>
    <row r="271" spans="1:26" ht="12.75">
      <c r="A271" s="11">
        <v>43747.142291666663</v>
      </c>
      <c r="B271" s="12" t="str">
        <f>HYPERLINK("https://twitter.com/DastgirAl","@DastgirAl")</f>
        <v>@DastgirAl</v>
      </c>
      <c r="C271" s="13" t="s">
        <v>1559</v>
      </c>
      <c r="D271" s="7" t="s">
        <v>907</v>
      </c>
      <c r="E271" s="12" t="str">
        <f>HYPERLINK("https://twitter.com/DastgirAl/status/1181878193864577024","1181878193864577024")</f>
        <v>1181878193864577024</v>
      </c>
      <c r="F271" s="8"/>
      <c r="G271" s="14" t="s">
        <v>1560</v>
      </c>
      <c r="H271" s="8"/>
      <c r="I271" s="15">
        <v>0</v>
      </c>
      <c r="J271" s="15">
        <v>0</v>
      </c>
      <c r="K271" s="12" t="str">
        <f>HYPERLINK("https://mobile.twitter.com","Twitter Web App")</f>
        <v>Twitter Web App</v>
      </c>
      <c r="L271" s="16">
        <v>0</v>
      </c>
      <c r="M271" s="16">
        <v>0</v>
      </c>
      <c r="N271" s="16">
        <v>0</v>
      </c>
      <c r="O271" s="17"/>
      <c r="P271" s="18">
        <v>43729.112395833334</v>
      </c>
      <c r="Q271" s="7" t="s">
        <v>1564</v>
      </c>
      <c r="R271" s="13" t="s">
        <v>1565</v>
      </c>
      <c r="S271" s="8"/>
      <c r="T271" s="8"/>
      <c r="U271" s="19" t="str">
        <f>HYPERLINK("https://pbs.twimg.com/profile_images/1176458202122088448/-proI233.jpg","View")</f>
        <v>View</v>
      </c>
      <c r="V271" s="8"/>
      <c r="W271" s="8"/>
      <c r="X271" s="8"/>
      <c r="Y271" s="8"/>
      <c r="Z271" s="8"/>
    </row>
    <row r="272" spans="1:26" ht="12.75">
      <c r="A272" s="11">
        <v>43747.14225694444</v>
      </c>
      <c r="B272" s="12" t="str">
        <f>HYPERLINK("https://twitter.com/SahliEsma","@SahliEsma")</f>
        <v>@SahliEsma</v>
      </c>
      <c r="C272" s="13" t="s">
        <v>1566</v>
      </c>
      <c r="D272" s="7" t="s">
        <v>914</v>
      </c>
      <c r="E272" s="12" t="str">
        <f>HYPERLINK("https://twitter.com/SahliEsma/status/1181878180321218566","1181878180321218566")</f>
        <v>1181878180321218566</v>
      </c>
      <c r="F272" s="8"/>
      <c r="G272" s="14" t="s">
        <v>917</v>
      </c>
      <c r="H272" s="8"/>
      <c r="I272" s="15">
        <v>0</v>
      </c>
      <c r="J272" s="15">
        <v>0</v>
      </c>
      <c r="K272" s="12" t="str">
        <f>HYPERLINK("https://mobile.twitter.com","Twitter Web App")</f>
        <v>Twitter Web App</v>
      </c>
      <c r="L272" s="16">
        <v>0</v>
      </c>
      <c r="M272" s="16">
        <v>0</v>
      </c>
      <c r="N272" s="16">
        <v>0</v>
      </c>
      <c r="O272" s="17"/>
      <c r="P272" s="18">
        <v>43732.926863425921</v>
      </c>
      <c r="Q272" s="7" t="s">
        <v>1379</v>
      </c>
      <c r="R272" s="13" t="s">
        <v>1258</v>
      </c>
      <c r="S272" s="8"/>
      <c r="T272" s="8"/>
      <c r="U272" s="19" t="str">
        <f>HYPERLINK("https://pbs.twimg.com/profile_images/1179290291867504640/fPC0WSx4.jpg","View")</f>
        <v>View</v>
      </c>
      <c r="V272" s="8"/>
      <c r="W272" s="8"/>
      <c r="X272" s="8"/>
      <c r="Y272" s="8"/>
      <c r="Z272" s="8"/>
    </row>
    <row r="273" spans="1:26" ht="12.75">
      <c r="A273" s="11">
        <v>43747.141759259262</v>
      </c>
      <c r="B273" s="12" t="str">
        <f>HYPERLINK("https://twitter.com/QuadriUday","@QuadriUday")</f>
        <v>@QuadriUday</v>
      </c>
      <c r="C273" s="13" t="s">
        <v>1570</v>
      </c>
      <c r="D273" s="7" t="s">
        <v>923</v>
      </c>
      <c r="E273" s="12" t="str">
        <f>HYPERLINK("https://twitter.com/QuadriUday/status/1181878000654012422","1181878000654012422")</f>
        <v>1181878000654012422</v>
      </c>
      <c r="F273" s="8"/>
      <c r="G273" s="14" t="s">
        <v>1572</v>
      </c>
      <c r="H273" s="8"/>
      <c r="I273" s="15">
        <v>0</v>
      </c>
      <c r="J273" s="15">
        <v>0</v>
      </c>
      <c r="K273" s="12" t="str">
        <f>HYPERLINK("https://mobile.twitter.com","Twitter Web App")</f>
        <v>Twitter Web App</v>
      </c>
      <c r="L273" s="16">
        <v>0</v>
      </c>
      <c r="M273" s="16">
        <v>1</v>
      </c>
      <c r="N273" s="16">
        <v>0</v>
      </c>
      <c r="O273" s="17"/>
      <c r="P273" s="18">
        <v>43729.968460648146</v>
      </c>
      <c r="Q273" s="7" t="s">
        <v>1428</v>
      </c>
      <c r="R273" s="13" t="s">
        <v>1135</v>
      </c>
      <c r="S273" s="8"/>
      <c r="T273" s="8"/>
      <c r="U273" s="19" t="str">
        <f>HYPERLINK("https://pbs.twimg.com/profile_images/1175654644258754560/GIGDDvv9.png","View")</f>
        <v>View</v>
      </c>
      <c r="V273" s="8"/>
      <c r="W273" s="8"/>
      <c r="X273" s="8"/>
      <c r="Y273" s="8"/>
      <c r="Z273" s="8"/>
    </row>
    <row r="274" spans="1:26" ht="12.75">
      <c r="A274" s="11">
        <v>43747.141192129631</v>
      </c>
      <c r="B274" s="12" t="str">
        <f>HYPERLINK("https://twitter.com/Evabinassegaf1","@Evabinassegaf1")</f>
        <v>@Evabinassegaf1</v>
      </c>
      <c r="C274" s="13" t="s">
        <v>1580</v>
      </c>
      <c r="D274" s="7" t="s">
        <v>28</v>
      </c>
      <c r="E274" s="12" t="str">
        <f>HYPERLINK("https://twitter.com/Evabinassegaf1/status/1181877794453606400","1181877794453606400")</f>
        <v>1181877794453606400</v>
      </c>
      <c r="F274" s="8"/>
      <c r="G274" s="14" t="s">
        <v>31</v>
      </c>
      <c r="H274" s="8"/>
      <c r="I274" s="15">
        <v>0</v>
      </c>
      <c r="J274" s="15">
        <v>0</v>
      </c>
      <c r="K274" s="12" t="str">
        <f>HYPERLINK("https://mobile.twitter.com","Twitter Web App")</f>
        <v>Twitter Web App</v>
      </c>
      <c r="L274" s="16">
        <v>0</v>
      </c>
      <c r="M274" s="16">
        <v>0</v>
      </c>
      <c r="N274" s="16">
        <v>0</v>
      </c>
      <c r="O274" s="17"/>
      <c r="P274" s="18">
        <v>43732.931851851856</v>
      </c>
      <c r="Q274" s="7" t="s">
        <v>1280</v>
      </c>
      <c r="R274" s="13" t="s">
        <v>1110</v>
      </c>
      <c r="S274" s="8"/>
      <c r="T274" s="8"/>
      <c r="U274" s="19" t="str">
        <f>HYPERLINK("https://pbs.twimg.com/profile_images/1180423638450765825/4S43EugV.jpg","View")</f>
        <v>View</v>
      </c>
      <c r="V274" s="8"/>
      <c r="W274" s="8"/>
      <c r="X274" s="8"/>
      <c r="Y274" s="8"/>
      <c r="Z274" s="8"/>
    </row>
    <row r="275" spans="1:26" ht="12.75">
      <c r="A275" s="11">
        <v>43747.141076388885</v>
      </c>
      <c r="B275" s="12" t="str">
        <f>HYPERLINK("https://twitter.com/JoudWadih","@JoudWadih")</f>
        <v>@JoudWadih</v>
      </c>
      <c r="C275" s="13" t="s">
        <v>1585</v>
      </c>
      <c r="D275" s="13" t="s">
        <v>952</v>
      </c>
      <c r="E275" s="12" t="str">
        <f>HYPERLINK("https://twitter.com/JoudWadih/status/1181877752917442560","1181877752917442560")</f>
        <v>1181877752917442560</v>
      </c>
      <c r="F275" s="8"/>
      <c r="G275" s="14" t="s">
        <v>1586</v>
      </c>
      <c r="H275" s="8"/>
      <c r="I275" s="15">
        <v>0</v>
      </c>
      <c r="J275" s="15">
        <v>0</v>
      </c>
      <c r="K275" s="12" t="str">
        <f>HYPERLINK("https://mobile.twitter.com","Twitter Web App")</f>
        <v>Twitter Web App</v>
      </c>
      <c r="L275" s="16">
        <v>0</v>
      </c>
      <c r="M275" s="16">
        <v>3</v>
      </c>
      <c r="N275" s="16">
        <v>0</v>
      </c>
      <c r="O275" s="17"/>
      <c r="P275" s="18">
        <v>43729.991898148146</v>
      </c>
      <c r="Q275" s="7" t="s">
        <v>1587</v>
      </c>
      <c r="R275" s="13" t="s">
        <v>955</v>
      </c>
      <c r="S275" s="8"/>
      <c r="T275" s="8"/>
      <c r="U275" s="19" t="str">
        <f>HYPERLINK("https://pbs.twimg.com/profile_images/1175663131302879233/W1nsr3HI.png","View")</f>
        <v>View</v>
      </c>
      <c r="V275" s="8"/>
      <c r="W275" s="8"/>
      <c r="X275" s="8"/>
      <c r="Y275" s="8"/>
      <c r="Z275" s="8"/>
    </row>
    <row r="276" spans="1:26" ht="12.75">
      <c r="A276" s="11">
        <v>43747.140740740739</v>
      </c>
      <c r="B276" s="12" t="str">
        <f>HYPERLINK("https://twitter.com/FarahKhuwalidi","@FarahKhuwalidi")</f>
        <v>@FarahKhuwalidi</v>
      </c>
      <c r="C276" s="13" t="s">
        <v>1588</v>
      </c>
      <c r="D276" s="7" t="s">
        <v>28</v>
      </c>
      <c r="E276" s="12" t="str">
        <f>HYPERLINK("https://twitter.com/FarahKhuwalidi/status/1181877634231259136","1181877634231259136")</f>
        <v>1181877634231259136</v>
      </c>
      <c r="F276" s="8"/>
      <c r="G276" s="14" t="s">
        <v>31</v>
      </c>
      <c r="H276" s="8"/>
      <c r="I276" s="15">
        <v>0</v>
      </c>
      <c r="J276" s="15">
        <v>0</v>
      </c>
      <c r="K276" s="12" t="str">
        <f>HYPERLINK("https://mobile.twitter.com","Twitter Web App")</f>
        <v>Twitter Web App</v>
      </c>
      <c r="L276" s="16">
        <v>0</v>
      </c>
      <c r="M276" s="16">
        <v>0</v>
      </c>
      <c r="N276" s="16">
        <v>0</v>
      </c>
      <c r="O276" s="17"/>
      <c r="P276" s="18">
        <v>43732.93540509259</v>
      </c>
      <c r="Q276" s="7" t="s">
        <v>1288</v>
      </c>
      <c r="R276" s="13" t="s">
        <v>1552</v>
      </c>
      <c r="S276" s="8"/>
      <c r="T276" s="8"/>
      <c r="U276" s="19" t="str">
        <f>HYPERLINK("https://pbs.twimg.com/profile_images/1180424363239079938/4BJ_aqHz.jpg","View")</f>
        <v>View</v>
      </c>
      <c r="V276" s="8"/>
      <c r="W276" s="8"/>
      <c r="X276" s="8"/>
      <c r="Y276" s="8"/>
      <c r="Z276" s="8"/>
    </row>
    <row r="277" spans="1:26" ht="12.75">
      <c r="A277" s="11">
        <v>43747.140706018516</v>
      </c>
      <c r="B277" s="12" t="str">
        <f>HYPERLINK("https://twitter.com/al_fariduddin","@al_fariduddin")</f>
        <v>@al_fariduddin</v>
      </c>
      <c r="C277" s="13" t="s">
        <v>1480</v>
      </c>
      <c r="D277" s="7" t="s">
        <v>944</v>
      </c>
      <c r="E277" s="12" t="str">
        <f>HYPERLINK("https://twitter.com/al_fariduddin/status/1181877618959777792","1181877618959777792")</f>
        <v>1181877618959777792</v>
      </c>
      <c r="F277" s="8"/>
      <c r="G277" s="14" t="s">
        <v>1589</v>
      </c>
      <c r="H277" s="8"/>
      <c r="I277" s="15">
        <v>0</v>
      </c>
      <c r="J277" s="15">
        <v>0</v>
      </c>
      <c r="K277" s="12" t="str">
        <f>HYPERLINK("https://mobile.twitter.com","Twitter Web App")</f>
        <v>Twitter Web App</v>
      </c>
      <c r="L277" s="16">
        <v>0</v>
      </c>
      <c r="M277" s="16">
        <v>0</v>
      </c>
      <c r="N277" s="16">
        <v>0</v>
      </c>
      <c r="O277" s="17"/>
      <c r="P277" s="18">
        <v>43725.085960648154</v>
      </c>
      <c r="Q277" s="7" t="s">
        <v>1284</v>
      </c>
      <c r="R277" s="13" t="s">
        <v>1552</v>
      </c>
      <c r="S277" s="8"/>
      <c r="T277" s="8"/>
      <c r="U277" s="19" t="str">
        <f>HYPERLINK("https://pbs.twimg.com/profile_images/1181122301837758464/iT8kvFn8.jpg","View")</f>
        <v>View</v>
      </c>
      <c r="V277" s="8"/>
      <c r="W277" s="8"/>
      <c r="X277" s="8"/>
      <c r="Y277" s="8"/>
      <c r="Z277" s="8"/>
    </row>
    <row r="278" spans="1:26" ht="12.75">
      <c r="A278" s="11">
        <v>43747.14063657407</v>
      </c>
      <c r="B278" s="12" t="str">
        <f>HYPERLINK("https://twitter.com/joud_samar","@joud_samar")</f>
        <v>@joud_samar</v>
      </c>
      <c r="C278" s="13" t="s">
        <v>1593</v>
      </c>
      <c r="D278" s="7" t="s">
        <v>1178</v>
      </c>
      <c r="E278" s="12" t="str">
        <f>HYPERLINK("https://twitter.com/joud_samar/status/1181877594431451138","1181877594431451138")</f>
        <v>1181877594431451138</v>
      </c>
      <c r="F278" s="8"/>
      <c r="G278" s="14" t="s">
        <v>1594</v>
      </c>
      <c r="H278" s="8"/>
      <c r="I278" s="15">
        <v>0</v>
      </c>
      <c r="J278" s="15">
        <v>0</v>
      </c>
      <c r="K278" s="12" t="str">
        <f>HYPERLINK("https://mobile.twitter.com","Twitter Web App")</f>
        <v>Twitter Web App</v>
      </c>
      <c r="L278" s="16">
        <v>0</v>
      </c>
      <c r="M278" s="16">
        <v>0</v>
      </c>
      <c r="N278" s="16">
        <v>0</v>
      </c>
      <c r="O278" s="17"/>
      <c r="P278" s="18">
        <v>43737.915659722217</v>
      </c>
      <c r="Q278" s="7" t="s">
        <v>1428</v>
      </c>
      <c r="R278" s="13" t="s">
        <v>1597</v>
      </c>
      <c r="S278" s="8"/>
      <c r="T278" s="8"/>
      <c r="U278" s="19" t="str">
        <f>HYPERLINK("https://pbs.twimg.com/profile_images/1178534645811400705/xIx4fmVi.jpg","View")</f>
        <v>View</v>
      </c>
      <c r="V278" s="8"/>
      <c r="W278" s="8"/>
      <c r="X278" s="8"/>
      <c r="Y278" s="8"/>
      <c r="Z278" s="8"/>
    </row>
    <row r="279" spans="1:26" ht="12.75">
      <c r="A279" s="11">
        <v>43747.140555555554</v>
      </c>
      <c r="B279" s="12" t="str">
        <f>HYPERLINK("https://twitter.com/feyrouz_al","@feyrouz_al")</f>
        <v>@feyrouz_al</v>
      </c>
      <c r="C279" s="13" t="s">
        <v>1598</v>
      </c>
      <c r="D279" s="7" t="s">
        <v>968</v>
      </c>
      <c r="E279" s="12" t="str">
        <f>HYPERLINK("https://twitter.com/feyrouz_al/status/1181877563511099392","1181877563511099392")</f>
        <v>1181877563511099392</v>
      </c>
      <c r="F279" s="8"/>
      <c r="G279" s="14" t="s">
        <v>1599</v>
      </c>
      <c r="H279" s="8"/>
      <c r="I279" s="15">
        <v>0</v>
      </c>
      <c r="J279" s="15">
        <v>0</v>
      </c>
      <c r="K279" s="12" t="str">
        <f>HYPERLINK("https://mobile.twitter.com","Twitter Web App")</f>
        <v>Twitter Web App</v>
      </c>
      <c r="L279" s="16">
        <v>0</v>
      </c>
      <c r="M279" s="16">
        <v>0</v>
      </c>
      <c r="N279" s="16">
        <v>0</v>
      </c>
      <c r="O279" s="17"/>
      <c r="P279" s="18">
        <v>43732.173993055556</v>
      </c>
      <c r="Q279" s="7" t="s">
        <v>1527</v>
      </c>
      <c r="R279" s="13" t="s">
        <v>1281</v>
      </c>
      <c r="S279" s="8"/>
      <c r="T279" s="8"/>
      <c r="U279" s="19" t="str">
        <f>HYPERLINK("https://pbs.twimg.com/profile_images/1179347248985071616/fCCJCMYZ.jpg","View")</f>
        <v>View</v>
      </c>
      <c r="V279" s="8"/>
      <c r="W279" s="8"/>
      <c r="X279" s="8"/>
      <c r="Y279" s="8"/>
      <c r="Z279" s="8"/>
    </row>
    <row r="280" spans="1:26" ht="12.75">
      <c r="A280" s="11">
        <v>43747.140289351853</v>
      </c>
      <c r="B280" s="12" t="str">
        <f>HYPERLINK("https://twitter.com/hafsa_din","@hafsa_din")</f>
        <v>@hafsa_din</v>
      </c>
      <c r="C280" s="13" t="s">
        <v>1603</v>
      </c>
      <c r="D280" s="7" t="s">
        <v>944</v>
      </c>
      <c r="E280" s="12" t="str">
        <f>HYPERLINK("https://twitter.com/hafsa_din/status/1181877470296829953","1181877470296829953")</f>
        <v>1181877470296829953</v>
      </c>
      <c r="F280" s="8"/>
      <c r="G280" s="14" t="s">
        <v>1604</v>
      </c>
      <c r="H280" s="8"/>
      <c r="I280" s="15">
        <v>0</v>
      </c>
      <c r="J280" s="15">
        <v>0</v>
      </c>
      <c r="K280" s="12" t="str">
        <f>HYPERLINK("https://mobile.twitter.com","Twitter Web App")</f>
        <v>Twitter Web App</v>
      </c>
      <c r="L280" s="16">
        <v>0</v>
      </c>
      <c r="M280" s="16">
        <v>0</v>
      </c>
      <c r="N280" s="16">
        <v>0</v>
      </c>
      <c r="O280" s="17"/>
      <c r="P280" s="18">
        <v>43732.185324074075</v>
      </c>
      <c r="Q280" s="7" t="s">
        <v>1284</v>
      </c>
      <c r="R280" s="13" t="s">
        <v>1606</v>
      </c>
      <c r="S280" s="8"/>
      <c r="T280" s="8"/>
      <c r="U280" s="19" t="str">
        <f>HYPERLINK("https://pbs.twimg.com/profile_images/1180425087465353216/n_gwv5O7.jpg","View")</f>
        <v>View</v>
      </c>
      <c r="V280" s="8"/>
      <c r="W280" s="8"/>
      <c r="X280" s="8"/>
      <c r="Y280" s="8"/>
      <c r="Z280" s="8"/>
    </row>
    <row r="281" spans="1:26" ht="12.75">
      <c r="A281" s="11">
        <v>43747.14025462963</v>
      </c>
      <c r="B281" s="12" t="str">
        <f>HYPERLINK("https://twitter.com/MahdielMir1","@MahdielMir1")</f>
        <v>@MahdielMir1</v>
      </c>
      <c r="C281" s="13" t="s">
        <v>1609</v>
      </c>
      <c r="D281" s="7" t="s">
        <v>907</v>
      </c>
      <c r="E281" s="12" t="str">
        <f>HYPERLINK("https://twitter.com/MahdielMir1/status/1181877456531161088","1181877456531161088")</f>
        <v>1181877456531161088</v>
      </c>
      <c r="F281" s="8"/>
      <c r="G281" s="14" t="s">
        <v>1611</v>
      </c>
      <c r="H281" s="8"/>
      <c r="I281" s="15">
        <v>0</v>
      </c>
      <c r="J281" s="15">
        <v>0</v>
      </c>
      <c r="K281" s="12" t="str">
        <f>HYPERLINK("https://mobile.twitter.com","Twitter Web App")</f>
        <v>Twitter Web App</v>
      </c>
      <c r="L281" s="16">
        <v>0</v>
      </c>
      <c r="M281" s="16">
        <v>0</v>
      </c>
      <c r="N281" s="16">
        <v>0</v>
      </c>
      <c r="O281" s="17"/>
      <c r="P281" s="18">
        <v>43734.17024305556</v>
      </c>
      <c r="Q281" s="7" t="s">
        <v>1612</v>
      </c>
      <c r="R281" s="13" t="s">
        <v>1606</v>
      </c>
      <c r="S281" s="8"/>
      <c r="T281" s="8"/>
      <c r="U281" s="19" t="str">
        <f>HYPERLINK("https://pbs.twimg.com/profile_images/1177177310019014656/2QrNvv3N.jpg","View")</f>
        <v>View</v>
      </c>
      <c r="V281" s="8"/>
      <c r="W281" s="8"/>
      <c r="X281" s="8"/>
      <c r="Y281" s="8"/>
      <c r="Z281" s="8"/>
    </row>
    <row r="282" spans="1:26" ht="12.75">
      <c r="A282" s="11">
        <v>43747.139930555553</v>
      </c>
      <c r="B282" s="12" t="str">
        <f>HYPERLINK("https://twitter.com/AdlanAbdelkreem","@AdlanAbdelkreem")</f>
        <v>@AdlanAbdelkreem</v>
      </c>
      <c r="C282" s="13" t="s">
        <v>1613</v>
      </c>
      <c r="D282" s="13" t="s">
        <v>1614</v>
      </c>
      <c r="E282" s="12" t="str">
        <f>HYPERLINK("https://twitter.com/AdlanAbdelkreem/status/1181877340080615425","1181877340080615425")</f>
        <v>1181877340080615425</v>
      </c>
      <c r="F282" s="8"/>
      <c r="G282" s="14" t="s">
        <v>1615</v>
      </c>
      <c r="H282" s="8"/>
      <c r="I282" s="15">
        <v>0</v>
      </c>
      <c r="J282" s="15">
        <v>0</v>
      </c>
      <c r="K282" s="12" t="str">
        <f>HYPERLINK("http://twitter.com","Twitter Web Client")</f>
        <v>Twitter Web Client</v>
      </c>
      <c r="L282" s="16">
        <v>1</v>
      </c>
      <c r="M282" s="16">
        <v>32</v>
      </c>
      <c r="N282" s="16">
        <v>0</v>
      </c>
      <c r="O282" s="17"/>
      <c r="P282" s="18">
        <v>41825.368784722225</v>
      </c>
      <c r="Q282" s="7"/>
      <c r="R282" s="13"/>
      <c r="S282" s="8"/>
      <c r="T282" s="8"/>
      <c r="U282" s="19" t="str">
        <f>HYPERLINK("https://pbs.twimg.com/profile_images/485450967467307009/kNuMf8pG.jpeg","View")</f>
        <v>View</v>
      </c>
      <c r="V282" s="8"/>
      <c r="W282" s="8"/>
      <c r="X282" s="8"/>
      <c r="Y282" s="8"/>
      <c r="Z282" s="8"/>
    </row>
    <row r="283" spans="1:26" ht="12.75">
      <c r="A283" s="11">
        <v>43747.13962962963</v>
      </c>
      <c r="B283" s="12" t="str">
        <f>HYPERLINK("https://twitter.com/HasenMuneef","@HasenMuneef")</f>
        <v>@HasenMuneef</v>
      </c>
      <c r="C283" s="13" t="s">
        <v>1620</v>
      </c>
      <c r="D283" s="7" t="s">
        <v>1236</v>
      </c>
      <c r="E283" s="12" t="str">
        <f>HYPERLINK("https://twitter.com/HasenMuneef/status/1181877228239376384","1181877228239376384")</f>
        <v>1181877228239376384</v>
      </c>
      <c r="F283" s="8"/>
      <c r="G283" s="14" t="s">
        <v>1621</v>
      </c>
      <c r="H283" s="8"/>
      <c r="I283" s="15">
        <v>0</v>
      </c>
      <c r="J283" s="15">
        <v>0</v>
      </c>
      <c r="K283" s="12" t="str">
        <f>HYPERLINK("https://mobile.twitter.com","Twitter Web App")</f>
        <v>Twitter Web App</v>
      </c>
      <c r="L283" s="16">
        <v>0</v>
      </c>
      <c r="M283" s="16">
        <v>0</v>
      </c>
      <c r="N283" s="16">
        <v>0</v>
      </c>
      <c r="O283" s="17"/>
      <c r="P283" s="18">
        <v>43738.073854166665</v>
      </c>
      <c r="Q283" s="7" t="s">
        <v>1454</v>
      </c>
      <c r="R283" s="13" t="s">
        <v>1624</v>
      </c>
      <c r="S283" s="8"/>
      <c r="T283" s="8"/>
      <c r="U283" s="19" t="str">
        <f>HYPERLINK("https://pbs.twimg.com/profile_images/1178989216790802433/AMvLEdr9.jpg","View")</f>
        <v>View</v>
      </c>
      <c r="V283" s="8"/>
      <c r="W283" s="8"/>
      <c r="X283" s="8"/>
      <c r="Y283" s="8"/>
      <c r="Z283" s="8"/>
    </row>
    <row r="284" spans="1:26" ht="12.75">
      <c r="A284" s="11">
        <v>43747.137719907405</v>
      </c>
      <c r="B284" s="12" t="str">
        <f>HYPERLINK("https://twitter.com/isabinaliisabi2","@isabinaliisabi2")</f>
        <v>@isabinaliisabi2</v>
      </c>
      <c r="C284" s="13" t="s">
        <v>366</v>
      </c>
      <c r="D284" s="13" t="s">
        <v>1625</v>
      </c>
      <c r="E284" s="12" t="str">
        <f>HYPERLINK("https://twitter.com/isabinaliisabi2/status/1181876537261465601","1181876537261465601")</f>
        <v>1181876537261465601</v>
      </c>
      <c r="F284" s="8"/>
      <c r="G284" s="14" t="s">
        <v>1628</v>
      </c>
      <c r="H284" s="8"/>
      <c r="I284" s="15">
        <v>0</v>
      </c>
      <c r="J284" s="15">
        <v>0</v>
      </c>
      <c r="K284" s="12" t="str">
        <f>HYPERLINK("http://twitter.com","Twitter Web Client")</f>
        <v>Twitter Web Client</v>
      </c>
      <c r="L284" s="16">
        <v>1</v>
      </c>
      <c r="M284" s="16">
        <v>32</v>
      </c>
      <c r="N284" s="16">
        <v>0</v>
      </c>
      <c r="O284" s="17"/>
      <c r="P284" s="18">
        <v>42023.288576388892</v>
      </c>
      <c r="Q284" s="7"/>
      <c r="R284" s="13"/>
      <c r="S284" s="8"/>
      <c r="T284" s="8"/>
      <c r="U284" s="19" t="str">
        <f>HYPERLINK("https://pbs.twimg.com/profile_images/557190114573447168/gv6AOhTF.jpeg","View")</f>
        <v>View</v>
      </c>
      <c r="V284" s="8"/>
      <c r="W284" s="8"/>
      <c r="X284" s="8"/>
      <c r="Y284" s="8"/>
      <c r="Z284" s="8"/>
    </row>
    <row r="285" spans="1:26" ht="12.75">
      <c r="A285" s="11">
        <v>43747.137488425928</v>
      </c>
      <c r="B285" s="12" t="str">
        <f>HYPERLINK("https://twitter.com/AfzalAwad","@AfzalAwad")</f>
        <v>@AfzalAwad</v>
      </c>
      <c r="C285" s="13" t="s">
        <v>1631</v>
      </c>
      <c r="D285" s="13" t="s">
        <v>914</v>
      </c>
      <c r="E285" s="12" t="str">
        <f>HYPERLINK("https://twitter.com/AfzalAwad/status/1181876452368666626","1181876452368666626")</f>
        <v>1181876452368666626</v>
      </c>
      <c r="F285" s="8"/>
      <c r="G285" s="14" t="s">
        <v>917</v>
      </c>
      <c r="H285" s="8"/>
      <c r="I285" s="15">
        <v>0</v>
      </c>
      <c r="J285" s="15">
        <v>0</v>
      </c>
      <c r="K285" s="12" t="str">
        <f>HYPERLINK("https://mobile.twitter.com","Twitter Web App")</f>
        <v>Twitter Web App</v>
      </c>
      <c r="L285" s="16">
        <v>0</v>
      </c>
      <c r="M285" s="16">
        <v>0</v>
      </c>
      <c r="N285" s="16">
        <v>0</v>
      </c>
      <c r="O285" s="17"/>
      <c r="P285" s="18">
        <v>43740.005046296297</v>
      </c>
      <c r="Q285" s="7" t="s">
        <v>939</v>
      </c>
      <c r="R285" s="13" t="s">
        <v>1110</v>
      </c>
      <c r="S285" s="8"/>
      <c r="T285" s="8"/>
      <c r="U285" s="19" t="str">
        <f>HYPERLINK("https://pbs.twimg.com/profile_images/1181131426055352320/tKC0YLCj.jpg","View")</f>
        <v>View</v>
      </c>
      <c r="V285" s="8"/>
      <c r="W285" s="8"/>
      <c r="X285" s="8"/>
      <c r="Y285" s="8"/>
      <c r="Z285" s="8"/>
    </row>
    <row r="286" spans="1:26" ht="12.75">
      <c r="A286" s="11">
        <v>43747.137291666666</v>
      </c>
      <c r="B286" s="12" t="str">
        <f>HYPERLINK("https://twitter.com/alshhar_00","@alshhar_00")</f>
        <v>@alshhar_00</v>
      </c>
      <c r="C286" s="13" t="s">
        <v>1634</v>
      </c>
      <c r="D286" s="7" t="s">
        <v>1635</v>
      </c>
      <c r="E286" s="12" t="str">
        <f>HYPERLINK("https://twitter.com/alshhar_00/status/1181876384412639232","1181876384412639232")</f>
        <v>1181876384412639232</v>
      </c>
      <c r="F286" s="8"/>
      <c r="G286" s="14" t="s">
        <v>1638</v>
      </c>
      <c r="H286" s="8"/>
      <c r="I286" s="15">
        <v>0</v>
      </c>
      <c r="J286" s="15">
        <v>0</v>
      </c>
      <c r="K286" s="12" t="str">
        <f>HYPERLINK("http://twitter.com","Twitter Web Client")</f>
        <v>Twitter Web Client</v>
      </c>
      <c r="L286" s="16">
        <v>0</v>
      </c>
      <c r="M286" s="16">
        <v>38</v>
      </c>
      <c r="N286" s="16">
        <v>0</v>
      </c>
      <c r="O286" s="17"/>
      <c r="P286" s="18">
        <v>41845.799907407403</v>
      </c>
      <c r="Q286" s="7"/>
      <c r="R286" s="13"/>
      <c r="S286" s="8"/>
      <c r="T286" s="8"/>
      <c r="U286" s="19" t="str">
        <f>HYPERLINK("https://pbs.twimg.com/profile_images/492854905455910913/wyih31Kk.jpeg","View")</f>
        <v>View</v>
      </c>
      <c r="V286" s="8"/>
      <c r="W286" s="8"/>
      <c r="X286" s="8"/>
      <c r="Y286" s="8"/>
      <c r="Z286" s="8"/>
    </row>
    <row r="287" spans="1:26" ht="12.75">
      <c r="A287" s="11">
        <v>43747.137048611112</v>
      </c>
      <c r="B287" s="12" t="str">
        <f>HYPERLINK("https://twitter.com/FateenGhattas","@FateenGhattas")</f>
        <v>@FateenGhattas</v>
      </c>
      <c r="C287" s="13" t="s">
        <v>1641</v>
      </c>
      <c r="D287" s="7" t="s">
        <v>28</v>
      </c>
      <c r="E287" s="12" t="str">
        <f>HYPERLINK("https://twitter.com/FateenGhattas/status/1181876292674703360","1181876292674703360")</f>
        <v>1181876292674703360</v>
      </c>
      <c r="F287" s="8"/>
      <c r="G287" s="14" t="s">
        <v>31</v>
      </c>
      <c r="H287" s="8"/>
      <c r="I287" s="15">
        <v>0</v>
      </c>
      <c r="J287" s="15">
        <v>0</v>
      </c>
      <c r="K287" s="12" t="str">
        <f>HYPERLINK("https://mobile.twitter.com","Twitter Web App")</f>
        <v>Twitter Web App</v>
      </c>
      <c r="L287" s="16">
        <v>0</v>
      </c>
      <c r="M287" s="16">
        <v>0</v>
      </c>
      <c r="N287" s="16">
        <v>0</v>
      </c>
      <c r="O287" s="17"/>
      <c r="P287" s="18">
        <v>43740.168032407411</v>
      </c>
      <c r="Q287" s="7" t="s">
        <v>1612</v>
      </c>
      <c r="R287" s="13" t="s">
        <v>1552</v>
      </c>
      <c r="S287" s="8"/>
      <c r="T287" s="8"/>
      <c r="U287" s="19" t="str">
        <f>HYPERLINK("https://pbs.twimg.com/profile_images/1181133012064358401/GJRLTl1W.jpg","View")</f>
        <v>View</v>
      </c>
      <c r="V287" s="8"/>
      <c r="W287" s="8"/>
      <c r="X287" s="8"/>
      <c r="Y287" s="8"/>
      <c r="Z287" s="8"/>
    </row>
    <row r="288" spans="1:26" ht="12.75">
      <c r="A288" s="11">
        <v>43747.136956018519</v>
      </c>
      <c r="B288" s="12" t="str">
        <f>HYPERLINK("https://twitter.com/S55958350","@S55958350")</f>
        <v>@S55958350</v>
      </c>
      <c r="C288" s="13" t="s">
        <v>1642</v>
      </c>
      <c r="D288" s="7" t="s">
        <v>1643</v>
      </c>
      <c r="E288" s="12" t="str">
        <f>HYPERLINK("https://twitter.com/S55958350/status/1181876260785545216","1181876260785545216")</f>
        <v>1181876260785545216</v>
      </c>
      <c r="F288" s="8"/>
      <c r="G288" s="15"/>
      <c r="H288" s="8"/>
      <c r="I288" s="15">
        <v>0</v>
      </c>
      <c r="J288" s="15">
        <v>0</v>
      </c>
      <c r="K288" s="12" t="str">
        <f>HYPERLINK("http://twitter.com/download/android","Twitter for Android")</f>
        <v>Twitter for Android</v>
      </c>
      <c r="L288" s="16">
        <v>3</v>
      </c>
      <c r="M288" s="16">
        <v>0</v>
      </c>
      <c r="N288" s="16">
        <v>0</v>
      </c>
      <c r="O288" s="17"/>
      <c r="P288" s="18">
        <v>43676.341979166667</v>
      </c>
      <c r="Q288" s="7"/>
      <c r="R288" s="13"/>
      <c r="S288" s="8"/>
      <c r="T288" s="8"/>
      <c r="U288" s="19" t="str">
        <f>HYPERLINK("https://pbs.twimg.com/profile_images/1176629634949144582/n97-KHWr.jpg","View")</f>
        <v>View</v>
      </c>
      <c r="V288" s="8"/>
      <c r="W288" s="8"/>
      <c r="X288" s="8"/>
      <c r="Y288" s="8"/>
      <c r="Z288" s="8"/>
    </row>
    <row r="289" spans="1:26" ht="12.75">
      <c r="A289" s="11">
        <v>43747.136597222227</v>
      </c>
      <c r="B289" s="12" t="str">
        <f>HYPERLINK("https://twitter.com/yousefalhar20","@yousefalhar20")</f>
        <v>@yousefalhar20</v>
      </c>
      <c r="C289" s="13" t="s">
        <v>1644</v>
      </c>
      <c r="D289" s="7" t="s">
        <v>1645</v>
      </c>
      <c r="E289" s="12" t="str">
        <f>HYPERLINK("https://twitter.com/yousefalhar20/status/1181876131663880192","1181876131663880192")</f>
        <v>1181876131663880192</v>
      </c>
      <c r="F289" s="8"/>
      <c r="G289" s="14" t="s">
        <v>1646</v>
      </c>
      <c r="H289" s="8"/>
      <c r="I289" s="15">
        <v>0</v>
      </c>
      <c r="J289" s="15">
        <v>0</v>
      </c>
      <c r="K289" s="12" t="str">
        <f>HYPERLINK("http://twitter.com","Twitter Web Client")</f>
        <v>Twitter Web Client</v>
      </c>
      <c r="L289" s="16">
        <v>0</v>
      </c>
      <c r="M289" s="16">
        <v>32</v>
      </c>
      <c r="N289" s="16">
        <v>0</v>
      </c>
      <c r="O289" s="17"/>
      <c r="P289" s="18">
        <v>41849.661874999998</v>
      </c>
      <c r="Q289" s="7"/>
      <c r="R289" s="13"/>
      <c r="S289" s="8"/>
      <c r="T289" s="8"/>
      <c r="U289" s="19" t="str">
        <f>HYPERLINK("https://pbs.twimg.com/profile_images/494254568956362754/_GP5wn-b.jpeg","View")</f>
        <v>View</v>
      </c>
      <c r="V289" s="8"/>
      <c r="W289" s="8"/>
      <c r="X289" s="8"/>
      <c r="Y289" s="8"/>
      <c r="Z289" s="8"/>
    </row>
    <row r="290" spans="1:26" ht="12.75">
      <c r="A290" s="11">
        <v>43747.136458333334</v>
      </c>
      <c r="B290" s="12" t="str">
        <f>HYPERLINK("https://twitter.com/mohamme84562590","@mohamme84562590")</f>
        <v>@mohamme84562590</v>
      </c>
      <c r="C290" s="13" t="s">
        <v>1650</v>
      </c>
      <c r="D290" s="7" t="s">
        <v>1651</v>
      </c>
      <c r="E290" s="12" t="str">
        <f>HYPERLINK("https://twitter.com/mohamme84562590/status/1181876078928961537","1181876078928961537")</f>
        <v>1181876078928961537</v>
      </c>
      <c r="F290" s="8"/>
      <c r="G290" s="14" t="s">
        <v>1652</v>
      </c>
      <c r="H290" s="8"/>
      <c r="I290" s="15">
        <v>0</v>
      </c>
      <c r="J290" s="15">
        <v>0</v>
      </c>
      <c r="K290" s="12" t="str">
        <f>HYPERLINK("http://twitter.com","Twitter Web Client")</f>
        <v>Twitter Web Client</v>
      </c>
      <c r="L290" s="16">
        <v>3</v>
      </c>
      <c r="M290" s="16">
        <v>37</v>
      </c>
      <c r="N290" s="16">
        <v>0</v>
      </c>
      <c r="O290" s="17"/>
      <c r="P290" s="18">
        <v>42080.474490740744</v>
      </c>
      <c r="Q290" s="7"/>
      <c r="R290" s="13"/>
      <c r="S290" s="8"/>
      <c r="T290" s="8"/>
      <c r="U290" s="19" t="str">
        <f>HYPERLINK("https://pbs.twimg.com/profile_images/577901694152904704/wA6EJxG3.jpeg","View")</f>
        <v>View</v>
      </c>
      <c r="V290" s="8"/>
      <c r="W290" s="8"/>
      <c r="X290" s="8"/>
      <c r="Y290" s="8"/>
      <c r="Z290" s="8"/>
    </row>
    <row r="291" spans="1:26" ht="12.75">
      <c r="A291" s="11">
        <v>43747.136388888888</v>
      </c>
      <c r="B291" s="12" t="str">
        <f>HYPERLINK("https://twitter.com/HajraBin","@HajraBin")</f>
        <v>@HajraBin</v>
      </c>
      <c r="C291" s="13" t="s">
        <v>1653</v>
      </c>
      <c r="D291" s="13" t="s">
        <v>1030</v>
      </c>
      <c r="E291" s="12" t="str">
        <f>HYPERLINK("https://twitter.com/HajraBin/status/1181876055235166209","1181876055235166209")</f>
        <v>1181876055235166209</v>
      </c>
      <c r="F291" s="8"/>
      <c r="G291" s="14" t="s">
        <v>1654</v>
      </c>
      <c r="H291" s="8"/>
      <c r="I291" s="15">
        <v>0</v>
      </c>
      <c r="J291" s="15">
        <v>0</v>
      </c>
      <c r="K291" s="12" t="str">
        <f>HYPERLINK("https://mobile.twitter.com","Twitter Web App")</f>
        <v>Twitter Web App</v>
      </c>
      <c r="L291" s="16">
        <v>0</v>
      </c>
      <c r="M291" s="16">
        <v>0</v>
      </c>
      <c r="N291" s="16">
        <v>0</v>
      </c>
      <c r="O291" s="17"/>
      <c r="P291" s="18">
        <v>43732.912615740745</v>
      </c>
      <c r="Q291" s="7" t="s">
        <v>1379</v>
      </c>
      <c r="R291" s="13" t="s">
        <v>1135</v>
      </c>
      <c r="S291" s="8"/>
      <c r="T291" s="8"/>
      <c r="U291" s="19" t="str">
        <f>HYPERLINK("https://pbs.twimg.com/profile_images/1179347598215438337/kZYLxYPx.jpg","View")</f>
        <v>View</v>
      </c>
      <c r="V291" s="8"/>
      <c r="W291" s="8"/>
      <c r="X291" s="8"/>
      <c r="Y291" s="8"/>
      <c r="Z291" s="8"/>
    </row>
    <row r="292" spans="1:26" ht="12.75">
      <c r="A292" s="11">
        <v>43747.13590277778</v>
      </c>
      <c r="B292" s="12" t="str">
        <f>HYPERLINK("https://twitter.com/hassen_alii6","@hassen_alii6")</f>
        <v>@hassen_alii6</v>
      </c>
      <c r="C292" s="13" t="s">
        <v>1655</v>
      </c>
      <c r="D292" s="13" t="s">
        <v>1656</v>
      </c>
      <c r="E292" s="12" t="str">
        <f>HYPERLINK("https://twitter.com/hassen_alii6/status/1181875877702983680","1181875877702983680")</f>
        <v>1181875877702983680</v>
      </c>
      <c r="F292" s="8"/>
      <c r="G292" s="14" t="s">
        <v>1659</v>
      </c>
      <c r="H292" s="8"/>
      <c r="I292" s="15">
        <v>0</v>
      </c>
      <c r="J292" s="15">
        <v>0</v>
      </c>
      <c r="K292" s="12" t="str">
        <f>HYPERLINK("http://twitter.com","Twitter Web Client")</f>
        <v>Twitter Web Client</v>
      </c>
      <c r="L292" s="16">
        <v>6</v>
      </c>
      <c r="M292" s="16">
        <v>37</v>
      </c>
      <c r="N292" s="16">
        <v>0</v>
      </c>
      <c r="O292" s="17"/>
      <c r="P292" s="18">
        <v>41845.617928240739</v>
      </c>
      <c r="Q292" s="7"/>
      <c r="R292" s="13"/>
      <c r="S292" s="8"/>
      <c r="T292" s="8"/>
      <c r="U292" s="19" t="str">
        <f>HYPERLINK("https://pbs.twimg.com/profile_images/492788937853657088/AwAM7LoV.jpeg","View")</f>
        <v>View</v>
      </c>
      <c r="V292" s="8"/>
      <c r="W292" s="8"/>
      <c r="X292" s="8"/>
      <c r="Y292" s="8"/>
      <c r="Z292" s="8"/>
    </row>
    <row r="293" spans="1:26" ht="12.75">
      <c r="A293" s="11">
        <v>43747.135659722218</v>
      </c>
      <c r="B293" s="12" t="str">
        <f>HYPERLINK("https://twitter.com/IshaaqSaleem","@IshaaqSaleem")</f>
        <v>@IshaaqSaleem</v>
      </c>
      <c r="C293" s="13" t="s">
        <v>1663</v>
      </c>
      <c r="D293" s="7" t="s">
        <v>914</v>
      </c>
      <c r="E293" s="12" t="str">
        <f>HYPERLINK("https://twitter.com/IshaaqSaleem/status/1181875789962215425","1181875789962215425")</f>
        <v>1181875789962215425</v>
      </c>
      <c r="F293" s="8"/>
      <c r="G293" s="14" t="s">
        <v>917</v>
      </c>
      <c r="H293" s="8"/>
      <c r="I293" s="15">
        <v>0</v>
      </c>
      <c r="J293" s="15">
        <v>0</v>
      </c>
      <c r="K293" s="12" t="str">
        <f>HYPERLINK("https://mobile.twitter.com","Twitter Web App")</f>
        <v>Twitter Web App</v>
      </c>
      <c r="L293" s="16">
        <v>0</v>
      </c>
      <c r="M293" s="16">
        <v>2</v>
      </c>
      <c r="N293" s="16">
        <v>0</v>
      </c>
      <c r="O293" s="17"/>
      <c r="P293" s="18">
        <v>43740.930567129632</v>
      </c>
      <c r="Q293" s="7" t="s">
        <v>1133</v>
      </c>
      <c r="R293" s="13" t="s">
        <v>912</v>
      </c>
      <c r="S293" s="8"/>
      <c r="T293" s="8"/>
      <c r="U293" s="19" t="str">
        <f>HYPERLINK("https://pbs.twimg.com/profile_images/1181875735826317314/YSU-p-6-.jpg","View")</f>
        <v>View</v>
      </c>
      <c r="V293" s="8"/>
      <c r="W293" s="8"/>
      <c r="X293" s="8"/>
      <c r="Y293" s="8"/>
      <c r="Z293" s="8"/>
    </row>
    <row r="294" spans="1:26" ht="12.75">
      <c r="A294" s="11">
        <v>43747.13480324074</v>
      </c>
      <c r="B294" s="12" t="str">
        <f>HYPERLINK("https://twitter.com/HsoudMansour","@HsoudMansour")</f>
        <v>@HsoudMansour</v>
      </c>
      <c r="C294" s="13" t="s">
        <v>1667</v>
      </c>
      <c r="D294" s="7" t="s">
        <v>1668</v>
      </c>
      <c r="E294" s="12" t="str">
        <f>HYPERLINK("https://twitter.com/HsoudMansour/status/1181875480217214977","1181875480217214977")</f>
        <v>1181875480217214977</v>
      </c>
      <c r="F294" s="8"/>
      <c r="G294" s="14" t="s">
        <v>1669</v>
      </c>
      <c r="H294" s="8"/>
      <c r="I294" s="15">
        <v>0</v>
      </c>
      <c r="J294" s="15">
        <v>0</v>
      </c>
      <c r="K294" s="12" t="str">
        <f>HYPERLINK("http://twitter.com","Twitter Web Client")</f>
        <v>Twitter Web Client</v>
      </c>
      <c r="L294" s="16">
        <v>2</v>
      </c>
      <c r="M294" s="16">
        <v>41</v>
      </c>
      <c r="N294" s="16">
        <v>0</v>
      </c>
      <c r="O294" s="17"/>
      <c r="P294" s="18">
        <v>42070.558287037042</v>
      </c>
      <c r="Q294" s="7"/>
      <c r="R294" s="13"/>
      <c r="S294" s="8"/>
      <c r="T294" s="8"/>
      <c r="U294" s="19" t="str">
        <f>HYPERLINK("https://pbs.twimg.com/profile_images/574326493578297345/qIA7lzRa.jpeg","View")</f>
        <v>View</v>
      </c>
      <c r="V294" s="8"/>
      <c r="W294" s="8"/>
      <c r="X294" s="8"/>
      <c r="Y294" s="8"/>
      <c r="Z294" s="8"/>
    </row>
    <row r="295" spans="1:26" ht="12.75">
      <c r="A295" s="11">
        <v>43747.134756944448</v>
      </c>
      <c r="B295" s="12" t="str">
        <f>HYPERLINK("https://twitter.com/al_kinaana","@al_kinaana")</f>
        <v>@al_kinaana</v>
      </c>
      <c r="C295" s="13" t="s">
        <v>1672</v>
      </c>
      <c r="D295" s="7" t="s">
        <v>914</v>
      </c>
      <c r="E295" s="12" t="str">
        <f>HYPERLINK("https://twitter.com/al_kinaana/status/1181875466002546688","1181875466002546688")</f>
        <v>1181875466002546688</v>
      </c>
      <c r="F295" s="8"/>
      <c r="G295" s="14" t="s">
        <v>917</v>
      </c>
      <c r="H295" s="8"/>
      <c r="I295" s="15">
        <v>0</v>
      </c>
      <c r="J295" s="15">
        <v>0</v>
      </c>
      <c r="K295" s="12" t="str">
        <f>HYPERLINK("https://mobile.twitter.com","Twitter Web App")</f>
        <v>Twitter Web App</v>
      </c>
      <c r="L295" s="16">
        <v>0</v>
      </c>
      <c r="M295" s="16">
        <v>1</v>
      </c>
      <c r="N295" s="16">
        <v>0</v>
      </c>
      <c r="O295" s="17"/>
      <c r="P295" s="18">
        <v>43740.95248842593</v>
      </c>
      <c r="Q295" s="7" t="s">
        <v>1396</v>
      </c>
      <c r="R295" s="13" t="s">
        <v>1606</v>
      </c>
      <c r="S295" s="8"/>
      <c r="T295" s="8"/>
      <c r="U295" s="19" t="str">
        <f>HYPERLINK("https://pbs.twimg.com/profile_images/1180789195683426306/wd5v1stJ.jpg","View")</f>
        <v>View</v>
      </c>
      <c r="V295" s="8"/>
      <c r="W295" s="8"/>
      <c r="X295" s="8"/>
      <c r="Y295" s="8"/>
      <c r="Z295" s="8"/>
    </row>
    <row r="296" spans="1:26" ht="12.75">
      <c r="A296" s="11">
        <v>43747.134525462963</v>
      </c>
      <c r="B296" s="12" t="str">
        <f>HYPERLINK("https://twitter.com/khalidalikhlid","@khalidalikhlid")</f>
        <v>@khalidalikhlid</v>
      </c>
      <c r="C296" s="13" t="s">
        <v>1679</v>
      </c>
      <c r="D296" s="7" t="s">
        <v>1680</v>
      </c>
      <c r="E296" s="12" t="str">
        <f>HYPERLINK("https://twitter.com/khalidalikhlid/status/1181875379012808704","1181875379012808704")</f>
        <v>1181875379012808704</v>
      </c>
      <c r="F296" s="8"/>
      <c r="G296" s="14" t="s">
        <v>1681</v>
      </c>
      <c r="H296" s="8"/>
      <c r="I296" s="15">
        <v>0</v>
      </c>
      <c r="J296" s="15">
        <v>0</v>
      </c>
      <c r="K296" s="12" t="str">
        <f>HYPERLINK("http://twitter.com","Twitter Web Client")</f>
        <v>Twitter Web Client</v>
      </c>
      <c r="L296" s="16">
        <v>0</v>
      </c>
      <c r="M296" s="16">
        <v>31</v>
      </c>
      <c r="N296" s="16">
        <v>0</v>
      </c>
      <c r="O296" s="17"/>
      <c r="P296" s="18">
        <v>41849.184861111113</v>
      </c>
      <c r="Q296" s="7"/>
      <c r="R296" s="13"/>
      <c r="S296" s="8"/>
      <c r="T296" s="8"/>
      <c r="U296" s="19" t="str">
        <f>HYPERLINK("https://pbs.twimg.com/profile_images/494081692068372480/PR03N9v6.jpeg","View")</f>
        <v>View</v>
      </c>
      <c r="V296" s="8"/>
      <c r="W296" s="8"/>
      <c r="X296" s="8"/>
      <c r="Y296" s="8"/>
      <c r="Z296" s="8"/>
    </row>
    <row r="297" spans="1:26" ht="12.75">
      <c r="A297" s="11">
        <v>43747.134247685186</v>
      </c>
      <c r="B297" s="12" t="str">
        <f>HYPERLINK("https://twitter.com/AMAMIIE33","@AMAMIIE33")</f>
        <v>@AMAMIIE33</v>
      </c>
      <c r="C297" s="13" t="s">
        <v>1686</v>
      </c>
      <c r="D297" s="13" t="s">
        <v>1687</v>
      </c>
      <c r="E297" s="12" t="str">
        <f>HYPERLINK("https://twitter.com/AMAMIIE33/status/1181875280211795973","1181875280211795973")</f>
        <v>1181875280211795973</v>
      </c>
      <c r="F297" s="8"/>
      <c r="G297" s="14" t="s">
        <v>1689</v>
      </c>
      <c r="H297" s="8"/>
      <c r="I297" s="15">
        <v>0</v>
      </c>
      <c r="J297" s="15">
        <v>0</v>
      </c>
      <c r="K297" s="12" t="str">
        <f>HYPERLINK("http://twitter.com","Twitter Web Client")</f>
        <v>Twitter Web Client</v>
      </c>
      <c r="L297" s="16">
        <v>5</v>
      </c>
      <c r="M297" s="16">
        <v>35</v>
      </c>
      <c r="N297" s="16">
        <v>0</v>
      </c>
      <c r="O297" s="17"/>
      <c r="P297" s="18">
        <v>42077.518229166672</v>
      </c>
      <c r="Q297" s="7"/>
      <c r="R297" s="13"/>
      <c r="S297" s="8"/>
      <c r="T297" s="8"/>
      <c r="U297" s="19" t="str">
        <f>HYPERLINK("https://pbs.twimg.com/profile_images/576826868327800832/uknxS_mA.jpeg","View")</f>
        <v>View</v>
      </c>
      <c r="V297" s="8"/>
      <c r="W297" s="8"/>
      <c r="X297" s="8"/>
      <c r="Y297" s="8"/>
      <c r="Z297" s="8"/>
    </row>
    <row r="298" spans="1:26" ht="12.75">
      <c r="A298" s="11">
        <v>43747.13386574074</v>
      </c>
      <c r="B298" s="12" t="str">
        <f>HYPERLINK("https://twitter.com/SekhHala","@SekhHala")</f>
        <v>@SekhHala</v>
      </c>
      <c r="C298" s="13" t="s">
        <v>1691</v>
      </c>
      <c r="D298" s="7" t="s">
        <v>1130</v>
      </c>
      <c r="E298" s="12" t="str">
        <f>HYPERLINK("https://twitter.com/SekhHala/status/1181875141401169921","1181875141401169921")</f>
        <v>1181875141401169921</v>
      </c>
      <c r="F298" s="8"/>
      <c r="G298" s="14" t="s">
        <v>1692</v>
      </c>
      <c r="H298" s="8"/>
      <c r="I298" s="15">
        <v>0</v>
      </c>
      <c r="J298" s="15">
        <v>0</v>
      </c>
      <c r="K298" s="12" t="str">
        <f>HYPERLINK("https://mobile.twitter.com","Twitter Web App")</f>
        <v>Twitter Web App</v>
      </c>
      <c r="L298" s="16">
        <v>0</v>
      </c>
      <c r="M298" s="16">
        <v>0</v>
      </c>
      <c r="N298" s="16">
        <v>0</v>
      </c>
      <c r="O298" s="17"/>
      <c r="P298" s="18">
        <v>43732.91805555555</v>
      </c>
      <c r="Q298" s="7" t="s">
        <v>1284</v>
      </c>
      <c r="R298" s="13" t="s">
        <v>955</v>
      </c>
      <c r="S298" s="8"/>
      <c r="T298" s="8"/>
      <c r="U298" s="19" t="str">
        <f>HYPERLINK("https://pbs.twimg.com/profile_images/1179347757670305798/Q0oJ1bMJ.jpg","View")</f>
        <v>View</v>
      </c>
      <c r="V298" s="8"/>
      <c r="W298" s="8"/>
      <c r="X298" s="8"/>
      <c r="Y298" s="8"/>
      <c r="Z298" s="8"/>
    </row>
    <row r="299" spans="1:26" ht="12.75">
      <c r="A299" s="11">
        <v>43747.13381944444</v>
      </c>
      <c r="B299" s="12" t="str">
        <f>HYPERLINK("https://twitter.com/rochelleriley","@rochelleriley")</f>
        <v>@rochelleriley</v>
      </c>
      <c r="C299" s="13" t="s">
        <v>1697</v>
      </c>
      <c r="D299" s="7" t="s">
        <v>1698</v>
      </c>
      <c r="E299" s="12" t="str">
        <f>HYPERLINK("https://twitter.com/rochelleriley/status/1181875124255035392","1181875124255035392")</f>
        <v>1181875124255035392</v>
      </c>
      <c r="F299" s="14" t="s">
        <v>1699</v>
      </c>
      <c r="G299" s="14" t="s">
        <v>1700</v>
      </c>
      <c r="H299" s="8"/>
      <c r="I299" s="15">
        <v>1</v>
      </c>
      <c r="J299" s="15">
        <v>2</v>
      </c>
      <c r="K299" s="12" t="str">
        <f>HYPERLINK("https://about.twitter.com/products/tweetdeck","TweetDeck")</f>
        <v>TweetDeck</v>
      </c>
      <c r="L299" s="16">
        <v>9300</v>
      </c>
      <c r="M299" s="16">
        <v>701</v>
      </c>
      <c r="N299" s="16">
        <v>291</v>
      </c>
      <c r="O299" s="17" t="s">
        <v>984</v>
      </c>
      <c r="P299" s="18">
        <v>39898.885092592594</v>
      </c>
      <c r="Q299" s="7" t="s">
        <v>1701</v>
      </c>
      <c r="R299" s="13" t="s">
        <v>1703</v>
      </c>
      <c r="S299" s="14" t="s">
        <v>1704</v>
      </c>
      <c r="T299" s="8"/>
      <c r="U299" s="19" t="str">
        <f>HYPERLINK("https://pbs.twimg.com/profile_images/1093804229960089600/hd-BeJE2.jpg","View")</f>
        <v>View</v>
      </c>
      <c r="V299" s="8"/>
      <c r="W299" s="8"/>
      <c r="X299" s="8"/>
      <c r="Y299" s="8"/>
      <c r="Z299" s="8"/>
    </row>
    <row r="300" spans="1:26" ht="12.75">
      <c r="A300" s="11">
        <v>43747.133680555555</v>
      </c>
      <c r="B300" s="12" t="str">
        <f>HYPERLINK("https://twitter.com/mobarah44","@mobarah44")</f>
        <v>@mobarah44</v>
      </c>
      <c r="C300" s="13" t="s">
        <v>1708</v>
      </c>
      <c r="D300" s="7" t="s">
        <v>1709</v>
      </c>
      <c r="E300" s="12" t="str">
        <f>HYPERLINK("https://twitter.com/mobarah44/status/1181875074325979137","1181875074325979137")</f>
        <v>1181875074325979137</v>
      </c>
      <c r="F300" s="8"/>
      <c r="G300" s="14" t="s">
        <v>1710</v>
      </c>
      <c r="H300" s="8"/>
      <c r="I300" s="15">
        <v>0</v>
      </c>
      <c r="J300" s="15">
        <v>0</v>
      </c>
      <c r="K300" s="12" t="str">
        <f>HYPERLINK("http://twitter.com","Twitter Web Client")</f>
        <v>Twitter Web Client</v>
      </c>
      <c r="L300" s="16">
        <v>8</v>
      </c>
      <c r="M300" s="16">
        <v>40</v>
      </c>
      <c r="N300" s="16">
        <v>0</v>
      </c>
      <c r="O300" s="17"/>
      <c r="P300" s="18">
        <v>42079.718518518523</v>
      </c>
      <c r="Q300" s="7"/>
      <c r="R300" s="13"/>
      <c r="S300" s="8"/>
      <c r="T300" s="8"/>
      <c r="U300" s="19" t="str">
        <f>HYPERLINK("https://pbs.twimg.com/profile_images/577624223721472000/gWBGWuEU.jpeg","View")</f>
        <v>View</v>
      </c>
      <c r="V300" s="8"/>
      <c r="W300" s="8"/>
      <c r="X300" s="8"/>
      <c r="Y300" s="8"/>
      <c r="Z300" s="8"/>
    </row>
    <row r="301" spans="1:26" ht="12.75">
      <c r="A301" s="11">
        <v>43747.132430555561</v>
      </c>
      <c r="B301" s="12" t="str">
        <f>HYPERLINK("https://twitter.com/eajuiealh","@eajuiealh")</f>
        <v>@eajuiealh</v>
      </c>
      <c r="C301" s="13" t="s">
        <v>1713</v>
      </c>
      <c r="D301" s="13" t="s">
        <v>1714</v>
      </c>
      <c r="E301" s="12" t="str">
        <f>HYPERLINK("https://twitter.com/eajuiealh/status/1181874619416010753","1181874619416010753")</f>
        <v>1181874619416010753</v>
      </c>
      <c r="F301" s="8"/>
      <c r="G301" s="14" t="s">
        <v>1717</v>
      </c>
      <c r="H301" s="8"/>
      <c r="I301" s="15">
        <v>0</v>
      </c>
      <c r="J301" s="15">
        <v>0</v>
      </c>
      <c r="K301" s="12" t="str">
        <f>HYPERLINK("http://twitter.com","Twitter Web Client")</f>
        <v>Twitter Web Client</v>
      </c>
      <c r="L301" s="16">
        <v>0</v>
      </c>
      <c r="M301" s="16">
        <v>33</v>
      </c>
      <c r="N301" s="16">
        <v>0</v>
      </c>
      <c r="O301" s="17"/>
      <c r="P301" s="18">
        <v>42080.753379629634</v>
      </c>
      <c r="Q301" s="7"/>
      <c r="R301" s="13"/>
      <c r="S301" s="8"/>
      <c r="T301" s="8"/>
      <c r="U301" s="19" t="str">
        <f>HYPERLINK("https://pbs.twimg.com/profile_images/578000279292915712/VLb77Gu5.jpeg","View")</f>
        <v>View</v>
      </c>
      <c r="V301" s="8"/>
      <c r="W301" s="8"/>
      <c r="X301" s="8"/>
      <c r="Y301" s="8"/>
      <c r="Z301" s="8"/>
    </row>
    <row r="302" spans="1:26" ht="12.75">
      <c r="A302" s="11">
        <v>43747.132210648153</v>
      </c>
      <c r="B302" s="12" t="str">
        <f>HYPERLINK("https://twitter.com/SultanbinSalm14","@SultanbinSalm14")</f>
        <v>@SultanbinSalm14</v>
      </c>
      <c r="C302" s="13" t="s">
        <v>1720</v>
      </c>
      <c r="D302" s="7" t="s">
        <v>944</v>
      </c>
      <c r="E302" s="12" t="str">
        <f>HYPERLINK("https://twitter.com/SultanbinSalm14/status/1181874540445458434","1181874540445458434")</f>
        <v>1181874540445458434</v>
      </c>
      <c r="F302" s="8"/>
      <c r="G302" s="14" t="s">
        <v>1721</v>
      </c>
      <c r="H302" s="8"/>
      <c r="I302" s="15">
        <v>0</v>
      </c>
      <c r="J302" s="15">
        <v>0</v>
      </c>
      <c r="K302" s="12" t="str">
        <f>HYPERLINK("https://mobile.twitter.com","Twitter Web App")</f>
        <v>Twitter Web App</v>
      </c>
      <c r="L302" s="16">
        <v>2</v>
      </c>
      <c r="M302" s="16">
        <v>2</v>
      </c>
      <c r="N302" s="16">
        <v>0</v>
      </c>
      <c r="O302" s="17"/>
      <c r="P302" s="18">
        <v>43738.139884259261</v>
      </c>
      <c r="Q302" s="7" t="s">
        <v>1454</v>
      </c>
      <c r="R302" s="13" t="s">
        <v>1722</v>
      </c>
      <c r="S302" s="8"/>
      <c r="T302" s="8"/>
      <c r="U302" s="19" t="str">
        <f>HYPERLINK("https://pbs.twimg.com/profile_images/1178675640913911808/MjtCGE4Z.jpg","View")</f>
        <v>View</v>
      </c>
      <c r="V302" s="8"/>
      <c r="W302" s="8"/>
      <c r="X302" s="8"/>
      <c r="Y302" s="8"/>
      <c r="Z302" s="8"/>
    </row>
    <row r="303" spans="1:26" ht="12.75">
      <c r="A303" s="11">
        <v>43747.132152777776</v>
      </c>
      <c r="B303" s="12" t="str">
        <f>HYPERLINK("https://twitter.com/ElMowad","@ElMowad")</f>
        <v>@ElMowad</v>
      </c>
      <c r="C303" s="13" t="s">
        <v>1723</v>
      </c>
      <c r="D303" s="7" t="s">
        <v>1107</v>
      </c>
      <c r="E303" s="12" t="str">
        <f>HYPERLINK("https://twitter.com/ElMowad/status/1181874520254111744","1181874520254111744")</f>
        <v>1181874520254111744</v>
      </c>
      <c r="F303" s="8"/>
      <c r="G303" s="14" t="s">
        <v>1726</v>
      </c>
      <c r="H303" s="8"/>
      <c r="I303" s="15">
        <v>0</v>
      </c>
      <c r="J303" s="15">
        <v>0</v>
      </c>
      <c r="K303" s="12" t="str">
        <f>HYPERLINK("https://mobile.twitter.com","Twitter Web App")</f>
        <v>Twitter Web App</v>
      </c>
      <c r="L303" s="16">
        <v>0</v>
      </c>
      <c r="M303" s="16">
        <v>0</v>
      </c>
      <c r="N303" s="16">
        <v>0</v>
      </c>
      <c r="O303" s="17"/>
      <c r="P303" s="18">
        <v>43735.921689814815</v>
      </c>
      <c r="Q303" s="7" t="s">
        <v>1133</v>
      </c>
      <c r="R303" s="13" t="s">
        <v>1135</v>
      </c>
      <c r="S303" s="8"/>
      <c r="T303" s="8"/>
      <c r="U303" s="19" t="str">
        <f>HYPERLINK("https://pbs.twimg.com/profile_images/1180426081695756289/Oc4pydPV.jpg","View")</f>
        <v>View</v>
      </c>
      <c r="V303" s="8"/>
      <c r="W303" s="8"/>
      <c r="X303" s="8"/>
      <c r="Y303" s="8"/>
      <c r="Z303" s="8"/>
    </row>
    <row r="304" spans="1:26" ht="12.75">
      <c r="A304" s="11">
        <v>43747.131747685184</v>
      </c>
      <c r="B304" s="12" t="str">
        <f>HYPERLINK("https://twitter.com/alma5arab77","@alma5arab77")</f>
        <v>@alma5arab77</v>
      </c>
      <c r="C304" s="13" t="s">
        <v>1732</v>
      </c>
      <c r="D304" s="13" t="s">
        <v>1733</v>
      </c>
      <c r="E304" s="12" t="str">
        <f>HYPERLINK("https://twitter.com/alma5arab77/status/1181874374443507717","1181874374443507717")</f>
        <v>1181874374443507717</v>
      </c>
      <c r="F304" s="8"/>
      <c r="G304" s="14" t="s">
        <v>1735</v>
      </c>
      <c r="H304" s="8"/>
      <c r="I304" s="15">
        <v>0</v>
      </c>
      <c r="J304" s="15">
        <v>0</v>
      </c>
      <c r="K304" s="12" t="str">
        <f>HYPERLINK("http://twitter.com","Twitter Web Client")</f>
        <v>Twitter Web Client</v>
      </c>
      <c r="L304" s="16">
        <v>3</v>
      </c>
      <c r="M304" s="16">
        <v>35</v>
      </c>
      <c r="N304" s="16">
        <v>0</v>
      </c>
      <c r="O304" s="17"/>
      <c r="P304" s="18">
        <v>42083.269942129627</v>
      </c>
      <c r="Q304" s="7"/>
      <c r="R304" s="13"/>
      <c r="S304" s="8"/>
      <c r="T304" s="8"/>
      <c r="U304" s="19" t="str">
        <f>HYPERLINK("https://pbs.twimg.com/profile_images/578911243710242816/YM_xXuIm.jpeg","View")</f>
        <v>View</v>
      </c>
      <c r="V304" s="8"/>
      <c r="W304" s="8"/>
      <c r="X304" s="8"/>
      <c r="Y304" s="8"/>
      <c r="Z304" s="8"/>
    </row>
    <row r="305" spans="1:26" ht="12.75">
      <c r="A305" s="11">
        <v>43747.131331018521</v>
      </c>
      <c r="B305" s="12" t="str">
        <f>HYPERLINK("https://twitter.com/AliEaahmadi","@AliEaahmadi")</f>
        <v>@AliEaahmadi</v>
      </c>
      <c r="C305" s="13" t="s">
        <v>1739</v>
      </c>
      <c r="D305" s="7" t="s">
        <v>1740</v>
      </c>
      <c r="E305" s="12" t="str">
        <f>HYPERLINK("https://twitter.com/AliEaahmadi/status/1181874221795946498","1181874221795946498")</f>
        <v>1181874221795946498</v>
      </c>
      <c r="F305" s="8"/>
      <c r="G305" s="14" t="s">
        <v>1741</v>
      </c>
      <c r="H305" s="8"/>
      <c r="I305" s="15">
        <v>0</v>
      </c>
      <c r="J305" s="15">
        <v>0</v>
      </c>
      <c r="K305" s="12" t="str">
        <f>HYPERLINK("http://twitter.com","Twitter Web Client")</f>
        <v>Twitter Web Client</v>
      </c>
      <c r="L305" s="16">
        <v>0</v>
      </c>
      <c r="M305" s="16">
        <v>40</v>
      </c>
      <c r="N305" s="16">
        <v>0</v>
      </c>
      <c r="O305" s="17"/>
      <c r="P305" s="18">
        <v>42076.449016203704</v>
      </c>
      <c r="Q305" s="7"/>
      <c r="R305" s="13"/>
      <c r="S305" s="8"/>
      <c r="T305" s="8"/>
      <c r="U305" s="19" t="str">
        <f>HYPERLINK("https://pbs.twimg.com/profile_images/576440139435544576/5epg7Tqf.jpeg","View")</f>
        <v>View</v>
      </c>
      <c r="V305" s="8"/>
      <c r="W305" s="8"/>
      <c r="X305" s="8"/>
      <c r="Y305" s="8"/>
      <c r="Z305" s="8"/>
    </row>
    <row r="306" spans="1:26" ht="12.75">
      <c r="A306" s="11">
        <v>43747.129386574074</v>
      </c>
      <c r="B306" s="12" t="str">
        <f>HYPERLINK("https://twitter.com/belkyal_karim","@belkyal_karim")</f>
        <v>@belkyal_karim</v>
      </c>
      <c r="C306" s="13" t="s">
        <v>1746</v>
      </c>
      <c r="D306" s="13" t="s">
        <v>1747</v>
      </c>
      <c r="E306" s="12" t="str">
        <f>HYPERLINK("https://twitter.com/belkyal_karim/status/1181873519606542336","1181873519606542336")</f>
        <v>1181873519606542336</v>
      </c>
      <c r="F306" s="8"/>
      <c r="G306" s="15"/>
      <c r="H306" s="8"/>
      <c r="I306" s="15">
        <v>0</v>
      </c>
      <c r="J306" s="15">
        <v>0</v>
      </c>
      <c r="K306" s="12" t="str">
        <f>HYPERLINK("http://twitter.com/download/iphone","Twitter for iPhone")</f>
        <v>Twitter for iPhone</v>
      </c>
      <c r="L306" s="16">
        <v>21</v>
      </c>
      <c r="M306" s="16">
        <v>62</v>
      </c>
      <c r="N306" s="16">
        <v>0</v>
      </c>
      <c r="O306" s="17"/>
      <c r="P306" s="18">
        <v>43409.052118055552</v>
      </c>
      <c r="Q306" s="7" t="s">
        <v>1751</v>
      </c>
      <c r="R306" s="13" t="s">
        <v>1752</v>
      </c>
      <c r="S306" s="14" t="s">
        <v>1753</v>
      </c>
      <c r="T306" s="8"/>
      <c r="U306" s="19" t="str">
        <f>HYPERLINK("https://pbs.twimg.com/profile_images/1176962362018062336/dj9I3sEo.jpg","View")</f>
        <v>View</v>
      </c>
      <c r="V306" s="8"/>
      <c r="W306" s="8"/>
      <c r="X306" s="8"/>
      <c r="Y306" s="8"/>
      <c r="Z306" s="8"/>
    </row>
    <row r="307" spans="1:26" ht="12.75">
      <c r="A307" s="11">
        <v>43747.129386574074</v>
      </c>
      <c r="B307" s="12" t="str">
        <f>HYPERLINK("https://twitter.com/BadruddeenEl","@BadruddeenEl")</f>
        <v>@BadruddeenEl</v>
      </c>
      <c r="C307" s="13" t="s">
        <v>1757</v>
      </c>
      <c r="D307" s="7" t="s">
        <v>28</v>
      </c>
      <c r="E307" s="12" t="str">
        <f>HYPERLINK("https://twitter.com/BadruddeenEl/status/1181873518331346944","1181873518331346944")</f>
        <v>1181873518331346944</v>
      </c>
      <c r="F307" s="8"/>
      <c r="G307" s="14" t="s">
        <v>31</v>
      </c>
      <c r="H307" s="8"/>
      <c r="I307" s="15">
        <v>0</v>
      </c>
      <c r="J307" s="15">
        <v>0</v>
      </c>
      <c r="K307" s="12" t="str">
        <f>HYPERLINK("https://mobile.twitter.com","Twitter Web App")</f>
        <v>Twitter Web App</v>
      </c>
      <c r="L307" s="16">
        <v>0</v>
      </c>
      <c r="M307" s="16">
        <v>1</v>
      </c>
      <c r="N307" s="16">
        <v>0</v>
      </c>
      <c r="O307" s="17"/>
      <c r="P307" s="18">
        <v>43741.078425925924</v>
      </c>
      <c r="Q307" s="7" t="s">
        <v>1276</v>
      </c>
      <c r="R307" s="13" t="s">
        <v>1759</v>
      </c>
      <c r="S307" s="8"/>
      <c r="T307" s="8"/>
      <c r="U307" s="19" t="str">
        <f>HYPERLINK("https://pbs.twimg.com/profile_images/1180782689189711872/lFhfrNWC.jpg","View")</f>
        <v>View</v>
      </c>
      <c r="V307" s="8"/>
      <c r="W307" s="8"/>
      <c r="X307" s="8"/>
      <c r="Y307" s="8"/>
      <c r="Z307" s="8"/>
    </row>
    <row r="308" spans="1:26" ht="12.75">
      <c r="A308" s="11">
        <v>43747.128645833334</v>
      </c>
      <c r="B308" s="12" t="str">
        <f>HYPERLINK("https://twitter.com/nawaff543","@nawaff543")</f>
        <v>@nawaff543</v>
      </c>
      <c r="C308" s="13" t="s">
        <v>1763</v>
      </c>
      <c r="D308" s="7" t="s">
        <v>1764</v>
      </c>
      <c r="E308" s="12" t="str">
        <f>HYPERLINK("https://twitter.com/nawaff543/status/1181873250239991809","1181873250239991809")</f>
        <v>1181873250239991809</v>
      </c>
      <c r="F308" s="8"/>
      <c r="G308" s="14" t="s">
        <v>1765</v>
      </c>
      <c r="H308" s="8"/>
      <c r="I308" s="15">
        <v>0</v>
      </c>
      <c r="J308" s="15">
        <v>0</v>
      </c>
      <c r="K308" s="12" t="str">
        <f>HYPERLINK("http://twitter.com","Twitter Web Client")</f>
        <v>Twitter Web Client</v>
      </c>
      <c r="L308" s="16">
        <v>10</v>
      </c>
      <c r="M308" s="16">
        <v>45</v>
      </c>
      <c r="N308" s="16">
        <v>0</v>
      </c>
      <c r="O308" s="17"/>
      <c r="P308" s="18">
        <v>42072.143831018519</v>
      </c>
      <c r="Q308" s="7"/>
      <c r="R308" s="13"/>
      <c r="S308" s="8"/>
      <c r="T308" s="8"/>
      <c r="U308" s="19" t="str">
        <f>HYPERLINK("https://pbs.twimg.com/profile_images/574879207727067136/CYIxFzIa.jpeg","View")</f>
        <v>View</v>
      </c>
      <c r="V308" s="8"/>
      <c r="W308" s="8"/>
      <c r="X308" s="8"/>
      <c r="Y308" s="8"/>
      <c r="Z308" s="8"/>
    </row>
    <row r="309" spans="1:26" ht="12.75">
      <c r="A309" s="11">
        <v>43747.127939814818</v>
      </c>
      <c r="B309" s="12" t="str">
        <f>HYPERLINK("https://twitter.com/saadalhaddara1","@saadalhaddara1")</f>
        <v>@saadalhaddara1</v>
      </c>
      <c r="C309" s="13" t="s">
        <v>1768</v>
      </c>
      <c r="D309" s="7" t="s">
        <v>1769</v>
      </c>
      <c r="E309" s="12" t="str">
        <f>HYPERLINK("https://twitter.com/saadalhaddara1/status/1181872994358046720","1181872994358046720")</f>
        <v>1181872994358046720</v>
      </c>
      <c r="F309" s="8"/>
      <c r="G309" s="14" t="s">
        <v>1770</v>
      </c>
      <c r="H309" s="8"/>
      <c r="I309" s="15">
        <v>1</v>
      </c>
      <c r="J309" s="15">
        <v>0</v>
      </c>
      <c r="K309" s="12" t="str">
        <f>HYPERLINK("http://twitter.com","Twitter Web Client")</f>
        <v>Twitter Web Client</v>
      </c>
      <c r="L309" s="16">
        <v>11</v>
      </c>
      <c r="M309" s="16">
        <v>38</v>
      </c>
      <c r="N309" s="16">
        <v>0</v>
      </c>
      <c r="O309" s="17"/>
      <c r="P309" s="18">
        <v>42073.301435185189</v>
      </c>
      <c r="Q309" s="7"/>
      <c r="R309" s="13"/>
      <c r="S309" s="8"/>
      <c r="T309" s="8"/>
      <c r="U309" s="19" t="str">
        <f>HYPERLINK("https://pbs.twimg.com/profile_images/575299235324653568/FVn1rkF4.jpeg","View")</f>
        <v>View</v>
      </c>
      <c r="V309" s="8"/>
      <c r="W309" s="8"/>
      <c r="X309" s="8"/>
      <c r="Y309" s="8"/>
      <c r="Z309" s="8"/>
    </row>
    <row r="310" spans="1:26" ht="12.75">
      <c r="A310" s="11">
        <v>43747.127870370372</v>
      </c>
      <c r="B310" s="12" t="str">
        <f>HYPERLINK("https://twitter.com/ElGhassaan","@ElGhassaan")</f>
        <v>@ElGhassaan</v>
      </c>
      <c r="C310" s="13" t="s">
        <v>1772</v>
      </c>
      <c r="D310" s="7" t="s">
        <v>968</v>
      </c>
      <c r="E310" s="12" t="str">
        <f>HYPERLINK("https://twitter.com/ElGhassaan/status/1181872969259184128","1181872969259184128")</f>
        <v>1181872969259184128</v>
      </c>
      <c r="F310" s="8"/>
      <c r="G310" s="14" t="s">
        <v>1773</v>
      </c>
      <c r="H310" s="8"/>
      <c r="I310" s="15">
        <v>0</v>
      </c>
      <c r="J310" s="15">
        <v>0</v>
      </c>
      <c r="K310" s="12" t="str">
        <f>HYPERLINK("https://mobile.twitter.com","Twitter Web App")</f>
        <v>Twitter Web App</v>
      </c>
      <c r="L310" s="16">
        <v>0</v>
      </c>
      <c r="M310" s="16">
        <v>1</v>
      </c>
      <c r="N310" s="16">
        <v>0</v>
      </c>
      <c r="O310" s="17"/>
      <c r="P310" s="18">
        <v>43740.140393518523</v>
      </c>
      <c r="Q310" s="7" t="s">
        <v>1284</v>
      </c>
      <c r="R310" s="13" t="s">
        <v>1075</v>
      </c>
      <c r="S310" s="8"/>
      <c r="T310" s="8"/>
      <c r="U310" s="19" t="str">
        <f>HYPERLINK("https://pbs.twimg.com/profile_images/1180797534698004480/FVQX30p4.jpg","View")</f>
        <v>View</v>
      </c>
      <c r="V310" s="8"/>
      <c r="W310" s="8"/>
      <c r="X310" s="8"/>
      <c r="Y310" s="8"/>
      <c r="Z310" s="8"/>
    </row>
    <row r="311" spans="1:26" ht="12.75">
      <c r="A311" s="11">
        <v>43747.126458333332</v>
      </c>
      <c r="B311" s="12" t="str">
        <f>HYPERLINK("https://twitter.com/al3arya3434","@al3arya3434")</f>
        <v>@al3arya3434</v>
      </c>
      <c r="C311" s="13" t="s">
        <v>1777</v>
      </c>
      <c r="D311" s="7" t="s">
        <v>1778</v>
      </c>
      <c r="E311" s="12" t="str">
        <f>HYPERLINK("https://twitter.com/al3arya3434/status/1181872457940180993","1181872457940180993")</f>
        <v>1181872457940180993</v>
      </c>
      <c r="F311" s="8"/>
      <c r="G311" s="14" t="s">
        <v>1781</v>
      </c>
      <c r="H311" s="8"/>
      <c r="I311" s="15">
        <v>0</v>
      </c>
      <c r="J311" s="15">
        <v>0</v>
      </c>
      <c r="K311" s="12" t="str">
        <f>HYPERLINK("http://twitter.com","Twitter Web Client")</f>
        <v>Twitter Web Client</v>
      </c>
      <c r="L311" s="16">
        <v>1</v>
      </c>
      <c r="M311" s="16">
        <v>34</v>
      </c>
      <c r="N311" s="16">
        <v>0</v>
      </c>
      <c r="O311" s="17"/>
      <c r="P311" s="18">
        <v>42083.695196759261</v>
      </c>
      <c r="Q311" s="7"/>
      <c r="R311" s="13"/>
      <c r="S311" s="8"/>
      <c r="T311" s="8"/>
      <c r="U311" s="19" t="str">
        <f>HYPERLINK("https://pbs.twimg.com/profile_images/579065306586415104/gXGlaNtU.jpeg","View")</f>
        <v>View</v>
      </c>
      <c r="V311" s="8"/>
      <c r="W311" s="8"/>
      <c r="X311" s="8"/>
      <c r="Y311" s="8"/>
      <c r="Z311" s="8"/>
    </row>
    <row r="312" spans="1:26" ht="12.75">
      <c r="A312" s="11">
        <v>43747.126319444447</v>
      </c>
      <c r="B312" s="12" t="str">
        <f>HYPERLINK("https://twitter.com/alsabieaighali1","@alsabieaighali1")</f>
        <v>@alsabieaighali1</v>
      </c>
      <c r="C312" s="13" t="s">
        <v>1782</v>
      </c>
      <c r="D312" s="13" t="s">
        <v>1783</v>
      </c>
      <c r="E312" s="12" t="str">
        <f>HYPERLINK("https://twitter.com/alsabieaighali1/status/1181872407331659776","1181872407331659776")</f>
        <v>1181872407331659776</v>
      </c>
      <c r="F312" s="8"/>
      <c r="G312" s="14" t="s">
        <v>1784</v>
      </c>
      <c r="H312" s="8"/>
      <c r="I312" s="15">
        <v>0</v>
      </c>
      <c r="J312" s="15">
        <v>0</v>
      </c>
      <c r="K312" s="12" t="str">
        <f>HYPERLINK("http://twitter.com","Twitter Web Client")</f>
        <v>Twitter Web Client</v>
      </c>
      <c r="L312" s="16">
        <v>254</v>
      </c>
      <c r="M312" s="16">
        <v>43</v>
      </c>
      <c r="N312" s="16">
        <v>0</v>
      </c>
      <c r="O312" s="17"/>
      <c r="P312" s="18">
        <v>42071.145914351851</v>
      </c>
      <c r="Q312" s="7"/>
      <c r="R312" s="13"/>
      <c r="S312" s="8"/>
      <c r="T312" s="8"/>
      <c r="U312" s="19" t="str">
        <f>HYPERLINK("https://pbs.twimg.com/profile_images/574555163651768321/u5W24uNj.jpeg","View")</f>
        <v>View</v>
      </c>
      <c r="V312" s="8"/>
      <c r="W312" s="8"/>
      <c r="X312" s="8"/>
      <c r="Y312" s="8"/>
      <c r="Z312" s="8"/>
    </row>
    <row r="313" spans="1:26" ht="12.75">
      <c r="A313" s="11">
        <v>43747.126041666663</v>
      </c>
      <c r="B313" s="12" t="str">
        <f>HYPERLINK("https://twitter.com/alzahraniie96","@alzahraniie96")</f>
        <v>@alzahraniie96</v>
      </c>
      <c r="C313" s="13" t="s">
        <v>1785</v>
      </c>
      <c r="D313" s="7" t="s">
        <v>1786</v>
      </c>
      <c r="E313" s="12" t="str">
        <f>HYPERLINK("https://twitter.com/alzahraniie96/status/1181872307402395648","1181872307402395648")</f>
        <v>1181872307402395648</v>
      </c>
      <c r="F313" s="8"/>
      <c r="G313" s="14" t="s">
        <v>1787</v>
      </c>
      <c r="H313" s="8"/>
      <c r="I313" s="15">
        <v>0</v>
      </c>
      <c r="J313" s="15">
        <v>0</v>
      </c>
      <c r="K313" s="12" t="str">
        <f>HYPERLINK("http://twitter.com","Twitter Web Client")</f>
        <v>Twitter Web Client</v>
      </c>
      <c r="L313" s="16">
        <v>13</v>
      </c>
      <c r="M313" s="16">
        <v>49</v>
      </c>
      <c r="N313" s="16">
        <v>0</v>
      </c>
      <c r="O313" s="17"/>
      <c r="P313" s="18">
        <v>42071.691886574074</v>
      </c>
      <c r="Q313" s="7"/>
      <c r="R313" s="13"/>
      <c r="S313" s="8"/>
      <c r="T313" s="8"/>
      <c r="U313" s="19" t="str">
        <f>HYPERLINK("https://pbs.twimg.com/profile_images/574715458571476992/cKmdCKq_.jpeg","View")</f>
        <v>View</v>
      </c>
      <c r="V313" s="8"/>
      <c r="W313" s="8"/>
      <c r="X313" s="8"/>
      <c r="Y313" s="8"/>
      <c r="Z313" s="8"/>
    </row>
    <row r="314" spans="1:26" ht="12.75">
      <c r="A314" s="11">
        <v>43747.125810185185</v>
      </c>
      <c r="B314" s="12" t="str">
        <f>HYPERLINK("https://twitter.com/KanaanZadeh","@KanaanZadeh")</f>
        <v>@KanaanZadeh</v>
      </c>
      <c r="C314" s="13" t="s">
        <v>1788</v>
      </c>
      <c r="D314" s="13" t="s">
        <v>944</v>
      </c>
      <c r="E314" s="12" t="str">
        <f>HYPERLINK("https://twitter.com/KanaanZadeh/status/1181872221851025408","1181872221851025408")</f>
        <v>1181872221851025408</v>
      </c>
      <c r="F314" s="8"/>
      <c r="G314" s="14" t="s">
        <v>1789</v>
      </c>
      <c r="H314" s="8"/>
      <c r="I314" s="15">
        <v>0</v>
      </c>
      <c r="J314" s="15">
        <v>0</v>
      </c>
      <c r="K314" s="12" t="str">
        <f>HYPERLINK("https://mobile.twitter.com","Twitter Web App")</f>
        <v>Twitter Web App</v>
      </c>
      <c r="L314" s="16">
        <v>0</v>
      </c>
      <c r="M314" s="16">
        <v>1</v>
      </c>
      <c r="N314" s="16">
        <v>0</v>
      </c>
      <c r="O314" s="17"/>
      <c r="P314" s="18">
        <v>43739.976863425924</v>
      </c>
      <c r="Q314" s="7" t="s">
        <v>1276</v>
      </c>
      <c r="R314" s="13" t="s">
        <v>1790</v>
      </c>
      <c r="S314" s="8"/>
      <c r="T314" s="8"/>
      <c r="U314" s="19" t="str">
        <f>HYPERLINK("https://pbs.twimg.com/profile_images/1180796586294571008/YSWYPJ0B.jpg","View")</f>
        <v>View</v>
      </c>
      <c r="V314" s="8"/>
      <c r="W314" s="8"/>
      <c r="X314" s="8"/>
      <c r="Y314" s="8"/>
      <c r="Z314" s="8"/>
    </row>
    <row r="315" spans="1:26" ht="12.75">
      <c r="A315" s="11">
        <v>43747.124791666662</v>
      </c>
      <c r="B315" s="12" t="str">
        <f>HYPERLINK("https://twitter.com/SolimanFahed","@SolimanFahed")</f>
        <v>@SolimanFahed</v>
      </c>
      <c r="C315" s="13" t="s">
        <v>1793</v>
      </c>
      <c r="D315" s="13" t="s">
        <v>1794</v>
      </c>
      <c r="E315" s="12" t="str">
        <f>HYPERLINK("https://twitter.com/SolimanFahed/status/1181871852228091904","1181871852228091904")</f>
        <v>1181871852228091904</v>
      </c>
      <c r="F315" s="8"/>
      <c r="G315" s="14" t="s">
        <v>1795</v>
      </c>
      <c r="H315" s="8"/>
      <c r="I315" s="15">
        <v>0</v>
      </c>
      <c r="J315" s="15">
        <v>0</v>
      </c>
      <c r="K315" s="12" t="str">
        <f>HYPERLINK("http://twitter.com","Twitter Web Client")</f>
        <v>Twitter Web Client</v>
      </c>
      <c r="L315" s="16">
        <v>7</v>
      </c>
      <c r="M315" s="16">
        <v>41</v>
      </c>
      <c r="N315" s="16">
        <v>0</v>
      </c>
      <c r="O315" s="17"/>
      <c r="P315" s="18">
        <v>42070.7028587963</v>
      </c>
      <c r="Q315" s="7"/>
      <c r="R315" s="13"/>
      <c r="S315" s="8"/>
      <c r="T315" s="8"/>
      <c r="U315" s="19" t="str">
        <f>HYPERLINK("https://pbs.twimg.com/profile_images/574372106680467456/D6X2mta7.jpeg","View")</f>
        <v>View</v>
      </c>
      <c r="V315" s="8"/>
      <c r="W315" s="8"/>
      <c r="X315" s="8"/>
      <c r="Y315" s="8"/>
      <c r="Z315" s="8"/>
    </row>
    <row r="316" spans="1:26" ht="12.75">
      <c r="A316" s="11">
        <v>43747.124513888892</v>
      </c>
      <c r="B316" s="12" t="str">
        <f>HYPERLINK("https://twitter.com/AlkanhalAhmed","@AlkanhalAhmed")</f>
        <v>@AlkanhalAhmed</v>
      </c>
      <c r="C316" s="13" t="s">
        <v>1801</v>
      </c>
      <c r="D316" s="13" t="s">
        <v>1802</v>
      </c>
      <c r="E316" s="12" t="str">
        <f>HYPERLINK("https://twitter.com/AlkanhalAhmed/status/1181871752223350784","1181871752223350784")</f>
        <v>1181871752223350784</v>
      </c>
      <c r="F316" s="8"/>
      <c r="G316" s="14" t="s">
        <v>1803</v>
      </c>
      <c r="H316" s="8"/>
      <c r="I316" s="15">
        <v>0</v>
      </c>
      <c r="J316" s="15">
        <v>0</v>
      </c>
      <c r="K316" s="12" t="str">
        <f>HYPERLINK("http://twitter.com","Twitter Web Client")</f>
        <v>Twitter Web Client</v>
      </c>
      <c r="L316" s="16">
        <v>7</v>
      </c>
      <c r="M316" s="16">
        <v>39</v>
      </c>
      <c r="N316" s="16">
        <v>0</v>
      </c>
      <c r="O316" s="17"/>
      <c r="P316" s="18">
        <v>42070.685416666667</v>
      </c>
      <c r="Q316" s="7"/>
      <c r="R316" s="13"/>
      <c r="S316" s="8"/>
      <c r="T316" s="8"/>
      <c r="U316" s="19" t="str">
        <f>HYPERLINK("https://pbs.twimg.com/profile_images/574365767652659200/lXcW8KMx.jpeg","View")</f>
        <v>View</v>
      </c>
      <c r="V316" s="8"/>
      <c r="W316" s="8"/>
      <c r="X316" s="8"/>
      <c r="Y316" s="8"/>
      <c r="Z316" s="8"/>
    </row>
    <row r="317" spans="1:26" ht="12.75">
      <c r="A317" s="11">
        <v>43747.124374999999</v>
      </c>
      <c r="B317" s="12" t="str">
        <f>HYPERLINK("https://twitter.com/alsaba7iiee1","@alsaba7iiee1")</f>
        <v>@alsaba7iiee1</v>
      </c>
      <c r="C317" s="13" t="s">
        <v>1808</v>
      </c>
      <c r="D317" s="13" t="s">
        <v>1809</v>
      </c>
      <c r="E317" s="12" t="str">
        <f>HYPERLINK("https://twitter.com/alsaba7iiee1/status/1181871701715501057","1181871701715501057")</f>
        <v>1181871701715501057</v>
      </c>
      <c r="F317" s="8"/>
      <c r="G317" s="14" t="s">
        <v>1810</v>
      </c>
      <c r="H317" s="8"/>
      <c r="I317" s="15">
        <v>0</v>
      </c>
      <c r="J317" s="15">
        <v>0</v>
      </c>
      <c r="K317" s="12" t="str">
        <f>HYPERLINK("http://twitter.com","Twitter Web Client")</f>
        <v>Twitter Web Client</v>
      </c>
      <c r="L317" s="16">
        <v>19</v>
      </c>
      <c r="M317" s="16">
        <v>47</v>
      </c>
      <c r="N317" s="16">
        <v>0</v>
      </c>
      <c r="O317" s="17"/>
      <c r="P317" s="18">
        <v>42071.619849537034</v>
      </c>
      <c r="Q317" s="7"/>
      <c r="R317" s="13"/>
      <c r="S317" s="8"/>
      <c r="T317" s="8"/>
      <c r="U317" s="19" t="str">
        <f>HYPERLINK("https://pbs.twimg.com/profile_images/574689727799947264/VQhT-P5h.jpeg","View")</f>
        <v>View</v>
      </c>
      <c r="V317" s="8"/>
      <c r="W317" s="8"/>
      <c r="X317" s="8"/>
      <c r="Y317" s="8"/>
      <c r="Z317" s="8"/>
    </row>
    <row r="318" spans="1:26" ht="12.75">
      <c r="A318" s="11">
        <v>43747.123773148152</v>
      </c>
      <c r="B318" s="12" t="str">
        <f>HYPERLINK("https://twitter.com/el_saamir","@el_saamir")</f>
        <v>@el_saamir</v>
      </c>
      <c r="C318" s="7" t="s">
        <v>1815</v>
      </c>
      <c r="D318" s="13" t="s">
        <v>968</v>
      </c>
      <c r="E318" s="12" t="str">
        <f>HYPERLINK("https://twitter.com/el_saamir/status/1181871484404256769","1181871484404256769")</f>
        <v>1181871484404256769</v>
      </c>
      <c r="F318" s="8"/>
      <c r="G318" s="14" t="s">
        <v>1816</v>
      </c>
      <c r="H318" s="8"/>
      <c r="I318" s="15">
        <v>0</v>
      </c>
      <c r="J318" s="15">
        <v>0</v>
      </c>
      <c r="K318" s="12" t="str">
        <f>HYPERLINK("https://mobile.twitter.com","Twitter Web App")</f>
        <v>Twitter Web App</v>
      </c>
      <c r="L318" s="16">
        <v>0</v>
      </c>
      <c r="M318" s="16">
        <v>0</v>
      </c>
      <c r="N318" s="16">
        <v>0</v>
      </c>
      <c r="O318" s="17"/>
      <c r="P318" s="18">
        <v>43741.028819444444</v>
      </c>
      <c r="Q318" s="7" t="s">
        <v>1271</v>
      </c>
      <c r="R318" s="13" t="s">
        <v>1258</v>
      </c>
      <c r="S318" s="8"/>
      <c r="T318" s="8"/>
      <c r="U318" s="19" t="str">
        <f>HYPERLINK("https://pbs.twimg.com/profile_images/1181871441374875650/YXIt6k9S.jpg","View")</f>
        <v>View</v>
      </c>
      <c r="V318" s="8"/>
      <c r="W318" s="8"/>
      <c r="X318" s="8"/>
      <c r="Y318" s="8"/>
      <c r="Z318" s="8"/>
    </row>
    <row r="319" spans="1:26" ht="12.75">
      <c r="A319" s="11">
        <v>43747.123692129629</v>
      </c>
      <c r="B319" s="12" t="str">
        <f>HYPERLINK("https://twitter.com/OfahidSultan","@OfahidSultan")</f>
        <v>@OfahidSultan</v>
      </c>
      <c r="C319" s="13" t="s">
        <v>1818</v>
      </c>
      <c r="D319" s="13" t="s">
        <v>1819</v>
      </c>
      <c r="E319" s="12" t="str">
        <f>HYPERLINK("https://twitter.com/OfahidSultan/status/1181871452687085568","1181871452687085568")</f>
        <v>1181871452687085568</v>
      </c>
      <c r="F319" s="8"/>
      <c r="G319" s="14" t="s">
        <v>1820</v>
      </c>
      <c r="H319" s="8"/>
      <c r="I319" s="15">
        <v>0</v>
      </c>
      <c r="J319" s="15">
        <v>0</v>
      </c>
      <c r="K319" s="12" t="str">
        <f>HYPERLINK("http://twitter.com","Twitter Web Client")</f>
        <v>Twitter Web Client</v>
      </c>
      <c r="L319" s="16">
        <v>0</v>
      </c>
      <c r="M319" s="16">
        <v>41</v>
      </c>
      <c r="N319" s="16">
        <v>0</v>
      </c>
      <c r="O319" s="17"/>
      <c r="P319" s="18">
        <v>42071.763043981482</v>
      </c>
      <c r="Q319" s="7"/>
      <c r="R319" s="13"/>
      <c r="S319" s="8"/>
      <c r="T319" s="8"/>
      <c r="U319" s="19" t="str">
        <f>HYPERLINK("https://pbs.twimg.com/profile_images/574742646616293376/51r7KYUB.jpeg","View")</f>
        <v>View</v>
      </c>
      <c r="V319" s="8"/>
      <c r="W319" s="8"/>
      <c r="X319" s="8"/>
      <c r="Y319" s="8"/>
      <c r="Z319" s="8"/>
    </row>
    <row r="320" spans="1:26" ht="12.75">
      <c r="A320" s="11">
        <v>43747.122523148151</v>
      </c>
      <c r="B320" s="12" t="str">
        <f>HYPERLINK("https://twitter.com/aawdaeldghemat","@aawdaeldghemat")</f>
        <v>@aawdaeldghemat</v>
      </c>
      <c r="C320" s="13" t="s">
        <v>1824</v>
      </c>
      <c r="D320" s="13" t="s">
        <v>1825</v>
      </c>
      <c r="E320" s="12" t="str">
        <f>HYPERLINK("https://twitter.com/aawdaeldghemat/status/1181871031755186176","1181871031755186176")</f>
        <v>1181871031755186176</v>
      </c>
      <c r="F320" s="8"/>
      <c r="G320" s="14" t="s">
        <v>1826</v>
      </c>
      <c r="H320" s="8"/>
      <c r="I320" s="15">
        <v>0</v>
      </c>
      <c r="J320" s="15">
        <v>0</v>
      </c>
      <c r="K320" s="12" t="str">
        <f>HYPERLINK("http://twitter.com","Twitter Web Client")</f>
        <v>Twitter Web Client</v>
      </c>
      <c r="L320" s="16">
        <v>0</v>
      </c>
      <c r="M320" s="16">
        <v>31</v>
      </c>
      <c r="N320" s="16">
        <v>0</v>
      </c>
      <c r="O320" s="17"/>
      <c r="P320" s="18">
        <v>41847.208958333329</v>
      </c>
      <c r="Q320" s="7"/>
      <c r="R320" s="13"/>
      <c r="S320" s="8"/>
      <c r="T320" s="8"/>
      <c r="U320" s="19" t="str">
        <f>HYPERLINK("https://pbs.twimg.com/profile_images/493365770814881793/5lnRH21w.jpeg","View")</f>
        <v>View</v>
      </c>
      <c r="V320" s="8"/>
      <c r="W320" s="8"/>
      <c r="X320" s="8"/>
      <c r="Y320" s="8"/>
      <c r="Z320" s="8"/>
    </row>
    <row r="321" spans="1:26" ht="12.75">
      <c r="A321" s="11">
        <v>43747.122476851851</v>
      </c>
      <c r="B321" s="12" t="str">
        <f>HYPERLINK("https://twitter.com/safwaan_el","@safwaan_el")</f>
        <v>@safwaan_el</v>
      </c>
      <c r="C321" s="13" t="s">
        <v>1830</v>
      </c>
      <c r="D321" s="7" t="s">
        <v>1130</v>
      </c>
      <c r="E321" s="12" t="str">
        <f>HYPERLINK("https://twitter.com/safwaan_el/status/1181871012750561280","1181871012750561280")</f>
        <v>1181871012750561280</v>
      </c>
      <c r="F321" s="8"/>
      <c r="G321" s="14" t="s">
        <v>1831</v>
      </c>
      <c r="H321" s="8"/>
      <c r="I321" s="15">
        <v>0</v>
      </c>
      <c r="J321" s="15">
        <v>0</v>
      </c>
      <c r="K321" s="12" t="str">
        <f>HYPERLINK("https://mobile.twitter.com","Twitter Web App")</f>
        <v>Twitter Web App</v>
      </c>
      <c r="L321" s="16">
        <v>0</v>
      </c>
      <c r="M321" s="16">
        <v>2</v>
      </c>
      <c r="N321" s="16">
        <v>0</v>
      </c>
      <c r="O321" s="17"/>
      <c r="P321" s="18">
        <v>43739.960439814815</v>
      </c>
      <c r="Q321" s="7" t="s">
        <v>1835</v>
      </c>
      <c r="R321" s="13" t="s">
        <v>1836</v>
      </c>
      <c r="S321" s="8"/>
      <c r="T321" s="8"/>
      <c r="U321" s="19" t="str">
        <f>HYPERLINK("https://pbs.twimg.com/profile_images/1181506095073726464/eXWOIvie.jpg","View")</f>
        <v>View</v>
      </c>
      <c r="V321" s="8"/>
      <c r="W321" s="8"/>
      <c r="X321" s="8"/>
      <c r="Y321" s="8"/>
      <c r="Z321" s="8"/>
    </row>
    <row r="322" spans="1:26" ht="12.75">
      <c r="A322" s="11">
        <v>43747.121504629627</v>
      </c>
      <c r="B322" s="12" t="str">
        <f>HYPERLINK("https://twitter.com/NoorielMohamad2","@NoorielMohamad2")</f>
        <v>@NoorielMohamad2</v>
      </c>
      <c r="C322" s="13" t="s">
        <v>1837</v>
      </c>
      <c r="D322" s="13" t="s">
        <v>1030</v>
      </c>
      <c r="E322" s="12" t="str">
        <f>HYPERLINK("https://twitter.com/NoorielMohamad2/status/1181870660496191488","1181870660496191488")</f>
        <v>1181870660496191488</v>
      </c>
      <c r="F322" s="8"/>
      <c r="G322" s="14" t="s">
        <v>1838</v>
      </c>
      <c r="H322" s="8"/>
      <c r="I322" s="15">
        <v>0</v>
      </c>
      <c r="J322" s="15">
        <v>0</v>
      </c>
      <c r="K322" s="12" t="str">
        <f>HYPERLINK("https://mobile.twitter.com","Twitter Web App")</f>
        <v>Twitter Web App</v>
      </c>
      <c r="L322" s="16">
        <v>0</v>
      </c>
      <c r="M322" s="16">
        <v>1</v>
      </c>
      <c r="N322" s="16">
        <v>0</v>
      </c>
      <c r="O322" s="17"/>
      <c r="P322" s="18">
        <v>43738.170023148152</v>
      </c>
      <c r="Q322" s="7" t="s">
        <v>1428</v>
      </c>
      <c r="R322" s="13" t="s">
        <v>1839</v>
      </c>
      <c r="S322" s="8"/>
      <c r="T322" s="8"/>
      <c r="U322" s="19" t="str">
        <f>HYPERLINK("https://pbs.twimg.com/profile_images/1180424728420311040/X-yqZ8KN.jpg","View")</f>
        <v>View</v>
      </c>
      <c r="V322" s="8"/>
      <c r="W322" s="8"/>
      <c r="X322" s="8"/>
      <c r="Y322" s="8"/>
      <c r="Z322" s="8"/>
    </row>
    <row r="323" spans="1:26" ht="12.75">
      <c r="A323" s="11">
        <v>43747.120844907404</v>
      </c>
      <c r="B323" s="12" t="str">
        <f>HYPERLINK("https://twitter.com/ElNaaila","@ElNaaila")</f>
        <v>@ElNaaila</v>
      </c>
      <c r="C323" s="13" t="s">
        <v>1840</v>
      </c>
      <c r="D323" s="13" t="s">
        <v>907</v>
      </c>
      <c r="E323" s="12" t="str">
        <f>HYPERLINK("https://twitter.com/ElNaaila/status/1181870423450865664","1181870423450865664")</f>
        <v>1181870423450865664</v>
      </c>
      <c r="F323" s="8"/>
      <c r="G323" s="14" t="s">
        <v>1841</v>
      </c>
      <c r="H323" s="8"/>
      <c r="I323" s="15">
        <v>0</v>
      </c>
      <c r="J323" s="15">
        <v>0</v>
      </c>
      <c r="K323" s="12" t="str">
        <f>HYPERLINK("https://mobile.twitter.com","Twitter Web App")</f>
        <v>Twitter Web App</v>
      </c>
      <c r="L323" s="16">
        <v>0</v>
      </c>
      <c r="M323" s="16">
        <v>0</v>
      </c>
      <c r="N323" s="16">
        <v>0</v>
      </c>
      <c r="O323" s="17"/>
      <c r="P323" s="18">
        <v>43735.96130787037</v>
      </c>
      <c r="Q323" s="7" t="s">
        <v>1288</v>
      </c>
      <c r="R323" s="13" t="s">
        <v>1277</v>
      </c>
      <c r="S323" s="8"/>
      <c r="T323" s="8"/>
      <c r="U323" s="19" t="str">
        <f>HYPERLINK("https://pbs.twimg.com/profile_images/1179696868613210114/nJ-VBL76.jpg","View")</f>
        <v>View</v>
      </c>
      <c r="V323" s="8"/>
      <c r="W323" s="8"/>
      <c r="X323" s="8"/>
      <c r="Y323" s="8"/>
      <c r="Z323" s="8"/>
    </row>
    <row r="324" spans="1:26" ht="12.75">
      <c r="A324" s="11">
        <v>43747.120428240742</v>
      </c>
      <c r="B324" s="12" t="str">
        <f>HYPERLINK("https://twitter.com/misfar_al","@misfar_al")</f>
        <v>@misfar_al</v>
      </c>
      <c r="C324" s="13" t="s">
        <v>1844</v>
      </c>
      <c r="D324" s="13" t="s">
        <v>1107</v>
      </c>
      <c r="E324" s="12" t="str">
        <f>HYPERLINK("https://twitter.com/misfar_al/status/1181870272590180354","1181870272590180354")</f>
        <v>1181870272590180354</v>
      </c>
      <c r="F324" s="8"/>
      <c r="G324" s="14" t="s">
        <v>1846</v>
      </c>
      <c r="H324" s="8"/>
      <c r="I324" s="15">
        <v>0</v>
      </c>
      <c r="J324" s="15">
        <v>0</v>
      </c>
      <c r="K324" s="12" t="str">
        <f>HYPERLINK("https://mobile.twitter.com","Twitter Web App")</f>
        <v>Twitter Web App</v>
      </c>
      <c r="L324" s="16">
        <v>0</v>
      </c>
      <c r="M324" s="16">
        <v>2</v>
      </c>
      <c r="N324" s="16">
        <v>0</v>
      </c>
      <c r="O324" s="17"/>
      <c r="P324" s="18">
        <v>43739.930821759262</v>
      </c>
      <c r="Q324" s="7" t="s">
        <v>1848</v>
      </c>
      <c r="R324" s="13" t="s">
        <v>1849</v>
      </c>
      <c r="S324" s="8"/>
      <c r="T324" s="8"/>
      <c r="U324" s="19" t="str">
        <f>HYPERLINK("https://pbs.twimg.com/profile_images/1181163081818263553/eTaBPmIn.jpg","View")</f>
        <v>View</v>
      </c>
      <c r="V324" s="8"/>
      <c r="W324" s="8"/>
      <c r="X324" s="8"/>
      <c r="Y324" s="8"/>
      <c r="Z324" s="8"/>
    </row>
    <row r="325" spans="1:26" ht="12.75">
      <c r="A325" s="11">
        <v>43747.11991898148</v>
      </c>
      <c r="B325" s="12" t="str">
        <f>HYPERLINK("https://twitter.com/braingarbage","@braingarbage")</f>
        <v>@braingarbage</v>
      </c>
      <c r="C325" s="13" t="s">
        <v>1851</v>
      </c>
      <c r="D325" s="13" t="s">
        <v>1852</v>
      </c>
      <c r="E325" s="12" t="str">
        <f>HYPERLINK("https://twitter.com/braingarbage/status/1181870088787333120","1181870088787333120")</f>
        <v>1181870088787333120</v>
      </c>
      <c r="F325" s="14" t="s">
        <v>1853</v>
      </c>
      <c r="G325" s="15"/>
      <c r="H325" s="8"/>
      <c r="I325" s="15">
        <v>0</v>
      </c>
      <c r="J325" s="15">
        <v>0</v>
      </c>
      <c r="K325" s="12" t="str">
        <f>HYPERLINK("https://mobile.twitter.com","Twitter Web App")</f>
        <v>Twitter Web App</v>
      </c>
      <c r="L325" s="16">
        <v>1264</v>
      </c>
      <c r="M325" s="16">
        <v>174</v>
      </c>
      <c r="N325" s="16">
        <v>218</v>
      </c>
      <c r="O325" s="17"/>
      <c r="P325" s="18">
        <v>40763.076469907406</v>
      </c>
      <c r="Q325" s="7" t="s">
        <v>1857</v>
      </c>
      <c r="R325" s="13"/>
      <c r="S325" s="14" t="s">
        <v>1858</v>
      </c>
      <c r="T325" s="8"/>
      <c r="U325" s="19" t="str">
        <f>HYPERLINK("https://pbs.twimg.com/profile_images/975284777321295872/bl5ff0XT.jpg","View")</f>
        <v>View</v>
      </c>
      <c r="V325" s="8"/>
      <c r="W325" s="8"/>
      <c r="X325" s="8"/>
      <c r="Y325" s="8"/>
      <c r="Z325" s="8"/>
    </row>
    <row r="326" spans="1:26" ht="12.75">
      <c r="A326" s="11">
        <v>43747.118518518517</v>
      </c>
      <c r="B326" s="12" t="str">
        <f>HYPERLINK("https://twitter.com/FeddiUp","@FeddiUp")</f>
        <v>@FeddiUp</v>
      </c>
      <c r="C326" s="13" t="s">
        <v>1865</v>
      </c>
      <c r="D326" s="13" t="s">
        <v>1866</v>
      </c>
      <c r="E326" s="12" t="str">
        <f>HYPERLINK("https://twitter.com/FeddiUp/status/1181869578273673217","1181869578273673217")</f>
        <v>1181869578273673217</v>
      </c>
      <c r="F326" s="8"/>
      <c r="G326" s="15"/>
      <c r="H326" s="8"/>
      <c r="I326" s="15">
        <v>0</v>
      </c>
      <c r="J326" s="15">
        <v>0</v>
      </c>
      <c r="K326" s="12" t="str">
        <f>HYPERLINK("http://twitter.com/download/iphone","Twitter for iPhone")</f>
        <v>Twitter for iPhone</v>
      </c>
      <c r="L326" s="16">
        <v>8860</v>
      </c>
      <c r="M326" s="16">
        <v>2883</v>
      </c>
      <c r="N326" s="16">
        <v>94</v>
      </c>
      <c r="O326" s="17"/>
      <c r="P326" s="18">
        <v>41817.822152777779</v>
      </c>
      <c r="Q326" s="7" t="s">
        <v>1869</v>
      </c>
      <c r="R326" s="13" t="s">
        <v>1870</v>
      </c>
      <c r="S326" s="8"/>
      <c r="T326" s="8"/>
      <c r="U326" s="19" t="str">
        <f>HYPERLINK("https://pbs.twimg.com/profile_images/788149283191226369/n_5ngKs5.jpg","View")</f>
        <v>View</v>
      </c>
      <c r="V326" s="8"/>
      <c r="W326" s="8"/>
      <c r="X326" s="8"/>
      <c r="Y326" s="8"/>
      <c r="Z326" s="8"/>
    </row>
    <row r="327" spans="1:26" ht="12.75">
      <c r="A327" s="11">
        <v>43747.118437500001</v>
      </c>
      <c r="B327" s="12" t="str">
        <f>HYPERLINK("https://twitter.com/SabeekaSalaam","@SabeekaSalaam")</f>
        <v>@SabeekaSalaam</v>
      </c>
      <c r="C327" s="13" t="s">
        <v>1872</v>
      </c>
      <c r="D327" s="13" t="s">
        <v>1130</v>
      </c>
      <c r="E327" s="12" t="str">
        <f>HYPERLINK("https://twitter.com/SabeekaSalaam/status/1181869549206921216","1181869549206921216")</f>
        <v>1181869549206921216</v>
      </c>
      <c r="F327" s="8"/>
      <c r="G327" s="14" t="s">
        <v>1874</v>
      </c>
      <c r="H327" s="8"/>
      <c r="I327" s="15">
        <v>0</v>
      </c>
      <c r="J327" s="15">
        <v>0</v>
      </c>
      <c r="K327" s="12" t="str">
        <f>HYPERLINK("https://mobile.twitter.com","Twitter Web App")</f>
        <v>Twitter Web App</v>
      </c>
      <c r="L327" s="16">
        <v>0</v>
      </c>
      <c r="M327" s="16">
        <v>0</v>
      </c>
      <c r="N327" s="16">
        <v>0</v>
      </c>
      <c r="O327" s="17"/>
      <c r="P327" s="18">
        <v>43738.174409722225</v>
      </c>
      <c r="Q327" s="7" t="s">
        <v>1228</v>
      </c>
      <c r="R327" s="13" t="s">
        <v>1876</v>
      </c>
      <c r="S327" s="8"/>
      <c r="T327" s="8"/>
      <c r="U327" s="19" t="str">
        <f>HYPERLINK("https://pbs.twimg.com/profile_images/1180423595471753216/ywpLbbOr.jpg","View")</f>
        <v>View</v>
      </c>
      <c r="V327" s="8"/>
      <c r="W327" s="8"/>
      <c r="X327" s="8"/>
      <c r="Y327" s="8"/>
      <c r="Z327" s="8"/>
    </row>
    <row r="328" spans="1:26" ht="12.75">
      <c r="A328" s="11">
        <v>43747.11818287037</v>
      </c>
      <c r="B328" s="12" t="str">
        <f>HYPERLINK("https://twitter.com/aldawasree43","@aldawasree43")</f>
        <v>@aldawasree43</v>
      </c>
      <c r="C328" s="13" t="s">
        <v>1879</v>
      </c>
      <c r="D328" s="7" t="s">
        <v>1880</v>
      </c>
      <c r="E328" s="12" t="str">
        <f>HYPERLINK("https://twitter.com/aldawasree43/status/1181869456441655296","1181869456441655296")</f>
        <v>1181869456441655296</v>
      </c>
      <c r="F328" s="8"/>
      <c r="G328" s="14" t="s">
        <v>1882</v>
      </c>
      <c r="H328" s="8"/>
      <c r="I328" s="15">
        <v>0</v>
      </c>
      <c r="J328" s="15">
        <v>0</v>
      </c>
      <c r="K328" s="12" t="str">
        <f>HYPERLINK("http://twitter.com","Twitter Web Client")</f>
        <v>Twitter Web Client</v>
      </c>
      <c r="L328" s="16">
        <v>4</v>
      </c>
      <c r="M328" s="16">
        <v>39</v>
      </c>
      <c r="N328" s="16">
        <v>0</v>
      </c>
      <c r="O328" s="17"/>
      <c r="P328" s="18">
        <v>42073.153981481482</v>
      </c>
      <c r="Q328" s="7"/>
      <c r="R328" s="13"/>
      <c r="S328" s="8"/>
      <c r="T328" s="8"/>
      <c r="U328" s="19" t="str">
        <f>HYPERLINK("https://pbs.twimg.com/profile_images/575245259212349440/2upIgU1M.jpeg","View")</f>
        <v>View</v>
      </c>
      <c r="V328" s="8"/>
      <c r="W328" s="8"/>
      <c r="X328" s="8"/>
      <c r="Y328" s="8"/>
      <c r="Z328" s="8"/>
    </row>
    <row r="329" spans="1:26" ht="12.75">
      <c r="A329" s="11">
        <v>43747.117847222224</v>
      </c>
      <c r="B329" s="12" t="str">
        <f>HYPERLINK("https://twitter.com/AqeelaEl","@AqeelaEl")</f>
        <v>@AqeelaEl</v>
      </c>
      <c r="C329" s="7" t="s">
        <v>1884</v>
      </c>
      <c r="D329" s="7" t="s">
        <v>923</v>
      </c>
      <c r="E329" s="12" t="str">
        <f>HYPERLINK("https://twitter.com/AqeelaEl/status/1181869337512071168","1181869337512071168")</f>
        <v>1181869337512071168</v>
      </c>
      <c r="F329" s="15"/>
      <c r="G329" s="14" t="s">
        <v>1887</v>
      </c>
      <c r="H329" s="8"/>
      <c r="I329" s="15">
        <v>0</v>
      </c>
      <c r="J329" s="15">
        <v>0</v>
      </c>
      <c r="K329" s="12" t="str">
        <f>HYPERLINK("https://mobile.twitter.com","Twitter Web App")</f>
        <v>Twitter Web App</v>
      </c>
      <c r="L329" s="16">
        <v>0</v>
      </c>
      <c r="M329" s="16">
        <v>0</v>
      </c>
      <c r="N329" s="16">
        <v>0</v>
      </c>
      <c r="O329" s="20"/>
      <c r="P329" s="18">
        <v>43736.916655092587</v>
      </c>
      <c r="Q329" s="7" t="s">
        <v>1280</v>
      </c>
      <c r="R329" s="7" t="s">
        <v>1258</v>
      </c>
      <c r="S329" s="15"/>
      <c r="T329" s="8"/>
      <c r="U329" s="19" t="str">
        <f>HYPERLINK("https://pbs.twimg.com/profile_images/1180426747247902720/UG-crn7K.jpg","View")</f>
        <v>View</v>
      </c>
      <c r="V329" s="8"/>
      <c r="W329" s="8"/>
      <c r="X329" s="8"/>
      <c r="Y329" s="8"/>
      <c r="Z329" s="8"/>
    </row>
    <row r="330" spans="1:26" ht="12.75">
      <c r="A330" s="11">
        <v>43747.117141203707</v>
      </c>
      <c r="B330" s="12" t="str">
        <f>HYPERLINK("https://twitter.com/HamdoonaB","@HamdoonaB")</f>
        <v>@HamdoonaB</v>
      </c>
      <c r="C330" s="13" t="s">
        <v>1891</v>
      </c>
      <c r="D330" s="13" t="s">
        <v>937</v>
      </c>
      <c r="E330" s="12" t="str">
        <f>HYPERLINK("https://twitter.com/HamdoonaB/status/1181869078501187585","1181869078501187585")</f>
        <v>1181869078501187585</v>
      </c>
      <c r="F330" s="8"/>
      <c r="G330" s="14" t="s">
        <v>1892</v>
      </c>
      <c r="H330" s="8"/>
      <c r="I330" s="15">
        <v>0</v>
      </c>
      <c r="J330" s="15">
        <v>0</v>
      </c>
      <c r="K330" s="12" t="str">
        <f>HYPERLINK("https://mobile.twitter.com","Twitter Web App")</f>
        <v>Twitter Web App</v>
      </c>
      <c r="L330" s="16">
        <v>0</v>
      </c>
      <c r="M330" s="16">
        <v>0</v>
      </c>
      <c r="N330" s="16">
        <v>0</v>
      </c>
      <c r="O330" s="17"/>
      <c r="P330" s="18">
        <v>43737.917256944449</v>
      </c>
      <c r="Q330" s="7" t="s">
        <v>1276</v>
      </c>
      <c r="R330" s="13" t="s">
        <v>1565</v>
      </c>
      <c r="S330" s="8"/>
      <c r="T330" s="8"/>
      <c r="U330" s="19" t="str">
        <f>HYPERLINK("https://pbs.twimg.com/profile_images/1180431358415388673/s1LCNTz2.jpg","View")</f>
        <v>View</v>
      </c>
      <c r="V330" s="8"/>
      <c r="W330" s="8"/>
      <c r="X330" s="8"/>
      <c r="Y330" s="8"/>
      <c r="Z330" s="8"/>
    </row>
    <row r="331" spans="1:26" ht="12.75">
      <c r="A331" s="11">
        <v>43747.117094907408</v>
      </c>
      <c r="B331" s="12" t="str">
        <f>HYPERLINK("https://twitter.com/al7azamiie4_al7","@al7azamiie4_al7")</f>
        <v>@al7azamiie4_al7</v>
      </c>
      <c r="C331" s="13" t="s">
        <v>1896</v>
      </c>
      <c r="D331" s="13" t="s">
        <v>1897</v>
      </c>
      <c r="E331" s="12" t="str">
        <f>HYPERLINK("https://twitter.com/al7azamiie4_al7/status/1181869063754145792","1181869063754145792")</f>
        <v>1181869063754145792</v>
      </c>
      <c r="F331" s="8"/>
      <c r="G331" s="14" t="s">
        <v>1898</v>
      </c>
      <c r="H331" s="8"/>
      <c r="I331" s="15">
        <v>0</v>
      </c>
      <c r="J331" s="15">
        <v>0</v>
      </c>
      <c r="K331" s="12" t="str">
        <f>HYPERLINK("http://twitter.com","Twitter Web Client")</f>
        <v>Twitter Web Client</v>
      </c>
      <c r="L331" s="16">
        <v>0</v>
      </c>
      <c r="M331" s="16">
        <v>30</v>
      </c>
      <c r="N331" s="16">
        <v>0</v>
      </c>
      <c r="O331" s="17"/>
      <c r="P331" s="18">
        <v>42085.246064814812</v>
      </c>
      <c r="Q331" s="7"/>
      <c r="R331" s="13"/>
      <c r="S331" s="8"/>
      <c r="T331" s="8"/>
      <c r="U331" s="19" t="str">
        <f>HYPERLINK("https://pbs.twimg.com/profile_images/579627316034314240/6Psjk71I.jpg","View")</f>
        <v>View</v>
      </c>
      <c r="V331" s="8"/>
      <c r="W331" s="8"/>
      <c r="X331" s="8"/>
      <c r="Y331" s="8"/>
      <c r="Z331" s="8"/>
    </row>
    <row r="332" spans="1:26" ht="12.75">
      <c r="A332" s="11">
        <v>43747.116956018523</v>
      </c>
      <c r="B332" s="12" t="str">
        <f>HYPERLINK("https://twitter.com/Elshamsy57Saed","@Elshamsy57Saed")</f>
        <v>@Elshamsy57Saed</v>
      </c>
      <c r="C332" s="13" t="s">
        <v>1901</v>
      </c>
      <c r="D332" s="7" t="s">
        <v>1902</v>
      </c>
      <c r="E332" s="12" t="str">
        <f>HYPERLINK("https://twitter.com/Elshamsy57Saed/status/1181869012835274752","1181869012835274752")</f>
        <v>1181869012835274752</v>
      </c>
      <c r="F332" s="8"/>
      <c r="G332" s="14" t="s">
        <v>1904</v>
      </c>
      <c r="H332" s="8"/>
      <c r="I332" s="15">
        <v>0</v>
      </c>
      <c r="J332" s="15">
        <v>0</v>
      </c>
      <c r="K332" s="12" t="str">
        <f>HYPERLINK("http://twitter.com","Twitter Web Client")</f>
        <v>Twitter Web Client</v>
      </c>
      <c r="L332" s="16">
        <v>0</v>
      </c>
      <c r="M332" s="16">
        <v>6</v>
      </c>
      <c r="N332" s="16">
        <v>0</v>
      </c>
      <c r="O332" s="17"/>
      <c r="P332" s="18">
        <v>42538.397453703699</v>
      </c>
      <c r="Q332" s="7"/>
      <c r="R332" s="13"/>
      <c r="S332" s="8"/>
      <c r="T332" s="8"/>
      <c r="U332" s="20" t="s">
        <v>354</v>
      </c>
      <c r="V332" s="8"/>
      <c r="W332" s="8"/>
      <c r="X332" s="8"/>
      <c r="Y332" s="8"/>
      <c r="Z332" s="8"/>
    </row>
    <row r="333" spans="1:26" ht="12.75">
      <c r="A333" s="11">
        <v>43747.11681712963</v>
      </c>
      <c r="B333" s="12" t="str">
        <f>HYPERLINK("https://twitter.com/mohamee33","@mohamee33")</f>
        <v>@mohamee33</v>
      </c>
      <c r="C333" s="13" t="s">
        <v>1906</v>
      </c>
      <c r="D333" s="7" t="s">
        <v>1907</v>
      </c>
      <c r="E333" s="12" t="str">
        <f>HYPERLINK("https://twitter.com/mohamee33/status/1181868961773821957","1181868961773821957")</f>
        <v>1181868961773821957</v>
      </c>
      <c r="F333" s="8"/>
      <c r="G333" s="14" t="s">
        <v>1908</v>
      </c>
      <c r="H333" s="8"/>
      <c r="I333" s="15">
        <v>0</v>
      </c>
      <c r="J333" s="15">
        <v>0</v>
      </c>
      <c r="K333" s="12" t="str">
        <f>HYPERLINK("http://twitter.com","Twitter Web Client")</f>
        <v>Twitter Web Client</v>
      </c>
      <c r="L333" s="16">
        <v>0</v>
      </c>
      <c r="M333" s="16">
        <v>35</v>
      </c>
      <c r="N333" s="16">
        <v>0</v>
      </c>
      <c r="O333" s="17"/>
      <c r="P333" s="18">
        <v>42077.534305555557</v>
      </c>
      <c r="Q333" s="7"/>
      <c r="R333" s="13"/>
      <c r="S333" s="8"/>
      <c r="T333" s="8"/>
      <c r="U333" s="19" t="str">
        <f>HYPERLINK("https://pbs.twimg.com/profile_images/576832885618913280/EkXytjH7.jpeg","View")</f>
        <v>View</v>
      </c>
      <c r="V333" s="8"/>
      <c r="W333" s="8"/>
      <c r="X333" s="8"/>
      <c r="Y333" s="8"/>
      <c r="Z333" s="8"/>
    </row>
    <row r="334" spans="1:26" ht="12.75">
      <c r="A334" s="11">
        <v>43747.116215277776</v>
      </c>
      <c r="B334" s="12" t="str">
        <f>HYPERLINK("https://twitter.com/AliyaUzza","@AliyaUzza")</f>
        <v>@AliyaUzza</v>
      </c>
      <c r="C334" s="13" t="s">
        <v>1912</v>
      </c>
      <c r="D334" s="13" t="s">
        <v>914</v>
      </c>
      <c r="E334" s="12" t="str">
        <f>HYPERLINK("https://twitter.com/AliyaUzza/status/1181868744366161920","1181868744366161920")</f>
        <v>1181868744366161920</v>
      </c>
      <c r="F334" s="8"/>
      <c r="G334" s="14" t="s">
        <v>917</v>
      </c>
      <c r="H334" s="8"/>
      <c r="I334" s="15">
        <v>0</v>
      </c>
      <c r="J334" s="15">
        <v>0</v>
      </c>
      <c r="K334" s="12" t="str">
        <f>HYPERLINK("https://mobile.twitter.com","Twitter Web App")</f>
        <v>Twitter Web App</v>
      </c>
      <c r="L334" s="16">
        <v>0</v>
      </c>
      <c r="M334" s="16">
        <v>0</v>
      </c>
      <c r="N334" s="16">
        <v>0</v>
      </c>
      <c r="O334" s="17"/>
      <c r="P334" s="18">
        <v>43729.996655092589</v>
      </c>
      <c r="Q334" s="7" t="s">
        <v>1913</v>
      </c>
      <c r="R334" s="13" t="s">
        <v>925</v>
      </c>
      <c r="S334" s="8"/>
      <c r="T334" s="8"/>
      <c r="U334" s="19" t="str">
        <f>HYPERLINK("https://pbs.twimg.com/profile_images/1175664851395301378/ZYRbgI7C.jpg","View")</f>
        <v>View</v>
      </c>
      <c r="V334" s="8"/>
      <c r="W334" s="8"/>
      <c r="X334" s="8"/>
      <c r="Y334" s="8"/>
      <c r="Z334" s="8"/>
    </row>
    <row r="335" spans="1:26" ht="12.75">
      <c r="A335" s="11">
        <v>43747.11555555556</v>
      </c>
      <c r="B335" s="12" t="str">
        <f>HYPERLINK("https://twitter.com/NaimNaseema","@NaimNaseema")</f>
        <v>@NaimNaseema</v>
      </c>
      <c r="C335" s="13" t="s">
        <v>1914</v>
      </c>
      <c r="D335" s="13" t="s">
        <v>952</v>
      </c>
      <c r="E335" s="12" t="str">
        <f>HYPERLINK("https://twitter.com/NaimNaseema/status/1181868504527470592","1181868504527470592")</f>
        <v>1181868504527470592</v>
      </c>
      <c r="F335" s="8"/>
      <c r="G335" s="14" t="s">
        <v>1915</v>
      </c>
      <c r="H335" s="8"/>
      <c r="I335" s="15">
        <v>0</v>
      </c>
      <c r="J335" s="15">
        <v>0</v>
      </c>
      <c r="K335" s="12" t="str">
        <f>HYPERLINK("https://mobile.twitter.com","Twitter Web App")</f>
        <v>Twitter Web App</v>
      </c>
      <c r="L335" s="16">
        <v>0</v>
      </c>
      <c r="M335" s="16">
        <v>0</v>
      </c>
      <c r="N335" s="16">
        <v>0</v>
      </c>
      <c r="O335" s="17"/>
      <c r="P335" s="18">
        <v>43737.919699074075</v>
      </c>
      <c r="Q335" s="7" t="s">
        <v>1916</v>
      </c>
      <c r="R335" s="13" t="s">
        <v>1917</v>
      </c>
      <c r="S335" s="8"/>
      <c r="T335" s="8"/>
      <c r="U335" s="19" t="str">
        <f>HYPERLINK("https://pbs.twimg.com/profile_images/1180431569250439169/y26mw5oa.jpg","View")</f>
        <v>View</v>
      </c>
      <c r="V335" s="8"/>
      <c r="W335" s="8"/>
      <c r="X335" s="8"/>
      <c r="Y335" s="8"/>
      <c r="Z335" s="8"/>
    </row>
    <row r="336" spans="1:26" ht="12.75">
      <c r="A336" s="11">
        <v>43747.11513888889</v>
      </c>
      <c r="B336" s="12" t="str">
        <f>HYPERLINK("https://twitter.com/AfaafR","@AfaafR")</f>
        <v>@AfaafR</v>
      </c>
      <c r="C336" s="7" t="s">
        <v>1921</v>
      </c>
      <c r="D336" s="13" t="s">
        <v>1178</v>
      </c>
      <c r="E336" s="12" t="str">
        <f>HYPERLINK("https://twitter.com/AfaafR/status/1181868356749496321","1181868356749496321")</f>
        <v>1181868356749496321</v>
      </c>
      <c r="F336" s="8"/>
      <c r="G336" s="14" t="s">
        <v>1922</v>
      </c>
      <c r="H336" s="8"/>
      <c r="I336" s="15">
        <v>0</v>
      </c>
      <c r="J336" s="15">
        <v>0</v>
      </c>
      <c r="K336" s="12" t="str">
        <f>HYPERLINK("https://mobile.twitter.com","Twitter Web App")</f>
        <v>Twitter Web App</v>
      </c>
      <c r="L336" s="16">
        <v>0</v>
      </c>
      <c r="M336" s="16">
        <v>0</v>
      </c>
      <c r="N336" s="16">
        <v>0</v>
      </c>
      <c r="O336" s="17"/>
      <c r="P336" s="18">
        <v>43737.922199074077</v>
      </c>
      <c r="Q336" s="7" t="s">
        <v>1405</v>
      </c>
      <c r="R336" s="7" t="s">
        <v>1924</v>
      </c>
      <c r="S336" s="15"/>
      <c r="T336" s="8"/>
      <c r="U336" s="19" t="str">
        <f>HYPERLINK("https://pbs.twimg.com/profile_images/1179702979206582272/oboZCBS1.jpg","View")</f>
        <v>View</v>
      </c>
      <c r="V336" s="8"/>
      <c r="W336" s="8"/>
      <c r="X336" s="8"/>
      <c r="Y336" s="8"/>
      <c r="Z336" s="8"/>
    </row>
    <row r="337" spans="1:26" ht="12.75">
      <c r="A337" s="11">
        <v>43747.114965277782</v>
      </c>
      <c r="B337" s="12" t="str">
        <f>HYPERLINK("https://twitter.com/tahirdoughan","@tahirdoughan")</f>
        <v>@tahirdoughan</v>
      </c>
      <c r="C337" s="13" t="s">
        <v>1927</v>
      </c>
      <c r="D337" s="13" t="s">
        <v>1928</v>
      </c>
      <c r="E337" s="12" t="str">
        <f>HYPERLINK("https://twitter.com/tahirdoughan/status/1181868292899840000","1181868292899840000")</f>
        <v>1181868292899840000</v>
      </c>
      <c r="F337" s="8"/>
      <c r="G337" s="14" t="s">
        <v>1929</v>
      </c>
      <c r="H337" s="8"/>
      <c r="I337" s="15">
        <v>0</v>
      </c>
      <c r="J337" s="15">
        <v>0</v>
      </c>
      <c r="K337" s="12" t="str">
        <f>HYPERLINK("http://twitter.com","Twitter Web Client")</f>
        <v>Twitter Web Client</v>
      </c>
      <c r="L337" s="16">
        <v>8</v>
      </c>
      <c r="M337" s="16">
        <v>42</v>
      </c>
      <c r="N337" s="16">
        <v>0</v>
      </c>
      <c r="O337" s="17"/>
      <c r="P337" s="18">
        <v>42075.282418981486</v>
      </c>
      <c r="Q337" s="7"/>
      <c r="R337" s="13"/>
      <c r="S337" s="8"/>
      <c r="T337" s="8"/>
      <c r="U337" s="19" t="str">
        <f>HYPERLINK("https://pbs.twimg.com/profile_images/576017183022579712/tk7-TwdP.jpeg","View")</f>
        <v>View</v>
      </c>
      <c r="V337" s="8"/>
      <c r="W337" s="8"/>
      <c r="X337" s="8"/>
      <c r="Y337" s="8"/>
      <c r="Z337" s="8"/>
    </row>
    <row r="338" spans="1:26" ht="12.75">
      <c r="A338" s="11">
        <v>43747.114849537036</v>
      </c>
      <c r="B338" s="12" t="str">
        <f>HYPERLINK("https://twitter.com/UzzaFouz","@UzzaFouz")</f>
        <v>@UzzaFouz</v>
      </c>
      <c r="C338" s="13" t="s">
        <v>1933</v>
      </c>
      <c r="D338" s="13" t="s">
        <v>907</v>
      </c>
      <c r="E338" s="12" t="str">
        <f>HYPERLINK("https://twitter.com/UzzaFouz/status/1181868251501907970","1181868251501907970")</f>
        <v>1181868251501907970</v>
      </c>
      <c r="F338" s="8"/>
      <c r="G338" s="14" t="s">
        <v>1935</v>
      </c>
      <c r="H338" s="8"/>
      <c r="I338" s="15">
        <v>0</v>
      </c>
      <c r="J338" s="15">
        <v>0</v>
      </c>
      <c r="K338" s="12" t="str">
        <f>HYPERLINK("https://mobile.twitter.com","Twitter Web App")</f>
        <v>Twitter Web App</v>
      </c>
      <c r="L338" s="16">
        <v>0</v>
      </c>
      <c r="M338" s="16">
        <v>0</v>
      </c>
      <c r="N338" s="16">
        <v>0</v>
      </c>
      <c r="O338" s="17"/>
      <c r="P338" s="18">
        <v>43738.151655092588</v>
      </c>
      <c r="Q338" s="7" t="s">
        <v>1938</v>
      </c>
      <c r="R338" s="13" t="s">
        <v>925</v>
      </c>
      <c r="S338" s="8"/>
      <c r="T338" s="8"/>
      <c r="U338" s="19" t="str">
        <f>HYPERLINK("https://pbs.twimg.com/profile_images/1181518191010275328/1i07u0sd.jpg","View")</f>
        <v>View</v>
      </c>
      <c r="V338" s="8"/>
      <c r="W338" s="8"/>
      <c r="X338" s="8"/>
      <c r="Y338" s="8"/>
      <c r="Z338" s="8"/>
    </row>
    <row r="339" spans="1:26" ht="12.75">
      <c r="A339" s="11">
        <v>43747.114293981482</v>
      </c>
      <c r="B339" s="12" t="str">
        <f>HYPERLINK("https://twitter.com/ElDhaakir","@ElDhaakir")</f>
        <v>@ElDhaakir</v>
      </c>
      <c r="C339" s="13" t="s">
        <v>1940</v>
      </c>
      <c r="D339" s="13" t="s">
        <v>907</v>
      </c>
      <c r="E339" s="12" t="str">
        <f>HYPERLINK("https://twitter.com/ElDhaakir/status/1181868046832455680","1181868046832455680")</f>
        <v>1181868046832455680</v>
      </c>
      <c r="F339" s="8"/>
      <c r="G339" s="14" t="s">
        <v>1943</v>
      </c>
      <c r="H339" s="8"/>
      <c r="I339" s="15">
        <v>0</v>
      </c>
      <c r="J339" s="15">
        <v>0</v>
      </c>
      <c r="K339" s="12" t="str">
        <f>HYPERLINK("https://mobile.twitter.com","Twitter Web App")</f>
        <v>Twitter Web App</v>
      </c>
      <c r="L339" s="16">
        <v>0</v>
      </c>
      <c r="M339" s="16">
        <v>2</v>
      </c>
      <c r="N339" s="16">
        <v>0</v>
      </c>
      <c r="O339" s="17"/>
      <c r="P339" s="18">
        <v>43739.926817129628</v>
      </c>
      <c r="Q339" s="7" t="s">
        <v>1564</v>
      </c>
      <c r="R339" s="13" t="s">
        <v>1944</v>
      </c>
      <c r="S339" s="8"/>
      <c r="T339" s="8"/>
      <c r="U339" s="19" t="str">
        <f>HYPERLINK("https://pbs.twimg.com/profile_images/1181503375738732544/PGsTa2e0.jpg","View")</f>
        <v>View</v>
      </c>
      <c r="V339" s="8"/>
      <c r="W339" s="8"/>
      <c r="X339" s="8"/>
      <c r="Y339" s="8"/>
      <c r="Z339" s="8"/>
    </row>
    <row r="340" spans="1:26" ht="12.75">
      <c r="A340" s="11">
        <v>43747.114270833335</v>
      </c>
      <c r="B340" s="12" t="str">
        <f>HYPERLINK("https://twitter.com/SaahirIshmael","@SaahirIshmael")</f>
        <v>@SaahirIshmael</v>
      </c>
      <c r="C340" s="13" t="s">
        <v>1945</v>
      </c>
      <c r="D340" s="7" t="s">
        <v>1236</v>
      </c>
      <c r="E340" s="12" t="str">
        <f>HYPERLINK("https://twitter.com/SaahirIshmael/status/1181868038276018176","1181868038276018176")</f>
        <v>1181868038276018176</v>
      </c>
      <c r="F340" s="8"/>
      <c r="G340" s="14" t="s">
        <v>1946</v>
      </c>
      <c r="H340" s="8"/>
      <c r="I340" s="15">
        <v>0</v>
      </c>
      <c r="J340" s="15">
        <v>0</v>
      </c>
      <c r="K340" s="12" t="str">
        <f>HYPERLINK("https://mobile.twitter.com","Twitter Web App")</f>
        <v>Twitter Web App</v>
      </c>
      <c r="L340" s="16">
        <v>0</v>
      </c>
      <c r="M340" s="16">
        <v>0</v>
      </c>
      <c r="N340" s="16">
        <v>0</v>
      </c>
      <c r="O340" s="17"/>
      <c r="P340" s="18">
        <v>43741.014606481476</v>
      </c>
      <c r="Q340" s="7" t="s">
        <v>939</v>
      </c>
      <c r="R340" s="13" t="s">
        <v>912</v>
      </c>
      <c r="S340" s="8"/>
      <c r="T340" s="8"/>
      <c r="U340" s="19" t="str">
        <f>HYPERLINK("https://pbs.twimg.com/profile_images/1181520784134569987/zgOxxNLH.jpg","View")</f>
        <v>View</v>
      </c>
      <c r="V340" s="8"/>
      <c r="W340" s="8"/>
      <c r="X340" s="8"/>
      <c r="Y340" s="8"/>
      <c r="Z340" s="8"/>
    </row>
    <row r="341" spans="1:26" ht="12.75">
      <c r="A341" s="11">
        <v>43747.114178240736</v>
      </c>
      <c r="B341" s="12" t="str">
        <f>HYPERLINK("https://twitter.com/AlAfreen","@AlAfreen")</f>
        <v>@AlAfreen</v>
      </c>
      <c r="C341" s="13" t="s">
        <v>1951</v>
      </c>
      <c r="D341" s="13" t="s">
        <v>28</v>
      </c>
      <c r="E341" s="12" t="str">
        <f>HYPERLINK("https://twitter.com/AlAfreen/status/1181868006567071745","1181868006567071745")</f>
        <v>1181868006567071745</v>
      </c>
      <c r="F341" s="8"/>
      <c r="G341" s="14" t="s">
        <v>31</v>
      </c>
      <c r="H341" s="8"/>
      <c r="I341" s="15">
        <v>0</v>
      </c>
      <c r="J341" s="15">
        <v>0</v>
      </c>
      <c r="K341" s="12" t="str">
        <f>HYPERLINK("https://mobile.twitter.com","Twitter Web App")</f>
        <v>Twitter Web App</v>
      </c>
      <c r="L341" s="16">
        <v>0</v>
      </c>
      <c r="M341" s="16">
        <v>0</v>
      </c>
      <c r="N341" s="16">
        <v>0</v>
      </c>
      <c r="O341" s="17"/>
      <c r="P341" s="18">
        <v>43730.916030092594</v>
      </c>
      <c r="Q341" s="7" t="s">
        <v>939</v>
      </c>
      <c r="R341" s="13" t="s">
        <v>1258</v>
      </c>
      <c r="S341" s="8"/>
      <c r="T341" s="8"/>
      <c r="U341" s="19" t="str">
        <f>HYPERLINK("https://pbs.twimg.com/profile_images/1179686666136514560/RwvUs8Hl.jpg","View")</f>
        <v>View</v>
      </c>
      <c r="V341" s="8"/>
      <c r="W341" s="8"/>
      <c r="X341" s="8"/>
      <c r="Y341" s="8"/>
      <c r="Z341" s="8"/>
    </row>
    <row r="342" spans="1:26" ht="12.75">
      <c r="A342" s="11">
        <v>43747.113784722227</v>
      </c>
      <c r="B342" s="12" t="str">
        <f>HYPERLINK("https://twitter.com/el3uosai44","@el3uosai44")</f>
        <v>@el3uosai44</v>
      </c>
      <c r="C342" s="13" t="s">
        <v>1954</v>
      </c>
      <c r="D342" s="13" t="s">
        <v>1955</v>
      </c>
      <c r="E342" s="12" t="str">
        <f>HYPERLINK("https://twitter.com/el3uosai44/status/1181867866083250176","1181867866083250176")</f>
        <v>1181867866083250176</v>
      </c>
      <c r="F342" s="8"/>
      <c r="G342" s="14" t="s">
        <v>1956</v>
      </c>
      <c r="H342" s="8"/>
      <c r="I342" s="15">
        <v>0</v>
      </c>
      <c r="J342" s="15">
        <v>0</v>
      </c>
      <c r="K342" s="12" t="str">
        <f>HYPERLINK("http://twitter.com","Twitter Web Client")</f>
        <v>Twitter Web Client</v>
      </c>
      <c r="L342" s="16">
        <v>7</v>
      </c>
      <c r="M342" s="16">
        <v>46</v>
      </c>
      <c r="N342" s="16">
        <v>0</v>
      </c>
      <c r="O342" s="17"/>
      <c r="P342" s="18">
        <v>42075.370844907404</v>
      </c>
      <c r="Q342" s="7"/>
      <c r="R342" s="13"/>
      <c r="S342" s="8"/>
      <c r="T342" s="8"/>
      <c r="U342" s="19" t="str">
        <f>HYPERLINK("https://pbs.twimg.com/profile_images/576048655024541696/QA9MACa8.jpeg","View")</f>
        <v>View</v>
      </c>
      <c r="V342" s="8"/>
      <c r="W342" s="8"/>
      <c r="X342" s="8"/>
      <c r="Y342" s="8"/>
      <c r="Z342" s="8"/>
    </row>
    <row r="343" spans="1:26" ht="12.75">
      <c r="A343" s="11">
        <v>43747.113645833335</v>
      </c>
      <c r="B343" s="12" t="str">
        <f>HYPERLINK("https://twitter.com/ghalibalmutair6","@ghalibalmutair6")</f>
        <v>@ghalibalmutair6</v>
      </c>
      <c r="C343" s="13" t="s">
        <v>1957</v>
      </c>
      <c r="D343" s="13" t="s">
        <v>1958</v>
      </c>
      <c r="E343" s="12" t="str">
        <f>HYPERLINK("https://twitter.com/ghalibalmutair6/status/1181867815843831808","1181867815843831808")</f>
        <v>1181867815843831808</v>
      </c>
      <c r="F343" s="8"/>
      <c r="G343" s="14" t="s">
        <v>1961</v>
      </c>
      <c r="H343" s="8"/>
      <c r="I343" s="15">
        <v>0</v>
      </c>
      <c r="J343" s="15">
        <v>0</v>
      </c>
      <c r="K343" s="12" t="str">
        <f>HYPERLINK("http://twitter.com","Twitter Web Client")</f>
        <v>Twitter Web Client</v>
      </c>
      <c r="L343" s="16">
        <v>3</v>
      </c>
      <c r="M343" s="16">
        <v>36</v>
      </c>
      <c r="N343" s="16">
        <v>0</v>
      </c>
      <c r="O343" s="17"/>
      <c r="P343" s="18">
        <v>42066.181608796294</v>
      </c>
      <c r="Q343" s="7"/>
      <c r="R343" s="13"/>
      <c r="S343" s="8"/>
      <c r="T343" s="8"/>
      <c r="U343" s="19" t="str">
        <f>HYPERLINK("https://pbs.twimg.com/profile_images/572734274772561920/tW0D24li.jpeg","View")</f>
        <v>View</v>
      </c>
      <c r="V343" s="8"/>
      <c r="W343" s="8"/>
      <c r="X343" s="8"/>
      <c r="Y343" s="8"/>
      <c r="Z343" s="8"/>
    </row>
    <row r="344" spans="1:26" ht="12.75">
      <c r="A344" s="11">
        <v>43747.11346064815</v>
      </c>
      <c r="B344" s="12" t="str">
        <f>HYPERLINK("https://twitter.com/M_Shoubili","@M_Shoubili")</f>
        <v>@M_Shoubili</v>
      </c>
      <c r="C344" s="13" t="s">
        <v>1963</v>
      </c>
      <c r="D344" s="7" t="s">
        <v>1964</v>
      </c>
      <c r="E344" s="12" t="str">
        <f>HYPERLINK("https://twitter.com/M_Shoubili/status/1181867745702535168","1181867745702535168")</f>
        <v>1181867745702535168</v>
      </c>
      <c r="F344" s="8"/>
      <c r="G344" s="15"/>
      <c r="H344" s="8"/>
      <c r="I344" s="15">
        <v>0</v>
      </c>
      <c r="J344" s="15">
        <v>0</v>
      </c>
      <c r="K344" s="12" t="str">
        <f>HYPERLINK("http://twitter.com/download/iphone","Twitter for iPhone")</f>
        <v>Twitter for iPhone</v>
      </c>
      <c r="L344" s="16">
        <v>672</v>
      </c>
      <c r="M344" s="16">
        <v>486</v>
      </c>
      <c r="N344" s="16">
        <v>4</v>
      </c>
      <c r="O344" s="17"/>
      <c r="P344" s="18">
        <v>40720.474826388891</v>
      </c>
      <c r="Q344" s="7"/>
      <c r="R344" s="13" t="s">
        <v>1965</v>
      </c>
      <c r="S344" s="8"/>
      <c r="T344" s="8"/>
      <c r="U344" s="19" t="str">
        <f>HYPERLINK("https://pbs.twimg.com/profile_images/2348767296/M.jpg","View")</f>
        <v>View</v>
      </c>
      <c r="V344" s="8"/>
      <c r="W344" s="8"/>
      <c r="X344" s="8"/>
      <c r="Y344" s="8"/>
      <c r="Z344" s="8"/>
    </row>
    <row r="345" spans="1:26" ht="12.75">
      <c r="A345" s="11">
        <v>43747.11310185185</v>
      </c>
      <c r="B345" s="12" t="str">
        <f>HYPERLINK("https://twitter.com/AltlalJafar","@AltlalJafar")</f>
        <v>@AltlalJafar</v>
      </c>
      <c r="C345" s="13" t="s">
        <v>1966</v>
      </c>
      <c r="D345" s="13" t="s">
        <v>1967</v>
      </c>
      <c r="E345" s="12" t="str">
        <f>HYPERLINK("https://twitter.com/AltlalJafar/status/1181867618166284289","1181867618166284289")</f>
        <v>1181867618166284289</v>
      </c>
      <c r="F345" s="8"/>
      <c r="G345" s="14" t="s">
        <v>1968</v>
      </c>
      <c r="H345" s="8"/>
      <c r="I345" s="15">
        <v>0</v>
      </c>
      <c r="J345" s="15">
        <v>0</v>
      </c>
      <c r="K345" s="12" t="str">
        <f>HYPERLINK("http://twitter.com","Twitter Web Client")</f>
        <v>Twitter Web Client</v>
      </c>
      <c r="L345" s="16">
        <v>6</v>
      </c>
      <c r="M345" s="16">
        <v>40</v>
      </c>
      <c r="N345" s="16">
        <v>0</v>
      </c>
      <c r="O345" s="17"/>
      <c r="P345" s="18">
        <v>42074.290844907402</v>
      </c>
      <c r="Q345" s="7"/>
      <c r="R345" s="13"/>
      <c r="S345" s="8"/>
      <c r="T345" s="8"/>
      <c r="U345" s="19" t="str">
        <f>HYPERLINK("https://pbs.twimg.com/profile_images/575667782496337920/PLmC6JfS.jpeg","View")</f>
        <v>View</v>
      </c>
      <c r="V345" s="8"/>
      <c r="W345" s="8"/>
      <c r="X345" s="8"/>
      <c r="Y345" s="8"/>
      <c r="Z345" s="8"/>
    </row>
    <row r="346" spans="1:26" ht="12.75">
      <c r="A346" s="11">
        <v>43747.112141203703</v>
      </c>
      <c r="B346" s="12" t="str">
        <f>HYPERLINK("https://twitter.com/JabrHebshi","@JabrHebshi")</f>
        <v>@JabrHebshi</v>
      </c>
      <c r="C346" s="13" t="s">
        <v>1969</v>
      </c>
      <c r="D346" s="13" t="s">
        <v>944</v>
      </c>
      <c r="E346" s="12" t="str">
        <f>HYPERLINK("https://twitter.com/JabrHebshi/status/1181867267912421376","1181867267912421376")</f>
        <v>1181867267912421376</v>
      </c>
      <c r="F346" s="8"/>
      <c r="G346" s="14" t="s">
        <v>1970</v>
      </c>
      <c r="H346" s="8"/>
      <c r="I346" s="15">
        <v>0</v>
      </c>
      <c r="J346" s="15">
        <v>0</v>
      </c>
      <c r="K346" s="12" t="str">
        <f>HYPERLINK("https://mobile.twitter.com","Twitter Web App")</f>
        <v>Twitter Web App</v>
      </c>
      <c r="L346" s="16">
        <v>0</v>
      </c>
      <c r="M346" s="16">
        <v>1</v>
      </c>
      <c r="N346" s="16">
        <v>0</v>
      </c>
      <c r="O346" s="17"/>
      <c r="P346" s="18">
        <v>43728.980254629627</v>
      </c>
      <c r="Q346" s="7" t="s">
        <v>1454</v>
      </c>
      <c r="R346" s="13" t="s">
        <v>1277</v>
      </c>
      <c r="S346" s="8"/>
      <c r="T346" s="8"/>
      <c r="U346" s="19" t="str">
        <f>HYPERLINK("https://pbs.twimg.com/profile_images/1179702926542946304/kNhQ5ROZ.jpg","View")</f>
        <v>View</v>
      </c>
      <c r="V346" s="8"/>
      <c r="W346" s="8"/>
      <c r="X346" s="8"/>
      <c r="Y346" s="8"/>
      <c r="Z346" s="8"/>
    </row>
    <row r="347" spans="1:26" ht="12.75">
      <c r="A347" s="11">
        <v>43747.111689814818</v>
      </c>
      <c r="B347" s="12" t="str">
        <f>HYPERLINK("https://twitter.com/bin_abiha","@bin_abiha")</f>
        <v>@bin_abiha</v>
      </c>
      <c r="C347" s="13" t="s">
        <v>1974</v>
      </c>
      <c r="D347" s="13" t="s">
        <v>907</v>
      </c>
      <c r="E347" s="12" t="str">
        <f>HYPERLINK("https://twitter.com/bin_abiha/status/1181867105760624640","1181867105760624640")</f>
        <v>1181867105760624640</v>
      </c>
      <c r="F347" s="8"/>
      <c r="G347" s="14" t="s">
        <v>1975</v>
      </c>
      <c r="H347" s="8"/>
      <c r="I347" s="15">
        <v>0</v>
      </c>
      <c r="J347" s="15">
        <v>0</v>
      </c>
      <c r="K347" s="12" t="str">
        <f>HYPERLINK("https://mobile.twitter.com","Twitter Web App")</f>
        <v>Twitter Web App</v>
      </c>
      <c r="L347" s="16">
        <v>0</v>
      </c>
      <c r="M347" s="16">
        <v>1</v>
      </c>
      <c r="N347" s="16">
        <v>0</v>
      </c>
      <c r="O347" s="17"/>
      <c r="P347" s="18">
        <v>43734.065717592588</v>
      </c>
      <c r="Q347" s="7" t="s">
        <v>911</v>
      </c>
      <c r="R347" s="13" t="s">
        <v>1977</v>
      </c>
      <c r="S347" s="8"/>
      <c r="T347" s="8"/>
      <c r="U347" s="19" t="str">
        <f>HYPERLINK("https://pbs.twimg.com/profile_images/1180414986402680833/bSVM5ySU.jpg","View")</f>
        <v>View</v>
      </c>
      <c r="V347" s="8"/>
      <c r="W347" s="8"/>
      <c r="X347" s="8"/>
      <c r="Y347" s="8"/>
      <c r="Z347" s="8"/>
    </row>
    <row r="348" spans="1:26" ht="12.75">
      <c r="A348" s="11">
        <v>43747.111539351856</v>
      </c>
      <c r="B348" s="12" t="str">
        <f>HYPERLINK("https://twitter.com/IsmailAlAmri9","@IsmailAlAmri9")</f>
        <v>@IsmailAlAmri9</v>
      </c>
      <c r="C348" s="13" t="s">
        <v>1978</v>
      </c>
      <c r="D348" s="7" t="s">
        <v>1030</v>
      </c>
      <c r="E348" s="12" t="str">
        <f>HYPERLINK("https://twitter.com/IsmailAlAmri9/status/1181867051528249346","1181867051528249346")</f>
        <v>1181867051528249346</v>
      </c>
      <c r="F348" s="8"/>
      <c r="G348" s="14" t="s">
        <v>1979</v>
      </c>
      <c r="H348" s="8"/>
      <c r="I348" s="15">
        <v>0</v>
      </c>
      <c r="J348" s="15">
        <v>0</v>
      </c>
      <c r="K348" s="12" t="str">
        <f>HYPERLINK("https://mobile.twitter.com","Twitter Web App")</f>
        <v>Twitter Web App</v>
      </c>
      <c r="L348" s="16">
        <v>0</v>
      </c>
      <c r="M348" s="16">
        <v>2</v>
      </c>
      <c r="N348" s="16">
        <v>0</v>
      </c>
      <c r="O348" s="17"/>
      <c r="P348" s="18">
        <v>43729.927615740744</v>
      </c>
      <c r="Q348" s="7" t="s">
        <v>1280</v>
      </c>
      <c r="R348" s="13" t="s">
        <v>1470</v>
      </c>
      <c r="S348" s="8"/>
      <c r="T348" s="8"/>
      <c r="U348" s="19" t="str">
        <f>HYPERLINK("https://pbs.twimg.com/profile_images/1175639837941977088/uZtRC0tx.jpg","View")</f>
        <v>View</v>
      </c>
      <c r="V348" s="8"/>
      <c r="W348" s="8"/>
      <c r="X348" s="8"/>
      <c r="Y348" s="8"/>
      <c r="Z348" s="8"/>
    </row>
    <row r="349" spans="1:26" ht="12.75">
      <c r="A349" s="11">
        <v>43747.111018518517</v>
      </c>
      <c r="B349" s="12" t="str">
        <f>HYPERLINK("https://twitter.com/MiqdaadH","@MiqdaadH")</f>
        <v>@MiqdaadH</v>
      </c>
      <c r="C349" s="13" t="s">
        <v>1980</v>
      </c>
      <c r="D349" s="13" t="s">
        <v>914</v>
      </c>
      <c r="E349" s="12" t="str">
        <f>HYPERLINK("https://twitter.com/MiqdaadH/status/1181866861413027840","1181866861413027840")</f>
        <v>1181866861413027840</v>
      </c>
      <c r="F349" s="8"/>
      <c r="G349" s="14" t="s">
        <v>917</v>
      </c>
      <c r="H349" s="8"/>
      <c r="I349" s="15">
        <v>0</v>
      </c>
      <c r="J349" s="15">
        <v>0</v>
      </c>
      <c r="K349" s="12" t="str">
        <f>HYPERLINK("https://mobile.twitter.com","Twitter Web App")</f>
        <v>Twitter Web App</v>
      </c>
      <c r="L349" s="16">
        <v>0</v>
      </c>
      <c r="M349" s="16">
        <v>0</v>
      </c>
      <c r="N349" s="16">
        <v>0</v>
      </c>
      <c r="O349" s="17"/>
      <c r="P349" s="18">
        <v>43737.103090277778</v>
      </c>
      <c r="Q349" s="7"/>
      <c r="R349" s="13"/>
      <c r="S349" s="8"/>
      <c r="T349" s="8"/>
      <c r="U349" s="19" t="str">
        <f>HYPERLINK("https://pbs.twimg.com/profile_images/1181866707599511557/JFlTULpR.jpg","View")</f>
        <v>View</v>
      </c>
      <c r="V349" s="8"/>
      <c r="W349" s="8"/>
      <c r="X349" s="8"/>
      <c r="Y349" s="8"/>
      <c r="Z349" s="8"/>
    </row>
    <row r="350" spans="1:26" ht="12.75">
      <c r="A350" s="11">
        <v>43747.110972222217</v>
      </c>
      <c r="B350" s="12" t="str">
        <f>HYPERLINK("https://twitter.com/lakesaziba","@lakesaziba")</f>
        <v>@lakesaziba</v>
      </c>
      <c r="C350" s="13" t="s">
        <v>1985</v>
      </c>
      <c r="D350" s="13" t="s">
        <v>1986</v>
      </c>
      <c r="E350" s="12" t="str">
        <f>HYPERLINK("https://twitter.com/lakesaziba/status/1181866844929572864","1181866844929572864")</f>
        <v>1181866844929572864</v>
      </c>
      <c r="F350" s="8"/>
      <c r="G350" s="14" t="s">
        <v>1987</v>
      </c>
      <c r="H350" s="8"/>
      <c r="I350" s="15">
        <v>0</v>
      </c>
      <c r="J350" s="15">
        <v>0</v>
      </c>
      <c r="K350" s="12" t="str">
        <f>HYPERLINK("http://twitter.com","Twitter Web Client")</f>
        <v>Twitter Web Client</v>
      </c>
      <c r="L350" s="16">
        <v>0</v>
      </c>
      <c r="M350" s="16">
        <v>37</v>
      </c>
      <c r="N350" s="16">
        <v>0</v>
      </c>
      <c r="O350" s="17"/>
      <c r="P350" s="18">
        <v>42079.375925925924</v>
      </c>
      <c r="Q350" s="7"/>
      <c r="R350" s="13"/>
      <c r="S350" s="8"/>
      <c r="T350" s="8"/>
      <c r="U350" s="19" t="str">
        <f>HYPERLINK("https://pbs.twimg.com/profile_images/577500130531639297/F23vzXHf.jpeg","View")</f>
        <v>View</v>
      </c>
      <c r="V350" s="8"/>
      <c r="W350" s="8"/>
      <c r="X350" s="8"/>
      <c r="Y350" s="8"/>
      <c r="Z350" s="8"/>
    </row>
    <row r="351" spans="1:26" ht="12.75">
      <c r="A351" s="11">
        <v>43747.110914351855</v>
      </c>
      <c r="B351" s="12" t="str">
        <f>HYPERLINK("https://twitter.com/ElKamaaluddeen","@ElKamaaluddeen")</f>
        <v>@ElKamaaluddeen</v>
      </c>
      <c r="C351" s="13" t="s">
        <v>1991</v>
      </c>
      <c r="D351" s="7" t="s">
        <v>914</v>
      </c>
      <c r="E351" s="12" t="str">
        <f>HYPERLINK("https://twitter.com/ElKamaaluddeen/status/1181866823936950273","1181866823936950273")</f>
        <v>1181866823936950273</v>
      </c>
      <c r="F351" s="8"/>
      <c r="G351" s="14" t="s">
        <v>917</v>
      </c>
      <c r="H351" s="8"/>
      <c r="I351" s="15">
        <v>0</v>
      </c>
      <c r="J351" s="15">
        <v>0</v>
      </c>
      <c r="K351" s="12" t="str">
        <f>HYPERLINK("https://mobile.twitter.com","Twitter Web App")</f>
        <v>Twitter Web App</v>
      </c>
      <c r="L351" s="16">
        <v>0</v>
      </c>
      <c r="M351" s="16">
        <v>0</v>
      </c>
      <c r="N351" s="16">
        <v>0</v>
      </c>
      <c r="O351" s="17"/>
      <c r="P351" s="18">
        <v>43741.021238425921</v>
      </c>
      <c r="Q351" s="7" t="s">
        <v>920</v>
      </c>
      <c r="R351" s="13" t="s">
        <v>1277</v>
      </c>
      <c r="S351" s="8"/>
      <c r="T351" s="8"/>
      <c r="U351" s="19" t="str">
        <f>HYPERLINK("https://pbs.twimg.com/profile_images/1181522535780737024/Xa7BUq5h.jpg","View")</f>
        <v>View</v>
      </c>
      <c r="V351" s="8"/>
      <c r="W351" s="8"/>
      <c r="X351" s="8"/>
      <c r="Y351" s="8"/>
      <c r="Z351" s="8"/>
    </row>
    <row r="352" spans="1:26" ht="12.75">
      <c r="A352" s="11">
        <v>43747.110138888893</v>
      </c>
      <c r="B352" s="12" t="str">
        <f>HYPERLINK("https://twitter.com/SalemIttihad3","@SalemIttihad3")</f>
        <v>@SalemIttihad3</v>
      </c>
      <c r="C352" s="13" t="s">
        <v>1997</v>
      </c>
      <c r="D352" s="7" t="s">
        <v>1998</v>
      </c>
      <c r="E352" s="12" t="str">
        <f>HYPERLINK("https://twitter.com/SalemIttihad3/status/1181866542876827648","1181866542876827648")</f>
        <v>1181866542876827648</v>
      </c>
      <c r="F352" s="8"/>
      <c r="G352" s="14" t="s">
        <v>1999</v>
      </c>
      <c r="H352" s="8"/>
      <c r="I352" s="15">
        <v>0</v>
      </c>
      <c r="J352" s="15">
        <v>0</v>
      </c>
      <c r="K352" s="12" t="str">
        <f>HYPERLINK("http://twitter.com","Twitter Web Client")</f>
        <v>Twitter Web Client</v>
      </c>
      <c r="L352" s="16">
        <v>90</v>
      </c>
      <c r="M352" s="16">
        <v>149</v>
      </c>
      <c r="N352" s="16">
        <v>0</v>
      </c>
      <c r="O352" s="17"/>
      <c r="P352" s="18">
        <v>41483.297384259262</v>
      </c>
      <c r="Q352" s="7"/>
      <c r="R352" s="13" t="s">
        <v>2002</v>
      </c>
      <c r="S352" s="8"/>
      <c r="T352" s="8"/>
      <c r="U352" s="19" t="str">
        <f>HYPERLINK("https://pbs.twimg.com/profile_images/824595977407500288/AnzI80m4.jpg","View")</f>
        <v>View</v>
      </c>
      <c r="V352" s="8"/>
      <c r="W352" s="8"/>
      <c r="X352" s="8"/>
      <c r="Y352" s="8"/>
      <c r="Z352" s="8"/>
    </row>
    <row r="353" spans="1:26" ht="12.75">
      <c r="A353" s="11">
        <v>43747.110115740739</v>
      </c>
      <c r="B353" s="12" t="str">
        <f>HYPERLINK("https://twitter.com/RaafiKarimi","@RaafiKarimi")</f>
        <v>@RaafiKarimi</v>
      </c>
      <c r="C353" s="13" t="s">
        <v>2003</v>
      </c>
      <c r="D353" s="7" t="s">
        <v>28</v>
      </c>
      <c r="E353" s="12" t="str">
        <f>HYPERLINK("https://twitter.com/RaafiKarimi/status/1181866535108759552","1181866535108759552")</f>
        <v>1181866535108759552</v>
      </c>
      <c r="F353" s="8"/>
      <c r="G353" s="14" t="s">
        <v>31</v>
      </c>
      <c r="H353" s="8"/>
      <c r="I353" s="15">
        <v>0</v>
      </c>
      <c r="J353" s="15">
        <v>0</v>
      </c>
      <c r="K353" s="12" t="str">
        <f>HYPERLINK("https://mobile.twitter.com","Twitter Web App")</f>
        <v>Twitter Web App</v>
      </c>
      <c r="L353" s="16">
        <v>0</v>
      </c>
      <c r="M353" s="16">
        <v>0</v>
      </c>
      <c r="N353" s="16">
        <v>0</v>
      </c>
      <c r="O353" s="17"/>
      <c r="P353" s="18">
        <v>43739.930937500001</v>
      </c>
      <c r="Q353" s="7" t="s">
        <v>1228</v>
      </c>
      <c r="R353" s="13" t="s">
        <v>1552</v>
      </c>
      <c r="S353" s="8"/>
      <c r="T353" s="8"/>
      <c r="U353" s="19" t="str">
        <f>HYPERLINK("https://pbs.twimg.com/profile_images/1181525704107683840/a7QGwdeb.jpg","View")</f>
        <v>View</v>
      </c>
      <c r="V353" s="8"/>
      <c r="W353" s="8"/>
      <c r="X353" s="8"/>
      <c r="Y353" s="8"/>
      <c r="Z353" s="8"/>
    </row>
    <row r="354" spans="1:26" ht="12.75">
      <c r="A354" s="11">
        <v>43747.109409722223</v>
      </c>
      <c r="B354" s="12" t="str">
        <f>HYPERLINK("https://twitter.com/ZaidAlAmri10","@ZaidAlAmri10")</f>
        <v>@ZaidAlAmri10</v>
      </c>
      <c r="C354" s="13" t="s">
        <v>2004</v>
      </c>
      <c r="D354" s="7" t="s">
        <v>937</v>
      </c>
      <c r="E354" s="12" t="str">
        <f>HYPERLINK("https://twitter.com/ZaidAlAmri10/status/1181866279000391687","1181866279000391687")</f>
        <v>1181866279000391687</v>
      </c>
      <c r="F354" s="8"/>
      <c r="G354" s="14" t="s">
        <v>2005</v>
      </c>
      <c r="H354" s="8"/>
      <c r="I354" s="15">
        <v>0</v>
      </c>
      <c r="J354" s="15">
        <v>0</v>
      </c>
      <c r="K354" s="12" t="str">
        <f>HYPERLINK("https://mobile.twitter.com","Twitter Web App")</f>
        <v>Twitter Web App</v>
      </c>
      <c r="L354" s="16">
        <v>0</v>
      </c>
      <c r="M354" s="16">
        <v>1</v>
      </c>
      <c r="N354" s="16">
        <v>0</v>
      </c>
      <c r="O354" s="17"/>
      <c r="P354" s="18">
        <v>43733.95893518519</v>
      </c>
      <c r="Q354" s="7" t="s">
        <v>1612</v>
      </c>
      <c r="R354" s="13" t="s">
        <v>2008</v>
      </c>
      <c r="S354" s="8"/>
      <c r="T354" s="8"/>
      <c r="U354" s="19" t="str">
        <f>HYPERLINK("https://pbs.twimg.com/profile_images/1180413401396211718/eZvbMElT.jpg","View")</f>
        <v>View</v>
      </c>
      <c r="V354" s="8"/>
      <c r="W354" s="8"/>
      <c r="X354" s="8"/>
      <c r="Y354" s="8"/>
      <c r="Z354" s="8"/>
    </row>
    <row r="355" spans="1:26" ht="12.75">
      <c r="A355" s="11">
        <v>43747.109143518523</v>
      </c>
      <c r="B355" s="12" t="str">
        <f>HYPERLINK("https://twitter.com/mansoureasoud","@mansoureasoud")</f>
        <v>@mansoureasoud</v>
      </c>
      <c r="C355" s="7" t="s">
        <v>1667</v>
      </c>
      <c r="D355" s="7" t="s">
        <v>2010</v>
      </c>
      <c r="E355" s="12" t="str">
        <f>HYPERLINK("https://twitter.com/mansoureasoud/status/1181866182552498177","1181866182552498177")</f>
        <v>1181866182552498177</v>
      </c>
      <c r="F355" s="15"/>
      <c r="G355" s="14" t="s">
        <v>2011</v>
      </c>
      <c r="H355" s="8"/>
      <c r="I355" s="15">
        <v>0</v>
      </c>
      <c r="J355" s="15">
        <v>0</v>
      </c>
      <c r="K355" s="12" t="str">
        <f>HYPERLINK("http://twitter.com","Twitter Web Client")</f>
        <v>Twitter Web Client</v>
      </c>
      <c r="L355" s="16">
        <v>1</v>
      </c>
      <c r="M355" s="16">
        <v>37</v>
      </c>
      <c r="N355" s="16">
        <v>0</v>
      </c>
      <c r="O355" s="17"/>
      <c r="P355" s="18">
        <v>42080.35560185185</v>
      </c>
      <c r="Q355" s="7"/>
      <c r="R355" s="13"/>
      <c r="S355" s="15"/>
      <c r="T355" s="8"/>
      <c r="U355" s="19" t="str">
        <f>HYPERLINK("https://pbs.twimg.com/profile_images/577855532058300417/4emwW0LR.jpeg","View")</f>
        <v>View</v>
      </c>
      <c r="V355" s="8"/>
      <c r="W355" s="8"/>
      <c r="X355" s="8"/>
      <c r="Y355" s="8"/>
      <c r="Z355" s="8"/>
    </row>
    <row r="356" spans="1:26" ht="12.75">
      <c r="A356" s="11">
        <v>43747.108865740738</v>
      </c>
      <c r="B356" s="12" t="str">
        <f>HYPERLINK("https://twitter.com/el7zaify","@el7zaify")</f>
        <v>@el7zaify</v>
      </c>
      <c r="C356" s="7" t="s">
        <v>2015</v>
      </c>
      <c r="D356" s="7" t="s">
        <v>2016</v>
      </c>
      <c r="E356" s="12" t="str">
        <f>HYPERLINK("https://twitter.com/el7zaify/status/1181866080609935362","1181866080609935362")</f>
        <v>1181866080609935362</v>
      </c>
      <c r="F356" s="15"/>
      <c r="G356" s="14" t="s">
        <v>2018</v>
      </c>
      <c r="H356" s="8"/>
      <c r="I356" s="15">
        <v>0</v>
      </c>
      <c r="J356" s="15">
        <v>0</v>
      </c>
      <c r="K356" s="12" t="str">
        <f>HYPERLINK("http://twitter.com","Twitter Web Client")</f>
        <v>Twitter Web Client</v>
      </c>
      <c r="L356" s="16">
        <v>5</v>
      </c>
      <c r="M356" s="16">
        <v>34</v>
      </c>
      <c r="N356" s="16">
        <v>0</v>
      </c>
      <c r="O356" s="20"/>
      <c r="P356" s="18">
        <v>42080.553842592592</v>
      </c>
      <c r="Q356" s="7"/>
      <c r="R356" s="7"/>
      <c r="S356" s="15"/>
      <c r="T356" s="8"/>
      <c r="U356" s="19" t="str">
        <f>HYPERLINK("https://pbs.twimg.com/profile_images/577926832642617344/ARR1cT28.jpg","View")</f>
        <v>View</v>
      </c>
      <c r="V356" s="8"/>
      <c r="W356" s="8"/>
      <c r="X356" s="8"/>
      <c r="Y356" s="8"/>
      <c r="Z356" s="8"/>
    </row>
    <row r="357" spans="1:26" ht="12.75">
      <c r="A357" s="11">
        <v>43747.108842592592</v>
      </c>
      <c r="B357" s="12" t="str">
        <f>HYPERLINK("https://twitter.com/SirajuddeenAl","@SirajuddeenAl")</f>
        <v>@SirajuddeenAl</v>
      </c>
      <c r="C357" s="7" t="s">
        <v>2021</v>
      </c>
      <c r="D357" s="7" t="s">
        <v>968</v>
      </c>
      <c r="E357" s="12" t="str">
        <f>HYPERLINK("https://twitter.com/SirajuddeenAl/status/1181866074901401601","1181866074901401601")</f>
        <v>1181866074901401601</v>
      </c>
      <c r="F357" s="8"/>
      <c r="G357" s="14" t="s">
        <v>2024</v>
      </c>
      <c r="H357" s="8"/>
      <c r="I357" s="15">
        <v>0</v>
      </c>
      <c r="J357" s="15">
        <v>0</v>
      </c>
      <c r="K357" s="12" t="str">
        <f>HYPERLINK("https://mobile.twitter.com","Twitter Web App")</f>
        <v>Twitter Web App</v>
      </c>
      <c r="L357" s="16">
        <v>0</v>
      </c>
      <c r="M357" s="16">
        <v>0</v>
      </c>
      <c r="N357" s="16">
        <v>0</v>
      </c>
      <c r="O357" s="17"/>
      <c r="P357" s="18">
        <v>43739.932395833333</v>
      </c>
      <c r="Q357" s="7" t="s">
        <v>920</v>
      </c>
      <c r="R357" s="7" t="s">
        <v>1075</v>
      </c>
      <c r="S357" s="8"/>
      <c r="T357" s="8"/>
      <c r="U357" s="19" t="str">
        <f>HYPERLINK("https://pbs.twimg.com/profile_images/1181526031053672448/EDbF0a-r.jpg","View")</f>
        <v>View</v>
      </c>
      <c r="V357" s="8"/>
      <c r="W357" s="8"/>
      <c r="X357" s="8"/>
      <c r="Y357" s="8"/>
      <c r="Z357" s="8"/>
    </row>
    <row r="358" spans="1:26" ht="12.75">
      <c r="A358" s="11">
        <v>43747.108587962968</v>
      </c>
      <c r="B358" s="12" t="str">
        <f>HYPERLINK("https://twitter.com/khaliddawwas1","@khaliddawwas1")</f>
        <v>@khaliddawwas1</v>
      </c>
      <c r="C358" s="13" t="s">
        <v>2028</v>
      </c>
      <c r="D358" s="7" t="s">
        <v>2029</v>
      </c>
      <c r="E358" s="12" t="str">
        <f>HYPERLINK("https://twitter.com/khaliddawwas1/status/1181865978923274240","1181865978923274240")</f>
        <v>1181865978923274240</v>
      </c>
      <c r="F358" s="8"/>
      <c r="G358" s="14" t="s">
        <v>2030</v>
      </c>
      <c r="H358" s="8"/>
      <c r="I358" s="15">
        <v>0</v>
      </c>
      <c r="J358" s="15">
        <v>0</v>
      </c>
      <c r="K358" s="12" t="str">
        <f>HYPERLINK("http://twitter.com","Twitter Web Client")</f>
        <v>Twitter Web Client</v>
      </c>
      <c r="L358" s="16">
        <v>0</v>
      </c>
      <c r="M358" s="16">
        <v>41</v>
      </c>
      <c r="N358" s="16">
        <v>0</v>
      </c>
      <c r="O358" s="17"/>
      <c r="P358" s="18">
        <v>42070.778703703705</v>
      </c>
      <c r="Q358" s="7"/>
      <c r="R358" s="13"/>
      <c r="S358" s="8"/>
      <c r="T358" s="8"/>
      <c r="U358" s="19" t="str">
        <f>HYPERLINK("https://pbs.twimg.com/profile_images/574401643384430592/Ox0ohNj5.jpeg","View")</f>
        <v>View</v>
      </c>
      <c r="V358" s="8"/>
      <c r="W358" s="8"/>
      <c r="X358" s="8"/>
      <c r="Y358" s="8"/>
      <c r="Z358" s="8"/>
    </row>
    <row r="359" spans="1:26" ht="12.75">
      <c r="A359" s="11">
        <v>43747.10837962963</v>
      </c>
      <c r="B359" s="12" t="str">
        <f>HYPERLINK("https://twitter.com/ElQaaida","@ElQaaida")</f>
        <v>@ElQaaida</v>
      </c>
      <c r="C359" s="13" t="s">
        <v>2034</v>
      </c>
      <c r="D359" s="13" t="s">
        <v>944</v>
      </c>
      <c r="E359" s="12" t="str">
        <f>HYPERLINK("https://twitter.com/ElQaaida/status/1181865903962505216","1181865903962505216")</f>
        <v>1181865903962505216</v>
      </c>
      <c r="F359" s="8"/>
      <c r="G359" s="14" t="s">
        <v>2035</v>
      </c>
      <c r="H359" s="8"/>
      <c r="I359" s="15">
        <v>0</v>
      </c>
      <c r="J359" s="15">
        <v>0</v>
      </c>
      <c r="K359" s="12" t="str">
        <f>HYPERLINK("https://mobile.twitter.com","Twitter Web App")</f>
        <v>Twitter Web App</v>
      </c>
      <c r="L359" s="16">
        <v>0</v>
      </c>
      <c r="M359" s="16">
        <v>0</v>
      </c>
      <c r="N359" s="16">
        <v>0</v>
      </c>
      <c r="O359" s="17"/>
      <c r="P359" s="18">
        <v>43740.938449074078</v>
      </c>
      <c r="Q359" s="7" t="s">
        <v>1428</v>
      </c>
      <c r="R359" s="13" t="s">
        <v>1258</v>
      </c>
      <c r="S359" s="8"/>
      <c r="T359" s="8"/>
      <c r="U359" s="19" t="str">
        <f>HYPERLINK("https://pbs.twimg.com/profile_images/1181524523939557378/nGSpjATK.jpg","View")</f>
        <v>View</v>
      </c>
      <c r="V359" s="8"/>
      <c r="W359" s="8"/>
      <c r="X359" s="8"/>
      <c r="Y359" s="8"/>
      <c r="Z359" s="8"/>
    </row>
    <row r="360" spans="1:26" ht="12.75">
      <c r="A360" s="11">
        <v>43747.10832175926</v>
      </c>
      <c r="B360" s="12" t="str">
        <f>HYPERLINK("https://twitter.com/nasseralhmona1","@nasseralhmona1")</f>
        <v>@nasseralhmona1</v>
      </c>
      <c r="C360" s="13" t="s">
        <v>2038</v>
      </c>
      <c r="D360" s="7" t="s">
        <v>2040</v>
      </c>
      <c r="E360" s="12" t="str">
        <f>HYPERLINK("https://twitter.com/nasseralhmona1/status/1181865884958298113","1181865884958298113")</f>
        <v>1181865884958298113</v>
      </c>
      <c r="F360" s="8"/>
      <c r="G360" s="14" t="s">
        <v>2042</v>
      </c>
      <c r="H360" s="8"/>
      <c r="I360" s="15">
        <v>0</v>
      </c>
      <c r="J360" s="15">
        <v>0</v>
      </c>
      <c r="K360" s="12" t="str">
        <f>HYPERLINK("http://twitter.com","Twitter Web Client")</f>
        <v>Twitter Web Client</v>
      </c>
      <c r="L360" s="16">
        <v>2</v>
      </c>
      <c r="M360" s="16">
        <v>43</v>
      </c>
      <c r="N360" s="16">
        <v>0</v>
      </c>
      <c r="O360" s="17"/>
      <c r="P360" s="18">
        <v>42082.551203703704</v>
      </c>
      <c r="Q360" s="7"/>
      <c r="R360" s="13"/>
      <c r="S360" s="8"/>
      <c r="T360" s="8"/>
      <c r="U360" s="19" t="str">
        <f>HYPERLINK("https://pbs.twimg.com/profile_images/578651413737177088/u4XUYORe.jpeg","View")</f>
        <v>View</v>
      </c>
      <c r="V360" s="8"/>
      <c r="W360" s="8"/>
      <c r="X360" s="8"/>
      <c r="Y360" s="8"/>
      <c r="Z360" s="8"/>
    </row>
    <row r="361" spans="1:26" ht="12.75">
      <c r="A361" s="11">
        <v>43747.107627314814</v>
      </c>
      <c r="B361" s="12" t="str">
        <f>HYPERLINK("https://twitter.com/hassanalbargih1","@hassanalbargih1")</f>
        <v>@hassanalbargih1</v>
      </c>
      <c r="C361" s="13" t="s">
        <v>2045</v>
      </c>
      <c r="D361" s="7" t="s">
        <v>2046</v>
      </c>
      <c r="E361" s="12" t="str">
        <f>HYPERLINK("https://twitter.com/hassanalbargih1/status/1181865633715281920","1181865633715281920")</f>
        <v>1181865633715281920</v>
      </c>
      <c r="F361" s="8"/>
      <c r="G361" s="14" t="s">
        <v>2047</v>
      </c>
      <c r="H361" s="8"/>
      <c r="I361" s="15">
        <v>0</v>
      </c>
      <c r="J361" s="15">
        <v>1</v>
      </c>
      <c r="K361" s="12" t="str">
        <f>HYPERLINK("http://twitter.com","Twitter Web Client")</f>
        <v>Twitter Web Client</v>
      </c>
      <c r="L361" s="16">
        <v>1</v>
      </c>
      <c r="M361" s="16">
        <v>37</v>
      </c>
      <c r="N361" s="16">
        <v>0</v>
      </c>
      <c r="O361" s="17"/>
      <c r="P361" s="18">
        <v>42079.373900462961</v>
      </c>
      <c r="Q361" s="7"/>
      <c r="R361" s="13"/>
      <c r="S361" s="8"/>
      <c r="T361" s="8"/>
      <c r="U361" s="19" t="str">
        <f>HYPERLINK("https://pbs.twimg.com/profile_images/577499406741565440/ROxnypbX.jpeg","View")</f>
        <v>View</v>
      </c>
      <c r="V361" s="8"/>
      <c r="W361" s="8"/>
      <c r="X361" s="8"/>
      <c r="Y361" s="8"/>
      <c r="Z361" s="8"/>
    </row>
    <row r="362" spans="1:26" ht="12.75">
      <c r="A362" s="11">
        <v>43747.10565972222</v>
      </c>
      <c r="B362" s="12" t="str">
        <f>HYPERLINK("https://twitter.com/mohamme71657582","@mohamme71657582")</f>
        <v>@mohamme71657582</v>
      </c>
      <c r="C362" s="13" t="s">
        <v>2051</v>
      </c>
      <c r="D362" s="13" t="s">
        <v>2053</v>
      </c>
      <c r="E362" s="12" t="str">
        <f>HYPERLINK("https://twitter.com/mohamme71657582/status/1181864920675172352","1181864920675172352")</f>
        <v>1181864920675172352</v>
      </c>
      <c r="F362" s="8"/>
      <c r="G362" s="14" t="s">
        <v>2054</v>
      </c>
      <c r="H362" s="8"/>
      <c r="I362" s="15">
        <v>0</v>
      </c>
      <c r="J362" s="15">
        <v>0</v>
      </c>
      <c r="K362" s="12" t="str">
        <f>HYPERLINK("http://twitter.com","Twitter Web Client")</f>
        <v>Twitter Web Client</v>
      </c>
      <c r="L362" s="16">
        <v>2</v>
      </c>
      <c r="M362" s="16">
        <v>36</v>
      </c>
      <c r="N362" s="16">
        <v>0</v>
      </c>
      <c r="O362" s="17"/>
      <c r="P362" s="18">
        <v>42069.492083333331</v>
      </c>
      <c r="Q362" s="7"/>
      <c r="R362" s="13"/>
      <c r="S362" s="8"/>
      <c r="T362" s="8"/>
      <c r="U362" s="19" t="str">
        <f>HYPERLINK("https://pbs.twimg.com/profile_images/573933440170524672/RJhCwHjl.jpeg","View")</f>
        <v>View</v>
      </c>
      <c r="V362" s="8"/>
      <c r="W362" s="8"/>
      <c r="X362" s="8"/>
      <c r="Y362" s="8"/>
      <c r="Z362" s="8"/>
    </row>
    <row r="363" spans="1:26" ht="12.75">
      <c r="A363" s="11">
        <v>43747.105219907404</v>
      </c>
      <c r="B363" s="12" t="str">
        <f>HYPERLINK("https://twitter.com/abdullahehsa","@abdullahehsa")</f>
        <v>@abdullahehsa</v>
      </c>
      <c r="C363" s="13" t="s">
        <v>2057</v>
      </c>
      <c r="D363" s="13" t="s">
        <v>2058</v>
      </c>
      <c r="E363" s="12" t="str">
        <f>HYPERLINK("https://twitter.com/abdullahehsa/status/1181864759660072960","1181864759660072960")</f>
        <v>1181864759660072960</v>
      </c>
      <c r="F363" s="8"/>
      <c r="G363" s="14" t="s">
        <v>2059</v>
      </c>
      <c r="H363" s="8"/>
      <c r="I363" s="15">
        <v>2</v>
      </c>
      <c r="J363" s="15">
        <v>2</v>
      </c>
      <c r="K363" s="12" t="str">
        <f>HYPERLINK("http://twitter.com","Twitter Web Client")</f>
        <v>Twitter Web Client</v>
      </c>
      <c r="L363" s="16">
        <v>0</v>
      </c>
      <c r="M363" s="16">
        <v>42</v>
      </c>
      <c r="N363" s="16">
        <v>0</v>
      </c>
      <c r="O363" s="17"/>
      <c r="P363" s="18">
        <v>42076.422835648147</v>
      </c>
      <c r="Q363" s="7"/>
      <c r="R363" s="13"/>
      <c r="S363" s="8"/>
      <c r="T363" s="8"/>
      <c r="U363" s="19" t="str">
        <f>HYPERLINK("https://pbs.twimg.com/profile_images/576431923091800065/wZtOHmbT.jpeg","View")</f>
        <v>View</v>
      </c>
      <c r="V363" s="8"/>
      <c r="W363" s="8"/>
      <c r="X363" s="8"/>
      <c r="Y363" s="8"/>
      <c r="Z363" s="8"/>
    </row>
    <row r="364" spans="1:26" ht="12.75">
      <c r="A364" s="11">
        <v>43747.104745370365</v>
      </c>
      <c r="B364" s="12" t="str">
        <f>HYPERLINK("https://twitter.com/SaalihaAl","@SaalihaAl")</f>
        <v>@SaalihaAl</v>
      </c>
      <c r="C364" s="13" t="s">
        <v>2065</v>
      </c>
      <c r="D364" s="13" t="s">
        <v>1030</v>
      </c>
      <c r="E364" s="12" t="str">
        <f>HYPERLINK("https://twitter.com/SaalihaAl/status/1181864587399847937","1181864587399847937")</f>
        <v>1181864587399847937</v>
      </c>
      <c r="F364" s="8"/>
      <c r="G364" s="14" t="s">
        <v>2066</v>
      </c>
      <c r="H364" s="8"/>
      <c r="I364" s="15">
        <v>0</v>
      </c>
      <c r="J364" s="15">
        <v>0</v>
      </c>
      <c r="K364" s="12" t="str">
        <f>HYPERLINK("https://mobile.twitter.com","Twitter Web App")</f>
        <v>Twitter Web App</v>
      </c>
      <c r="L364" s="16">
        <v>0</v>
      </c>
      <c r="M364" s="16">
        <v>0</v>
      </c>
      <c r="N364" s="16">
        <v>0</v>
      </c>
      <c r="O364" s="17"/>
      <c r="P364" s="18">
        <v>43740.951932870375</v>
      </c>
      <c r="Q364" s="7" t="s">
        <v>1428</v>
      </c>
      <c r="R364" s="13" t="s">
        <v>1110</v>
      </c>
      <c r="S364" s="8"/>
      <c r="T364" s="8"/>
      <c r="U364" s="19" t="str">
        <f>HYPERLINK("https://pbs.twimg.com/profile_images/1181525199407050752/KfEeNLog.jpg","View")</f>
        <v>View</v>
      </c>
      <c r="V364" s="8"/>
      <c r="W364" s="8"/>
      <c r="X364" s="8"/>
      <c r="Y364" s="8"/>
      <c r="Z364" s="8"/>
    </row>
    <row r="365" spans="1:26" ht="12.75">
      <c r="A365" s="11">
        <v>43747.104374999995</v>
      </c>
      <c r="B365" s="12" t="str">
        <f>HYPERLINK("https://twitter.com/3badaManaa3","@3badaManaa3")</f>
        <v>@3badaManaa3</v>
      </c>
      <c r="C365" s="13" t="s">
        <v>2067</v>
      </c>
      <c r="D365" s="13" t="s">
        <v>2068</v>
      </c>
      <c r="E365" s="12" t="str">
        <f>HYPERLINK("https://twitter.com/3badaManaa3/status/1181864452171407360","1181864452171407360")</f>
        <v>1181864452171407360</v>
      </c>
      <c r="F365" s="8"/>
      <c r="G365" s="14" t="s">
        <v>2069</v>
      </c>
      <c r="H365" s="8"/>
      <c r="I365" s="15">
        <v>0</v>
      </c>
      <c r="J365" s="15">
        <v>0</v>
      </c>
      <c r="K365" s="12" t="str">
        <f>HYPERLINK("http://twitter.com","Twitter Web Client")</f>
        <v>Twitter Web Client</v>
      </c>
      <c r="L365" s="16">
        <v>5</v>
      </c>
      <c r="M365" s="16">
        <v>39</v>
      </c>
      <c r="N365" s="16">
        <v>0</v>
      </c>
      <c r="O365" s="17"/>
      <c r="P365" s="18">
        <v>42083.279016203705</v>
      </c>
      <c r="Q365" s="7"/>
      <c r="R365" s="13"/>
      <c r="S365" s="8"/>
      <c r="T365" s="8"/>
      <c r="U365" s="19" t="str">
        <f>HYPERLINK("https://pbs.twimg.com/profile_images/578914457021190144/JRolZ5cS.jpeg","View")</f>
        <v>View</v>
      </c>
      <c r="V365" s="8"/>
      <c r="W365" s="8"/>
      <c r="X365" s="8"/>
      <c r="Y365" s="8"/>
      <c r="Z365" s="8"/>
    </row>
    <row r="366" spans="1:26" ht="12.75">
      <c r="A366" s="11">
        <v>43747.103229166663</v>
      </c>
      <c r="B366" s="12" t="str">
        <f>HYPERLINK("https://twitter.com/admiremutairi21","@admiremutairi21")</f>
        <v>@admiremutairi21</v>
      </c>
      <c r="C366" s="13" t="s">
        <v>2070</v>
      </c>
      <c r="D366" s="7" t="s">
        <v>2071</v>
      </c>
      <c r="E366" s="12" t="str">
        <f>HYPERLINK("https://twitter.com/admiremutairi21/status/1181864040110460929","1181864040110460929")</f>
        <v>1181864040110460929</v>
      </c>
      <c r="F366" s="8"/>
      <c r="G366" s="14" t="s">
        <v>2074</v>
      </c>
      <c r="H366" s="8"/>
      <c r="I366" s="15">
        <v>0</v>
      </c>
      <c r="J366" s="15">
        <v>0</v>
      </c>
      <c r="K366" s="12" t="str">
        <f>HYPERLINK("http://twitter.com","Twitter Web Client")</f>
        <v>Twitter Web Client</v>
      </c>
      <c r="L366" s="16">
        <v>0</v>
      </c>
      <c r="M366" s="16">
        <v>43</v>
      </c>
      <c r="N366" s="16">
        <v>0</v>
      </c>
      <c r="O366" s="17"/>
      <c r="P366" s="18">
        <v>42074.217546296291</v>
      </c>
      <c r="Q366" s="7"/>
      <c r="R366" s="13"/>
      <c r="S366" s="8"/>
      <c r="T366" s="8"/>
      <c r="U366" s="19" t="str">
        <f>HYPERLINK("https://pbs.twimg.com/profile_images/575631655605440512/a-TQwXqb.jpeg","View")</f>
        <v>View</v>
      </c>
      <c r="V366" s="8"/>
      <c r="W366" s="8"/>
      <c r="X366" s="8"/>
      <c r="Y366" s="8"/>
      <c r="Z366" s="8"/>
    </row>
    <row r="367" spans="1:26" ht="12.75">
      <c r="A367" s="11">
        <v>43747.102673611109</v>
      </c>
      <c r="B367" s="12" t="str">
        <f>HYPERLINK("https://twitter.com/abdulra14024302","@abdulra14024302")</f>
        <v>@abdulra14024302</v>
      </c>
      <c r="C367" s="13" t="s">
        <v>2077</v>
      </c>
      <c r="D367" s="7" t="s">
        <v>2078</v>
      </c>
      <c r="E367" s="12" t="str">
        <f>HYPERLINK("https://twitter.com/abdulra14024302/status/1181863836112052224","1181863836112052224")</f>
        <v>1181863836112052224</v>
      </c>
      <c r="F367" s="8"/>
      <c r="G367" s="14" t="s">
        <v>2079</v>
      </c>
      <c r="H367" s="8"/>
      <c r="I367" s="15">
        <v>0</v>
      </c>
      <c r="J367" s="15">
        <v>0</v>
      </c>
      <c r="K367" s="12" t="str">
        <f>HYPERLINK("http://twitter.com","Twitter Web Client")</f>
        <v>Twitter Web Client</v>
      </c>
      <c r="L367" s="16">
        <v>3</v>
      </c>
      <c r="M367" s="16">
        <v>42</v>
      </c>
      <c r="N367" s="16">
        <v>0</v>
      </c>
      <c r="O367" s="17"/>
      <c r="P367" s="18">
        <v>42072.087696759263</v>
      </c>
      <c r="Q367" s="7"/>
      <c r="R367" s="13"/>
      <c r="S367" s="8"/>
      <c r="T367" s="8"/>
      <c r="U367" s="19" t="str">
        <f>HYPERLINK("https://pbs.twimg.com/profile_images/574859013654892544/63OAnj0-.jpeg","View")</f>
        <v>View</v>
      </c>
      <c r="V367" s="8"/>
      <c r="W367" s="8"/>
      <c r="X367" s="8"/>
      <c r="Y367" s="8"/>
      <c r="Z367" s="8"/>
    </row>
    <row r="368" spans="1:26" ht="12.75">
      <c r="A368" s="11">
        <v>43747.102488425924</v>
      </c>
      <c r="B368" s="12" t="str">
        <f>HYPERLINK("https://twitter.com/humaid_el","@humaid_el")</f>
        <v>@humaid_el</v>
      </c>
      <c r="C368" s="13" t="s">
        <v>2083</v>
      </c>
      <c r="D368" s="13" t="s">
        <v>923</v>
      </c>
      <c r="E368" s="12" t="str">
        <f>HYPERLINK("https://twitter.com/humaid_el/status/1181863771897073664","1181863771897073664")</f>
        <v>1181863771897073664</v>
      </c>
      <c r="F368" s="8"/>
      <c r="G368" s="14" t="s">
        <v>2084</v>
      </c>
      <c r="H368" s="8"/>
      <c r="I368" s="15">
        <v>0</v>
      </c>
      <c r="J368" s="15">
        <v>0</v>
      </c>
      <c r="K368" s="12" t="str">
        <f>HYPERLINK("https://mobile.twitter.com","Twitter Web App")</f>
        <v>Twitter Web App</v>
      </c>
      <c r="L368" s="16">
        <v>0</v>
      </c>
      <c r="M368" s="16">
        <v>1</v>
      </c>
      <c r="N368" s="16">
        <v>0</v>
      </c>
      <c r="O368" s="17"/>
      <c r="P368" s="18">
        <v>43741.088067129633</v>
      </c>
      <c r="Q368" s="7" t="s">
        <v>1454</v>
      </c>
      <c r="R368" s="13" t="s">
        <v>2088</v>
      </c>
      <c r="S368" s="8"/>
      <c r="T368" s="8"/>
      <c r="U368" s="19" t="str">
        <f>HYPERLINK("https://pbs.twimg.com/profile_images/1180793819178004481/GQgM1Sxy.jpg","View")</f>
        <v>View</v>
      </c>
      <c r="V368" s="8"/>
      <c r="W368" s="8"/>
      <c r="X368" s="8"/>
      <c r="Y368" s="8"/>
      <c r="Z368" s="8"/>
    </row>
    <row r="369" spans="1:26" ht="12.75">
      <c r="A369" s="11">
        <v>43747.102395833332</v>
      </c>
      <c r="B369" s="12" t="str">
        <f>HYPERLINK("https://twitter.com/DosariRas","@DosariRas")</f>
        <v>@DosariRas</v>
      </c>
      <c r="C369" s="13" t="s">
        <v>2090</v>
      </c>
      <c r="D369" s="7" t="s">
        <v>2091</v>
      </c>
      <c r="E369" s="12" t="str">
        <f>HYPERLINK("https://twitter.com/DosariRas/status/1181863738925826049","1181863738925826049")</f>
        <v>1181863738925826049</v>
      </c>
      <c r="F369" s="8"/>
      <c r="G369" s="14" t="s">
        <v>2092</v>
      </c>
      <c r="H369" s="8"/>
      <c r="I369" s="15">
        <v>0</v>
      </c>
      <c r="J369" s="15">
        <v>0</v>
      </c>
      <c r="K369" s="12" t="str">
        <f>HYPERLINK("http://twitter.com","Twitter Web Client")</f>
        <v>Twitter Web Client</v>
      </c>
      <c r="L369" s="16">
        <v>0</v>
      </c>
      <c r="M369" s="16">
        <v>23</v>
      </c>
      <c r="N369" s="16">
        <v>0</v>
      </c>
      <c r="O369" s="17"/>
      <c r="P369" s="18">
        <v>41827.251921296294</v>
      </c>
      <c r="Q369" s="7"/>
      <c r="R369" s="13"/>
      <c r="S369" s="8"/>
      <c r="T369" s="8"/>
      <c r="U369" s="19" t="str">
        <f>HYPERLINK("https://pbs.twimg.com/profile_images/486133675491196931/wdUN8dsx.jpeg","View")</f>
        <v>View</v>
      </c>
      <c r="V369" s="8"/>
      <c r="W369" s="8"/>
      <c r="X369" s="8"/>
      <c r="Y369" s="8"/>
      <c r="Z369" s="8"/>
    </row>
    <row r="370" spans="1:26" ht="12.75">
      <c r="A370" s="11">
        <v>43747.100243055553</v>
      </c>
      <c r="B370" s="12" t="str">
        <f>HYPERLINK("https://twitter.com/adeel_abufarg1","@adeel_abufarg1")</f>
        <v>@adeel_abufarg1</v>
      </c>
      <c r="C370" s="13" t="s">
        <v>2096</v>
      </c>
      <c r="D370" s="7" t="s">
        <v>2097</v>
      </c>
      <c r="E370" s="12" t="str">
        <f>HYPERLINK("https://twitter.com/adeel_abufarg1/status/1181862954712600576","1181862954712600576")</f>
        <v>1181862954712600576</v>
      </c>
      <c r="F370" s="8"/>
      <c r="G370" s="14" t="s">
        <v>2098</v>
      </c>
      <c r="H370" s="8"/>
      <c r="I370" s="15">
        <v>0</v>
      </c>
      <c r="J370" s="15">
        <v>0</v>
      </c>
      <c r="K370" s="12" t="str">
        <f>HYPERLINK("http://twitter.com","Twitter Web Client")</f>
        <v>Twitter Web Client</v>
      </c>
      <c r="L370" s="16">
        <v>1</v>
      </c>
      <c r="M370" s="16">
        <v>29</v>
      </c>
      <c r="N370" s="16">
        <v>0</v>
      </c>
      <c r="O370" s="17"/>
      <c r="P370" s="18">
        <v>41845.260405092595</v>
      </c>
      <c r="Q370" s="7"/>
      <c r="R370" s="13"/>
      <c r="S370" s="8"/>
      <c r="T370" s="8"/>
      <c r="U370" s="19" t="str">
        <f>HYPERLINK("https://pbs.twimg.com/profile_images/492659391334588416/NZexRhTl.jpeg","View")</f>
        <v>View</v>
      </c>
      <c r="V370" s="8"/>
      <c r="W370" s="8"/>
      <c r="X370" s="8"/>
      <c r="Y370" s="8"/>
      <c r="Z370" s="8"/>
    </row>
    <row r="371" spans="1:26" ht="12.75">
      <c r="A371" s="11">
        <v>43747.098969907413</v>
      </c>
      <c r="B371" s="12" t="str">
        <f>HYPERLINK("https://twitter.com/fayezalmaliki4","@fayezalmaliki4")</f>
        <v>@fayezalmaliki4</v>
      </c>
      <c r="C371" s="13" t="s">
        <v>2103</v>
      </c>
      <c r="D371" s="7" t="s">
        <v>2104</v>
      </c>
      <c r="E371" s="12" t="str">
        <f>HYPERLINK("https://twitter.com/fayezalmaliki4/status/1181862496791154688","1181862496791154688")</f>
        <v>1181862496791154688</v>
      </c>
      <c r="F371" s="8"/>
      <c r="G371" s="14" t="s">
        <v>2105</v>
      </c>
      <c r="H371" s="8"/>
      <c r="I371" s="15">
        <v>0</v>
      </c>
      <c r="J371" s="15">
        <v>0</v>
      </c>
      <c r="K371" s="12" t="str">
        <f>HYPERLINK("http://twitter.com","Twitter Web Client")</f>
        <v>Twitter Web Client</v>
      </c>
      <c r="L371" s="16">
        <v>0</v>
      </c>
      <c r="M371" s="16">
        <v>10</v>
      </c>
      <c r="N371" s="16">
        <v>0</v>
      </c>
      <c r="O371" s="17"/>
      <c r="P371" s="18">
        <v>42022.375648148147</v>
      </c>
      <c r="Q371" s="7"/>
      <c r="R371" s="13"/>
      <c r="S371" s="8"/>
      <c r="T371" s="8"/>
      <c r="U371" s="19" t="str">
        <f>HYPERLINK("https://pbs.twimg.com/profile_images/556859567343022081/9JAIBvSl.jpeg","View")</f>
        <v>View</v>
      </c>
      <c r="V371" s="8"/>
      <c r="W371" s="8"/>
      <c r="X371" s="8"/>
      <c r="Y371" s="8"/>
      <c r="Z371" s="8"/>
    </row>
    <row r="372" spans="1:26" ht="12.75">
      <c r="A372" s="11">
        <v>43747.098402777774</v>
      </c>
      <c r="B372" s="12" t="str">
        <f>HYPERLINK("https://twitter.com/AbdulKh51392926","@AbdulKh51392926")</f>
        <v>@AbdulKh51392926</v>
      </c>
      <c r="C372" s="13" t="s">
        <v>2107</v>
      </c>
      <c r="D372" s="13" t="s">
        <v>937</v>
      </c>
      <c r="E372" s="12" t="str">
        <f>HYPERLINK("https://twitter.com/AbdulKh51392926/status/1181862289667837952","1181862289667837952")</f>
        <v>1181862289667837952</v>
      </c>
      <c r="F372" s="8"/>
      <c r="G372" s="14" t="s">
        <v>2108</v>
      </c>
      <c r="H372" s="8"/>
      <c r="I372" s="15">
        <v>0</v>
      </c>
      <c r="J372" s="15">
        <v>0</v>
      </c>
      <c r="K372" s="12" t="str">
        <f>HYPERLINK("https://mobile.twitter.com","Twitter Web App")</f>
        <v>Twitter Web App</v>
      </c>
      <c r="L372" s="16">
        <v>0</v>
      </c>
      <c r="M372" s="16">
        <v>3</v>
      </c>
      <c r="N372" s="16">
        <v>0</v>
      </c>
      <c r="O372" s="17"/>
      <c r="P372" s="18">
        <v>43738.981192129635</v>
      </c>
      <c r="Q372" s="7" t="s">
        <v>1379</v>
      </c>
      <c r="R372" s="13" t="s">
        <v>1839</v>
      </c>
      <c r="S372" s="8"/>
      <c r="T372" s="8"/>
      <c r="U372" s="19" t="str">
        <f>HYPERLINK("https://pbs.twimg.com/profile_images/1181502832651845632/L12GlHev.jpg","View")</f>
        <v>View</v>
      </c>
      <c r="V372" s="8"/>
      <c r="W372" s="8"/>
      <c r="X372" s="8"/>
      <c r="Y372" s="8"/>
      <c r="Z372" s="8"/>
    </row>
    <row r="373" spans="1:26" ht="12.75">
      <c r="A373" s="11">
        <v>43747.09747685185</v>
      </c>
      <c r="B373" s="12" t="str">
        <f>HYPERLINK("https://twitter.com/dhaki_el","@dhaki_el")</f>
        <v>@dhaki_el</v>
      </c>
      <c r="C373" s="13" t="s">
        <v>2109</v>
      </c>
      <c r="D373" s="13" t="s">
        <v>1130</v>
      </c>
      <c r="E373" s="12" t="str">
        <f>HYPERLINK("https://twitter.com/dhaki_el/status/1181861954769416194","1181861954769416194")</f>
        <v>1181861954769416194</v>
      </c>
      <c r="F373" s="8"/>
      <c r="G373" s="14" t="s">
        <v>2110</v>
      </c>
      <c r="H373" s="8"/>
      <c r="I373" s="15">
        <v>0</v>
      </c>
      <c r="J373" s="15">
        <v>0</v>
      </c>
      <c r="K373" s="12" t="str">
        <f>HYPERLINK("https://mobile.twitter.com","Twitter Web App")</f>
        <v>Twitter Web App</v>
      </c>
      <c r="L373" s="16">
        <v>0</v>
      </c>
      <c r="M373" s="16">
        <v>0</v>
      </c>
      <c r="N373" s="16">
        <v>0</v>
      </c>
      <c r="O373" s="17"/>
      <c r="P373" s="18">
        <v>43741.071192129632</v>
      </c>
      <c r="Q373" s="7" t="s">
        <v>1355</v>
      </c>
      <c r="R373" s="13" t="s">
        <v>925</v>
      </c>
      <c r="S373" s="8"/>
      <c r="T373" s="8"/>
      <c r="U373" s="19" t="str">
        <f>HYPERLINK("https://pbs.twimg.com/profile_images/1181861894329524225/b8Hml-0e.jpg","View")</f>
        <v>View</v>
      </c>
      <c r="V373" s="8"/>
      <c r="W373" s="8"/>
      <c r="X373" s="8"/>
      <c r="Y373" s="8"/>
      <c r="Z373" s="8"/>
    </row>
    <row r="374" spans="1:26" ht="12.75">
      <c r="A374" s="11">
        <v>43747.096585648149</v>
      </c>
      <c r="B374" s="12" t="str">
        <f>HYPERLINK("https://twitter.com/Mohamad39686691","@Mohamad39686691")</f>
        <v>@Mohamad39686691</v>
      </c>
      <c r="C374" s="13" t="s">
        <v>2114</v>
      </c>
      <c r="D374" s="13" t="s">
        <v>2115</v>
      </c>
      <c r="E374" s="12" t="str">
        <f>HYPERLINK("https://twitter.com/Mohamad39686691/status/1181861632588341248","1181861632588341248")</f>
        <v>1181861632588341248</v>
      </c>
      <c r="F374" s="8"/>
      <c r="G374" s="15"/>
      <c r="H374" s="8"/>
      <c r="I374" s="15">
        <v>0</v>
      </c>
      <c r="J374" s="15">
        <v>0</v>
      </c>
      <c r="K374" s="12" t="str">
        <f>HYPERLINK("https://about.twitter.com/products/tweetdeck","TweetDeck")</f>
        <v>TweetDeck</v>
      </c>
      <c r="L374" s="16">
        <v>111</v>
      </c>
      <c r="M374" s="16">
        <v>65</v>
      </c>
      <c r="N374" s="16">
        <v>0</v>
      </c>
      <c r="O374" s="17"/>
      <c r="P374" s="18">
        <v>43390.984375</v>
      </c>
      <c r="Q374" s="7" t="s">
        <v>648</v>
      </c>
      <c r="R374" s="13" t="s">
        <v>2117</v>
      </c>
      <c r="S374" s="8"/>
      <c r="T374" s="8"/>
      <c r="U374" s="19" t="str">
        <f>HYPERLINK("https://pbs.twimg.com/profile_images/1097149300348461056/3_yAMKYM.jpg","View")</f>
        <v>View</v>
      </c>
      <c r="V374" s="8"/>
      <c r="W374" s="8"/>
      <c r="X374" s="8"/>
      <c r="Y374" s="8"/>
      <c r="Z374" s="8"/>
    </row>
    <row r="375" spans="1:26" ht="12.75">
      <c r="A375" s="11">
        <v>43747.096018518518</v>
      </c>
      <c r="B375" s="12" t="str">
        <f>HYPERLINK("https://twitter.com/Aishauae4","@Aishauae4")</f>
        <v>@Aishauae4</v>
      </c>
      <c r="C375" s="13" t="s">
        <v>2118</v>
      </c>
      <c r="D375" s="13" t="s">
        <v>2119</v>
      </c>
      <c r="E375" s="12" t="str">
        <f>HYPERLINK("https://twitter.com/Aishauae4/status/1181861425268056066","1181861425268056066")</f>
        <v>1181861425268056066</v>
      </c>
      <c r="F375" s="8"/>
      <c r="G375" s="7"/>
      <c r="H375" s="8"/>
      <c r="I375" s="15">
        <v>0</v>
      </c>
      <c r="J375" s="15">
        <v>1</v>
      </c>
      <c r="K375" s="12" t="str">
        <f>HYPERLINK("http://twitter.com/download/iphone","Twitter for iPhone")</f>
        <v>Twitter for iPhone</v>
      </c>
      <c r="L375" s="16">
        <v>1671</v>
      </c>
      <c r="M375" s="16">
        <v>1653</v>
      </c>
      <c r="N375" s="16">
        <v>0</v>
      </c>
      <c r="O375" s="17"/>
      <c r="P375" s="18">
        <v>43559.712708333333</v>
      </c>
      <c r="Q375" s="7" t="s">
        <v>2121</v>
      </c>
      <c r="R375" s="13" t="s">
        <v>2122</v>
      </c>
      <c r="S375" s="8"/>
      <c r="T375" s="8"/>
      <c r="U375" s="19" t="str">
        <f>HYPERLINK("https://pbs.twimg.com/profile_images/1148941390115741697/3odJVb_z.jpg","View")</f>
        <v>View</v>
      </c>
      <c r="V375" s="8"/>
      <c r="W375" s="8"/>
      <c r="X375" s="8"/>
      <c r="Y375" s="8"/>
      <c r="Z375" s="8"/>
    </row>
    <row r="376" spans="1:26" ht="12.75">
      <c r="A376" s="11">
        <v>43747.095659722225</v>
      </c>
      <c r="B376" s="12" t="str">
        <f>HYPERLINK("https://twitter.com/alplow1","@alplow1")</f>
        <v>@alplow1</v>
      </c>
      <c r="C376" s="13" t="s">
        <v>2125</v>
      </c>
      <c r="D376" s="13" t="s">
        <v>2126</v>
      </c>
      <c r="E376" s="12" t="str">
        <f>HYPERLINK("https://twitter.com/alplow1/status/1181861294166740992","1181861294166740992")</f>
        <v>1181861294166740992</v>
      </c>
      <c r="F376" s="8"/>
      <c r="G376" s="14" t="s">
        <v>2127</v>
      </c>
      <c r="H376" s="8"/>
      <c r="I376" s="15">
        <v>0</v>
      </c>
      <c r="J376" s="15">
        <v>0</v>
      </c>
      <c r="K376" s="12" t="str">
        <f>HYPERLINK("http://twitter.com","Twitter Web Client")</f>
        <v>Twitter Web Client</v>
      </c>
      <c r="L376" s="16">
        <v>2</v>
      </c>
      <c r="M376" s="16">
        <v>42</v>
      </c>
      <c r="N376" s="16">
        <v>0</v>
      </c>
      <c r="O376" s="17"/>
      <c r="P376" s="18">
        <v>42268.551759259259</v>
      </c>
      <c r="Q376" s="7"/>
      <c r="R376" s="13"/>
      <c r="S376" s="8"/>
      <c r="T376" s="8"/>
      <c r="U376" s="19" t="str">
        <f>HYPERLINK("https://pbs.twimg.com/profile_images/646055097256902656/eM7-sztO.jpg","View")</f>
        <v>View</v>
      </c>
      <c r="V376" s="8"/>
      <c r="W376" s="8"/>
      <c r="X376" s="8"/>
      <c r="Y376" s="8"/>
      <c r="Z376" s="8"/>
    </row>
    <row r="377" spans="1:26" ht="12.75">
      <c r="A377" s="11">
        <v>43747.095509259263</v>
      </c>
      <c r="B377" s="12" t="str">
        <f>HYPERLINK("https://twitter.com/ShuraihEl","@ShuraihEl")</f>
        <v>@ShuraihEl</v>
      </c>
      <c r="C377" s="13" t="s">
        <v>2131</v>
      </c>
      <c r="D377" s="7" t="s">
        <v>28</v>
      </c>
      <c r="E377" s="12" t="str">
        <f>HYPERLINK("https://twitter.com/ShuraihEl/status/1181861239661580289","1181861239661580289")</f>
        <v>1181861239661580289</v>
      </c>
      <c r="F377" s="8"/>
      <c r="G377" s="14" t="s">
        <v>31</v>
      </c>
      <c r="H377" s="8"/>
      <c r="I377" s="15">
        <v>0</v>
      </c>
      <c r="J377" s="15">
        <v>0</v>
      </c>
      <c r="K377" s="12" t="str">
        <f>HYPERLINK("https://mobile.twitter.com","Twitter Web App")</f>
        <v>Twitter Web App</v>
      </c>
      <c r="L377" s="16">
        <v>0</v>
      </c>
      <c r="M377" s="16">
        <v>0</v>
      </c>
      <c r="N377" s="16">
        <v>0</v>
      </c>
      <c r="O377" s="17"/>
      <c r="P377" s="18">
        <v>43737.0466087963</v>
      </c>
      <c r="Q377" s="7" t="s">
        <v>1533</v>
      </c>
      <c r="R377" s="13" t="s">
        <v>1552</v>
      </c>
      <c r="S377" s="8"/>
      <c r="T377" s="8"/>
      <c r="U377" s="19" t="str">
        <f>HYPERLINK("https://pbs.twimg.com/profile_images/1181502077324840960/ER6ztChy.jpg","View")</f>
        <v>View</v>
      </c>
      <c r="V377" s="8"/>
      <c r="W377" s="8"/>
      <c r="X377" s="8"/>
      <c r="Y377" s="8"/>
      <c r="Z377" s="8"/>
    </row>
    <row r="378" spans="1:26" ht="12.75">
      <c r="A378" s="11">
        <v>43747.09538194444</v>
      </c>
      <c r="B378" s="12" t="str">
        <f>HYPERLINK("https://twitter.com/Balawi2015Ya","@Balawi2015Ya")</f>
        <v>@Balawi2015Ya</v>
      </c>
      <c r="C378" s="13" t="s">
        <v>2136</v>
      </c>
      <c r="D378" s="7" t="s">
        <v>2137</v>
      </c>
      <c r="E378" s="12" t="str">
        <f>HYPERLINK("https://twitter.com/Balawi2015Ya/status/1181861196548526081","1181861196548526081")</f>
        <v>1181861196548526081</v>
      </c>
      <c r="F378" s="8"/>
      <c r="G378" s="14" t="s">
        <v>2138</v>
      </c>
      <c r="H378" s="8"/>
      <c r="I378" s="15">
        <v>0</v>
      </c>
      <c r="J378" s="15">
        <v>0</v>
      </c>
      <c r="K378" s="12" t="str">
        <f>HYPERLINK("http://twitter.com","Twitter Web Client")</f>
        <v>Twitter Web Client</v>
      </c>
      <c r="L378" s="16">
        <v>1</v>
      </c>
      <c r="M378" s="16">
        <v>23</v>
      </c>
      <c r="N378" s="16">
        <v>0</v>
      </c>
      <c r="O378" s="17"/>
      <c r="P378" s="18">
        <v>41828.214479166665</v>
      </c>
      <c r="Q378" s="7"/>
      <c r="R378" s="13"/>
      <c r="S378" s="8"/>
      <c r="T378" s="8"/>
      <c r="U378" s="19" t="str">
        <f>HYPERLINK("https://pbs.twimg.com/profile_images/486482281037459457/ehbBq8It.jpeg","View")</f>
        <v>View</v>
      </c>
      <c r="V378" s="8"/>
      <c r="W378" s="8"/>
      <c r="X378" s="8"/>
      <c r="Y378" s="8"/>
      <c r="Z378" s="8"/>
    </row>
    <row r="379" spans="1:26" ht="12.75">
      <c r="A379" s="11">
        <v>43747.095254629632</v>
      </c>
      <c r="B379" s="12" t="str">
        <f>HYPERLINK("https://twitter.com/MahuroosAl","@MahuroosAl")</f>
        <v>@MahuroosAl</v>
      </c>
      <c r="C379" s="13" t="s">
        <v>2143</v>
      </c>
      <c r="D379" s="7" t="s">
        <v>968</v>
      </c>
      <c r="E379" s="12" t="str">
        <f>HYPERLINK("https://twitter.com/MahuroosAl/status/1181861150675234816","1181861150675234816")</f>
        <v>1181861150675234816</v>
      </c>
      <c r="F379" s="8"/>
      <c r="G379" s="14" t="s">
        <v>2144</v>
      </c>
      <c r="H379" s="8"/>
      <c r="I379" s="15">
        <v>0</v>
      </c>
      <c r="J379" s="15">
        <v>0</v>
      </c>
      <c r="K379" s="12" t="str">
        <f>HYPERLINK("https://mobile.twitter.com","Twitter Web App")</f>
        <v>Twitter Web App</v>
      </c>
      <c r="L379" s="16">
        <v>0</v>
      </c>
      <c r="M379" s="16">
        <v>0</v>
      </c>
      <c r="N379" s="16">
        <v>0</v>
      </c>
      <c r="O379" s="17"/>
      <c r="P379" s="18">
        <v>43737.015462962961</v>
      </c>
      <c r="Q379" s="7" t="s">
        <v>1527</v>
      </c>
      <c r="R379" s="13" t="s">
        <v>1110</v>
      </c>
      <c r="S379" s="8"/>
      <c r="T379" s="8"/>
      <c r="U379" s="19" t="str">
        <f>HYPERLINK("https://pbs.twimg.com/profile_images/1181501327727153152/f6Gq0MlW.jpg","View")</f>
        <v>View</v>
      </c>
      <c r="V379" s="8"/>
      <c r="W379" s="8"/>
      <c r="X379" s="8"/>
      <c r="Y379" s="8"/>
      <c r="Z379" s="8"/>
    </row>
    <row r="380" spans="1:26" ht="12.75">
      <c r="A380" s="11">
        <v>43747.095254629632</v>
      </c>
      <c r="B380" s="12" t="str">
        <f>HYPERLINK("https://twitter.com/NajmaSekh","@NajmaSekh")</f>
        <v>@NajmaSekh</v>
      </c>
      <c r="C380" s="13" t="s">
        <v>2148</v>
      </c>
      <c r="D380" s="13" t="s">
        <v>968</v>
      </c>
      <c r="E380" s="12" t="str">
        <f>HYPERLINK("https://twitter.com/NajmaSekh/status/1181861146971656192","1181861146971656192")</f>
        <v>1181861146971656192</v>
      </c>
      <c r="F380" s="8"/>
      <c r="G380" s="14" t="s">
        <v>2150</v>
      </c>
      <c r="H380" s="8"/>
      <c r="I380" s="15">
        <v>0</v>
      </c>
      <c r="J380" s="15">
        <v>0</v>
      </c>
      <c r="K380" s="12" t="str">
        <f>HYPERLINK("https://mobile.twitter.com","Twitter Web App")</f>
        <v>Twitter Web App</v>
      </c>
      <c r="L380" s="16">
        <v>0</v>
      </c>
      <c r="M380" s="16">
        <v>1</v>
      </c>
      <c r="N380" s="16">
        <v>0</v>
      </c>
      <c r="O380" s="17"/>
      <c r="P380" s="18">
        <v>43737.919571759259</v>
      </c>
      <c r="Q380" s="7" t="s">
        <v>1284</v>
      </c>
      <c r="R380" s="13" t="s">
        <v>1135</v>
      </c>
      <c r="S380" s="8"/>
      <c r="T380" s="8"/>
      <c r="U380" s="19" t="str">
        <f>HYPERLINK("https://pbs.twimg.com/profile_images/1179706259013943297/4PoZr-KS.jpg","View")</f>
        <v>View</v>
      </c>
      <c r="V380" s="8"/>
      <c r="W380" s="8"/>
      <c r="X380" s="8"/>
      <c r="Y380" s="8"/>
      <c r="Z380" s="8"/>
    </row>
    <row r="381" spans="1:26" ht="12.75">
      <c r="A381" s="11">
        <v>43747.095243055555</v>
      </c>
      <c r="B381" s="12" t="str">
        <f>HYPERLINK("https://twitter.com/dousarey","@dousarey")</f>
        <v>@dousarey</v>
      </c>
      <c r="C381" s="13" t="s">
        <v>2152</v>
      </c>
      <c r="D381" s="13" t="s">
        <v>2153</v>
      </c>
      <c r="E381" s="12" t="str">
        <f>HYPERLINK("https://twitter.com/dousarey/status/1181861144123850752","1181861144123850752")</f>
        <v>1181861144123850752</v>
      </c>
      <c r="F381" s="8"/>
      <c r="G381" s="14" t="s">
        <v>2154</v>
      </c>
      <c r="H381" s="8"/>
      <c r="I381" s="15">
        <v>0</v>
      </c>
      <c r="J381" s="15">
        <v>0</v>
      </c>
      <c r="K381" s="12" t="str">
        <f>HYPERLINK("http://twitter.com","Twitter Web Client")</f>
        <v>Twitter Web Client</v>
      </c>
      <c r="L381" s="16">
        <v>3</v>
      </c>
      <c r="M381" s="16">
        <v>37</v>
      </c>
      <c r="N381" s="16">
        <v>0</v>
      </c>
      <c r="O381" s="17"/>
      <c r="P381" s="18">
        <v>42071.173888888894</v>
      </c>
      <c r="Q381" s="7"/>
      <c r="R381" s="13"/>
      <c r="S381" s="8"/>
      <c r="T381" s="8"/>
      <c r="U381" s="19" t="str">
        <f>HYPERLINK("https://pbs.twimg.com/profile_images/574556482961694723/MaMxFm8f.jpeg","View")</f>
        <v>View</v>
      </c>
      <c r="V381" s="8"/>
      <c r="W381" s="8"/>
      <c r="X381" s="8"/>
      <c r="Y381" s="8"/>
      <c r="Z381" s="8"/>
    </row>
    <row r="382" spans="1:26" ht="12.75">
      <c r="A382" s="11">
        <v>43747.094247685185</v>
      </c>
      <c r="B382" s="12" t="str">
        <f>HYPERLINK("https://twitter.com/alatyabie_78","@alatyabie_78")</f>
        <v>@alatyabie_78</v>
      </c>
      <c r="C382" s="13" t="s">
        <v>2158</v>
      </c>
      <c r="D382" s="13" t="s">
        <v>2159</v>
      </c>
      <c r="E382" s="12" t="str">
        <f>HYPERLINK("https://twitter.com/alatyabie_78/status/1181860785418584064","1181860785418584064")</f>
        <v>1181860785418584064</v>
      </c>
      <c r="F382" s="8"/>
      <c r="G382" s="14" t="s">
        <v>2160</v>
      </c>
      <c r="H382" s="8"/>
      <c r="I382" s="15">
        <v>0</v>
      </c>
      <c r="J382" s="15">
        <v>0</v>
      </c>
      <c r="K382" s="12" t="str">
        <f>HYPERLINK("http://twitter.com","Twitter Web Client")</f>
        <v>Twitter Web Client</v>
      </c>
      <c r="L382" s="16">
        <v>0</v>
      </c>
      <c r="M382" s="16">
        <v>29</v>
      </c>
      <c r="N382" s="16">
        <v>0</v>
      </c>
      <c r="O382" s="17"/>
      <c r="P382" s="18">
        <v>41846.332685185189</v>
      </c>
      <c r="Q382" s="7"/>
      <c r="R382" s="13"/>
      <c r="S382" s="8"/>
      <c r="T382" s="8"/>
      <c r="U382" s="19" t="str">
        <f>HYPERLINK("https://pbs.twimg.com/profile_images/493047971622035457/tZ6ag18K.jpeg","View")</f>
        <v>View</v>
      </c>
      <c r="V382" s="8"/>
      <c r="W382" s="8"/>
      <c r="X382" s="8"/>
      <c r="Y382" s="8"/>
      <c r="Z382" s="8"/>
    </row>
    <row r="383" spans="1:26" ht="12.75">
      <c r="A383" s="11">
        <v>43747.093807870369</v>
      </c>
      <c r="B383" s="12" t="str">
        <f>HYPERLINK("https://twitter.com/elsabe3e3","@elsabe3e3")</f>
        <v>@elsabe3e3</v>
      </c>
      <c r="C383" s="13" t="s">
        <v>2163</v>
      </c>
      <c r="D383" s="13" t="s">
        <v>2165</v>
      </c>
      <c r="E383" s="12" t="str">
        <f>HYPERLINK("https://twitter.com/elsabe3e3/status/1181860626131558400","1181860626131558400")</f>
        <v>1181860626131558400</v>
      </c>
      <c r="F383" s="8"/>
      <c r="G383" s="14" t="s">
        <v>2166</v>
      </c>
      <c r="H383" s="8"/>
      <c r="I383" s="15">
        <v>0</v>
      </c>
      <c r="J383" s="15">
        <v>0</v>
      </c>
      <c r="K383" s="12" t="str">
        <f>HYPERLINK("http://twitter.com","Twitter Web Client")</f>
        <v>Twitter Web Client</v>
      </c>
      <c r="L383" s="16">
        <v>4</v>
      </c>
      <c r="M383" s="16">
        <v>32</v>
      </c>
      <c r="N383" s="16">
        <v>0</v>
      </c>
      <c r="O383" s="17"/>
      <c r="P383" s="18">
        <v>42077.404351851852</v>
      </c>
      <c r="Q383" s="7"/>
      <c r="R383" s="13"/>
      <c r="S383" s="8"/>
      <c r="T383" s="8"/>
      <c r="U383" s="19" t="str">
        <f>HYPERLINK("https://pbs.twimg.com/profile_images/576785829235838976/Cs9g7UM-.jpeg","View")</f>
        <v>View</v>
      </c>
      <c r="V383" s="8"/>
      <c r="W383" s="8"/>
      <c r="X383" s="8"/>
      <c r="Y383" s="8"/>
      <c r="Z383" s="8"/>
    </row>
    <row r="384" spans="1:26" ht="12.75">
      <c r="A384" s="11">
        <v>43747.093252314815</v>
      </c>
      <c r="B384" s="12" t="str">
        <f>HYPERLINK("https://twitter.com/RameehSeedy2","@RameehSeedy2")</f>
        <v>@RameehSeedy2</v>
      </c>
      <c r="C384" s="7" t="s">
        <v>2170</v>
      </c>
      <c r="D384" s="13" t="s">
        <v>2171</v>
      </c>
      <c r="E384" s="12" t="str">
        <f>HYPERLINK("https://twitter.com/RameehSeedy2/status/1181860421684387840","1181860421684387840")</f>
        <v>1181860421684387840</v>
      </c>
      <c r="F384" s="8"/>
      <c r="G384" s="14" t="s">
        <v>2172</v>
      </c>
      <c r="H384" s="8"/>
      <c r="I384" s="15">
        <v>0</v>
      </c>
      <c r="J384" s="15">
        <v>0</v>
      </c>
      <c r="K384" s="12" t="str">
        <f>HYPERLINK("http://twitter.com","Twitter Web Client")</f>
        <v>Twitter Web Client</v>
      </c>
      <c r="L384" s="16">
        <v>2</v>
      </c>
      <c r="M384" s="16">
        <v>36</v>
      </c>
      <c r="N384" s="16">
        <v>0</v>
      </c>
      <c r="O384" s="17"/>
      <c r="P384" s="18">
        <v>42023.603437500002</v>
      </c>
      <c r="Q384" s="7"/>
      <c r="R384" s="13"/>
      <c r="S384" s="8"/>
      <c r="T384" s="8"/>
      <c r="U384" s="19" t="str">
        <f>HYPERLINK("https://pbs.twimg.com/profile_images/557513841186074624/WtPODXlC.jpeg","View")</f>
        <v>View</v>
      </c>
      <c r="V384" s="8"/>
      <c r="W384" s="8"/>
      <c r="X384" s="8"/>
      <c r="Y384" s="8"/>
      <c r="Z384" s="8"/>
    </row>
    <row r="385" spans="1:26" ht="12.75">
      <c r="A385" s="11">
        <v>43747.092627314814</v>
      </c>
      <c r="B385" s="12" t="str">
        <f>HYPERLINK("https://twitter.com/al_aatika","@al_aatika")</f>
        <v>@al_aatika</v>
      </c>
      <c r="C385" s="13" t="s">
        <v>2176</v>
      </c>
      <c r="D385" s="13" t="s">
        <v>1178</v>
      </c>
      <c r="E385" s="12" t="str">
        <f>HYPERLINK("https://twitter.com/al_aatika/status/1181860195149811712","1181860195149811712")</f>
        <v>1181860195149811712</v>
      </c>
      <c r="F385" s="8"/>
      <c r="G385" s="14" t="s">
        <v>2177</v>
      </c>
      <c r="H385" s="8"/>
      <c r="I385" s="15">
        <v>0</v>
      </c>
      <c r="J385" s="15">
        <v>0</v>
      </c>
      <c r="K385" s="12" t="str">
        <f>HYPERLINK("https://mobile.twitter.com","Twitter Web App")</f>
        <v>Twitter Web App</v>
      </c>
      <c r="L385" s="16">
        <v>0</v>
      </c>
      <c r="M385" s="16">
        <v>1</v>
      </c>
      <c r="N385" s="16">
        <v>0</v>
      </c>
      <c r="O385" s="17"/>
      <c r="P385" s="18">
        <v>43738.118645833332</v>
      </c>
      <c r="Q385" s="7" t="s">
        <v>911</v>
      </c>
      <c r="R385" s="13" t="s">
        <v>1924</v>
      </c>
      <c r="S385" s="8"/>
      <c r="T385" s="8"/>
      <c r="U385" s="19" t="str">
        <f>HYPERLINK("https://pbs.twimg.com/profile_images/1179715904793235456/4fqSW_7o.jpg","View")</f>
        <v>View</v>
      </c>
      <c r="V385" s="8"/>
      <c r="W385" s="8"/>
      <c r="X385" s="8"/>
      <c r="Y385" s="8"/>
      <c r="Z385" s="8"/>
    </row>
    <row r="386" spans="1:26" ht="12.75">
      <c r="A386" s="11">
        <v>43747.092245370368</v>
      </c>
      <c r="B386" s="12" t="str">
        <f>HYPERLINK("https://twitter.com/anet94391","@anet94391")</f>
        <v>@anet94391</v>
      </c>
      <c r="C386" s="13" t="s">
        <v>2181</v>
      </c>
      <c r="D386" s="7" t="s">
        <v>1130</v>
      </c>
      <c r="E386" s="12" t="str">
        <f>HYPERLINK("https://twitter.com/anet94391/status/1181860056926539776","1181860056926539776")</f>
        <v>1181860056926539776</v>
      </c>
      <c r="F386" s="8"/>
      <c r="G386" s="14" t="s">
        <v>2182</v>
      </c>
      <c r="H386" s="8"/>
      <c r="I386" s="15">
        <v>0</v>
      </c>
      <c r="J386" s="15">
        <v>0</v>
      </c>
      <c r="K386" s="12" t="str">
        <f>HYPERLINK("https://mobile.twitter.com","Twitter Web App")</f>
        <v>Twitter Web App</v>
      </c>
      <c r="L386" s="16">
        <v>0</v>
      </c>
      <c r="M386" s="16">
        <v>1</v>
      </c>
      <c r="N386" s="16">
        <v>0</v>
      </c>
      <c r="O386" s="17"/>
      <c r="P386" s="18">
        <v>43730.95579861111</v>
      </c>
      <c r="Q386" s="7" t="s">
        <v>928</v>
      </c>
      <c r="R386" s="13" t="s">
        <v>1075</v>
      </c>
      <c r="S386" s="8"/>
      <c r="T386" s="8"/>
      <c r="U386" s="19" t="str">
        <f>HYPERLINK("https://pbs.twimg.com/profile_images/1179349411069153281/Nu03Llrv.jpg","View")</f>
        <v>View</v>
      </c>
      <c r="V386" s="8"/>
      <c r="W386" s="8"/>
      <c r="X386" s="8"/>
      <c r="Y386" s="8"/>
      <c r="Z386" s="8"/>
    </row>
    <row r="387" spans="1:26" ht="12.75">
      <c r="A387" s="11">
        <v>43747.092094907406</v>
      </c>
      <c r="B387" s="12" t="str">
        <f>HYPERLINK("https://twitter.com/imranssaedi1","@imranssaedi1")</f>
        <v>@imranssaedi1</v>
      </c>
      <c r="C387" s="13" t="s">
        <v>990</v>
      </c>
      <c r="D387" s="13" t="s">
        <v>2188</v>
      </c>
      <c r="E387" s="12" t="str">
        <f>HYPERLINK("https://twitter.com/imranssaedi1/status/1181860003961081856","1181860003961081856")</f>
        <v>1181860003961081856</v>
      </c>
      <c r="F387" s="8"/>
      <c r="G387" s="14" t="s">
        <v>2189</v>
      </c>
      <c r="H387" s="8"/>
      <c r="I387" s="15">
        <v>0</v>
      </c>
      <c r="J387" s="15">
        <v>0</v>
      </c>
      <c r="K387" s="12" t="str">
        <f>HYPERLINK("http://twitter.com","Twitter Web Client")</f>
        <v>Twitter Web Client</v>
      </c>
      <c r="L387" s="16">
        <v>1</v>
      </c>
      <c r="M387" s="16">
        <v>43</v>
      </c>
      <c r="N387" s="16">
        <v>0</v>
      </c>
      <c r="O387" s="17"/>
      <c r="P387" s="18">
        <v>42072.76289351852</v>
      </c>
      <c r="Q387" s="7"/>
      <c r="R387" s="13"/>
      <c r="S387" s="8"/>
      <c r="T387" s="8"/>
      <c r="U387" s="19" t="str">
        <f>HYPERLINK("https://pbs.twimg.com/profile_images/575104499431272449/p-sOSn13.jpeg","View")</f>
        <v>View</v>
      </c>
      <c r="V387" s="8"/>
      <c r="W387" s="8"/>
      <c r="X387" s="8"/>
      <c r="Y387" s="8"/>
      <c r="Z387" s="8"/>
    </row>
    <row r="388" spans="1:26" ht="12.75">
      <c r="A388" s="11">
        <v>43747.091678240744</v>
      </c>
      <c r="B388" s="12" t="str">
        <f>HYPERLINK("https://twitter.com/abdallahalqaht9","@abdallahalqaht9")</f>
        <v>@abdallahalqaht9</v>
      </c>
      <c r="C388" s="13" t="s">
        <v>2193</v>
      </c>
      <c r="D388" s="13" t="s">
        <v>2194</v>
      </c>
      <c r="E388" s="12" t="str">
        <f>HYPERLINK("https://twitter.com/abdallahalqaht9/status/1181859851527507969","1181859851527507969")</f>
        <v>1181859851527507969</v>
      </c>
      <c r="F388" s="8"/>
      <c r="G388" s="14" t="s">
        <v>2195</v>
      </c>
      <c r="H388" s="8"/>
      <c r="I388" s="15">
        <v>0</v>
      </c>
      <c r="J388" s="15">
        <v>0</v>
      </c>
      <c r="K388" s="12" t="str">
        <f>HYPERLINK("http://twitter.com","Twitter Web Client")</f>
        <v>Twitter Web Client</v>
      </c>
      <c r="L388" s="16">
        <v>0</v>
      </c>
      <c r="M388" s="16">
        <v>36</v>
      </c>
      <c r="N388" s="16">
        <v>0</v>
      </c>
      <c r="O388" s="17"/>
      <c r="P388" s="18">
        <v>42068.248958333337</v>
      </c>
      <c r="Q388" s="7"/>
      <c r="R388" s="13"/>
      <c r="S388" s="8"/>
      <c r="T388" s="8"/>
      <c r="U388" s="19" t="str">
        <f>HYPERLINK("https://pbs.twimg.com/profile_images/573482962517295106/zbirjGVz.jpeg","View")</f>
        <v>View</v>
      </c>
      <c r="V388" s="8"/>
      <c r="W388" s="8"/>
      <c r="X388" s="8"/>
      <c r="Y388" s="8"/>
      <c r="Z388" s="8"/>
    </row>
    <row r="389" spans="1:26" ht="12.75">
      <c r="A389" s="11">
        <v>43747.091539351852</v>
      </c>
      <c r="B389" s="12" t="str">
        <f>HYPERLINK("https://twitter.com/almatere4233","@almatere4233")</f>
        <v>@almatere4233</v>
      </c>
      <c r="C389" s="13" t="s">
        <v>2199</v>
      </c>
      <c r="D389" s="7" t="s">
        <v>2200</v>
      </c>
      <c r="E389" s="12" t="str">
        <f>HYPERLINK("https://twitter.com/almatere4233/status/1181859801246162944","1181859801246162944")</f>
        <v>1181859801246162944</v>
      </c>
      <c r="F389" s="8"/>
      <c r="G389" s="14" t="s">
        <v>2204</v>
      </c>
      <c r="H389" s="8"/>
      <c r="I389" s="15">
        <v>0</v>
      </c>
      <c r="J389" s="15">
        <v>0</v>
      </c>
      <c r="K389" s="12" t="str">
        <f>HYPERLINK("http://twitter.com","Twitter Web Client")</f>
        <v>Twitter Web Client</v>
      </c>
      <c r="L389" s="16">
        <v>9</v>
      </c>
      <c r="M389" s="16">
        <v>43</v>
      </c>
      <c r="N389" s="16">
        <v>0</v>
      </c>
      <c r="O389" s="17"/>
      <c r="P389" s="18">
        <v>42072.221446759257</v>
      </c>
      <c r="Q389" s="7"/>
      <c r="R389" s="13"/>
      <c r="S389" s="8"/>
      <c r="T389" s="8"/>
      <c r="U389" s="19" t="str">
        <f>HYPERLINK("https://pbs.twimg.com/profile_images/574907333903417344/YnGWDTt4.jpeg","View")</f>
        <v>View</v>
      </c>
      <c r="V389" s="8"/>
      <c r="W389" s="8"/>
      <c r="X389" s="8"/>
      <c r="Y389" s="8"/>
      <c r="Z389" s="8"/>
    </row>
    <row r="390" spans="1:26" ht="12.75">
      <c r="A390" s="11">
        <v>43747.091527777782</v>
      </c>
      <c r="B390" s="12" t="str">
        <f>HYPERLINK("https://twitter.com/mumina_al","@mumina_al")</f>
        <v>@mumina_al</v>
      </c>
      <c r="C390" s="13" t="s">
        <v>2205</v>
      </c>
      <c r="D390" s="13" t="s">
        <v>1130</v>
      </c>
      <c r="E390" s="12" t="str">
        <f>HYPERLINK("https://twitter.com/mumina_al/status/1181859797525655552","1181859797525655552")</f>
        <v>1181859797525655552</v>
      </c>
      <c r="F390" s="8"/>
      <c r="G390" s="14" t="s">
        <v>2206</v>
      </c>
      <c r="H390" s="8"/>
      <c r="I390" s="15">
        <v>0</v>
      </c>
      <c r="J390" s="15">
        <v>0</v>
      </c>
      <c r="K390" s="12" t="str">
        <f>HYPERLINK("https://mobile.twitter.com","Twitter Web App")</f>
        <v>Twitter Web App</v>
      </c>
      <c r="L390" s="16">
        <v>0</v>
      </c>
      <c r="M390" s="16">
        <v>0</v>
      </c>
      <c r="N390" s="16">
        <v>0</v>
      </c>
      <c r="O390" s="17"/>
      <c r="P390" s="18">
        <v>43736.980474537035</v>
      </c>
      <c r="Q390" s="7" t="s">
        <v>1249</v>
      </c>
      <c r="R390" s="13" t="s">
        <v>912</v>
      </c>
      <c r="S390" s="8"/>
      <c r="T390" s="8"/>
      <c r="U390" s="19" t="str">
        <f>HYPERLINK("https://pbs.twimg.com/profile_images/1181494869010731008/2InBN2a7.jpg","View")</f>
        <v>View</v>
      </c>
      <c r="V390" s="8"/>
      <c r="W390" s="8"/>
      <c r="X390" s="8"/>
      <c r="Y390" s="8"/>
      <c r="Z390" s="8"/>
    </row>
    <row r="391" spans="1:26" ht="12.75">
      <c r="A391" s="11">
        <v>43747.09138888889</v>
      </c>
      <c r="B391" s="12" t="str">
        <f>HYPERLINK("https://twitter.com/eldosare52","@eldosare52")</f>
        <v>@eldosare52</v>
      </c>
      <c r="C391" s="13" t="s">
        <v>2209</v>
      </c>
      <c r="D391" s="7" t="s">
        <v>2210</v>
      </c>
      <c r="E391" s="12" t="str">
        <f>HYPERLINK("https://twitter.com/eldosare52/status/1181859750117548034","1181859750117548034")</f>
        <v>1181859750117548034</v>
      </c>
      <c r="F391" s="8"/>
      <c r="G391" s="14" t="s">
        <v>2211</v>
      </c>
      <c r="H391" s="8"/>
      <c r="I391" s="15">
        <v>0</v>
      </c>
      <c r="J391" s="15">
        <v>0</v>
      </c>
      <c r="K391" s="12" t="str">
        <f>HYPERLINK("http://twitter.com","Twitter Web Client")</f>
        <v>Twitter Web Client</v>
      </c>
      <c r="L391" s="16">
        <v>1</v>
      </c>
      <c r="M391" s="16">
        <v>31</v>
      </c>
      <c r="N391" s="16">
        <v>0</v>
      </c>
      <c r="O391" s="17"/>
      <c r="P391" s="18">
        <v>42079.264027777783</v>
      </c>
      <c r="Q391" s="7"/>
      <c r="R391" s="13"/>
      <c r="S391" s="8"/>
      <c r="T391" s="8"/>
      <c r="U391" s="19" t="str">
        <f>HYPERLINK("https://pbs.twimg.com/profile_images/577459551869386752/ht4Lj9JY.jpeg","View")</f>
        <v>View</v>
      </c>
      <c r="V391" s="8"/>
      <c r="W391" s="8"/>
      <c r="X391" s="8"/>
      <c r="Y391" s="8"/>
      <c r="Z391" s="8"/>
    </row>
    <row r="392" spans="1:26" ht="12.75">
      <c r="A392" s="11">
        <v>43747.091307870374</v>
      </c>
      <c r="B392" s="12" t="str">
        <f>HYPERLINK("https://twitter.com/HaleemaEl","@HaleemaEl")</f>
        <v>@HaleemaEl</v>
      </c>
      <c r="C392" s="13" t="s">
        <v>2216</v>
      </c>
      <c r="D392" s="13" t="s">
        <v>1107</v>
      </c>
      <c r="E392" s="12" t="str">
        <f>HYPERLINK("https://twitter.com/HaleemaEl/status/1181859718190383105","1181859718190383105")</f>
        <v>1181859718190383105</v>
      </c>
      <c r="F392" s="8"/>
      <c r="G392" s="14" t="s">
        <v>2217</v>
      </c>
      <c r="H392" s="8"/>
      <c r="I392" s="15">
        <v>0</v>
      </c>
      <c r="J392" s="15">
        <v>0</v>
      </c>
      <c r="K392" s="12" t="str">
        <f>HYPERLINK("https://mobile.twitter.com","Twitter Web App")</f>
        <v>Twitter Web App</v>
      </c>
      <c r="L392" s="16">
        <v>0</v>
      </c>
      <c r="M392" s="16">
        <v>0</v>
      </c>
      <c r="N392" s="16">
        <v>0</v>
      </c>
      <c r="O392" s="17"/>
      <c r="P392" s="18">
        <v>43736.977060185185</v>
      </c>
      <c r="Q392" s="7" t="s">
        <v>1355</v>
      </c>
      <c r="R392" s="13" t="s">
        <v>925</v>
      </c>
      <c r="S392" s="8"/>
      <c r="T392" s="8"/>
      <c r="U392" s="19" t="str">
        <f>HYPERLINK("https://pbs.twimg.com/profile_images/1181493658870112256/5sLVKTxS.jpg","View")</f>
        <v>View</v>
      </c>
      <c r="V392" s="8"/>
      <c r="W392" s="8"/>
      <c r="X392" s="8"/>
      <c r="Y392" s="8"/>
      <c r="Z392" s="8"/>
    </row>
    <row r="393" spans="1:26" ht="12.75">
      <c r="A393" s="11">
        <v>43747.090416666666</v>
      </c>
      <c r="B393" s="12" t="str">
        <f>HYPERLINK("https://twitter.com/MoeenHabibi","@MoeenHabibi")</f>
        <v>@MoeenHabibi</v>
      </c>
      <c r="C393" s="13" t="s">
        <v>2220</v>
      </c>
      <c r="D393" s="13" t="s">
        <v>1107</v>
      </c>
      <c r="E393" s="12" t="str">
        <f>HYPERLINK("https://twitter.com/MoeenHabibi/status/1181859396713771008","1181859396713771008")</f>
        <v>1181859396713771008</v>
      </c>
      <c r="F393" s="8"/>
      <c r="G393" s="14" t="s">
        <v>2223</v>
      </c>
      <c r="H393" s="8"/>
      <c r="I393" s="15">
        <v>0</v>
      </c>
      <c r="J393" s="15">
        <v>0</v>
      </c>
      <c r="K393" s="12" t="str">
        <f>HYPERLINK("https://mobile.twitter.com","Twitter Web App")</f>
        <v>Twitter Web App</v>
      </c>
      <c r="L393" s="16">
        <v>0</v>
      </c>
      <c r="M393" s="16">
        <v>2</v>
      </c>
      <c r="N393" s="16">
        <v>0</v>
      </c>
      <c r="O393" s="17"/>
      <c r="P393" s="18">
        <v>43730.951516203699</v>
      </c>
      <c r="Q393" s="7" t="s">
        <v>1612</v>
      </c>
      <c r="R393" s="13" t="s">
        <v>1454</v>
      </c>
      <c r="S393" s="8"/>
      <c r="T393" s="8"/>
      <c r="U393" s="19" t="str">
        <f>HYPERLINK("https://pbs.twimg.com/profile_images/1176442661592424449/7K-sk8GA.jpg","View")</f>
        <v>View</v>
      </c>
      <c r="V393" s="8"/>
      <c r="W393" s="8"/>
      <c r="X393" s="8"/>
      <c r="Y393" s="8"/>
      <c r="Z393" s="8"/>
    </row>
    <row r="394" spans="1:26" ht="12.75">
      <c r="A394" s="11">
        <v>43747.090405092589</v>
      </c>
      <c r="B394" s="12" t="str">
        <f>HYPERLINK("https://twitter.com/din_zayn","@din_zayn")</f>
        <v>@din_zayn</v>
      </c>
      <c r="C394" s="13" t="s">
        <v>2228</v>
      </c>
      <c r="D394" s="13" t="s">
        <v>28</v>
      </c>
      <c r="E394" s="12" t="str">
        <f>HYPERLINK("https://twitter.com/din_zayn/status/1181859390690746370","1181859390690746370")</f>
        <v>1181859390690746370</v>
      </c>
      <c r="F394" s="8"/>
      <c r="G394" s="14" t="s">
        <v>1267</v>
      </c>
      <c r="H394" s="8"/>
      <c r="I394" s="15">
        <v>0</v>
      </c>
      <c r="J394" s="15">
        <v>0</v>
      </c>
      <c r="K394" s="12" t="str">
        <f>HYPERLINK("https://mobile.twitter.com","Twitter Web App")</f>
        <v>Twitter Web App</v>
      </c>
      <c r="L394" s="16">
        <v>0</v>
      </c>
      <c r="M394" s="16">
        <v>1</v>
      </c>
      <c r="N394" s="16">
        <v>0</v>
      </c>
      <c r="O394" s="17"/>
      <c r="P394" s="18">
        <v>43733.065949074073</v>
      </c>
      <c r="Q394" s="7" t="s">
        <v>928</v>
      </c>
      <c r="R394" s="13" t="s">
        <v>929</v>
      </c>
      <c r="S394" s="8"/>
      <c r="T394" s="8"/>
      <c r="U394" s="19" t="str">
        <f>HYPERLINK("https://pbs.twimg.com/profile_images/1181518768163344384/oXukvG2J.jpg","View")</f>
        <v>View</v>
      </c>
      <c r="V394" s="8"/>
      <c r="W394" s="8"/>
      <c r="X394" s="8"/>
      <c r="Y394" s="8"/>
      <c r="Z394" s="8"/>
    </row>
    <row r="395" spans="1:26" ht="12.75">
      <c r="A395" s="11">
        <v>43747.089745370366</v>
      </c>
      <c r="B395" s="12" t="str">
        <f>HYPERLINK("https://twitter.com/SaidaDaran","@SaidaDaran")</f>
        <v>@SaidaDaran</v>
      </c>
      <c r="C395" s="13" t="s">
        <v>2232</v>
      </c>
      <c r="D395" s="13" t="s">
        <v>907</v>
      </c>
      <c r="E395" s="12" t="str">
        <f>HYPERLINK("https://twitter.com/SaidaDaran/status/1181859153209221120","1181859153209221120")</f>
        <v>1181859153209221120</v>
      </c>
      <c r="F395" s="8"/>
      <c r="G395" s="14" t="s">
        <v>2233</v>
      </c>
      <c r="H395" s="8"/>
      <c r="I395" s="15">
        <v>0</v>
      </c>
      <c r="J395" s="15">
        <v>0</v>
      </c>
      <c r="K395" s="12" t="str">
        <f>HYPERLINK("https://mobile.twitter.com","Twitter Web App")</f>
        <v>Twitter Web App</v>
      </c>
      <c r="L395" s="16">
        <v>0</v>
      </c>
      <c r="M395" s="16">
        <v>2</v>
      </c>
      <c r="N395" s="16">
        <v>0</v>
      </c>
      <c r="O395" s="17"/>
      <c r="P395" s="18">
        <v>43737.919571759259</v>
      </c>
      <c r="Q395" s="7" t="s">
        <v>1405</v>
      </c>
      <c r="R395" s="13" t="s">
        <v>955</v>
      </c>
      <c r="S395" s="8"/>
      <c r="T395" s="8"/>
      <c r="U395" s="19" t="str">
        <f>HYPERLINK("https://pbs.twimg.com/profile_images/1180787109986070529/-2CRemLF.jpg","View")</f>
        <v>View</v>
      </c>
      <c r="V395" s="8"/>
      <c r="W395" s="8"/>
      <c r="X395" s="8"/>
      <c r="Y395" s="8"/>
      <c r="Z395" s="8"/>
    </row>
    <row r="396" spans="1:26" ht="12.75">
      <c r="A396" s="11">
        <v>43747.089270833334</v>
      </c>
      <c r="B396" s="12" t="str">
        <f>HYPERLINK("https://twitter.com/AssadZahraaa","@AssadZahraaa")</f>
        <v>@AssadZahraaa</v>
      </c>
      <c r="C396" s="13" t="s">
        <v>2236</v>
      </c>
      <c r="D396" s="7" t="s">
        <v>907</v>
      </c>
      <c r="E396" s="12" t="str">
        <f>HYPERLINK("https://twitter.com/AssadZahraaa/status/1181858982064820229","1181858982064820229")</f>
        <v>1181858982064820229</v>
      </c>
      <c r="F396" s="8"/>
      <c r="G396" s="14" t="s">
        <v>2237</v>
      </c>
      <c r="H396" s="8"/>
      <c r="I396" s="15">
        <v>0</v>
      </c>
      <c r="J396" s="15">
        <v>0</v>
      </c>
      <c r="K396" s="12" t="str">
        <f>HYPERLINK("https://mobile.twitter.com","Twitter Web App")</f>
        <v>Twitter Web App</v>
      </c>
      <c r="L396" s="16">
        <v>0</v>
      </c>
      <c r="M396" s="16">
        <v>0</v>
      </c>
      <c r="N396" s="16">
        <v>0</v>
      </c>
      <c r="O396" s="17"/>
      <c r="P396" s="18">
        <v>43736.969953703709</v>
      </c>
      <c r="Q396" s="7" t="s">
        <v>911</v>
      </c>
      <c r="R396" s="13" t="s">
        <v>2238</v>
      </c>
      <c r="S396" s="8"/>
      <c r="T396" s="8"/>
      <c r="U396" s="19" t="str">
        <f>HYPERLINK("https://pbs.twimg.com/profile_images/1180805321763110912/8TjVIIfM.jpg","View")</f>
        <v>View</v>
      </c>
      <c r="V396" s="8"/>
      <c r="W396" s="8"/>
      <c r="X396" s="8"/>
      <c r="Y396" s="8"/>
      <c r="Z396" s="8"/>
    </row>
    <row r="397" spans="1:26" ht="12.75">
      <c r="A397" s="11">
        <v>43747.088472222225</v>
      </c>
      <c r="B397" s="12" t="str">
        <f>HYPERLINK("https://twitter.com/marzoukalotaib7","@marzoukalotaib7")</f>
        <v>@marzoukalotaib7</v>
      </c>
      <c r="C397" s="13" t="s">
        <v>2239</v>
      </c>
      <c r="D397" s="13" t="s">
        <v>2240</v>
      </c>
      <c r="E397" s="12" t="str">
        <f>HYPERLINK("https://twitter.com/marzoukalotaib7/status/1181858690732826626","1181858690732826626")</f>
        <v>1181858690732826626</v>
      </c>
      <c r="F397" s="8"/>
      <c r="G397" s="14" t="s">
        <v>2241</v>
      </c>
      <c r="H397" s="8"/>
      <c r="I397" s="15">
        <v>0</v>
      </c>
      <c r="J397" s="15">
        <v>0</v>
      </c>
      <c r="K397" s="12" t="str">
        <f>HYPERLINK("http://twitter.com","Twitter Web Client")</f>
        <v>Twitter Web Client</v>
      </c>
      <c r="L397" s="16">
        <v>2</v>
      </c>
      <c r="M397" s="16">
        <v>38</v>
      </c>
      <c r="N397" s="16">
        <v>0</v>
      </c>
      <c r="O397" s="17"/>
      <c r="P397" s="18">
        <v>42080.494803240741</v>
      </c>
      <c r="Q397" s="7"/>
      <c r="R397" s="13"/>
      <c r="S397" s="8"/>
      <c r="T397" s="8"/>
      <c r="U397" s="19" t="str">
        <f>HYPERLINK("https://pbs.twimg.com/profile_images/577905639684337664/BOEOZWPs.jpeg","View")</f>
        <v>View</v>
      </c>
      <c r="V397" s="8"/>
      <c r="W397" s="8"/>
      <c r="X397" s="8"/>
      <c r="Y397" s="8"/>
      <c r="Z397" s="8"/>
    </row>
    <row r="398" spans="1:26" ht="12.75">
      <c r="A398" s="11">
        <v>43747.08766203704</v>
      </c>
      <c r="B398" s="12" t="str">
        <f>HYPERLINK("https://twitter.com/manasaw33","@manasaw33")</f>
        <v>@manasaw33</v>
      </c>
      <c r="C398" s="13" t="s">
        <v>2247</v>
      </c>
      <c r="D398" s="13" t="s">
        <v>2248</v>
      </c>
      <c r="E398" s="12" t="str">
        <f>HYPERLINK("https://twitter.com/manasaw33/status/1181858397408436224","1181858397408436224")</f>
        <v>1181858397408436224</v>
      </c>
      <c r="F398" s="8"/>
      <c r="G398" s="14" t="s">
        <v>2249</v>
      </c>
      <c r="H398" s="8"/>
      <c r="I398" s="15">
        <v>0</v>
      </c>
      <c r="J398" s="15">
        <v>0</v>
      </c>
      <c r="K398" s="12" t="str">
        <f>HYPERLINK("http://twitter.com","Twitter Web Client")</f>
        <v>Twitter Web Client</v>
      </c>
      <c r="L398" s="16">
        <v>11</v>
      </c>
      <c r="M398" s="16">
        <v>45</v>
      </c>
      <c r="N398" s="16">
        <v>0</v>
      </c>
      <c r="O398" s="17"/>
      <c r="P398" s="18">
        <v>42075.249097222222</v>
      </c>
      <c r="Q398" s="7"/>
      <c r="R398" s="13"/>
      <c r="S398" s="8"/>
      <c r="T398" s="8"/>
      <c r="U398" s="19" t="str">
        <f>HYPERLINK("https://pbs.twimg.com/profile_images/576004548839370752/2g9huuPX.jpeg","View")</f>
        <v>View</v>
      </c>
      <c r="V398" s="8"/>
      <c r="W398" s="8"/>
      <c r="X398" s="8"/>
      <c r="Y398" s="8"/>
      <c r="Z398" s="8"/>
    </row>
    <row r="399" spans="1:26" ht="12.75">
      <c r="A399" s="11">
        <v>43747.087511574078</v>
      </c>
      <c r="B399" s="12" t="str">
        <f>HYPERLINK("https://twitter.com/MidhatSabee","@MidhatSabee")</f>
        <v>@MidhatSabee</v>
      </c>
      <c r="C399" s="13" t="s">
        <v>2253</v>
      </c>
      <c r="D399" s="13" t="s">
        <v>907</v>
      </c>
      <c r="E399" s="12" t="str">
        <f>HYPERLINK("https://twitter.com/MidhatSabee/status/1181858341665959943","1181858341665959943")</f>
        <v>1181858341665959943</v>
      </c>
      <c r="F399" s="8"/>
      <c r="G399" s="14" t="s">
        <v>2254</v>
      </c>
      <c r="H399" s="8"/>
      <c r="I399" s="15">
        <v>0</v>
      </c>
      <c r="J399" s="15">
        <v>0</v>
      </c>
      <c r="K399" s="12" t="str">
        <f>HYPERLINK("https://mobile.twitter.com","Twitter Web App")</f>
        <v>Twitter Web App</v>
      </c>
      <c r="L399" s="16">
        <v>0</v>
      </c>
      <c r="M399" s="16">
        <v>0</v>
      </c>
      <c r="N399" s="16">
        <v>0</v>
      </c>
      <c r="O399" s="17"/>
      <c r="P399" s="18">
        <v>43730.927893518514</v>
      </c>
      <c r="Q399" s="7" t="s">
        <v>1428</v>
      </c>
      <c r="R399" s="13" t="s">
        <v>1552</v>
      </c>
      <c r="S399" s="8"/>
      <c r="T399" s="8"/>
      <c r="U399" s="19" t="str">
        <f>HYPERLINK("https://pbs.twimg.com/profile_images/1179348266535866368/q-6V2CnQ.jpg","View")</f>
        <v>View</v>
      </c>
      <c r="V399" s="8"/>
      <c r="W399" s="8"/>
      <c r="X399" s="8"/>
      <c r="Y399" s="8"/>
      <c r="Z399" s="8"/>
    </row>
    <row r="400" spans="1:26" ht="12.75">
      <c r="A400" s="11">
        <v>43747.086655092593</v>
      </c>
      <c r="B400" s="12" t="str">
        <f>HYPERLINK("https://twitter.com/WajdWaqfi","@WajdWaqfi")</f>
        <v>@WajdWaqfi</v>
      </c>
      <c r="C400" s="13" t="s">
        <v>2255</v>
      </c>
      <c r="D400" s="7" t="s">
        <v>2256</v>
      </c>
      <c r="E400" s="12" t="str">
        <f>HYPERLINK("https://twitter.com/WajdWaqfi/status/1181858033925799937","1181858033925799937")</f>
        <v>1181858033925799937</v>
      </c>
      <c r="F400" s="14" t="s">
        <v>2257</v>
      </c>
      <c r="G400" s="15"/>
      <c r="H400" s="8"/>
      <c r="I400" s="15">
        <v>11</v>
      </c>
      <c r="J400" s="15">
        <v>21</v>
      </c>
      <c r="K400" s="12" t="str">
        <f>HYPERLINK("http://twitter.com/download/iphone","Twitter for iPhone")</f>
        <v>Twitter for iPhone</v>
      </c>
      <c r="L400" s="16">
        <v>194879</v>
      </c>
      <c r="M400" s="16">
        <v>987</v>
      </c>
      <c r="N400" s="16">
        <v>468</v>
      </c>
      <c r="O400" s="17" t="s">
        <v>984</v>
      </c>
      <c r="P400" s="18">
        <v>40573.760347222225</v>
      </c>
      <c r="Q400" s="7" t="s">
        <v>2258</v>
      </c>
      <c r="R400" s="13" t="s">
        <v>2259</v>
      </c>
      <c r="S400" s="14" t="s">
        <v>2260</v>
      </c>
      <c r="T400" s="8"/>
      <c r="U400" s="19" t="str">
        <f>HYPERLINK("https://pbs.twimg.com/profile_images/834368244697985025/xnyqOytM.jpg","View")</f>
        <v>View</v>
      </c>
      <c r="V400" s="8"/>
      <c r="W400" s="8"/>
      <c r="X400" s="8"/>
      <c r="Y400" s="8"/>
      <c r="Z400" s="8"/>
    </row>
    <row r="401" spans="1:26" ht="12.75">
      <c r="A401" s="11">
        <v>43747.08625</v>
      </c>
      <c r="B401" s="12" t="str">
        <f>HYPERLINK("https://twitter.com/obedall32","@obedall32")</f>
        <v>@obedall32</v>
      </c>
      <c r="C401" s="13" t="s">
        <v>2264</v>
      </c>
      <c r="D401" s="13" t="s">
        <v>2265</v>
      </c>
      <c r="E401" s="12" t="str">
        <f>HYPERLINK("https://twitter.com/obedall32/status/1181857886051475456","1181857886051475456")</f>
        <v>1181857886051475456</v>
      </c>
      <c r="F401" s="8"/>
      <c r="G401" s="14" t="s">
        <v>2266</v>
      </c>
      <c r="H401" s="8"/>
      <c r="I401" s="15">
        <v>0</v>
      </c>
      <c r="J401" s="15">
        <v>0</v>
      </c>
      <c r="K401" s="12" t="str">
        <f>HYPERLINK("http://twitter.com","Twitter Web Client")</f>
        <v>Twitter Web Client</v>
      </c>
      <c r="L401" s="16">
        <v>1</v>
      </c>
      <c r="M401" s="16">
        <v>29</v>
      </c>
      <c r="N401" s="16">
        <v>0</v>
      </c>
      <c r="O401" s="17"/>
      <c r="P401" s="18">
        <v>42078.648993055554</v>
      </c>
      <c r="Q401" s="7"/>
      <c r="R401" s="13"/>
      <c r="S401" s="8"/>
      <c r="T401" s="8"/>
      <c r="U401" s="19" t="str">
        <f>HYPERLINK("https://pbs.twimg.com/profile_images/577236632983617537/LsM2kPOk.jpeg","View")</f>
        <v>View</v>
      </c>
      <c r="V401" s="8"/>
      <c r="W401" s="8"/>
      <c r="X401" s="8"/>
      <c r="Y401" s="8"/>
      <c r="Z401" s="8"/>
    </row>
    <row r="402" spans="1:26" ht="12.75">
      <c r="A402" s="11">
        <v>43747.086111111115</v>
      </c>
      <c r="B402" s="12" t="str">
        <f>HYPERLINK("https://twitter.com/benwase343","@benwase343")</f>
        <v>@benwase343</v>
      </c>
      <c r="C402" s="13" t="s">
        <v>2270</v>
      </c>
      <c r="D402" s="13" t="s">
        <v>2271</v>
      </c>
      <c r="E402" s="12" t="str">
        <f>HYPERLINK("https://twitter.com/benwase343/status/1181857835300397056","1181857835300397056")</f>
        <v>1181857835300397056</v>
      </c>
      <c r="F402" s="8"/>
      <c r="G402" s="14" t="s">
        <v>2272</v>
      </c>
      <c r="H402" s="8"/>
      <c r="I402" s="15">
        <v>0</v>
      </c>
      <c r="J402" s="15">
        <v>0</v>
      </c>
      <c r="K402" s="12" t="str">
        <f>HYPERLINK("http://twitter.com","Twitter Web Client")</f>
        <v>Twitter Web Client</v>
      </c>
      <c r="L402" s="16">
        <v>10</v>
      </c>
      <c r="M402" s="16">
        <v>40</v>
      </c>
      <c r="N402" s="16">
        <v>0</v>
      </c>
      <c r="O402" s="17"/>
      <c r="P402" s="18">
        <v>42073.353888888887</v>
      </c>
      <c r="Q402" s="7"/>
      <c r="R402" s="13"/>
      <c r="S402" s="8"/>
      <c r="T402" s="8"/>
      <c r="U402" s="19" t="str">
        <f>HYPERLINK("https://pbs.twimg.com/profile_images/575317904280834049/qOhon7rR.jpeg","View")</f>
        <v>View</v>
      </c>
      <c r="V402" s="8"/>
      <c r="W402" s="8"/>
      <c r="X402" s="8"/>
      <c r="Y402" s="8"/>
      <c r="Z402" s="8"/>
    </row>
    <row r="403" spans="1:26" ht="12.75">
      <c r="A403" s="11">
        <v>43747.085844907408</v>
      </c>
      <c r="B403" s="12" t="str">
        <f>HYPERLINK("https://twitter.com/marzouk_michel","@marzouk_michel")</f>
        <v>@marzouk_michel</v>
      </c>
      <c r="C403" s="13" t="s">
        <v>2276</v>
      </c>
      <c r="D403" s="13" t="s">
        <v>923</v>
      </c>
      <c r="E403" s="12" t="str">
        <f>HYPERLINK("https://twitter.com/marzouk_michel/status/1181857739292594176","1181857739292594176")</f>
        <v>1181857739292594176</v>
      </c>
      <c r="F403" s="8"/>
      <c r="G403" s="14" t="s">
        <v>2279</v>
      </c>
      <c r="H403" s="8"/>
      <c r="I403" s="15">
        <v>0</v>
      </c>
      <c r="J403" s="15">
        <v>0</v>
      </c>
      <c r="K403" s="12" t="str">
        <f>HYPERLINK("https://mobile.twitter.com","Twitter Web App")</f>
        <v>Twitter Web App</v>
      </c>
      <c r="L403" s="16">
        <v>0</v>
      </c>
      <c r="M403" s="16">
        <v>1</v>
      </c>
      <c r="N403" s="16">
        <v>0</v>
      </c>
      <c r="O403" s="17"/>
      <c r="P403" s="18">
        <v>43729.947418981479</v>
      </c>
      <c r="Q403" s="7" t="s">
        <v>911</v>
      </c>
      <c r="R403" s="13" t="s">
        <v>1110</v>
      </c>
      <c r="S403" s="8"/>
      <c r="T403" s="8"/>
      <c r="U403" s="19" t="str">
        <f>HYPERLINK("https://pbs.twimg.com/profile_images/1179347083389800448/V1f5dT8W.jpg","View")</f>
        <v>View</v>
      </c>
      <c r="V403" s="8"/>
      <c r="W403" s="8"/>
      <c r="X403" s="8"/>
      <c r="Y403" s="8"/>
      <c r="Z403" s="8"/>
    </row>
    <row r="404" spans="1:26" ht="12.75">
      <c r="A404" s="11">
        <v>43747.085763888885</v>
      </c>
      <c r="B404" s="12" t="str">
        <f>HYPERLINK("https://twitter.com/ElNaseera","@ElNaseera")</f>
        <v>@ElNaseera</v>
      </c>
      <c r="C404" s="13" t="s">
        <v>2282</v>
      </c>
      <c r="D404" s="7" t="s">
        <v>923</v>
      </c>
      <c r="E404" s="12" t="str">
        <f>HYPERLINK("https://twitter.com/ElNaseera/status/1181857711777968128","1181857711777968128")</f>
        <v>1181857711777968128</v>
      </c>
      <c r="F404" s="8"/>
      <c r="G404" s="14" t="s">
        <v>2284</v>
      </c>
      <c r="H404" s="8"/>
      <c r="I404" s="15">
        <v>0</v>
      </c>
      <c r="J404" s="15">
        <v>0</v>
      </c>
      <c r="K404" s="12" t="str">
        <f>HYPERLINK("https://mobile.twitter.com","Twitter Web App")</f>
        <v>Twitter Web App</v>
      </c>
      <c r="L404" s="16">
        <v>0</v>
      </c>
      <c r="M404" s="16">
        <v>0</v>
      </c>
      <c r="N404" s="16">
        <v>0</v>
      </c>
      <c r="O404" s="17"/>
      <c r="P404" s="18">
        <v>43736.967418981483</v>
      </c>
      <c r="Q404" s="7" t="s">
        <v>939</v>
      </c>
      <c r="R404" s="13" t="s">
        <v>2287</v>
      </c>
      <c r="S404" s="8"/>
      <c r="T404" s="8"/>
      <c r="U404" s="19" t="str">
        <f>HYPERLINK("https://pbs.twimg.com/profile_images/1180803614668779521/WS414nuz.jpg","View")</f>
        <v>View</v>
      </c>
      <c r="V404" s="8"/>
      <c r="W404" s="8"/>
      <c r="X404" s="8"/>
      <c r="Y404" s="8"/>
      <c r="Z404" s="8"/>
    </row>
    <row r="405" spans="1:26" ht="12.75">
      <c r="A405" s="11">
        <v>43747.085555555561</v>
      </c>
      <c r="B405" s="12" t="str">
        <f>HYPERLINK("https://twitter.com/MasrahiTufail","@MasrahiTufail")</f>
        <v>@MasrahiTufail</v>
      </c>
      <c r="C405" s="13" t="s">
        <v>2288</v>
      </c>
      <c r="D405" s="7" t="s">
        <v>28</v>
      </c>
      <c r="E405" s="12" t="str">
        <f>HYPERLINK("https://twitter.com/MasrahiTufail/status/1181857632212017152","1181857632212017152")</f>
        <v>1181857632212017152</v>
      </c>
      <c r="F405" s="8"/>
      <c r="G405" s="14" t="s">
        <v>1267</v>
      </c>
      <c r="H405" s="8"/>
      <c r="I405" s="15">
        <v>0</v>
      </c>
      <c r="J405" s="15">
        <v>0</v>
      </c>
      <c r="K405" s="12" t="str">
        <f>HYPERLINK("https://mobile.twitter.com","Twitter Web App")</f>
        <v>Twitter Web App</v>
      </c>
      <c r="L405" s="16">
        <v>0</v>
      </c>
      <c r="M405" s="16">
        <v>1</v>
      </c>
      <c r="N405" s="16">
        <v>0</v>
      </c>
      <c r="O405" s="17"/>
      <c r="P405" s="18">
        <v>43731.97174768518</v>
      </c>
      <c r="Q405" s="7" t="s">
        <v>949</v>
      </c>
      <c r="R405" s="13" t="s">
        <v>912</v>
      </c>
      <c r="S405" s="8"/>
      <c r="T405" s="8"/>
      <c r="U405" s="19" t="str">
        <f>HYPERLINK("https://pbs.twimg.com/profile_images/1180775728159215616/bJxNHT2d.jpg","View")</f>
        <v>View</v>
      </c>
      <c r="V405" s="8"/>
      <c r="W405" s="8"/>
      <c r="X405" s="8"/>
      <c r="Y405" s="8"/>
      <c r="Z405" s="8"/>
    </row>
    <row r="406" spans="1:26" ht="12.75">
      <c r="A406" s="11">
        <v>43747.085381944446</v>
      </c>
      <c r="B406" s="12" t="str">
        <f>HYPERLINK("https://twitter.com/SakerZane","@SakerZane")</f>
        <v>@SakerZane</v>
      </c>
      <c r="C406" s="7" t="s">
        <v>2293</v>
      </c>
      <c r="D406" s="13" t="s">
        <v>914</v>
      </c>
      <c r="E406" s="12" t="str">
        <f>HYPERLINK("https://twitter.com/SakerZane/status/1181857570618626048","1181857570618626048")</f>
        <v>1181857570618626048</v>
      </c>
      <c r="F406" s="8"/>
      <c r="G406" s="14" t="s">
        <v>917</v>
      </c>
      <c r="H406" s="8"/>
      <c r="I406" s="15">
        <v>0</v>
      </c>
      <c r="J406" s="15">
        <v>0</v>
      </c>
      <c r="K406" s="12" t="str">
        <f>HYPERLINK("https://mobile.twitter.com","Twitter Web App")</f>
        <v>Twitter Web App</v>
      </c>
      <c r="L406" s="16">
        <v>0</v>
      </c>
      <c r="M406" s="16">
        <v>1</v>
      </c>
      <c r="N406" s="16">
        <v>0</v>
      </c>
      <c r="O406" s="17"/>
      <c r="P406" s="18">
        <v>43733.059328703705</v>
      </c>
      <c r="Q406" s="13" t="s">
        <v>949</v>
      </c>
      <c r="R406" s="13" t="s">
        <v>950</v>
      </c>
      <c r="S406" s="8"/>
      <c r="T406" s="8"/>
      <c r="U406" s="19" t="str">
        <f>HYPERLINK("https://pbs.twimg.com/profile_images/1181517609788788737/wPxnTIuJ.jpg","View")</f>
        <v>View</v>
      </c>
      <c r="V406" s="8"/>
      <c r="W406" s="8"/>
      <c r="X406" s="8"/>
      <c r="Y406" s="8"/>
      <c r="Z406" s="8"/>
    </row>
    <row r="407" spans="1:26" ht="12.75">
      <c r="A407" s="11">
        <v>43747.08525462963</v>
      </c>
      <c r="B407" s="12" t="str">
        <f>HYPERLINK("https://twitter.com/ZakialElSayed1","@ZakialElSayed1")</f>
        <v>@ZakialElSayed1</v>
      </c>
      <c r="C407" s="13" t="s">
        <v>2298</v>
      </c>
      <c r="D407" s="13" t="s">
        <v>907</v>
      </c>
      <c r="E407" s="12" t="str">
        <f>HYPERLINK("https://twitter.com/ZakialElSayed1/status/1181857526746243073","1181857526746243073")</f>
        <v>1181857526746243073</v>
      </c>
      <c r="F407" s="8"/>
      <c r="G407" s="14" t="s">
        <v>2300</v>
      </c>
      <c r="H407" s="8"/>
      <c r="I407" s="15">
        <v>0</v>
      </c>
      <c r="J407" s="15">
        <v>0</v>
      </c>
      <c r="K407" s="12" t="str">
        <f>HYPERLINK("https://mobile.twitter.com","Twitter Web App")</f>
        <v>Twitter Web App</v>
      </c>
      <c r="L407" s="16">
        <v>0</v>
      </c>
      <c r="M407" s="16">
        <v>0</v>
      </c>
      <c r="N407" s="16">
        <v>0</v>
      </c>
      <c r="O407" s="17"/>
      <c r="P407" s="18">
        <v>43740.109375</v>
      </c>
      <c r="Q407" s="7" t="s">
        <v>1228</v>
      </c>
      <c r="R407" s="13" t="s">
        <v>1075</v>
      </c>
      <c r="S407" s="8"/>
      <c r="T407" s="8"/>
      <c r="U407" s="19" t="str">
        <f>HYPERLINK("https://pbs.twimg.com/profile_images/1181856814763139072/jOAq2HIG.jpg","View")</f>
        <v>View</v>
      </c>
      <c r="V407" s="8"/>
      <c r="W407" s="8"/>
      <c r="X407" s="8"/>
      <c r="Y407" s="8"/>
      <c r="Z407" s="8"/>
    </row>
    <row r="408" spans="1:26" ht="12.75">
      <c r="A408" s="11">
        <v>43747.085150462968</v>
      </c>
      <c r="B408" s="12" t="str">
        <f>HYPERLINK("https://twitter.com/UlyaaEl","@UlyaaEl")</f>
        <v>@UlyaaEl</v>
      </c>
      <c r="C408" s="13" t="s">
        <v>2301</v>
      </c>
      <c r="D408" s="13" t="s">
        <v>937</v>
      </c>
      <c r="E408" s="12" t="str">
        <f>HYPERLINK("https://twitter.com/UlyaaEl/status/1181857487210700802","1181857487210700802")</f>
        <v>1181857487210700802</v>
      </c>
      <c r="F408" s="8"/>
      <c r="G408" s="14" t="s">
        <v>2302</v>
      </c>
      <c r="H408" s="8"/>
      <c r="I408" s="15">
        <v>0</v>
      </c>
      <c r="J408" s="15">
        <v>0</v>
      </c>
      <c r="K408" s="12" t="str">
        <f>HYPERLINK("https://mobile.twitter.com","Twitter Web App")</f>
        <v>Twitter Web App</v>
      </c>
      <c r="L408" s="16">
        <v>0</v>
      </c>
      <c r="M408" s="16">
        <v>0</v>
      </c>
      <c r="N408" s="16">
        <v>0</v>
      </c>
      <c r="O408" s="17"/>
      <c r="P408" s="18">
        <v>43736.95957175926</v>
      </c>
      <c r="Q408" s="7" t="s">
        <v>1612</v>
      </c>
      <c r="R408" s="13" t="s">
        <v>1463</v>
      </c>
      <c r="S408" s="8"/>
      <c r="T408" s="8"/>
      <c r="U408" s="19" t="str">
        <f>HYPERLINK("https://pbs.twimg.com/profile_images/1180802672691040261/kskUDjR2.jpg","View")</f>
        <v>View</v>
      </c>
      <c r="V408" s="8"/>
      <c r="W408" s="8"/>
      <c r="X408" s="8"/>
      <c r="Y408" s="8"/>
      <c r="Z408" s="8"/>
    </row>
    <row r="409" spans="1:26" ht="12.75">
      <c r="A409" s="11">
        <v>43747.084733796291</v>
      </c>
      <c r="B409" s="12" t="str">
        <f>HYPERLINK("https://twitter.com/alialma20742531","@alialma20742531")</f>
        <v>@alialma20742531</v>
      </c>
      <c r="C409" s="13" t="s">
        <v>2309</v>
      </c>
      <c r="D409" s="13" t="s">
        <v>2310</v>
      </c>
      <c r="E409" s="12" t="str">
        <f>HYPERLINK("https://twitter.com/alialma20742531/status/1181857334462750720","1181857334462750720")</f>
        <v>1181857334462750720</v>
      </c>
      <c r="F409" s="8"/>
      <c r="G409" s="14" t="s">
        <v>2311</v>
      </c>
      <c r="H409" s="8"/>
      <c r="I409" s="15">
        <v>0</v>
      </c>
      <c r="J409" s="15">
        <v>0</v>
      </c>
      <c r="K409" s="12" t="str">
        <f>HYPERLINK("http://twitter.com","Twitter Web Client")</f>
        <v>Twitter Web Client</v>
      </c>
      <c r="L409" s="16">
        <v>3</v>
      </c>
      <c r="M409" s="16">
        <v>42</v>
      </c>
      <c r="N409" s="16">
        <v>0</v>
      </c>
      <c r="O409" s="17"/>
      <c r="P409" s="18">
        <v>42072.101087962961</v>
      </c>
      <c r="Q409" s="7"/>
      <c r="R409" s="13"/>
      <c r="S409" s="8"/>
      <c r="T409" s="8"/>
      <c r="U409" s="19" t="str">
        <f>HYPERLINK("https://pbs.twimg.com/profile_images/574863938162008064/7a4IhhxK.jpeg","View")</f>
        <v>View</v>
      </c>
      <c r="V409" s="8"/>
      <c r="W409" s="8"/>
      <c r="X409" s="8"/>
      <c r="Y409" s="8"/>
      <c r="Z409" s="8"/>
    </row>
    <row r="410" spans="1:26" ht="12.75">
      <c r="A410" s="11">
        <v>43747.084398148145</v>
      </c>
      <c r="B410" s="12" t="str">
        <f>HYPERLINK("https://twitter.com/MasoudAlYassin2","@MasoudAlYassin2")</f>
        <v>@MasoudAlYassin2</v>
      </c>
      <c r="C410" s="13" t="s">
        <v>2317</v>
      </c>
      <c r="D410" s="13" t="s">
        <v>952</v>
      </c>
      <c r="E410" s="12" t="str">
        <f>HYPERLINK("https://twitter.com/MasoudAlYassin2/status/1181857215990263810","1181857215990263810")</f>
        <v>1181857215990263810</v>
      </c>
      <c r="F410" s="8"/>
      <c r="G410" s="14" t="s">
        <v>2318</v>
      </c>
      <c r="H410" s="8"/>
      <c r="I410" s="15">
        <v>0</v>
      </c>
      <c r="J410" s="15">
        <v>0</v>
      </c>
      <c r="K410" s="12" t="str">
        <f>HYPERLINK("https://mobile.twitter.com","Twitter Web App")</f>
        <v>Twitter Web App</v>
      </c>
      <c r="L410" s="16">
        <v>0</v>
      </c>
      <c r="M410" s="16">
        <v>1</v>
      </c>
      <c r="N410" s="16">
        <v>0</v>
      </c>
      <c r="O410" s="17"/>
      <c r="P410" s="18">
        <v>43730.963749999995</v>
      </c>
      <c r="Q410" s="7" t="s">
        <v>1405</v>
      </c>
      <c r="R410" s="13" t="s">
        <v>1258</v>
      </c>
      <c r="S410" s="8"/>
      <c r="T410" s="8"/>
      <c r="U410" s="19" t="str">
        <f>HYPERLINK("https://pbs.twimg.com/profile_images/1179344390667546624/PwH2ayvK.jpg","View")</f>
        <v>View</v>
      </c>
      <c r="V410" s="8"/>
      <c r="W410" s="8"/>
      <c r="X410" s="8"/>
      <c r="Y410" s="8"/>
      <c r="Z410" s="8"/>
    </row>
    <row r="411" spans="1:26" ht="12.75">
      <c r="A411" s="11">
        <v>43747.084282407406</v>
      </c>
      <c r="B411" s="12" t="str">
        <f>HYPERLINK("https://twitter.com/SomailyZaki","@SomailyZaki")</f>
        <v>@SomailyZaki</v>
      </c>
      <c r="C411" s="13" t="s">
        <v>2323</v>
      </c>
      <c r="D411" s="7" t="s">
        <v>28</v>
      </c>
      <c r="E411" s="12" t="str">
        <f>HYPERLINK("https://twitter.com/SomailyZaki/status/1181857171333468160","1181857171333468160")</f>
        <v>1181857171333468160</v>
      </c>
      <c r="F411" s="8"/>
      <c r="G411" s="14" t="s">
        <v>31</v>
      </c>
      <c r="H411" s="8"/>
      <c r="I411" s="15">
        <v>0</v>
      </c>
      <c r="J411" s="15">
        <v>0</v>
      </c>
      <c r="K411" s="12" t="str">
        <f>HYPERLINK("https://mobile.twitter.com","Twitter Web App")</f>
        <v>Twitter Web App</v>
      </c>
      <c r="L411" s="16">
        <v>0</v>
      </c>
      <c r="M411" s="16">
        <v>1</v>
      </c>
      <c r="N411" s="16">
        <v>0</v>
      </c>
      <c r="O411" s="17"/>
      <c r="P411" s="18">
        <v>43733.048564814817</v>
      </c>
      <c r="Q411" s="7" t="s">
        <v>972</v>
      </c>
      <c r="R411" s="13" t="s">
        <v>973</v>
      </c>
      <c r="S411" s="8"/>
      <c r="T411" s="8"/>
      <c r="U411" s="19" t="str">
        <f>HYPERLINK("https://pbs.twimg.com/profile_images/1181515406395113472/b84ggGCk.jpg","View")</f>
        <v>View</v>
      </c>
      <c r="V411" s="8"/>
      <c r="W411" s="8"/>
      <c r="X411" s="8"/>
      <c r="Y411" s="8"/>
      <c r="Z411" s="8"/>
    </row>
    <row r="412" spans="1:26" ht="12.75">
      <c r="A412" s="11">
        <v>43747.082754629635</v>
      </c>
      <c r="B412" s="12" t="str">
        <f>HYPERLINK("https://twitter.com/TayfurSekh","@TayfurSekh")</f>
        <v>@TayfurSekh</v>
      </c>
      <c r="C412" s="13" t="s">
        <v>2326</v>
      </c>
      <c r="D412" s="7" t="s">
        <v>914</v>
      </c>
      <c r="E412" s="12" t="str">
        <f>HYPERLINK("https://twitter.com/TayfurSekh/status/1181856621179240449","1181856621179240449")</f>
        <v>1181856621179240449</v>
      </c>
      <c r="F412" s="8"/>
      <c r="G412" s="14" t="s">
        <v>917</v>
      </c>
      <c r="H412" s="8"/>
      <c r="I412" s="15">
        <v>0</v>
      </c>
      <c r="J412" s="15">
        <v>0</v>
      </c>
      <c r="K412" s="12" t="str">
        <f>HYPERLINK("https://mobile.twitter.com","Twitter Web App")</f>
        <v>Twitter Web App</v>
      </c>
      <c r="L412" s="16">
        <v>0</v>
      </c>
      <c r="M412" s="16">
        <v>1</v>
      </c>
      <c r="N412" s="16">
        <v>0</v>
      </c>
      <c r="O412" s="17"/>
      <c r="P412" s="18">
        <v>43732.946226851855</v>
      </c>
      <c r="Q412" s="7" t="s">
        <v>920</v>
      </c>
      <c r="R412" s="13" t="s">
        <v>1277</v>
      </c>
      <c r="S412" s="8"/>
      <c r="T412" s="8"/>
      <c r="U412" s="19" t="str">
        <f>HYPERLINK("https://pbs.twimg.com/profile_images/1180774167798353921/KX8IUt6P.jpg","View")</f>
        <v>View</v>
      </c>
      <c r="V412" s="8"/>
      <c r="W412" s="8"/>
      <c r="X412" s="8"/>
      <c r="Y412" s="8"/>
      <c r="Z412" s="8"/>
    </row>
    <row r="413" spans="1:26" ht="12.75">
      <c r="A413" s="11">
        <v>43747.082592592589</v>
      </c>
      <c r="B413" s="12" t="str">
        <f>HYPERLINK("https://twitter.com/hamadal06959772","@hamadal06959772")</f>
        <v>@hamadal06959772</v>
      </c>
      <c r="C413" s="13" t="s">
        <v>2332</v>
      </c>
      <c r="D413" s="13" t="s">
        <v>2333</v>
      </c>
      <c r="E413" s="12" t="str">
        <f>HYPERLINK("https://twitter.com/hamadal06959772/status/1181856560575864833","1181856560575864833")</f>
        <v>1181856560575864833</v>
      </c>
      <c r="F413" s="8"/>
      <c r="G413" s="14" t="s">
        <v>2335</v>
      </c>
      <c r="H413" s="8"/>
      <c r="I413" s="15">
        <v>0</v>
      </c>
      <c r="J413" s="15">
        <v>0</v>
      </c>
      <c r="K413" s="12" t="str">
        <f>HYPERLINK("http://twitter.com","Twitter Web Client")</f>
        <v>Twitter Web Client</v>
      </c>
      <c r="L413" s="16">
        <v>2</v>
      </c>
      <c r="M413" s="16">
        <v>40</v>
      </c>
      <c r="N413" s="16">
        <v>0</v>
      </c>
      <c r="O413" s="17"/>
      <c r="P413" s="18">
        <v>42075.191805555558</v>
      </c>
      <c r="Q413" s="7"/>
      <c r="R413" s="13"/>
      <c r="S413" s="8"/>
      <c r="T413" s="8"/>
      <c r="U413" s="19" t="str">
        <f>HYPERLINK("https://pbs.twimg.com/profile_images/575984990514597888/L0mUZT82.jpeg","View")</f>
        <v>View</v>
      </c>
      <c r="V413" s="8"/>
      <c r="W413" s="8"/>
      <c r="X413" s="8"/>
      <c r="Y413" s="8"/>
      <c r="Z413" s="8"/>
    </row>
    <row r="414" spans="1:26" ht="12.75">
      <c r="A414" s="11">
        <v>43747.082187499997</v>
      </c>
      <c r="B414" s="12" t="str">
        <f>HYPERLINK("https://twitter.com/MoualedZakariya","@MoualedZakariya")</f>
        <v>@MoualedZakariya</v>
      </c>
      <c r="C414" s="13" t="s">
        <v>2339</v>
      </c>
      <c r="D414" s="13" t="s">
        <v>968</v>
      </c>
      <c r="E414" s="12" t="str">
        <f>HYPERLINK("https://twitter.com/MoualedZakariya/status/1181856411556302849","1181856411556302849")</f>
        <v>1181856411556302849</v>
      </c>
      <c r="F414" s="8"/>
      <c r="G414" s="14" t="s">
        <v>2340</v>
      </c>
      <c r="H414" s="8"/>
      <c r="I414" s="15">
        <v>0</v>
      </c>
      <c r="J414" s="15">
        <v>0</v>
      </c>
      <c r="K414" s="12" t="str">
        <f>HYPERLINK("https://mobile.twitter.com","Twitter Web App")</f>
        <v>Twitter Web App</v>
      </c>
      <c r="L414" s="16">
        <v>0</v>
      </c>
      <c r="M414" s="16">
        <v>1</v>
      </c>
      <c r="N414" s="16">
        <v>0</v>
      </c>
      <c r="O414" s="17"/>
      <c r="P414" s="18">
        <v>43733.043611111112</v>
      </c>
      <c r="Q414" s="7" t="s">
        <v>1527</v>
      </c>
      <c r="R414" s="13" t="s">
        <v>1606</v>
      </c>
      <c r="S414" s="8"/>
      <c r="T414" s="8"/>
      <c r="U414" s="19" t="str">
        <f>HYPERLINK("https://pbs.twimg.com/profile_images/1181162479436496896/qBBrf4ad.jpg","View")</f>
        <v>View</v>
      </c>
      <c r="V414" s="8"/>
      <c r="W414" s="8"/>
      <c r="X414" s="8"/>
      <c r="Y414" s="8"/>
      <c r="Z414" s="8"/>
    </row>
    <row r="415" spans="1:26" ht="12.75">
      <c r="A415" s="11">
        <v>43747.081157407403</v>
      </c>
      <c r="B415" s="12" t="str">
        <f>HYPERLINK("https://twitter.com/DinTawfik","@DinTawfik")</f>
        <v>@DinTawfik</v>
      </c>
      <c r="C415" s="13" t="s">
        <v>2341</v>
      </c>
      <c r="D415" s="13" t="s">
        <v>28</v>
      </c>
      <c r="E415" s="12" t="str">
        <f>HYPERLINK("https://twitter.com/DinTawfik/status/1181856040121298944","1181856040121298944")</f>
        <v>1181856040121298944</v>
      </c>
      <c r="F415" s="8"/>
      <c r="G415" s="14" t="s">
        <v>31</v>
      </c>
      <c r="H415" s="8"/>
      <c r="I415" s="15">
        <v>0</v>
      </c>
      <c r="J415" s="15">
        <v>0</v>
      </c>
      <c r="K415" s="12" t="str">
        <f>HYPERLINK("https://mobile.twitter.com","Twitter Web App")</f>
        <v>Twitter Web App</v>
      </c>
      <c r="L415" s="16">
        <v>0</v>
      </c>
      <c r="M415" s="16">
        <v>1</v>
      </c>
      <c r="N415" s="16">
        <v>0</v>
      </c>
      <c r="O415" s="17"/>
      <c r="P415" s="18">
        <v>43730.032835648148</v>
      </c>
      <c r="Q415" s="7" t="s">
        <v>1428</v>
      </c>
      <c r="R415" s="13" t="s">
        <v>1258</v>
      </c>
      <c r="S415" s="8"/>
      <c r="T415" s="8"/>
      <c r="U415" s="19" t="str">
        <f>HYPERLINK("https://pbs.twimg.com/profile_images/1180772474289418241/kObfps92.jpg","View")</f>
        <v>View</v>
      </c>
      <c r="V415" s="8"/>
      <c r="W415" s="8"/>
      <c r="X415" s="8"/>
      <c r="Y415" s="8"/>
      <c r="Z415" s="8"/>
    </row>
    <row r="416" spans="1:26" ht="12.75">
      <c r="A416" s="11">
        <v>43747.080509259264</v>
      </c>
      <c r="B416" s="12" t="str">
        <f>HYPERLINK("https://twitter.com/SaffarMarwan","@SaffarMarwan")</f>
        <v>@SaffarMarwan</v>
      </c>
      <c r="C416" s="13" t="s">
        <v>2342</v>
      </c>
      <c r="D416" s="13" t="s">
        <v>1178</v>
      </c>
      <c r="E416" s="12" t="str">
        <f>HYPERLINK("https://twitter.com/SaffarMarwan/status/1181855804443389952","1181855804443389952")</f>
        <v>1181855804443389952</v>
      </c>
      <c r="F416" s="8"/>
      <c r="G416" s="14" t="s">
        <v>2344</v>
      </c>
      <c r="H416" s="8"/>
      <c r="I416" s="15">
        <v>0</v>
      </c>
      <c r="J416" s="15">
        <v>0</v>
      </c>
      <c r="K416" s="12" t="str">
        <f>HYPERLINK("https://mobile.twitter.com","Twitter Web App")</f>
        <v>Twitter Web App</v>
      </c>
      <c r="L416" s="16">
        <v>0</v>
      </c>
      <c r="M416" s="16">
        <v>2</v>
      </c>
      <c r="N416" s="16">
        <v>0</v>
      </c>
      <c r="O416" s="17"/>
      <c r="P416" s="18">
        <v>43728.926932870367</v>
      </c>
      <c r="Q416" s="7" t="s">
        <v>1276</v>
      </c>
      <c r="R416" s="13" t="s">
        <v>1277</v>
      </c>
      <c r="S416" s="8"/>
      <c r="T416" s="8"/>
      <c r="U416" s="19" t="str">
        <f>HYPERLINK("https://pbs.twimg.com/profile_images/1178254702166695936/70WG-7el.jpg","View")</f>
        <v>View</v>
      </c>
      <c r="V416" s="8"/>
      <c r="W416" s="8"/>
      <c r="X416" s="8"/>
      <c r="Y416" s="8"/>
      <c r="Z416" s="8"/>
    </row>
    <row r="417" spans="1:26" ht="12.75">
      <c r="A417" s="11">
        <v>43747.080208333333</v>
      </c>
      <c r="B417" s="12" t="str">
        <f>HYPERLINK("https://twitter.com/mubarakalhwsha1","@mubarakalhwsha1")</f>
        <v>@mubarakalhwsha1</v>
      </c>
      <c r="C417" s="13" t="s">
        <v>2345</v>
      </c>
      <c r="D417" s="7" t="s">
        <v>2346</v>
      </c>
      <c r="E417" s="12" t="str">
        <f>HYPERLINK("https://twitter.com/mubarakalhwsha1/status/1181855695718817792","1181855695718817792")</f>
        <v>1181855695718817792</v>
      </c>
      <c r="F417" s="8"/>
      <c r="G417" s="14" t="s">
        <v>2348</v>
      </c>
      <c r="H417" s="8"/>
      <c r="I417" s="15">
        <v>0</v>
      </c>
      <c r="J417" s="15">
        <v>0</v>
      </c>
      <c r="K417" s="12" t="str">
        <f>HYPERLINK("http://twitter.com","Twitter Web Client")</f>
        <v>Twitter Web Client</v>
      </c>
      <c r="L417" s="16">
        <v>3</v>
      </c>
      <c r="M417" s="16">
        <v>42</v>
      </c>
      <c r="N417" s="16">
        <v>0</v>
      </c>
      <c r="O417" s="17"/>
      <c r="P417" s="18">
        <v>42074.242569444439</v>
      </c>
      <c r="Q417" s="7"/>
      <c r="R417" s="13"/>
      <c r="S417" s="8"/>
      <c r="T417" s="8"/>
      <c r="U417" s="19" t="str">
        <f>HYPERLINK("https://pbs.twimg.com/profile_images/575667098082390016/pOF6xR-I.jpeg","View")</f>
        <v>View</v>
      </c>
      <c r="V417" s="8"/>
      <c r="W417" s="8"/>
      <c r="X417" s="8"/>
      <c r="Y417" s="8"/>
      <c r="Z417" s="8"/>
    </row>
    <row r="418" spans="1:26" ht="12.75">
      <c r="A418" s="11">
        <v>43747.080069444448</v>
      </c>
      <c r="B418" s="12" t="str">
        <f>HYPERLINK("https://twitter.com/alraba454","@alraba454")</f>
        <v>@alraba454</v>
      </c>
      <c r="C418" s="13" t="s">
        <v>2354</v>
      </c>
      <c r="D418" s="7" t="s">
        <v>2355</v>
      </c>
      <c r="E418" s="12" t="str">
        <f>HYPERLINK("https://twitter.com/alraba454/status/1181855645798207489","1181855645798207489")</f>
        <v>1181855645798207489</v>
      </c>
      <c r="F418" s="8"/>
      <c r="G418" s="14" t="s">
        <v>2356</v>
      </c>
      <c r="H418" s="8"/>
      <c r="I418" s="15">
        <v>0</v>
      </c>
      <c r="J418" s="15">
        <v>0</v>
      </c>
      <c r="K418" s="12" t="str">
        <f>HYPERLINK("http://twitter.com","Twitter Web Client")</f>
        <v>Twitter Web Client</v>
      </c>
      <c r="L418" s="16">
        <v>5</v>
      </c>
      <c r="M418" s="16">
        <v>48</v>
      </c>
      <c r="N418" s="16">
        <v>0</v>
      </c>
      <c r="O418" s="17"/>
      <c r="P418" s="18">
        <v>42074.386030092588</v>
      </c>
      <c r="Q418" s="7"/>
      <c r="R418" s="13"/>
      <c r="S418" s="8"/>
      <c r="T418" s="8"/>
      <c r="U418" s="19" t="str">
        <f>HYPERLINK("https://pbs.twimg.com/profile_images/575691837047861248/b_bHPwxp.jpeg","View")</f>
        <v>View</v>
      </c>
      <c r="V418" s="8"/>
      <c r="W418" s="8"/>
      <c r="X418" s="8"/>
      <c r="Y418" s="8"/>
      <c r="Z418" s="8"/>
    </row>
    <row r="419" spans="1:26" ht="12.75">
      <c r="A419" s="11">
        <v>43747.079189814816</v>
      </c>
      <c r="B419" s="12" t="str">
        <f>HYPERLINK("https://twitter.com/MusalamNour","@MusalamNour")</f>
        <v>@MusalamNour</v>
      </c>
      <c r="C419" s="13" t="s">
        <v>2360</v>
      </c>
      <c r="D419" s="13" t="s">
        <v>2361</v>
      </c>
      <c r="E419" s="12" t="str">
        <f>HYPERLINK("https://twitter.com/MusalamNour/status/1181855326573928450","1181855326573928450")</f>
        <v>1181855326573928450</v>
      </c>
      <c r="F419" s="8"/>
      <c r="G419" s="14" t="s">
        <v>2362</v>
      </c>
      <c r="H419" s="8"/>
      <c r="I419" s="15">
        <v>0</v>
      </c>
      <c r="J419" s="15">
        <v>0</v>
      </c>
      <c r="K419" s="12" t="str">
        <f>HYPERLINK("http://twitter.com","Twitter Web Client")</f>
        <v>Twitter Web Client</v>
      </c>
      <c r="L419" s="16">
        <v>1</v>
      </c>
      <c r="M419" s="16">
        <v>35</v>
      </c>
      <c r="N419" s="16">
        <v>0</v>
      </c>
      <c r="O419" s="17"/>
      <c r="P419" s="18">
        <v>42083.523842592593</v>
      </c>
      <c r="Q419" s="7"/>
      <c r="R419" s="13"/>
      <c r="S419" s="8"/>
      <c r="T419" s="8"/>
      <c r="U419" s="19" t="str">
        <f>HYPERLINK("https://pbs.twimg.com/profile_images/579003133059166208/G6G5nrSW.jpeg","View")</f>
        <v>View</v>
      </c>
      <c r="V419" s="8"/>
      <c r="W419" s="8"/>
      <c r="X419" s="8"/>
      <c r="Y419" s="8"/>
      <c r="Z419" s="8"/>
    </row>
    <row r="420" spans="1:26" ht="12.75">
      <c r="A420" s="11">
        <v>43747.078634259262</v>
      </c>
      <c r="B420" s="12" t="str">
        <f>HYPERLINK("https://twitter.com/el3amar3_xx","@el3amar3_xx")</f>
        <v>@el3amar3_xx</v>
      </c>
      <c r="C420" s="13" t="s">
        <v>2365</v>
      </c>
      <c r="D420" s="13" t="s">
        <v>2366</v>
      </c>
      <c r="E420" s="12" t="str">
        <f>HYPERLINK("https://twitter.com/el3amar3_xx/status/1181855126497239040","1181855126497239040")</f>
        <v>1181855126497239040</v>
      </c>
      <c r="F420" s="8"/>
      <c r="G420" s="14" t="s">
        <v>2367</v>
      </c>
      <c r="H420" s="8"/>
      <c r="I420" s="15">
        <v>0</v>
      </c>
      <c r="J420" s="15">
        <v>0</v>
      </c>
      <c r="K420" s="12" t="str">
        <f>HYPERLINK("http://twitter.com","Twitter Web Client")</f>
        <v>Twitter Web Client</v>
      </c>
      <c r="L420" s="16">
        <v>1</v>
      </c>
      <c r="M420" s="16">
        <v>39</v>
      </c>
      <c r="N420" s="16">
        <v>0</v>
      </c>
      <c r="O420" s="17"/>
      <c r="P420" s="18">
        <v>42081.401643518519</v>
      </c>
      <c r="Q420" s="7"/>
      <c r="R420" s="13"/>
      <c r="S420" s="8"/>
      <c r="T420" s="8"/>
      <c r="U420" s="19" t="str">
        <f>HYPERLINK("https://pbs.twimg.com/profile_images/578234255752372225/Pslk0aEt.jpeg","View")</f>
        <v>View</v>
      </c>
      <c r="V420" s="8"/>
      <c r="W420" s="8"/>
      <c r="X420" s="8"/>
      <c r="Y420" s="8"/>
      <c r="Z420" s="8"/>
    </row>
    <row r="421" spans="1:26" ht="12.75">
      <c r="A421" s="11">
        <v>43747.078518518523</v>
      </c>
      <c r="B421" s="12" t="str">
        <f>HYPERLINK("https://twitter.com/TariqalHabibi1","@TariqalHabibi1")</f>
        <v>@TariqalHabibi1</v>
      </c>
      <c r="C421" s="13" t="s">
        <v>2371</v>
      </c>
      <c r="D421" s="13" t="s">
        <v>968</v>
      </c>
      <c r="E421" s="12" t="str">
        <f>HYPERLINK("https://twitter.com/TariqalHabibi1/status/1181855085682249728","1181855085682249728")</f>
        <v>1181855085682249728</v>
      </c>
      <c r="F421" s="8"/>
      <c r="G421" s="14" t="s">
        <v>2374</v>
      </c>
      <c r="H421" s="8"/>
      <c r="I421" s="15">
        <v>0</v>
      </c>
      <c r="J421" s="15">
        <v>0</v>
      </c>
      <c r="K421" s="12" t="str">
        <f>HYPERLINK("https://mobile.twitter.com","Twitter Web App")</f>
        <v>Twitter Web App</v>
      </c>
      <c r="L421" s="16">
        <v>0</v>
      </c>
      <c r="M421" s="16">
        <v>1</v>
      </c>
      <c r="N421" s="16">
        <v>0</v>
      </c>
      <c r="O421" s="17"/>
      <c r="P421" s="18">
        <v>43730.030034722222</v>
      </c>
      <c r="Q421" s="7" t="s">
        <v>972</v>
      </c>
      <c r="R421" s="13" t="s">
        <v>2375</v>
      </c>
      <c r="S421" s="8"/>
      <c r="T421" s="8"/>
      <c r="U421" s="19" t="str">
        <f>HYPERLINK("https://pbs.twimg.com/profile_images/1180770590375833600/F528Pr2u.jpg","View")</f>
        <v>View</v>
      </c>
      <c r="V421" s="8"/>
      <c r="W421" s="8"/>
      <c r="X421" s="8"/>
      <c r="Y421" s="8"/>
      <c r="Z421" s="8"/>
    </row>
    <row r="422" spans="1:26" ht="12.75">
      <c r="A422" s="11">
        <v>43747.0784375</v>
      </c>
      <c r="B422" s="12" t="str">
        <f>HYPERLINK("https://twitter.com/JoudZaim","@JoudZaim")</f>
        <v>@JoudZaim</v>
      </c>
      <c r="C422" s="13" t="s">
        <v>2376</v>
      </c>
      <c r="D422" s="7" t="s">
        <v>1130</v>
      </c>
      <c r="E422" s="12" t="str">
        <f>HYPERLINK("https://twitter.com/JoudZaim/status/1181855055697235969","1181855055697235969")</f>
        <v>1181855055697235969</v>
      </c>
      <c r="F422" s="8"/>
      <c r="G422" s="14" t="s">
        <v>2379</v>
      </c>
      <c r="H422" s="8"/>
      <c r="I422" s="15">
        <v>0</v>
      </c>
      <c r="J422" s="15">
        <v>0</v>
      </c>
      <c r="K422" s="12" t="str">
        <f>HYPERLINK("https://mobile.twitter.com","Twitter Web App")</f>
        <v>Twitter Web App</v>
      </c>
      <c r="L422" s="16">
        <v>0</v>
      </c>
      <c r="M422" s="16">
        <v>1</v>
      </c>
      <c r="N422" s="16">
        <v>0</v>
      </c>
      <c r="O422" s="17"/>
      <c r="P422" s="18">
        <v>43732.99695601852</v>
      </c>
      <c r="Q422" s="7" t="s">
        <v>1228</v>
      </c>
      <c r="R422" s="13" t="s">
        <v>2380</v>
      </c>
      <c r="S422" s="8"/>
      <c r="T422" s="8"/>
      <c r="U422" s="19" t="str">
        <f>HYPERLINK("https://pbs.twimg.com/profile_images/1181158099551309824/dscxF-O_.jpg","View")</f>
        <v>View</v>
      </c>
      <c r="V422" s="8"/>
      <c r="W422" s="8"/>
      <c r="X422" s="8"/>
      <c r="Y422" s="8"/>
      <c r="Z422" s="8"/>
    </row>
    <row r="423" spans="1:26" ht="12.75">
      <c r="A423" s="11">
        <v>43747.078368055554</v>
      </c>
      <c r="B423" s="12" t="str">
        <f>HYPERLINK("https://twitter.com/aliasmari11","@aliasmari11")</f>
        <v>@aliasmari11</v>
      </c>
      <c r="C423" s="13" t="s">
        <v>2381</v>
      </c>
      <c r="D423" s="13" t="s">
        <v>2382</v>
      </c>
      <c r="E423" s="12" t="str">
        <f>HYPERLINK("https://twitter.com/aliasmari11/status/1181855030028177409","1181855030028177409")</f>
        <v>1181855030028177409</v>
      </c>
      <c r="F423" s="8"/>
      <c r="G423" s="14" t="s">
        <v>2383</v>
      </c>
      <c r="H423" s="8"/>
      <c r="I423" s="15">
        <v>0</v>
      </c>
      <c r="J423" s="15">
        <v>0</v>
      </c>
      <c r="K423" s="12" t="str">
        <f>HYPERLINK("http://twitter.com","Twitter Web Client")</f>
        <v>Twitter Web Client</v>
      </c>
      <c r="L423" s="16">
        <v>0</v>
      </c>
      <c r="M423" s="16">
        <v>36</v>
      </c>
      <c r="N423" s="16">
        <v>0</v>
      </c>
      <c r="O423" s="17"/>
      <c r="P423" s="18">
        <v>42021.086076388892</v>
      </c>
      <c r="Q423" s="7"/>
      <c r="R423" s="13"/>
      <c r="S423" s="8"/>
      <c r="T423" s="8"/>
      <c r="U423" s="19" t="str">
        <f>HYPERLINK("https://pbs.twimg.com/profile_images/556391590659239936/9EAubyXD.jpeg","View")</f>
        <v>View</v>
      </c>
      <c r="V423" s="8"/>
      <c r="W423" s="8"/>
      <c r="X423" s="8"/>
      <c r="Y423" s="8"/>
      <c r="Z423" s="8"/>
    </row>
    <row r="424" spans="1:26" ht="12.75">
      <c r="A424" s="11">
        <v>43747.078275462962</v>
      </c>
      <c r="B424" s="12" t="str">
        <f>HYPERLINK("https://twitter.com/mansur_amri","@mansur_amri")</f>
        <v>@mansur_amri</v>
      </c>
      <c r="C424" s="13" t="s">
        <v>2384</v>
      </c>
      <c r="D424" s="7" t="s">
        <v>907</v>
      </c>
      <c r="E424" s="12" t="str">
        <f>HYPERLINK("https://twitter.com/mansur_amri/status/1181854995638939648","1181854995638939648")</f>
        <v>1181854995638939648</v>
      </c>
      <c r="F424" s="8"/>
      <c r="G424" s="14" t="s">
        <v>2385</v>
      </c>
      <c r="H424" s="8"/>
      <c r="I424" s="15">
        <v>0</v>
      </c>
      <c r="J424" s="15">
        <v>0</v>
      </c>
      <c r="K424" s="12" t="str">
        <f>HYPERLINK("https://mobile.twitter.com","Twitter Web App")</f>
        <v>Twitter Web App</v>
      </c>
      <c r="L424" s="16">
        <v>0</v>
      </c>
      <c r="M424" s="16">
        <v>1</v>
      </c>
      <c r="N424" s="16">
        <v>0</v>
      </c>
      <c r="O424" s="17"/>
      <c r="P424" s="18">
        <v>43726.934016203704</v>
      </c>
      <c r="Q424" s="7" t="s">
        <v>939</v>
      </c>
      <c r="R424" s="13" t="s">
        <v>2389</v>
      </c>
      <c r="S424" s="8"/>
      <c r="T424" s="8"/>
      <c r="U424" s="19" t="str">
        <f>HYPERLINK("https://pbs.twimg.com/profile_images/1174557054200991744/0iiPPAzY.jpg","View")</f>
        <v>View</v>
      </c>
      <c r="V424" s="8"/>
      <c r="W424" s="8"/>
      <c r="X424" s="8"/>
      <c r="Y424" s="8"/>
      <c r="Z424" s="8"/>
    </row>
    <row r="425" spans="1:26" ht="12.75">
      <c r="A425" s="11">
        <v>43747.077673611115</v>
      </c>
      <c r="B425" s="12" t="str">
        <f>HYPERLINK("https://twitter.com/alsalamiie44","@alsalamiie44")</f>
        <v>@alsalamiie44</v>
      </c>
      <c r="C425" s="13" t="s">
        <v>2391</v>
      </c>
      <c r="D425" s="7" t="s">
        <v>2392</v>
      </c>
      <c r="E425" s="12" t="str">
        <f>HYPERLINK("https://twitter.com/alsalamiie44/status/1181854776964849670","1181854776964849670")</f>
        <v>1181854776964849670</v>
      </c>
      <c r="F425" s="8"/>
      <c r="G425" s="14" t="s">
        <v>2393</v>
      </c>
      <c r="H425" s="8"/>
      <c r="I425" s="15">
        <v>0</v>
      </c>
      <c r="J425" s="15">
        <v>0</v>
      </c>
      <c r="K425" s="12" t="str">
        <f>HYPERLINK("http://twitter.com","Twitter Web Client")</f>
        <v>Twitter Web Client</v>
      </c>
      <c r="L425" s="16">
        <v>3</v>
      </c>
      <c r="M425" s="16">
        <v>50</v>
      </c>
      <c r="N425" s="16">
        <v>0</v>
      </c>
      <c r="O425" s="17"/>
      <c r="P425" s="18">
        <v>42070.187071759261</v>
      </c>
      <c r="Q425" s="7"/>
      <c r="R425" s="7"/>
      <c r="S425" s="8"/>
      <c r="T425" s="8"/>
      <c r="U425" s="19" t="str">
        <f>HYPERLINK("https://pbs.twimg.com/profile_images/574185183424868352/3jVULQnQ.jpeg","View")</f>
        <v>View</v>
      </c>
      <c r="V425" s="8"/>
      <c r="W425" s="8"/>
      <c r="X425" s="8"/>
      <c r="Y425" s="8"/>
      <c r="Z425" s="8"/>
    </row>
    <row r="426" spans="1:26" ht="12.75">
      <c r="A426" s="11">
        <v>43747.077268518522</v>
      </c>
      <c r="B426" s="12" t="str">
        <f>HYPERLINK("https://twitter.com/TaqiSabee","@TaqiSabee")</f>
        <v>@TaqiSabee</v>
      </c>
      <c r="C426" s="13" t="s">
        <v>2397</v>
      </c>
      <c r="D426" s="13" t="s">
        <v>944</v>
      </c>
      <c r="E426" s="12" t="str">
        <f>HYPERLINK("https://twitter.com/TaqiSabee/status/1181854629178396673","1181854629178396673")</f>
        <v>1181854629178396673</v>
      </c>
      <c r="F426" s="8"/>
      <c r="G426" s="14" t="s">
        <v>2399</v>
      </c>
      <c r="H426" s="8"/>
      <c r="I426" s="15">
        <v>0</v>
      </c>
      <c r="J426" s="15">
        <v>0</v>
      </c>
      <c r="K426" s="12" t="str">
        <f>HYPERLINK("https://mobile.twitter.com","Twitter Web App")</f>
        <v>Twitter Web App</v>
      </c>
      <c r="L426" s="16">
        <v>0</v>
      </c>
      <c r="M426" s="16">
        <v>0</v>
      </c>
      <c r="N426" s="16">
        <v>0</v>
      </c>
      <c r="O426" s="17"/>
      <c r="P426" s="18">
        <v>43731.946724537032</v>
      </c>
      <c r="Q426" s="7" t="s">
        <v>1271</v>
      </c>
      <c r="R426" s="13" t="s">
        <v>2403</v>
      </c>
      <c r="S426" s="8"/>
      <c r="T426" s="8"/>
      <c r="U426" s="19" t="str">
        <f>HYPERLINK("https://pbs.twimg.com/profile_images/1180769264648605696/jhFX0u5v.jpg","View")</f>
        <v>View</v>
      </c>
      <c r="V426" s="8"/>
      <c r="W426" s="8"/>
      <c r="X426" s="8"/>
      <c r="Y426" s="8"/>
      <c r="Z426" s="8"/>
    </row>
    <row r="427" spans="1:26" ht="12.75">
      <c r="A427" s="11">
        <v>43747.07603009259</v>
      </c>
      <c r="B427" s="12" t="str">
        <f>HYPERLINK("https://twitter.com/raedmohammed15","@raedmohammed15")</f>
        <v>@raedmohammed15</v>
      </c>
      <c r="C427" s="13" t="s">
        <v>2406</v>
      </c>
      <c r="D427" s="7" t="s">
        <v>2407</v>
      </c>
      <c r="E427" s="12" t="str">
        <f>HYPERLINK("https://twitter.com/raedmohammed15/status/1181854182342561797","1181854182342561797")</f>
        <v>1181854182342561797</v>
      </c>
      <c r="F427" s="8"/>
      <c r="G427" s="14" t="s">
        <v>2408</v>
      </c>
      <c r="H427" s="8"/>
      <c r="I427" s="15">
        <v>0</v>
      </c>
      <c r="J427" s="15">
        <v>0</v>
      </c>
      <c r="K427" s="12" t="str">
        <f>HYPERLINK("http://twitter.com","Twitter Web Client")</f>
        <v>Twitter Web Client</v>
      </c>
      <c r="L427" s="16">
        <v>7</v>
      </c>
      <c r="M427" s="16">
        <v>42</v>
      </c>
      <c r="N427" s="16">
        <v>0</v>
      </c>
      <c r="O427" s="17"/>
      <c r="P427" s="18">
        <v>42072.174884259264</v>
      </c>
      <c r="Q427" s="7"/>
      <c r="R427" s="13"/>
      <c r="S427" s="8"/>
      <c r="T427" s="8"/>
      <c r="U427" s="19" t="str">
        <f>HYPERLINK("https://pbs.twimg.com/profile_images/574890554095312897/LcMLOXZk.jpeg","View")</f>
        <v>View</v>
      </c>
      <c r="V427" s="8"/>
      <c r="W427" s="8"/>
      <c r="X427" s="8"/>
      <c r="Y427" s="8"/>
      <c r="Z427" s="8"/>
    </row>
    <row r="428" spans="1:26" ht="12.75">
      <c r="A428" s="11">
        <v>43747.075833333336</v>
      </c>
      <c r="B428" s="12" t="str">
        <f>HYPERLINK("https://twitter.com/AbbasiMaisara","@AbbasiMaisara")</f>
        <v>@AbbasiMaisara</v>
      </c>
      <c r="C428" s="13" t="s">
        <v>2413</v>
      </c>
      <c r="D428" s="7" t="s">
        <v>952</v>
      </c>
      <c r="E428" s="12" t="str">
        <f>HYPERLINK("https://twitter.com/AbbasiMaisara/status/1181854111471296512","1181854111471296512")</f>
        <v>1181854111471296512</v>
      </c>
      <c r="F428" s="8"/>
      <c r="G428" s="14" t="s">
        <v>2414</v>
      </c>
      <c r="H428" s="8"/>
      <c r="I428" s="15">
        <v>0</v>
      </c>
      <c r="J428" s="15">
        <v>0</v>
      </c>
      <c r="K428" s="12" t="str">
        <f>HYPERLINK("https://mobile.twitter.com","Twitter Web App")</f>
        <v>Twitter Web App</v>
      </c>
      <c r="L428" s="16">
        <v>0</v>
      </c>
      <c r="M428" s="16">
        <v>0</v>
      </c>
      <c r="N428" s="16">
        <v>0</v>
      </c>
      <c r="O428" s="17"/>
      <c r="P428" s="18">
        <v>43736.953587962962</v>
      </c>
      <c r="Q428" s="7" t="s">
        <v>1133</v>
      </c>
      <c r="R428" s="13" t="s">
        <v>955</v>
      </c>
      <c r="S428" s="8"/>
      <c r="T428" s="8"/>
      <c r="U428" s="19" t="str">
        <f>HYPERLINK("https://pbs.twimg.com/profile_images/1181492635837456386/J-RBxSid.jpg","View")</f>
        <v>View</v>
      </c>
      <c r="V428" s="8"/>
      <c r="W428" s="8"/>
      <c r="X428" s="8"/>
      <c r="Y428" s="8"/>
      <c r="Z428" s="8"/>
    </row>
    <row r="429" spans="1:26" ht="12.75">
      <c r="A429" s="11">
        <v>43747.075624999998</v>
      </c>
      <c r="B429" s="12" t="str">
        <f>HYPERLINK("https://twitter.com/ZaidAlAmri9","@ZaidAlAmri9")</f>
        <v>@ZaidAlAmri9</v>
      </c>
      <c r="C429" s="13" t="s">
        <v>2004</v>
      </c>
      <c r="D429" s="13" t="s">
        <v>1107</v>
      </c>
      <c r="E429" s="12" t="str">
        <f>HYPERLINK("https://twitter.com/ZaidAlAmri9/status/1181854035692810241","1181854035692810241")</f>
        <v>1181854035692810241</v>
      </c>
      <c r="F429" s="8"/>
      <c r="G429" s="14" t="s">
        <v>2417</v>
      </c>
      <c r="H429" s="8"/>
      <c r="I429" s="15">
        <v>0</v>
      </c>
      <c r="J429" s="15">
        <v>0</v>
      </c>
      <c r="K429" s="12" t="str">
        <f>HYPERLINK("https://mobile.twitter.com","Twitter Web App")</f>
        <v>Twitter Web App</v>
      </c>
      <c r="L429" s="16">
        <v>0</v>
      </c>
      <c r="M429" s="16">
        <v>1</v>
      </c>
      <c r="N429" s="16">
        <v>0</v>
      </c>
      <c r="O429" s="17"/>
      <c r="P429" s="18">
        <v>43732.990671296298</v>
      </c>
      <c r="Q429" s="7" t="s">
        <v>1428</v>
      </c>
      <c r="R429" s="13" t="s">
        <v>1790</v>
      </c>
      <c r="S429" s="8"/>
      <c r="T429" s="8"/>
      <c r="U429" s="19" t="str">
        <f>HYPERLINK("https://pbs.twimg.com/profile_images/1181156673756336128/eSCtTIw-.jpg","View")</f>
        <v>View</v>
      </c>
      <c r="V429" s="8"/>
      <c r="W429" s="8"/>
      <c r="X429" s="8"/>
      <c r="Y429" s="8"/>
      <c r="Z429" s="8"/>
    </row>
    <row r="430" spans="1:26" ht="12.75">
      <c r="A430" s="11">
        <v>43747.074953703705</v>
      </c>
      <c r="B430" s="12" t="str">
        <f>HYPERLINK("https://twitter.com/TKhuwalidi","@TKhuwalidi")</f>
        <v>@TKhuwalidi</v>
      </c>
      <c r="C430" s="13" t="s">
        <v>2420</v>
      </c>
      <c r="D430" s="13" t="s">
        <v>1030</v>
      </c>
      <c r="E430" s="12" t="str">
        <f>HYPERLINK("https://twitter.com/TKhuwalidi/status/1181853792691556357","1181853792691556357")</f>
        <v>1181853792691556357</v>
      </c>
      <c r="F430" s="8"/>
      <c r="G430" s="14" t="s">
        <v>2422</v>
      </c>
      <c r="H430" s="8"/>
      <c r="I430" s="15">
        <v>0</v>
      </c>
      <c r="J430" s="15">
        <v>0</v>
      </c>
      <c r="K430" s="12" t="str">
        <f>HYPERLINK("https://mobile.twitter.com","Twitter Web App")</f>
        <v>Twitter Web App</v>
      </c>
      <c r="L430" s="16">
        <v>0</v>
      </c>
      <c r="M430" s="16">
        <v>0</v>
      </c>
      <c r="N430" s="16">
        <v>0</v>
      </c>
      <c r="O430" s="17"/>
      <c r="P430" s="18">
        <v>43730.002488425926</v>
      </c>
      <c r="Q430" s="7" t="s">
        <v>1284</v>
      </c>
      <c r="R430" s="13" t="s">
        <v>2423</v>
      </c>
      <c r="S430" s="8"/>
      <c r="T430" s="8"/>
      <c r="U430" s="19" t="str">
        <f>HYPERLINK("https://pbs.twimg.com/profile_images/1180768102331469824/TnY19J7p.jpg","View")</f>
        <v>View</v>
      </c>
      <c r="V430" s="8"/>
      <c r="W430" s="8"/>
      <c r="X430" s="8"/>
      <c r="Y430" s="8"/>
      <c r="Z430" s="8"/>
    </row>
    <row r="431" spans="1:26" ht="12.75">
      <c r="A431" s="11">
        <v>43747.074710648143</v>
      </c>
      <c r="B431" s="12" t="str">
        <f>HYPERLINK("https://twitter.com/3awagaan443","@3awagaan443")</f>
        <v>@3awagaan443</v>
      </c>
      <c r="C431" s="13" t="s">
        <v>2424</v>
      </c>
      <c r="D431" s="7" t="s">
        <v>2425</v>
      </c>
      <c r="E431" s="12" t="str">
        <f>HYPERLINK("https://twitter.com/3awagaan443/status/1181853706188394498","1181853706188394498")</f>
        <v>1181853706188394498</v>
      </c>
      <c r="F431" s="8"/>
      <c r="G431" s="14" t="s">
        <v>2426</v>
      </c>
      <c r="H431" s="8"/>
      <c r="I431" s="15">
        <v>0</v>
      </c>
      <c r="J431" s="15">
        <v>0</v>
      </c>
      <c r="K431" s="12" t="str">
        <f>HYPERLINK("http://twitter.com","Twitter Web Client")</f>
        <v>Twitter Web Client</v>
      </c>
      <c r="L431" s="16">
        <v>2</v>
      </c>
      <c r="M431" s="16">
        <v>40</v>
      </c>
      <c r="N431" s="16">
        <v>0</v>
      </c>
      <c r="O431" s="17"/>
      <c r="P431" s="18">
        <v>42073.203587962962</v>
      </c>
      <c r="Q431" s="7"/>
      <c r="R431" s="13"/>
      <c r="S431" s="8"/>
      <c r="T431" s="8"/>
      <c r="U431" s="19" t="str">
        <f>HYPERLINK("https://pbs.twimg.com/profile_images/575263236360048642/QSA2ijvn.jpeg","View")</f>
        <v>View</v>
      </c>
      <c r="V431" s="8"/>
      <c r="W431" s="8"/>
      <c r="X431" s="8"/>
      <c r="Y431" s="8"/>
      <c r="Z431" s="8"/>
    </row>
    <row r="432" spans="1:26" ht="12.75">
      <c r="A432" s="11">
        <v>43747.074270833335</v>
      </c>
      <c r="B432" s="12" t="str">
        <f>HYPERLINK("https://twitter.com/benhamed33","@benhamed33")</f>
        <v>@benhamed33</v>
      </c>
      <c r="C432" s="13" t="s">
        <v>2430</v>
      </c>
      <c r="D432" s="13" t="s">
        <v>2431</v>
      </c>
      <c r="E432" s="12" t="str">
        <f>HYPERLINK("https://twitter.com/benhamed33/status/1181853544997150720","1181853544997150720")</f>
        <v>1181853544997150720</v>
      </c>
      <c r="F432" s="15"/>
      <c r="G432" s="14" t="s">
        <v>2432</v>
      </c>
      <c r="H432" s="8"/>
      <c r="I432" s="15">
        <v>0</v>
      </c>
      <c r="J432" s="15">
        <v>0</v>
      </c>
      <c r="K432" s="12" t="str">
        <f>HYPERLINK("http://twitter.com","Twitter Web Client")</f>
        <v>Twitter Web Client</v>
      </c>
      <c r="L432" s="16">
        <v>14</v>
      </c>
      <c r="M432" s="16">
        <v>41</v>
      </c>
      <c r="N432" s="16">
        <v>0</v>
      </c>
      <c r="O432" s="20"/>
      <c r="P432" s="18">
        <v>42073.337222222224</v>
      </c>
      <c r="Q432" s="7"/>
      <c r="R432" s="13"/>
      <c r="S432" s="15"/>
      <c r="T432" s="8"/>
      <c r="U432" s="19" t="str">
        <f>HYPERLINK("https://pbs.twimg.com/profile_images/575311724514967553/5P3UatEd.jpeg","View")</f>
        <v>View</v>
      </c>
      <c r="V432" s="8"/>
      <c r="W432" s="8"/>
      <c r="X432" s="8"/>
      <c r="Y432" s="8"/>
      <c r="Z432" s="8"/>
    </row>
    <row r="433" spans="1:26" ht="12.75">
      <c r="A433" s="11">
        <v>43747.073587962965</v>
      </c>
      <c r="B433" s="12" t="str">
        <f>HYPERLINK("https://twitter.com/DinOutaibi","@DinOutaibi")</f>
        <v>@DinOutaibi</v>
      </c>
      <c r="C433" s="13" t="s">
        <v>2434</v>
      </c>
      <c r="D433" s="13" t="s">
        <v>907</v>
      </c>
      <c r="E433" s="12" t="str">
        <f>HYPERLINK("https://twitter.com/DinOutaibi/status/1181853295897243648","1181853295897243648")</f>
        <v>1181853295897243648</v>
      </c>
      <c r="F433" s="8"/>
      <c r="G433" s="14" t="s">
        <v>2435</v>
      </c>
      <c r="H433" s="8"/>
      <c r="I433" s="15">
        <v>0</v>
      </c>
      <c r="J433" s="15">
        <v>0</v>
      </c>
      <c r="K433" s="12" t="str">
        <f>HYPERLINK("https://mobile.twitter.com","Twitter Web App")</f>
        <v>Twitter Web App</v>
      </c>
      <c r="L433" s="16">
        <v>0</v>
      </c>
      <c r="M433" s="16">
        <v>1</v>
      </c>
      <c r="N433" s="16">
        <v>0</v>
      </c>
      <c r="O433" s="17"/>
      <c r="P433" s="18">
        <v>43732.987349537041</v>
      </c>
      <c r="Q433" s="7" t="s">
        <v>911</v>
      </c>
      <c r="R433" s="13" t="s">
        <v>1836</v>
      </c>
      <c r="S433" s="8"/>
      <c r="T433" s="8"/>
      <c r="U433" s="19" t="str">
        <f>HYPERLINK("https://pbs.twimg.com/profile_images/1181155309424803840/c9no4brd.jpg","View")</f>
        <v>View</v>
      </c>
      <c r="V433" s="8"/>
      <c r="W433" s="8"/>
      <c r="X433" s="8"/>
      <c r="Y433" s="8"/>
      <c r="Z433" s="8"/>
    </row>
    <row r="434" spans="1:26" ht="12.75">
      <c r="A434" s="11">
        <v>43747.073321759264</v>
      </c>
      <c r="B434" s="12" t="str">
        <f>HYPERLINK("https://twitter.com/QuadriZahir","@QuadriZahir")</f>
        <v>@QuadriZahir</v>
      </c>
      <c r="C434" s="13" t="s">
        <v>2436</v>
      </c>
      <c r="D434" s="13" t="s">
        <v>923</v>
      </c>
      <c r="E434" s="12" t="str">
        <f>HYPERLINK("https://twitter.com/QuadriZahir/status/1181853201521209344","1181853201521209344")</f>
        <v>1181853201521209344</v>
      </c>
      <c r="F434" s="8"/>
      <c r="G434" s="14" t="s">
        <v>2437</v>
      </c>
      <c r="H434" s="8"/>
      <c r="I434" s="15">
        <v>0</v>
      </c>
      <c r="J434" s="15">
        <v>0</v>
      </c>
      <c r="K434" s="12" t="str">
        <f>HYPERLINK("https://mobile.twitter.com","Twitter Web App")</f>
        <v>Twitter Web App</v>
      </c>
      <c r="L434" s="16">
        <v>0</v>
      </c>
      <c r="M434" s="16">
        <v>1</v>
      </c>
      <c r="N434" s="16">
        <v>0</v>
      </c>
      <c r="O434" s="17"/>
      <c r="P434" s="18">
        <v>43732.983124999999</v>
      </c>
      <c r="Q434" s="7" t="s">
        <v>1133</v>
      </c>
      <c r="R434" s="13" t="s">
        <v>2088</v>
      </c>
      <c r="S434" s="8"/>
      <c r="T434" s="8"/>
      <c r="U434" s="19" t="str">
        <f>HYPERLINK("https://pbs.twimg.com/profile_images/1180434641431322624/jwi6hpxU.jpg","View")</f>
        <v>View</v>
      </c>
      <c r="V434" s="8"/>
      <c r="W434" s="8"/>
      <c r="X434" s="8"/>
      <c r="Y434" s="8"/>
      <c r="Z434" s="8"/>
    </row>
    <row r="435" spans="1:26" ht="12.75">
      <c r="A435" s="11">
        <v>43747.073206018518</v>
      </c>
      <c r="B435" s="12" t="str">
        <f>HYPERLINK("https://twitter.com/el_munjid","@el_munjid")</f>
        <v>@el_munjid</v>
      </c>
      <c r="C435" s="13" t="s">
        <v>2438</v>
      </c>
      <c r="D435" s="7" t="s">
        <v>1236</v>
      </c>
      <c r="E435" s="12" t="str">
        <f>HYPERLINK("https://twitter.com/el_munjid/status/1181853157921443840","1181853157921443840")</f>
        <v>1181853157921443840</v>
      </c>
      <c r="F435" s="8"/>
      <c r="G435" s="14" t="s">
        <v>2439</v>
      </c>
      <c r="H435" s="8"/>
      <c r="I435" s="15">
        <v>0</v>
      </c>
      <c r="J435" s="15">
        <v>0</v>
      </c>
      <c r="K435" s="12" t="str">
        <f>HYPERLINK("https://mobile.twitter.com","Twitter Web App")</f>
        <v>Twitter Web App</v>
      </c>
      <c r="L435" s="16">
        <v>0</v>
      </c>
      <c r="M435" s="16">
        <v>1</v>
      </c>
      <c r="N435" s="16">
        <v>0</v>
      </c>
      <c r="O435" s="17"/>
      <c r="P435" s="18">
        <v>43740.108101851853</v>
      </c>
      <c r="Q435" s="7" t="s">
        <v>1280</v>
      </c>
      <c r="R435" s="13" t="s">
        <v>2443</v>
      </c>
      <c r="S435" s="8"/>
      <c r="T435" s="8"/>
      <c r="U435" s="19" t="str">
        <f>HYPERLINK("https://pbs.twimg.com/profile_images/1181804142286622720/fDNH8edh.jpg","View")</f>
        <v>View</v>
      </c>
      <c r="V435" s="8"/>
      <c r="W435" s="8"/>
      <c r="X435" s="8"/>
      <c r="Y435" s="8"/>
      <c r="Z435" s="8"/>
    </row>
    <row r="436" spans="1:26" ht="12.75">
      <c r="A436" s="11">
        <v>43747.072766203702</v>
      </c>
      <c r="B436" s="12" t="str">
        <f>HYPERLINK("https://twitter.com/ElSaaliha","@ElSaaliha")</f>
        <v>@ElSaaliha</v>
      </c>
      <c r="C436" s="13" t="s">
        <v>2444</v>
      </c>
      <c r="D436" s="7" t="s">
        <v>1178</v>
      </c>
      <c r="E436" s="12" t="str">
        <f>HYPERLINK("https://twitter.com/ElSaaliha/status/1181853000748257280","1181853000748257280")</f>
        <v>1181853000748257280</v>
      </c>
      <c r="F436" s="8"/>
      <c r="G436" s="14" t="s">
        <v>2446</v>
      </c>
      <c r="H436" s="8"/>
      <c r="I436" s="15">
        <v>0</v>
      </c>
      <c r="J436" s="15">
        <v>0</v>
      </c>
      <c r="K436" s="12" t="str">
        <f>HYPERLINK("https://mobile.twitter.com","Twitter Web App")</f>
        <v>Twitter Web App</v>
      </c>
      <c r="L436" s="16">
        <v>0</v>
      </c>
      <c r="M436" s="16">
        <v>0</v>
      </c>
      <c r="N436" s="16">
        <v>0</v>
      </c>
      <c r="O436" s="17"/>
      <c r="P436" s="18">
        <v>43733.985219907408</v>
      </c>
      <c r="Q436" s="7" t="s">
        <v>1454</v>
      </c>
      <c r="R436" s="13" t="s">
        <v>1477</v>
      </c>
      <c r="S436" s="8"/>
      <c r="T436" s="8"/>
      <c r="U436" s="19" t="str">
        <f>HYPERLINK("https://pbs.twimg.com/profile_images/1180800463525957632/5dhIn8FA.jpg","View")</f>
        <v>View</v>
      </c>
      <c r="V436" s="8"/>
      <c r="W436" s="8"/>
      <c r="X436" s="8"/>
      <c r="Y436" s="8"/>
      <c r="Z436" s="8"/>
    </row>
    <row r="437" spans="1:26" ht="12.75">
      <c r="A437" s="11">
        <v>43747.072708333333</v>
      </c>
      <c r="B437" s="12" t="str">
        <f>HYPERLINK("https://twitter.com/HamaidiMamdouh","@HamaidiMamdouh")</f>
        <v>@HamaidiMamdouh</v>
      </c>
      <c r="C437" s="13" t="s">
        <v>2449</v>
      </c>
      <c r="D437" s="13" t="s">
        <v>28</v>
      </c>
      <c r="E437" s="12" t="str">
        <f>HYPERLINK("https://twitter.com/HamaidiMamdouh/status/1181852980561137664","1181852980561137664")</f>
        <v>1181852980561137664</v>
      </c>
      <c r="F437" s="8"/>
      <c r="G437" s="14" t="s">
        <v>1267</v>
      </c>
      <c r="H437" s="8"/>
      <c r="I437" s="15">
        <v>0</v>
      </c>
      <c r="J437" s="15">
        <v>0</v>
      </c>
      <c r="K437" s="12" t="str">
        <f>HYPERLINK("https://mobile.twitter.com","Twitter Web App")</f>
        <v>Twitter Web App</v>
      </c>
      <c r="L437" s="16">
        <v>0</v>
      </c>
      <c r="M437" s="16">
        <v>1</v>
      </c>
      <c r="N437" s="16">
        <v>0</v>
      </c>
      <c r="O437" s="17"/>
      <c r="P437" s="18">
        <v>43729.080162037033</v>
      </c>
      <c r="Q437" s="7" t="s">
        <v>1328</v>
      </c>
      <c r="R437" s="13" t="s">
        <v>2443</v>
      </c>
      <c r="S437" s="8"/>
      <c r="T437" s="8"/>
      <c r="U437" s="19" t="str">
        <f>HYPERLINK("https://pbs.twimg.com/profile_images/1176431734792937473/3ICeqaGY.jpg","View")</f>
        <v>View</v>
      </c>
      <c r="V437" s="8"/>
      <c r="W437" s="8"/>
      <c r="X437" s="8"/>
      <c r="Y437" s="8"/>
      <c r="Z437" s="8"/>
    </row>
    <row r="438" spans="1:26" ht="12.75">
      <c r="A438" s="11">
        <v>43747.07267361111</v>
      </c>
      <c r="B438" s="12" t="str">
        <f>HYPERLINK("https://twitter.com/halaal345","@halaal345")</f>
        <v>@halaal345</v>
      </c>
      <c r="C438" s="13" t="s">
        <v>2454</v>
      </c>
      <c r="D438" s="13" t="s">
        <v>2455</v>
      </c>
      <c r="E438" s="12" t="str">
        <f>HYPERLINK("https://twitter.com/halaal345/status/1181852965138833408","1181852965138833408")</f>
        <v>1181852965138833408</v>
      </c>
      <c r="F438" s="8"/>
      <c r="G438" s="14" t="s">
        <v>2456</v>
      </c>
      <c r="H438" s="8"/>
      <c r="I438" s="15">
        <v>0</v>
      </c>
      <c r="J438" s="15">
        <v>0</v>
      </c>
      <c r="K438" s="12" t="str">
        <f>HYPERLINK("http://twitter.com","Twitter Web Client")</f>
        <v>Twitter Web Client</v>
      </c>
      <c r="L438" s="16">
        <v>18</v>
      </c>
      <c r="M438" s="16">
        <v>49</v>
      </c>
      <c r="N438" s="16">
        <v>0</v>
      </c>
      <c r="O438" s="17"/>
      <c r="P438" s="18">
        <v>42071.662905092591</v>
      </c>
      <c r="Q438" s="7"/>
      <c r="R438" s="13"/>
      <c r="S438" s="8"/>
      <c r="T438" s="8"/>
      <c r="U438" s="19" t="str">
        <f>HYPERLINK("https://pbs.twimg.com/profile_images/574704980306714624/YZoMfuQU.jpeg","View")</f>
        <v>View</v>
      </c>
      <c r="V438" s="8"/>
      <c r="W438" s="8"/>
      <c r="X438" s="8"/>
      <c r="Y438" s="8"/>
      <c r="Z438" s="8"/>
    </row>
    <row r="439" spans="1:26" ht="12.75">
      <c r="A439" s="11">
        <v>43747.072534722218</v>
      </c>
      <c r="B439" s="12" t="str">
        <f>HYPERLINK("https://twitter.com/ibrahimhamod951","@ibrahimhamod951")</f>
        <v>@ibrahimhamod951</v>
      </c>
      <c r="C439" s="13" t="s">
        <v>2460</v>
      </c>
      <c r="D439" s="7" t="s">
        <v>2461</v>
      </c>
      <c r="E439" s="12" t="str">
        <f>HYPERLINK("https://twitter.com/ibrahimhamod951/status/1181852914421243904","1181852914421243904")</f>
        <v>1181852914421243904</v>
      </c>
      <c r="F439" s="8"/>
      <c r="G439" s="14" t="s">
        <v>2462</v>
      </c>
      <c r="H439" s="8"/>
      <c r="I439" s="15">
        <v>0</v>
      </c>
      <c r="J439" s="15">
        <v>0</v>
      </c>
      <c r="K439" s="12" t="str">
        <f>HYPERLINK("http://twitter.com","Twitter Web Client")</f>
        <v>Twitter Web Client</v>
      </c>
      <c r="L439" s="16">
        <v>5</v>
      </c>
      <c r="M439" s="16">
        <v>39</v>
      </c>
      <c r="N439" s="16">
        <v>0</v>
      </c>
      <c r="O439" s="17"/>
      <c r="P439" s="18">
        <v>42077.344027777777</v>
      </c>
      <c r="Q439" s="7"/>
      <c r="R439" s="13"/>
      <c r="S439" s="8"/>
      <c r="T439" s="8"/>
      <c r="U439" s="19" t="str">
        <f>HYPERLINK("https://pbs.twimg.com/profile_images/576763961007218689/OFrrrCNi.jpeg","View")</f>
        <v>View</v>
      </c>
      <c r="V439" s="8"/>
      <c r="W439" s="8"/>
      <c r="X439" s="8"/>
      <c r="Y439" s="8"/>
      <c r="Z439" s="8"/>
    </row>
    <row r="440" spans="1:26" ht="12.75">
      <c r="A440" s="11">
        <v>43747.072372685187</v>
      </c>
      <c r="B440" s="12" t="str">
        <f>HYPERLINK("https://twitter.com/ElAriyya","@ElAriyya")</f>
        <v>@ElAriyya</v>
      </c>
      <c r="C440" s="13" t="s">
        <v>2464</v>
      </c>
      <c r="D440" s="7" t="s">
        <v>907</v>
      </c>
      <c r="E440" s="12" t="str">
        <f>HYPERLINK("https://twitter.com/ElAriyya/status/1181852857038864384","1181852857038864384")</f>
        <v>1181852857038864384</v>
      </c>
      <c r="F440" s="8"/>
      <c r="G440" s="14" t="s">
        <v>2467</v>
      </c>
      <c r="H440" s="8"/>
      <c r="I440" s="15">
        <v>0</v>
      </c>
      <c r="J440" s="15">
        <v>0</v>
      </c>
      <c r="K440" s="12" t="str">
        <f>HYPERLINK("https://mobile.twitter.com","Twitter Web App")</f>
        <v>Twitter Web App</v>
      </c>
      <c r="L440" s="16">
        <v>0</v>
      </c>
      <c r="M440" s="16">
        <v>0</v>
      </c>
      <c r="N440" s="16">
        <v>0</v>
      </c>
      <c r="O440" s="17"/>
      <c r="P440" s="18">
        <v>43733.981932870374</v>
      </c>
      <c r="Q440" s="7" t="s">
        <v>1405</v>
      </c>
      <c r="R440" s="13" t="s">
        <v>2469</v>
      </c>
      <c r="S440" s="8"/>
      <c r="T440" s="8"/>
      <c r="U440" s="19" t="str">
        <f>HYPERLINK("https://pbs.twimg.com/profile_images/1180799736846045185/bdLznZRC.jpg","View")</f>
        <v>View</v>
      </c>
      <c r="V440" s="8"/>
      <c r="W440" s="8"/>
      <c r="X440" s="8"/>
      <c r="Y440" s="8"/>
      <c r="Z440" s="8"/>
    </row>
    <row r="441" spans="1:26" ht="12.75">
      <c r="A441" s="11">
        <v>43747.071550925924</v>
      </c>
      <c r="B441" s="12" t="str">
        <f>HYPERLINK("https://twitter.com/ElzaferyMal7","@ElzaferyMal7")</f>
        <v>@ElzaferyMal7</v>
      </c>
      <c r="C441" s="13" t="s">
        <v>2471</v>
      </c>
      <c r="D441" s="7" t="s">
        <v>2472</v>
      </c>
      <c r="E441" s="12" t="str">
        <f>HYPERLINK("https://twitter.com/ElzaferyMal7/status/1181852559398653953","1181852559398653953")</f>
        <v>1181852559398653953</v>
      </c>
      <c r="F441" s="8"/>
      <c r="G441" s="14" t="s">
        <v>2473</v>
      </c>
      <c r="H441" s="8"/>
      <c r="I441" s="15">
        <v>0</v>
      </c>
      <c r="J441" s="15">
        <v>0</v>
      </c>
      <c r="K441" s="12" t="str">
        <f>HYPERLINK("http://twitter.com","Twitter Web Client")</f>
        <v>Twitter Web Client</v>
      </c>
      <c r="L441" s="16">
        <v>2</v>
      </c>
      <c r="M441" s="16">
        <v>38</v>
      </c>
      <c r="N441" s="16">
        <v>0</v>
      </c>
      <c r="O441" s="17"/>
      <c r="P441" s="18">
        <v>42083.29960648148</v>
      </c>
      <c r="Q441" s="7"/>
      <c r="R441" s="13"/>
      <c r="S441" s="8"/>
      <c r="T441" s="8"/>
      <c r="U441" s="19" t="str">
        <f>HYPERLINK("https://pbs.twimg.com/profile_images/578921860412239872/Fn7kYRLk.jpeg","View")</f>
        <v>View</v>
      </c>
      <c r="V441" s="8"/>
      <c r="W441" s="8"/>
      <c r="X441" s="8"/>
      <c r="Y441" s="8"/>
      <c r="Z441" s="8"/>
    </row>
    <row r="442" spans="1:26" ht="12.75">
      <c r="A442" s="11">
        <v>43747.071423611109</v>
      </c>
      <c r="B442" s="12" t="str">
        <f>HYPERLINK("https://twitter.com/el3ateby8_4","@el3ateby8_4")</f>
        <v>@el3ateby8_4</v>
      </c>
      <c r="C442" s="13" t="s">
        <v>2478</v>
      </c>
      <c r="D442" s="13" t="s">
        <v>2479</v>
      </c>
      <c r="E442" s="12" t="str">
        <f>HYPERLINK("https://twitter.com/el3ateby8_4/status/1181852511063420928","1181852511063420928")</f>
        <v>1181852511063420928</v>
      </c>
      <c r="F442" s="8"/>
      <c r="G442" s="14" t="s">
        <v>2480</v>
      </c>
      <c r="H442" s="8"/>
      <c r="I442" s="15">
        <v>0</v>
      </c>
      <c r="J442" s="15">
        <v>0</v>
      </c>
      <c r="K442" s="12" t="str">
        <f>HYPERLINK("http://twitter.com","Twitter Web Client")</f>
        <v>Twitter Web Client</v>
      </c>
      <c r="L442" s="16">
        <v>11</v>
      </c>
      <c r="M442" s="16">
        <v>48</v>
      </c>
      <c r="N442" s="16">
        <v>0</v>
      </c>
      <c r="O442" s="17"/>
      <c r="P442" s="18">
        <v>42075.468657407408</v>
      </c>
      <c r="Q442" s="7"/>
      <c r="R442" s="13"/>
      <c r="S442" s="8"/>
      <c r="T442" s="8"/>
      <c r="U442" s="19" t="str">
        <f>HYPERLINK("https://pbs.twimg.com/profile_images/576084116585652224/5VV5nSn4.jpeg","View")</f>
        <v>View</v>
      </c>
      <c r="V442" s="8"/>
      <c r="W442" s="8"/>
      <c r="X442" s="8"/>
      <c r="Y442" s="8"/>
      <c r="Z442" s="8"/>
    </row>
    <row r="443" spans="1:26" ht="12.75">
      <c r="A443" s="11">
        <v>43747.070914351847</v>
      </c>
      <c r="B443" s="12" t="str">
        <f>HYPERLINK("https://twitter.com/AbdusKalil","@AbdusKalil")</f>
        <v>@AbdusKalil</v>
      </c>
      <c r="C443" s="13" t="s">
        <v>2482</v>
      </c>
      <c r="D443" s="7" t="s">
        <v>968</v>
      </c>
      <c r="E443" s="12" t="str">
        <f>HYPERLINK("https://twitter.com/AbdusKalil/status/1181852327281483777","1181852327281483777")</f>
        <v>1181852327281483777</v>
      </c>
      <c r="F443" s="8"/>
      <c r="G443" s="14" t="s">
        <v>2484</v>
      </c>
      <c r="H443" s="8"/>
      <c r="I443" s="15">
        <v>0</v>
      </c>
      <c r="J443" s="15">
        <v>0</v>
      </c>
      <c r="K443" s="12" t="str">
        <f>HYPERLINK("https://mobile.twitter.com","Twitter Web App")</f>
        <v>Twitter Web App</v>
      </c>
      <c r="L443" s="16">
        <v>0</v>
      </c>
      <c r="M443" s="16">
        <v>0</v>
      </c>
      <c r="N443" s="16">
        <v>0</v>
      </c>
      <c r="O443" s="17"/>
      <c r="P443" s="18">
        <v>43741.15216435185</v>
      </c>
      <c r="Q443" s="7" t="s">
        <v>1249</v>
      </c>
      <c r="R443" s="13" t="s">
        <v>1135</v>
      </c>
      <c r="S443" s="8"/>
      <c r="T443" s="8"/>
      <c r="U443" s="19" t="str">
        <f>HYPERLINK("https://pbs.twimg.com/profile_images/1181852267286163457/T0yS4hlP.jpg","View")</f>
        <v>View</v>
      </c>
      <c r="V443" s="8"/>
      <c r="W443" s="8"/>
      <c r="X443" s="8"/>
      <c r="Y443" s="8"/>
      <c r="Z443" s="8"/>
    </row>
    <row r="444" spans="1:26" ht="12.75">
      <c r="A444" s="11">
        <v>43747.070451388892</v>
      </c>
      <c r="B444" s="12" t="str">
        <f>HYPERLINK("https://twitter.com/abdulra00847039","@abdulra00847039")</f>
        <v>@abdulra00847039</v>
      </c>
      <c r="C444" s="13" t="s">
        <v>2487</v>
      </c>
      <c r="D444" s="13" t="s">
        <v>2488</v>
      </c>
      <c r="E444" s="12" t="str">
        <f>HYPERLINK("https://twitter.com/abdulra00847039/status/1181852161120129030","1181852161120129030")</f>
        <v>1181852161120129030</v>
      </c>
      <c r="F444" s="8"/>
      <c r="G444" s="14" t="s">
        <v>2489</v>
      </c>
      <c r="H444" s="8"/>
      <c r="I444" s="15">
        <v>0</v>
      </c>
      <c r="J444" s="15">
        <v>0</v>
      </c>
      <c r="K444" s="12" t="str">
        <f>HYPERLINK("http://twitter.com","Twitter Web Client")</f>
        <v>Twitter Web Client</v>
      </c>
      <c r="L444" s="16">
        <v>8</v>
      </c>
      <c r="M444" s="16">
        <v>43</v>
      </c>
      <c r="N444" s="16">
        <v>0</v>
      </c>
      <c r="O444" s="17"/>
      <c r="P444" s="18">
        <v>42073.150740740741</v>
      </c>
      <c r="Q444" s="7"/>
      <c r="R444" s="13"/>
      <c r="S444" s="8"/>
      <c r="T444" s="8"/>
      <c r="U444" s="19" t="str">
        <f>HYPERLINK("https://pbs.twimg.com/profile_images/575246177211285505/89bvequd.jpeg","View")</f>
        <v>View</v>
      </c>
      <c r="V444" s="8"/>
      <c r="W444" s="8"/>
      <c r="X444" s="8"/>
      <c r="Y444" s="8"/>
      <c r="Z444" s="8"/>
    </row>
    <row r="445" spans="1:26" ht="12.75">
      <c r="A445" s="11">
        <v>43747.069328703699</v>
      </c>
      <c r="B445" s="12" t="str">
        <f>HYPERLINK("https://twitter.com/habib_hasana","@habib_hasana")</f>
        <v>@habib_hasana</v>
      </c>
      <c r="C445" s="13" t="s">
        <v>2492</v>
      </c>
      <c r="D445" s="13" t="s">
        <v>1236</v>
      </c>
      <c r="E445" s="12" t="str">
        <f>HYPERLINK("https://twitter.com/habib_hasana/status/1181851752204656640","1181851752204656640")</f>
        <v>1181851752204656640</v>
      </c>
      <c r="F445" s="8"/>
      <c r="G445" s="14" t="s">
        <v>2493</v>
      </c>
      <c r="H445" s="8"/>
      <c r="I445" s="15">
        <v>0</v>
      </c>
      <c r="J445" s="15">
        <v>0</v>
      </c>
      <c r="K445" s="12" t="str">
        <f>HYPERLINK("https://mobile.twitter.com","Twitter Web App")</f>
        <v>Twitter Web App</v>
      </c>
      <c r="L445" s="16">
        <v>0</v>
      </c>
      <c r="M445" s="16">
        <v>0</v>
      </c>
      <c r="N445" s="16">
        <v>0</v>
      </c>
      <c r="O445" s="17"/>
      <c r="P445" s="18">
        <v>43733.973900462966</v>
      </c>
      <c r="Q445" s="7" t="s">
        <v>1916</v>
      </c>
      <c r="R445" s="13" t="s">
        <v>1497</v>
      </c>
      <c r="S445" s="8"/>
      <c r="T445" s="8"/>
      <c r="U445" s="19" t="str">
        <f>HYPERLINK("https://pbs.twimg.com/profile_images/1180799048728469504/OLHsI_1p.jpg","View")</f>
        <v>View</v>
      </c>
      <c r="V445" s="8"/>
      <c r="W445" s="8"/>
      <c r="X445" s="8"/>
      <c r="Y445" s="8"/>
      <c r="Z445" s="8"/>
    </row>
    <row r="446" spans="1:26" ht="12.75">
      <c r="A446" s="11">
        <v>43747.069178240738</v>
      </c>
      <c r="B446" s="12" t="str">
        <f>HYPERLINK("https://twitter.com/bensa3u333","@bensa3u333")</f>
        <v>@bensa3u333</v>
      </c>
      <c r="C446" s="13" t="s">
        <v>2496</v>
      </c>
      <c r="D446" s="13" t="s">
        <v>2497</v>
      </c>
      <c r="E446" s="12" t="str">
        <f>HYPERLINK("https://twitter.com/bensa3u333/status/1181851699243372544","1181851699243372544")</f>
        <v>1181851699243372544</v>
      </c>
      <c r="F446" s="8"/>
      <c r="G446" s="14" t="s">
        <v>2498</v>
      </c>
      <c r="H446" s="8"/>
      <c r="I446" s="15">
        <v>0</v>
      </c>
      <c r="J446" s="15">
        <v>0</v>
      </c>
      <c r="K446" s="12" t="str">
        <f>HYPERLINK("http://twitter.com","Twitter Web Client")</f>
        <v>Twitter Web Client</v>
      </c>
      <c r="L446" s="16">
        <v>11</v>
      </c>
      <c r="M446" s="16">
        <v>54</v>
      </c>
      <c r="N446" s="16">
        <v>0</v>
      </c>
      <c r="O446" s="17"/>
      <c r="P446" s="18">
        <v>42072.641446759255</v>
      </c>
      <c r="Q446" s="7"/>
      <c r="R446" s="13"/>
      <c r="S446" s="8"/>
      <c r="T446" s="8"/>
      <c r="U446" s="19" t="str">
        <f>HYPERLINK("https://pbs.twimg.com/profile_images/575059609548820480/QdW6fORm.jpeg","View")</f>
        <v>View</v>
      </c>
      <c r="V446" s="8"/>
      <c r="W446" s="8"/>
      <c r="X446" s="8"/>
      <c r="Y446" s="8"/>
      <c r="Z446" s="8"/>
    </row>
    <row r="447" spans="1:26" ht="12.75">
      <c r="A447" s="11">
        <v>43747.069085648152</v>
      </c>
      <c r="B447" s="12" t="str">
        <f>HYPERLINK("https://twitter.com/MalikAlSaker1","@MalikAlSaker1")</f>
        <v>@MalikAlSaker1</v>
      </c>
      <c r="C447" s="13" t="s">
        <v>2503</v>
      </c>
      <c r="D447" s="7" t="s">
        <v>914</v>
      </c>
      <c r="E447" s="12" t="str">
        <f>HYPERLINK("https://twitter.com/MalikAlSaker1/status/1181851666133307392","1181851666133307392")</f>
        <v>1181851666133307392</v>
      </c>
      <c r="F447" s="8"/>
      <c r="G447" s="14" t="s">
        <v>917</v>
      </c>
      <c r="H447" s="8"/>
      <c r="I447" s="15">
        <v>0</v>
      </c>
      <c r="J447" s="15">
        <v>0</v>
      </c>
      <c r="K447" s="12" t="str">
        <f>HYPERLINK("https://mobile.twitter.com","Twitter Web App")</f>
        <v>Twitter Web App</v>
      </c>
      <c r="L447" s="16">
        <v>0</v>
      </c>
      <c r="M447" s="16">
        <v>1</v>
      </c>
      <c r="N447" s="16">
        <v>0</v>
      </c>
      <c r="O447" s="17"/>
      <c r="P447" s="18">
        <v>43729.075671296298</v>
      </c>
      <c r="Q447" s="7" t="s">
        <v>1564</v>
      </c>
      <c r="R447" s="13" t="s">
        <v>1606</v>
      </c>
      <c r="S447" s="8"/>
      <c r="T447" s="8"/>
      <c r="U447" s="19" t="str">
        <f>HYPERLINK("https://pbs.twimg.com/profile_images/1176429419449044992/2ThbvQZR.jpg","View")</f>
        <v>View</v>
      </c>
      <c r="V447" s="8"/>
      <c r="W447" s="8"/>
      <c r="X447" s="8"/>
      <c r="Y447" s="8"/>
      <c r="Z447" s="8"/>
    </row>
    <row r="448" spans="1:26" ht="12.75">
      <c r="A448" s="11">
        <v>43747.068726851852</v>
      </c>
      <c r="B448" s="12" t="str">
        <f>HYPERLINK("https://twitter.com/QahtaniZahed","@QahtaniZahed")</f>
        <v>@QahtaniZahed</v>
      </c>
      <c r="C448" s="13" t="s">
        <v>2507</v>
      </c>
      <c r="D448" s="13" t="s">
        <v>937</v>
      </c>
      <c r="E448" s="12" t="str">
        <f>HYPERLINK("https://twitter.com/QahtaniZahed/status/1181851534935486464","1181851534935486464")</f>
        <v>1181851534935486464</v>
      </c>
      <c r="F448" s="8"/>
      <c r="G448" s="14" t="s">
        <v>2508</v>
      </c>
      <c r="H448" s="8"/>
      <c r="I448" s="15">
        <v>0</v>
      </c>
      <c r="J448" s="15">
        <v>0</v>
      </c>
      <c r="K448" s="12" t="str">
        <f>HYPERLINK("https://mobile.twitter.com","Twitter Web App")</f>
        <v>Twitter Web App</v>
      </c>
      <c r="L448" s="16">
        <v>0</v>
      </c>
      <c r="M448" s="16">
        <v>1</v>
      </c>
      <c r="N448" s="16">
        <v>0</v>
      </c>
      <c r="O448" s="17"/>
      <c r="P448" s="18">
        <v>43732.979745370365</v>
      </c>
      <c r="Q448" s="7" t="s">
        <v>1527</v>
      </c>
      <c r="R448" s="13" t="s">
        <v>2512</v>
      </c>
      <c r="S448" s="8"/>
      <c r="T448" s="8"/>
      <c r="U448" s="19" t="str">
        <f>HYPERLINK("https://pbs.twimg.com/profile_images/1180420682896703488/oUT-mnmn.jpg","View")</f>
        <v>View</v>
      </c>
      <c r="V448" s="8"/>
      <c r="W448" s="8"/>
      <c r="X448" s="8"/>
      <c r="Y448" s="8"/>
      <c r="Z448" s="8"/>
    </row>
    <row r="449" spans="1:26" ht="12.75">
      <c r="A449" s="11">
        <v>43747.068564814814</v>
      </c>
      <c r="B449" s="12" t="str">
        <f>HYPERLINK("https://twitter.com/mo3139mo","@mo3139mo")</f>
        <v>@mo3139mo</v>
      </c>
      <c r="C449" s="13" t="s">
        <v>2513</v>
      </c>
      <c r="D449" s="7" t="s">
        <v>2514</v>
      </c>
      <c r="E449" s="12" t="str">
        <f>HYPERLINK("https://twitter.com/mo3139mo/status/1181851477687635969","1181851477687635969")</f>
        <v>1181851477687635969</v>
      </c>
      <c r="F449" s="8"/>
      <c r="G449" s="15"/>
      <c r="H449" s="8"/>
      <c r="I449" s="15">
        <v>0</v>
      </c>
      <c r="J449" s="15">
        <v>1</v>
      </c>
      <c r="K449" s="12" t="str">
        <f>HYPERLINK("http://twitter.com/download/android","Twitter for Android")</f>
        <v>Twitter for Android</v>
      </c>
      <c r="L449" s="16">
        <v>20</v>
      </c>
      <c r="M449" s="16">
        <v>58</v>
      </c>
      <c r="N449" s="16">
        <v>0</v>
      </c>
      <c r="O449" s="17"/>
      <c r="P449" s="18">
        <v>43737.016273148147</v>
      </c>
      <c r="Q449" s="7"/>
      <c r="R449" s="13"/>
      <c r="S449" s="8"/>
      <c r="T449" s="8"/>
      <c r="U449" s="19" t="str">
        <f>HYPERLINK("https://pbs.twimg.com/profile_images/1180019910157783041/lmO-CKss.jpg","View")</f>
        <v>View</v>
      </c>
      <c r="V449" s="8"/>
      <c r="W449" s="8"/>
      <c r="X449" s="8"/>
      <c r="Y449" s="8"/>
      <c r="Z449" s="8"/>
    </row>
    <row r="450" spans="1:26" ht="12.75">
      <c r="A450" s="11">
        <v>43747.068483796298</v>
      </c>
      <c r="B450" s="12" t="str">
        <f>HYPERLINK("https://twitter.com/AsmariZafer","@AsmariZafer")</f>
        <v>@AsmariZafer</v>
      </c>
      <c r="C450" s="13" t="s">
        <v>2518</v>
      </c>
      <c r="D450" s="13" t="s">
        <v>952</v>
      </c>
      <c r="E450" s="12" t="str">
        <f>HYPERLINK("https://twitter.com/AsmariZafer/status/1181851446389555200","1181851446389555200")</f>
        <v>1181851446389555200</v>
      </c>
      <c r="F450" s="8"/>
      <c r="G450" s="14" t="s">
        <v>2519</v>
      </c>
      <c r="H450" s="8"/>
      <c r="I450" s="15">
        <v>0</v>
      </c>
      <c r="J450" s="15">
        <v>0</v>
      </c>
      <c r="K450" s="12" t="str">
        <f>HYPERLINK("https://mobile.twitter.com","Twitter Web App")</f>
        <v>Twitter Web App</v>
      </c>
      <c r="L450" s="16">
        <v>0</v>
      </c>
      <c r="M450" s="16">
        <v>1</v>
      </c>
      <c r="N450" s="16">
        <v>0</v>
      </c>
      <c r="O450" s="17"/>
      <c r="P450" s="18">
        <v>43732.977511574078</v>
      </c>
      <c r="Q450" s="8" t="s">
        <v>1612</v>
      </c>
      <c r="R450" s="8" t="s">
        <v>1333</v>
      </c>
      <c r="S450" s="8"/>
      <c r="T450" s="8"/>
      <c r="U450" s="19" t="str">
        <f>HYPERLINK("https://pbs.twimg.com/profile_images/1180420486989107200/DF0ytDxs.jpg","View")</f>
        <v>View</v>
      </c>
      <c r="V450" s="8"/>
      <c r="W450" s="8"/>
      <c r="X450" s="8"/>
      <c r="Y450" s="8"/>
      <c r="Z450" s="8"/>
    </row>
    <row r="451" spans="1:26" ht="12.75">
      <c r="A451" s="11">
        <v>43747.068425925929</v>
      </c>
      <c r="B451" s="12" t="str">
        <f>HYPERLINK("https://twitter.com/SahliTalal","@SahliTalal")</f>
        <v>@SahliTalal</v>
      </c>
      <c r="C451" s="13" t="s">
        <v>2521</v>
      </c>
      <c r="D451" s="13" t="s">
        <v>1130</v>
      </c>
      <c r="E451" s="12" t="str">
        <f>HYPERLINK("https://twitter.com/SahliTalal/status/1181851428085612544","1181851428085612544")</f>
        <v>1181851428085612544</v>
      </c>
      <c r="F451" s="8"/>
      <c r="G451" s="14" t="s">
        <v>2522</v>
      </c>
      <c r="H451" s="8"/>
      <c r="I451" s="15">
        <v>0</v>
      </c>
      <c r="J451" s="15">
        <v>0</v>
      </c>
      <c r="K451" s="12" t="str">
        <f>HYPERLINK("https://mobile.twitter.com","Twitter Web App")</f>
        <v>Twitter Web App</v>
      </c>
      <c r="L451" s="16">
        <v>0</v>
      </c>
      <c r="M451" s="16">
        <v>0</v>
      </c>
      <c r="N451" s="16">
        <v>0</v>
      </c>
      <c r="O451" s="17"/>
      <c r="P451" s="18">
        <v>43729.986689814818</v>
      </c>
      <c r="Q451" s="8" t="s">
        <v>1533</v>
      </c>
      <c r="R451" s="8" t="s">
        <v>2523</v>
      </c>
      <c r="S451" s="8"/>
      <c r="T451" s="8"/>
      <c r="U451" s="19" t="str">
        <f>HYPERLINK("https://pbs.twimg.com/profile_images/1180766562006913024/SYXZNWM4.jpg","View")</f>
        <v>View</v>
      </c>
      <c r="V451" s="8"/>
      <c r="W451" s="8"/>
      <c r="X451" s="8"/>
      <c r="Y451" s="8"/>
      <c r="Z451" s="8"/>
    </row>
    <row r="452" spans="1:26" ht="12.75">
      <c r="A452" s="11">
        <v>43747.068333333329</v>
      </c>
      <c r="B452" s="12" t="str">
        <f>HYPERLINK("https://twitter.com/ibrahimalabdan2","@ibrahimalabdan2")</f>
        <v>@ibrahimalabdan2</v>
      </c>
      <c r="C452" s="13" t="s">
        <v>2524</v>
      </c>
      <c r="D452" s="13" t="s">
        <v>2525</v>
      </c>
      <c r="E452" s="12" t="str">
        <f>HYPERLINK("https://twitter.com/ibrahimalabdan2/status/1181851393298182145","1181851393298182145")</f>
        <v>1181851393298182145</v>
      </c>
      <c r="F452" s="8"/>
      <c r="G452" s="14" t="s">
        <v>2526</v>
      </c>
      <c r="H452" s="8"/>
      <c r="I452" s="15">
        <v>0</v>
      </c>
      <c r="J452" s="15">
        <v>0</v>
      </c>
      <c r="K452" s="12" t="str">
        <f>HYPERLINK("http://twitter.com","Twitter Web Client")</f>
        <v>Twitter Web Client</v>
      </c>
      <c r="L452" s="16">
        <v>7</v>
      </c>
      <c r="M452" s="16">
        <v>42</v>
      </c>
      <c r="N452" s="16">
        <v>0</v>
      </c>
      <c r="O452" s="17"/>
      <c r="P452" s="18">
        <v>42071.663946759261</v>
      </c>
      <c r="Q452" s="8"/>
      <c r="R452" s="8"/>
      <c r="S452" s="8"/>
      <c r="T452" s="8"/>
      <c r="U452" s="19" t="str">
        <f>HYPERLINK("https://pbs.twimg.com/profile_images/574712006298628097/CJv9AR0E.jpeg","View")</f>
        <v>View</v>
      </c>
      <c r="V452" s="8"/>
      <c r="W452" s="8"/>
      <c r="X452" s="8"/>
      <c r="Y452" s="8"/>
      <c r="Z452" s="8"/>
    </row>
    <row r="453" spans="1:26" ht="12.75">
      <c r="A453" s="11">
        <v>43747.068020833336</v>
      </c>
      <c r="B453" s="12" t="str">
        <f>HYPERLINK("https://twitter.com/harith_hassanal","@harith_hassanal")</f>
        <v>@harith_hassanal</v>
      </c>
      <c r="C453" s="13" t="s">
        <v>478</v>
      </c>
      <c r="D453" s="13" t="s">
        <v>2527</v>
      </c>
      <c r="E453" s="12" t="str">
        <f>HYPERLINK("https://twitter.com/harith_hassanal/status/1181851278323961856","1181851278323961856")</f>
        <v>1181851278323961856</v>
      </c>
      <c r="F453" s="8"/>
      <c r="G453" s="14" t="s">
        <v>2528</v>
      </c>
      <c r="H453" s="8"/>
      <c r="I453" s="15">
        <v>0</v>
      </c>
      <c r="J453" s="15">
        <v>0</v>
      </c>
      <c r="K453" s="12" t="str">
        <f>HYPERLINK("http://twitter.com","Twitter Web Client")</f>
        <v>Twitter Web Client</v>
      </c>
      <c r="L453" s="16">
        <v>2</v>
      </c>
      <c r="M453" s="16">
        <v>39</v>
      </c>
      <c r="N453" s="16">
        <v>0</v>
      </c>
      <c r="O453" s="17"/>
      <c r="P453" s="18">
        <v>42089.705601851849</v>
      </c>
      <c r="Q453" s="8"/>
      <c r="R453" s="8"/>
      <c r="S453" s="8"/>
      <c r="T453" s="8"/>
      <c r="U453" s="19" t="str">
        <f>HYPERLINK("https://pbs.twimg.com/profile_images/581244230527512576/Xqee2gdB.jpg","View")</f>
        <v>View</v>
      </c>
      <c r="V453" s="8"/>
      <c r="W453" s="8"/>
      <c r="X453" s="8"/>
      <c r="Y453" s="8"/>
      <c r="Z453" s="8"/>
    </row>
    <row r="454" spans="1:26" ht="12.75">
      <c r="A454" s="11">
        <v>43747.067754629628</v>
      </c>
      <c r="B454" s="12" t="str">
        <f>HYPERLINK("https://twitter.com/m_marzawqi65","@m_marzawqi65")</f>
        <v>@m_marzawqi65</v>
      </c>
      <c r="C454" s="13" t="s">
        <v>2529</v>
      </c>
      <c r="D454" s="7" t="s">
        <v>2530</v>
      </c>
      <c r="E454" s="12" t="str">
        <f>HYPERLINK("https://twitter.com/m_marzawqi65/status/1181851182727356422","1181851182727356422")</f>
        <v>1181851182727356422</v>
      </c>
      <c r="F454" s="8"/>
      <c r="G454" s="14" t="s">
        <v>2531</v>
      </c>
      <c r="H454" s="8"/>
      <c r="I454" s="15">
        <v>0</v>
      </c>
      <c r="J454" s="15">
        <v>0</v>
      </c>
      <c r="K454" s="12" t="str">
        <f>HYPERLINK("http://twitter.com","Twitter Web Client")</f>
        <v>Twitter Web Client</v>
      </c>
      <c r="L454" s="16">
        <v>4</v>
      </c>
      <c r="M454" s="16">
        <v>43</v>
      </c>
      <c r="N454" s="16">
        <v>0</v>
      </c>
      <c r="O454" s="17"/>
      <c r="P454" s="18">
        <v>42075.365740740745</v>
      </c>
      <c r="Q454" s="7"/>
      <c r="R454" s="13"/>
      <c r="S454" s="8"/>
      <c r="T454" s="8"/>
      <c r="U454" s="19" t="str">
        <f>HYPERLINK("https://pbs.twimg.com/profile_images/576046867688988672/fAB1WPKA.jpeg","View")</f>
        <v>View</v>
      </c>
      <c r="V454" s="8"/>
      <c r="W454" s="8"/>
      <c r="X454" s="8"/>
      <c r="Y454" s="8"/>
      <c r="Z454" s="8"/>
    </row>
    <row r="455" spans="1:26" ht="12.75">
      <c r="A455" s="11">
        <v>43747.067326388889</v>
      </c>
      <c r="B455" s="12" t="str">
        <f>HYPERLINK("https://twitter.com/Abdullah0Aldosh","@Abdullah0Aldosh")</f>
        <v>@Abdullah0Aldosh</v>
      </c>
      <c r="C455" s="13" t="s">
        <v>2535</v>
      </c>
      <c r="D455" s="7" t="s">
        <v>2536</v>
      </c>
      <c r="E455" s="12" t="str">
        <f>HYPERLINK("https://twitter.com/Abdullah0Aldosh/status/1181851027307470849","1181851027307470849")</f>
        <v>1181851027307470849</v>
      </c>
      <c r="F455" s="8"/>
      <c r="G455" s="14" t="s">
        <v>2537</v>
      </c>
      <c r="H455" s="8"/>
      <c r="I455" s="15">
        <v>0</v>
      </c>
      <c r="J455" s="15">
        <v>0</v>
      </c>
      <c r="K455" s="12" t="str">
        <f>HYPERLINK("http://twitter.com","Twitter Web Client")</f>
        <v>Twitter Web Client</v>
      </c>
      <c r="L455" s="16">
        <v>0</v>
      </c>
      <c r="M455" s="16">
        <v>36</v>
      </c>
      <c r="N455" s="16">
        <v>0</v>
      </c>
      <c r="O455" s="17"/>
      <c r="P455" s="18">
        <v>42067.622754629629</v>
      </c>
      <c r="Q455" s="7"/>
      <c r="R455" s="13"/>
      <c r="S455" s="8"/>
      <c r="T455" s="8"/>
      <c r="U455" s="19" t="str">
        <f>HYPERLINK("https://pbs.twimg.com/profile_images/573272495135961088/TDNXwMik.jpeg","View")</f>
        <v>View</v>
      </c>
      <c r="V455" s="8"/>
      <c r="W455" s="8"/>
      <c r="X455" s="8"/>
      <c r="Y455" s="8"/>
      <c r="Z455" s="8"/>
    </row>
    <row r="456" spans="1:26" ht="12.75">
      <c r="A456" s="11">
        <v>43747.066944444443</v>
      </c>
      <c r="B456" s="12" t="str">
        <f>HYPERLINK("https://twitter.com/Meshal_Alnami","@Meshal_Alnami")</f>
        <v>@Meshal_Alnami</v>
      </c>
      <c r="C456" s="13" t="s">
        <v>2539</v>
      </c>
      <c r="D456" s="13" t="s">
        <v>2514</v>
      </c>
      <c r="E456" s="12" t="str">
        <f>HYPERLINK("https://twitter.com/Meshal_Alnami/status/1181850891357425664","1181850891357425664")</f>
        <v>1181850891357425664</v>
      </c>
      <c r="F456" s="8"/>
      <c r="G456" s="15"/>
      <c r="H456" s="8"/>
      <c r="I456" s="15">
        <v>138</v>
      </c>
      <c r="J456" s="15">
        <v>96</v>
      </c>
      <c r="K456" s="12" t="str">
        <f>HYPERLINK("http://tapbots.com/tweetbot","Tweetbot for iΟS")</f>
        <v>Tweetbot for iΟS</v>
      </c>
      <c r="L456" s="16">
        <v>273652</v>
      </c>
      <c r="M456" s="16">
        <v>52</v>
      </c>
      <c r="N456" s="16">
        <v>934</v>
      </c>
      <c r="O456" s="17" t="s">
        <v>984</v>
      </c>
      <c r="P456" s="18">
        <v>40388.29409722222</v>
      </c>
      <c r="Q456" s="8" t="s">
        <v>2542</v>
      </c>
      <c r="R456" s="8" t="s">
        <v>2543</v>
      </c>
      <c r="S456" s="14" t="s">
        <v>2544</v>
      </c>
      <c r="T456" s="8"/>
      <c r="U456" s="19" t="str">
        <f>HYPERLINK("https://pbs.twimg.com/profile_images/1102972756839333888/EhDLMIit.jpg","View")</f>
        <v>View</v>
      </c>
      <c r="V456" s="8"/>
      <c r="W456" s="8"/>
      <c r="X456" s="8"/>
      <c r="Y456" s="8"/>
      <c r="Z456" s="8"/>
    </row>
    <row r="457" spans="1:26" ht="12.75">
      <c r="A457" s="11">
        <v>43747.065254629633</v>
      </c>
      <c r="B457" s="12" t="str">
        <f>HYPERLINK("https://twitter.com/aboruoh_uu","@aboruoh_uu")</f>
        <v>@aboruoh_uu</v>
      </c>
      <c r="C457" s="13" t="s">
        <v>2545</v>
      </c>
      <c r="D457" s="7" t="s">
        <v>2546</v>
      </c>
      <c r="E457" s="12" t="str">
        <f>HYPERLINK("https://twitter.com/aboruoh_uu/status/1181850278326353920","1181850278326353920")</f>
        <v>1181850278326353920</v>
      </c>
      <c r="F457" s="8"/>
      <c r="G457" s="14" t="s">
        <v>2547</v>
      </c>
      <c r="H457" s="8"/>
      <c r="I457" s="15">
        <v>0</v>
      </c>
      <c r="J457" s="15">
        <v>0</v>
      </c>
      <c r="K457" s="12" t="str">
        <f>HYPERLINK("http://twitter.com","Twitter Web Client")</f>
        <v>Twitter Web Client</v>
      </c>
      <c r="L457" s="16">
        <v>6</v>
      </c>
      <c r="M457" s="16">
        <v>43</v>
      </c>
      <c r="N457" s="16">
        <v>0</v>
      </c>
      <c r="O457" s="17"/>
      <c r="P457" s="18">
        <v>42075.219837962963</v>
      </c>
      <c r="Q457" s="7"/>
      <c r="R457" s="13"/>
      <c r="S457" s="8"/>
      <c r="T457" s="8"/>
      <c r="U457" s="19" t="str">
        <f>HYPERLINK("https://pbs.twimg.com/profile_images/575993903398023169/w2XHOATK.jpeg","View")</f>
        <v>View</v>
      </c>
      <c r="V457" s="8"/>
      <c r="W457" s="8"/>
      <c r="X457" s="8"/>
      <c r="Y457" s="8"/>
      <c r="Z457" s="8"/>
    </row>
    <row r="458" spans="1:26" ht="12.75">
      <c r="A458" s="11">
        <v>43747.064699074079</v>
      </c>
      <c r="B458" s="12" t="str">
        <f>HYPERLINK("https://twitter.com/hassanamoud1","@hassanamoud1")</f>
        <v>@hassanamoud1</v>
      </c>
      <c r="C458" s="13" t="s">
        <v>2552</v>
      </c>
      <c r="D458" s="13" t="s">
        <v>2553</v>
      </c>
      <c r="E458" s="12" t="str">
        <f>HYPERLINK("https://twitter.com/hassanamoud1/status/1181850074193760256","1181850074193760256")</f>
        <v>1181850074193760256</v>
      </c>
      <c r="F458" s="8"/>
      <c r="G458" s="14" t="s">
        <v>2554</v>
      </c>
      <c r="H458" s="8"/>
      <c r="I458" s="15">
        <v>0</v>
      </c>
      <c r="J458" s="15">
        <v>0</v>
      </c>
      <c r="K458" s="12" t="str">
        <f>HYPERLINK("http://twitter.com","Twitter Web Client")</f>
        <v>Twitter Web Client</v>
      </c>
      <c r="L458" s="16">
        <v>3</v>
      </c>
      <c r="M458" s="16">
        <v>41</v>
      </c>
      <c r="N458" s="16">
        <v>0</v>
      </c>
      <c r="O458" s="17"/>
      <c r="P458" s="18">
        <v>42072.559884259259</v>
      </c>
      <c r="Q458" s="8"/>
      <c r="R458" s="8"/>
      <c r="S458" s="8"/>
      <c r="T458" s="8"/>
      <c r="U458" s="19" t="str">
        <f>HYPERLINK("https://pbs.twimg.com/profile_images/575030662672969728/iGUDwYOz.jpeg","View")</f>
        <v>View</v>
      </c>
      <c r="V458" s="8"/>
      <c r="W458" s="8"/>
      <c r="X458" s="8"/>
      <c r="Y458" s="8"/>
      <c r="Z458" s="8"/>
    </row>
    <row r="459" spans="1:26" ht="12.75">
      <c r="A459" s="11">
        <v>43747.06450231481</v>
      </c>
      <c r="B459" s="12" t="str">
        <f>HYPERLINK("https://twitter.com/WiseMasrahi","@WiseMasrahi")</f>
        <v>@WiseMasrahi</v>
      </c>
      <c r="C459" s="13" t="s">
        <v>2557</v>
      </c>
      <c r="D459" s="7" t="s">
        <v>1178</v>
      </c>
      <c r="E459" s="12" t="str">
        <f>HYPERLINK("https://twitter.com/WiseMasrahi/status/1181850005524500480","1181850005524500480")</f>
        <v>1181850005524500480</v>
      </c>
      <c r="F459" s="8"/>
      <c r="G459" s="14" t="s">
        <v>2558</v>
      </c>
      <c r="H459" s="8"/>
      <c r="I459" s="15">
        <v>0</v>
      </c>
      <c r="J459" s="15">
        <v>0</v>
      </c>
      <c r="K459" s="12" t="str">
        <f>HYPERLINK("https://mobile.twitter.com","Twitter Web App")</f>
        <v>Twitter Web App</v>
      </c>
      <c r="L459" s="16">
        <v>0</v>
      </c>
      <c r="M459" s="16">
        <v>1</v>
      </c>
      <c r="N459" s="16">
        <v>0</v>
      </c>
      <c r="O459" s="17"/>
      <c r="P459" s="18">
        <v>43732.970069444447</v>
      </c>
      <c r="Q459" s="7" t="s">
        <v>1355</v>
      </c>
      <c r="R459" s="13" t="s">
        <v>2523</v>
      </c>
      <c r="S459" s="8"/>
      <c r="T459" s="8"/>
      <c r="U459" s="19" t="str">
        <f>HYPERLINK("https://pbs.twimg.com/profile_images/1180435195297591296/179xWtH1.jpg","View")</f>
        <v>View</v>
      </c>
      <c r="V459" s="8"/>
      <c r="W459" s="8"/>
      <c r="X459" s="8"/>
      <c r="Y459" s="8"/>
      <c r="Z459" s="8"/>
    </row>
    <row r="460" spans="1:26" ht="12.75">
      <c r="A460" s="11">
        <v>43747.063761574071</v>
      </c>
      <c r="B460" s="12" t="str">
        <f>HYPERLINK("https://twitter.com/MoualedMahmud","@MoualedMahmud")</f>
        <v>@MoualedMahmud</v>
      </c>
      <c r="C460" s="13" t="s">
        <v>2562</v>
      </c>
      <c r="D460" s="7" t="s">
        <v>28</v>
      </c>
      <c r="E460" s="12" t="str">
        <f>HYPERLINK("https://twitter.com/MoualedMahmud/status/1181849735063166976","1181849735063166976")</f>
        <v>1181849735063166976</v>
      </c>
      <c r="F460" s="8"/>
      <c r="G460" s="14" t="s">
        <v>31</v>
      </c>
      <c r="H460" s="8"/>
      <c r="I460" s="15">
        <v>0</v>
      </c>
      <c r="J460" s="15">
        <v>0</v>
      </c>
      <c r="K460" s="12" t="str">
        <f>HYPERLINK("https://mobile.twitter.com","Twitter Web App")</f>
        <v>Twitter Web App</v>
      </c>
      <c r="L460" s="16">
        <v>0</v>
      </c>
      <c r="M460" s="16">
        <v>1</v>
      </c>
      <c r="N460" s="16">
        <v>0</v>
      </c>
      <c r="O460" s="17"/>
      <c r="P460" s="18">
        <v>43731.955381944441</v>
      </c>
      <c r="Q460" s="7" t="s">
        <v>1422</v>
      </c>
      <c r="R460" s="13"/>
      <c r="S460" s="8"/>
      <c r="T460" s="8"/>
      <c r="U460" s="19" t="str">
        <f>HYPERLINK("https://pbs.twimg.com/profile_images/1176374678430068736/EdL7PUKo.jpg","View")</f>
        <v>View</v>
      </c>
      <c r="V460" s="8"/>
      <c r="W460" s="8"/>
      <c r="X460" s="8"/>
      <c r="Y460" s="8"/>
      <c r="Z460" s="8"/>
    </row>
    <row r="461" spans="1:26" ht="12.75">
      <c r="A461" s="11">
        <v>43747.062210648146</v>
      </c>
      <c r="B461" s="12" t="str">
        <f>HYPERLINK("https://twitter.com/salaeem45453","@salaeem45453")</f>
        <v>@salaeem45453</v>
      </c>
      <c r="C461" s="13" t="s">
        <v>2566</v>
      </c>
      <c r="D461" s="13" t="s">
        <v>2567</v>
      </c>
      <c r="E461" s="12" t="str">
        <f>HYPERLINK("https://twitter.com/salaeem45453/status/1181849175635443712","1181849175635443712")</f>
        <v>1181849175635443712</v>
      </c>
      <c r="F461" s="8"/>
      <c r="G461" s="14" t="s">
        <v>2568</v>
      </c>
      <c r="H461" s="8"/>
      <c r="I461" s="15">
        <v>0</v>
      </c>
      <c r="J461" s="15">
        <v>0</v>
      </c>
      <c r="K461" s="12" t="str">
        <f>HYPERLINK("http://twitter.com","Twitter Web Client")</f>
        <v>Twitter Web Client</v>
      </c>
      <c r="L461" s="16">
        <v>10</v>
      </c>
      <c r="M461" s="16">
        <v>43</v>
      </c>
      <c r="N461" s="16">
        <v>0</v>
      </c>
      <c r="O461" s="17"/>
      <c r="P461" s="18">
        <v>42075.535104166665</v>
      </c>
      <c r="Q461" s="8"/>
      <c r="R461" s="8"/>
      <c r="S461" s="8"/>
      <c r="T461" s="8"/>
      <c r="U461" s="19" t="str">
        <f>HYPERLINK("https://pbs.twimg.com/profile_images/576108301340966912/a97xA-2c.jpeg","View")</f>
        <v>View</v>
      </c>
      <c r="V461" s="8"/>
      <c r="W461" s="8"/>
      <c r="X461" s="8"/>
      <c r="Y461" s="8"/>
      <c r="Z461" s="8"/>
    </row>
    <row r="462" spans="1:26" ht="12.75">
      <c r="A462" s="11">
        <v>43747.062152777777</v>
      </c>
      <c r="B462" s="12" t="str">
        <f>HYPERLINK("https://twitter.com/yusha_al","@yusha_al")</f>
        <v>@yusha_al</v>
      </c>
      <c r="C462" s="13" t="s">
        <v>2569</v>
      </c>
      <c r="D462" s="7" t="s">
        <v>907</v>
      </c>
      <c r="E462" s="12" t="str">
        <f>HYPERLINK("https://twitter.com/yusha_al/status/1181849153527173120","1181849153527173120")</f>
        <v>1181849153527173120</v>
      </c>
      <c r="F462" s="8"/>
      <c r="G462" s="14" t="s">
        <v>2570</v>
      </c>
      <c r="H462" s="8"/>
      <c r="I462" s="15">
        <v>0</v>
      </c>
      <c r="J462" s="15">
        <v>0</v>
      </c>
      <c r="K462" s="12" t="str">
        <f>HYPERLINK("https://mobile.twitter.com","Twitter Web App")</f>
        <v>Twitter Web App</v>
      </c>
      <c r="L462" s="16">
        <v>1</v>
      </c>
      <c r="M462" s="16">
        <v>1</v>
      </c>
      <c r="N462" s="16">
        <v>0</v>
      </c>
      <c r="O462" s="17"/>
      <c r="P462" s="18">
        <v>43731.962222222224</v>
      </c>
      <c r="Q462" s="7" t="s">
        <v>920</v>
      </c>
      <c r="R462" s="13" t="s">
        <v>1455</v>
      </c>
      <c r="S462" s="8"/>
      <c r="T462" s="8"/>
      <c r="U462" s="19" t="str">
        <f>HYPERLINK("https://pbs.twimg.com/profile_images/1180801282442838016/A_50Nd_4.jpg","View")</f>
        <v>View</v>
      </c>
      <c r="V462" s="8"/>
      <c r="W462" s="8"/>
      <c r="X462" s="8"/>
      <c r="Y462" s="8"/>
      <c r="Z462" s="8"/>
    </row>
    <row r="463" spans="1:26" ht="12.75">
      <c r="A463" s="11">
        <v>43747.061458333337</v>
      </c>
      <c r="B463" s="12" t="str">
        <f>HYPERLINK("https://twitter.com/MahdShibane","@MahdShibane")</f>
        <v>@MahdShibane</v>
      </c>
      <c r="C463" s="13" t="s">
        <v>2574</v>
      </c>
      <c r="D463" s="7" t="s">
        <v>2575</v>
      </c>
      <c r="E463" s="12" t="str">
        <f>HYPERLINK("https://twitter.com/MahdShibane/status/1181848899780321282","1181848899780321282")</f>
        <v>1181848899780321282</v>
      </c>
      <c r="F463" s="8"/>
      <c r="G463" s="14" t="s">
        <v>2578</v>
      </c>
      <c r="H463" s="8"/>
      <c r="I463" s="15">
        <v>0</v>
      </c>
      <c r="J463" s="15">
        <v>0</v>
      </c>
      <c r="K463" s="12" t="str">
        <f>HYPERLINK("http://twitter.com","Twitter Web Client")</f>
        <v>Twitter Web Client</v>
      </c>
      <c r="L463" s="16">
        <v>4</v>
      </c>
      <c r="M463" s="16">
        <v>42</v>
      </c>
      <c r="N463" s="16">
        <v>0</v>
      </c>
      <c r="O463" s="17"/>
      <c r="P463" s="18">
        <v>42075.744374999995</v>
      </c>
      <c r="Q463" s="7"/>
      <c r="R463" s="13"/>
      <c r="S463" s="8"/>
      <c r="T463" s="8"/>
      <c r="U463" s="19" t="str">
        <f>HYPERLINK("https://pbs.twimg.com/profile_images/576185672794394624/8h4Kj0fM.jpeg","View")</f>
        <v>View</v>
      </c>
      <c r="V463" s="8"/>
      <c r="W463" s="8"/>
      <c r="X463" s="8"/>
      <c r="Y463" s="8"/>
      <c r="Z463" s="8"/>
    </row>
    <row r="464" spans="1:26" ht="12.75">
      <c r="A464" s="11">
        <v>43747.061319444445</v>
      </c>
      <c r="B464" s="12" t="str">
        <f>HYPERLINK("https://twitter.com/FaisalDab3an","@FaisalDab3an")</f>
        <v>@FaisalDab3an</v>
      </c>
      <c r="C464" s="13" t="s">
        <v>2581</v>
      </c>
      <c r="D464" s="7" t="s">
        <v>2583</v>
      </c>
      <c r="E464" s="12" t="str">
        <f>HYPERLINK("https://twitter.com/FaisalDab3an/status/1181848850337849344","1181848850337849344")</f>
        <v>1181848850337849344</v>
      </c>
      <c r="F464" s="8"/>
      <c r="G464" s="14" t="s">
        <v>2585</v>
      </c>
      <c r="H464" s="8"/>
      <c r="I464" s="15">
        <v>0</v>
      </c>
      <c r="J464" s="15">
        <v>0</v>
      </c>
      <c r="K464" s="12" t="str">
        <f>HYPERLINK("http://twitter.com","Twitter Web Client")</f>
        <v>Twitter Web Client</v>
      </c>
      <c r="L464" s="16">
        <v>2</v>
      </c>
      <c r="M464" s="16">
        <v>31</v>
      </c>
      <c r="N464" s="16">
        <v>0</v>
      </c>
      <c r="O464" s="17"/>
      <c r="P464" s="18">
        <v>41825.303518518514</v>
      </c>
      <c r="Q464" s="7"/>
      <c r="R464" s="13"/>
      <c r="S464" s="8"/>
      <c r="T464" s="8"/>
      <c r="U464" s="19" t="str">
        <f>HYPERLINK("https://pbs.twimg.com/profile_images/485427331008176130/Z_eGVQz3.jpeg","View")</f>
        <v>View</v>
      </c>
      <c r="V464" s="8"/>
      <c r="W464" s="8"/>
      <c r="X464" s="8"/>
      <c r="Y464" s="8"/>
      <c r="Z464" s="8"/>
    </row>
    <row r="465" spans="1:26" ht="12.75">
      <c r="A465" s="11">
        <v>43747.060486111106</v>
      </c>
      <c r="B465" s="12" t="str">
        <f>HYPERLINK("https://twitter.com/HabeebSwoab","@HabeebSwoab")</f>
        <v>@HabeebSwoab</v>
      </c>
      <c r="C465" s="13" t="s">
        <v>2589</v>
      </c>
      <c r="D465" s="13" t="s">
        <v>2590</v>
      </c>
      <c r="E465" s="12" t="str">
        <f>HYPERLINK("https://twitter.com/HabeebSwoab/status/1181848551321677824","1181848551321677824")</f>
        <v>1181848551321677824</v>
      </c>
      <c r="F465" s="8"/>
      <c r="G465" s="14" t="s">
        <v>2591</v>
      </c>
      <c r="H465" s="8"/>
      <c r="I465" s="15">
        <v>0</v>
      </c>
      <c r="J465" s="15">
        <v>0</v>
      </c>
      <c r="K465" s="12" t="str">
        <f>HYPERLINK("http://twitter.com","Twitter Web Client")</f>
        <v>Twitter Web Client</v>
      </c>
      <c r="L465" s="16">
        <v>1</v>
      </c>
      <c r="M465" s="16">
        <v>38</v>
      </c>
      <c r="N465" s="16">
        <v>0</v>
      </c>
      <c r="O465" s="17"/>
      <c r="P465" s="18">
        <v>42081.635636574079</v>
      </c>
      <c r="Q465" s="8"/>
      <c r="R465" s="8"/>
      <c r="S465" s="8"/>
      <c r="T465" s="8"/>
      <c r="U465" s="19" t="str">
        <f>HYPERLINK("https://pbs.twimg.com/profile_images/578332535480033280/128_kvgB.jpeg","View")</f>
        <v>View</v>
      </c>
      <c r="V465" s="8"/>
      <c r="W465" s="8"/>
      <c r="X465" s="8"/>
      <c r="Y465" s="8"/>
      <c r="Z465" s="8"/>
    </row>
    <row r="466" spans="1:26" ht="12.75">
      <c r="A466" s="11">
        <v>43747.060219907406</v>
      </c>
      <c r="B466" s="12" t="str">
        <f>HYPERLINK("https://twitter.com/alsaba7aii55","@alsaba7aii55")</f>
        <v>@alsaba7aii55</v>
      </c>
      <c r="C466" s="13" t="s">
        <v>2597</v>
      </c>
      <c r="D466" s="13" t="s">
        <v>2598</v>
      </c>
      <c r="E466" s="12" t="str">
        <f>HYPERLINK("https://twitter.com/alsaba7aii55/status/1181848450830409728","1181848450830409728")</f>
        <v>1181848450830409728</v>
      </c>
      <c r="F466" s="8"/>
      <c r="G466" s="14" t="s">
        <v>2599</v>
      </c>
      <c r="H466" s="8"/>
      <c r="I466" s="15">
        <v>0</v>
      </c>
      <c r="J466" s="15">
        <v>0</v>
      </c>
      <c r="K466" s="12" t="str">
        <f>HYPERLINK("http://twitter.com","Twitter Web Client")</f>
        <v>Twitter Web Client</v>
      </c>
      <c r="L466" s="16">
        <v>1</v>
      </c>
      <c r="M466" s="16">
        <v>38</v>
      </c>
      <c r="N466" s="16">
        <v>0</v>
      </c>
      <c r="O466" s="17"/>
      <c r="P466" s="18">
        <v>42066.182986111111</v>
      </c>
      <c r="Q466" s="8"/>
      <c r="R466" s="8"/>
      <c r="S466" s="8"/>
      <c r="T466" s="8"/>
      <c r="U466" s="19" t="str">
        <f>HYPERLINK("https://pbs.twimg.com/profile_images/572734395887280128/Zegi6dGR.jpeg","View")</f>
        <v>View</v>
      </c>
      <c r="V466" s="8"/>
      <c r="W466" s="8"/>
      <c r="X466" s="8"/>
      <c r="Y466" s="8"/>
      <c r="Z466" s="8"/>
    </row>
    <row r="467" spans="1:26" ht="12.75">
      <c r="A467" s="11">
        <v>43747.060127314813</v>
      </c>
      <c r="B467" s="12" t="str">
        <f>HYPERLINK("https://twitter.com/YunusalHabibi2","@YunusalHabibi2")</f>
        <v>@YunusalHabibi2</v>
      </c>
      <c r="C467" s="13" t="s">
        <v>2603</v>
      </c>
      <c r="D467" s="7" t="s">
        <v>1236</v>
      </c>
      <c r="E467" s="12" t="str">
        <f>HYPERLINK("https://twitter.com/YunusalHabibi2/status/1181848418542444545","1181848418542444545")</f>
        <v>1181848418542444545</v>
      </c>
      <c r="F467" s="8"/>
      <c r="G467" s="14" t="s">
        <v>2605</v>
      </c>
      <c r="H467" s="8"/>
      <c r="I467" s="15">
        <v>0</v>
      </c>
      <c r="J467" s="15">
        <v>0</v>
      </c>
      <c r="K467" s="12" t="str">
        <f>HYPERLINK("https://mobile.twitter.com","Twitter Web App")</f>
        <v>Twitter Web App</v>
      </c>
      <c r="L467" s="16">
        <v>0</v>
      </c>
      <c r="M467" s="16">
        <v>0</v>
      </c>
      <c r="N467" s="16">
        <v>0</v>
      </c>
      <c r="O467" s="17"/>
      <c r="P467" s="18">
        <v>43731.959178240737</v>
      </c>
      <c r="Q467" s="7" t="s">
        <v>1249</v>
      </c>
      <c r="R467" s="13" t="s">
        <v>1839</v>
      </c>
      <c r="S467" s="8"/>
      <c r="T467" s="8"/>
      <c r="U467" s="19" t="str">
        <f>HYPERLINK("https://pbs.twimg.com/profile_images/1180433572789800960/C_1CkShc.jpg","View")</f>
        <v>View</v>
      </c>
      <c r="V467" s="8"/>
      <c r="W467" s="8"/>
      <c r="X467" s="8"/>
      <c r="Y467" s="8"/>
      <c r="Z467" s="8"/>
    </row>
    <row r="468" spans="1:26" ht="12.75">
      <c r="A468" s="11">
        <v>43747.060069444444</v>
      </c>
      <c r="B468" s="12" t="str">
        <f>HYPERLINK("https://twitter.com/alda3gani33","@alda3gani33")</f>
        <v>@alda3gani33</v>
      </c>
      <c r="C468" s="13" t="s">
        <v>2607</v>
      </c>
      <c r="D468" s="7" t="s">
        <v>2608</v>
      </c>
      <c r="E468" s="12" t="str">
        <f>HYPERLINK("https://twitter.com/alda3gani33/status/1181848398699335680","1181848398699335680")</f>
        <v>1181848398699335680</v>
      </c>
      <c r="F468" s="8"/>
      <c r="G468" s="14" t="s">
        <v>2609</v>
      </c>
      <c r="H468" s="8"/>
      <c r="I468" s="15">
        <v>0</v>
      </c>
      <c r="J468" s="15">
        <v>0</v>
      </c>
      <c r="K468" s="12" t="str">
        <f>HYPERLINK("http://twitter.com","Twitter Web Client")</f>
        <v>Twitter Web Client</v>
      </c>
      <c r="L468" s="16">
        <v>3</v>
      </c>
      <c r="M468" s="16">
        <v>31</v>
      </c>
      <c r="N468" s="16">
        <v>0</v>
      </c>
      <c r="O468" s="17"/>
      <c r="P468" s="18">
        <v>42083.256412037037</v>
      </c>
      <c r="Q468" s="7"/>
      <c r="R468" s="13"/>
      <c r="S468" s="8"/>
      <c r="T468" s="8"/>
      <c r="U468" s="19" t="str">
        <f>HYPERLINK("https://pbs.twimg.com/profile_images/578906775765692417/G57-f92d.jpeg","View")</f>
        <v>View</v>
      </c>
      <c r="V468" s="8"/>
      <c r="W468" s="8"/>
      <c r="X468" s="8"/>
      <c r="Y468" s="8"/>
      <c r="Z468" s="8"/>
    </row>
    <row r="469" spans="1:26" ht="12.75">
      <c r="A469" s="11">
        <v>43747.059513888889</v>
      </c>
      <c r="B469" s="12" t="str">
        <f>HYPERLINK("https://twitter.com/abdulrahmanmof9","@abdulrahmanmof9")</f>
        <v>@abdulrahmanmof9</v>
      </c>
      <c r="C469" s="13" t="s">
        <v>2616</v>
      </c>
      <c r="D469" s="7" t="s">
        <v>2617</v>
      </c>
      <c r="E469" s="12" t="str">
        <f>HYPERLINK("https://twitter.com/abdulrahmanmof9/status/1181848195967717376","1181848195967717376")</f>
        <v>1181848195967717376</v>
      </c>
      <c r="F469" s="8"/>
      <c r="G469" s="14" t="s">
        <v>2618</v>
      </c>
      <c r="H469" s="8"/>
      <c r="I469" s="15">
        <v>0</v>
      </c>
      <c r="J469" s="15">
        <v>0</v>
      </c>
      <c r="K469" s="12" t="str">
        <f>HYPERLINK("http://twitter.com","Twitter Web Client")</f>
        <v>Twitter Web Client</v>
      </c>
      <c r="L469" s="16">
        <v>0</v>
      </c>
      <c r="M469" s="16">
        <v>34</v>
      </c>
      <c r="N469" s="16">
        <v>0</v>
      </c>
      <c r="O469" s="17"/>
      <c r="P469" s="18">
        <v>42023.320914351847</v>
      </c>
      <c r="Q469" s="7"/>
      <c r="R469" s="13"/>
      <c r="S469" s="8"/>
      <c r="T469" s="8"/>
      <c r="U469" s="19" t="str">
        <f>HYPERLINK("https://pbs.twimg.com/profile_images/557203192027422722/I8JQW-NB.jpeg","View")</f>
        <v>View</v>
      </c>
      <c r="V469" s="8"/>
      <c r="W469" s="8"/>
      <c r="X469" s="8"/>
      <c r="Y469" s="8"/>
      <c r="Z469" s="8"/>
    </row>
    <row r="470" spans="1:26" ht="12.75">
      <c r="A470" s="11">
        <v>43747.05940972222</v>
      </c>
      <c r="B470" s="12" t="str">
        <f>HYPERLINK("https://twitter.com/YakubSabee","@YakubSabee")</f>
        <v>@YakubSabee</v>
      </c>
      <c r="C470" s="13" t="s">
        <v>2623</v>
      </c>
      <c r="D470" s="7" t="s">
        <v>28</v>
      </c>
      <c r="E470" s="12" t="str">
        <f>HYPERLINK("https://twitter.com/YakubSabee/status/1181848161028984833","1181848161028984833")</f>
        <v>1181848161028984833</v>
      </c>
      <c r="F470" s="8"/>
      <c r="G470" s="14" t="s">
        <v>1267</v>
      </c>
      <c r="H470" s="8"/>
      <c r="I470" s="15">
        <v>0</v>
      </c>
      <c r="J470" s="15">
        <v>0</v>
      </c>
      <c r="K470" s="12" t="str">
        <f>HYPERLINK("https://mobile.twitter.com","Twitter Web App")</f>
        <v>Twitter Web App</v>
      </c>
      <c r="L470" s="16">
        <v>0</v>
      </c>
      <c r="M470" s="16">
        <v>1</v>
      </c>
      <c r="N470" s="16">
        <v>0</v>
      </c>
      <c r="O470" s="17"/>
      <c r="P470" s="18">
        <v>43731.939629629633</v>
      </c>
      <c r="Q470" s="7" t="s">
        <v>949</v>
      </c>
      <c r="R470" s="13" t="s">
        <v>925</v>
      </c>
      <c r="S470" s="8"/>
      <c r="T470" s="8"/>
      <c r="U470" s="19" t="str">
        <f>HYPERLINK("https://pbs.twimg.com/profile_images/1180416582696046597/Y5rR33b9.jpg","View")</f>
        <v>View</v>
      </c>
      <c r="V470" s="8"/>
      <c r="W470" s="8"/>
      <c r="X470" s="8"/>
      <c r="Y470" s="8"/>
      <c r="Z470" s="8"/>
    </row>
    <row r="471" spans="1:26" ht="12.75">
      <c r="A471" s="11">
        <v>43747.058958333335</v>
      </c>
      <c r="B471" s="12" t="str">
        <f>HYPERLINK("https://twitter.com/ahmedalasemmyyy","@ahmedalasemmyyy")</f>
        <v>@ahmedalasemmyyy</v>
      </c>
      <c r="C471" s="13" t="s">
        <v>2626</v>
      </c>
      <c r="D471" s="13" t="s">
        <v>2627</v>
      </c>
      <c r="E471" s="12" t="str">
        <f>HYPERLINK("https://twitter.com/ahmedalasemmyyy/status/1181847996302004224","1181847996302004224")</f>
        <v>1181847996302004224</v>
      </c>
      <c r="F471" s="8"/>
      <c r="G471" s="14" t="s">
        <v>2628</v>
      </c>
      <c r="H471" s="8"/>
      <c r="I471" s="15">
        <v>0</v>
      </c>
      <c r="J471" s="15">
        <v>0</v>
      </c>
      <c r="K471" s="12" t="str">
        <f>HYPERLINK("http://twitter.com","Twitter Web Client")</f>
        <v>Twitter Web Client</v>
      </c>
      <c r="L471" s="16">
        <v>1</v>
      </c>
      <c r="M471" s="16">
        <v>42</v>
      </c>
      <c r="N471" s="16">
        <v>0</v>
      </c>
      <c r="O471" s="17"/>
      <c r="P471" s="18">
        <v>41542.652418981481</v>
      </c>
      <c r="Q471" s="7"/>
      <c r="R471" s="13"/>
      <c r="S471" s="8"/>
      <c r="T471" s="8"/>
      <c r="U471" s="19" t="str">
        <f>HYPERLINK("https://pbs.twimg.com/profile_images/378800000508064181/d7ecf7a6cbd82f9ff091610c598e3876.jpeg","View")</f>
        <v>View</v>
      </c>
      <c r="V471" s="8"/>
      <c r="W471" s="8"/>
      <c r="X471" s="8"/>
      <c r="Y471" s="8"/>
      <c r="Z471" s="8"/>
    </row>
    <row r="472" spans="1:26" ht="12.75">
      <c r="A472" s="11">
        <v>43747.058576388888</v>
      </c>
      <c r="B472" s="12" t="str">
        <f>HYPERLINK("https://twitter.com/JoudMahdi","@JoudMahdi")</f>
        <v>@JoudMahdi</v>
      </c>
      <c r="C472" s="13" t="s">
        <v>2633</v>
      </c>
      <c r="D472" s="13" t="s">
        <v>968</v>
      </c>
      <c r="E472" s="12" t="str">
        <f>HYPERLINK("https://twitter.com/JoudMahdi/status/1181847857793396741","1181847857793396741")</f>
        <v>1181847857793396741</v>
      </c>
      <c r="F472" s="8"/>
      <c r="G472" s="14" t="s">
        <v>2634</v>
      </c>
      <c r="H472" s="8"/>
      <c r="I472" s="15">
        <v>0</v>
      </c>
      <c r="J472" s="15">
        <v>0</v>
      </c>
      <c r="K472" s="12" t="str">
        <f>HYPERLINK("https://mobile.twitter.com","Twitter Web App")</f>
        <v>Twitter Web App</v>
      </c>
      <c r="L472" s="16">
        <v>0</v>
      </c>
      <c r="M472" s="16">
        <v>1</v>
      </c>
      <c r="N472" s="16">
        <v>0</v>
      </c>
      <c r="O472" s="17"/>
      <c r="P472" s="18">
        <v>43729.016828703709</v>
      </c>
      <c r="Q472" s="8" t="s">
        <v>1422</v>
      </c>
      <c r="R472" s="8" t="s">
        <v>1075</v>
      </c>
      <c r="S472" s="8"/>
      <c r="T472" s="8"/>
      <c r="U472" s="19" t="str">
        <f>HYPERLINK("https://pbs.twimg.com/profile_images/1176424099595161600/J_0kSWRw.jpg","View")</f>
        <v>View</v>
      </c>
      <c r="V472" s="8"/>
      <c r="W472" s="8"/>
      <c r="X472" s="8"/>
      <c r="Y472" s="8"/>
      <c r="Z472" s="8"/>
    </row>
    <row r="473" spans="1:26" ht="12.75">
      <c r="A473" s="11">
        <v>43747.058553240742</v>
      </c>
      <c r="B473" s="12" t="str">
        <f>HYPERLINK("https://twitter.com/mohammedbinmek5","@mohammedbinmek5")</f>
        <v>@mohammedbinmek5</v>
      </c>
      <c r="C473" s="13" t="s">
        <v>2638</v>
      </c>
      <c r="D473" s="13" t="s">
        <v>2639</v>
      </c>
      <c r="E473" s="12" t="str">
        <f>HYPERLINK("https://twitter.com/mohammedbinmek5/status/1181847850738749440","1181847850738749440")</f>
        <v>1181847850738749440</v>
      </c>
      <c r="F473" s="8"/>
      <c r="G473" s="14" t="s">
        <v>2641</v>
      </c>
      <c r="H473" s="8"/>
      <c r="I473" s="15">
        <v>0</v>
      </c>
      <c r="J473" s="15">
        <v>0</v>
      </c>
      <c r="K473" s="12" t="str">
        <f>HYPERLINK("http://twitter.com","Twitter Web Client")</f>
        <v>Twitter Web Client</v>
      </c>
      <c r="L473" s="16">
        <v>1</v>
      </c>
      <c r="M473" s="16">
        <v>41</v>
      </c>
      <c r="N473" s="16">
        <v>0</v>
      </c>
      <c r="O473" s="17"/>
      <c r="P473" s="18">
        <v>42071.424444444448</v>
      </c>
      <c r="Q473" s="8"/>
      <c r="R473" s="8"/>
      <c r="S473" s="8"/>
      <c r="T473" s="8"/>
      <c r="U473" s="19" t="str">
        <f>HYPERLINK("https://pbs.twimg.com/profile_images/574621057690152961/PHUgjKSD.jpeg","View")</f>
        <v>View</v>
      </c>
      <c r="V473" s="8"/>
      <c r="W473" s="8"/>
      <c r="X473" s="8"/>
      <c r="Y473" s="8"/>
      <c r="Z473" s="8"/>
    </row>
    <row r="474" spans="1:26" ht="12.75">
      <c r="A474" s="11">
        <v>43747.057743055557</v>
      </c>
      <c r="B474" s="12" t="str">
        <f>HYPERLINK("https://twitter.com/alsabyatiie7","@alsabyatiie7")</f>
        <v>@alsabyatiie7</v>
      </c>
      <c r="C474" s="13" t="s">
        <v>2644</v>
      </c>
      <c r="D474" s="7" t="s">
        <v>2645</v>
      </c>
      <c r="E474" s="12" t="str">
        <f>HYPERLINK("https://twitter.com/alsabyatiie7/status/1181847554948030464","1181847554948030464")</f>
        <v>1181847554948030464</v>
      </c>
      <c r="F474" s="8"/>
      <c r="G474" s="14" t="s">
        <v>2646</v>
      </c>
      <c r="H474" s="8"/>
      <c r="I474" s="15">
        <v>0</v>
      </c>
      <c r="J474" s="15">
        <v>0</v>
      </c>
      <c r="K474" s="12" t="str">
        <f>HYPERLINK("http://twitter.com","Twitter Web Client")</f>
        <v>Twitter Web Client</v>
      </c>
      <c r="L474" s="16">
        <v>5</v>
      </c>
      <c r="M474" s="16">
        <v>44</v>
      </c>
      <c r="N474" s="16">
        <v>0</v>
      </c>
      <c r="O474" s="17"/>
      <c r="P474" s="18">
        <v>42072.120393518519</v>
      </c>
      <c r="Q474" s="7"/>
      <c r="R474" s="13"/>
      <c r="S474" s="8"/>
      <c r="T474" s="8"/>
      <c r="U474" s="19" t="str">
        <f>HYPERLINK("https://pbs.twimg.com/profile_images/574870763854938112/RER5vbR-.jpeg","View")</f>
        <v>View</v>
      </c>
      <c r="V474" s="8"/>
      <c r="W474" s="8"/>
      <c r="X474" s="8"/>
      <c r="Y474" s="8"/>
      <c r="Z474" s="8"/>
    </row>
    <row r="475" spans="1:26" ht="12.75">
      <c r="A475" s="11">
        <v>43747.057326388887</v>
      </c>
      <c r="B475" s="12" t="str">
        <f>HYPERLINK("https://twitter.com/NasserAlSaffar5","@NasserAlSaffar5")</f>
        <v>@NasserAlSaffar5</v>
      </c>
      <c r="C475" s="13" t="s">
        <v>2650</v>
      </c>
      <c r="D475" s="13" t="s">
        <v>914</v>
      </c>
      <c r="E475" s="12" t="str">
        <f>HYPERLINK("https://twitter.com/NasserAlSaffar5/status/1181847403491549184","1181847403491549184")</f>
        <v>1181847403491549184</v>
      </c>
      <c r="F475" s="8"/>
      <c r="G475" s="14" t="s">
        <v>917</v>
      </c>
      <c r="H475" s="8"/>
      <c r="I475" s="15">
        <v>0</v>
      </c>
      <c r="J475" s="15">
        <v>0</v>
      </c>
      <c r="K475" s="12" t="str">
        <f>HYPERLINK("https://mobile.twitter.com","Twitter Web App")</f>
        <v>Twitter Web App</v>
      </c>
      <c r="L475" s="16">
        <v>0</v>
      </c>
      <c r="M475" s="16">
        <v>1</v>
      </c>
      <c r="N475" s="16">
        <v>0</v>
      </c>
      <c r="O475" s="17"/>
      <c r="P475" s="18">
        <v>43726.06831018519</v>
      </c>
      <c r="Q475" s="8" t="s">
        <v>972</v>
      </c>
      <c r="R475" s="8" t="s">
        <v>1944</v>
      </c>
      <c r="S475" s="8"/>
      <c r="T475" s="8"/>
      <c r="U475" s="19" t="str">
        <f>HYPERLINK("https://pbs.twimg.com/profile_images/1180401369821265922/UvqIGbm4.jpg","View")</f>
        <v>View</v>
      </c>
      <c r="V475" s="8"/>
      <c r="W475" s="8"/>
      <c r="X475" s="8"/>
      <c r="Y475" s="8"/>
      <c r="Z475" s="8"/>
    </row>
    <row r="476" spans="1:26" ht="12.75">
      <c r="A476" s="11">
        <v>43747.05678240741</v>
      </c>
      <c r="B476" s="12" t="str">
        <f>HYPERLINK("https://twitter.com/algamade74","@algamade74")</f>
        <v>@algamade74</v>
      </c>
      <c r="C476" s="13" t="s">
        <v>2656</v>
      </c>
      <c r="D476" s="13" t="s">
        <v>2657</v>
      </c>
      <c r="E476" s="12" t="str">
        <f>HYPERLINK("https://twitter.com/algamade74/status/1181847205793189889","1181847205793189889")</f>
        <v>1181847205793189889</v>
      </c>
      <c r="F476" s="8"/>
      <c r="G476" s="14" t="s">
        <v>2659</v>
      </c>
      <c r="H476" s="8"/>
      <c r="I476" s="15">
        <v>0</v>
      </c>
      <c r="J476" s="15">
        <v>0</v>
      </c>
      <c r="K476" s="12" t="str">
        <f>HYPERLINK("http://twitter.com","Twitter Web Client")</f>
        <v>Twitter Web Client</v>
      </c>
      <c r="L476" s="16">
        <v>19</v>
      </c>
      <c r="M476" s="16">
        <v>44</v>
      </c>
      <c r="N476" s="16">
        <v>0</v>
      </c>
      <c r="O476" s="17"/>
      <c r="P476" s="18">
        <v>42071.597696759258</v>
      </c>
      <c r="Q476" s="8"/>
      <c r="R476" s="8"/>
      <c r="S476" s="8"/>
      <c r="T476" s="8"/>
      <c r="U476" s="19" t="str">
        <f>HYPERLINK("https://pbs.twimg.com/profile_images/574681356694765568/9pb2j09K.jpeg","View")</f>
        <v>View</v>
      </c>
      <c r="V476" s="8"/>
      <c r="W476" s="8"/>
      <c r="X476" s="8"/>
      <c r="Y476" s="8"/>
      <c r="Z476" s="8"/>
    </row>
    <row r="477" spans="1:26" ht="12.75">
      <c r="A477" s="11">
        <v>43747.056516203702</v>
      </c>
      <c r="B477" s="12" t="str">
        <f>HYPERLINK("https://twitter.com/abdul_ha22","@abdul_ha22")</f>
        <v>@abdul_ha22</v>
      </c>
      <c r="C477" s="13" t="s">
        <v>2660</v>
      </c>
      <c r="D477" s="7" t="s">
        <v>968</v>
      </c>
      <c r="E477" s="12" t="str">
        <f>HYPERLINK("https://twitter.com/abdul_ha22/status/1181847110603300865","1181847110603300865")</f>
        <v>1181847110603300865</v>
      </c>
      <c r="F477" s="8"/>
      <c r="G477" s="14" t="s">
        <v>2661</v>
      </c>
      <c r="H477" s="8"/>
      <c r="I477" s="15">
        <v>0</v>
      </c>
      <c r="J477" s="15">
        <v>0</v>
      </c>
      <c r="K477" s="12" t="str">
        <f>HYPERLINK("https://mobile.twitter.com","Twitter Web App")</f>
        <v>Twitter Web App</v>
      </c>
      <c r="L477" s="16">
        <v>0</v>
      </c>
      <c r="M477" s="16">
        <v>0</v>
      </c>
      <c r="N477" s="16">
        <v>0</v>
      </c>
      <c r="O477" s="17"/>
      <c r="P477" s="18">
        <v>43726.006840277776</v>
      </c>
      <c r="Q477" s="7" t="s">
        <v>1405</v>
      </c>
      <c r="R477" s="13" t="s">
        <v>955</v>
      </c>
      <c r="S477" s="8"/>
      <c r="T477" s="8"/>
      <c r="U477" s="19" t="str">
        <f>HYPERLINK("https://pbs.twimg.com/profile_images/1181525748823121921/VX27I03J.jpg","View")</f>
        <v>View</v>
      </c>
      <c r="V477" s="8"/>
      <c r="W477" s="8"/>
      <c r="X477" s="8"/>
      <c r="Y477" s="8"/>
      <c r="Z477" s="8"/>
    </row>
    <row r="478" spans="1:26" ht="12.75">
      <c r="A478" s="11">
        <v>43747.056504629625</v>
      </c>
      <c r="B478" s="12" t="str">
        <f>HYPERLINK("https://twitter.com/AliSoudai","@AliSoudai")</f>
        <v>@AliSoudai</v>
      </c>
      <c r="C478" s="13" t="s">
        <v>2662</v>
      </c>
      <c r="D478" s="13" t="s">
        <v>2663</v>
      </c>
      <c r="E478" s="12" t="str">
        <f>HYPERLINK("https://twitter.com/AliSoudai/status/1181847106920894464","1181847106920894464")</f>
        <v>1181847106920894464</v>
      </c>
      <c r="F478" s="8"/>
      <c r="G478" s="14" t="s">
        <v>2664</v>
      </c>
      <c r="H478" s="8"/>
      <c r="I478" s="15">
        <v>0</v>
      </c>
      <c r="J478" s="15">
        <v>0</v>
      </c>
      <c r="K478" s="12" t="str">
        <f>HYPERLINK("http://twitter.com","Twitter Web Client")</f>
        <v>Twitter Web Client</v>
      </c>
      <c r="L478" s="16">
        <v>9</v>
      </c>
      <c r="M478" s="16">
        <v>36</v>
      </c>
      <c r="N478" s="16">
        <v>0</v>
      </c>
      <c r="O478" s="17"/>
      <c r="P478" s="18">
        <v>42068.318831018521</v>
      </c>
      <c r="Q478" s="8"/>
      <c r="R478" s="8"/>
      <c r="S478" s="8"/>
      <c r="T478" s="8"/>
      <c r="U478" s="19" t="str">
        <f>HYPERLINK("https://pbs.twimg.com/profile_images/573508870871494658/lAIhg3Us.jpeg","View")</f>
        <v>View</v>
      </c>
      <c r="V478" s="8"/>
      <c r="W478" s="8"/>
      <c r="X478" s="8"/>
      <c r="Y478" s="8"/>
      <c r="Z478" s="8"/>
    </row>
    <row r="479" spans="1:26" ht="12.75">
      <c r="A479" s="11">
        <v>43747.056226851855</v>
      </c>
      <c r="B479" s="12" t="str">
        <f>HYPERLINK("https://twitter.com/suleimanbinmae3","@suleimanbinmae3")</f>
        <v>@suleimanbinmae3</v>
      </c>
      <c r="C479" s="13" t="s">
        <v>2668</v>
      </c>
      <c r="D479" s="7" t="s">
        <v>2669</v>
      </c>
      <c r="E479" s="12" t="str">
        <f>HYPERLINK("https://twitter.com/suleimanbinmae3/status/1181847005305421824","1181847005305421824")</f>
        <v>1181847005305421824</v>
      </c>
      <c r="F479" s="8"/>
      <c r="G479" s="14" t="s">
        <v>2670</v>
      </c>
      <c r="H479" s="8"/>
      <c r="I479" s="15">
        <v>0</v>
      </c>
      <c r="J479" s="15">
        <v>0</v>
      </c>
      <c r="K479" s="12" t="str">
        <f>HYPERLINK("http://twitter.com","Twitter Web Client")</f>
        <v>Twitter Web Client</v>
      </c>
      <c r="L479" s="16">
        <v>11</v>
      </c>
      <c r="M479" s="16">
        <v>43</v>
      </c>
      <c r="N479" s="16">
        <v>0</v>
      </c>
      <c r="O479" s="17"/>
      <c r="P479" s="18">
        <v>42073.159918981481</v>
      </c>
      <c r="Q479" s="7"/>
      <c r="R479" s="13"/>
      <c r="S479" s="8"/>
      <c r="T479" s="8"/>
      <c r="U479" s="19" t="str">
        <f>HYPERLINK("https://pbs.twimg.com/profile_images/575248020024918016/UMIqwfE8.jpeg","View")</f>
        <v>View</v>
      </c>
      <c r="V479" s="8"/>
      <c r="W479" s="8"/>
      <c r="X479" s="8"/>
      <c r="Y479" s="8"/>
      <c r="Z479" s="8"/>
    </row>
    <row r="480" spans="1:26" ht="12.75">
      <c r="A480" s="11">
        <v>43747.055520833332</v>
      </c>
      <c r="B480" s="12" t="str">
        <f>HYPERLINK("https://twitter.com/al_mahbubur","@al_mahbubur")</f>
        <v>@al_mahbubur</v>
      </c>
      <c r="C480" s="13" t="s">
        <v>2671</v>
      </c>
      <c r="D480" s="13" t="s">
        <v>944</v>
      </c>
      <c r="E480" s="12" t="str">
        <f>HYPERLINK("https://twitter.com/al_mahbubur/status/1181846748437680128","1181846748437680128")</f>
        <v>1181846748437680128</v>
      </c>
      <c r="F480" s="8"/>
      <c r="G480" s="14" t="s">
        <v>2674</v>
      </c>
      <c r="H480" s="8"/>
      <c r="I480" s="15">
        <v>0</v>
      </c>
      <c r="J480" s="15">
        <v>0</v>
      </c>
      <c r="K480" s="12" t="str">
        <f>HYPERLINK("https://mobile.twitter.com","Twitter Web App")</f>
        <v>Twitter Web App</v>
      </c>
      <c r="L480" s="16">
        <v>0</v>
      </c>
      <c r="M480" s="16">
        <v>1</v>
      </c>
      <c r="N480" s="16">
        <v>0</v>
      </c>
      <c r="O480" s="17"/>
      <c r="P480" s="18">
        <v>43725.947858796295</v>
      </c>
      <c r="Q480" s="8" t="s">
        <v>1533</v>
      </c>
      <c r="R480" s="8"/>
      <c r="S480" s="8"/>
      <c r="T480" s="8"/>
      <c r="U480" s="19" t="str">
        <f>HYPERLINK("https://pbs.twimg.com/profile_images/1178247602657062912/g69Krq73.jpg","View")</f>
        <v>View</v>
      </c>
      <c r="V480" s="8"/>
      <c r="W480" s="8"/>
      <c r="X480" s="8"/>
      <c r="Y480" s="8"/>
      <c r="Z480" s="8"/>
    </row>
    <row r="481" spans="1:26" ht="12.75">
      <c r="A481" s="11">
        <v>43747.054837962962</v>
      </c>
      <c r="B481" s="12" t="str">
        <f>HYPERLINK("https://twitter.com/ujaily","@ujaily")</f>
        <v>@ujaily</v>
      </c>
      <c r="C481" s="13" t="s">
        <v>2676</v>
      </c>
      <c r="D481" s="13" t="s">
        <v>2677</v>
      </c>
      <c r="E481" s="12" t="str">
        <f>HYPERLINK("https://twitter.com/ujaily/status/1181846501271756802","1181846501271756802")</f>
        <v>1181846501271756802</v>
      </c>
      <c r="F481" s="8"/>
      <c r="G481" s="14" t="s">
        <v>2678</v>
      </c>
      <c r="H481" s="8"/>
      <c r="I481" s="15">
        <v>0</v>
      </c>
      <c r="J481" s="15">
        <v>0</v>
      </c>
      <c r="K481" s="12" t="str">
        <f>HYPERLINK("http://twitter.com","Twitter Web Client")</f>
        <v>Twitter Web Client</v>
      </c>
      <c r="L481" s="16">
        <v>5</v>
      </c>
      <c r="M481" s="16">
        <v>40</v>
      </c>
      <c r="N481" s="16">
        <v>0</v>
      </c>
      <c r="O481" s="17"/>
      <c r="P481" s="18">
        <v>42076.220949074079</v>
      </c>
      <c r="Q481" s="7"/>
      <c r="R481" s="13"/>
      <c r="S481" s="8"/>
      <c r="T481" s="8"/>
      <c r="U481" s="19" t="str">
        <f>HYPERLINK("https://pbs.twimg.com/profile_images/576359578121564160/WwHGZMQt.jpeg","View")</f>
        <v>View</v>
      </c>
      <c r="V481" s="8"/>
      <c r="W481" s="8"/>
      <c r="X481" s="8"/>
      <c r="Y481" s="8"/>
      <c r="Z481" s="8"/>
    </row>
    <row r="482" spans="1:26" ht="12.75">
      <c r="A482" s="11">
        <v>43747.053414351853</v>
      </c>
      <c r="B482" s="12" t="str">
        <f>HYPERLINK("https://twitter.com/nasri_ata","@nasri_ata")</f>
        <v>@nasri_ata</v>
      </c>
      <c r="C482" s="13" t="s">
        <v>2683</v>
      </c>
      <c r="D482" s="7" t="s">
        <v>28</v>
      </c>
      <c r="E482" s="12" t="str">
        <f>HYPERLINK("https://twitter.com/nasri_ata/status/1181845986395574272","1181845986395574272")</f>
        <v>1181845986395574272</v>
      </c>
      <c r="F482" s="8"/>
      <c r="G482" s="14" t="s">
        <v>31</v>
      </c>
      <c r="H482" s="8"/>
      <c r="I482" s="15">
        <v>0</v>
      </c>
      <c r="J482" s="15">
        <v>0</v>
      </c>
      <c r="K482" s="12" t="str">
        <f>HYPERLINK("https://mobile.twitter.com","Twitter Web App")</f>
        <v>Twitter Web App</v>
      </c>
      <c r="L482" s="16">
        <v>0</v>
      </c>
      <c r="M482" s="16">
        <v>1</v>
      </c>
      <c r="N482" s="16">
        <v>0</v>
      </c>
      <c r="O482" s="17"/>
      <c r="P482" s="18">
        <v>43726.064421296294</v>
      </c>
      <c r="Q482" s="7" t="s">
        <v>1533</v>
      </c>
      <c r="R482" s="13" t="s">
        <v>1495</v>
      </c>
      <c r="S482" s="8"/>
      <c r="T482" s="8"/>
      <c r="U482" s="19" t="str">
        <f>HYPERLINK("https://pbs.twimg.com/profile_images/1180399790183464960/ilpBSsGR.jpg","View")</f>
        <v>View</v>
      </c>
      <c r="V482" s="8"/>
      <c r="W482" s="8"/>
      <c r="X482" s="8"/>
      <c r="Y482" s="8"/>
      <c r="Z482" s="8"/>
    </row>
    <row r="483" spans="1:26" ht="12.75">
      <c r="A483" s="11">
        <v>43747.052881944444</v>
      </c>
      <c r="B483" s="12" t="str">
        <f>HYPERLINK("https://twitter.com/FalehIjazaa","@FalehIjazaa")</f>
        <v>@FalehIjazaa</v>
      </c>
      <c r="C483" s="13" t="s">
        <v>2687</v>
      </c>
      <c r="D483" s="13" t="s">
        <v>2688</v>
      </c>
      <c r="E483" s="12" t="str">
        <f>HYPERLINK("https://twitter.com/FalehIjazaa/status/1181845792853762048","1181845792853762048")</f>
        <v>1181845792853762048</v>
      </c>
      <c r="F483" s="8"/>
      <c r="G483" s="14" t="s">
        <v>2690</v>
      </c>
      <c r="H483" s="8"/>
      <c r="I483" s="15">
        <v>0</v>
      </c>
      <c r="J483" s="15">
        <v>0</v>
      </c>
      <c r="K483" s="12" t="str">
        <f>HYPERLINK("http://twitter.com","Twitter Web Client")</f>
        <v>Twitter Web Client</v>
      </c>
      <c r="L483" s="16">
        <v>1</v>
      </c>
      <c r="M483" s="16">
        <v>42</v>
      </c>
      <c r="N483" s="16">
        <v>0</v>
      </c>
      <c r="O483" s="17"/>
      <c r="P483" s="18">
        <v>42070.77888888889</v>
      </c>
      <c r="Q483" s="8"/>
      <c r="R483" s="8"/>
      <c r="S483" s="8"/>
      <c r="T483" s="8"/>
      <c r="U483" s="19" t="str">
        <f>HYPERLINK("https://pbs.twimg.com/profile_images/574400618195873793/ikfmiS7L.jpeg","View")</f>
        <v>View</v>
      </c>
      <c r="V483" s="8"/>
      <c r="W483" s="8"/>
      <c r="X483" s="8"/>
      <c r="Y483" s="8"/>
      <c r="Z483" s="8"/>
    </row>
    <row r="484" spans="1:26" ht="12.75">
      <c r="A484" s="11">
        <v>43747.052465277782</v>
      </c>
      <c r="B484" s="12" t="str">
        <f>HYPERLINK("https://twitter.com/Alaftyh1Tuorky","@Alaftyh1Tuorky")</f>
        <v>@Alaftyh1Tuorky</v>
      </c>
      <c r="C484" s="13" t="s">
        <v>2692</v>
      </c>
      <c r="D484" s="7" t="s">
        <v>2693</v>
      </c>
      <c r="E484" s="12" t="str">
        <f>HYPERLINK("https://twitter.com/Alaftyh1Tuorky/status/1181845641057710080","1181845641057710080")</f>
        <v>1181845641057710080</v>
      </c>
      <c r="F484" s="8"/>
      <c r="G484" s="14" t="s">
        <v>2694</v>
      </c>
      <c r="H484" s="8"/>
      <c r="I484" s="15">
        <v>0</v>
      </c>
      <c r="J484" s="15">
        <v>0</v>
      </c>
      <c r="K484" s="12" t="str">
        <f>HYPERLINK("http://twitter.com","Twitter Web Client")</f>
        <v>Twitter Web Client</v>
      </c>
      <c r="L484" s="16">
        <v>4</v>
      </c>
      <c r="M484" s="16">
        <v>41</v>
      </c>
      <c r="N484" s="16">
        <v>0</v>
      </c>
      <c r="O484" s="17"/>
      <c r="P484" s="18">
        <v>42074.242060185185</v>
      </c>
      <c r="Q484" s="7"/>
      <c r="R484" s="13"/>
      <c r="S484" s="8"/>
      <c r="T484" s="8"/>
      <c r="U484" s="19" t="str">
        <f>HYPERLINK("https://pbs.twimg.com/profile_images/575667144257470465/ileHPjUF.jpeg","View")</f>
        <v>View</v>
      </c>
      <c r="V484" s="8"/>
      <c r="W484" s="8"/>
      <c r="X484" s="8"/>
      <c r="Y484" s="8"/>
      <c r="Z484" s="8"/>
    </row>
    <row r="485" spans="1:26" ht="12.75">
      <c r="A485" s="11">
        <v>43747.05201388889</v>
      </c>
      <c r="B485" s="12" t="str">
        <f>HYPERLINK("https://twitter.com/SabeeNazim","@SabeeNazim")</f>
        <v>@SabeeNazim</v>
      </c>
      <c r="C485" s="13" t="s">
        <v>2695</v>
      </c>
      <c r="D485" s="7" t="s">
        <v>968</v>
      </c>
      <c r="E485" s="12" t="str">
        <f>HYPERLINK("https://twitter.com/SabeeNazim/status/1181845477844635648","1181845477844635648")</f>
        <v>1181845477844635648</v>
      </c>
      <c r="F485" s="8"/>
      <c r="G485" s="14" t="s">
        <v>2696</v>
      </c>
      <c r="H485" s="8"/>
      <c r="I485" s="15">
        <v>0</v>
      </c>
      <c r="J485" s="15">
        <v>0</v>
      </c>
      <c r="K485" s="12" t="str">
        <f>HYPERLINK("https://mobile.twitter.com","Twitter Web App")</f>
        <v>Twitter Web App</v>
      </c>
      <c r="L485" s="16">
        <v>1</v>
      </c>
      <c r="M485" s="16">
        <v>1</v>
      </c>
      <c r="N485" s="16">
        <v>0</v>
      </c>
      <c r="O485" s="17"/>
      <c r="P485" s="18">
        <v>43729.013726851852</v>
      </c>
      <c r="Q485" s="7" t="s">
        <v>1355</v>
      </c>
      <c r="R485" s="13" t="s">
        <v>1924</v>
      </c>
      <c r="S485" s="8"/>
      <c r="T485" s="8"/>
      <c r="U485" s="19" t="str">
        <f>HYPERLINK("https://pbs.twimg.com/profile_images/1180398099845410821/GgUlgzva.jpg","View")</f>
        <v>View</v>
      </c>
      <c r="V485" s="8"/>
      <c r="W485" s="8"/>
      <c r="X485" s="8"/>
      <c r="Y485" s="8"/>
      <c r="Z485" s="8"/>
    </row>
    <row r="486" spans="1:26" ht="12.75">
      <c r="A486" s="11">
        <v>43747.051631944443</v>
      </c>
      <c r="B486" s="12" t="str">
        <f>HYPERLINK("https://twitter.com/omr_alsaeed","@omr_alsaeed")</f>
        <v>@omr_alsaeed</v>
      </c>
      <c r="C486" s="13" t="s">
        <v>2698</v>
      </c>
      <c r="D486" s="13" t="s">
        <v>2700</v>
      </c>
      <c r="E486" s="12" t="str">
        <f>HYPERLINK("https://twitter.com/omr_alsaeed/status/1181845340460331008","1181845340460331008")</f>
        <v>1181845340460331008</v>
      </c>
      <c r="F486" s="8"/>
      <c r="G486" s="14" t="s">
        <v>2701</v>
      </c>
      <c r="H486" s="8"/>
      <c r="I486" s="15">
        <v>0</v>
      </c>
      <c r="J486" s="15">
        <v>0</v>
      </c>
      <c r="K486" s="12" t="str">
        <f>HYPERLINK("http://twitter.com","Twitter Web Client")</f>
        <v>Twitter Web Client</v>
      </c>
      <c r="L486" s="16">
        <v>1</v>
      </c>
      <c r="M486" s="16">
        <v>42</v>
      </c>
      <c r="N486" s="16">
        <v>0</v>
      </c>
      <c r="O486" s="17"/>
      <c r="P486" s="18">
        <v>41845.798067129632</v>
      </c>
      <c r="Q486" s="8"/>
      <c r="R486" s="8"/>
      <c r="S486" s="8"/>
      <c r="T486" s="8"/>
      <c r="U486" s="19" t="str">
        <f>HYPERLINK("https://pbs.twimg.com/profile_images/492854498851692544/ddr7bLxO.jpeg","View")</f>
        <v>View</v>
      </c>
      <c r="V486" s="8"/>
      <c r="W486" s="8"/>
      <c r="X486" s="8"/>
      <c r="Y486" s="8"/>
      <c r="Z486" s="8"/>
    </row>
    <row r="487" spans="1:26" ht="12.75">
      <c r="A487" s="11">
        <v>43747.050358796296</v>
      </c>
      <c r="B487" s="12" t="str">
        <f>HYPERLINK("https://twitter.com/yassinabdallah5","@yassinabdallah5")</f>
        <v>@yassinabdallah5</v>
      </c>
      <c r="C487" s="13" t="s">
        <v>2706</v>
      </c>
      <c r="D487" s="13" t="s">
        <v>2707</v>
      </c>
      <c r="E487" s="12" t="str">
        <f>HYPERLINK("https://twitter.com/yassinabdallah5/status/1181844877795090432","1181844877795090432")</f>
        <v>1181844877795090432</v>
      </c>
      <c r="F487" s="8"/>
      <c r="G487" s="14" t="s">
        <v>2708</v>
      </c>
      <c r="H487" s="8"/>
      <c r="I487" s="15">
        <v>0</v>
      </c>
      <c r="J487" s="15">
        <v>0</v>
      </c>
      <c r="K487" s="12" t="str">
        <f>HYPERLINK("http://twitter.com","Twitter Web Client")</f>
        <v>Twitter Web Client</v>
      </c>
      <c r="L487" s="16">
        <v>0</v>
      </c>
      <c r="M487" s="16">
        <v>29</v>
      </c>
      <c r="N487" s="16">
        <v>0</v>
      </c>
      <c r="O487" s="17"/>
      <c r="P487" s="18">
        <v>41821.374652777777</v>
      </c>
      <c r="Q487" s="8"/>
      <c r="R487" s="8"/>
      <c r="S487" s="8"/>
      <c r="T487" s="8"/>
      <c r="U487" s="19" t="str">
        <f>HYPERLINK("https://pbs.twimg.com/profile_images/484003613908295680/l7Cb-s5j.jpeg","View")</f>
        <v>View</v>
      </c>
      <c r="V487" s="8"/>
      <c r="W487" s="8"/>
      <c r="X487" s="8"/>
      <c r="Y487" s="8"/>
      <c r="Z487" s="8"/>
    </row>
    <row r="488" spans="1:26" ht="12.75">
      <c r="A488" s="11">
        <v>43747.050208333334</v>
      </c>
      <c r="B488" s="12" t="str">
        <f>HYPERLINK("https://twitter.com/fahidalshammari","@fahidalshammari")</f>
        <v>@fahidalshammari</v>
      </c>
      <c r="C488" s="13" t="s">
        <v>2714</v>
      </c>
      <c r="D488" s="13" t="s">
        <v>2715</v>
      </c>
      <c r="E488" s="12" t="str">
        <f>HYPERLINK("https://twitter.com/fahidalshammari/status/1181844824598691840","1181844824598691840")</f>
        <v>1181844824598691840</v>
      </c>
      <c r="F488" s="8"/>
      <c r="G488" s="14" t="s">
        <v>2716</v>
      </c>
      <c r="H488" s="8"/>
      <c r="I488" s="15">
        <v>0</v>
      </c>
      <c r="J488" s="15">
        <v>0</v>
      </c>
      <c r="K488" s="12" t="str">
        <f>HYPERLINK("http://twitter.com","Twitter Web Client")</f>
        <v>Twitter Web Client</v>
      </c>
      <c r="L488" s="16">
        <v>7</v>
      </c>
      <c r="M488" s="16">
        <v>36</v>
      </c>
      <c r="N488" s="16">
        <v>0</v>
      </c>
      <c r="O488" s="17"/>
      <c r="P488" s="18">
        <v>42068.16982638889</v>
      </c>
      <c r="Q488" s="8"/>
      <c r="R488" s="8"/>
      <c r="S488" s="8"/>
      <c r="T488" s="8"/>
      <c r="U488" s="19" t="str">
        <f>HYPERLINK("https://pbs.twimg.com/profile_images/573454271632433152/YQiWAO9L.jpeg","View")</f>
        <v>View</v>
      </c>
      <c r="V488" s="8"/>
      <c r="W488" s="8"/>
      <c r="X488" s="8"/>
      <c r="Y488" s="8"/>
      <c r="Z488" s="8"/>
    </row>
    <row r="489" spans="1:26" ht="12.75">
      <c r="A489" s="11">
        <v>43747.050162037034</v>
      </c>
      <c r="B489" s="12" t="str">
        <f>HYPERLINK("https://twitter.com/nasser_saffar","@nasser_saffar")</f>
        <v>@nasser_saffar</v>
      </c>
      <c r="C489" s="13" t="s">
        <v>2650</v>
      </c>
      <c r="D489" s="13" t="s">
        <v>944</v>
      </c>
      <c r="E489" s="12" t="str">
        <f>HYPERLINK("https://twitter.com/nasser_saffar/status/1181844808429522944","1181844808429522944")</f>
        <v>1181844808429522944</v>
      </c>
      <c r="F489" s="8"/>
      <c r="G489" s="14" t="s">
        <v>2723</v>
      </c>
      <c r="H489" s="8"/>
      <c r="I489" s="15">
        <v>0</v>
      </c>
      <c r="J489" s="15">
        <v>0</v>
      </c>
      <c r="K489" s="12" t="str">
        <f>HYPERLINK("https://mobile.twitter.com","Twitter Web App")</f>
        <v>Twitter Web App</v>
      </c>
      <c r="L489" s="16">
        <v>0</v>
      </c>
      <c r="M489" s="16">
        <v>1</v>
      </c>
      <c r="N489" s="16">
        <v>0</v>
      </c>
      <c r="O489" s="17"/>
      <c r="P489" s="18">
        <v>43725.924849537041</v>
      </c>
      <c r="Q489" s="8" t="s">
        <v>1533</v>
      </c>
      <c r="R489" s="8" t="s">
        <v>2727</v>
      </c>
      <c r="S489" s="8"/>
      <c r="T489" s="8"/>
      <c r="U489" s="19" t="str">
        <f>HYPERLINK("https://pbs.twimg.com/profile_images/1180395954039508993/vG0SJbPh.jpg","View")</f>
        <v>View</v>
      </c>
      <c r="V489" s="8"/>
      <c r="W489" s="8"/>
      <c r="X489" s="8"/>
      <c r="Y489" s="8"/>
      <c r="Z489" s="8"/>
    </row>
    <row r="490" spans="1:26" ht="12.75">
      <c r="A490" s="11">
        <v>43747.048807870371</v>
      </c>
      <c r="B490" s="12" t="str">
        <f>HYPERLINK("https://twitter.com/soltan7833","@soltan7833")</f>
        <v>@soltan7833</v>
      </c>
      <c r="C490" s="13" t="s">
        <v>2731</v>
      </c>
      <c r="D490" s="13" t="s">
        <v>2732</v>
      </c>
      <c r="E490" s="12" t="str">
        <f>HYPERLINK("https://twitter.com/soltan7833/status/1181844316815314949","1181844316815314949")</f>
        <v>1181844316815314949</v>
      </c>
      <c r="F490" s="8"/>
      <c r="G490" s="14" t="s">
        <v>2733</v>
      </c>
      <c r="H490" s="8"/>
      <c r="I490" s="15">
        <v>0</v>
      </c>
      <c r="J490" s="15">
        <v>0</v>
      </c>
      <c r="K490" s="12" t="str">
        <f>HYPERLINK("http://twitter.com","Twitter Web Client")</f>
        <v>Twitter Web Client</v>
      </c>
      <c r="L490" s="16">
        <v>1</v>
      </c>
      <c r="M490" s="16">
        <v>34</v>
      </c>
      <c r="N490" s="16">
        <v>0</v>
      </c>
      <c r="O490" s="20"/>
      <c r="P490" s="18">
        <v>42070.621296296296</v>
      </c>
      <c r="Q490" s="7"/>
      <c r="R490" s="13"/>
      <c r="S490" s="15"/>
      <c r="T490" s="8"/>
      <c r="U490" s="19" t="str">
        <f>HYPERLINK("https://pbs.twimg.com/profile_images/574342595565879296/HUwbFxfU.jpeg","View")</f>
        <v>View</v>
      </c>
      <c r="V490" s="8"/>
      <c r="W490" s="8"/>
      <c r="X490" s="8"/>
      <c r="Y490" s="8"/>
      <c r="Z490" s="8"/>
    </row>
    <row r="491" spans="1:26" ht="12.75">
      <c r="A491" s="11">
        <v>43747.048576388886</v>
      </c>
      <c r="B491" s="12" t="str">
        <f>HYPERLINK("https://twitter.com/AsmariNaim","@AsmariNaim")</f>
        <v>@AsmariNaim</v>
      </c>
      <c r="C491" s="13" t="s">
        <v>2737</v>
      </c>
      <c r="D491" s="13" t="s">
        <v>1030</v>
      </c>
      <c r="E491" s="12" t="str">
        <f>HYPERLINK("https://twitter.com/AsmariNaim/status/1181844232228593664","1181844232228593664")</f>
        <v>1181844232228593664</v>
      </c>
      <c r="F491" s="8"/>
      <c r="G491" s="14" t="s">
        <v>2738</v>
      </c>
      <c r="H491" s="8"/>
      <c r="I491" s="15">
        <v>0</v>
      </c>
      <c r="J491" s="15">
        <v>0</v>
      </c>
      <c r="K491" s="12" t="str">
        <f>HYPERLINK("http://twitter.com","Twitter Web Client")</f>
        <v>Twitter Web Client</v>
      </c>
      <c r="L491" s="16">
        <v>0</v>
      </c>
      <c r="M491" s="16">
        <v>1</v>
      </c>
      <c r="N491" s="16">
        <v>0</v>
      </c>
      <c r="O491" s="17"/>
      <c r="P491" s="18">
        <v>43724.930775462963</v>
      </c>
      <c r="Q491" s="8" t="s">
        <v>1276</v>
      </c>
      <c r="R491" s="8" t="s">
        <v>921</v>
      </c>
      <c r="S491" s="8"/>
      <c r="T491" s="8"/>
      <c r="U491" s="19" t="str">
        <f>HYPERLINK("https://pbs.twimg.com/profile_images/1180395382246760449/zxOAGy7j.png","View")</f>
        <v>View</v>
      </c>
      <c r="V491" s="8"/>
      <c r="W491" s="8"/>
      <c r="X491" s="8"/>
      <c r="Y491" s="8"/>
      <c r="Z491" s="8"/>
    </row>
    <row r="492" spans="1:26" ht="12.75">
      <c r="A492" s="11">
        <v>43747.048055555555</v>
      </c>
      <c r="B492" s="12" t="str">
        <f>HYPERLINK("https://twitter.com/JalaliMuneeb","@JalaliMuneeb")</f>
        <v>@JalaliMuneeb</v>
      </c>
      <c r="C492" s="13" t="s">
        <v>2739</v>
      </c>
      <c r="D492" s="13" t="s">
        <v>1030</v>
      </c>
      <c r="E492" s="12" t="str">
        <f>HYPERLINK("https://twitter.com/JalaliMuneeb/status/1181844045280116736","1181844045280116736")</f>
        <v>1181844045280116736</v>
      </c>
      <c r="F492" s="8"/>
      <c r="G492" s="14" t="s">
        <v>2740</v>
      </c>
      <c r="H492" s="8"/>
      <c r="I492" s="15">
        <v>0</v>
      </c>
      <c r="J492" s="15">
        <v>0</v>
      </c>
      <c r="K492" s="12" t="str">
        <f>HYPERLINK("https://mobile.twitter.com","Twitter Web App")</f>
        <v>Twitter Web App</v>
      </c>
      <c r="L492" s="16">
        <v>0</v>
      </c>
      <c r="M492" s="16">
        <v>1</v>
      </c>
      <c r="N492" s="16">
        <v>0</v>
      </c>
      <c r="O492" s="17"/>
      <c r="P492" s="18">
        <v>43740.945810185185</v>
      </c>
      <c r="Q492" s="8" t="s">
        <v>1367</v>
      </c>
      <c r="R492" s="8" t="s">
        <v>1552</v>
      </c>
      <c r="S492" s="8"/>
      <c r="T492" s="8"/>
      <c r="U492" s="19" t="str">
        <f>HYPERLINK("https://pbs.twimg.com/profile_images/1180806379562356736/qiJetfTU.png","View")</f>
        <v>View</v>
      </c>
      <c r="V492" s="8"/>
      <c r="W492" s="8"/>
      <c r="X492" s="8"/>
      <c r="Y492" s="8"/>
      <c r="Z492" s="8"/>
    </row>
    <row r="493" spans="1:26" ht="12.75">
      <c r="A493" s="11">
        <v>43747.047789351855</v>
      </c>
      <c r="B493" s="12" t="str">
        <f>HYPERLINK("https://twitter.com/ahmedoialahrani","@ahmedoialahrani")</f>
        <v>@ahmedoialahrani</v>
      </c>
      <c r="C493" s="13" t="s">
        <v>2745</v>
      </c>
      <c r="D493" s="7" t="s">
        <v>2746</v>
      </c>
      <c r="E493" s="12" t="str">
        <f>HYPERLINK("https://twitter.com/ahmedoialahrani/status/1181843949234933761","1181843949234933761")</f>
        <v>1181843949234933761</v>
      </c>
      <c r="F493" s="8"/>
      <c r="G493" s="14" t="s">
        <v>2747</v>
      </c>
      <c r="H493" s="8"/>
      <c r="I493" s="15">
        <v>0</v>
      </c>
      <c r="J493" s="15">
        <v>0</v>
      </c>
      <c r="K493" s="12" t="str">
        <f>HYPERLINK("http://twitter.com","Twitter Web Client")</f>
        <v>Twitter Web Client</v>
      </c>
      <c r="L493" s="16">
        <v>0</v>
      </c>
      <c r="M493" s="16">
        <v>31</v>
      </c>
      <c r="N493" s="16">
        <v>0</v>
      </c>
      <c r="O493" s="17"/>
      <c r="P493" s="18">
        <v>41843.557881944442</v>
      </c>
      <c r="Q493" s="7"/>
      <c r="R493" s="13"/>
      <c r="S493" s="8"/>
      <c r="T493" s="8"/>
      <c r="U493" s="19" t="str">
        <f>HYPERLINK("https://pbs.twimg.com/profile_images/492042658861182977/KKBHrJDV.jpeg","View")</f>
        <v>View</v>
      </c>
      <c r="V493" s="8"/>
      <c r="W493" s="8"/>
      <c r="X493" s="8"/>
      <c r="Y493" s="8"/>
      <c r="Z493" s="8"/>
    </row>
    <row r="494" spans="1:26" ht="12.75">
      <c r="A494" s="11">
        <v>43747.047210648147</v>
      </c>
      <c r="B494" s="12" t="str">
        <f>HYPERLINK("https://twitter.com/hazzaalsharif2","@hazzaalsharif2")</f>
        <v>@hazzaalsharif2</v>
      </c>
      <c r="C494" s="13" t="s">
        <v>2750</v>
      </c>
      <c r="D494" s="13" t="s">
        <v>2751</v>
      </c>
      <c r="E494" s="12" t="str">
        <f>HYPERLINK("https://twitter.com/hazzaalsharif2/status/1181843740165595137","1181843740165595137")</f>
        <v>1181843740165595137</v>
      </c>
      <c r="F494" s="8"/>
      <c r="G494" s="14" t="s">
        <v>2752</v>
      </c>
      <c r="H494" s="8"/>
      <c r="I494" s="15">
        <v>0</v>
      </c>
      <c r="J494" s="15">
        <v>0</v>
      </c>
      <c r="K494" s="12" t="str">
        <f>HYPERLINK("http://twitter.com","Twitter Web Client")</f>
        <v>Twitter Web Client</v>
      </c>
      <c r="L494" s="16">
        <v>1</v>
      </c>
      <c r="M494" s="16">
        <v>35</v>
      </c>
      <c r="N494" s="16">
        <v>0</v>
      </c>
      <c r="O494" s="17"/>
      <c r="P494" s="18">
        <v>41847.227696759262</v>
      </c>
      <c r="Q494" s="7"/>
      <c r="R494" s="8"/>
      <c r="S494" s="8"/>
      <c r="T494" s="8"/>
      <c r="U494" s="19" t="str">
        <f>HYPERLINK("https://pbs.twimg.com/profile_images/493372603457740800/Y1kn2x9c.jpeg","View")</f>
        <v>View</v>
      </c>
      <c r="V494" s="8"/>
      <c r="W494" s="8"/>
      <c r="X494" s="8"/>
      <c r="Y494" s="8"/>
      <c r="Z494" s="8"/>
    </row>
    <row r="495" spans="1:26" ht="12.75">
      <c r="A495" s="11">
        <v>43747.046805555554</v>
      </c>
      <c r="B495" s="12" t="str">
        <f>HYPERLINK("https://twitter.com/gibranlfaifiui","@gibranlfaifiui")</f>
        <v>@gibranlfaifiui</v>
      </c>
      <c r="C495" s="13" t="s">
        <v>2756</v>
      </c>
      <c r="D495" s="7" t="s">
        <v>2757</v>
      </c>
      <c r="E495" s="12" t="str">
        <f>HYPERLINK("https://twitter.com/gibranlfaifiui/status/1181843590202494976","1181843590202494976")</f>
        <v>1181843590202494976</v>
      </c>
      <c r="F495" s="8"/>
      <c r="G495" s="14" t="s">
        <v>2759</v>
      </c>
      <c r="H495" s="8"/>
      <c r="I495" s="15">
        <v>0</v>
      </c>
      <c r="J495" s="15">
        <v>0</v>
      </c>
      <c r="K495" s="12" t="str">
        <f>HYPERLINK("http://twitter.com","Twitter Web Client")</f>
        <v>Twitter Web Client</v>
      </c>
      <c r="L495" s="16">
        <v>6</v>
      </c>
      <c r="M495" s="16">
        <v>35</v>
      </c>
      <c r="N495" s="16">
        <v>0</v>
      </c>
      <c r="O495" s="17"/>
      <c r="P495" s="18">
        <v>42068.21947916667</v>
      </c>
      <c r="Q495" s="8"/>
      <c r="R495" s="13"/>
      <c r="S495" s="8"/>
      <c r="T495" s="8"/>
      <c r="U495" s="19" t="str">
        <f>HYPERLINK("https://pbs.twimg.com/profile_images/573472595418337280/EslPk2VQ.jpeg","View")</f>
        <v>View</v>
      </c>
      <c r="V495" s="8"/>
      <c r="W495" s="8"/>
      <c r="X495" s="8"/>
      <c r="Y495" s="8"/>
      <c r="Z495" s="8"/>
    </row>
    <row r="496" spans="1:26" ht="12.75">
      <c r="A496" s="11">
        <v>43747.046226851853</v>
      </c>
      <c r="B496" s="12" t="str">
        <f>HYPERLINK("https://twitter.com/abdulrahmandom2","@abdulrahmandom2")</f>
        <v>@abdulrahmandom2</v>
      </c>
      <c r="C496" s="13" t="s">
        <v>2763</v>
      </c>
      <c r="D496" s="13" t="s">
        <v>2764</v>
      </c>
      <c r="E496" s="12" t="str">
        <f>HYPERLINK("https://twitter.com/abdulrahmandom2/status/1181843380973789186","1181843380973789186")</f>
        <v>1181843380973789186</v>
      </c>
      <c r="F496" s="8"/>
      <c r="G496" s="14" t="s">
        <v>2766</v>
      </c>
      <c r="H496" s="8"/>
      <c r="I496" s="15">
        <v>0</v>
      </c>
      <c r="J496" s="15">
        <v>0</v>
      </c>
      <c r="K496" s="12" t="str">
        <f>HYPERLINK("http://twitter.com","Twitter Web Client")</f>
        <v>Twitter Web Client</v>
      </c>
      <c r="L496" s="16">
        <v>0</v>
      </c>
      <c r="M496" s="16">
        <v>28</v>
      </c>
      <c r="N496" s="16">
        <v>0</v>
      </c>
      <c r="O496" s="17"/>
      <c r="P496" s="18">
        <v>42090.274016203708</v>
      </c>
      <c r="Q496" s="8"/>
      <c r="R496" s="8"/>
      <c r="S496" s="8"/>
      <c r="T496" s="8"/>
      <c r="U496" s="19" t="str">
        <f>HYPERLINK("https://pbs.twimg.com/profile_images/581455985094619136/bQOAOwUM.jpg","View")</f>
        <v>View</v>
      </c>
      <c r="V496" s="8"/>
      <c r="W496" s="8"/>
      <c r="X496" s="8"/>
      <c r="Y496" s="8"/>
      <c r="Z496" s="8"/>
    </row>
    <row r="497" spans="1:26" ht="12.75">
      <c r="A497" s="11">
        <v>43747.04614583333</v>
      </c>
      <c r="B497" s="12" t="str">
        <f>HYPERLINK("https://twitter.com/ElkerdiKhalil","@ElkerdiKhalil")</f>
        <v>@ElkerdiKhalil</v>
      </c>
      <c r="C497" s="13" t="s">
        <v>2771</v>
      </c>
      <c r="D497" s="7" t="s">
        <v>2773</v>
      </c>
      <c r="E497" s="12" t="str">
        <f>HYPERLINK("https://twitter.com/ElkerdiKhalil/status/1181843353060679680","1181843353060679680")</f>
        <v>1181843353060679680</v>
      </c>
      <c r="F497" s="8"/>
      <c r="G497" s="14" t="s">
        <v>2774</v>
      </c>
      <c r="H497" s="8"/>
      <c r="I497" s="15">
        <v>0</v>
      </c>
      <c r="J497" s="15">
        <v>0</v>
      </c>
      <c r="K497" s="12" t="str">
        <f>HYPERLINK("http://twitter.com/download/android","Twitter for Android")</f>
        <v>Twitter for Android</v>
      </c>
      <c r="L497" s="16">
        <v>296</v>
      </c>
      <c r="M497" s="16">
        <v>831</v>
      </c>
      <c r="N497" s="16">
        <v>1</v>
      </c>
      <c r="O497" s="17"/>
      <c r="P497" s="18">
        <v>43514.1956712963</v>
      </c>
      <c r="Q497" s="7" t="s">
        <v>2777</v>
      </c>
      <c r="R497" s="13" t="s">
        <v>2778</v>
      </c>
      <c r="S497" s="14" t="s">
        <v>2779</v>
      </c>
      <c r="T497" s="8"/>
      <c r="U497" s="19" t="str">
        <f>HYPERLINK("https://pbs.twimg.com/profile_images/1177187623498108931/532IIQPc.jpg","View")</f>
        <v>View</v>
      </c>
      <c r="V497" s="8"/>
      <c r="W497" s="8"/>
      <c r="X497" s="8"/>
      <c r="Y497" s="8"/>
      <c r="Z497" s="8"/>
    </row>
    <row r="498" spans="1:26" ht="12.75">
      <c r="A498" s="11">
        <v>43747.045671296291</v>
      </c>
      <c r="B498" s="12" t="str">
        <f>HYPERLINK("https://twitter.com/AlmghadFaleh7","@AlmghadFaleh7")</f>
        <v>@AlmghadFaleh7</v>
      </c>
      <c r="C498" s="13" t="s">
        <v>2784</v>
      </c>
      <c r="D498" s="13" t="s">
        <v>2785</v>
      </c>
      <c r="E498" s="12" t="str">
        <f>HYPERLINK("https://twitter.com/AlmghadFaleh7/status/1181843180490231808","1181843180490231808")</f>
        <v>1181843180490231808</v>
      </c>
      <c r="F498" s="8"/>
      <c r="G498" s="14" t="s">
        <v>2786</v>
      </c>
      <c r="H498" s="8"/>
      <c r="I498" s="15">
        <v>0</v>
      </c>
      <c r="J498" s="15">
        <v>0</v>
      </c>
      <c r="K498" s="12" t="str">
        <f>HYPERLINK("http://twitter.com","Twitter Web Client")</f>
        <v>Twitter Web Client</v>
      </c>
      <c r="L498" s="16">
        <v>2</v>
      </c>
      <c r="M498" s="16">
        <v>36</v>
      </c>
      <c r="N498" s="16">
        <v>0</v>
      </c>
      <c r="O498" s="17"/>
      <c r="P498" s="18">
        <v>42069.601030092592</v>
      </c>
      <c r="Q498" s="8"/>
      <c r="R498" s="8"/>
      <c r="S498" s="8"/>
      <c r="T498" s="8"/>
      <c r="U498" s="19" t="str">
        <f>HYPERLINK("https://pbs.twimg.com/profile_images/573984760210460672/Gf5wFB1P.jpeg","View")</f>
        <v>View</v>
      </c>
      <c r="V498" s="8"/>
      <c r="W498" s="8"/>
      <c r="X498" s="8"/>
      <c r="Y498" s="8"/>
      <c r="Z498" s="8"/>
    </row>
    <row r="499" spans="1:26" ht="12.75">
      <c r="A499" s="11">
        <v>43747.045532407406</v>
      </c>
      <c r="B499" s="12" t="str">
        <f>HYPERLINK("https://twitter.com/AbdallhaAli3342","@AbdallhaAli3342")</f>
        <v>@AbdallhaAli3342</v>
      </c>
      <c r="C499" s="13" t="s">
        <v>2787</v>
      </c>
      <c r="D499" s="13" t="s">
        <v>2788</v>
      </c>
      <c r="E499" s="12" t="str">
        <f>HYPERLINK("https://twitter.com/AbdallhaAli3342/status/1181843128493445120","1181843128493445120")</f>
        <v>1181843128493445120</v>
      </c>
      <c r="F499" s="8"/>
      <c r="G499" s="14" t="s">
        <v>2789</v>
      </c>
      <c r="H499" s="8"/>
      <c r="I499" s="15">
        <v>0</v>
      </c>
      <c r="J499" s="15">
        <v>0</v>
      </c>
      <c r="K499" s="12" t="str">
        <f>HYPERLINK("http://twitter.com","Twitter Web Client")</f>
        <v>Twitter Web Client</v>
      </c>
      <c r="L499" s="16">
        <v>6</v>
      </c>
      <c r="M499" s="16">
        <v>35</v>
      </c>
      <c r="N499" s="16">
        <v>0</v>
      </c>
      <c r="O499" s="17"/>
      <c r="P499" s="18">
        <v>42077.324317129634</v>
      </c>
      <c r="Q499" s="8"/>
      <c r="R499" s="8"/>
      <c r="S499" s="8"/>
      <c r="T499" s="8"/>
      <c r="U499" s="19" t="str">
        <f>HYPERLINK("https://pbs.twimg.com/profile_images/576756724217954305/isaScHB8.jpeg","View")</f>
        <v>View</v>
      </c>
      <c r="V499" s="8"/>
      <c r="W499" s="8"/>
      <c r="X499" s="8"/>
      <c r="Y499" s="8"/>
      <c r="Z499" s="8"/>
    </row>
    <row r="500" spans="1:26" ht="12.75">
      <c r="A500" s="11">
        <v>43747.044976851852</v>
      </c>
      <c r="B500" s="12" t="str">
        <f>HYPERLINK("https://twitter.com/mohamedawadmo16","@mohamedawadmo16")</f>
        <v>@mohamedawadmo16</v>
      </c>
      <c r="C500" s="13" t="s">
        <v>2790</v>
      </c>
      <c r="D500" s="13" t="s">
        <v>2791</v>
      </c>
      <c r="E500" s="12" t="str">
        <f>HYPERLINK("https://twitter.com/mohamedawadmo16/status/1181842927913492480","1181842927913492480")</f>
        <v>1181842927913492480</v>
      </c>
      <c r="F500" s="8"/>
      <c r="G500" s="14" t="s">
        <v>2792</v>
      </c>
      <c r="H500" s="8"/>
      <c r="I500" s="15">
        <v>0</v>
      </c>
      <c r="J500" s="15">
        <v>0</v>
      </c>
      <c r="K500" s="12" t="str">
        <f>HYPERLINK("http://twitter.com","Twitter Web Client")</f>
        <v>Twitter Web Client</v>
      </c>
      <c r="L500" s="16">
        <v>1</v>
      </c>
      <c r="M500" s="16">
        <v>34</v>
      </c>
      <c r="N500" s="16">
        <v>0</v>
      </c>
      <c r="O500" s="17"/>
      <c r="P500" s="18">
        <v>42077.168773148151</v>
      </c>
      <c r="Q500" s="8"/>
      <c r="R500" s="8"/>
      <c r="S500" s="8"/>
      <c r="T500" s="8"/>
      <c r="U500" s="19" t="str">
        <f>HYPERLINK("https://pbs.twimg.com/profile_images/576700290881044480/zU2_SRQ8.jpeg","View")</f>
        <v>View</v>
      </c>
      <c r="V500" s="8"/>
      <c r="W500" s="8"/>
      <c r="X500" s="8"/>
      <c r="Y500" s="8"/>
      <c r="Z500" s="8"/>
    </row>
    <row r="501" spans="1:26" ht="12.75">
      <c r="A501" s="11">
        <v>43747.043553240743</v>
      </c>
      <c r="B501" s="12" t="str">
        <f>HYPERLINK("https://twitter.com/SomailySuhail","@SomailySuhail")</f>
        <v>@SomailySuhail</v>
      </c>
      <c r="C501" s="13" t="s">
        <v>2793</v>
      </c>
      <c r="D501" s="13" t="s">
        <v>28</v>
      </c>
      <c r="E501" s="12" t="str">
        <f>HYPERLINK("https://twitter.com/SomailySuhail/status/1181842414547296257","1181842414547296257")</f>
        <v>1181842414547296257</v>
      </c>
      <c r="F501" s="8"/>
      <c r="G501" s="14" t="s">
        <v>1267</v>
      </c>
      <c r="H501" s="8"/>
      <c r="I501" s="15">
        <v>0</v>
      </c>
      <c r="J501" s="15">
        <v>0</v>
      </c>
      <c r="K501" s="12" t="str">
        <f>HYPERLINK("https://mobile.twitter.com","Twitter Web App")</f>
        <v>Twitter Web App</v>
      </c>
      <c r="L501" s="16">
        <v>0</v>
      </c>
      <c r="M501" s="16">
        <v>0</v>
      </c>
      <c r="N501" s="16">
        <v>0</v>
      </c>
      <c r="O501" s="17"/>
      <c r="P501" s="18">
        <v>43732.041886574079</v>
      </c>
      <c r="Q501" s="8" t="s">
        <v>1835</v>
      </c>
      <c r="R501" s="8" t="s">
        <v>2794</v>
      </c>
      <c r="S501" s="8"/>
      <c r="T501" s="8"/>
      <c r="U501" s="19" t="str">
        <f>HYPERLINK("https://pbs.twimg.com/profile_images/1180792488128172037/SO1v7GvI.jpg","View")</f>
        <v>View</v>
      </c>
      <c r="V501" s="8"/>
      <c r="W501" s="8"/>
      <c r="X501" s="8"/>
      <c r="Y501" s="8"/>
      <c r="Z501" s="8"/>
    </row>
    <row r="502" spans="1:26" ht="12.75">
      <c r="A502" s="11">
        <v>43747.043171296296</v>
      </c>
      <c r="B502" s="12" t="str">
        <f>HYPERLINK("https://twitter.com/TahsinYassin","@TahsinYassin")</f>
        <v>@TahsinYassin</v>
      </c>
      <c r="C502" s="13" t="s">
        <v>2797</v>
      </c>
      <c r="D502" s="7" t="s">
        <v>1107</v>
      </c>
      <c r="E502" s="12" t="str">
        <f>HYPERLINK("https://twitter.com/TahsinYassin/status/1181842274403045377","1181842274403045377")</f>
        <v>1181842274403045377</v>
      </c>
      <c r="F502" s="8"/>
      <c r="G502" s="14" t="s">
        <v>2799</v>
      </c>
      <c r="H502" s="8"/>
      <c r="I502" s="15">
        <v>0</v>
      </c>
      <c r="J502" s="15">
        <v>0</v>
      </c>
      <c r="K502" s="12" t="str">
        <f>HYPERLINK("https://mobile.twitter.com","Twitter Web App")</f>
        <v>Twitter Web App</v>
      </c>
      <c r="L502" s="16">
        <v>0</v>
      </c>
      <c r="M502" s="16">
        <v>0</v>
      </c>
      <c r="N502" s="16">
        <v>0</v>
      </c>
      <c r="O502" s="17"/>
      <c r="P502" s="18">
        <v>43729.980138888888</v>
      </c>
      <c r="Q502" s="7" t="s">
        <v>1288</v>
      </c>
      <c r="R502" s="13" t="s">
        <v>2088</v>
      </c>
      <c r="S502" s="8"/>
      <c r="T502" s="8"/>
      <c r="U502" s="19" t="str">
        <f>HYPERLINK("https://pbs.twimg.com/profile_images/1180765452860936194/4j7cCknX.jpg","View")</f>
        <v>View</v>
      </c>
      <c r="V502" s="8"/>
      <c r="W502" s="8"/>
      <c r="X502" s="8"/>
      <c r="Y502" s="8"/>
      <c r="Z502" s="8"/>
    </row>
    <row r="503" spans="1:26" ht="12.75">
      <c r="A503" s="11">
        <v>43747.042395833334</v>
      </c>
      <c r="B503" s="12" t="str">
        <f>HYPERLINK("https://twitter.com/alatayabii55","@alatayabii55")</f>
        <v>@alatayabii55</v>
      </c>
      <c r="C503" s="13" t="s">
        <v>2803</v>
      </c>
      <c r="D503" s="13" t="s">
        <v>2804</v>
      </c>
      <c r="E503" s="12" t="str">
        <f>HYPERLINK("https://twitter.com/alatayabii55/status/1181841994554990592","1181841994554990592")</f>
        <v>1181841994554990592</v>
      </c>
      <c r="F503" s="8"/>
      <c r="G503" s="14" t="s">
        <v>2805</v>
      </c>
      <c r="H503" s="8"/>
      <c r="I503" s="15">
        <v>0</v>
      </c>
      <c r="J503" s="15">
        <v>0</v>
      </c>
      <c r="K503" s="12" t="str">
        <f>HYPERLINK("http://twitter.com","Twitter Web Client")</f>
        <v>Twitter Web Client</v>
      </c>
      <c r="L503" s="16">
        <v>15</v>
      </c>
      <c r="M503" s="16">
        <v>49</v>
      </c>
      <c r="N503" s="16">
        <v>0</v>
      </c>
      <c r="O503" s="17"/>
      <c r="P503" s="18">
        <v>42074.671979166669</v>
      </c>
      <c r="Q503" s="8"/>
      <c r="R503" s="8"/>
      <c r="S503" s="8"/>
      <c r="T503" s="8"/>
      <c r="U503" s="19" t="str">
        <f>HYPERLINK("https://pbs.twimg.com/profile_images/575795561913131008/cKfrNuQx.jpeg","View")</f>
        <v>View</v>
      </c>
      <c r="V503" s="8"/>
      <c r="W503" s="8"/>
      <c r="X503" s="8"/>
      <c r="Y503" s="8"/>
      <c r="Z503" s="8"/>
    </row>
    <row r="504" spans="1:26" ht="12.75">
      <c r="A504" s="11">
        <v>43747.041516203702</v>
      </c>
      <c r="B504" s="12" t="str">
        <f>HYPERLINK("https://twitter.com/BishiTahmid","@BishiTahmid")</f>
        <v>@BishiTahmid</v>
      </c>
      <c r="C504" s="13" t="s">
        <v>2809</v>
      </c>
      <c r="D504" s="7" t="s">
        <v>907</v>
      </c>
      <c r="E504" s="12" t="str">
        <f>HYPERLINK("https://twitter.com/BishiTahmid/status/1181841673698955269","1181841673698955269")</f>
        <v>1181841673698955269</v>
      </c>
      <c r="F504" s="8"/>
      <c r="G504" s="14" t="s">
        <v>2810</v>
      </c>
      <c r="H504" s="8"/>
      <c r="I504" s="15">
        <v>0</v>
      </c>
      <c r="J504" s="15">
        <v>0</v>
      </c>
      <c r="K504" s="12" t="str">
        <f>HYPERLINK("https://mobile.twitter.com","Twitter Web App")</f>
        <v>Twitter Web App</v>
      </c>
      <c r="L504" s="16">
        <v>0</v>
      </c>
      <c r="M504" s="16">
        <v>3</v>
      </c>
      <c r="N504" s="16">
        <v>0</v>
      </c>
      <c r="O504" s="17"/>
      <c r="P504" s="18">
        <v>43729.972673611112</v>
      </c>
      <c r="Q504" s="7" t="s">
        <v>2811</v>
      </c>
      <c r="R504" s="13" t="s">
        <v>955</v>
      </c>
      <c r="S504" s="8"/>
      <c r="T504" s="8"/>
      <c r="U504" s="19" t="str">
        <f>HYPERLINK("https://pbs.twimg.com/profile_images/1180764363604422656/9lHcm3tW.jpg","View")</f>
        <v>View</v>
      </c>
      <c r="V504" s="8"/>
      <c r="W504" s="8"/>
      <c r="X504" s="8"/>
      <c r="Y504" s="8"/>
      <c r="Z504" s="8"/>
    </row>
    <row r="505" spans="1:26" ht="12.75">
      <c r="A505" s="11">
        <v>43747.041412037041</v>
      </c>
      <c r="B505" s="12" t="str">
        <f>HYPERLINK("https://twitter.com/rideibrahim2014","@rideibrahim2014")</f>
        <v>@rideibrahim2014</v>
      </c>
      <c r="C505" s="13" t="s">
        <v>2815</v>
      </c>
      <c r="D505" s="13" t="s">
        <v>2816</v>
      </c>
      <c r="E505" s="12" t="str">
        <f>HYPERLINK("https://twitter.com/rideibrahim2014/status/1181841635635843072","1181841635635843072")</f>
        <v>1181841635635843072</v>
      </c>
      <c r="F505" s="8"/>
      <c r="G505" s="14" t="s">
        <v>2817</v>
      </c>
      <c r="H505" s="8"/>
      <c r="I505" s="15">
        <v>0</v>
      </c>
      <c r="J505" s="15">
        <v>0</v>
      </c>
      <c r="K505" s="12" t="str">
        <f>HYPERLINK("http://twitter.com","Twitter Web Client")</f>
        <v>Twitter Web Client</v>
      </c>
      <c r="L505" s="16">
        <v>1</v>
      </c>
      <c r="M505" s="16">
        <v>32</v>
      </c>
      <c r="N505" s="16">
        <v>0</v>
      </c>
      <c r="O505" s="17"/>
      <c r="P505" s="18">
        <v>41848.247083333335</v>
      </c>
      <c r="Q505" s="8"/>
      <c r="R505" s="8"/>
      <c r="S505" s="8"/>
      <c r="T505" s="8"/>
      <c r="U505" s="19" t="str">
        <f>HYPERLINK("https://pbs.twimg.com/profile_images/493741837031460865/e6W-CF9Z.jpeg","View")</f>
        <v>View</v>
      </c>
      <c r="V505" s="8"/>
      <c r="W505" s="8"/>
      <c r="X505" s="8"/>
      <c r="Y505" s="8"/>
      <c r="Z505" s="8"/>
    </row>
    <row r="506" spans="1:26" ht="12.75">
      <c r="A506" s="11">
        <v>43747.039837962962</v>
      </c>
      <c r="B506" s="12" t="str">
        <f>HYPERLINK("https://twitter.com/ShukriJoud","@ShukriJoud")</f>
        <v>@ShukriJoud</v>
      </c>
      <c r="C506" s="13" t="s">
        <v>2823</v>
      </c>
      <c r="D506" s="13" t="s">
        <v>914</v>
      </c>
      <c r="E506" s="12" t="str">
        <f>HYPERLINK("https://twitter.com/ShukriJoud/status/1181841067437486080","1181841067437486080")</f>
        <v>1181841067437486080</v>
      </c>
      <c r="F506" s="8"/>
      <c r="G506" s="14" t="s">
        <v>917</v>
      </c>
      <c r="H506" s="8"/>
      <c r="I506" s="15">
        <v>0</v>
      </c>
      <c r="J506" s="15">
        <v>0</v>
      </c>
      <c r="K506" s="12" t="str">
        <f>HYPERLINK("https://mobile.twitter.com","Twitter Web App")</f>
        <v>Twitter Web App</v>
      </c>
      <c r="L506" s="16">
        <v>0</v>
      </c>
      <c r="M506" s="16">
        <v>0</v>
      </c>
      <c r="N506" s="16">
        <v>0</v>
      </c>
      <c r="O506" s="17"/>
      <c r="P506" s="18">
        <v>43732.004490740743</v>
      </c>
      <c r="Q506" s="7" t="s">
        <v>1564</v>
      </c>
      <c r="R506" s="13" t="s">
        <v>2825</v>
      </c>
      <c r="S506" s="8"/>
      <c r="T506" s="8"/>
      <c r="U506" s="19" t="str">
        <f>HYPERLINK("https://pbs.twimg.com/profile_images/1180790475550101504/ZvNkwDo2.jpg","View")</f>
        <v>View</v>
      </c>
      <c r="V506" s="8"/>
      <c r="W506" s="8"/>
      <c r="X506" s="8"/>
      <c r="Y506" s="8"/>
      <c r="Z506" s="8"/>
    </row>
    <row r="507" spans="1:26" ht="12.75">
      <c r="A507" s="11">
        <v>43747.039641203708</v>
      </c>
      <c r="B507" s="12" t="str">
        <f>HYPERLINK("https://twitter.com/elkarshy33","@elkarshy33")</f>
        <v>@elkarshy33</v>
      </c>
      <c r="C507" s="13" t="s">
        <v>2828</v>
      </c>
      <c r="D507" s="13" t="s">
        <v>2829</v>
      </c>
      <c r="E507" s="12" t="str">
        <f>HYPERLINK("https://twitter.com/elkarshy33/status/1181840994779717634","1181840994779717634")</f>
        <v>1181840994779717634</v>
      </c>
      <c r="F507" s="8"/>
      <c r="G507" s="14" t="s">
        <v>2831</v>
      </c>
      <c r="H507" s="8"/>
      <c r="I507" s="15">
        <v>0</v>
      </c>
      <c r="J507" s="15">
        <v>0</v>
      </c>
      <c r="K507" s="12" t="str">
        <f>HYPERLINK("http://twitter.com","Twitter Web Client")</f>
        <v>Twitter Web Client</v>
      </c>
      <c r="L507" s="16">
        <v>5</v>
      </c>
      <c r="M507" s="16">
        <v>45</v>
      </c>
      <c r="N507" s="16">
        <v>0</v>
      </c>
      <c r="O507" s="17"/>
      <c r="P507" s="18">
        <v>42076.589606481481</v>
      </c>
      <c r="Q507" s="8"/>
      <c r="R507" s="8"/>
      <c r="S507" s="8"/>
      <c r="T507" s="8"/>
      <c r="U507" s="19" t="str">
        <f>HYPERLINK("https://pbs.twimg.com/profile_images/576490353315827712/vhXlCEBb.jpeg","View")</f>
        <v>View</v>
      </c>
      <c r="V507" s="8"/>
      <c r="W507" s="8"/>
      <c r="X507" s="8"/>
      <c r="Y507" s="8"/>
      <c r="Z507" s="8"/>
    </row>
    <row r="508" spans="1:26" ht="12.75">
      <c r="A508" s="11">
        <v>43747.039571759262</v>
      </c>
      <c r="B508" s="12" t="str">
        <f>HYPERLINK("https://twitter.com/SharifullahAl","@SharifullahAl")</f>
        <v>@SharifullahAl</v>
      </c>
      <c r="C508" s="13" t="s">
        <v>2834</v>
      </c>
      <c r="D508" s="7" t="s">
        <v>28</v>
      </c>
      <c r="E508" s="12" t="str">
        <f>HYPERLINK("https://twitter.com/SharifullahAl/status/1181840971811540992","1181840971811540992")</f>
        <v>1181840971811540992</v>
      </c>
      <c r="F508" s="8"/>
      <c r="G508" s="14" t="s">
        <v>31</v>
      </c>
      <c r="H508" s="8"/>
      <c r="I508" s="15">
        <v>0</v>
      </c>
      <c r="J508" s="15">
        <v>0</v>
      </c>
      <c r="K508" s="12" t="str">
        <f>HYPERLINK("https://mobile.twitter.com","Twitter Web App")</f>
        <v>Twitter Web App</v>
      </c>
      <c r="L508" s="16">
        <v>0</v>
      </c>
      <c r="M508" s="16">
        <v>0</v>
      </c>
      <c r="N508" s="16">
        <v>0</v>
      </c>
      <c r="O508" s="17"/>
      <c r="P508" s="18">
        <v>43731.977361111116</v>
      </c>
      <c r="Q508" s="7" t="s">
        <v>1288</v>
      </c>
      <c r="R508" s="13" t="s">
        <v>2835</v>
      </c>
      <c r="S508" s="8"/>
      <c r="T508" s="8"/>
      <c r="U508" s="19" t="str">
        <f>HYPERLINK("https://pbs.twimg.com/profile_images/1180787572831744000/NIPdWczH.jpg","View")</f>
        <v>View</v>
      </c>
      <c r="V508" s="8"/>
      <c r="W508" s="8"/>
      <c r="X508" s="8"/>
      <c r="Y508" s="8"/>
      <c r="Z508" s="8"/>
    </row>
    <row r="509" spans="1:26" ht="12.75">
      <c r="A509" s="11">
        <v>43747.039351851854</v>
      </c>
      <c r="B509" s="12" t="str">
        <f>HYPERLINK("https://twitter.com/mohamed48771981","@mohamed48771981")</f>
        <v>@mohamed48771981</v>
      </c>
      <c r="C509" s="13" t="s">
        <v>2836</v>
      </c>
      <c r="D509" s="13" t="s">
        <v>2837</v>
      </c>
      <c r="E509" s="12" t="str">
        <f>HYPERLINK("https://twitter.com/mohamed48771981/status/1181840891562123264","1181840891562123264")</f>
        <v>1181840891562123264</v>
      </c>
      <c r="F509" s="8"/>
      <c r="G509" s="14" t="s">
        <v>2838</v>
      </c>
      <c r="H509" s="8"/>
      <c r="I509" s="15">
        <v>0</v>
      </c>
      <c r="J509" s="15">
        <v>0</v>
      </c>
      <c r="K509" s="12" t="str">
        <f>HYPERLINK("http://twitter.com","Twitter Web Client")</f>
        <v>Twitter Web Client</v>
      </c>
      <c r="L509" s="16">
        <v>0</v>
      </c>
      <c r="M509" s="16">
        <v>36</v>
      </c>
      <c r="N509" s="16">
        <v>0</v>
      </c>
      <c r="O509" s="17"/>
      <c r="P509" s="18">
        <v>42068.252835648149</v>
      </c>
      <c r="Q509" s="8"/>
      <c r="R509" s="8"/>
      <c r="S509" s="8"/>
      <c r="T509" s="8"/>
      <c r="U509" s="19" t="str">
        <f>HYPERLINK("https://pbs.twimg.com/profile_images/573484430729158659/aK-KnCA3.jpeg","View")</f>
        <v>View</v>
      </c>
      <c r="V509" s="8"/>
      <c r="W509" s="8"/>
      <c r="X509" s="8"/>
      <c r="Y509" s="8"/>
      <c r="Z509" s="8"/>
    </row>
    <row r="510" spans="1:26" ht="12.75">
      <c r="A510" s="11">
        <v>43747.039120370369</v>
      </c>
      <c r="B510" s="12" t="str">
        <f>HYPERLINK("https://twitter.com/SaffarTaher","@SaffarTaher")</f>
        <v>@SaffarTaher</v>
      </c>
      <c r="C510" s="13" t="s">
        <v>2841</v>
      </c>
      <c r="D510" s="13" t="s">
        <v>923</v>
      </c>
      <c r="E510" s="12" t="str">
        <f>HYPERLINK("https://twitter.com/SaffarTaher/status/1181840806371446786","1181840806371446786")</f>
        <v>1181840806371446786</v>
      </c>
      <c r="F510" s="8"/>
      <c r="G510" s="14" t="s">
        <v>2842</v>
      </c>
      <c r="H510" s="8"/>
      <c r="I510" s="15">
        <v>0</v>
      </c>
      <c r="J510" s="15">
        <v>0</v>
      </c>
      <c r="K510" s="12" t="str">
        <f>HYPERLINK("https://mobile.twitter.com","Twitter Web App")</f>
        <v>Twitter Web App</v>
      </c>
      <c r="L510" s="16">
        <v>0</v>
      </c>
      <c r="M510" s="16">
        <v>2</v>
      </c>
      <c r="N510" s="16">
        <v>0</v>
      </c>
      <c r="O510" s="17"/>
      <c r="P510" s="18">
        <v>43729.96738425926</v>
      </c>
      <c r="Q510" s="8" t="s">
        <v>1280</v>
      </c>
      <c r="R510" s="8" t="s">
        <v>1135</v>
      </c>
      <c r="S510" s="8"/>
      <c r="T510" s="8"/>
      <c r="U510" s="19" t="str">
        <f>HYPERLINK("https://pbs.twimg.com/profile_images/1180753366424506368/9NDBpz4C.jpg","View")</f>
        <v>View</v>
      </c>
      <c r="V510" s="8"/>
      <c r="W510" s="8"/>
      <c r="X510" s="8"/>
      <c r="Y510" s="8"/>
      <c r="Z510" s="8"/>
    </row>
    <row r="511" spans="1:26" ht="12.75">
      <c r="A511" s="11">
        <v>43747.038819444446</v>
      </c>
      <c r="B511" s="12" t="str">
        <f>HYPERLINK("https://twitter.com/RAWitt2","@RAWitt2")</f>
        <v>@RAWitt2</v>
      </c>
      <c r="C511" s="13" t="s">
        <v>2848</v>
      </c>
      <c r="D511" s="13" t="s">
        <v>2849</v>
      </c>
      <c r="E511" s="12" t="str">
        <f>HYPERLINK("https://twitter.com/RAWitt2/status/1181840695805403138","1181840695805403138")</f>
        <v>1181840695805403138</v>
      </c>
      <c r="F511" s="14" t="s">
        <v>2850</v>
      </c>
      <c r="G511" s="15"/>
      <c r="H511" s="8"/>
      <c r="I511" s="15">
        <v>0</v>
      </c>
      <c r="J511" s="15">
        <v>0</v>
      </c>
      <c r="K511" s="12" t="str">
        <f>HYPERLINK("http://twitter.com/download/android","Twitter for Android")</f>
        <v>Twitter for Android</v>
      </c>
      <c r="L511" s="16">
        <v>118</v>
      </c>
      <c r="M511" s="16">
        <v>347</v>
      </c>
      <c r="N511" s="16">
        <v>8</v>
      </c>
      <c r="O511" s="17"/>
      <c r="P511" s="18">
        <v>41543.403182870374</v>
      </c>
      <c r="Q511" s="7" t="s">
        <v>2852</v>
      </c>
      <c r="R511" s="13"/>
      <c r="S511" s="8"/>
      <c r="T511" s="8"/>
      <c r="U511" s="19" t="str">
        <f>HYPERLINK("https://pbs.twimg.com/profile_images/794305724197146624/ZPiGiNY0.jpg","View")</f>
        <v>View</v>
      </c>
      <c r="V511" s="8"/>
      <c r="W511" s="8"/>
      <c r="X511" s="8"/>
      <c r="Y511" s="8"/>
      <c r="Z511" s="8"/>
    </row>
    <row r="512" spans="1:26" ht="12.75">
      <c r="A512" s="11">
        <v>43747.038657407407</v>
      </c>
      <c r="B512" s="12" t="str">
        <f>HYPERLINK("https://twitter.com/elguohan3423","@elguohan3423")</f>
        <v>@elguohan3423</v>
      </c>
      <c r="C512" s="13" t="s">
        <v>2855</v>
      </c>
      <c r="D512" s="13" t="s">
        <v>2856</v>
      </c>
      <c r="E512" s="12" t="str">
        <f>HYPERLINK("https://twitter.com/elguohan3423/status/1181840637840240640","1181840637840240640")</f>
        <v>1181840637840240640</v>
      </c>
      <c r="F512" s="8"/>
      <c r="G512" s="14" t="s">
        <v>2857</v>
      </c>
      <c r="H512" s="8"/>
      <c r="I512" s="15">
        <v>0</v>
      </c>
      <c r="J512" s="15">
        <v>0</v>
      </c>
      <c r="K512" s="12" t="str">
        <f>HYPERLINK("http://twitter.com","Twitter Web Client")</f>
        <v>Twitter Web Client</v>
      </c>
      <c r="L512" s="16">
        <v>10</v>
      </c>
      <c r="M512" s="16">
        <v>44</v>
      </c>
      <c r="N512" s="16">
        <v>0</v>
      </c>
      <c r="O512" s="17"/>
      <c r="P512" s="18">
        <v>42075.473506944443</v>
      </c>
      <c r="Q512" s="8"/>
      <c r="R512" s="8"/>
      <c r="S512" s="8"/>
      <c r="T512" s="8"/>
      <c r="U512" s="19" t="str">
        <f>HYPERLINK("https://pbs.twimg.com/profile_images/576085846543056896/F_CgWLCa.jpg","View")</f>
        <v>View</v>
      </c>
      <c r="V512" s="8"/>
      <c r="W512" s="8"/>
      <c r="X512" s="8"/>
      <c r="Y512" s="8"/>
      <c r="Z512" s="8"/>
    </row>
    <row r="513" spans="1:26" ht="12.75">
      <c r="A513" s="11">
        <v>43747.038217592592</v>
      </c>
      <c r="B513" s="12" t="str">
        <f>HYPERLINK("https://twitter.com/mohammedjabire1","@mohammedjabire1")</f>
        <v>@mohammedjabire1</v>
      </c>
      <c r="C513" s="13" t="s">
        <v>2859</v>
      </c>
      <c r="D513" s="7" t="s">
        <v>2861</v>
      </c>
      <c r="E513" s="12" t="str">
        <f>HYPERLINK("https://twitter.com/mohammedjabire1/status/1181840481082335232","1181840481082335232")</f>
        <v>1181840481082335232</v>
      </c>
      <c r="F513" s="8"/>
      <c r="G513" s="14" t="s">
        <v>2862</v>
      </c>
      <c r="H513" s="8"/>
      <c r="I513" s="15">
        <v>0</v>
      </c>
      <c r="J513" s="15">
        <v>0</v>
      </c>
      <c r="K513" s="12" t="str">
        <f>HYPERLINK("http://twitter.com","Twitter Web Client")</f>
        <v>Twitter Web Client</v>
      </c>
      <c r="L513" s="16">
        <v>1</v>
      </c>
      <c r="M513" s="16">
        <v>36</v>
      </c>
      <c r="N513" s="16">
        <v>0</v>
      </c>
      <c r="O513" s="17"/>
      <c r="P513" s="18">
        <v>42017.14234953704</v>
      </c>
      <c r="Q513" s="7"/>
      <c r="R513" s="13"/>
      <c r="S513" s="8"/>
      <c r="T513" s="8"/>
      <c r="U513" s="19" t="str">
        <f>HYPERLINK("https://pbs.twimg.com/profile_images/554962507295490048/HoFgckd7.jpeg","View")</f>
        <v>View</v>
      </c>
      <c r="V513" s="8"/>
      <c r="W513" s="8"/>
      <c r="X513" s="8"/>
      <c r="Y513" s="8"/>
      <c r="Z513" s="8"/>
    </row>
    <row r="514" spans="1:26" ht="12.75">
      <c r="A514" s="11">
        <v>43747.037777777776</v>
      </c>
      <c r="B514" s="12" t="str">
        <f>HYPERLINK("https://twitter.com/saeedalprevent","@saeedalprevent")</f>
        <v>@saeedalprevent</v>
      </c>
      <c r="C514" s="13" t="s">
        <v>2863</v>
      </c>
      <c r="D514" s="13" t="s">
        <v>2864</v>
      </c>
      <c r="E514" s="12" t="str">
        <f>HYPERLINK("https://twitter.com/saeedalprevent/status/1181840321476468736","1181840321476468736")</f>
        <v>1181840321476468736</v>
      </c>
      <c r="F514" s="8"/>
      <c r="G514" s="14" t="s">
        <v>2865</v>
      </c>
      <c r="H514" s="8"/>
      <c r="I514" s="15">
        <v>0</v>
      </c>
      <c r="J514" s="15">
        <v>0</v>
      </c>
      <c r="K514" s="12" t="str">
        <f>HYPERLINK("http://twitter.com","Twitter Web Client")</f>
        <v>Twitter Web Client</v>
      </c>
      <c r="L514" s="16">
        <v>3</v>
      </c>
      <c r="M514" s="16">
        <v>42</v>
      </c>
      <c r="N514" s="16">
        <v>0</v>
      </c>
      <c r="O514" s="17"/>
      <c r="P514" s="18">
        <v>42071.127268518518</v>
      </c>
      <c r="Q514" s="8"/>
      <c r="R514" s="8"/>
      <c r="S514" s="8"/>
      <c r="T514" s="8"/>
      <c r="U514" s="19" t="str">
        <f>HYPERLINK("https://pbs.twimg.com/profile_images/574511009437605888/gExokkAS.jpeg","View")</f>
        <v>View</v>
      </c>
      <c r="V514" s="8"/>
      <c r="W514" s="8"/>
      <c r="X514" s="8"/>
      <c r="Y514" s="8"/>
      <c r="Z514" s="8"/>
    </row>
    <row r="515" spans="1:26" ht="12.75">
      <c r="A515" s="11">
        <v>43747.037361111114</v>
      </c>
      <c r="B515" s="12" t="str">
        <f>HYPERLINK("https://twitter.com/khuyhanmutairi1","@khuyhanmutairi1")</f>
        <v>@khuyhanmutairi1</v>
      </c>
      <c r="C515" s="13" t="s">
        <v>2866</v>
      </c>
      <c r="D515" s="13" t="s">
        <v>2867</v>
      </c>
      <c r="E515" s="12" t="str">
        <f>HYPERLINK("https://twitter.com/khuyhanmutairi1/status/1181840170137657344","1181840170137657344")</f>
        <v>1181840170137657344</v>
      </c>
      <c r="F515" s="8"/>
      <c r="G515" s="14" t="s">
        <v>2868</v>
      </c>
      <c r="H515" s="8"/>
      <c r="I515" s="15">
        <v>0</v>
      </c>
      <c r="J515" s="15">
        <v>0</v>
      </c>
      <c r="K515" s="12" t="str">
        <f>HYPERLINK("http://twitter.com","Twitter Web Client")</f>
        <v>Twitter Web Client</v>
      </c>
      <c r="L515" s="16">
        <v>3</v>
      </c>
      <c r="M515" s="16">
        <v>38</v>
      </c>
      <c r="N515" s="16">
        <v>0</v>
      </c>
      <c r="O515" s="17"/>
      <c r="P515" s="18">
        <v>42080.196388888886</v>
      </c>
      <c r="Q515" s="8"/>
      <c r="R515" s="8"/>
      <c r="S515" s="8"/>
      <c r="T515" s="8"/>
      <c r="U515" s="19" t="str">
        <f>HYPERLINK("https://pbs.twimg.com/profile_images/577797466050838528/nKqmZLo2.jpeg","View")</f>
        <v>View</v>
      </c>
      <c r="V515" s="8"/>
      <c r="W515" s="8"/>
      <c r="X515" s="8"/>
      <c r="Y515" s="8"/>
      <c r="Z515" s="8"/>
    </row>
    <row r="516" spans="1:26" ht="12.75">
      <c r="A516" s="11">
        <v>43747.037222222221</v>
      </c>
      <c r="B516" s="12" t="str">
        <f>HYPERLINK("https://twitter.com/AlsnaniyHlal","@AlsnaniyHlal")</f>
        <v>@AlsnaniyHlal</v>
      </c>
      <c r="C516" s="13" t="s">
        <v>2872</v>
      </c>
      <c r="D516" s="7" t="s">
        <v>2873</v>
      </c>
      <c r="E516" s="12" t="str">
        <f>HYPERLINK("https://twitter.com/AlsnaniyHlal/status/1181840120518971392","1181840120518971392")</f>
        <v>1181840120518971392</v>
      </c>
      <c r="F516" s="8"/>
      <c r="G516" s="14" t="s">
        <v>2874</v>
      </c>
      <c r="H516" s="8"/>
      <c r="I516" s="15">
        <v>0</v>
      </c>
      <c r="J516" s="15">
        <v>0</v>
      </c>
      <c r="K516" s="12" t="str">
        <f>HYPERLINK("http://twitter.com","Twitter Web Client")</f>
        <v>Twitter Web Client</v>
      </c>
      <c r="L516" s="16">
        <v>6</v>
      </c>
      <c r="M516" s="16">
        <v>39</v>
      </c>
      <c r="N516" s="16">
        <v>0</v>
      </c>
      <c r="O516" s="17"/>
      <c r="P516" s="18">
        <v>42072.190023148149</v>
      </c>
      <c r="Q516" s="7"/>
      <c r="R516" s="8"/>
      <c r="S516" s="8"/>
      <c r="T516" s="8"/>
      <c r="U516" s="19" t="str">
        <f>HYPERLINK("https://pbs.twimg.com/profile_images/574911840091697152/QFcf8jMx.jpeg","View")</f>
        <v>View</v>
      </c>
      <c r="V516" s="8"/>
      <c r="W516" s="8"/>
      <c r="X516" s="8"/>
      <c r="Y516" s="8"/>
      <c r="Z516" s="8"/>
    </row>
    <row r="517" spans="1:26" ht="12.75">
      <c r="A517" s="11">
        <v>43747.036539351851</v>
      </c>
      <c r="B517" s="12" t="str">
        <f>HYPERLINK("https://twitter.com/eldabeeb_elll","@eldabeeb_elll")</f>
        <v>@eldabeeb_elll</v>
      </c>
      <c r="C517" s="13" t="s">
        <v>2877</v>
      </c>
      <c r="D517" s="13" t="s">
        <v>2879</v>
      </c>
      <c r="E517" s="12" t="str">
        <f>HYPERLINK("https://twitter.com/eldabeeb_elll/status/1181839870387466240","1181839870387466240")</f>
        <v>1181839870387466240</v>
      </c>
      <c r="F517" s="8"/>
      <c r="G517" s="14" t="s">
        <v>2880</v>
      </c>
      <c r="H517" s="8"/>
      <c r="I517" s="15">
        <v>0</v>
      </c>
      <c r="J517" s="15">
        <v>0</v>
      </c>
      <c r="K517" s="12" t="str">
        <f>HYPERLINK("http://twitter.com","Twitter Web Client")</f>
        <v>Twitter Web Client</v>
      </c>
      <c r="L517" s="16">
        <v>3</v>
      </c>
      <c r="M517" s="16">
        <v>39</v>
      </c>
      <c r="N517" s="16">
        <v>0</v>
      </c>
      <c r="O517" s="17"/>
      <c r="P517" s="18">
        <v>42075.19667824074</v>
      </c>
      <c r="Q517" s="8"/>
      <c r="R517" s="8"/>
      <c r="S517" s="8"/>
      <c r="T517" s="8"/>
      <c r="U517" s="19" t="str">
        <f>HYPERLINK("https://pbs.twimg.com/profile_images/575985553675431937/x_YSIKmd.jpeg","View")</f>
        <v>View</v>
      </c>
      <c r="V517" s="8"/>
      <c r="W517" s="8"/>
      <c r="X517" s="8"/>
      <c r="Y517" s="8"/>
      <c r="Z517" s="8"/>
    </row>
    <row r="518" spans="1:26" ht="12.75">
      <c r="A518" s="11">
        <v>43747.035543981481</v>
      </c>
      <c r="B518" s="12" t="str">
        <f>HYPERLINK("https://twitter.com/AmriShaheed","@AmriShaheed")</f>
        <v>@AmriShaheed</v>
      </c>
      <c r="C518" s="13" t="s">
        <v>2884</v>
      </c>
      <c r="D518" s="13" t="s">
        <v>937</v>
      </c>
      <c r="E518" s="12" t="str">
        <f>HYPERLINK("https://twitter.com/AmriShaheed/status/1181839511883399168","1181839511883399168")</f>
        <v>1181839511883399168</v>
      </c>
      <c r="F518" s="8"/>
      <c r="G518" s="14" t="s">
        <v>2885</v>
      </c>
      <c r="H518" s="8"/>
      <c r="I518" s="15">
        <v>0</v>
      </c>
      <c r="J518" s="15">
        <v>0</v>
      </c>
      <c r="K518" s="12" t="str">
        <f>HYPERLINK("https://mobile.twitter.com","Twitter Web App")</f>
        <v>Twitter Web App</v>
      </c>
      <c r="L518" s="16">
        <v>0</v>
      </c>
      <c r="M518" s="16">
        <v>1</v>
      </c>
      <c r="N518" s="16">
        <v>0</v>
      </c>
      <c r="O518" s="17"/>
      <c r="P518" s="18">
        <v>43729.958344907413</v>
      </c>
      <c r="Q518" s="7" t="s">
        <v>1428</v>
      </c>
      <c r="R518" s="13" t="s">
        <v>1552</v>
      </c>
      <c r="S518" s="8"/>
      <c r="T518" s="8"/>
      <c r="U518" s="19" t="str">
        <f>HYPERLINK("https://pbs.twimg.com/profile_images/1180751622965612545/89M5BAJQ.jpg","View")</f>
        <v>View</v>
      </c>
      <c r="V518" s="8"/>
      <c r="W518" s="8"/>
      <c r="X518" s="8"/>
      <c r="Y518" s="8"/>
      <c r="Z518" s="8"/>
    </row>
    <row r="519" spans="1:26" ht="12.75">
      <c r="A519" s="11">
        <v>43747.034942129627</v>
      </c>
      <c r="B519" s="12" t="str">
        <f>HYPERLINK("https://twitter.com/supernasseralh1","@supernasseralh1")</f>
        <v>@supernasseralh1</v>
      </c>
      <c r="C519" s="13" t="s">
        <v>2886</v>
      </c>
      <c r="D519" s="13" t="s">
        <v>2887</v>
      </c>
      <c r="E519" s="12" t="str">
        <f>HYPERLINK("https://twitter.com/supernasseralh1/status/1181839293549027329","1181839293549027329")</f>
        <v>1181839293549027329</v>
      </c>
      <c r="F519" s="8"/>
      <c r="G519" s="14" t="s">
        <v>2888</v>
      </c>
      <c r="H519" s="8"/>
      <c r="I519" s="15">
        <v>0</v>
      </c>
      <c r="J519" s="15">
        <v>0</v>
      </c>
      <c r="K519" s="12" t="str">
        <f>HYPERLINK("http://twitter.com","Twitter Web Client")</f>
        <v>Twitter Web Client</v>
      </c>
      <c r="L519" s="16">
        <v>1</v>
      </c>
      <c r="M519" s="16">
        <v>43</v>
      </c>
      <c r="N519" s="16">
        <v>0</v>
      </c>
      <c r="O519" s="17"/>
      <c r="P519" s="18">
        <v>42072.520752314813</v>
      </c>
      <c r="Q519" s="8"/>
      <c r="R519" s="8"/>
      <c r="S519" s="8"/>
      <c r="T519" s="8"/>
      <c r="U519" s="19" t="str">
        <f>HYPERLINK("https://pbs.twimg.com/profile_images/575016237798817792/Eyp7q6J3.jpeg","View")</f>
        <v>View</v>
      </c>
      <c r="V519" s="8"/>
      <c r="W519" s="8"/>
      <c r="X519" s="8"/>
      <c r="Y519" s="8"/>
      <c r="Z519" s="8"/>
    </row>
    <row r="520" spans="1:26" ht="12.75">
      <c r="A520" s="11">
        <v>43747.034548611111</v>
      </c>
      <c r="B520" s="12" t="str">
        <f>HYPERLINK("https://twitter.com/ShakirSekhAli1","@ShakirSekhAli1")</f>
        <v>@ShakirSekhAli1</v>
      </c>
      <c r="C520" s="13" t="s">
        <v>2889</v>
      </c>
      <c r="D520" s="13" t="s">
        <v>968</v>
      </c>
      <c r="E520" s="12" t="str">
        <f>HYPERLINK("https://twitter.com/ShakirSekhAli1/status/1181839150024028160","1181839150024028160")</f>
        <v>1181839150024028160</v>
      </c>
      <c r="F520" s="8"/>
      <c r="G520" s="14" t="s">
        <v>2891</v>
      </c>
      <c r="H520" s="8"/>
      <c r="I520" s="15">
        <v>0</v>
      </c>
      <c r="J520" s="15">
        <v>0</v>
      </c>
      <c r="K520" s="12" t="str">
        <f>HYPERLINK("https://mobile.twitter.com","Twitter Web App")</f>
        <v>Twitter Web App</v>
      </c>
      <c r="L520" s="16">
        <v>0</v>
      </c>
      <c r="M520" s="16">
        <v>0</v>
      </c>
      <c r="N520" s="16">
        <v>0</v>
      </c>
      <c r="O520" s="17"/>
      <c r="P520" s="18">
        <v>43729.978101851855</v>
      </c>
      <c r="Q520" s="8" t="s">
        <v>1271</v>
      </c>
      <c r="R520" s="8" t="s">
        <v>2895</v>
      </c>
      <c r="S520" s="8"/>
      <c r="T520" s="8"/>
      <c r="U520" s="19" t="str">
        <f>HYPERLINK("https://pbs.twimg.com/profile_images/1180785156044410880/eM9q-qp-.jpg","View")</f>
        <v>View</v>
      </c>
      <c r="V520" s="8"/>
      <c r="W520" s="8"/>
      <c r="X520" s="8"/>
      <c r="Y520" s="8"/>
      <c r="Z520" s="8"/>
    </row>
    <row r="521" spans="1:26" ht="12.75">
      <c r="A521" s="11">
        <v>43747.034108796295</v>
      </c>
      <c r="B521" s="12" t="str">
        <f>HYPERLINK("https://twitter.com/maseaefr","@maseaefr")</f>
        <v>@maseaefr</v>
      </c>
      <c r="C521" s="13" t="s">
        <v>2896</v>
      </c>
      <c r="D521" s="7" t="s">
        <v>2897</v>
      </c>
      <c r="E521" s="12" t="str">
        <f>HYPERLINK("https://twitter.com/maseaefr/status/1181838990175023105","1181838990175023105")</f>
        <v>1181838990175023105</v>
      </c>
      <c r="F521" s="8"/>
      <c r="G521" s="14" t="s">
        <v>2898</v>
      </c>
      <c r="H521" s="8"/>
      <c r="I521" s="15">
        <v>0</v>
      </c>
      <c r="J521" s="15">
        <v>0</v>
      </c>
      <c r="K521" s="12" t="str">
        <f>HYPERLINK("http://twitter.com","Twitter Web Client")</f>
        <v>Twitter Web Client</v>
      </c>
      <c r="L521" s="16">
        <v>0</v>
      </c>
      <c r="M521" s="16">
        <v>29</v>
      </c>
      <c r="N521" s="16">
        <v>0</v>
      </c>
      <c r="O521" s="17"/>
      <c r="P521" s="18">
        <v>41848.21806712963</v>
      </c>
      <c r="Q521" s="7"/>
      <c r="R521" s="13"/>
      <c r="S521" s="8"/>
      <c r="T521" s="8"/>
      <c r="U521" s="19" t="str">
        <f>HYPERLINK("https://pbs.twimg.com/profile_images/493731840671248384/ETudIldQ.jpeg","View")</f>
        <v>View</v>
      </c>
      <c r="V521" s="8"/>
      <c r="W521" s="8"/>
      <c r="X521" s="8"/>
      <c r="Y521" s="8"/>
      <c r="Z521" s="8"/>
    </row>
    <row r="522" spans="1:26" ht="12.75">
      <c r="A522" s="11">
        <v>43747.033819444448</v>
      </c>
      <c r="B522" s="12" t="str">
        <f>HYPERLINK("https://twitter.com/hamadshalawi","@hamadshalawi")</f>
        <v>@hamadshalawi</v>
      </c>
      <c r="C522" s="13" t="s">
        <v>2899</v>
      </c>
      <c r="D522" s="13" t="s">
        <v>2900</v>
      </c>
      <c r="E522" s="12" t="str">
        <f>HYPERLINK("https://twitter.com/hamadshalawi/status/1181838886508662786","1181838886508662786")</f>
        <v>1181838886508662786</v>
      </c>
      <c r="F522" s="8"/>
      <c r="G522" s="14" t="s">
        <v>2901</v>
      </c>
      <c r="H522" s="8"/>
      <c r="I522" s="15">
        <v>0</v>
      </c>
      <c r="J522" s="15">
        <v>0</v>
      </c>
      <c r="K522" s="12" t="str">
        <f>HYPERLINK("http://twitter.com","Twitter Web Client")</f>
        <v>Twitter Web Client</v>
      </c>
      <c r="L522" s="16">
        <v>1</v>
      </c>
      <c r="M522" s="16">
        <v>28</v>
      </c>
      <c r="N522" s="16">
        <v>0</v>
      </c>
      <c r="O522" s="17"/>
      <c r="P522" s="18">
        <v>42021.740231481483</v>
      </c>
      <c r="Q522" s="8"/>
      <c r="R522" s="8"/>
      <c r="S522" s="8"/>
      <c r="T522" s="8"/>
      <c r="U522" s="19" t="str">
        <f>HYPERLINK("https://pbs.twimg.com/profile_images/556633192900210689/id9RrzKB.jpeg","View")</f>
        <v>View</v>
      </c>
      <c r="V522" s="8"/>
      <c r="W522" s="8"/>
      <c r="X522" s="8"/>
      <c r="Y522" s="8"/>
      <c r="Z522" s="8"/>
    </row>
    <row r="523" spans="1:26" ht="12.75">
      <c r="A523" s="11">
        <v>43747.032314814816</v>
      </c>
      <c r="B523" s="12" t="str">
        <f>HYPERLINK("https://twitter.com/ShakeelBinAhem2","@ShakeelBinAhem2")</f>
        <v>@ShakeelBinAhem2</v>
      </c>
      <c r="C523" s="13" t="s">
        <v>2902</v>
      </c>
      <c r="D523" s="13" t="s">
        <v>944</v>
      </c>
      <c r="E523" s="12" t="str">
        <f>HYPERLINK("https://twitter.com/ShakeelBinAhem2/status/1181838338354888704","1181838338354888704")</f>
        <v>1181838338354888704</v>
      </c>
      <c r="F523" s="8"/>
      <c r="G523" s="14" t="s">
        <v>2903</v>
      </c>
      <c r="H523" s="8"/>
      <c r="I523" s="15">
        <v>0</v>
      </c>
      <c r="J523" s="15">
        <v>0</v>
      </c>
      <c r="K523" s="12" t="str">
        <f>HYPERLINK("https://mobile.twitter.com","Twitter Web App")</f>
        <v>Twitter Web App</v>
      </c>
      <c r="L523" s="16">
        <v>0</v>
      </c>
      <c r="M523" s="16">
        <v>0</v>
      </c>
      <c r="N523" s="16">
        <v>0</v>
      </c>
      <c r="O523" s="17"/>
      <c r="P523" s="18">
        <v>43731.956539351857</v>
      </c>
      <c r="Q523" s="8" t="s">
        <v>1192</v>
      </c>
      <c r="R523" s="8" t="s">
        <v>2904</v>
      </c>
      <c r="S523" s="8"/>
      <c r="T523" s="8"/>
      <c r="U523" s="19" t="str">
        <f>HYPERLINK("https://pbs.twimg.com/profile_images/1180783190958456832/wCY2qgRL.jpg","View")</f>
        <v>View</v>
      </c>
      <c r="V523" s="8"/>
      <c r="W523" s="8"/>
      <c r="X523" s="8"/>
      <c r="Y523" s="8"/>
      <c r="Z523" s="8"/>
    </row>
    <row r="524" spans="1:26" ht="12.75">
      <c r="A524" s="11">
        <v>43747.032175925924</v>
      </c>
      <c r="B524" s="12" t="str">
        <f>HYPERLINK("https://twitter.com/HamaidiSultan","@HamaidiSultan")</f>
        <v>@HamaidiSultan</v>
      </c>
      <c r="C524" s="13" t="s">
        <v>2906</v>
      </c>
      <c r="D524" s="13" t="s">
        <v>952</v>
      </c>
      <c r="E524" s="12" t="str">
        <f>HYPERLINK("https://twitter.com/HamaidiSultan/status/1181838288434319360","1181838288434319360")</f>
        <v>1181838288434319360</v>
      </c>
      <c r="F524" s="8"/>
      <c r="G524" s="14" t="s">
        <v>2908</v>
      </c>
      <c r="H524" s="8"/>
      <c r="I524" s="15">
        <v>0</v>
      </c>
      <c r="J524" s="15">
        <v>0</v>
      </c>
      <c r="K524" s="12" t="str">
        <f>HYPERLINK("https://mobile.twitter.com","Twitter Web App")</f>
        <v>Twitter Web App</v>
      </c>
      <c r="L524" s="16">
        <v>0</v>
      </c>
      <c r="M524" s="16">
        <v>1</v>
      </c>
      <c r="N524" s="16">
        <v>0</v>
      </c>
      <c r="O524" s="17"/>
      <c r="P524" s="18">
        <v>43729.954594907409</v>
      </c>
      <c r="Q524" s="8" t="s">
        <v>1249</v>
      </c>
      <c r="R524" s="8" t="s">
        <v>955</v>
      </c>
      <c r="S524" s="8"/>
      <c r="T524" s="8"/>
      <c r="U524" s="19" t="str">
        <f>HYPERLINK("https://pbs.twimg.com/profile_images/1180748569268998144/kAuQOvq_.jpg","View")</f>
        <v>View</v>
      </c>
      <c r="V524" s="8"/>
      <c r="W524" s="8"/>
      <c r="X524" s="8"/>
      <c r="Y524" s="8"/>
      <c r="Z524" s="8"/>
    </row>
    <row r="525" spans="1:26" ht="12.75">
      <c r="A525" s="11">
        <v>43747.032164351855</v>
      </c>
      <c r="B525" s="12" t="str">
        <f>HYPERLINK("https://twitter.com/hassanabsi1","@hassanabsi1")</f>
        <v>@hassanabsi1</v>
      </c>
      <c r="C525" s="13" t="s">
        <v>2911</v>
      </c>
      <c r="D525" s="7" t="s">
        <v>2912</v>
      </c>
      <c r="E525" s="12" t="str">
        <f>HYPERLINK("https://twitter.com/hassanabsi1/status/1181838286085656577","1181838286085656577")</f>
        <v>1181838286085656577</v>
      </c>
      <c r="F525" s="8"/>
      <c r="G525" s="14" t="s">
        <v>2913</v>
      </c>
      <c r="H525" s="8"/>
      <c r="I525" s="15">
        <v>0</v>
      </c>
      <c r="J525" s="15">
        <v>0</v>
      </c>
      <c r="K525" s="12" t="str">
        <f>HYPERLINK("http://twitter.com","Twitter Web Client")</f>
        <v>Twitter Web Client</v>
      </c>
      <c r="L525" s="16">
        <v>0</v>
      </c>
      <c r="M525" s="16">
        <v>31</v>
      </c>
      <c r="N525" s="16">
        <v>0</v>
      </c>
      <c r="O525" s="17"/>
      <c r="P525" s="18">
        <v>41825.538773148146</v>
      </c>
      <c r="Q525" s="7"/>
      <c r="R525" s="13"/>
      <c r="S525" s="8"/>
      <c r="T525" s="8"/>
      <c r="U525" s="19" t="str">
        <f>HYPERLINK("https://pbs.twimg.com/profile_images/485513080395165696/SDhoebMF.jpeg","View")</f>
        <v>View</v>
      </c>
      <c r="V525" s="8"/>
      <c r="W525" s="8"/>
      <c r="X525" s="8"/>
      <c r="Y525" s="8"/>
      <c r="Z525" s="8"/>
    </row>
    <row r="526" spans="1:26" ht="12.75">
      <c r="A526" s="11">
        <v>43747.031747685185</v>
      </c>
      <c r="B526" s="12" t="str">
        <f>HYPERLINK("https://twitter.com/salemalshahran","@salemalshahran")</f>
        <v>@salemalshahran</v>
      </c>
      <c r="C526" s="13" t="s">
        <v>2917</v>
      </c>
      <c r="D526" s="13" t="s">
        <v>2918</v>
      </c>
      <c r="E526" s="12" t="str">
        <f>HYPERLINK("https://twitter.com/salemalshahran/status/1181838134029488128","1181838134029488128")</f>
        <v>1181838134029488128</v>
      </c>
      <c r="F526" s="8"/>
      <c r="G526" s="14" t="s">
        <v>2919</v>
      </c>
      <c r="H526" s="8"/>
      <c r="I526" s="15">
        <v>0</v>
      </c>
      <c r="J526" s="15">
        <v>0</v>
      </c>
      <c r="K526" s="12" t="str">
        <f>HYPERLINK("http://twitter.com","Twitter Web Client")</f>
        <v>Twitter Web Client</v>
      </c>
      <c r="L526" s="16">
        <v>2</v>
      </c>
      <c r="M526" s="16">
        <v>33</v>
      </c>
      <c r="N526" s="16">
        <v>0</v>
      </c>
      <c r="O526" s="17"/>
      <c r="P526" s="18">
        <v>41848.227175925924</v>
      </c>
      <c r="Q526" s="8"/>
      <c r="R526" s="8"/>
      <c r="S526" s="8"/>
      <c r="T526" s="8"/>
      <c r="U526" s="19" t="str">
        <f>HYPERLINK("https://pbs.twimg.com/profile_images/493734601219522561/u6sqtfBY.jpeg","View")</f>
        <v>View</v>
      </c>
      <c r="V526" s="8"/>
      <c r="W526" s="8"/>
      <c r="X526" s="8"/>
      <c r="Y526" s="8"/>
      <c r="Z526" s="8"/>
    </row>
    <row r="527" spans="1:26" ht="12.75">
      <c r="A527" s="11">
        <v>43747.030925925923</v>
      </c>
      <c r="B527" s="12" t="str">
        <f>HYPERLINK("https://twitter.com/AshakOmar","@AshakOmar")</f>
        <v>@AshakOmar</v>
      </c>
      <c r="C527" s="13" t="s">
        <v>2922</v>
      </c>
      <c r="D527" s="7" t="s">
        <v>2923</v>
      </c>
      <c r="E527" s="12" t="str">
        <f>HYPERLINK("https://twitter.com/AshakOmar/status/1181837837395779584","1181837837395779584")</f>
        <v>1181837837395779584</v>
      </c>
      <c r="F527" s="8"/>
      <c r="G527" s="14" t="s">
        <v>2924</v>
      </c>
      <c r="H527" s="8"/>
      <c r="I527" s="15">
        <v>0</v>
      </c>
      <c r="J527" s="15">
        <v>0</v>
      </c>
      <c r="K527" s="12" t="str">
        <f>HYPERLINK("http://twitter.com","Twitter Web Client")</f>
        <v>Twitter Web Client</v>
      </c>
      <c r="L527" s="16">
        <v>3</v>
      </c>
      <c r="M527" s="16">
        <v>41</v>
      </c>
      <c r="N527" s="16">
        <v>0</v>
      </c>
      <c r="O527" s="17"/>
      <c r="P527" s="18">
        <v>42074.31450231481</v>
      </c>
      <c r="Q527" s="7"/>
      <c r="R527" s="13"/>
      <c r="S527" s="8"/>
      <c r="T527" s="8"/>
      <c r="U527" s="19" t="str">
        <f>HYPERLINK("https://pbs.twimg.com/profile_images/575668703448035329/oY29RKAL.jpeg","View")</f>
        <v>View</v>
      </c>
      <c r="V527" s="8"/>
      <c r="W527" s="8"/>
      <c r="X527" s="8"/>
      <c r="Y527" s="8"/>
      <c r="Z527" s="8"/>
    </row>
    <row r="528" spans="1:26" ht="12.75">
      <c r="A528" s="11">
        <v>43747.030798611115</v>
      </c>
      <c r="B528" s="12" t="str">
        <f>HYPERLINK("https://twitter.com/saeedghamdi15","@saeedghamdi15")</f>
        <v>@saeedghamdi15</v>
      </c>
      <c r="C528" s="13" t="s">
        <v>2928</v>
      </c>
      <c r="D528" s="7" t="s">
        <v>2929</v>
      </c>
      <c r="E528" s="12" t="str">
        <f>HYPERLINK("https://twitter.com/saeedghamdi15/status/1181837789370998784","1181837789370998784")</f>
        <v>1181837789370998784</v>
      </c>
      <c r="F528" s="8"/>
      <c r="G528" s="14" t="s">
        <v>2930</v>
      </c>
      <c r="H528" s="8"/>
      <c r="I528" s="15">
        <v>0</v>
      </c>
      <c r="J528" s="15">
        <v>0</v>
      </c>
      <c r="K528" s="12" t="str">
        <f>HYPERLINK("http://twitter.com","Twitter Web Client")</f>
        <v>Twitter Web Client</v>
      </c>
      <c r="L528" s="16">
        <v>0</v>
      </c>
      <c r="M528" s="16">
        <v>30</v>
      </c>
      <c r="N528" s="16">
        <v>0</v>
      </c>
      <c r="O528" s="17"/>
      <c r="P528" s="18">
        <v>42080.826701388884</v>
      </c>
      <c r="Q528" s="7"/>
      <c r="R528" s="13"/>
      <c r="S528" s="8"/>
      <c r="T528" s="8"/>
      <c r="U528" s="19" t="str">
        <f>HYPERLINK("https://pbs.twimg.com/profile_images/578026083406077952/YIH0AaEC.jpeg","View")</f>
        <v>View</v>
      </c>
      <c r="V528" s="8"/>
      <c r="W528" s="8"/>
      <c r="X528" s="8"/>
      <c r="Y528" s="8"/>
      <c r="Z528" s="8"/>
    </row>
    <row r="529" spans="1:26" ht="12.75">
      <c r="A529" s="11">
        <v>43747.030416666668</v>
      </c>
      <c r="B529" s="12" t="str">
        <f>HYPERLINK("https://twitter.com/ShahidalDinAli2","@ShahidalDinAli2")</f>
        <v>@ShahidalDinAli2</v>
      </c>
      <c r="C529" s="13" t="s">
        <v>2934</v>
      </c>
      <c r="D529" s="13" t="s">
        <v>1030</v>
      </c>
      <c r="E529" s="12" t="str">
        <f>HYPERLINK("https://twitter.com/ShahidalDinAli2/status/1181837651495669760","1181837651495669760")</f>
        <v>1181837651495669760</v>
      </c>
      <c r="F529" s="8"/>
      <c r="G529" s="14" t="s">
        <v>2935</v>
      </c>
      <c r="H529" s="8"/>
      <c r="I529" s="15">
        <v>0</v>
      </c>
      <c r="J529" s="15">
        <v>0</v>
      </c>
      <c r="K529" s="12" t="str">
        <f>HYPERLINK("https://mobile.twitter.com","Twitter Web App")</f>
        <v>Twitter Web App</v>
      </c>
      <c r="L529" s="16">
        <v>0</v>
      </c>
      <c r="M529" s="16">
        <v>0</v>
      </c>
      <c r="N529" s="16">
        <v>0</v>
      </c>
      <c r="O529" s="17"/>
      <c r="P529" s="18">
        <v>43731.947696759264</v>
      </c>
      <c r="Q529" s="8" t="s">
        <v>1355</v>
      </c>
      <c r="R529" s="8" t="s">
        <v>2938</v>
      </c>
      <c r="S529" s="8"/>
      <c r="T529" s="8"/>
      <c r="U529" s="19" t="str">
        <f>HYPERLINK("https://pbs.twimg.com/profile_images/1180782519743991808/0XyQK-Ld.jpg","View")</f>
        <v>View</v>
      </c>
      <c r="V529" s="8"/>
      <c r="W529" s="8"/>
      <c r="X529" s="8"/>
      <c r="Y529" s="8"/>
      <c r="Z529" s="8"/>
    </row>
    <row r="530" spans="1:26" ht="12.75">
      <c r="A530" s="11">
        <v>43747.030381944445</v>
      </c>
      <c r="B530" s="12" t="str">
        <f>HYPERLINK("https://twitter.com/saidsahaabi2016","@saidsahaabi2016")</f>
        <v>@saidsahaabi2016</v>
      </c>
      <c r="C530" s="13" t="s">
        <v>2939</v>
      </c>
      <c r="D530" s="13" t="s">
        <v>2940</v>
      </c>
      <c r="E530" s="12" t="str">
        <f>HYPERLINK("https://twitter.com/saidsahaabi2016/status/1181837640091537409","1181837640091537409")</f>
        <v>1181837640091537409</v>
      </c>
      <c r="F530" s="8"/>
      <c r="G530" s="14" t="s">
        <v>2941</v>
      </c>
      <c r="H530" s="8"/>
      <c r="I530" s="15">
        <v>0</v>
      </c>
      <c r="J530" s="15">
        <v>0</v>
      </c>
      <c r="K530" s="12" t="str">
        <f>HYPERLINK("http://twitter.com","Twitter Web Client")</f>
        <v>Twitter Web Client</v>
      </c>
      <c r="L530" s="16">
        <v>13</v>
      </c>
      <c r="M530" s="16">
        <v>43</v>
      </c>
      <c r="N530" s="16">
        <v>0</v>
      </c>
      <c r="O530" s="17"/>
      <c r="P530" s="18">
        <v>42072.644733796296</v>
      </c>
      <c r="Q530" s="8"/>
      <c r="R530" s="8"/>
      <c r="S530" s="8"/>
      <c r="T530" s="8"/>
      <c r="U530" s="19" t="str">
        <f>HYPERLINK("https://pbs.twimg.com/profile_images/575061354219876353/ItRcnJcY.jpeg","View")</f>
        <v>View</v>
      </c>
      <c r="V530" s="8"/>
      <c r="W530" s="8"/>
      <c r="X530" s="8"/>
      <c r="Y530" s="8"/>
      <c r="Z530" s="8"/>
    </row>
    <row r="531" spans="1:26" ht="12.75">
      <c r="A531" s="11">
        <v>43747.029942129629</v>
      </c>
      <c r="B531" s="12" t="str">
        <f>HYPERLINK("https://twitter.com/ayeshaltamimi1","@ayeshaltamimi1")</f>
        <v>@ayeshaltamimi1</v>
      </c>
      <c r="C531" s="13" t="s">
        <v>2944</v>
      </c>
      <c r="D531" s="13" t="s">
        <v>2945</v>
      </c>
      <c r="E531" s="12" t="str">
        <f>HYPERLINK("https://twitter.com/ayeshaltamimi1/status/1181837478845702144","1181837478845702144")</f>
        <v>1181837478845702144</v>
      </c>
      <c r="F531" s="8"/>
      <c r="G531" s="14" t="s">
        <v>2947</v>
      </c>
      <c r="H531" s="8"/>
      <c r="I531" s="15">
        <v>0</v>
      </c>
      <c r="J531" s="15">
        <v>0</v>
      </c>
      <c r="K531" s="12" t="str">
        <f>HYPERLINK("http://twitter.com","Twitter Web Client")</f>
        <v>Twitter Web Client</v>
      </c>
      <c r="L531" s="16">
        <v>1</v>
      </c>
      <c r="M531" s="16">
        <v>30</v>
      </c>
      <c r="N531" s="16">
        <v>0</v>
      </c>
      <c r="O531" s="17"/>
      <c r="P531" s="18">
        <v>42081.698981481481</v>
      </c>
      <c r="Q531" s="8"/>
      <c r="R531" s="8"/>
      <c r="S531" s="8"/>
      <c r="T531" s="8"/>
      <c r="U531" s="19" t="str">
        <f>HYPERLINK("https://pbs.twimg.com/profile_images/578343090303307776/sLQjiI1f.jpeg","View")</f>
        <v>View</v>
      </c>
      <c r="V531" s="8"/>
      <c r="W531" s="8"/>
      <c r="X531" s="8"/>
      <c r="Y531" s="8"/>
      <c r="Z531" s="8"/>
    </row>
    <row r="532" spans="1:26" ht="12.75">
      <c r="A532" s="11">
        <v>43747.02988425926</v>
      </c>
      <c r="B532" s="12" t="str">
        <f>HYPERLINK("https://twitter.com/BishiBarkat","@BishiBarkat")</f>
        <v>@BishiBarkat</v>
      </c>
      <c r="C532" s="13" t="s">
        <v>2951</v>
      </c>
      <c r="D532" s="13" t="s">
        <v>1178</v>
      </c>
      <c r="E532" s="12" t="str">
        <f>HYPERLINK("https://twitter.com/BishiBarkat/status/1181837457504919553","1181837457504919553")</f>
        <v>1181837457504919553</v>
      </c>
      <c r="F532" s="8"/>
      <c r="G532" s="14" t="s">
        <v>2952</v>
      </c>
      <c r="H532" s="8"/>
      <c r="I532" s="15">
        <v>0</v>
      </c>
      <c r="J532" s="15">
        <v>0</v>
      </c>
      <c r="K532" s="12" t="str">
        <f>HYPERLINK("https://mobile.twitter.com","Twitter Web App")</f>
        <v>Twitter Web App</v>
      </c>
      <c r="L532" s="16">
        <v>0</v>
      </c>
      <c r="M532" s="16">
        <v>2</v>
      </c>
      <c r="N532" s="16">
        <v>0</v>
      </c>
      <c r="O532" s="17"/>
      <c r="P532" s="18">
        <v>43726.137141203704</v>
      </c>
      <c r="Q532" s="8" t="s">
        <v>1328</v>
      </c>
      <c r="R532" s="8" t="s">
        <v>2512</v>
      </c>
      <c r="S532" s="8"/>
      <c r="T532" s="8"/>
      <c r="U532" s="19" t="str">
        <f>HYPERLINK("https://pbs.twimg.com/profile_images/1180433277372362752/iD1rukzs.jpg","View")</f>
        <v>View</v>
      </c>
      <c r="V532" s="8"/>
      <c r="W532" s="8"/>
      <c r="X532" s="8"/>
      <c r="Y532" s="8"/>
      <c r="Z532" s="8"/>
    </row>
    <row r="533" spans="1:26" ht="12.75">
      <c r="A533" s="11">
        <v>43747.029791666668</v>
      </c>
      <c r="B533" s="12" t="str">
        <f>HYPERLINK("https://twitter.com/alzzaeim_alhlal","@alzzaeim_alhlal")</f>
        <v>@alzzaeim_alhlal</v>
      </c>
      <c r="C533" s="13" t="s">
        <v>2956</v>
      </c>
      <c r="D533" s="7" t="s">
        <v>2957</v>
      </c>
      <c r="E533" s="12" t="str">
        <f>HYPERLINK("https://twitter.com/alzzaeim_alhlal/status/1181837427993972737","1181837427993972737")</f>
        <v>1181837427993972737</v>
      </c>
      <c r="F533" s="8"/>
      <c r="G533" s="14" t="s">
        <v>2958</v>
      </c>
      <c r="H533" s="8"/>
      <c r="I533" s="15">
        <v>0</v>
      </c>
      <c r="J533" s="15">
        <v>0</v>
      </c>
      <c r="K533" s="12" t="str">
        <f>HYPERLINK("http://twitter.com","Twitter Web Client")</f>
        <v>Twitter Web Client</v>
      </c>
      <c r="L533" s="16">
        <v>1</v>
      </c>
      <c r="M533" s="16">
        <v>54</v>
      </c>
      <c r="N533" s="16">
        <v>0</v>
      </c>
      <c r="O533" s="17"/>
      <c r="P533" s="18">
        <v>41483.256319444445</v>
      </c>
      <c r="Q533" s="7"/>
      <c r="R533" s="7" t="s">
        <v>2960</v>
      </c>
      <c r="S533" s="15"/>
      <c r="T533" s="8"/>
      <c r="U533" s="19" t="str">
        <f>HYPERLINK("https://pbs.twimg.com/profile_images/823867067082412033/Kxnuuw5h.jpg","View")</f>
        <v>View</v>
      </c>
      <c r="V533" s="8"/>
      <c r="W533" s="8"/>
      <c r="X533" s="8"/>
      <c r="Y533" s="8"/>
      <c r="Z533" s="8"/>
    </row>
    <row r="534" spans="1:26" ht="12.75">
      <c r="A534" s="11">
        <v>43747.029212962967</v>
      </c>
      <c r="B534" s="12" t="str">
        <f>HYPERLINK("https://twitter.com/ShafiqullahAl","@ShafiqullahAl")</f>
        <v>@ShafiqullahAl</v>
      </c>
      <c r="C534" s="13" t="s">
        <v>2964</v>
      </c>
      <c r="D534" s="13" t="s">
        <v>1130</v>
      </c>
      <c r="E534" s="12" t="str">
        <f>HYPERLINK("https://twitter.com/ShafiqullahAl/status/1181837214784737280","1181837214784737280")</f>
        <v>1181837214784737280</v>
      </c>
      <c r="F534" s="8"/>
      <c r="G534" s="14" t="s">
        <v>2965</v>
      </c>
      <c r="H534" s="8"/>
      <c r="I534" s="15">
        <v>0</v>
      </c>
      <c r="J534" s="15">
        <v>0</v>
      </c>
      <c r="K534" s="12" t="str">
        <f>HYPERLINK("https://mobile.twitter.com","Twitter Web App")</f>
        <v>Twitter Web App</v>
      </c>
      <c r="L534" s="16">
        <v>0</v>
      </c>
      <c r="M534" s="16">
        <v>0</v>
      </c>
      <c r="N534" s="16">
        <v>0</v>
      </c>
      <c r="O534" s="17"/>
      <c r="P534" s="18">
        <v>43731.935902777783</v>
      </c>
      <c r="Q534" s="8" t="s">
        <v>1249</v>
      </c>
      <c r="R534" s="8" t="s">
        <v>2968</v>
      </c>
      <c r="S534" s="8"/>
      <c r="T534" s="8"/>
      <c r="U534" s="19" t="str">
        <f>HYPERLINK("https://pbs.twimg.com/profile_images/1180784583068934150/rcGHxMnu.jpg","View")</f>
        <v>View</v>
      </c>
      <c r="V534" s="8"/>
      <c r="W534" s="8"/>
      <c r="X534" s="8"/>
      <c r="Y534" s="8"/>
      <c r="Z534" s="8"/>
    </row>
    <row r="535" spans="1:26" ht="12.75">
      <c r="A535" s="11">
        <v>43747.029085648144</v>
      </c>
      <c r="B535" s="12" t="str">
        <f>HYPERLINK("https://twitter.com/alialradwanali1","@alialradwanali1")</f>
        <v>@alialradwanali1</v>
      </c>
      <c r="C535" s="13" t="s">
        <v>2969</v>
      </c>
      <c r="D535" s="13" t="s">
        <v>2970</v>
      </c>
      <c r="E535" s="12" t="str">
        <f>HYPERLINK("https://twitter.com/alialradwanali1/status/1181837170362998785","1181837170362998785")</f>
        <v>1181837170362998785</v>
      </c>
      <c r="F535" s="8"/>
      <c r="G535" s="14" t="s">
        <v>2973</v>
      </c>
      <c r="H535" s="8"/>
      <c r="I535" s="15">
        <v>0</v>
      </c>
      <c r="J535" s="15">
        <v>0</v>
      </c>
      <c r="K535" s="12" t="str">
        <f>HYPERLINK("http://twitter.com","Twitter Web Client")</f>
        <v>Twitter Web Client</v>
      </c>
      <c r="L535" s="16">
        <v>238</v>
      </c>
      <c r="M535" s="16">
        <v>15</v>
      </c>
      <c r="N535" s="16">
        <v>0</v>
      </c>
      <c r="O535" s="17"/>
      <c r="P535" s="18">
        <v>42089.788541666669</v>
      </c>
      <c r="Q535" s="8"/>
      <c r="R535" s="8"/>
      <c r="S535" s="8"/>
      <c r="T535" s="8"/>
      <c r="U535" s="19" t="str">
        <f>HYPERLINK("https://pbs.twimg.com/profile_images/581275734032949248/vLRv27Tl.jpg","View")</f>
        <v>View</v>
      </c>
      <c r="V535" s="8"/>
      <c r="W535" s="8"/>
      <c r="X535" s="8"/>
      <c r="Y535" s="8"/>
      <c r="Z535" s="8"/>
    </row>
    <row r="536" spans="1:26" ht="12.75">
      <c r="A536" s="11">
        <v>43747.028101851851</v>
      </c>
      <c r="B536" s="12" t="str">
        <f>HYPERLINK("https://twitter.com/abdaldamabdald3","@abdaldamabdald3")</f>
        <v>@abdaldamabdald3</v>
      </c>
      <c r="C536" s="13" t="s">
        <v>2976</v>
      </c>
      <c r="D536" s="13" t="s">
        <v>2977</v>
      </c>
      <c r="E536" s="12" t="str">
        <f>HYPERLINK("https://twitter.com/abdaldamabdald3/status/1181836815197724672","1181836815197724672")</f>
        <v>1181836815197724672</v>
      </c>
      <c r="F536" s="8"/>
      <c r="G536" s="14" t="s">
        <v>2978</v>
      </c>
      <c r="H536" s="8"/>
      <c r="I536" s="15">
        <v>0</v>
      </c>
      <c r="J536" s="15">
        <v>0</v>
      </c>
      <c r="K536" s="12" t="str">
        <f>HYPERLINK("http://twitter.com","Twitter Web Client")</f>
        <v>Twitter Web Client</v>
      </c>
      <c r="L536" s="16">
        <v>4</v>
      </c>
      <c r="M536" s="16">
        <v>41</v>
      </c>
      <c r="N536" s="16">
        <v>0</v>
      </c>
      <c r="O536" s="17"/>
      <c r="P536" s="18">
        <v>42071.348553240736</v>
      </c>
      <c r="Q536" s="8"/>
      <c r="R536" s="8"/>
      <c r="S536" s="8"/>
      <c r="T536" s="8"/>
      <c r="U536" s="19" t="str">
        <f>HYPERLINK("https://pbs.twimg.com/profile_images/574591533027975168/U2fhc6gm.jpeg","View")</f>
        <v>View</v>
      </c>
      <c r="V536" s="8"/>
      <c r="W536" s="8"/>
      <c r="X536" s="8"/>
      <c r="Y536" s="8"/>
      <c r="Z536" s="8"/>
    </row>
    <row r="537" spans="1:26" ht="12.75">
      <c r="A537" s="11">
        <v>43747.028067129635</v>
      </c>
      <c r="B537" s="12" t="str">
        <f>HYPERLINK("https://twitter.com/azizur_al","@azizur_al")</f>
        <v>@azizur_al</v>
      </c>
      <c r="C537" s="13" t="s">
        <v>2981</v>
      </c>
      <c r="D537" s="13" t="s">
        <v>907</v>
      </c>
      <c r="E537" s="12" t="str">
        <f>HYPERLINK("https://twitter.com/azizur_al/status/1181836800920186881","1181836800920186881")</f>
        <v>1181836800920186881</v>
      </c>
      <c r="F537" s="8"/>
      <c r="G537" s="14" t="s">
        <v>2982</v>
      </c>
      <c r="H537" s="8"/>
      <c r="I537" s="15">
        <v>0</v>
      </c>
      <c r="J537" s="15">
        <v>0</v>
      </c>
      <c r="K537" s="12" t="str">
        <f>HYPERLINK("https://mobile.twitter.com","Twitter Web App")</f>
        <v>Twitter Web App</v>
      </c>
      <c r="L537" s="16">
        <v>0</v>
      </c>
      <c r="M537" s="16">
        <v>2</v>
      </c>
      <c r="N537" s="16">
        <v>0</v>
      </c>
      <c r="O537" s="17"/>
      <c r="P537" s="18">
        <v>43724.930497685185</v>
      </c>
      <c r="Q537" s="7" t="s">
        <v>1405</v>
      </c>
      <c r="R537" s="13" t="s">
        <v>2983</v>
      </c>
      <c r="S537" s="8"/>
      <c r="T537" s="8"/>
      <c r="U537" s="19" t="str">
        <f>HYPERLINK("https://pbs.twimg.com/profile_images/1180418664249483265/Yz6Qkae0.jpg","View")</f>
        <v>View</v>
      </c>
      <c r="V537" s="8"/>
      <c r="W537" s="8"/>
      <c r="X537" s="8"/>
      <c r="Y537" s="8"/>
      <c r="Z537" s="8"/>
    </row>
    <row r="538" spans="1:26" ht="12.75">
      <c r="A538" s="11">
        <v>43747.027824074074</v>
      </c>
      <c r="B538" s="12" t="str">
        <f>HYPERLINK("https://twitter.com/al3atyabiie3","@al3atyabiie3")</f>
        <v>@al3atyabiie3</v>
      </c>
      <c r="C538" s="13" t="s">
        <v>2984</v>
      </c>
      <c r="D538" s="7" t="s">
        <v>2985</v>
      </c>
      <c r="E538" s="12" t="str">
        <f>HYPERLINK("https://twitter.com/al3atyabiie3/status/1181836714702249985","1181836714702249985")</f>
        <v>1181836714702249985</v>
      </c>
      <c r="F538" s="8"/>
      <c r="G538" s="14" t="s">
        <v>2986</v>
      </c>
      <c r="H538" s="8"/>
      <c r="I538" s="15">
        <v>0</v>
      </c>
      <c r="J538" s="15">
        <v>0</v>
      </c>
      <c r="K538" s="12" t="str">
        <f>HYPERLINK("http://twitter.com","Twitter Web Client")</f>
        <v>Twitter Web Client</v>
      </c>
      <c r="L538" s="16">
        <v>4</v>
      </c>
      <c r="M538" s="16">
        <v>37</v>
      </c>
      <c r="N538" s="16">
        <v>0</v>
      </c>
      <c r="O538" s="17"/>
      <c r="P538" s="18">
        <v>42088.431597222225</v>
      </c>
      <c r="Q538" s="7"/>
      <c r="R538" s="13"/>
      <c r="S538" s="8"/>
      <c r="T538" s="8"/>
      <c r="U538" s="19" t="str">
        <f>HYPERLINK("https://pbs.twimg.com/profile_images/580781985460854784/6Uca-Hwf.jpg","View")</f>
        <v>View</v>
      </c>
      <c r="V538" s="8"/>
      <c r="W538" s="8"/>
      <c r="X538" s="8"/>
      <c r="Y538" s="8"/>
      <c r="Z538" s="8"/>
    </row>
    <row r="539" spans="1:26" ht="12.75">
      <c r="A539" s="11">
        <v>43747.026423611111</v>
      </c>
      <c r="B539" s="12" t="str">
        <f>HYPERLINK("https://twitter.com/bnialiie74453","@bnialiie74453")</f>
        <v>@bnialiie74453</v>
      </c>
      <c r="C539" s="13" t="s">
        <v>2987</v>
      </c>
      <c r="D539" s="13" t="s">
        <v>2988</v>
      </c>
      <c r="E539" s="12" t="str">
        <f>HYPERLINK("https://twitter.com/bnialiie74453/status/1181836207325679616","1181836207325679616")</f>
        <v>1181836207325679616</v>
      </c>
      <c r="F539" s="8"/>
      <c r="G539" s="14" t="s">
        <v>2989</v>
      </c>
      <c r="H539" s="8"/>
      <c r="I539" s="15">
        <v>0</v>
      </c>
      <c r="J539" s="15">
        <v>0</v>
      </c>
      <c r="K539" s="12" t="str">
        <f>HYPERLINK("http://twitter.com","Twitter Web Client")</f>
        <v>Twitter Web Client</v>
      </c>
      <c r="L539" s="16">
        <v>7</v>
      </c>
      <c r="M539" s="16">
        <v>44</v>
      </c>
      <c r="N539" s="16">
        <v>0</v>
      </c>
      <c r="O539" s="17"/>
      <c r="P539" s="18">
        <v>42073.1637962963</v>
      </c>
      <c r="Q539" s="8"/>
      <c r="R539" s="8"/>
      <c r="S539" s="8"/>
      <c r="T539" s="8"/>
      <c r="U539" s="19" t="str">
        <f>HYPERLINK("https://pbs.twimg.com/profile_images/575248940431343618/jALeJtox.jpeg","View")</f>
        <v>View</v>
      </c>
      <c r="V539" s="8"/>
      <c r="W539" s="8"/>
      <c r="X539" s="8"/>
      <c r="Y539" s="8"/>
      <c r="Z539" s="8"/>
    </row>
    <row r="540" spans="1:26" ht="12.75">
      <c r="A540" s="11">
        <v>43747.025879629626</v>
      </c>
      <c r="B540" s="12" t="str">
        <f>HYPERLINK("https://twitter.com/ShadHebshi","@ShadHebshi")</f>
        <v>@ShadHebshi</v>
      </c>
      <c r="C540" s="13" t="s">
        <v>2990</v>
      </c>
      <c r="D540" s="7" t="s">
        <v>1107</v>
      </c>
      <c r="E540" s="12" t="str">
        <f>HYPERLINK("https://twitter.com/ShadHebshi/status/1181836007697604608","1181836007697604608")</f>
        <v>1181836007697604608</v>
      </c>
      <c r="F540" s="8"/>
      <c r="G540" s="14" t="s">
        <v>2993</v>
      </c>
      <c r="H540" s="8"/>
      <c r="I540" s="15">
        <v>0</v>
      </c>
      <c r="J540" s="15">
        <v>0</v>
      </c>
      <c r="K540" s="12" t="str">
        <f>HYPERLINK("https://mobile.twitter.com","Twitter Web App")</f>
        <v>Twitter Web App</v>
      </c>
      <c r="L540" s="16">
        <v>0</v>
      </c>
      <c r="M540" s="16">
        <v>0</v>
      </c>
      <c r="N540" s="16">
        <v>0</v>
      </c>
      <c r="O540" s="17"/>
      <c r="P540" s="18">
        <v>43731.927060185189</v>
      </c>
      <c r="Q540" s="7" t="s">
        <v>1249</v>
      </c>
      <c r="R540" s="13" t="s">
        <v>1547</v>
      </c>
      <c r="S540" s="8"/>
      <c r="T540" s="8"/>
      <c r="U540" s="19" t="str">
        <f>HYPERLINK("https://pbs.twimg.com/profile_images/1180779459982450688/ZWwsAFYO.jpg","View")</f>
        <v>View</v>
      </c>
      <c r="V540" s="8"/>
      <c r="W540" s="8"/>
      <c r="X540" s="8"/>
      <c r="Y540" s="8"/>
      <c r="Z540" s="8"/>
    </row>
    <row r="541" spans="1:26" ht="12.75">
      <c r="A541" s="11">
        <v>43747.025706018518</v>
      </c>
      <c r="B541" s="12" t="str">
        <f>HYPERLINK("https://twitter.com/jassemaldosari","@jassemaldosari")</f>
        <v>@jassemaldosari</v>
      </c>
      <c r="C541" s="13" t="s">
        <v>2994</v>
      </c>
      <c r="D541" s="13" t="s">
        <v>2995</v>
      </c>
      <c r="E541" s="12" t="str">
        <f>HYPERLINK("https://twitter.com/jassemaldosari/status/1181835946708389888","1181835946708389888")</f>
        <v>1181835946708389888</v>
      </c>
      <c r="F541" s="8"/>
      <c r="G541" s="14" t="s">
        <v>2998</v>
      </c>
      <c r="H541" s="8"/>
      <c r="I541" s="15">
        <v>0</v>
      </c>
      <c r="J541" s="15">
        <v>0</v>
      </c>
      <c r="K541" s="12" t="str">
        <f>HYPERLINK("http://twitter.com","Twitter Web Client")</f>
        <v>Twitter Web Client</v>
      </c>
      <c r="L541" s="16">
        <v>4</v>
      </c>
      <c r="M541" s="16">
        <v>34</v>
      </c>
      <c r="N541" s="16">
        <v>0</v>
      </c>
      <c r="O541" s="17"/>
      <c r="P541" s="18">
        <v>42083.614976851852</v>
      </c>
      <c r="Q541" s="8"/>
      <c r="R541" s="8"/>
      <c r="S541" s="8"/>
      <c r="T541" s="8"/>
      <c r="U541" s="20" t="s">
        <v>354</v>
      </c>
      <c r="V541" s="8"/>
      <c r="W541" s="8"/>
      <c r="X541" s="8"/>
      <c r="Y541" s="8"/>
      <c r="Z541" s="8"/>
    </row>
    <row r="542" spans="1:26" ht="12.75">
      <c r="A542" s="11">
        <v>43747.024178240739</v>
      </c>
      <c r="B542" s="12" t="str">
        <f>HYPERLINK("https://twitter.com/sultanayedo","@sultanayedo")</f>
        <v>@sultanayedo</v>
      </c>
      <c r="C542" s="13" t="s">
        <v>3001</v>
      </c>
      <c r="D542" s="13" t="s">
        <v>3002</v>
      </c>
      <c r="E542" s="12" t="str">
        <f>HYPERLINK("https://twitter.com/sultanayedo/status/1181835389700640768","1181835389700640768")</f>
        <v>1181835389700640768</v>
      </c>
      <c r="F542" s="8"/>
      <c r="G542" s="14" t="s">
        <v>3003</v>
      </c>
      <c r="H542" s="8"/>
      <c r="I542" s="15">
        <v>0</v>
      </c>
      <c r="J542" s="15">
        <v>0</v>
      </c>
      <c r="K542" s="12" t="str">
        <f>HYPERLINK("http://twitter.com","Twitter Web Client")</f>
        <v>Twitter Web Client</v>
      </c>
      <c r="L542" s="16">
        <v>2</v>
      </c>
      <c r="M542" s="16">
        <v>43</v>
      </c>
      <c r="N542" s="16">
        <v>0</v>
      </c>
      <c r="O542" s="17"/>
      <c r="P542" s="18">
        <v>42073.831689814819</v>
      </c>
      <c r="Q542" s="7"/>
      <c r="R542" s="13"/>
      <c r="S542" s="8"/>
      <c r="T542" s="8"/>
      <c r="U542" s="19" t="str">
        <f>HYPERLINK("https://pbs.twimg.com/profile_images/575491385479950339/CPGvBDpp.jpeg","View")</f>
        <v>View</v>
      </c>
      <c r="V542" s="8"/>
      <c r="W542" s="8"/>
      <c r="X542" s="8"/>
      <c r="Y542" s="8"/>
      <c r="Z542" s="8"/>
    </row>
    <row r="543" spans="1:26" ht="12.75">
      <c r="A543" s="11">
        <v>43747.02375</v>
      </c>
      <c r="B543" s="12" t="str">
        <f>HYPERLINK("https://twitter.com/gharama453","@gharama453")</f>
        <v>@gharama453</v>
      </c>
      <c r="C543" s="13" t="s">
        <v>3006</v>
      </c>
      <c r="D543" s="13" t="s">
        <v>3007</v>
      </c>
      <c r="E543" s="12" t="str">
        <f>HYPERLINK("https://twitter.com/gharama453/status/1181835236147171333","1181835236147171333")</f>
        <v>1181835236147171333</v>
      </c>
      <c r="F543" s="8"/>
      <c r="G543" s="14" t="s">
        <v>3009</v>
      </c>
      <c r="H543" s="8"/>
      <c r="I543" s="15">
        <v>0</v>
      </c>
      <c r="J543" s="15">
        <v>0</v>
      </c>
      <c r="K543" s="12" t="str">
        <f>HYPERLINK("http://twitter.com","Twitter Web Client")</f>
        <v>Twitter Web Client</v>
      </c>
      <c r="L543" s="16">
        <v>10</v>
      </c>
      <c r="M543" s="16">
        <v>40</v>
      </c>
      <c r="N543" s="16">
        <v>0</v>
      </c>
      <c r="O543" s="17"/>
      <c r="P543" s="18">
        <v>42076.580983796295</v>
      </c>
      <c r="Q543" s="8"/>
      <c r="R543" s="8"/>
      <c r="S543" s="8"/>
      <c r="T543" s="8"/>
      <c r="U543" s="19" t="str">
        <f>HYPERLINK("https://pbs.twimg.com/profile_images/576487295240417280/2jJMQvUp.jpeg","View")</f>
        <v>View</v>
      </c>
      <c r="V543" s="8"/>
      <c r="W543" s="8"/>
      <c r="X543" s="8"/>
      <c r="Y543" s="8"/>
      <c r="Z543" s="8"/>
    </row>
    <row r="544" spans="1:26" ht="12.75">
      <c r="A544" s="11">
        <v>43747.02344907407</v>
      </c>
      <c r="B544" s="12" t="str">
        <f>HYPERLINK("https://twitter.com/ibrahim33957078","@ibrahim33957078")</f>
        <v>@ibrahim33957078</v>
      </c>
      <c r="C544" s="13" t="s">
        <v>3013</v>
      </c>
      <c r="D544" s="13" t="s">
        <v>3014</v>
      </c>
      <c r="E544" s="12" t="str">
        <f>HYPERLINK("https://twitter.com/ibrahim33957078/status/1181835128298975232","1181835128298975232")</f>
        <v>1181835128298975232</v>
      </c>
      <c r="F544" s="8"/>
      <c r="G544" s="14" t="s">
        <v>3015</v>
      </c>
      <c r="H544" s="8"/>
      <c r="I544" s="15">
        <v>0</v>
      </c>
      <c r="J544" s="15">
        <v>0</v>
      </c>
      <c r="K544" s="12" t="str">
        <f>HYPERLINK("http://twitter.com","Twitter Web Client")</f>
        <v>Twitter Web Client</v>
      </c>
      <c r="L544" s="16">
        <v>2</v>
      </c>
      <c r="M544" s="16">
        <v>42</v>
      </c>
      <c r="N544" s="16">
        <v>0</v>
      </c>
      <c r="O544" s="17"/>
      <c r="P544" s="18">
        <v>42071.164363425924</v>
      </c>
      <c r="Q544" s="7"/>
      <c r="R544" s="13"/>
      <c r="S544" s="8"/>
      <c r="T544" s="8"/>
      <c r="U544" s="19" t="str">
        <f>HYPERLINK("https://pbs.twimg.com/profile_images/574524379532369920/R63nhH0_.jpeg","View")</f>
        <v>View</v>
      </c>
      <c r="V544" s="8"/>
      <c r="W544" s="8"/>
      <c r="X544" s="8"/>
      <c r="Y544" s="8"/>
      <c r="Z544" s="8"/>
    </row>
    <row r="545" spans="1:26" ht="12.75">
      <c r="A545" s="11">
        <v>43747.023368055554</v>
      </c>
      <c r="B545" s="12" t="str">
        <f>HYPERLINK("https://twitter.com/abdus_sa39","@abdus_sa39")</f>
        <v>@abdus_sa39</v>
      </c>
      <c r="C545" s="13" t="s">
        <v>3020</v>
      </c>
      <c r="D545" s="13" t="s">
        <v>907</v>
      </c>
      <c r="E545" s="12" t="str">
        <f>HYPERLINK("https://twitter.com/abdus_sa39/status/1181835098594787328","1181835098594787328")</f>
        <v>1181835098594787328</v>
      </c>
      <c r="F545" s="8"/>
      <c r="G545" s="14" t="s">
        <v>3021</v>
      </c>
      <c r="H545" s="8"/>
      <c r="I545" s="15">
        <v>0</v>
      </c>
      <c r="J545" s="15">
        <v>0</v>
      </c>
      <c r="K545" s="12" t="str">
        <f>HYPERLINK("https://mobile.twitter.com","Twitter Web App")</f>
        <v>Twitter Web App</v>
      </c>
      <c r="L545" s="16">
        <v>0</v>
      </c>
      <c r="M545" s="16">
        <v>2</v>
      </c>
      <c r="N545" s="16">
        <v>0</v>
      </c>
      <c r="O545" s="17"/>
      <c r="P545" s="18">
        <v>43726.961041666669</v>
      </c>
      <c r="Q545" s="8"/>
      <c r="R545" s="8" t="s">
        <v>3024</v>
      </c>
      <c r="S545" s="8"/>
      <c r="T545" s="8"/>
      <c r="U545" s="19" t="str">
        <f>HYPERLINK("https://pbs.twimg.com/profile_images/1174594676520837122/7Dd-gsRg.jpg","View")</f>
        <v>View</v>
      </c>
      <c r="V545" s="8"/>
      <c r="W545" s="8"/>
      <c r="X545" s="8"/>
      <c r="Y545" s="8"/>
      <c r="Z545" s="8"/>
    </row>
    <row r="546" spans="1:26" ht="12.75">
      <c r="A546" s="11">
        <v>43747.023310185185</v>
      </c>
      <c r="B546" s="12" t="str">
        <f>HYPERLINK("https://twitter.com/AlkwfliyMoufarg","@AlkwfliyMoufarg")</f>
        <v>@AlkwfliyMoufarg</v>
      </c>
      <c r="C546" s="13" t="s">
        <v>3025</v>
      </c>
      <c r="D546" s="7" t="s">
        <v>3026</v>
      </c>
      <c r="E546" s="12" t="str">
        <f>HYPERLINK("https://twitter.com/AlkwfliyMoufarg/status/1181835077858332672","1181835077858332672")</f>
        <v>1181835077858332672</v>
      </c>
      <c r="F546" s="8"/>
      <c r="G546" s="14" t="s">
        <v>3029</v>
      </c>
      <c r="H546" s="8"/>
      <c r="I546" s="15">
        <v>0</v>
      </c>
      <c r="J546" s="15">
        <v>0</v>
      </c>
      <c r="K546" s="12" t="str">
        <f>HYPERLINK("http://twitter.com","Twitter Web Client")</f>
        <v>Twitter Web Client</v>
      </c>
      <c r="L546" s="16">
        <v>11</v>
      </c>
      <c r="M546" s="16">
        <v>42</v>
      </c>
      <c r="N546" s="16">
        <v>0</v>
      </c>
      <c r="O546" s="17"/>
      <c r="P546" s="18">
        <v>42071.631006944444</v>
      </c>
      <c r="Q546" s="7"/>
      <c r="R546" s="13"/>
      <c r="S546" s="8"/>
      <c r="T546" s="8"/>
      <c r="U546" s="19" t="str">
        <f>HYPERLINK("https://pbs.twimg.com/profile_images/574710936423952385/BsNez5ji.jpeg","View")</f>
        <v>View</v>
      </c>
      <c r="V546" s="8"/>
      <c r="W546" s="8"/>
      <c r="X546" s="8"/>
      <c r="Y546" s="8"/>
      <c r="Z546" s="8"/>
    </row>
    <row r="547" spans="1:26" ht="12.75">
      <c r="A547" s="11">
        <v>43747.0231712963</v>
      </c>
      <c r="B547" s="12" t="str">
        <f>HYPERLINK("https://twitter.com/rashedaljuhani2","@rashedaljuhani2")</f>
        <v>@rashedaljuhani2</v>
      </c>
      <c r="C547" s="7" t="s">
        <v>3031</v>
      </c>
      <c r="D547" s="7" t="s">
        <v>3032</v>
      </c>
      <c r="E547" s="12" t="str">
        <f>HYPERLINK("https://twitter.com/rashedaljuhani2/status/1181835025991573505","1181835025991573505")</f>
        <v>1181835025991573505</v>
      </c>
      <c r="F547" s="15"/>
      <c r="G547" s="14" t="s">
        <v>3035</v>
      </c>
      <c r="H547" s="8"/>
      <c r="I547" s="15">
        <v>0</v>
      </c>
      <c r="J547" s="15">
        <v>0</v>
      </c>
      <c r="K547" s="12" t="str">
        <f>HYPERLINK("http://twitter.com","Twitter Web Client")</f>
        <v>Twitter Web Client</v>
      </c>
      <c r="L547" s="16">
        <v>8</v>
      </c>
      <c r="M547" s="16">
        <v>37</v>
      </c>
      <c r="N547" s="16">
        <v>0</v>
      </c>
      <c r="O547" s="17"/>
      <c r="P547" s="18">
        <v>42067.428287037037</v>
      </c>
      <c r="Q547" s="7"/>
      <c r="R547" s="8"/>
      <c r="S547" s="8"/>
      <c r="T547" s="8"/>
      <c r="U547" s="19" t="str">
        <f>HYPERLINK("https://pbs.twimg.com/profile_images/573185594123141121/v9GQhoxu.jpeg","View")</f>
        <v>View</v>
      </c>
      <c r="V547" s="8"/>
      <c r="W547" s="8"/>
      <c r="X547" s="8"/>
      <c r="Y547" s="8"/>
      <c r="Z547" s="8"/>
    </row>
    <row r="548" spans="1:26" ht="12.75">
      <c r="A548" s="11">
        <v>43747.022928240738</v>
      </c>
      <c r="B548" s="12" t="str">
        <f>HYPERLINK("https://twitter.com/SakerAyad","@SakerAyad")</f>
        <v>@SakerAyad</v>
      </c>
      <c r="C548" s="13" t="s">
        <v>3038</v>
      </c>
      <c r="D548" s="13" t="s">
        <v>28</v>
      </c>
      <c r="E548" s="12" t="str">
        <f>HYPERLINK("https://twitter.com/SakerAyad/status/1181834937822892033","1181834937822892033")</f>
        <v>1181834937822892033</v>
      </c>
      <c r="F548" s="8"/>
      <c r="G548" s="14" t="s">
        <v>1267</v>
      </c>
      <c r="H548" s="8"/>
      <c r="I548" s="15">
        <v>0</v>
      </c>
      <c r="J548" s="15">
        <v>0</v>
      </c>
      <c r="K548" s="12" t="str">
        <f>HYPERLINK("https://mobile.twitter.com","Twitter Web App")</f>
        <v>Twitter Web App</v>
      </c>
      <c r="L548" s="16">
        <v>0</v>
      </c>
      <c r="M548" s="16">
        <v>1</v>
      </c>
      <c r="N548" s="16">
        <v>0</v>
      </c>
      <c r="O548" s="17"/>
      <c r="P548" s="18">
        <v>43725.014317129629</v>
      </c>
      <c r="Q548" s="8" t="s">
        <v>1428</v>
      </c>
      <c r="R548" s="8" t="s">
        <v>3040</v>
      </c>
      <c r="S548" s="8"/>
      <c r="T548" s="8"/>
      <c r="U548" s="19" t="str">
        <f>HYPERLINK("https://pbs.twimg.com/profile_images/1180411096273838082/YzzJw0ra.jpg","View")</f>
        <v>View</v>
      </c>
      <c r="V548" s="8"/>
      <c r="W548" s="8"/>
      <c r="X548" s="8"/>
      <c r="Y548" s="8"/>
      <c r="Z548" s="8"/>
    </row>
    <row r="549" spans="1:26" ht="12.75">
      <c r="A549" s="11">
        <v>43747.022349537037</v>
      </c>
      <c r="B549" s="12" t="str">
        <f>HYPERLINK("https://twitter.com/YamiYahyaal","@YamiYahyaal")</f>
        <v>@YamiYahyaal</v>
      </c>
      <c r="C549" s="13" t="s">
        <v>3045</v>
      </c>
      <c r="D549" s="13" t="s">
        <v>3046</v>
      </c>
      <c r="E549" s="12" t="str">
        <f>HYPERLINK("https://twitter.com/YamiYahyaal/status/1181834730431565824","1181834730431565824")</f>
        <v>1181834730431565824</v>
      </c>
      <c r="F549" s="8"/>
      <c r="G549" s="14" t="s">
        <v>3047</v>
      </c>
      <c r="H549" s="8"/>
      <c r="I549" s="15">
        <v>0</v>
      </c>
      <c r="J549" s="15">
        <v>0</v>
      </c>
      <c r="K549" s="12" t="str">
        <f>HYPERLINK("http://twitter.com","Twitter Web Client")</f>
        <v>Twitter Web Client</v>
      </c>
      <c r="L549" s="16">
        <v>0</v>
      </c>
      <c r="M549" s="16">
        <v>26</v>
      </c>
      <c r="N549" s="16">
        <v>0</v>
      </c>
      <c r="O549" s="17"/>
      <c r="P549" s="18">
        <v>41849.676747685182</v>
      </c>
      <c r="Q549" s="8"/>
      <c r="R549" s="8"/>
      <c r="S549" s="8"/>
      <c r="T549" s="8"/>
      <c r="U549" s="19" t="str">
        <f>HYPERLINK("https://pbs.twimg.com/profile_images/494261313481097217/vmuGv4y5.jpeg","View")</f>
        <v>View</v>
      </c>
      <c r="V549" s="8"/>
      <c r="W549" s="8"/>
      <c r="X549" s="8"/>
      <c r="Y549" s="8"/>
      <c r="Z549" s="8"/>
    </row>
    <row r="550" spans="1:26" ht="12.75">
      <c r="A550" s="11">
        <v>43747.02207175926</v>
      </c>
      <c r="B550" s="12" t="str">
        <f>HYPERLINK("https://twitter.com/almadha_787","@almadha_787")</f>
        <v>@almadha_787</v>
      </c>
      <c r="C550" s="13" t="s">
        <v>3051</v>
      </c>
      <c r="D550" s="13" t="s">
        <v>3052</v>
      </c>
      <c r="E550" s="12" t="str">
        <f>HYPERLINK("https://twitter.com/almadha_787/status/1181834629990555648","1181834629990555648")</f>
        <v>1181834629990555648</v>
      </c>
      <c r="F550" s="8"/>
      <c r="G550" s="14" t="s">
        <v>3053</v>
      </c>
      <c r="H550" s="8"/>
      <c r="I550" s="15">
        <v>0</v>
      </c>
      <c r="J550" s="15">
        <v>0</v>
      </c>
      <c r="K550" s="12" t="str">
        <f>HYPERLINK("http://twitter.com","Twitter Web Client")</f>
        <v>Twitter Web Client</v>
      </c>
      <c r="L550" s="16">
        <v>0</v>
      </c>
      <c r="M550" s="16">
        <v>52</v>
      </c>
      <c r="N550" s="16">
        <v>0</v>
      </c>
      <c r="O550" s="17"/>
      <c r="P550" s="18">
        <v>42087.237546296295</v>
      </c>
      <c r="Q550" s="8"/>
      <c r="R550" s="8"/>
      <c r="S550" s="8"/>
      <c r="T550" s="8"/>
      <c r="U550" s="19" t="str">
        <f>HYPERLINK("https://pbs.twimg.com/profile_images/580349044876316672/MrjbhGuO.jpg","View")</f>
        <v>View</v>
      </c>
      <c r="V550" s="8"/>
      <c r="W550" s="8"/>
      <c r="X550" s="8"/>
      <c r="Y550" s="8"/>
      <c r="Z550" s="8"/>
    </row>
    <row r="551" spans="1:26" ht="12.75">
      <c r="A551" s="11">
        <v>43747.021643518514</v>
      </c>
      <c r="B551" s="12" t="str">
        <f>HYPERLINK("https://twitter.com/ra77_abdur","@ra77_abdur")</f>
        <v>@ra77_abdur</v>
      </c>
      <c r="C551" s="13" t="s">
        <v>3058</v>
      </c>
      <c r="D551" s="13" t="s">
        <v>923</v>
      </c>
      <c r="E551" s="12" t="str">
        <f>HYPERLINK("https://twitter.com/ra77_abdur/status/1181834475153448960","1181834475153448960")</f>
        <v>1181834475153448960</v>
      </c>
      <c r="F551" s="8"/>
      <c r="G551" s="14" t="s">
        <v>3059</v>
      </c>
      <c r="H551" s="8"/>
      <c r="I551" s="15">
        <v>0</v>
      </c>
      <c r="J551" s="15">
        <v>0</v>
      </c>
      <c r="K551" s="12" t="str">
        <f>HYPERLINK("https://mobile.twitter.com","Twitter Web App")</f>
        <v>Twitter Web App</v>
      </c>
      <c r="L551" s="16">
        <v>0</v>
      </c>
      <c r="M551" s="16">
        <v>2</v>
      </c>
      <c r="N551" s="16">
        <v>0</v>
      </c>
      <c r="O551" s="17"/>
      <c r="P551" s="18">
        <v>43726.950567129628</v>
      </c>
      <c r="Q551" s="8" t="s">
        <v>920</v>
      </c>
      <c r="R551" s="8" t="s">
        <v>3061</v>
      </c>
      <c r="S551" s="8"/>
      <c r="T551" s="8"/>
      <c r="U551" s="19" t="str">
        <f>HYPERLINK("https://pbs.twimg.com/profile_images/1174594033093677057/Qa-4xMuD.jpg","View")</f>
        <v>View</v>
      </c>
      <c r="V551" s="8"/>
      <c r="W551" s="8"/>
      <c r="X551" s="8"/>
      <c r="Y551" s="8"/>
      <c r="Z551" s="8"/>
    </row>
    <row r="552" spans="1:26" ht="12.75">
      <c r="A552" s="11">
        <v>43747.021516203706</v>
      </c>
      <c r="B552" s="12" t="str">
        <f>HYPERLINK("https://twitter.com/elmohamadw2","@elmohamadw2")</f>
        <v>@elmohamadw2</v>
      </c>
      <c r="C552" s="13" t="s">
        <v>3062</v>
      </c>
      <c r="D552" s="13" t="s">
        <v>3064</v>
      </c>
      <c r="E552" s="12" t="str">
        <f>HYPERLINK("https://twitter.com/elmohamadw2/status/1181834429175681024","1181834429175681024")</f>
        <v>1181834429175681024</v>
      </c>
      <c r="F552" s="8"/>
      <c r="G552" s="14" t="s">
        <v>3067</v>
      </c>
      <c r="H552" s="8"/>
      <c r="I552" s="15">
        <v>0</v>
      </c>
      <c r="J552" s="15">
        <v>0</v>
      </c>
      <c r="K552" s="12" t="str">
        <f>HYPERLINK("http://twitter.com","Twitter Web Client")</f>
        <v>Twitter Web Client</v>
      </c>
      <c r="L552" s="16">
        <v>18</v>
      </c>
      <c r="M552" s="16">
        <v>52</v>
      </c>
      <c r="N552" s="16">
        <v>0</v>
      </c>
      <c r="O552" s="17"/>
      <c r="P552" s="18">
        <v>42075.393506944441</v>
      </c>
      <c r="Q552" s="8"/>
      <c r="R552" s="8"/>
      <c r="S552" s="8"/>
      <c r="T552" s="8"/>
      <c r="U552" s="19" t="str">
        <f>HYPERLINK("https://pbs.twimg.com/profile_images/576056846659645440/yhwbDdUr.jpg","View")</f>
        <v>View</v>
      </c>
      <c r="V552" s="8"/>
      <c r="W552" s="8"/>
      <c r="X552" s="8"/>
      <c r="Y552" s="8"/>
      <c r="Z552" s="8"/>
    </row>
    <row r="553" spans="1:26" ht="12.75">
      <c r="A553" s="11">
        <v>43747.02138888889</v>
      </c>
      <c r="B553" s="12" t="str">
        <f>HYPERLINK("https://twitter.com/muietabharbi1","@muietabharbi1")</f>
        <v>@muietabharbi1</v>
      </c>
      <c r="C553" s="13" t="s">
        <v>3071</v>
      </c>
      <c r="D553" s="13" t="s">
        <v>3072</v>
      </c>
      <c r="E553" s="12" t="str">
        <f>HYPERLINK("https://twitter.com/muietabharbi1/status/1181834379892576256","1181834379892576256")</f>
        <v>1181834379892576256</v>
      </c>
      <c r="F553" s="8"/>
      <c r="G553" s="14" t="s">
        <v>3073</v>
      </c>
      <c r="H553" s="8"/>
      <c r="I553" s="15">
        <v>0</v>
      </c>
      <c r="J553" s="15">
        <v>0</v>
      </c>
      <c r="K553" s="12" t="str">
        <f>HYPERLINK("http://twitter.com","Twitter Web Client")</f>
        <v>Twitter Web Client</v>
      </c>
      <c r="L553" s="16">
        <v>0</v>
      </c>
      <c r="M553" s="16">
        <v>34</v>
      </c>
      <c r="N553" s="16">
        <v>0</v>
      </c>
      <c r="O553" s="17"/>
      <c r="P553" s="18">
        <v>42075.789733796293</v>
      </c>
      <c r="Q553" s="8"/>
      <c r="R553" s="8"/>
      <c r="S553" s="8"/>
      <c r="T553" s="8"/>
      <c r="U553" s="19" t="str">
        <f>HYPERLINK("https://pbs.twimg.com/profile_images/576204011583315968/F4oUSBvP.jpeg","View")</f>
        <v>View</v>
      </c>
      <c r="V553" s="8"/>
      <c r="W553" s="8"/>
      <c r="X553" s="8"/>
      <c r="Y553" s="8"/>
      <c r="Z553" s="8"/>
    </row>
    <row r="554" spans="1:26" ht="12.75">
      <c r="A554" s="11">
        <v>43747.021250000005</v>
      </c>
      <c r="B554" s="12" t="str">
        <f>HYPERLINK("https://twitter.com/fahdjaman1","@fahdjaman1")</f>
        <v>@fahdjaman1</v>
      </c>
      <c r="C554" s="13" t="s">
        <v>3074</v>
      </c>
      <c r="D554" s="7" t="s">
        <v>3075</v>
      </c>
      <c r="E554" s="12" t="str">
        <f>HYPERLINK("https://twitter.com/fahdjaman1/status/1181834329095315456","1181834329095315456")</f>
        <v>1181834329095315456</v>
      </c>
      <c r="F554" s="8"/>
      <c r="G554" s="14" t="s">
        <v>3076</v>
      </c>
      <c r="H554" s="8"/>
      <c r="I554" s="15">
        <v>0</v>
      </c>
      <c r="J554" s="15">
        <v>0</v>
      </c>
      <c r="K554" s="12" t="str">
        <f>HYPERLINK("http://twitter.com","Twitter Web Client")</f>
        <v>Twitter Web Client</v>
      </c>
      <c r="L554" s="16">
        <v>0</v>
      </c>
      <c r="M554" s="16">
        <v>41</v>
      </c>
      <c r="N554" s="16">
        <v>0</v>
      </c>
      <c r="O554" s="17"/>
      <c r="P554" s="18">
        <v>42070.788148148145</v>
      </c>
      <c r="Q554" s="7"/>
      <c r="R554" s="13"/>
      <c r="S554" s="8"/>
      <c r="T554" s="8"/>
      <c r="U554" s="19" t="str">
        <f>HYPERLINK("https://pbs.twimg.com/profile_images/574405725679566849/RCBS5ske.jpeg","View")</f>
        <v>View</v>
      </c>
      <c r="V554" s="8"/>
      <c r="W554" s="8"/>
      <c r="X554" s="8"/>
      <c r="Y554" s="8"/>
      <c r="Z554" s="8"/>
    </row>
    <row r="555" spans="1:26" ht="12.75">
      <c r="A555" s="11">
        <v>43747.020555555559</v>
      </c>
      <c r="B555" s="12" t="str">
        <f>HYPERLINK("https://twitter.com/mansor_samer","@mansor_samer")</f>
        <v>@mansor_samer</v>
      </c>
      <c r="C555" s="13" t="s">
        <v>3081</v>
      </c>
      <c r="D555" s="13" t="s">
        <v>3082</v>
      </c>
      <c r="E555" s="12" t="str">
        <f>HYPERLINK("https://twitter.com/mansor_samer/status/1181834079790084096","1181834079790084096")</f>
        <v>1181834079790084096</v>
      </c>
      <c r="F555" s="8"/>
      <c r="G555" s="14" t="s">
        <v>3083</v>
      </c>
      <c r="H555" s="8"/>
      <c r="I555" s="15">
        <v>0</v>
      </c>
      <c r="J555" s="15">
        <v>0</v>
      </c>
      <c r="K555" s="12" t="str">
        <f>HYPERLINK("http://twitter.com","Twitter Web Client")</f>
        <v>Twitter Web Client</v>
      </c>
      <c r="L555" s="16">
        <v>106</v>
      </c>
      <c r="M555" s="16">
        <v>37</v>
      </c>
      <c r="N555" s="16">
        <v>0</v>
      </c>
      <c r="O555" s="17"/>
      <c r="P555" s="18">
        <v>42075.169467592597</v>
      </c>
      <c r="Q555" s="8"/>
      <c r="R555" s="8"/>
      <c r="S555" s="8"/>
      <c r="T555" s="8"/>
      <c r="U555" s="19" t="str">
        <f>HYPERLINK("https://pbs.twimg.com/profile_images/575975609752383489/iAQA2xRj.jpeg","View")</f>
        <v>View</v>
      </c>
      <c r="V555" s="8"/>
      <c r="W555" s="8"/>
      <c r="X555" s="8"/>
      <c r="Y555" s="8"/>
      <c r="Z555" s="8"/>
    </row>
    <row r="556" spans="1:26" ht="12.75">
      <c r="A556" s="11">
        <v>43747.020486111112</v>
      </c>
      <c r="B556" s="12" t="str">
        <f>HYPERLINK("https://twitter.com/ra5_abdur","@ra5_abdur")</f>
        <v>@ra5_abdur</v>
      </c>
      <c r="C556" s="13" t="s">
        <v>3087</v>
      </c>
      <c r="D556" s="7" t="s">
        <v>937</v>
      </c>
      <c r="E556" s="12" t="str">
        <f>HYPERLINK("https://twitter.com/ra5_abdur/status/1181834054301126657","1181834054301126657")</f>
        <v>1181834054301126657</v>
      </c>
      <c r="F556" s="8"/>
      <c r="G556" s="14" t="s">
        <v>3088</v>
      </c>
      <c r="H556" s="8"/>
      <c r="I556" s="15">
        <v>0</v>
      </c>
      <c r="J556" s="15">
        <v>0</v>
      </c>
      <c r="K556" s="12" t="str">
        <f>HYPERLINK("https://mobile.twitter.com","Twitter Web App")</f>
        <v>Twitter Web App</v>
      </c>
      <c r="L556" s="16">
        <v>0</v>
      </c>
      <c r="M556" s="16">
        <v>2</v>
      </c>
      <c r="N556" s="16">
        <v>0</v>
      </c>
      <c r="O556" s="17"/>
      <c r="P556" s="18">
        <v>43726.016412037032</v>
      </c>
      <c r="Q556" s="7" t="s">
        <v>972</v>
      </c>
      <c r="R556" s="13" t="s">
        <v>3089</v>
      </c>
      <c r="S556" s="8"/>
      <c r="T556" s="8"/>
      <c r="U556" s="19" t="str">
        <f>HYPERLINK("https://pbs.twimg.com/profile_images/1174593811626057733/SxwGdFQ3.jpg","View")</f>
        <v>View</v>
      </c>
      <c r="V556" s="8"/>
      <c r="W556" s="8"/>
      <c r="X556" s="8"/>
      <c r="Y556" s="8"/>
      <c r="Z556" s="8"/>
    </row>
    <row r="557" spans="1:26" ht="12.75">
      <c r="A557" s="11">
        <v>43747.020416666666</v>
      </c>
      <c r="B557" s="12" t="str">
        <f>HYPERLINK("https://twitter.com/elkahatae4e","@elkahatae4e")</f>
        <v>@elkahatae4e</v>
      </c>
      <c r="C557" s="13" t="s">
        <v>3090</v>
      </c>
      <c r="D557" s="13" t="s">
        <v>3091</v>
      </c>
      <c r="E557" s="12" t="str">
        <f>HYPERLINK("https://twitter.com/elkahatae4e/status/1181834029735272449","1181834029735272449")</f>
        <v>1181834029735272449</v>
      </c>
      <c r="F557" s="8"/>
      <c r="G557" s="14" t="s">
        <v>3094</v>
      </c>
      <c r="H557" s="8"/>
      <c r="I557" s="15">
        <v>0</v>
      </c>
      <c r="J557" s="15">
        <v>0</v>
      </c>
      <c r="K557" s="12" t="str">
        <f>HYPERLINK("http://twitter.com","Twitter Web Client")</f>
        <v>Twitter Web Client</v>
      </c>
      <c r="L557" s="16">
        <v>8</v>
      </c>
      <c r="M557" s="16">
        <v>41</v>
      </c>
      <c r="N557" s="16">
        <v>0</v>
      </c>
      <c r="O557" s="17"/>
      <c r="P557" s="18">
        <v>42075.369398148148</v>
      </c>
      <c r="Q557" s="8"/>
      <c r="R557" s="8"/>
      <c r="S557" s="8"/>
      <c r="T557" s="8"/>
      <c r="U557" s="19" t="str">
        <f>HYPERLINK("https://pbs.twimg.com/profile_images/576048177712754689/pV7nUgXI.jpeg","View")</f>
        <v>View</v>
      </c>
      <c r="V557" s="8"/>
      <c r="W557" s="8"/>
      <c r="X557" s="8"/>
      <c r="Y557" s="8"/>
      <c r="Z557" s="8"/>
    </row>
    <row r="558" spans="1:26" ht="12.75">
      <c r="A558" s="11">
        <v>43747.020277777774</v>
      </c>
      <c r="B558" s="12" t="str">
        <f>HYPERLINK("https://twitter.com/somaily_al","@somaily_al")</f>
        <v>@somaily_al</v>
      </c>
      <c r="C558" s="13" t="s">
        <v>3096</v>
      </c>
      <c r="D558" s="13" t="s">
        <v>914</v>
      </c>
      <c r="E558" s="12" t="str">
        <f>HYPERLINK("https://twitter.com/somaily_al/status/1181833976412946433","1181833976412946433")</f>
        <v>1181833976412946433</v>
      </c>
      <c r="F558" s="8"/>
      <c r="G558" s="14" t="s">
        <v>917</v>
      </c>
      <c r="H558" s="8"/>
      <c r="I558" s="15">
        <v>0</v>
      </c>
      <c r="J558" s="15">
        <v>0</v>
      </c>
      <c r="K558" s="12" t="str">
        <f>HYPERLINK("https://mobile.twitter.com","Twitter Web App")</f>
        <v>Twitter Web App</v>
      </c>
      <c r="L558" s="16">
        <v>1</v>
      </c>
      <c r="M558" s="16">
        <v>2</v>
      </c>
      <c r="N558" s="16">
        <v>0</v>
      </c>
      <c r="O558" s="17"/>
      <c r="P558" s="18">
        <v>43725.013136574074</v>
      </c>
      <c r="Q558" s="8" t="s">
        <v>1228</v>
      </c>
      <c r="R558" s="8" t="s">
        <v>3099</v>
      </c>
      <c r="S558" s="8"/>
      <c r="T558" s="8"/>
      <c r="U558" s="19" t="str">
        <f>HYPERLINK("https://pbs.twimg.com/profile_images/1180408192984969217/DrrIn4mv.jpg","View")</f>
        <v>View</v>
      </c>
      <c r="V558" s="8"/>
      <c r="W558" s="8"/>
      <c r="X558" s="8"/>
      <c r="Y558" s="8"/>
      <c r="Z558" s="8"/>
    </row>
    <row r="559" spans="1:26" ht="12.75">
      <c r="A559" s="11">
        <v>43747.019108796296</v>
      </c>
      <c r="B559" s="12" t="str">
        <f>HYPERLINK("https://twitter.com/saudkhaybarie","@saudkhaybarie")</f>
        <v>@saudkhaybarie</v>
      </c>
      <c r="C559" s="13" t="s">
        <v>3100</v>
      </c>
      <c r="D559" s="7" t="s">
        <v>3101</v>
      </c>
      <c r="E559" s="12" t="str">
        <f>HYPERLINK("https://twitter.com/saudkhaybarie/status/1181833555917377537","1181833555917377537")</f>
        <v>1181833555917377537</v>
      </c>
      <c r="F559" s="8"/>
      <c r="G559" s="14" t="s">
        <v>3102</v>
      </c>
      <c r="H559" s="8"/>
      <c r="I559" s="15">
        <v>0</v>
      </c>
      <c r="J559" s="15">
        <v>0</v>
      </c>
      <c r="K559" s="12" t="str">
        <f>HYPERLINK("http://twitter.com","Twitter Web Client")</f>
        <v>Twitter Web Client</v>
      </c>
      <c r="L559" s="16">
        <v>18</v>
      </c>
      <c r="M559" s="16">
        <v>32</v>
      </c>
      <c r="N559" s="16">
        <v>0</v>
      </c>
      <c r="O559" s="17"/>
      <c r="P559" s="18">
        <v>41848.125011574077</v>
      </c>
      <c r="Q559" s="7"/>
      <c r="R559" s="13"/>
      <c r="S559" s="8"/>
      <c r="T559" s="8"/>
      <c r="U559" s="19" t="str">
        <f>HYPERLINK("https://pbs.twimg.com/profile_images/493699823585853442/jY34uNW3.jpeg","View")</f>
        <v>View</v>
      </c>
      <c r="V559" s="8"/>
      <c r="W559" s="8"/>
      <c r="X559" s="8"/>
      <c r="Y559" s="8"/>
      <c r="Z559" s="8"/>
    </row>
    <row r="560" spans="1:26" ht="12.75">
      <c r="A560" s="11">
        <v>43747.018969907411</v>
      </c>
      <c r="B560" s="12" t="str">
        <f>HYPERLINK("https://twitter.com/faisallhan1","@faisallhan1")</f>
        <v>@faisallhan1</v>
      </c>
      <c r="C560" s="13" t="s">
        <v>3103</v>
      </c>
      <c r="D560" s="7" t="s">
        <v>3104</v>
      </c>
      <c r="E560" s="12" t="str">
        <f>HYPERLINK("https://twitter.com/faisallhan1/status/1181833502330953728","1181833502330953728")</f>
        <v>1181833502330953728</v>
      </c>
      <c r="F560" s="8"/>
      <c r="G560" s="14" t="s">
        <v>3105</v>
      </c>
      <c r="H560" s="8"/>
      <c r="I560" s="15">
        <v>0</v>
      </c>
      <c r="J560" s="15">
        <v>0</v>
      </c>
      <c r="K560" s="12" t="str">
        <f>HYPERLINK("http://twitter.com","Twitter Web Client")</f>
        <v>Twitter Web Client</v>
      </c>
      <c r="L560" s="16">
        <v>10</v>
      </c>
      <c r="M560" s="16">
        <v>38</v>
      </c>
      <c r="N560" s="16">
        <v>0</v>
      </c>
      <c r="O560" s="17"/>
      <c r="P560" s="18">
        <v>42075.380648148144</v>
      </c>
      <c r="Q560" s="7"/>
      <c r="R560" s="13"/>
      <c r="S560" s="8"/>
      <c r="T560" s="8"/>
      <c r="U560" s="19" t="str">
        <f>HYPERLINK("https://pbs.twimg.com/profile_images/576053232071364608/Bbys8YGR.jpeg","View")</f>
        <v>View</v>
      </c>
      <c r="V560" s="8"/>
      <c r="W560" s="8"/>
      <c r="X560" s="8"/>
      <c r="Y560" s="8"/>
      <c r="Z560" s="8"/>
    </row>
    <row r="561" spans="1:26" ht="12.75">
      <c r="A561" s="11">
        <v>43747.018518518518</v>
      </c>
      <c r="B561" s="12" t="str">
        <f>HYPERLINK("https://twitter.com/abdul_za2","@abdul_za2")</f>
        <v>@abdul_za2</v>
      </c>
      <c r="C561" s="13" t="s">
        <v>3109</v>
      </c>
      <c r="D561" s="13" t="s">
        <v>1178</v>
      </c>
      <c r="E561" s="12" t="str">
        <f>HYPERLINK("https://twitter.com/abdul_za2/status/1181833339084230657","1181833339084230657")</f>
        <v>1181833339084230657</v>
      </c>
      <c r="F561" s="8"/>
      <c r="G561" s="14" t="s">
        <v>3111</v>
      </c>
      <c r="H561" s="8"/>
      <c r="I561" s="15">
        <v>0</v>
      </c>
      <c r="J561" s="15">
        <v>0</v>
      </c>
      <c r="K561" s="12" t="str">
        <f>HYPERLINK("https://mobile.twitter.com","Twitter Web App")</f>
        <v>Twitter Web App</v>
      </c>
      <c r="L561" s="16">
        <v>0</v>
      </c>
      <c r="M561" s="16">
        <v>1</v>
      </c>
      <c r="N561" s="16">
        <v>0</v>
      </c>
      <c r="O561" s="17"/>
      <c r="P561" s="18">
        <v>43725.11451388889</v>
      </c>
      <c r="Q561" s="8" t="s">
        <v>1405</v>
      </c>
      <c r="R561" s="8" t="s">
        <v>3114</v>
      </c>
      <c r="S561" s="8"/>
      <c r="T561" s="8"/>
      <c r="U561" s="19" t="str">
        <f>HYPERLINK("https://pbs.twimg.com/profile_images/1174589518109958145/ZzdN-Nos.jpg","View")</f>
        <v>View</v>
      </c>
      <c r="V561" s="8"/>
      <c r="W561" s="8"/>
      <c r="X561" s="8"/>
      <c r="Y561" s="8"/>
      <c r="Z561" s="8"/>
    </row>
    <row r="562" spans="1:26" ht="12.75">
      <c r="A562" s="11">
        <v>43747.018425925926</v>
      </c>
      <c r="B562" s="12" t="str">
        <f>HYPERLINK("https://twitter.com/elgharb12121","@elgharb12121")</f>
        <v>@elgharb12121</v>
      </c>
      <c r="C562" s="13" t="s">
        <v>3116</v>
      </c>
      <c r="D562" s="13" t="s">
        <v>3117</v>
      </c>
      <c r="E562" s="12" t="str">
        <f>HYPERLINK("https://twitter.com/elgharb12121/status/1181833305379004416","1181833305379004416")</f>
        <v>1181833305379004416</v>
      </c>
      <c r="F562" s="8"/>
      <c r="G562" s="14" t="s">
        <v>3118</v>
      </c>
      <c r="H562" s="8"/>
      <c r="I562" s="15">
        <v>0</v>
      </c>
      <c r="J562" s="15">
        <v>0</v>
      </c>
      <c r="K562" s="12" t="str">
        <f>HYPERLINK("http://twitter.com","Twitter Web Client")</f>
        <v>Twitter Web Client</v>
      </c>
      <c r="L562" s="16">
        <v>8</v>
      </c>
      <c r="M562" s="16">
        <v>43</v>
      </c>
      <c r="N562" s="16">
        <v>0</v>
      </c>
      <c r="O562" s="17"/>
      <c r="P562" s="18">
        <v>42076.333622685182</v>
      </c>
      <c r="Q562" s="8"/>
      <c r="R562" s="8"/>
      <c r="S562" s="8"/>
      <c r="T562" s="8"/>
      <c r="U562" s="19" t="str">
        <f>HYPERLINK("https://pbs.twimg.com/profile_images/576401342488403969/JYdNiLt3.jpeg","View")</f>
        <v>View</v>
      </c>
      <c r="V562" s="8"/>
      <c r="W562" s="8"/>
      <c r="X562" s="8"/>
      <c r="Y562" s="8"/>
      <c r="Z562" s="8"/>
    </row>
    <row r="563" spans="1:26" ht="12.75">
      <c r="A563" s="11">
        <v>43747.01767361111</v>
      </c>
      <c r="B563" s="12" t="str">
        <f>HYPERLINK("https://twitter.com/Za3Abdul","@Za3Abdul")</f>
        <v>@Za3Abdul</v>
      </c>
      <c r="C563" s="13" t="s">
        <v>3121</v>
      </c>
      <c r="D563" s="13" t="s">
        <v>907</v>
      </c>
      <c r="E563" s="12" t="str">
        <f>HYPERLINK("https://twitter.com/Za3Abdul/status/1181833032925212673","1181833032925212673")</f>
        <v>1181833032925212673</v>
      </c>
      <c r="F563" s="8"/>
      <c r="G563" s="14" t="s">
        <v>3122</v>
      </c>
      <c r="H563" s="8"/>
      <c r="I563" s="15">
        <v>0</v>
      </c>
      <c r="J563" s="15">
        <v>0</v>
      </c>
      <c r="K563" s="12" t="str">
        <f>HYPERLINK("https://mobile.twitter.com","Twitter Web App")</f>
        <v>Twitter Web App</v>
      </c>
      <c r="L563" s="16">
        <v>0</v>
      </c>
      <c r="M563" s="16">
        <v>1</v>
      </c>
      <c r="N563" s="16">
        <v>0</v>
      </c>
      <c r="O563" s="17"/>
      <c r="P563" s="18">
        <v>43725.108888888892</v>
      </c>
      <c r="Q563" s="8"/>
      <c r="R563" s="8" t="s">
        <v>1565</v>
      </c>
      <c r="S563" s="8"/>
      <c r="T563" s="8"/>
      <c r="U563" s="19" t="str">
        <f>HYPERLINK("https://pbs.twimg.com/profile_images/1174587440390115328/mb97I3b6.jpg","View")</f>
        <v>View</v>
      </c>
      <c r="V563" s="8"/>
      <c r="W563" s="8"/>
      <c r="X563" s="8"/>
      <c r="Y563" s="8"/>
      <c r="Z563" s="8"/>
    </row>
    <row r="564" spans="1:26" ht="12.75">
      <c r="A564" s="11">
        <v>43747.017476851848</v>
      </c>
      <c r="B564" s="12" t="str">
        <f>HYPERLINK("https://twitter.com/al_moualed","@al_moualed")</f>
        <v>@al_moualed</v>
      </c>
      <c r="C564" s="13" t="s">
        <v>3125</v>
      </c>
      <c r="D564" s="13" t="s">
        <v>28</v>
      </c>
      <c r="E564" s="12" t="str">
        <f>HYPERLINK("https://twitter.com/al_moualed/status/1181832964235071488","1181832964235071488")</f>
        <v>1181832964235071488</v>
      </c>
      <c r="F564" s="8"/>
      <c r="G564" s="14" t="s">
        <v>31</v>
      </c>
      <c r="H564" s="8"/>
      <c r="I564" s="15">
        <v>0</v>
      </c>
      <c r="J564" s="15">
        <v>0</v>
      </c>
      <c r="K564" s="12" t="str">
        <f>HYPERLINK("https://mobile.twitter.com","Twitter Web App")</f>
        <v>Twitter Web App</v>
      </c>
      <c r="L564" s="16">
        <v>0</v>
      </c>
      <c r="M564" s="16">
        <v>2</v>
      </c>
      <c r="N564" s="16">
        <v>0</v>
      </c>
      <c r="O564" s="17"/>
      <c r="P564" s="18">
        <v>43725.01190972222</v>
      </c>
      <c r="Q564" s="8" t="s">
        <v>920</v>
      </c>
      <c r="R564" s="8" t="s">
        <v>3129</v>
      </c>
      <c r="S564" s="8"/>
      <c r="T564" s="8"/>
      <c r="U564" s="19" t="str">
        <f>HYPERLINK("https://pbs.twimg.com/profile_images/1180406085322039296/rPJ2r8bF.jpg","View")</f>
        <v>View</v>
      </c>
      <c r="V564" s="8"/>
      <c r="W564" s="8"/>
      <c r="X564" s="8"/>
      <c r="Y564" s="8"/>
      <c r="Z564" s="8"/>
    </row>
    <row r="565" spans="1:26" ht="12.75">
      <c r="A565" s="11">
        <v>43747.017407407402</v>
      </c>
      <c r="B565" s="12" t="str">
        <f>HYPERLINK("https://twitter.com/AbdulQa13","@AbdulQa13")</f>
        <v>@AbdulQa13</v>
      </c>
      <c r="C565" s="13" t="s">
        <v>3130</v>
      </c>
      <c r="D565" s="7" t="s">
        <v>1236</v>
      </c>
      <c r="E565" s="12" t="str">
        <f>HYPERLINK("https://twitter.com/AbdulQa13/status/1181832939828432897","1181832939828432897")</f>
        <v>1181832939828432897</v>
      </c>
      <c r="F565" s="8"/>
      <c r="G565" s="14" t="s">
        <v>3133</v>
      </c>
      <c r="H565" s="8"/>
      <c r="I565" s="15">
        <v>0</v>
      </c>
      <c r="J565" s="15">
        <v>0</v>
      </c>
      <c r="K565" s="12" t="str">
        <f>HYPERLINK("https://mobile.twitter.com","Twitter Web App")</f>
        <v>Twitter Web App</v>
      </c>
      <c r="L565" s="16">
        <v>0</v>
      </c>
      <c r="M565" s="16">
        <v>3</v>
      </c>
      <c r="N565" s="16">
        <v>0</v>
      </c>
      <c r="O565" s="17"/>
      <c r="P565" s="18">
        <v>43726.930358796293</v>
      </c>
      <c r="Q565" s="7"/>
      <c r="R565" s="13" t="s">
        <v>1470</v>
      </c>
      <c r="S565" s="8"/>
      <c r="T565" s="8"/>
      <c r="U565" s="19" t="str">
        <f>HYPERLINK("https://pbs.twimg.com/profile_images/1174554238732554240/c7y4sfm-.jpg","View")</f>
        <v>View</v>
      </c>
      <c r="V565" s="8"/>
      <c r="W565" s="8"/>
      <c r="X565" s="8"/>
      <c r="Y565" s="8"/>
      <c r="Z565" s="8"/>
    </row>
    <row r="566" spans="1:26" ht="12.75">
      <c r="A566" s="11">
        <v>43747.01699074074</v>
      </c>
      <c r="B566" s="12" t="str">
        <f>HYPERLINK("https://twitter.com/eldawehy733","@eldawehy733")</f>
        <v>@eldawehy733</v>
      </c>
      <c r="C566" s="13" t="s">
        <v>3137</v>
      </c>
      <c r="D566" s="13" t="s">
        <v>3138</v>
      </c>
      <c r="E566" s="12" t="str">
        <f>HYPERLINK("https://twitter.com/eldawehy733/status/1181832788456214528","1181832788456214528")</f>
        <v>1181832788456214528</v>
      </c>
      <c r="F566" s="8"/>
      <c r="G566" s="14" t="s">
        <v>3139</v>
      </c>
      <c r="H566" s="8"/>
      <c r="I566" s="15">
        <v>0</v>
      </c>
      <c r="J566" s="15">
        <v>0</v>
      </c>
      <c r="K566" s="12" t="str">
        <f>HYPERLINK("http://twitter.com","Twitter Web Client")</f>
        <v>Twitter Web Client</v>
      </c>
      <c r="L566" s="16">
        <v>9</v>
      </c>
      <c r="M566" s="16">
        <v>43</v>
      </c>
      <c r="N566" s="16">
        <v>0</v>
      </c>
      <c r="O566" s="17"/>
      <c r="P566" s="18">
        <v>42073.311550925922</v>
      </c>
      <c r="Q566" s="8"/>
      <c r="R566" s="8"/>
      <c r="S566" s="8"/>
      <c r="T566" s="8"/>
      <c r="U566" s="19" t="str">
        <f>HYPERLINK("https://pbs.twimg.com/profile_images/575302375025479680/2FQBRSeG.jpeg","View")</f>
        <v>View</v>
      </c>
      <c r="V566" s="8"/>
      <c r="W566" s="8"/>
      <c r="X566" s="8"/>
      <c r="Y566" s="8"/>
      <c r="Z566" s="8"/>
    </row>
    <row r="567" spans="1:26" ht="12.75">
      <c r="A567" s="11">
        <v>43747.01599537037</v>
      </c>
      <c r="B567" s="12" t="str">
        <f>HYPERLINK("https://twitter.com/mohammadjubran5","@mohammadjubran5")</f>
        <v>@mohammadjubran5</v>
      </c>
      <c r="C567" s="13" t="s">
        <v>3143</v>
      </c>
      <c r="D567" s="13" t="s">
        <v>3144</v>
      </c>
      <c r="E567" s="12" t="str">
        <f>HYPERLINK("https://twitter.com/mohammadjubran5/status/1181832427083313152","1181832427083313152")</f>
        <v>1181832427083313152</v>
      </c>
      <c r="F567" s="8"/>
      <c r="G567" s="14" t="s">
        <v>3145</v>
      </c>
      <c r="H567" s="8"/>
      <c r="I567" s="15">
        <v>0</v>
      </c>
      <c r="J567" s="15">
        <v>0</v>
      </c>
      <c r="K567" s="12" t="str">
        <f>HYPERLINK("http://twitter.com","Twitter Web Client")</f>
        <v>Twitter Web Client</v>
      </c>
      <c r="L567" s="16">
        <v>1</v>
      </c>
      <c r="M567" s="16">
        <v>42</v>
      </c>
      <c r="N567" s="16">
        <v>0</v>
      </c>
      <c r="O567" s="17"/>
      <c r="P567" s="18">
        <v>42071.465520833328</v>
      </c>
      <c r="Q567" s="8"/>
      <c r="R567" s="8"/>
      <c r="S567" s="8"/>
      <c r="T567" s="8"/>
      <c r="U567" s="19" t="str">
        <f>HYPERLINK("https://pbs.twimg.com/profile_images/574633614920409088/AXYaXfPb.jpeg","View")</f>
        <v>View</v>
      </c>
      <c r="V567" s="8"/>
      <c r="W567" s="8"/>
      <c r="X567" s="8"/>
      <c r="Y567" s="8"/>
      <c r="Z567" s="8"/>
    </row>
    <row r="568" spans="1:26" ht="12.75">
      <c r="A568" s="11">
        <v>43747.015451388885</v>
      </c>
      <c r="B568" s="12" t="str">
        <f>HYPERLINK("https://twitter.com/KtranAldkhsar","@KtranAldkhsar")</f>
        <v>@KtranAldkhsar</v>
      </c>
      <c r="C568" s="13" t="s">
        <v>3149</v>
      </c>
      <c r="D568" s="7" t="s">
        <v>3150</v>
      </c>
      <c r="E568" s="12" t="str">
        <f>HYPERLINK("https://twitter.com/KtranAldkhsar/status/1181832231054123009","1181832231054123009")</f>
        <v>1181832231054123009</v>
      </c>
      <c r="F568" s="8"/>
      <c r="G568" s="14" t="s">
        <v>3151</v>
      </c>
      <c r="H568" s="8"/>
      <c r="I568" s="15">
        <v>0</v>
      </c>
      <c r="J568" s="15">
        <v>0</v>
      </c>
      <c r="K568" s="12" t="str">
        <f>HYPERLINK("http://twitter.com","Twitter Web Client")</f>
        <v>Twitter Web Client</v>
      </c>
      <c r="L568" s="16">
        <v>9</v>
      </c>
      <c r="M568" s="16">
        <v>44</v>
      </c>
      <c r="N568" s="16">
        <v>0</v>
      </c>
      <c r="O568" s="17"/>
      <c r="P568" s="18">
        <v>42074.227696759262</v>
      </c>
      <c r="Q568" s="7"/>
      <c r="R568" s="13"/>
      <c r="S568" s="8"/>
      <c r="T568" s="8"/>
      <c r="U568" s="19" t="str">
        <f>HYPERLINK("https://pbs.twimg.com/profile_images/575666512314265600/dB8uRIX-.jpeg","View")</f>
        <v>View</v>
      </c>
      <c r="V568" s="8"/>
      <c r="W568" s="8"/>
      <c r="X568" s="8"/>
      <c r="Y568" s="8"/>
      <c r="Z568" s="8"/>
    </row>
    <row r="569" spans="1:26" ht="12.75">
      <c r="A569" s="11">
        <v>43747.015185185184</v>
      </c>
      <c r="B569" s="12" t="str">
        <f>HYPERLINK("https://twitter.com/hamzaoiusuf","@hamzaoiusuf")</f>
        <v>@hamzaoiusuf</v>
      </c>
      <c r="C569" s="13" t="s">
        <v>3155</v>
      </c>
      <c r="D569" s="13" t="s">
        <v>3156</v>
      </c>
      <c r="E569" s="12" t="str">
        <f>HYPERLINK("https://twitter.com/hamzaoiusuf/status/1181832131632340997","1181832131632340997")</f>
        <v>1181832131632340997</v>
      </c>
      <c r="F569" s="8"/>
      <c r="G569" s="14" t="s">
        <v>3157</v>
      </c>
      <c r="H569" s="8"/>
      <c r="I569" s="15">
        <v>0</v>
      </c>
      <c r="J569" s="15">
        <v>0</v>
      </c>
      <c r="K569" s="12" t="str">
        <f>HYPERLINK("http://twitter.com","Twitter Web Client")</f>
        <v>Twitter Web Client</v>
      </c>
      <c r="L569" s="16">
        <v>0</v>
      </c>
      <c r="M569" s="16">
        <v>34</v>
      </c>
      <c r="N569" s="16">
        <v>0</v>
      </c>
      <c r="O569" s="17"/>
      <c r="P569" s="18">
        <v>42087.853217592594</v>
      </c>
      <c r="Q569" s="8"/>
      <c r="R569" s="13"/>
      <c r="S569" s="8"/>
      <c r="T569" s="8"/>
      <c r="U569" s="19" t="str">
        <f>HYPERLINK("https://pbs.twimg.com/profile_images/580572590118449153/sOqqUQuA.jpg","View")</f>
        <v>View</v>
      </c>
      <c r="V569" s="8"/>
      <c r="W569" s="8"/>
      <c r="X569" s="8"/>
      <c r="Y569" s="8"/>
      <c r="Z569" s="8"/>
    </row>
    <row r="570" spans="1:26" ht="12.75">
      <c r="A570" s="11">
        <v>43747.01390046296</v>
      </c>
      <c r="B570" s="12" t="str">
        <f>HYPERLINK("https://twitter.com/AtaullahJoud","@AtaullahJoud")</f>
        <v>@AtaullahJoud</v>
      </c>
      <c r="C570" s="13" t="s">
        <v>3161</v>
      </c>
      <c r="D570" s="7" t="s">
        <v>968</v>
      </c>
      <c r="E570" s="12" t="str">
        <f>HYPERLINK("https://twitter.com/AtaullahJoud/status/1181831665544380416","1181831665544380416")</f>
        <v>1181831665544380416</v>
      </c>
      <c r="F570" s="8"/>
      <c r="G570" s="14" t="s">
        <v>3162</v>
      </c>
      <c r="H570" s="8"/>
      <c r="I570" s="15">
        <v>0</v>
      </c>
      <c r="J570" s="15">
        <v>0</v>
      </c>
      <c r="K570" s="12" t="str">
        <f>HYPERLINK("https://mobile.twitter.com","Twitter Web App")</f>
        <v>Twitter Web App</v>
      </c>
      <c r="L570" s="16">
        <v>0</v>
      </c>
      <c r="M570" s="16">
        <v>2</v>
      </c>
      <c r="N570" s="16">
        <v>0</v>
      </c>
      <c r="O570" s="17"/>
      <c r="P570" s="18">
        <v>43725.0075</v>
      </c>
      <c r="Q570" s="7" t="s">
        <v>949</v>
      </c>
      <c r="R570" s="13" t="s">
        <v>3164</v>
      </c>
      <c r="S570" s="8"/>
      <c r="T570" s="8"/>
      <c r="U570" s="19" t="str">
        <f>HYPERLINK("https://pbs.twimg.com/profile_images/1180405540091940865/NnBdDYtm.jpg","View")</f>
        <v>View</v>
      </c>
      <c r="V570" s="8"/>
      <c r="W570" s="8"/>
      <c r="X570" s="8"/>
      <c r="Y570" s="8"/>
      <c r="Z570" s="8"/>
    </row>
    <row r="571" spans="1:26" ht="12.75">
      <c r="A571" s="11">
        <v>43747.013657407406</v>
      </c>
      <c r="B571" s="12" t="str">
        <f>HYPERLINK("https://twitter.com/abdullahabbad16","@abdullahabbad16")</f>
        <v>@abdullahabbad16</v>
      </c>
      <c r="C571" s="13" t="s">
        <v>3165</v>
      </c>
      <c r="D571" s="13" t="s">
        <v>3166</v>
      </c>
      <c r="E571" s="12" t="str">
        <f>HYPERLINK("https://twitter.com/abdullahabbad16/status/1181831578839851010","1181831578839851010")</f>
        <v>1181831578839851010</v>
      </c>
      <c r="F571" s="8"/>
      <c r="G571" s="14" t="s">
        <v>3169</v>
      </c>
      <c r="H571" s="8"/>
      <c r="I571" s="15">
        <v>0</v>
      </c>
      <c r="J571" s="15">
        <v>0</v>
      </c>
      <c r="K571" s="12" t="str">
        <f>HYPERLINK("http://twitter.com","Twitter Web Client")</f>
        <v>Twitter Web Client</v>
      </c>
      <c r="L571" s="16">
        <v>3</v>
      </c>
      <c r="M571" s="16">
        <v>41</v>
      </c>
      <c r="N571" s="16">
        <v>0</v>
      </c>
      <c r="O571" s="17"/>
      <c r="P571" s="18">
        <v>42071.215937500005</v>
      </c>
      <c r="Q571" s="8"/>
      <c r="R571" s="8"/>
      <c r="S571" s="8"/>
      <c r="T571" s="8"/>
      <c r="U571" s="19" t="str">
        <f>HYPERLINK("https://pbs.twimg.com/profile_images/574544039002775552/gjwOPgT7.jpeg","View")</f>
        <v>View</v>
      </c>
      <c r="V571" s="8"/>
      <c r="W571" s="8"/>
      <c r="X571" s="8"/>
      <c r="Y571" s="8"/>
      <c r="Z571" s="8"/>
    </row>
    <row r="572" spans="1:26" ht="12.75">
      <c r="A572" s="11">
        <v>43747.01253472222</v>
      </c>
      <c r="B572" s="12" t="str">
        <f>HYPERLINK("https://twitter.com/hadynahi","@hadynahi")</f>
        <v>@hadynahi</v>
      </c>
      <c r="C572" s="13" t="s">
        <v>3171</v>
      </c>
      <c r="D572" s="13" t="s">
        <v>3172</v>
      </c>
      <c r="E572" s="12" t="str">
        <f>HYPERLINK("https://twitter.com/hadynahi/status/1181831170683756544","1181831170683756544")</f>
        <v>1181831170683756544</v>
      </c>
      <c r="F572" s="8"/>
      <c r="G572" s="14" t="s">
        <v>3175</v>
      </c>
      <c r="H572" s="8"/>
      <c r="I572" s="15">
        <v>0</v>
      </c>
      <c r="J572" s="15">
        <v>0</v>
      </c>
      <c r="K572" s="12" t="str">
        <f>HYPERLINK("http://twitter.com","Twitter Web Client")</f>
        <v>Twitter Web Client</v>
      </c>
      <c r="L572" s="16">
        <v>1</v>
      </c>
      <c r="M572" s="16">
        <v>39</v>
      </c>
      <c r="N572" s="16">
        <v>0</v>
      </c>
      <c r="O572" s="17"/>
      <c r="P572" s="18">
        <v>42090.735150462962</v>
      </c>
      <c r="Q572" s="8"/>
      <c r="R572" s="8"/>
      <c r="S572" s="8"/>
      <c r="T572" s="8"/>
      <c r="U572" s="19" t="str">
        <f>HYPERLINK("https://pbs.twimg.com/profile_images/581617615988072448/uPh5-26X.jpg","View")</f>
        <v>View</v>
      </c>
      <c r="V572" s="8"/>
      <c r="W572" s="8"/>
      <c r="X572" s="8"/>
      <c r="Y572" s="8"/>
      <c r="Z572" s="8"/>
    </row>
    <row r="573" spans="1:26" ht="12.75">
      <c r="A573" s="11">
        <v>43747.012094907404</v>
      </c>
      <c r="B573" s="12" t="str">
        <f>HYPERLINK("https://twitter.com/zakianzizakian1","@zakianzizakian1")</f>
        <v>@zakianzizakian1</v>
      </c>
      <c r="C573" s="13" t="s">
        <v>3176</v>
      </c>
      <c r="D573" s="7" t="s">
        <v>3177</v>
      </c>
      <c r="E573" s="12" t="str">
        <f>HYPERLINK("https://twitter.com/zakianzizakian1/status/1181831014319935488","1181831014319935488")</f>
        <v>1181831014319935488</v>
      </c>
      <c r="F573" s="8"/>
      <c r="G573" s="14" t="s">
        <v>3178</v>
      </c>
      <c r="H573" s="8"/>
      <c r="I573" s="15">
        <v>0</v>
      </c>
      <c r="J573" s="15">
        <v>0</v>
      </c>
      <c r="K573" s="12" t="str">
        <f>HYPERLINK("http://twitter.com","Twitter Web Client")</f>
        <v>Twitter Web Client</v>
      </c>
      <c r="L573" s="16">
        <v>3</v>
      </c>
      <c r="M573" s="16">
        <v>42</v>
      </c>
      <c r="N573" s="16">
        <v>0</v>
      </c>
      <c r="O573" s="17"/>
      <c r="P573" s="18">
        <v>42072.095486111109</v>
      </c>
      <c r="Q573" s="7"/>
      <c r="R573" s="13"/>
      <c r="S573" s="8"/>
      <c r="T573" s="8"/>
      <c r="U573" s="19" t="str">
        <f>HYPERLINK("https://pbs.twimg.com/profile_images/574861844092862465/etinuZ-F.jpeg","View")</f>
        <v>View</v>
      </c>
      <c r="V573" s="8"/>
      <c r="W573" s="8"/>
      <c r="X573" s="8"/>
      <c r="Y573" s="8"/>
      <c r="Z573" s="8"/>
    </row>
    <row r="574" spans="1:26" ht="12.75">
      <c r="A574" s="11">
        <v>43747.011689814812</v>
      </c>
      <c r="B574" s="12" t="str">
        <f>HYPERLINK("https://twitter.com/manasawww33","@manasawww33")</f>
        <v>@manasawww33</v>
      </c>
      <c r="C574" s="13" t="s">
        <v>3179</v>
      </c>
      <c r="D574" s="13" t="s">
        <v>3180</v>
      </c>
      <c r="E574" s="12" t="str">
        <f>HYPERLINK("https://twitter.com/manasawww33/status/1181830864960917504","1181830864960917504")</f>
        <v>1181830864960917504</v>
      </c>
      <c r="F574" s="8"/>
      <c r="G574" s="14" t="s">
        <v>3181</v>
      </c>
      <c r="H574" s="8"/>
      <c r="I574" s="15">
        <v>0</v>
      </c>
      <c r="J574" s="15">
        <v>0</v>
      </c>
      <c r="K574" s="12" t="str">
        <f>HYPERLINK("http://twitter.com","Twitter Web Client")</f>
        <v>Twitter Web Client</v>
      </c>
      <c r="L574" s="16">
        <v>1</v>
      </c>
      <c r="M574" s="16">
        <v>5</v>
      </c>
      <c r="N574" s="16">
        <v>0</v>
      </c>
      <c r="O574" s="17"/>
      <c r="P574" s="18">
        <v>42079.747384259259</v>
      </c>
      <c r="Q574" s="8"/>
      <c r="R574" s="8"/>
      <c r="S574" s="8"/>
      <c r="T574" s="8"/>
      <c r="U574" s="19" t="str">
        <f>HYPERLINK("https://pbs.twimg.com/profile_images/577634711473778688/10wQF_2G.jpeg","View")</f>
        <v>View</v>
      </c>
      <c r="V574" s="8"/>
      <c r="W574" s="8"/>
      <c r="X574" s="8"/>
      <c r="Y574" s="8"/>
      <c r="Z574" s="8"/>
    </row>
    <row r="575" spans="1:26" ht="12.75">
      <c r="A575" s="11">
        <v>43747.011053240742</v>
      </c>
      <c r="B575" s="12" t="str">
        <f>HYPERLINK("https://twitter.com/ma18_abdul","@ma18_abdul")</f>
        <v>@ma18_abdul</v>
      </c>
      <c r="C575" s="13" t="s">
        <v>3185</v>
      </c>
      <c r="D575" s="13" t="s">
        <v>28</v>
      </c>
      <c r="E575" s="12" t="str">
        <f>HYPERLINK("https://twitter.com/ma18_abdul/status/1181830637134569472","1181830637134569472")</f>
        <v>1181830637134569472</v>
      </c>
      <c r="F575" s="8"/>
      <c r="G575" s="14" t="s">
        <v>31</v>
      </c>
      <c r="H575" s="8"/>
      <c r="I575" s="15">
        <v>0</v>
      </c>
      <c r="J575" s="15">
        <v>0</v>
      </c>
      <c r="K575" s="12" t="str">
        <f>HYPERLINK("https://mobile.twitter.com","Twitter Web App")</f>
        <v>Twitter Web App</v>
      </c>
      <c r="L575" s="16">
        <v>0</v>
      </c>
      <c r="M575" s="16">
        <v>3</v>
      </c>
      <c r="N575" s="16">
        <v>0</v>
      </c>
      <c r="O575" s="17"/>
      <c r="P575" s="18">
        <v>43724.941238425927</v>
      </c>
      <c r="Q575" s="8" t="s">
        <v>1396</v>
      </c>
      <c r="R575" s="8" t="s">
        <v>925</v>
      </c>
      <c r="S575" s="8"/>
      <c r="T575" s="8"/>
      <c r="U575" s="19" t="str">
        <f>HYPERLINK("https://pbs.twimg.com/profile_images/1175291350058590211/ABB0JwKi.jpg","View")</f>
        <v>View</v>
      </c>
      <c r="V575" s="8"/>
      <c r="W575" s="8"/>
      <c r="X575" s="8"/>
      <c r="Y575" s="8"/>
      <c r="Z575" s="8"/>
    </row>
    <row r="576" spans="1:26" ht="12.75">
      <c r="A576" s="11">
        <v>43747.010416666672</v>
      </c>
      <c r="B576" s="12" t="str">
        <f>HYPERLINK("https://twitter.com/AlzbdyHamza","@AlzbdyHamza")</f>
        <v>@AlzbdyHamza</v>
      </c>
      <c r="C576" s="13" t="s">
        <v>3190</v>
      </c>
      <c r="D576" s="7" t="s">
        <v>3191</v>
      </c>
      <c r="E576" s="12" t="str">
        <f>HYPERLINK("https://twitter.com/AlzbdyHamza/status/1181830403411337216","1181830403411337216")</f>
        <v>1181830403411337216</v>
      </c>
      <c r="F576" s="8"/>
      <c r="G576" s="14" t="s">
        <v>3193</v>
      </c>
      <c r="H576" s="8"/>
      <c r="I576" s="15">
        <v>0</v>
      </c>
      <c r="J576" s="15">
        <v>0</v>
      </c>
      <c r="K576" s="12" t="str">
        <f>HYPERLINK("http://twitter.com","Twitter Web Client")</f>
        <v>Twitter Web Client</v>
      </c>
      <c r="L576" s="16">
        <v>2</v>
      </c>
      <c r="M576" s="16">
        <v>39</v>
      </c>
      <c r="N576" s="16">
        <v>0</v>
      </c>
      <c r="O576" s="17"/>
      <c r="P576" s="18">
        <v>42073.665983796294</v>
      </c>
      <c r="Q576" s="7"/>
      <c r="R576" s="13"/>
      <c r="S576" s="8"/>
      <c r="T576" s="8"/>
      <c r="U576" s="19" t="str">
        <f>HYPERLINK("https://pbs.twimg.com/profile_images/575435299448229888/ZWffmzHq.jpeg","View")</f>
        <v>View</v>
      </c>
      <c r="V576" s="8"/>
      <c r="W576" s="8"/>
      <c r="X576" s="8"/>
      <c r="Y576" s="8"/>
      <c r="Z576" s="8"/>
    </row>
    <row r="577" spans="1:26" ht="12.75">
      <c r="A577" s="11">
        <v>43747.010266203702</v>
      </c>
      <c r="B577" s="12" t="str">
        <f>HYPERLINK("https://twitter.com/kh0_abdul","@kh0_abdul")</f>
        <v>@kh0_abdul</v>
      </c>
      <c r="C577" s="13" t="s">
        <v>3196</v>
      </c>
      <c r="D577" s="13" t="s">
        <v>968</v>
      </c>
      <c r="E577" s="12" t="str">
        <f>HYPERLINK("https://twitter.com/kh0_abdul/status/1181830348738424832","1181830348738424832")</f>
        <v>1181830348738424832</v>
      </c>
      <c r="F577" s="8"/>
      <c r="G577" s="14" t="s">
        <v>3197</v>
      </c>
      <c r="H577" s="8"/>
      <c r="I577" s="15">
        <v>0</v>
      </c>
      <c r="J577" s="15">
        <v>0</v>
      </c>
      <c r="K577" s="12" t="str">
        <f>HYPERLINK("https://mobile.twitter.com","Twitter Web App")</f>
        <v>Twitter Web App</v>
      </c>
      <c r="L577" s="16">
        <v>0</v>
      </c>
      <c r="M577" s="16">
        <v>1</v>
      </c>
      <c r="N577" s="16">
        <v>0</v>
      </c>
      <c r="O577" s="17"/>
      <c r="P577" s="18">
        <v>43725.947002314817</v>
      </c>
      <c r="Q577" s="8" t="s">
        <v>1284</v>
      </c>
      <c r="R577" s="8" t="s">
        <v>3198</v>
      </c>
      <c r="S577" s="8"/>
      <c r="T577" s="8"/>
      <c r="U577" s="19" t="str">
        <f>HYPERLINK("https://pbs.twimg.com/profile_images/1174581414328557569/cjXjpDu9.jpg","View")</f>
        <v>View</v>
      </c>
      <c r="V577" s="8"/>
      <c r="W577" s="8"/>
      <c r="X577" s="8"/>
      <c r="Y577" s="8"/>
      <c r="Z577" s="8"/>
    </row>
    <row r="578" spans="1:26" ht="12.75">
      <c r="A578" s="11">
        <v>43747.009988425925</v>
      </c>
      <c r="B578" s="12" t="str">
        <f>HYPERLINK("https://twitter.com/tasheeii83","@tasheeii83")</f>
        <v>@tasheeii83</v>
      </c>
      <c r="C578" s="13" t="s">
        <v>3201</v>
      </c>
      <c r="D578" s="13" t="s">
        <v>3203</v>
      </c>
      <c r="E578" s="12" t="str">
        <f>HYPERLINK("https://twitter.com/tasheeii83/status/1181830248867995648","1181830248867995648")</f>
        <v>1181830248867995648</v>
      </c>
      <c r="F578" s="8"/>
      <c r="G578" s="14" t="s">
        <v>3204</v>
      </c>
      <c r="H578" s="8"/>
      <c r="I578" s="15">
        <v>0</v>
      </c>
      <c r="J578" s="15">
        <v>0</v>
      </c>
      <c r="K578" s="12" t="str">
        <f>HYPERLINK("http://twitter.com","Twitter Web Client")</f>
        <v>Twitter Web Client</v>
      </c>
      <c r="L578" s="16">
        <v>5</v>
      </c>
      <c r="M578" s="16">
        <v>29</v>
      </c>
      <c r="N578" s="16">
        <v>0</v>
      </c>
      <c r="O578" s="17"/>
      <c r="P578" s="18">
        <v>42077.403020833328</v>
      </c>
      <c r="Q578" s="8"/>
      <c r="R578" s="8"/>
      <c r="S578" s="8"/>
      <c r="T578" s="8"/>
      <c r="U578" s="19" t="str">
        <f>HYPERLINK("https://pbs.twimg.com/profile_images/576785187947737088/dL8pU5hN.jpeg","View")</f>
        <v>View</v>
      </c>
      <c r="V578" s="8"/>
      <c r="W578" s="8"/>
      <c r="X578" s="8"/>
      <c r="Y578" s="8"/>
      <c r="Z578" s="8"/>
    </row>
    <row r="579" spans="1:26" ht="12.75">
      <c r="A579" s="11">
        <v>43747.009988425925</v>
      </c>
      <c r="B579" s="12" t="str">
        <f>HYPERLINK("https://twitter.com/abdul_ka7","@abdul_ka7")</f>
        <v>@abdul_ka7</v>
      </c>
      <c r="C579" s="13" t="s">
        <v>3208</v>
      </c>
      <c r="D579" s="13" t="s">
        <v>944</v>
      </c>
      <c r="E579" s="12" t="str">
        <f>HYPERLINK("https://twitter.com/abdul_ka7/status/1181830248217792512","1181830248217792512")</f>
        <v>1181830248217792512</v>
      </c>
      <c r="F579" s="8"/>
      <c r="G579" s="14" t="s">
        <v>3209</v>
      </c>
      <c r="H579" s="8"/>
      <c r="I579" s="15">
        <v>0</v>
      </c>
      <c r="J579" s="15">
        <v>0</v>
      </c>
      <c r="K579" s="12" t="str">
        <f>HYPERLINK("https://mobile.twitter.com","Twitter Web App")</f>
        <v>Twitter Web App</v>
      </c>
      <c r="L579" s="16">
        <v>0</v>
      </c>
      <c r="M579" s="16">
        <v>2</v>
      </c>
      <c r="N579" s="16">
        <v>0</v>
      </c>
      <c r="O579" s="17"/>
      <c r="P579" s="18">
        <v>43725.943287037036</v>
      </c>
      <c r="Q579" s="8" t="s">
        <v>1133</v>
      </c>
      <c r="R579" s="8" t="s">
        <v>1565</v>
      </c>
      <c r="S579" s="8"/>
      <c r="T579" s="8"/>
      <c r="U579" s="19" t="str">
        <f>HYPERLINK("https://pbs.twimg.com/profile_images/1174579996565721089/2OTOB7Pk.jpg","View")</f>
        <v>View</v>
      </c>
      <c r="V579" s="8"/>
      <c r="W579" s="8"/>
      <c r="X579" s="8"/>
      <c r="Y579" s="8"/>
      <c r="Z579" s="8"/>
    </row>
    <row r="580" spans="1:26" ht="12.75">
      <c r="A580" s="11">
        <v>43747.009849537033</v>
      </c>
      <c r="B580" s="12" t="str">
        <f>HYPERLINK("https://twitter.com/Boooooosy5","@Boooooosy5")</f>
        <v>@Boooooosy5</v>
      </c>
      <c r="C580" s="13" t="s">
        <v>3214</v>
      </c>
      <c r="D580" s="13" t="s">
        <v>3215</v>
      </c>
      <c r="E580" s="12" t="str">
        <f>HYPERLINK("https://twitter.com/Boooooosy5/status/1181830198683156480","1181830198683156480")</f>
        <v>1181830198683156480</v>
      </c>
      <c r="F580" s="8"/>
      <c r="G580" s="15"/>
      <c r="H580" s="8"/>
      <c r="I580" s="15">
        <v>0</v>
      </c>
      <c r="J580" s="15">
        <v>3</v>
      </c>
      <c r="K580" s="12" t="str">
        <f>HYPERLINK("http://twitter.com/download/android","Twitter for Android")</f>
        <v>Twitter for Android</v>
      </c>
      <c r="L580" s="16">
        <v>60</v>
      </c>
      <c r="M580" s="16">
        <v>108</v>
      </c>
      <c r="N580" s="16">
        <v>0</v>
      </c>
      <c r="O580" s="17"/>
      <c r="P580" s="18">
        <v>42798.844976851848</v>
      </c>
      <c r="Q580" s="8"/>
      <c r="R580" s="8" t="s">
        <v>3216</v>
      </c>
      <c r="S580" s="8"/>
      <c r="T580" s="8"/>
      <c r="U580" s="19" t="str">
        <f>HYPERLINK("https://pbs.twimg.com/profile_images/1101254227299627008/2ghCAqvL.jpg","View")</f>
        <v>View</v>
      </c>
      <c r="V580" s="8"/>
      <c r="W580" s="8"/>
      <c r="X580" s="8"/>
      <c r="Y580" s="8"/>
      <c r="Z580" s="8"/>
    </row>
    <row r="581" spans="1:26" ht="12.75">
      <c r="A581" s="11">
        <v>43747.00980324074</v>
      </c>
      <c r="B581" s="12" t="str">
        <f>HYPERLINK("https://twitter.com/Amri1Aslam","@Amri1Aslam")</f>
        <v>@Amri1Aslam</v>
      </c>
      <c r="C581" s="13" t="s">
        <v>3218</v>
      </c>
      <c r="D581" s="7" t="s">
        <v>944</v>
      </c>
      <c r="E581" s="12" t="str">
        <f>HYPERLINK("https://twitter.com/Amri1Aslam/status/1181830180731383810","1181830180731383810")</f>
        <v>1181830180731383810</v>
      </c>
      <c r="F581" s="8"/>
      <c r="G581" s="14" t="s">
        <v>3219</v>
      </c>
      <c r="H581" s="8"/>
      <c r="I581" s="15">
        <v>0</v>
      </c>
      <c r="J581" s="15">
        <v>0</v>
      </c>
      <c r="K581" s="12" t="str">
        <f>HYPERLINK("https://mobile.twitter.com","Twitter Web App")</f>
        <v>Twitter Web App</v>
      </c>
      <c r="L581" s="16">
        <v>0</v>
      </c>
      <c r="M581" s="16">
        <v>2</v>
      </c>
      <c r="N581" s="16">
        <v>0</v>
      </c>
      <c r="O581" s="17"/>
      <c r="P581" s="18">
        <v>43725.005231481482</v>
      </c>
      <c r="Q581" s="8" t="s">
        <v>972</v>
      </c>
      <c r="R581" s="13" t="s">
        <v>3222</v>
      </c>
      <c r="S581" s="8"/>
      <c r="T581" s="8"/>
      <c r="U581" s="19" t="str">
        <f>HYPERLINK("https://pbs.twimg.com/profile_images/1180405276752482304/j0894S0T.jpg","View")</f>
        <v>View</v>
      </c>
      <c r="V581" s="8"/>
      <c r="W581" s="8"/>
      <c r="X581" s="8"/>
      <c r="Y581" s="8"/>
      <c r="Z581" s="8"/>
    </row>
    <row r="582" spans="1:26" ht="12.75">
      <c r="A582" s="11">
        <v>43747.009722222225</v>
      </c>
      <c r="B582" s="12" t="str">
        <f>HYPERLINK("https://twitter.com/abdelazee22","@abdelazee22")</f>
        <v>@abdelazee22</v>
      </c>
      <c r="C582" s="13" t="s">
        <v>3223</v>
      </c>
      <c r="D582" s="13" t="s">
        <v>3224</v>
      </c>
      <c r="E582" s="12" t="str">
        <f>HYPERLINK("https://twitter.com/abdelazee22/status/1181830151404998656","1181830151404998656")</f>
        <v>1181830151404998656</v>
      </c>
      <c r="F582" s="8"/>
      <c r="G582" s="14" t="s">
        <v>3225</v>
      </c>
      <c r="H582" s="8"/>
      <c r="I582" s="15">
        <v>0</v>
      </c>
      <c r="J582" s="15">
        <v>0</v>
      </c>
      <c r="K582" s="12" t="str">
        <f>HYPERLINK("http://twitter.com","Twitter Web Client")</f>
        <v>Twitter Web Client</v>
      </c>
      <c r="L582" s="16">
        <v>14</v>
      </c>
      <c r="M582" s="16">
        <v>38</v>
      </c>
      <c r="N582" s="16">
        <v>0</v>
      </c>
      <c r="O582" s="17"/>
      <c r="P582" s="18">
        <v>42072.288518518515</v>
      </c>
      <c r="Q582" s="8"/>
      <c r="R582" s="8"/>
      <c r="S582" s="8"/>
      <c r="T582" s="8"/>
      <c r="U582" s="19" t="str">
        <f>HYPERLINK("https://pbs.twimg.com/profile_images/574931628088143874/7BjwW3sv.jpeg","View")</f>
        <v>View</v>
      </c>
      <c r="V582" s="8"/>
      <c r="W582" s="8"/>
      <c r="X582" s="8"/>
      <c r="Y582" s="8"/>
      <c r="Z582" s="8"/>
    </row>
    <row r="583" spans="1:26" ht="12.75">
      <c r="A583" s="11">
        <v>43747.008761574078</v>
      </c>
      <c r="B583" s="12" t="str">
        <f>HYPERLINK("https://twitter.com/alsharenii3","@alsharenii3")</f>
        <v>@alsharenii3</v>
      </c>
      <c r="C583" s="13" t="s">
        <v>3228</v>
      </c>
      <c r="D583" s="13" t="s">
        <v>3229</v>
      </c>
      <c r="E583" s="12" t="str">
        <f>HYPERLINK("https://twitter.com/alsharenii3/status/1181829805723009024","1181829805723009024")</f>
        <v>1181829805723009024</v>
      </c>
      <c r="F583" s="8"/>
      <c r="G583" s="14" t="s">
        <v>3232</v>
      </c>
      <c r="H583" s="8"/>
      <c r="I583" s="15">
        <v>0</v>
      </c>
      <c r="J583" s="15">
        <v>0</v>
      </c>
      <c r="K583" s="12" t="str">
        <f>HYPERLINK("http://twitter.com","Twitter Web Client")</f>
        <v>Twitter Web Client</v>
      </c>
      <c r="L583" s="16">
        <v>2</v>
      </c>
      <c r="M583" s="16">
        <v>45</v>
      </c>
      <c r="N583" s="16">
        <v>0</v>
      </c>
      <c r="O583" s="17"/>
      <c r="P583" s="18">
        <v>42070.195023148146</v>
      </c>
      <c r="Q583" s="8"/>
      <c r="R583" s="8"/>
      <c r="S583" s="8"/>
      <c r="T583" s="8"/>
      <c r="U583" s="19" t="str">
        <f>HYPERLINK("https://pbs.twimg.com/profile_images/574188104413642754/wMN4rhxm.jpeg","View")</f>
        <v>View</v>
      </c>
      <c r="V583" s="8"/>
      <c r="W583" s="8"/>
      <c r="X583" s="8"/>
      <c r="Y583" s="8"/>
      <c r="Z583" s="8"/>
    </row>
    <row r="584" spans="1:26" ht="12.75">
      <c r="A584" s="11">
        <v>43747.008750000001</v>
      </c>
      <c r="B584" s="12" t="str">
        <f>HYPERLINK("https://twitter.com/ja1_abdul","@ja1_abdul")</f>
        <v>@ja1_abdul</v>
      </c>
      <c r="C584" s="13" t="s">
        <v>3234</v>
      </c>
      <c r="D584" s="13" t="s">
        <v>1030</v>
      </c>
      <c r="E584" s="12" t="str">
        <f>HYPERLINK("https://twitter.com/ja1_abdul/status/1181829800257712128","1181829800257712128")</f>
        <v>1181829800257712128</v>
      </c>
      <c r="F584" s="8"/>
      <c r="G584" s="14" t="s">
        <v>3235</v>
      </c>
      <c r="H584" s="8"/>
      <c r="I584" s="15">
        <v>0</v>
      </c>
      <c r="J584" s="15">
        <v>0</v>
      </c>
      <c r="K584" s="12" t="str">
        <f>HYPERLINK("https://mobile.twitter.com","Twitter Web App")</f>
        <v>Twitter Web App</v>
      </c>
      <c r="L584" s="16">
        <v>1</v>
      </c>
      <c r="M584" s="16">
        <v>2</v>
      </c>
      <c r="N584" s="16">
        <v>0</v>
      </c>
      <c r="O584" s="17"/>
      <c r="P584" s="18">
        <v>43725.936666666668</v>
      </c>
      <c r="Q584" s="7" t="s">
        <v>1271</v>
      </c>
      <c r="R584" s="13" t="s">
        <v>2983</v>
      </c>
      <c r="S584" s="8"/>
      <c r="T584" s="8"/>
      <c r="U584" s="19" t="str">
        <f>HYPERLINK("https://pbs.twimg.com/profile_images/1174579692105424896/IeHhSpSf.jpg","View")</f>
        <v>View</v>
      </c>
      <c r="V584" s="8"/>
      <c r="W584" s="8"/>
      <c r="X584" s="8"/>
      <c r="Y584" s="8"/>
      <c r="Z584" s="8"/>
    </row>
    <row r="585" spans="1:26" ht="12.75">
      <c r="A585" s="11">
        <v>43747.007511574076</v>
      </c>
      <c r="B585" s="12" t="str">
        <f>HYPERLINK("https://twitter.com/aldraab","@aldraab")</f>
        <v>@aldraab</v>
      </c>
      <c r="C585" s="13" t="s">
        <v>3239</v>
      </c>
      <c r="D585" s="7" t="s">
        <v>3240</v>
      </c>
      <c r="E585" s="12" t="str">
        <f>HYPERLINK("https://twitter.com/aldraab/status/1181829350238429185","1181829350238429185")</f>
        <v>1181829350238429185</v>
      </c>
      <c r="F585" s="8"/>
      <c r="G585" s="14" t="s">
        <v>3243</v>
      </c>
      <c r="H585" s="8"/>
      <c r="I585" s="15">
        <v>0</v>
      </c>
      <c r="J585" s="15">
        <v>0</v>
      </c>
      <c r="K585" s="12" t="str">
        <f>HYPERLINK("http://twitter.com","Twitter Web Client")</f>
        <v>Twitter Web Client</v>
      </c>
      <c r="L585" s="16">
        <v>11</v>
      </c>
      <c r="M585" s="16">
        <v>41</v>
      </c>
      <c r="N585" s="16">
        <v>0</v>
      </c>
      <c r="O585" s="17"/>
      <c r="P585" s="18">
        <v>42071.661504629628</v>
      </c>
      <c r="Q585" s="7"/>
      <c r="R585" s="7"/>
      <c r="S585" s="15"/>
      <c r="T585" s="8"/>
      <c r="U585" s="19" t="str">
        <f>HYPERLINK("https://pbs.twimg.com/profile_images/574712308909256705/s-wFLqy5.jpeg","View")</f>
        <v>View</v>
      </c>
      <c r="V585" s="8"/>
      <c r="W585" s="8"/>
      <c r="X585" s="8"/>
      <c r="Y585" s="8"/>
      <c r="Z585" s="8"/>
    </row>
    <row r="586" spans="1:26" ht="12.75">
      <c r="A586" s="11">
        <v>43747.007222222222</v>
      </c>
      <c r="B586" s="12" t="str">
        <f>HYPERLINK("https://twitter.com/bandarmohamme18","@bandarmohamme18")</f>
        <v>@bandarmohamme18</v>
      </c>
      <c r="C586" s="13" t="s">
        <v>3246</v>
      </c>
      <c r="D586" s="13" t="s">
        <v>3247</v>
      </c>
      <c r="E586" s="12" t="str">
        <f>HYPERLINK("https://twitter.com/bandarmohamme18/status/1181829248891445248","1181829248891445248")</f>
        <v>1181829248891445248</v>
      </c>
      <c r="F586" s="8"/>
      <c r="G586" s="14" t="s">
        <v>3248</v>
      </c>
      <c r="H586" s="8"/>
      <c r="I586" s="15">
        <v>0</v>
      </c>
      <c r="J586" s="15">
        <v>0</v>
      </c>
      <c r="K586" s="12" t="str">
        <f>HYPERLINK("http://twitter.com","Twitter Web Client")</f>
        <v>Twitter Web Client</v>
      </c>
      <c r="L586" s="16">
        <v>12</v>
      </c>
      <c r="M586" s="16">
        <v>42</v>
      </c>
      <c r="N586" s="16">
        <v>0</v>
      </c>
      <c r="O586" s="17"/>
      <c r="P586" s="18">
        <v>42072.16810185185</v>
      </c>
      <c r="Q586" s="8"/>
      <c r="R586" s="8"/>
      <c r="S586" s="8"/>
      <c r="T586" s="8"/>
      <c r="U586" s="19" t="str">
        <f>HYPERLINK("https://pbs.twimg.com/profile_images/574888116827222017/eFTTNRTT.jpeg","View")</f>
        <v>View</v>
      </c>
      <c r="V586" s="8"/>
      <c r="W586" s="8"/>
      <c r="X586" s="8"/>
      <c r="Y586" s="8"/>
      <c r="Z586" s="8"/>
    </row>
    <row r="587" spans="1:26" ht="12.75">
      <c r="A587" s="11">
        <v>43747.00708333333</v>
      </c>
      <c r="B587" s="12" t="str">
        <f>HYPERLINK("https://twitter.com/saeedahtani","@saeedahtani")</f>
        <v>@saeedahtani</v>
      </c>
      <c r="C587" s="13" t="s">
        <v>3251</v>
      </c>
      <c r="D587" s="13" t="s">
        <v>3252</v>
      </c>
      <c r="E587" s="12" t="str">
        <f>HYPERLINK("https://twitter.com/saeedahtani/status/1181829197406330880","1181829197406330880")</f>
        <v>1181829197406330880</v>
      </c>
      <c r="F587" s="8"/>
      <c r="G587" s="14" t="s">
        <v>3253</v>
      </c>
      <c r="H587" s="8"/>
      <c r="I587" s="15">
        <v>0</v>
      </c>
      <c r="J587" s="15">
        <v>0</v>
      </c>
      <c r="K587" s="12" t="str">
        <f>HYPERLINK("http://twitter.com","Twitter Web Client")</f>
        <v>Twitter Web Client</v>
      </c>
      <c r="L587" s="16">
        <v>79</v>
      </c>
      <c r="M587" s="16">
        <v>37</v>
      </c>
      <c r="N587" s="16">
        <v>0</v>
      </c>
      <c r="O587" s="17"/>
      <c r="P587" s="18">
        <v>42080.50099537037</v>
      </c>
      <c r="Q587" s="8"/>
      <c r="R587" s="8"/>
      <c r="S587" s="8"/>
      <c r="T587" s="8"/>
      <c r="U587" s="19" t="str">
        <f>HYPERLINK("https://pbs.twimg.com/profile_images/577913281928507392/NROSqiOK.jpeg","View")</f>
        <v>View</v>
      </c>
      <c r="V587" s="8"/>
      <c r="W587" s="8"/>
      <c r="X587" s="8"/>
      <c r="Y587" s="8"/>
      <c r="Z587" s="8"/>
    </row>
    <row r="588" spans="1:26" ht="12.75">
      <c r="A588" s="11">
        <v>43747.006643518514</v>
      </c>
      <c r="B588" s="12" t="str">
        <f>HYPERLINK("https://twitter.com/muhamedalimuha1","@muhamedalimuha1")</f>
        <v>@muhamedalimuha1</v>
      </c>
      <c r="C588" s="13" t="s">
        <v>3254</v>
      </c>
      <c r="D588" s="7" t="s">
        <v>3255</v>
      </c>
      <c r="E588" s="12" t="str">
        <f>HYPERLINK("https://twitter.com/muhamedalimuha1/status/1181829037574017024","1181829037574017024")</f>
        <v>1181829037574017024</v>
      </c>
      <c r="F588" s="8"/>
      <c r="G588" s="14" t="s">
        <v>3258</v>
      </c>
      <c r="H588" s="8"/>
      <c r="I588" s="15">
        <v>0</v>
      </c>
      <c r="J588" s="15">
        <v>0</v>
      </c>
      <c r="K588" s="12" t="str">
        <f>HYPERLINK("http://twitter.com","Twitter Web Client")</f>
        <v>Twitter Web Client</v>
      </c>
      <c r="L588" s="16">
        <v>4</v>
      </c>
      <c r="M588" s="16">
        <v>36</v>
      </c>
      <c r="N588" s="16">
        <v>0</v>
      </c>
      <c r="O588" s="17"/>
      <c r="P588" s="18">
        <v>42078.259317129632</v>
      </c>
      <c r="Q588" s="7"/>
      <c r="R588" s="13"/>
      <c r="S588" s="8"/>
      <c r="T588" s="8"/>
      <c r="U588" s="19" t="str">
        <f>HYPERLINK("https://pbs.twimg.com/profile_images/577095482473738240/_RbzsNb3.jpeg","View")</f>
        <v>View</v>
      </c>
      <c r="V588" s="8"/>
      <c r="W588" s="8"/>
      <c r="X588" s="8"/>
      <c r="Y588" s="8"/>
      <c r="Z588" s="8"/>
    </row>
    <row r="589" spans="1:26" ht="12.75">
      <c r="A589" s="11">
        <v>43747.006365740745</v>
      </c>
      <c r="B589" s="12" t="str">
        <f>HYPERLINK("https://twitter.com/wasallalla_333","@wasallalla_333")</f>
        <v>@wasallalla_333</v>
      </c>
      <c r="C589" s="13" t="s">
        <v>3261</v>
      </c>
      <c r="D589" s="13" t="s">
        <v>3262</v>
      </c>
      <c r="E589" s="12" t="str">
        <f>HYPERLINK("https://twitter.com/wasallalla_333/status/1181828938450030592","1181828938450030592")</f>
        <v>1181828938450030592</v>
      </c>
      <c r="F589" s="8"/>
      <c r="G589" s="14" t="s">
        <v>3263</v>
      </c>
      <c r="H589" s="8"/>
      <c r="I589" s="15">
        <v>0</v>
      </c>
      <c r="J589" s="15">
        <v>0</v>
      </c>
      <c r="K589" s="12" t="str">
        <f>HYPERLINK("http://twitter.com","Twitter Web Client")</f>
        <v>Twitter Web Client</v>
      </c>
      <c r="L589" s="16">
        <v>1</v>
      </c>
      <c r="M589" s="16">
        <v>34</v>
      </c>
      <c r="N589" s="16">
        <v>0</v>
      </c>
      <c r="O589" s="17"/>
      <c r="P589" s="18">
        <v>42085.337893518517</v>
      </c>
      <c r="Q589" s="8"/>
      <c r="R589" s="8"/>
      <c r="S589" s="8"/>
      <c r="T589" s="8"/>
      <c r="U589" s="19" t="str">
        <f>HYPERLINK("https://pbs.twimg.com/profile_images/579660564290400256/sgVEyZUc.jpg","View")</f>
        <v>View</v>
      </c>
      <c r="V589" s="8"/>
      <c r="W589" s="8"/>
      <c r="X589" s="8"/>
      <c r="Y589" s="8"/>
      <c r="Z589" s="8"/>
    </row>
    <row r="590" spans="1:26" ht="12.75">
      <c r="A590" s="11">
        <v>43747.005682870367</v>
      </c>
      <c r="B590" s="12" t="str">
        <f>HYPERLINK("https://twitter.com/AliOahmadie","@AliOahmadie")</f>
        <v>@AliOahmadie</v>
      </c>
      <c r="C590" s="13" t="s">
        <v>1739</v>
      </c>
      <c r="D590" s="13" t="s">
        <v>3267</v>
      </c>
      <c r="E590" s="12" t="str">
        <f>HYPERLINK("https://twitter.com/AliOahmadie/status/1181828690897969152","1181828690897969152")</f>
        <v>1181828690897969152</v>
      </c>
      <c r="F590" s="8"/>
      <c r="G590" s="14" t="s">
        <v>3268</v>
      </c>
      <c r="H590" s="8"/>
      <c r="I590" s="15">
        <v>0</v>
      </c>
      <c r="J590" s="15">
        <v>0</v>
      </c>
      <c r="K590" s="12" t="str">
        <f>HYPERLINK("http://twitter.com","Twitter Web Client")</f>
        <v>Twitter Web Client</v>
      </c>
      <c r="L590" s="16">
        <v>7</v>
      </c>
      <c r="M590" s="16">
        <v>42</v>
      </c>
      <c r="N590" s="16">
        <v>0</v>
      </c>
      <c r="O590" s="17"/>
      <c r="P590" s="18">
        <v>42072.200185185182</v>
      </c>
      <c r="Q590" s="8"/>
      <c r="R590" s="8"/>
      <c r="S590" s="8"/>
      <c r="T590" s="8"/>
      <c r="U590" s="19" t="str">
        <f>HYPERLINK("https://pbs.twimg.com/profile_images/574899991535218688/UJMEEBnf.jpeg","View")</f>
        <v>View</v>
      </c>
      <c r="V590" s="8"/>
      <c r="W590" s="8"/>
      <c r="X590" s="8"/>
      <c r="Y590" s="8"/>
      <c r="Z590" s="8"/>
    </row>
    <row r="591" spans="1:26" ht="12.75">
      <c r="A591" s="11">
        <v>43747.005127314813</v>
      </c>
      <c r="B591" s="12" t="str">
        <f>HYPERLINK("https://twitter.com/AlknanIbrahim","@AlknanIbrahim")</f>
        <v>@AlknanIbrahim</v>
      </c>
      <c r="C591" s="13" t="s">
        <v>3272</v>
      </c>
      <c r="D591" s="13" t="s">
        <v>3273</v>
      </c>
      <c r="E591" s="12" t="str">
        <f>HYPERLINK("https://twitter.com/AlknanIbrahim/status/1181828489953067008","1181828489953067008")</f>
        <v>1181828489953067008</v>
      </c>
      <c r="F591" s="8"/>
      <c r="G591" s="14" t="s">
        <v>3274</v>
      </c>
      <c r="H591" s="8"/>
      <c r="I591" s="15">
        <v>0</v>
      </c>
      <c r="J591" s="15">
        <v>0</v>
      </c>
      <c r="K591" s="12" t="str">
        <f>HYPERLINK("http://twitter.com","Twitter Web Client")</f>
        <v>Twitter Web Client</v>
      </c>
      <c r="L591" s="16">
        <v>3</v>
      </c>
      <c r="M591" s="16">
        <v>38</v>
      </c>
      <c r="N591" s="16">
        <v>0</v>
      </c>
      <c r="O591" s="17"/>
      <c r="P591" s="18">
        <v>42070.630613425921</v>
      </c>
      <c r="Q591" s="8"/>
      <c r="R591" s="8"/>
      <c r="S591" s="8"/>
      <c r="T591" s="8"/>
      <c r="U591" s="19" t="str">
        <f>HYPERLINK("https://pbs.twimg.com/profile_images/574363074909491200/3lRjC2yl.jpeg","View")</f>
        <v>View</v>
      </c>
      <c r="V591" s="8"/>
      <c r="W591" s="8"/>
      <c r="X591" s="8"/>
      <c r="Y591" s="8"/>
      <c r="Z591" s="8"/>
    </row>
    <row r="592" spans="1:26" ht="12.75">
      <c r="A592" s="11">
        <v>43747.004409722227</v>
      </c>
      <c r="B592" s="12" t="str">
        <f>HYPERLINK("https://twitter.com/fahdatallah2","@fahdatallah2")</f>
        <v>@fahdatallah2</v>
      </c>
      <c r="C592" s="13" t="s">
        <v>3275</v>
      </c>
      <c r="D592" s="13" t="s">
        <v>3276</v>
      </c>
      <c r="E592" s="12" t="str">
        <f>HYPERLINK("https://twitter.com/fahdatallah2/status/1181828227637096448","1181828227637096448")</f>
        <v>1181828227637096448</v>
      </c>
      <c r="F592" s="8"/>
      <c r="G592" s="14" t="s">
        <v>3277</v>
      </c>
      <c r="H592" s="8"/>
      <c r="I592" s="15">
        <v>0</v>
      </c>
      <c r="J592" s="15">
        <v>0</v>
      </c>
      <c r="K592" s="12" t="str">
        <f>HYPERLINK("http://twitter.com","Twitter Web Client")</f>
        <v>Twitter Web Client</v>
      </c>
      <c r="L592" s="16">
        <v>5</v>
      </c>
      <c r="M592" s="16">
        <v>36</v>
      </c>
      <c r="N592" s="16">
        <v>0</v>
      </c>
      <c r="O592" s="17"/>
      <c r="P592" s="18">
        <v>42069.252824074079</v>
      </c>
      <c r="Q592" s="8"/>
      <c r="R592" s="8"/>
      <c r="S592" s="8"/>
      <c r="T592" s="8"/>
      <c r="U592" s="19" t="str">
        <f>HYPERLINK("https://pbs.twimg.com/profile_images/573850482701029377/zLqoFcys.jpeg","View")</f>
        <v>View</v>
      </c>
      <c r="V592" s="8"/>
      <c r="W592" s="8"/>
      <c r="X592" s="8"/>
      <c r="Y592" s="8"/>
      <c r="Z592" s="8"/>
    </row>
    <row r="593" spans="1:26" ht="12.75">
      <c r="A593" s="11">
        <v>43747.00371527778</v>
      </c>
      <c r="B593" s="12" t="str">
        <f>HYPERLINK("https://twitter.com/futurehubaishi1","@futurehubaishi1")</f>
        <v>@futurehubaishi1</v>
      </c>
      <c r="C593" s="13" t="s">
        <v>3280</v>
      </c>
      <c r="D593" s="7" t="s">
        <v>3281</v>
      </c>
      <c r="E593" s="12" t="str">
        <f>HYPERLINK("https://twitter.com/futurehubaishi1/status/1181827977744662533","1181827977744662533")</f>
        <v>1181827977744662533</v>
      </c>
      <c r="F593" s="8"/>
      <c r="G593" s="14" t="s">
        <v>3282</v>
      </c>
      <c r="H593" s="8"/>
      <c r="I593" s="15">
        <v>0</v>
      </c>
      <c r="J593" s="15">
        <v>0</v>
      </c>
      <c r="K593" s="12" t="str">
        <f>HYPERLINK("http://twitter.com","Twitter Web Client")</f>
        <v>Twitter Web Client</v>
      </c>
      <c r="L593" s="16">
        <v>2</v>
      </c>
      <c r="M593" s="16">
        <v>43</v>
      </c>
      <c r="N593" s="16">
        <v>0</v>
      </c>
      <c r="O593" s="17"/>
      <c r="P593" s="18">
        <v>42072.742349537039</v>
      </c>
      <c r="Q593" s="7"/>
      <c r="R593" s="13"/>
      <c r="S593" s="8"/>
      <c r="T593" s="8"/>
      <c r="U593" s="19" t="str">
        <f>HYPERLINK("https://pbs.twimg.com/profile_images/575099113265500161/04jPr4K-.jpeg","View")</f>
        <v>View</v>
      </c>
      <c r="V593" s="8"/>
      <c r="W593" s="8"/>
      <c r="X593" s="8"/>
      <c r="Y593" s="8"/>
      <c r="Z593" s="8"/>
    </row>
    <row r="594" spans="1:26" ht="12.75">
      <c r="A594" s="11">
        <v>43747.002905092595</v>
      </c>
      <c r="B594" s="12" t="str">
        <f>HYPERLINK("https://twitter.com/mabroukhusseini","@mabroukhusseini")</f>
        <v>@mabroukhusseini</v>
      </c>
      <c r="C594" s="13" t="s">
        <v>3283</v>
      </c>
      <c r="D594" s="13" t="s">
        <v>3285</v>
      </c>
      <c r="E594" s="12" t="str">
        <f>HYPERLINK("https://twitter.com/mabroukhusseini/status/1181827681677131783","1181827681677131783")</f>
        <v>1181827681677131783</v>
      </c>
      <c r="F594" s="8"/>
      <c r="G594" s="14" t="s">
        <v>3287</v>
      </c>
      <c r="H594" s="8"/>
      <c r="I594" s="15">
        <v>0</v>
      </c>
      <c r="J594" s="15">
        <v>0</v>
      </c>
      <c r="K594" s="12" t="str">
        <f>HYPERLINK("http://twitter.com","Twitter Web Client")</f>
        <v>Twitter Web Client</v>
      </c>
      <c r="L594" s="16">
        <v>2</v>
      </c>
      <c r="M594" s="16">
        <v>44</v>
      </c>
      <c r="N594" s="16">
        <v>0</v>
      </c>
      <c r="O594" s="17"/>
      <c r="P594" s="18">
        <v>42073.481388888889</v>
      </c>
      <c r="Q594" s="8"/>
      <c r="R594" s="8"/>
      <c r="S594" s="8"/>
      <c r="T594" s="8"/>
      <c r="U594" s="19" t="str">
        <f>HYPERLINK("https://pbs.twimg.com/profile_images/575364090119393280/OoL0r84D.jpeg","View")</f>
        <v>View</v>
      </c>
      <c r="V594" s="8"/>
      <c r="W594" s="8"/>
      <c r="X594" s="8"/>
      <c r="Y594" s="8"/>
      <c r="Z594" s="8"/>
    </row>
    <row r="595" spans="1:26" ht="12.75">
      <c r="A595" s="11">
        <v>43747.000937500001</v>
      </c>
      <c r="B595" s="12" t="str">
        <f>HYPERLINK("https://twitter.com/7amadElshamry","@7amadElshamry")</f>
        <v>@7amadElshamry</v>
      </c>
      <c r="C595" s="13" t="s">
        <v>3289</v>
      </c>
      <c r="D595" s="13" t="s">
        <v>3290</v>
      </c>
      <c r="E595" s="12" t="str">
        <f>HYPERLINK("https://twitter.com/7amadElshamry/status/1181826969903783936","1181826969903783936")</f>
        <v>1181826969903783936</v>
      </c>
      <c r="F595" s="8"/>
      <c r="G595" s="14" t="s">
        <v>3291</v>
      </c>
      <c r="H595" s="8"/>
      <c r="I595" s="15">
        <v>0</v>
      </c>
      <c r="J595" s="15">
        <v>0</v>
      </c>
      <c r="K595" s="12" t="str">
        <f>HYPERLINK("http://twitter.com","Twitter Web Client")</f>
        <v>Twitter Web Client</v>
      </c>
      <c r="L595" s="16">
        <v>2</v>
      </c>
      <c r="M595" s="16">
        <v>32</v>
      </c>
      <c r="N595" s="16">
        <v>0</v>
      </c>
      <c r="O595" s="17"/>
      <c r="P595" s="18">
        <v>42027.041516203702</v>
      </c>
      <c r="Q595" s="7"/>
      <c r="R595" s="13"/>
      <c r="S595" s="8"/>
      <c r="T595" s="8"/>
      <c r="U595" s="19" t="str">
        <f>HYPERLINK("https://pbs.twimg.com/profile_images/558549841635057664/9ZuIIGJH.jpeg","View")</f>
        <v>View</v>
      </c>
      <c r="V595" s="8"/>
      <c r="W595" s="8"/>
      <c r="X595" s="8"/>
      <c r="Y595" s="8"/>
      <c r="Z595" s="8"/>
    </row>
    <row r="596" spans="1:26" ht="12.75">
      <c r="A596" s="11">
        <v>43746.998969907407</v>
      </c>
      <c r="B596" s="12" t="str">
        <f>HYPERLINK("https://twitter.com/ahmedalghadeer4","@ahmedalghadeer4")</f>
        <v>@ahmedalghadeer4</v>
      </c>
      <c r="C596" s="13" t="s">
        <v>3292</v>
      </c>
      <c r="D596" s="13" t="s">
        <v>3293</v>
      </c>
      <c r="E596" s="12" t="str">
        <f>HYPERLINK("https://twitter.com/ahmedalghadeer4/status/1181826256842739712","1181826256842739712")</f>
        <v>1181826256842739712</v>
      </c>
      <c r="F596" s="8"/>
      <c r="G596" s="14" t="s">
        <v>3294</v>
      </c>
      <c r="H596" s="8"/>
      <c r="I596" s="15">
        <v>0</v>
      </c>
      <c r="J596" s="15">
        <v>0</v>
      </c>
      <c r="K596" s="12" t="str">
        <f>HYPERLINK("http://twitter.com","Twitter Web Client")</f>
        <v>Twitter Web Client</v>
      </c>
      <c r="L596" s="16">
        <v>0</v>
      </c>
      <c r="M596" s="16">
        <v>41</v>
      </c>
      <c r="N596" s="16">
        <v>0</v>
      </c>
      <c r="O596" s="17"/>
      <c r="P596" s="18">
        <v>42071.19809027778</v>
      </c>
      <c r="Q596" s="8"/>
      <c r="R596" s="8"/>
      <c r="S596" s="8"/>
      <c r="T596" s="8"/>
      <c r="U596" s="19" t="str">
        <f>HYPERLINK("https://pbs.twimg.com/profile_images/574540477967417346/aexSUDoU.jpeg","View")</f>
        <v>View</v>
      </c>
      <c r="V596" s="8"/>
      <c r="W596" s="8"/>
      <c r="X596" s="8"/>
      <c r="Y596" s="8"/>
      <c r="Z596" s="8"/>
    </row>
    <row r="597" spans="1:26" ht="12.75">
      <c r="A597" s="11">
        <v>43746.998495370368</v>
      </c>
      <c r="B597" s="12" t="str">
        <f>HYPERLINK("https://twitter.com/sharifabbas5","@sharifabbas5")</f>
        <v>@sharifabbas5</v>
      </c>
      <c r="C597" s="13" t="s">
        <v>3296</v>
      </c>
      <c r="D597" s="13" t="s">
        <v>3297</v>
      </c>
      <c r="E597" s="12" t="str">
        <f>HYPERLINK("https://twitter.com/sharifabbas5/status/1181826083190181888","1181826083190181888")</f>
        <v>1181826083190181888</v>
      </c>
      <c r="F597" s="8"/>
      <c r="G597" s="14" t="s">
        <v>3298</v>
      </c>
      <c r="H597" s="8"/>
      <c r="I597" s="15">
        <v>0</v>
      </c>
      <c r="J597" s="15">
        <v>0</v>
      </c>
      <c r="K597" s="12" t="str">
        <f>HYPERLINK("http://twitter.com","Twitter Web Client")</f>
        <v>Twitter Web Client</v>
      </c>
      <c r="L597" s="16">
        <v>1</v>
      </c>
      <c r="M597" s="16">
        <v>0</v>
      </c>
      <c r="N597" s="16">
        <v>0</v>
      </c>
      <c r="O597" s="17"/>
      <c r="P597" s="18">
        <v>42074.293935185182</v>
      </c>
      <c r="Q597" s="8"/>
      <c r="R597" s="8"/>
      <c r="S597" s="8"/>
      <c r="T597" s="8"/>
      <c r="U597" s="19" t="str">
        <f>HYPERLINK("https://pbs.twimg.com/profile_images/575667561867517953/s3urBZTk.jpeg","View")</f>
        <v>View</v>
      </c>
      <c r="V597" s="8"/>
      <c r="W597" s="8"/>
      <c r="X597" s="8"/>
      <c r="Y597" s="8"/>
      <c r="Z597" s="8"/>
    </row>
    <row r="598" spans="1:26" ht="12.75">
      <c r="A598" s="11">
        <v>43746.998090277775</v>
      </c>
      <c r="B598" s="12" t="str">
        <f>HYPERLINK("https://twitter.com/jerwanaelovesa3","@jerwanaelovesa3")</f>
        <v>@jerwanaelovesa3</v>
      </c>
      <c r="C598" s="13" t="s">
        <v>3302</v>
      </c>
      <c r="D598" s="7" t="s">
        <v>3303</v>
      </c>
      <c r="E598" s="12" t="str">
        <f>HYPERLINK("https://twitter.com/jerwanaelovesa3/status/1181825935739412480","1181825935739412480")</f>
        <v>1181825935739412480</v>
      </c>
      <c r="F598" s="8"/>
      <c r="G598" s="14" t="s">
        <v>3306</v>
      </c>
      <c r="H598" s="8"/>
      <c r="I598" s="15">
        <v>0</v>
      </c>
      <c r="J598" s="15">
        <v>0</v>
      </c>
      <c r="K598" s="12" t="str">
        <f>HYPERLINK("http://twitter.com","Twitter Web Client")</f>
        <v>Twitter Web Client</v>
      </c>
      <c r="L598" s="16">
        <v>13</v>
      </c>
      <c r="M598" s="16">
        <v>41</v>
      </c>
      <c r="N598" s="16">
        <v>0</v>
      </c>
      <c r="O598" s="17"/>
      <c r="P598" s="18">
        <v>42073.387002314819</v>
      </c>
      <c r="Q598" s="7"/>
      <c r="R598" s="13"/>
      <c r="S598" s="8"/>
      <c r="T598" s="8"/>
      <c r="U598" s="19" t="str">
        <f>HYPERLINK("https://pbs.twimg.com/profile_images/575330093322518529/5Eflpu4c.jpeg","View")</f>
        <v>View</v>
      </c>
      <c r="V598" s="8"/>
      <c r="W598" s="8"/>
      <c r="X598" s="8"/>
      <c r="Y598" s="8"/>
      <c r="Z598" s="8"/>
    </row>
    <row r="599" spans="1:26" ht="12.75">
      <c r="A599" s="11">
        <v>43746.996828703705</v>
      </c>
      <c r="B599" s="12" t="str">
        <f>HYPERLINK("https://twitter.com/mohammedasood2","@mohammedasood2")</f>
        <v>@mohammedasood2</v>
      </c>
      <c r="C599" s="13" t="s">
        <v>3309</v>
      </c>
      <c r="D599" s="13" t="s">
        <v>3310</v>
      </c>
      <c r="E599" s="12" t="str">
        <f>HYPERLINK("https://twitter.com/mohammedasood2/status/1181825478761558016","1181825478761558016")</f>
        <v>1181825478761558016</v>
      </c>
      <c r="F599" s="8"/>
      <c r="G599" s="14" t="s">
        <v>3312</v>
      </c>
      <c r="H599" s="8"/>
      <c r="I599" s="15">
        <v>0</v>
      </c>
      <c r="J599" s="15">
        <v>0</v>
      </c>
      <c r="K599" s="12" t="str">
        <f>HYPERLINK("http://twitter.com","Twitter Web Client")</f>
        <v>Twitter Web Client</v>
      </c>
      <c r="L599" s="16">
        <v>1</v>
      </c>
      <c r="M599" s="16">
        <v>35</v>
      </c>
      <c r="N599" s="16">
        <v>0</v>
      </c>
      <c r="O599" s="17"/>
      <c r="P599" s="18">
        <v>41847.273634259262</v>
      </c>
      <c r="Q599" s="8"/>
      <c r="R599" s="8"/>
      <c r="S599" s="8"/>
      <c r="T599" s="8"/>
      <c r="U599" s="19" t="str">
        <f>HYPERLINK("https://pbs.twimg.com/profile_images/493389102411022336/1vWlxFlL.jpeg","View")</f>
        <v>View</v>
      </c>
      <c r="V599" s="8"/>
      <c r="W599" s="8"/>
      <c r="X599" s="8"/>
      <c r="Y599" s="8"/>
      <c r="Z599" s="8"/>
    </row>
    <row r="600" spans="1:26" ht="12.75">
      <c r="A600" s="11">
        <v>43746.996678240743</v>
      </c>
      <c r="B600" s="12" t="str">
        <f>HYPERLINK("https://twitter.com/aladawsa66","@aladawsa66")</f>
        <v>@aladawsa66</v>
      </c>
      <c r="C600" s="13" t="s">
        <v>3313</v>
      </c>
      <c r="D600" s="7" t="s">
        <v>3314</v>
      </c>
      <c r="E600" s="12" t="str">
        <f>HYPERLINK("https://twitter.com/aladawsa66/status/1181825424743190528","1181825424743190528")</f>
        <v>1181825424743190528</v>
      </c>
      <c r="F600" s="8"/>
      <c r="G600" s="14" t="s">
        <v>3315</v>
      </c>
      <c r="H600" s="8"/>
      <c r="I600" s="15">
        <v>0</v>
      </c>
      <c r="J600" s="15">
        <v>0</v>
      </c>
      <c r="K600" s="12" t="str">
        <f>HYPERLINK("http://twitter.com","Twitter Web Client")</f>
        <v>Twitter Web Client</v>
      </c>
      <c r="L600" s="16">
        <v>5</v>
      </c>
      <c r="M600" s="16">
        <v>35</v>
      </c>
      <c r="N600" s="16">
        <v>0</v>
      </c>
      <c r="O600" s="17"/>
      <c r="P600" s="18">
        <v>42082.505324074074</v>
      </c>
      <c r="Q600" s="8"/>
      <c r="R600" s="13"/>
      <c r="S600" s="8"/>
      <c r="T600" s="8"/>
      <c r="U600" s="19" t="str">
        <f>HYPERLINK("https://pbs.twimg.com/profile_images/578634117039849473/MZt90plu.jpeg","View")</f>
        <v>View</v>
      </c>
      <c r="V600" s="8"/>
      <c r="W600" s="8"/>
      <c r="X600" s="8"/>
      <c r="Y600" s="8"/>
      <c r="Z600" s="8"/>
    </row>
    <row r="601" spans="1:26" ht="12.75">
      <c r="A601" s="11">
        <v>43746.995844907404</v>
      </c>
      <c r="B601" s="12" t="str">
        <f>HYPERLINK("https://twitter.com/mohamuedabdulla","@mohamuedabdulla")</f>
        <v>@mohamuedabdulla</v>
      </c>
      <c r="C601" s="13" t="s">
        <v>3318</v>
      </c>
      <c r="D601" s="13" t="s">
        <v>3319</v>
      </c>
      <c r="E601" s="12" t="str">
        <f>HYPERLINK("https://twitter.com/mohamuedabdulla/status/1181825122677731328","1181825122677731328")</f>
        <v>1181825122677731328</v>
      </c>
      <c r="F601" s="8"/>
      <c r="G601" s="14" t="s">
        <v>3320</v>
      </c>
      <c r="H601" s="8"/>
      <c r="I601" s="15">
        <v>0</v>
      </c>
      <c r="J601" s="15">
        <v>0</v>
      </c>
      <c r="K601" s="12" t="str">
        <f>HYPERLINK("http://twitter.com","Twitter Web Client")</f>
        <v>Twitter Web Client</v>
      </c>
      <c r="L601" s="16">
        <v>0</v>
      </c>
      <c r="M601" s="16">
        <v>35</v>
      </c>
      <c r="N601" s="16">
        <v>0</v>
      </c>
      <c r="O601" s="17"/>
      <c r="P601" s="18">
        <v>41847.500405092593</v>
      </c>
      <c r="Q601" s="7"/>
      <c r="R601" s="13"/>
      <c r="S601" s="8"/>
      <c r="T601" s="8"/>
      <c r="U601" s="19" t="str">
        <f>HYPERLINK("https://pbs.twimg.com/profile_images/493471292855562240/dRWeFvXd.jpeg","View")</f>
        <v>View</v>
      </c>
      <c r="V601" s="8"/>
      <c r="W601" s="8"/>
      <c r="X601" s="8"/>
      <c r="Y601" s="8"/>
      <c r="Z601" s="8"/>
    </row>
    <row r="602" spans="1:26" ht="12.75">
      <c r="A602" s="11">
        <v>43746.995555555557</v>
      </c>
      <c r="B602" s="12" t="str">
        <f>HYPERLINK("https://twitter.com/abdulhadialota7","@abdulhadialota7")</f>
        <v>@abdulhadialota7</v>
      </c>
      <c r="C602" s="13" t="s">
        <v>3323</v>
      </c>
      <c r="D602" s="7" t="s">
        <v>3324</v>
      </c>
      <c r="E602" s="12" t="str">
        <f>HYPERLINK("https://twitter.com/abdulhadialota7/status/1181825019120369664","1181825019120369664")</f>
        <v>1181825019120369664</v>
      </c>
      <c r="F602" s="8"/>
      <c r="G602" s="14" t="s">
        <v>3325</v>
      </c>
      <c r="H602" s="8"/>
      <c r="I602" s="15">
        <v>0</v>
      </c>
      <c r="J602" s="15">
        <v>0</v>
      </c>
      <c r="K602" s="12" t="str">
        <f>HYPERLINK("http://twitter.com","Twitter Web Client")</f>
        <v>Twitter Web Client</v>
      </c>
      <c r="L602" s="16">
        <v>5</v>
      </c>
      <c r="M602" s="16">
        <v>31</v>
      </c>
      <c r="N602" s="16">
        <v>0</v>
      </c>
      <c r="O602" s="17"/>
      <c r="P602" s="18">
        <v>42080.492569444439</v>
      </c>
      <c r="Q602" s="8"/>
      <c r="R602" s="13"/>
      <c r="S602" s="8"/>
      <c r="T602" s="8"/>
      <c r="U602" s="19" t="str">
        <f>HYPERLINK("https://pbs.twimg.com/profile_images/577905160405438464/CvvnuNLq.jpeg","View")</f>
        <v>View</v>
      </c>
      <c r="V602" s="8"/>
      <c r="W602" s="8"/>
      <c r="X602" s="8"/>
      <c r="Y602" s="8"/>
      <c r="Z602" s="8"/>
    </row>
    <row r="603" spans="1:26" ht="12.75">
      <c r="A603" s="11">
        <v>43746.993703703702</v>
      </c>
      <c r="B603" s="12" t="str">
        <f>HYPERLINK("https://twitter.com/el3asere8793","@el3asere8793")</f>
        <v>@el3asere8793</v>
      </c>
      <c r="C603" s="13" t="s">
        <v>3326</v>
      </c>
      <c r="D603" s="13" t="s">
        <v>3327</v>
      </c>
      <c r="E603" s="12" t="str">
        <f>HYPERLINK("https://twitter.com/el3asere8793/status/1181824349470412800","1181824349470412800")</f>
        <v>1181824349470412800</v>
      </c>
      <c r="F603" s="8"/>
      <c r="G603" s="14" t="s">
        <v>3328</v>
      </c>
      <c r="H603" s="8"/>
      <c r="I603" s="15">
        <v>0</v>
      </c>
      <c r="J603" s="15">
        <v>0</v>
      </c>
      <c r="K603" s="12" t="str">
        <f>HYPERLINK("http://twitter.com","Twitter Web Client")</f>
        <v>Twitter Web Client</v>
      </c>
      <c r="L603" s="16">
        <v>4</v>
      </c>
      <c r="M603" s="16">
        <v>35</v>
      </c>
      <c r="N603" s="16">
        <v>0</v>
      </c>
      <c r="O603" s="17"/>
      <c r="P603" s="18">
        <v>42077.379988425921</v>
      </c>
      <c r="Q603" s="8"/>
      <c r="R603" s="8"/>
      <c r="S603" s="8"/>
      <c r="T603" s="8"/>
      <c r="U603" s="19" t="str">
        <f>HYPERLINK("https://pbs.twimg.com/profile_images/576776730481799168/6IXsfP8q.jpeg","View")</f>
        <v>View</v>
      </c>
      <c r="V603" s="8"/>
      <c r="W603" s="8"/>
      <c r="X603" s="8"/>
      <c r="Y603" s="8"/>
      <c r="Z603" s="8"/>
    </row>
    <row r="604" spans="1:26" ht="12.75">
      <c r="A604" s="11">
        <v>43746.993564814809</v>
      </c>
      <c r="B604" s="12" t="str">
        <f>HYPERLINK("https://twitter.com/imraneassedi","@imraneassedi")</f>
        <v>@imraneassedi</v>
      </c>
      <c r="C604" s="13" t="s">
        <v>990</v>
      </c>
      <c r="D604" s="13" t="s">
        <v>3332</v>
      </c>
      <c r="E604" s="12" t="str">
        <f>HYPERLINK("https://twitter.com/imraneassedi/status/1181824297557475328","1181824297557475328")</f>
        <v>1181824297557475328</v>
      </c>
      <c r="F604" s="8"/>
      <c r="G604" s="14" t="s">
        <v>3333</v>
      </c>
      <c r="H604" s="8"/>
      <c r="I604" s="15">
        <v>0</v>
      </c>
      <c r="J604" s="15">
        <v>0</v>
      </c>
      <c r="K604" s="12" t="str">
        <f>HYPERLINK("http://twitter.com","Twitter Web Client")</f>
        <v>Twitter Web Client</v>
      </c>
      <c r="L604" s="16">
        <v>2</v>
      </c>
      <c r="M604" s="16">
        <v>35</v>
      </c>
      <c r="N604" s="16">
        <v>0</v>
      </c>
      <c r="O604" s="17"/>
      <c r="P604" s="18">
        <v>42081.389155092591</v>
      </c>
      <c r="Q604" s="8"/>
      <c r="R604" s="8"/>
      <c r="S604" s="8"/>
      <c r="T604" s="8"/>
      <c r="U604" s="19" t="str">
        <f>HYPERLINK("https://pbs.twimg.com/profile_images/578230501397282816/RvOGRVZW.jpeg","View")</f>
        <v>View</v>
      </c>
      <c r="V604" s="8"/>
      <c r="W604" s="8"/>
      <c r="X604" s="8"/>
      <c r="Y604" s="8"/>
      <c r="Z604" s="8"/>
    </row>
    <row r="605" spans="1:26" ht="12.75">
      <c r="A605" s="11">
        <v>43746.993159722224</v>
      </c>
      <c r="B605" s="12" t="str">
        <f>HYPERLINK("https://twitter.com/abdalla75579366","@abdalla75579366")</f>
        <v>@abdalla75579366</v>
      </c>
      <c r="C605" s="13" t="s">
        <v>3335</v>
      </c>
      <c r="D605" s="13" t="s">
        <v>3336</v>
      </c>
      <c r="E605" s="12" t="str">
        <f>HYPERLINK("https://twitter.com/abdalla75579366/status/1181824151075590144","1181824151075590144")</f>
        <v>1181824151075590144</v>
      </c>
      <c r="F605" s="8"/>
      <c r="G605" s="14" t="s">
        <v>3337</v>
      </c>
      <c r="H605" s="8"/>
      <c r="I605" s="15">
        <v>0</v>
      </c>
      <c r="J605" s="15">
        <v>0</v>
      </c>
      <c r="K605" s="12" t="str">
        <f>HYPERLINK("http://twitter.com","Twitter Web Client")</f>
        <v>Twitter Web Client</v>
      </c>
      <c r="L605" s="16">
        <v>6</v>
      </c>
      <c r="M605" s="16">
        <v>42</v>
      </c>
      <c r="N605" s="16">
        <v>0</v>
      </c>
      <c r="O605" s="17"/>
      <c r="P605" s="18">
        <v>42072.11445601852</v>
      </c>
      <c r="Q605" s="8"/>
      <c r="R605" s="8"/>
      <c r="S605" s="8"/>
      <c r="T605" s="8"/>
      <c r="U605" s="19" t="str">
        <f>HYPERLINK("https://pbs.twimg.com/profile_images/574868724563378176/PPl2AteA.jpeg","View")</f>
        <v>View</v>
      </c>
      <c r="V605" s="8"/>
      <c r="W605" s="8"/>
      <c r="X605" s="8"/>
      <c r="Y605" s="8"/>
      <c r="Z605" s="8"/>
    </row>
    <row r="606" spans="1:26" ht="12.75">
      <c r="A606" s="11">
        <v>43746.992881944447</v>
      </c>
      <c r="B606" s="12" t="str">
        <f>HYPERLINK("https://twitter.com/thakebokeal","@thakebokeal")</f>
        <v>@thakebokeal</v>
      </c>
      <c r="C606" s="13" t="s">
        <v>3338</v>
      </c>
      <c r="D606" s="13" t="s">
        <v>3339</v>
      </c>
      <c r="E606" s="12" t="str">
        <f>HYPERLINK("https://twitter.com/thakebokeal/status/1181824048894025729","1181824048894025729")</f>
        <v>1181824048894025729</v>
      </c>
      <c r="F606" s="8"/>
      <c r="G606" s="14" t="s">
        <v>3340</v>
      </c>
      <c r="H606" s="8"/>
      <c r="I606" s="15">
        <v>0</v>
      </c>
      <c r="J606" s="15">
        <v>0</v>
      </c>
      <c r="K606" s="12" t="str">
        <f>HYPERLINK("http://twitter.com","Twitter Web Client")</f>
        <v>Twitter Web Client</v>
      </c>
      <c r="L606" s="16">
        <v>0</v>
      </c>
      <c r="M606" s="16">
        <v>30</v>
      </c>
      <c r="N606" s="16">
        <v>0</v>
      </c>
      <c r="O606" s="17"/>
      <c r="P606" s="18">
        <v>41823.410324074073</v>
      </c>
      <c r="Q606" s="8"/>
      <c r="R606" s="8"/>
      <c r="S606" s="8"/>
      <c r="T606" s="8"/>
      <c r="U606" s="19" t="str">
        <f>HYPERLINK("https://pbs.twimg.com/profile_images/484741269143293952/uPDWiknw.jpeg","View")</f>
        <v>View</v>
      </c>
      <c r="V606" s="8"/>
      <c r="W606" s="8"/>
      <c r="X606" s="8"/>
      <c r="Y606" s="8"/>
      <c r="Z606" s="8"/>
    </row>
    <row r="607" spans="1:26" ht="12.75">
      <c r="A607" s="11">
        <v>43746.990902777776</v>
      </c>
      <c r="B607" s="12" t="str">
        <f>HYPERLINK("https://twitter.com/alsabya3i_47","@alsabya3i_47")</f>
        <v>@alsabya3i_47</v>
      </c>
      <c r="C607" s="13" t="s">
        <v>3344</v>
      </c>
      <c r="D607" s="7" t="s">
        <v>3345</v>
      </c>
      <c r="E607" s="12" t="str">
        <f>HYPERLINK("https://twitter.com/alsabya3i_47/status/1181823332666224641","1181823332666224641")</f>
        <v>1181823332666224641</v>
      </c>
      <c r="F607" s="8"/>
      <c r="G607" s="14" t="s">
        <v>3346</v>
      </c>
      <c r="H607" s="8"/>
      <c r="I607" s="15">
        <v>0</v>
      </c>
      <c r="J607" s="15">
        <v>0</v>
      </c>
      <c r="K607" s="12" t="str">
        <f>HYPERLINK("http://twitter.com","Twitter Web Client")</f>
        <v>Twitter Web Client</v>
      </c>
      <c r="L607" s="16">
        <v>4</v>
      </c>
      <c r="M607" s="16">
        <v>32</v>
      </c>
      <c r="N607" s="16">
        <v>0</v>
      </c>
      <c r="O607" s="17"/>
      <c r="P607" s="18">
        <v>41846.506608796299</v>
      </c>
      <c r="Q607" s="7"/>
      <c r="R607" s="13"/>
      <c r="S607" s="8"/>
      <c r="T607" s="8"/>
      <c r="U607" s="19" t="str">
        <f>HYPERLINK("https://pbs.twimg.com/profile_images/493110971154452481/062vi2cC.jpeg","View")</f>
        <v>View</v>
      </c>
      <c r="V607" s="8"/>
      <c r="W607" s="8"/>
      <c r="X607" s="8"/>
      <c r="Y607" s="8"/>
      <c r="Z607" s="8"/>
    </row>
    <row r="608" spans="1:26" ht="12.75">
      <c r="A608" s="11">
        <v>43746.989502314813</v>
      </c>
      <c r="B608" s="12" t="str">
        <f>HYPERLINK("https://twitter.com/MoussaeRzouq","@MoussaeRzouq")</f>
        <v>@MoussaeRzouq</v>
      </c>
      <c r="C608" s="13" t="s">
        <v>3351</v>
      </c>
      <c r="D608" s="13" t="s">
        <v>3352</v>
      </c>
      <c r="E608" s="12" t="str">
        <f>HYPERLINK("https://twitter.com/MoussaeRzouq/status/1181822823934894080","1181822823934894080")</f>
        <v>1181822823934894080</v>
      </c>
      <c r="F608" s="8"/>
      <c r="G608" s="14" t="s">
        <v>3353</v>
      </c>
      <c r="H608" s="8"/>
      <c r="I608" s="15">
        <v>0</v>
      </c>
      <c r="J608" s="15">
        <v>0</v>
      </c>
      <c r="K608" s="12" t="str">
        <f>HYPERLINK("http://twitter.com","Twitter Web Client")</f>
        <v>Twitter Web Client</v>
      </c>
      <c r="L608" s="16">
        <v>0</v>
      </c>
      <c r="M608" s="16">
        <v>37</v>
      </c>
      <c r="N608" s="16">
        <v>0</v>
      </c>
      <c r="O608" s="17"/>
      <c r="P608" s="18">
        <v>42080.636273148149</v>
      </c>
      <c r="Q608" s="8"/>
      <c r="R608" s="8"/>
      <c r="S608" s="8"/>
      <c r="T608" s="8"/>
      <c r="U608" s="19" t="str">
        <f>HYPERLINK("https://pbs.twimg.com/profile_images/577959401673265153/uRfwXvZX.jpeg","View")</f>
        <v>View</v>
      </c>
      <c r="V608" s="8"/>
      <c r="W608" s="8"/>
      <c r="X608" s="8"/>
      <c r="Y608" s="8"/>
      <c r="Z608" s="8"/>
    </row>
    <row r="609" spans="1:26" ht="12.75">
      <c r="A609" s="11">
        <v>43746.987245370372</v>
      </c>
      <c r="B609" s="12" t="str">
        <f>HYPERLINK("https://twitter.com/falehbalawi1","@falehbalawi1")</f>
        <v>@falehbalawi1</v>
      </c>
      <c r="C609" s="13" t="s">
        <v>3357</v>
      </c>
      <c r="D609" s="13" t="s">
        <v>3358</v>
      </c>
      <c r="E609" s="12" t="str">
        <f>HYPERLINK("https://twitter.com/falehbalawi1/status/1181822009132670977","1181822009132670977")</f>
        <v>1181822009132670977</v>
      </c>
      <c r="F609" s="8"/>
      <c r="G609" s="14" t="s">
        <v>3359</v>
      </c>
      <c r="H609" s="8"/>
      <c r="I609" s="15">
        <v>0</v>
      </c>
      <c r="J609" s="15">
        <v>0</v>
      </c>
      <c r="K609" s="12" t="str">
        <f>HYPERLINK("http://twitter.com","Twitter Web Client")</f>
        <v>Twitter Web Client</v>
      </c>
      <c r="L609" s="16">
        <v>0</v>
      </c>
      <c r="M609" s="16">
        <v>43</v>
      </c>
      <c r="N609" s="16">
        <v>0</v>
      </c>
      <c r="O609" s="17"/>
      <c r="P609" s="18">
        <v>42072.415821759263</v>
      </c>
      <c r="Q609" s="8"/>
      <c r="R609" s="8"/>
      <c r="S609" s="8"/>
      <c r="T609" s="8"/>
      <c r="U609" s="19" t="str">
        <f>HYPERLINK("https://pbs.twimg.com/profile_images/574978894408744960/LJJQVdpl.jpeg","View")</f>
        <v>View</v>
      </c>
      <c r="V609" s="8"/>
      <c r="W609" s="8"/>
      <c r="X609" s="8"/>
      <c r="Y609" s="8"/>
      <c r="Z609" s="8"/>
    </row>
    <row r="610" spans="1:26" ht="12.75">
      <c r="A610" s="11">
        <v>43746.986539351856</v>
      </c>
      <c r="B610" s="12" t="str">
        <f>HYPERLINK("https://twitter.com/abdullahhamdi17","@abdullahhamdi17")</f>
        <v>@abdullahhamdi17</v>
      </c>
      <c r="C610" s="13" t="s">
        <v>3363</v>
      </c>
      <c r="D610" s="13" t="s">
        <v>3364</v>
      </c>
      <c r="E610" s="12" t="str">
        <f>HYPERLINK("https://twitter.com/abdullahhamdi17/status/1181821753678602240","1181821753678602240")</f>
        <v>1181821753678602240</v>
      </c>
      <c r="F610" s="8"/>
      <c r="G610" s="14" t="s">
        <v>3365</v>
      </c>
      <c r="H610" s="8"/>
      <c r="I610" s="15">
        <v>0</v>
      </c>
      <c r="J610" s="15">
        <v>0</v>
      </c>
      <c r="K610" s="12" t="str">
        <f>HYPERLINK("http://twitter.com","Twitter Web Client")</f>
        <v>Twitter Web Client</v>
      </c>
      <c r="L610" s="16">
        <v>2</v>
      </c>
      <c r="M610" s="16">
        <v>41</v>
      </c>
      <c r="N610" s="16">
        <v>0</v>
      </c>
      <c r="O610" s="17"/>
      <c r="P610" s="18">
        <v>42070.393368055556</v>
      </c>
      <c r="Q610" s="8"/>
      <c r="R610" s="8"/>
      <c r="S610" s="8"/>
      <c r="T610" s="8"/>
      <c r="U610" s="19" t="str">
        <f>HYPERLINK("https://pbs.twimg.com/profile_images/574261662003261443/_IKmEsvA.jpeg","View")</f>
        <v>View</v>
      </c>
      <c r="V610" s="8"/>
      <c r="W610" s="8"/>
      <c r="X610" s="8"/>
      <c r="Y610" s="8"/>
      <c r="Z610" s="8"/>
    </row>
    <row r="611" spans="1:26" ht="12.75">
      <c r="A611" s="11">
        <v>43746.985555555555</v>
      </c>
      <c r="B611" s="12" t="str">
        <f>HYPERLINK("https://twitter.com/husseinyamiwro1","@husseinyamiwro1")</f>
        <v>@husseinyamiwro1</v>
      </c>
      <c r="C611" s="13" t="s">
        <v>3370</v>
      </c>
      <c r="D611" s="13" t="s">
        <v>3371</v>
      </c>
      <c r="E611" s="12" t="str">
        <f>HYPERLINK("https://twitter.com/husseinyamiwro1/status/1181821394994241536","1181821394994241536")</f>
        <v>1181821394994241536</v>
      </c>
      <c r="F611" s="8"/>
      <c r="G611" s="14" t="s">
        <v>3372</v>
      </c>
      <c r="H611" s="8"/>
      <c r="I611" s="15">
        <v>0</v>
      </c>
      <c r="J611" s="15">
        <v>0</v>
      </c>
      <c r="K611" s="12" t="str">
        <f>HYPERLINK("http://twitter.com","Twitter Web Client")</f>
        <v>Twitter Web Client</v>
      </c>
      <c r="L611" s="16">
        <v>3</v>
      </c>
      <c r="M611" s="16">
        <v>36</v>
      </c>
      <c r="N611" s="16">
        <v>0</v>
      </c>
      <c r="O611" s="17"/>
      <c r="P611" s="18">
        <v>42022.722187499996</v>
      </c>
      <c r="Q611" s="8"/>
      <c r="R611" s="8"/>
      <c r="S611" s="8"/>
      <c r="T611" s="8"/>
      <c r="U611" s="19" t="str">
        <f>HYPERLINK("https://pbs.twimg.com/profile_images/556985276061339648/uV7nDDSA.jpeg","View")</f>
        <v>View</v>
      </c>
      <c r="V611" s="8"/>
      <c r="W611" s="8"/>
      <c r="X611" s="8"/>
      <c r="Y611" s="8"/>
      <c r="Z611" s="8"/>
    </row>
    <row r="612" spans="1:26" ht="12.75">
      <c r="A612" s="11">
        <v>43746.98510416667</v>
      </c>
      <c r="B612" s="12" t="str">
        <f>HYPERLINK("https://twitter.com/monthlygrman2","@monthlygrman2")</f>
        <v>@monthlygrman2</v>
      </c>
      <c r="C612" s="13" t="s">
        <v>3378</v>
      </c>
      <c r="D612" s="13" t="s">
        <v>3379</v>
      </c>
      <c r="E612" s="12" t="str">
        <f>HYPERLINK("https://twitter.com/monthlygrman2/status/1181821231789694976","1181821231789694976")</f>
        <v>1181821231789694976</v>
      </c>
      <c r="F612" s="8"/>
      <c r="G612" s="14" t="s">
        <v>3380</v>
      </c>
      <c r="H612" s="8"/>
      <c r="I612" s="15">
        <v>0</v>
      </c>
      <c r="J612" s="15">
        <v>0</v>
      </c>
      <c r="K612" s="12" t="str">
        <f>HYPERLINK("http://twitter.com","Twitter Web Client")</f>
        <v>Twitter Web Client</v>
      </c>
      <c r="L612" s="16">
        <v>0</v>
      </c>
      <c r="M612" s="16">
        <v>36</v>
      </c>
      <c r="N612" s="16">
        <v>0</v>
      </c>
      <c r="O612" s="17"/>
      <c r="P612" s="18">
        <v>42021.400613425925</v>
      </c>
      <c r="Q612" s="7"/>
      <c r="R612" s="13"/>
      <c r="S612" s="8"/>
      <c r="T612" s="8"/>
      <c r="U612" s="19" t="str">
        <f>HYPERLINK("https://pbs.twimg.com/profile_images/556505598154403840/Wwuz7Adm.jpeg","View")</f>
        <v>View</v>
      </c>
      <c r="V612" s="8"/>
      <c r="W612" s="8"/>
      <c r="X612" s="8"/>
      <c r="Y612" s="8"/>
      <c r="Z612" s="8"/>
    </row>
    <row r="613" spans="1:26" ht="12.75">
      <c r="A613" s="11">
        <v>43746.982928240745</v>
      </c>
      <c r="B613" s="12" t="str">
        <f>HYPERLINK("https://twitter.com/GreamnSaleh","@GreamnSaleh")</f>
        <v>@GreamnSaleh</v>
      </c>
      <c r="C613" s="13" t="s">
        <v>3385</v>
      </c>
      <c r="D613" s="13" t="s">
        <v>3386</v>
      </c>
      <c r="E613" s="12" t="str">
        <f>HYPERLINK("https://twitter.com/GreamnSaleh/status/1181820443285692422","1181820443285692422")</f>
        <v>1181820443285692422</v>
      </c>
      <c r="F613" s="8"/>
      <c r="G613" s="14" t="s">
        <v>3387</v>
      </c>
      <c r="H613" s="8"/>
      <c r="I613" s="15">
        <v>0</v>
      </c>
      <c r="J613" s="15">
        <v>0</v>
      </c>
      <c r="K613" s="12" t="str">
        <f>HYPERLINK("http://twitter.com","Twitter Web Client")</f>
        <v>Twitter Web Client</v>
      </c>
      <c r="L613" s="16">
        <v>4</v>
      </c>
      <c r="M613" s="16">
        <v>36</v>
      </c>
      <c r="N613" s="16">
        <v>0</v>
      </c>
      <c r="O613" s="17"/>
      <c r="P613" s="18">
        <v>42066.565682870365</v>
      </c>
      <c r="Q613" s="8"/>
      <c r="R613" s="8"/>
      <c r="S613" s="8"/>
      <c r="T613" s="8"/>
      <c r="U613" s="19" t="str">
        <f>HYPERLINK("https://pbs.twimg.com/profile_images/572875038370451456/o2bdCFX4.jpeg","View")</f>
        <v>View</v>
      </c>
      <c r="V613" s="8"/>
      <c r="W613" s="8"/>
      <c r="X613" s="8"/>
      <c r="Y613" s="8"/>
      <c r="Z613" s="8"/>
    </row>
    <row r="614" spans="1:26" ht="12.75">
      <c r="A614" s="11">
        <v>43746.982789351852</v>
      </c>
      <c r="B614" s="12" t="str">
        <f>HYPERLINK("https://twitter.com/muikeabiolsham2","@muikeabiolsham2")</f>
        <v>@muikeabiolsham2</v>
      </c>
      <c r="C614" s="13" t="s">
        <v>3392</v>
      </c>
      <c r="D614" s="7" t="s">
        <v>3393</v>
      </c>
      <c r="E614" s="12" t="str">
        <f>HYPERLINK("https://twitter.com/muikeabiolsham2/status/1181820393667084288","1181820393667084288")</f>
        <v>1181820393667084288</v>
      </c>
      <c r="F614" s="8"/>
      <c r="G614" s="14" t="s">
        <v>3395</v>
      </c>
      <c r="H614" s="8"/>
      <c r="I614" s="15">
        <v>0</v>
      </c>
      <c r="J614" s="15">
        <v>0</v>
      </c>
      <c r="K614" s="12" t="str">
        <f>HYPERLINK("http://twitter.com","Twitter Web Client")</f>
        <v>Twitter Web Client</v>
      </c>
      <c r="L614" s="16">
        <v>0</v>
      </c>
      <c r="M614" s="16">
        <v>39</v>
      </c>
      <c r="N614" s="16">
        <v>0</v>
      </c>
      <c r="O614" s="17"/>
      <c r="P614" s="18">
        <v>42089.678530092591</v>
      </c>
      <c r="Q614" s="7"/>
      <c r="R614" s="13"/>
      <c r="S614" s="8"/>
      <c r="T614" s="8"/>
      <c r="U614" s="19" t="str">
        <f>HYPERLINK("https://pbs.twimg.com/profile_images/581235514931486721/9__G32-j.jpg","View")</f>
        <v>View</v>
      </c>
      <c r="V614" s="8"/>
      <c r="W614" s="8"/>
      <c r="X614" s="8"/>
      <c r="Y614" s="8"/>
      <c r="Z614" s="8"/>
    </row>
    <row r="615" spans="1:26" ht="12.75">
      <c r="A615" s="11">
        <v>43746.982083333336</v>
      </c>
      <c r="B615" s="12" t="str">
        <f>HYPERLINK("https://twitter.com/RewardUsahli","@RewardUsahli")</f>
        <v>@RewardUsahli</v>
      </c>
      <c r="C615" s="13" t="s">
        <v>3398</v>
      </c>
      <c r="D615" s="13" t="s">
        <v>3399</v>
      </c>
      <c r="E615" s="12" t="str">
        <f>HYPERLINK("https://twitter.com/RewardUsahli/status/1181820135096639488","1181820135096639488")</f>
        <v>1181820135096639488</v>
      </c>
      <c r="F615" s="8"/>
      <c r="G615" s="14" t="s">
        <v>3400</v>
      </c>
      <c r="H615" s="8"/>
      <c r="I615" s="15">
        <v>0</v>
      </c>
      <c r="J615" s="15">
        <v>0</v>
      </c>
      <c r="K615" s="12" t="str">
        <f>HYPERLINK("http://twitter.com","Twitter Web Client")</f>
        <v>Twitter Web Client</v>
      </c>
      <c r="L615" s="16">
        <v>2</v>
      </c>
      <c r="M615" s="16">
        <v>41</v>
      </c>
      <c r="N615" s="16">
        <v>0</v>
      </c>
      <c r="O615" s="17"/>
      <c r="P615" s="18">
        <v>42070.24936342593</v>
      </c>
      <c r="Q615" s="8"/>
      <c r="R615" s="8"/>
      <c r="S615" s="8"/>
      <c r="T615" s="8"/>
      <c r="U615" s="19" t="str">
        <f>HYPERLINK("https://pbs.twimg.com/profile_images/574208322519220225/axwF1FJm.jpeg","View")</f>
        <v>View</v>
      </c>
      <c r="V615" s="8"/>
      <c r="W615" s="8"/>
      <c r="X615" s="8"/>
      <c r="Y615" s="8"/>
      <c r="Z615" s="8"/>
    </row>
    <row r="616" spans="1:26" ht="12.75">
      <c r="A616" s="11">
        <v>43746.981956018513</v>
      </c>
      <c r="B616" s="12" t="str">
        <f>HYPERLINK("https://twitter.com/larissacollins","@larissacollins")</f>
        <v>@larissacollins</v>
      </c>
      <c r="C616" s="13" t="s">
        <v>3405</v>
      </c>
      <c r="D616" s="7" t="s">
        <v>3406</v>
      </c>
      <c r="E616" s="12" t="str">
        <f>HYPERLINK("https://twitter.com/larissacollins/status/1181820090993373184","1181820090993373184")</f>
        <v>1181820090993373184</v>
      </c>
      <c r="F616" s="8"/>
      <c r="G616" s="15"/>
      <c r="H616" s="8"/>
      <c r="I616" s="15">
        <v>0</v>
      </c>
      <c r="J616" s="15">
        <v>1</v>
      </c>
      <c r="K616" s="12" t="str">
        <f>HYPERLINK("http://twitter.com/download/iphone","Twitter for iPhone")</f>
        <v>Twitter for iPhone</v>
      </c>
      <c r="L616" s="16">
        <v>54</v>
      </c>
      <c r="M616" s="16">
        <v>255</v>
      </c>
      <c r="N616" s="16">
        <v>0</v>
      </c>
      <c r="O616" s="17"/>
      <c r="P616" s="18">
        <v>40059.040451388893</v>
      </c>
      <c r="Q616" s="7"/>
      <c r="R616" s="13" t="s">
        <v>3407</v>
      </c>
      <c r="S616" s="8"/>
      <c r="T616" s="8"/>
      <c r="U616" s="19" t="str">
        <f>HYPERLINK("https://pbs.twimg.com/profile_images/396038454/hula-girl.jpg","View")</f>
        <v>View</v>
      </c>
      <c r="V616" s="8"/>
      <c r="W616" s="8"/>
      <c r="X616" s="8"/>
      <c r="Y616" s="8"/>
      <c r="Z616" s="8"/>
    </row>
    <row r="617" spans="1:26" ht="12.75">
      <c r="A617" s="11">
        <v>43746.980428240742</v>
      </c>
      <c r="B617" s="12" t="str">
        <f>HYPERLINK("https://twitter.com/abedalra_566","@abedalra_566")</f>
        <v>@abedalra_566</v>
      </c>
      <c r="C617" s="7" t="s">
        <v>3409</v>
      </c>
      <c r="D617" s="13" t="s">
        <v>3410</v>
      </c>
      <c r="E617" s="12" t="str">
        <f>HYPERLINK("https://twitter.com/abedalra_566/status/1181819535394926592","1181819535394926592")</f>
        <v>1181819535394926592</v>
      </c>
      <c r="F617" s="8"/>
      <c r="G617" s="14" t="s">
        <v>3411</v>
      </c>
      <c r="H617" s="8"/>
      <c r="I617" s="15">
        <v>0</v>
      </c>
      <c r="J617" s="15">
        <v>0</v>
      </c>
      <c r="K617" s="12" t="str">
        <f>HYPERLINK("http://twitter.com","Twitter Web Client")</f>
        <v>Twitter Web Client</v>
      </c>
      <c r="L617" s="16">
        <v>8</v>
      </c>
      <c r="M617" s="16">
        <v>36</v>
      </c>
      <c r="N617" s="16">
        <v>0</v>
      </c>
      <c r="O617" s="17"/>
      <c r="P617" s="18">
        <v>42074.608969907407</v>
      </c>
      <c r="Q617" s="8"/>
      <c r="R617" s="13"/>
      <c r="S617" s="8"/>
      <c r="T617" s="8"/>
      <c r="U617" s="19" t="str">
        <f>HYPERLINK("https://pbs.twimg.com/profile_images/575772593262755840/eBHFeIKW.jpeg","View")</f>
        <v>View</v>
      </c>
      <c r="V617" s="8"/>
      <c r="W617" s="8"/>
      <c r="X617" s="8"/>
      <c r="Y617" s="8"/>
      <c r="Z617" s="8"/>
    </row>
    <row r="618" spans="1:26" ht="12.75">
      <c r="A618" s="11">
        <v>43746.979456018518</v>
      </c>
      <c r="B618" s="12" t="str">
        <f>HYPERLINK("https://twitter.com/ibrahemelghenii","@ibrahemelghenii")</f>
        <v>@ibrahemelghenii</v>
      </c>
      <c r="C618" s="13" t="s">
        <v>3417</v>
      </c>
      <c r="D618" s="7" t="s">
        <v>3418</v>
      </c>
      <c r="E618" s="12" t="str">
        <f>HYPERLINK("https://twitter.com/ibrahemelghenii/status/1181819183476199424","1181819183476199424")</f>
        <v>1181819183476199424</v>
      </c>
      <c r="F618" s="8"/>
      <c r="G618" s="14" t="s">
        <v>3419</v>
      </c>
      <c r="H618" s="8"/>
      <c r="I618" s="15">
        <v>0</v>
      </c>
      <c r="J618" s="15">
        <v>0</v>
      </c>
      <c r="K618" s="12" t="str">
        <f>HYPERLINK("http://twitter.com","Twitter Web Client")</f>
        <v>Twitter Web Client</v>
      </c>
      <c r="L618" s="16">
        <v>1</v>
      </c>
      <c r="M618" s="16">
        <v>37</v>
      </c>
      <c r="N618" s="16">
        <v>0</v>
      </c>
      <c r="O618" s="17"/>
      <c r="P618" s="18">
        <v>42067.281296296293</v>
      </c>
      <c r="Q618" s="7"/>
      <c r="R618" s="13"/>
      <c r="S618" s="8"/>
      <c r="T618" s="8"/>
      <c r="U618" s="19" t="str">
        <f>HYPERLINK("https://pbs.twimg.com/profile_images/573132533547728896/DDNui5Ce.jpeg","View")</f>
        <v>View</v>
      </c>
      <c r="V618" s="8"/>
      <c r="W618" s="8"/>
      <c r="X618" s="8"/>
      <c r="Y618" s="8"/>
      <c r="Z618" s="8"/>
    </row>
    <row r="619" spans="1:26" ht="12.75">
      <c r="A619" s="11">
        <v>43746.978877314818</v>
      </c>
      <c r="B619" s="12" t="str">
        <f>HYPERLINK("https://twitter.com/khaledayed2015","@khaledayed2015")</f>
        <v>@khaledayed2015</v>
      </c>
      <c r="C619" s="13" t="s">
        <v>3420</v>
      </c>
      <c r="D619" s="13" t="s">
        <v>3421</v>
      </c>
      <c r="E619" s="12" t="str">
        <f>HYPERLINK("https://twitter.com/khaledayed2015/status/1181818976789303297","1181818976789303297")</f>
        <v>1181818976789303297</v>
      </c>
      <c r="F619" s="8"/>
      <c r="G619" s="14" t="s">
        <v>3422</v>
      </c>
      <c r="H619" s="8"/>
      <c r="I619" s="15">
        <v>0</v>
      </c>
      <c r="J619" s="15">
        <v>0</v>
      </c>
      <c r="K619" s="12" t="str">
        <f>HYPERLINK("http://twitter.com","Twitter Web Client")</f>
        <v>Twitter Web Client</v>
      </c>
      <c r="L619" s="16">
        <v>1</v>
      </c>
      <c r="M619" s="16">
        <v>31</v>
      </c>
      <c r="N619" s="16">
        <v>0</v>
      </c>
      <c r="O619" s="17"/>
      <c r="P619" s="18">
        <v>41843.160162037035</v>
      </c>
      <c r="Q619" s="8"/>
      <c r="R619" s="8"/>
      <c r="S619" s="8"/>
      <c r="T619" s="8"/>
      <c r="U619" s="19" t="str">
        <f>HYPERLINK("https://pbs.twimg.com/profile_images/491898398987923457/i_ikkPnr.jpeg","View")</f>
        <v>View</v>
      </c>
      <c r="V619" s="8"/>
      <c r="W619" s="8"/>
      <c r="X619" s="8"/>
      <c r="Y619" s="8"/>
      <c r="Z619" s="8"/>
    </row>
    <row r="620" spans="1:26" ht="12.75">
      <c r="A620" s="11">
        <v>43746.978460648148</v>
      </c>
      <c r="B620" s="12" t="str">
        <f>HYPERLINK("https://twitter.com/OsmanIbdullah","@OsmanIbdullah")</f>
        <v>@OsmanIbdullah</v>
      </c>
      <c r="C620" s="13" t="s">
        <v>3426</v>
      </c>
      <c r="D620" s="13" t="s">
        <v>3427</v>
      </c>
      <c r="E620" s="12" t="str">
        <f>HYPERLINK("https://twitter.com/OsmanIbdullah/status/1181818824632520704","1181818824632520704")</f>
        <v>1181818824632520704</v>
      </c>
      <c r="F620" s="8"/>
      <c r="G620" s="14" t="s">
        <v>3428</v>
      </c>
      <c r="H620" s="8"/>
      <c r="I620" s="15">
        <v>0</v>
      </c>
      <c r="J620" s="15">
        <v>0</v>
      </c>
      <c r="K620" s="12" t="str">
        <f>HYPERLINK("http://twitter.com","Twitter Web Client")</f>
        <v>Twitter Web Client</v>
      </c>
      <c r="L620" s="16">
        <v>1</v>
      </c>
      <c r="M620" s="16">
        <v>36</v>
      </c>
      <c r="N620" s="16">
        <v>0</v>
      </c>
      <c r="O620" s="17"/>
      <c r="P620" s="18">
        <v>42065.809907407413</v>
      </c>
      <c r="Q620" s="8"/>
      <c r="R620" s="8"/>
      <c r="S620" s="8"/>
      <c r="T620" s="8"/>
      <c r="U620" s="19" t="str">
        <f>HYPERLINK("https://pbs.twimg.com/profile_images/572599727858778112/1f2pA7C0.jpeg","View")</f>
        <v>View</v>
      </c>
      <c r="V620" s="8"/>
      <c r="W620" s="8"/>
      <c r="X620" s="8"/>
      <c r="Y620" s="8"/>
      <c r="Z620" s="8"/>
    </row>
    <row r="621" spans="1:26" ht="12.75">
      <c r="A621" s="11">
        <v>43746.976817129631</v>
      </c>
      <c r="B621" s="12" t="str">
        <f>HYPERLINK("https://twitter.com/kamangah5","@kamangah5")</f>
        <v>@kamangah5</v>
      </c>
      <c r="C621" s="13" t="s">
        <v>3430</v>
      </c>
      <c r="D621" s="7" t="s">
        <v>3431</v>
      </c>
      <c r="E621" s="12" t="str">
        <f>HYPERLINK("https://twitter.com/kamangah5/status/1181818228064030720","1181818228064030720")</f>
        <v>1181818228064030720</v>
      </c>
      <c r="F621" s="8"/>
      <c r="G621" s="15"/>
      <c r="H621" s="8"/>
      <c r="I621" s="15">
        <v>0</v>
      </c>
      <c r="J621" s="15">
        <v>0</v>
      </c>
      <c r="K621" s="12" t="str">
        <f>HYPERLINK("http://twitter.com/download/iphone","Twitter for iPhone")</f>
        <v>Twitter for iPhone</v>
      </c>
      <c r="L621" s="16">
        <v>6</v>
      </c>
      <c r="M621" s="16">
        <v>36</v>
      </c>
      <c r="N621" s="16">
        <v>0</v>
      </c>
      <c r="O621" s="17"/>
      <c r="P621" s="18">
        <v>43489.01966435185</v>
      </c>
      <c r="Q621" s="7" t="s">
        <v>3435</v>
      </c>
      <c r="R621" s="13" t="s">
        <v>3436</v>
      </c>
      <c r="S621" s="8"/>
      <c r="T621" s="8"/>
      <c r="U621" s="19" t="str">
        <f>HYPERLINK("https://pbs.twimg.com/profile_images/1088701940744310784/BZehUVKt.jpg","View")</f>
        <v>View</v>
      </c>
      <c r="V621" s="8"/>
      <c r="W621" s="8"/>
      <c r="X621" s="8"/>
      <c r="Y621" s="8"/>
      <c r="Z621" s="8"/>
    </row>
    <row r="622" spans="1:26" ht="12.75">
      <c r="A622" s="11">
        <v>43746.976539351846</v>
      </c>
      <c r="B622" s="12" t="str">
        <f>HYPERLINK("https://twitter.com/adelhas21422406","@adelhas21422406")</f>
        <v>@adelhas21422406</v>
      </c>
      <c r="C622" s="13" t="s">
        <v>3438</v>
      </c>
      <c r="D622" s="13" t="s">
        <v>3439</v>
      </c>
      <c r="E622" s="12" t="str">
        <f>HYPERLINK("https://twitter.com/adelhas21422406/status/1181818129502085121","1181818129502085121")</f>
        <v>1181818129502085121</v>
      </c>
      <c r="F622" s="8"/>
      <c r="G622" s="14" t="s">
        <v>3440</v>
      </c>
      <c r="H622" s="8"/>
      <c r="I622" s="15">
        <v>0</v>
      </c>
      <c r="J622" s="15">
        <v>0</v>
      </c>
      <c r="K622" s="12" t="str">
        <f>HYPERLINK("http://twitter.com","Twitter Web Client")</f>
        <v>Twitter Web Client</v>
      </c>
      <c r="L622" s="16">
        <v>6</v>
      </c>
      <c r="M622" s="16">
        <v>36</v>
      </c>
      <c r="N622" s="16">
        <v>0</v>
      </c>
      <c r="O622" s="17"/>
      <c r="P622" s="18">
        <v>42268.779074074075</v>
      </c>
      <c r="Q622" s="8"/>
      <c r="R622" s="8"/>
      <c r="S622" s="8"/>
      <c r="T622" s="8"/>
      <c r="U622" s="19" t="str">
        <f>HYPERLINK("https://pbs.twimg.com/profile_images/646137576294875137/iMgo6GFr.jpg","View")</f>
        <v>View</v>
      </c>
      <c r="V622" s="8"/>
      <c r="W622" s="8"/>
      <c r="X622" s="8"/>
      <c r="Y622" s="8"/>
      <c r="Z622" s="8"/>
    </row>
    <row r="623" spans="1:26" ht="12.75">
      <c r="A623" s="11">
        <v>43746.974849537037</v>
      </c>
      <c r="B623" s="12" t="str">
        <f>HYPERLINK("https://twitter.com/khalidelmobarak","@khalidelmobarak")</f>
        <v>@khalidelmobarak</v>
      </c>
      <c r="C623" s="13" t="s">
        <v>3443</v>
      </c>
      <c r="D623" s="13" t="s">
        <v>3444</v>
      </c>
      <c r="E623" s="12" t="str">
        <f>HYPERLINK("https://twitter.com/khalidelmobarak/status/1181817517100212224","1181817517100212224")</f>
        <v>1181817517100212224</v>
      </c>
      <c r="F623" s="8"/>
      <c r="G623" s="14" t="s">
        <v>3445</v>
      </c>
      <c r="H623" s="8"/>
      <c r="I623" s="15">
        <v>0</v>
      </c>
      <c r="J623" s="15">
        <v>0</v>
      </c>
      <c r="K623" s="12" t="str">
        <f>HYPERLINK("http://twitter.com","Twitter Web Client")</f>
        <v>Twitter Web Client</v>
      </c>
      <c r="L623" s="16">
        <v>0</v>
      </c>
      <c r="M623" s="16">
        <v>30</v>
      </c>
      <c r="N623" s="16">
        <v>0</v>
      </c>
      <c r="O623" s="17"/>
      <c r="P623" s="18">
        <v>41822.207939814813</v>
      </c>
      <c r="Q623" s="8"/>
      <c r="R623" s="8"/>
      <c r="S623" s="8"/>
      <c r="T623" s="8"/>
      <c r="U623" s="19" t="str">
        <f>HYPERLINK("https://pbs.twimg.com/profile_images/484305571386912768/QICiRjp4.jpeg","View")</f>
        <v>View</v>
      </c>
      <c r="V623" s="8"/>
      <c r="W623" s="8"/>
      <c r="X623" s="8"/>
      <c r="Y623" s="8"/>
      <c r="Z623" s="8"/>
    </row>
    <row r="624" spans="1:26" ht="12.75">
      <c r="A624" s="11">
        <v>43746.97457175926</v>
      </c>
      <c r="B624" s="12" t="str">
        <f>HYPERLINK("https://twitter.com/rajahsinaniu","@rajahsinaniu")</f>
        <v>@rajahsinaniu</v>
      </c>
      <c r="C624" s="13" t="s">
        <v>3449</v>
      </c>
      <c r="D624" s="13" t="s">
        <v>3450</v>
      </c>
      <c r="E624" s="12" t="str">
        <f>HYPERLINK("https://twitter.com/rajahsinaniu/status/1181817415954550784","1181817415954550784")</f>
        <v>1181817415954550784</v>
      </c>
      <c r="F624" s="8"/>
      <c r="G624" s="14" t="s">
        <v>3452</v>
      </c>
      <c r="H624" s="8"/>
      <c r="I624" s="15">
        <v>0</v>
      </c>
      <c r="J624" s="15">
        <v>0</v>
      </c>
      <c r="K624" s="12" t="str">
        <f>HYPERLINK("http://twitter.com","Twitter Web Client")</f>
        <v>Twitter Web Client</v>
      </c>
      <c r="L624" s="16">
        <v>16</v>
      </c>
      <c r="M624" s="16">
        <v>43</v>
      </c>
      <c r="N624" s="16">
        <v>0</v>
      </c>
      <c r="O624" s="17"/>
      <c r="P624" s="18">
        <v>42073.363518518519</v>
      </c>
      <c r="Q624" s="8"/>
      <c r="R624" s="8"/>
      <c r="S624" s="8"/>
      <c r="T624" s="8"/>
      <c r="U624" s="19" t="str">
        <f>HYPERLINK("https://pbs.twimg.com/profile_images/575321881374404609/evxAQmqc.jpeg","View")</f>
        <v>View</v>
      </c>
      <c r="V624" s="8"/>
      <c r="W624" s="8"/>
      <c r="X624" s="8"/>
      <c r="Y624" s="8"/>
      <c r="Z624" s="8"/>
    </row>
    <row r="625" spans="1:26" ht="12.75">
      <c r="A625" s="11">
        <v>43746.974016203705</v>
      </c>
      <c r="B625" s="12" t="str">
        <f>HYPERLINK("https://twitter.com/AlnssarSaleh","@AlnssarSaleh")</f>
        <v>@AlnssarSaleh</v>
      </c>
      <c r="C625" s="13" t="s">
        <v>3456</v>
      </c>
      <c r="D625" s="13" t="s">
        <v>3457</v>
      </c>
      <c r="E625" s="12" t="str">
        <f>HYPERLINK("https://twitter.com/AlnssarSaleh/status/1181817211935166464","1181817211935166464")</f>
        <v>1181817211935166464</v>
      </c>
      <c r="F625" s="8"/>
      <c r="G625" s="14" t="s">
        <v>3458</v>
      </c>
      <c r="H625" s="8"/>
      <c r="I625" s="15">
        <v>0</v>
      </c>
      <c r="J625" s="15">
        <v>0</v>
      </c>
      <c r="K625" s="12" t="str">
        <f>HYPERLINK("http://twitter.com","Twitter Web Client")</f>
        <v>Twitter Web Client</v>
      </c>
      <c r="L625" s="16">
        <v>8</v>
      </c>
      <c r="M625" s="16">
        <v>40</v>
      </c>
      <c r="N625" s="16">
        <v>0</v>
      </c>
      <c r="O625" s="17"/>
      <c r="P625" s="18">
        <v>42072.230358796296</v>
      </c>
      <c r="Q625" s="8"/>
      <c r="R625" s="8"/>
      <c r="S625" s="8"/>
      <c r="T625" s="8"/>
      <c r="U625" s="19" t="str">
        <f>HYPERLINK("https://pbs.twimg.com/profile_images/574912369890975744/4tErCtPq.jpeg","View")</f>
        <v>View</v>
      </c>
      <c r="V625" s="8"/>
      <c r="W625" s="8"/>
      <c r="X625" s="8"/>
      <c r="Y625" s="8"/>
      <c r="Z625" s="8"/>
    </row>
    <row r="626" spans="1:26" ht="12.75">
      <c r="A626" s="11">
        <v>43746.973310185189</v>
      </c>
      <c r="B626" s="12" t="str">
        <f>HYPERLINK("https://twitter.com/el3ateby34","@el3ateby34")</f>
        <v>@el3ateby34</v>
      </c>
      <c r="C626" s="13" t="s">
        <v>3462</v>
      </c>
      <c r="D626" s="13" t="s">
        <v>3464</v>
      </c>
      <c r="E626" s="12" t="str">
        <f>HYPERLINK("https://twitter.com/el3ateby34/status/1181816957189971968","1181816957189971968")</f>
        <v>1181816957189971968</v>
      </c>
      <c r="F626" s="8"/>
      <c r="G626" s="14" t="s">
        <v>3465</v>
      </c>
      <c r="H626" s="8"/>
      <c r="I626" s="15">
        <v>0</v>
      </c>
      <c r="J626" s="15">
        <v>0</v>
      </c>
      <c r="K626" s="12" t="str">
        <f>HYPERLINK("http://twitter.com","Twitter Web Client")</f>
        <v>Twitter Web Client</v>
      </c>
      <c r="L626" s="16">
        <v>7</v>
      </c>
      <c r="M626" s="16">
        <v>43</v>
      </c>
      <c r="N626" s="16">
        <v>0</v>
      </c>
      <c r="O626" s="17"/>
      <c r="P626" s="18">
        <v>42076.586597222224</v>
      </c>
      <c r="Q626" s="8"/>
      <c r="R626" s="8"/>
      <c r="S626" s="8"/>
      <c r="T626" s="8"/>
      <c r="U626" s="19" t="str">
        <f>HYPERLINK("https://pbs.twimg.com/profile_images/576489256719294464/5T2P-Pw9.jpeg","View")</f>
        <v>View</v>
      </c>
      <c r="V626" s="8"/>
      <c r="W626" s="8"/>
      <c r="X626" s="8"/>
      <c r="Y626" s="8"/>
      <c r="Z626" s="8"/>
    </row>
    <row r="627" spans="1:26" ht="12.75">
      <c r="A627" s="11">
        <v>43746.972893518519</v>
      </c>
      <c r="B627" s="12" t="str">
        <f>HYPERLINK("https://twitter.com/alhageruy","@alhageruy")</f>
        <v>@alhageruy</v>
      </c>
      <c r="C627" s="13" t="s">
        <v>3466</v>
      </c>
      <c r="D627" s="13" t="s">
        <v>3467</v>
      </c>
      <c r="E627" s="12" t="str">
        <f>HYPERLINK("https://twitter.com/alhageruy/status/1181816806039851008","1181816806039851008")</f>
        <v>1181816806039851008</v>
      </c>
      <c r="F627" s="8"/>
      <c r="G627" s="14" t="s">
        <v>3468</v>
      </c>
      <c r="H627" s="8"/>
      <c r="I627" s="15">
        <v>0</v>
      </c>
      <c r="J627" s="15">
        <v>0</v>
      </c>
      <c r="K627" s="12" t="str">
        <f>HYPERLINK("http://twitter.com","Twitter Web Client")</f>
        <v>Twitter Web Client</v>
      </c>
      <c r="L627" s="16">
        <v>4</v>
      </c>
      <c r="M627" s="16">
        <v>43</v>
      </c>
      <c r="N627" s="16">
        <v>0</v>
      </c>
      <c r="O627" s="17"/>
      <c r="P627" s="18">
        <v>42071.206597222219</v>
      </c>
      <c r="Q627" s="8"/>
      <c r="R627" s="8"/>
      <c r="S627" s="8"/>
      <c r="T627" s="8"/>
      <c r="U627" s="19" t="str">
        <f>HYPERLINK("https://pbs.twimg.com/profile_images/574558181394771968/1bSVST_n.jpeg","View")</f>
        <v>View</v>
      </c>
      <c r="V627" s="8"/>
      <c r="W627" s="8"/>
      <c r="X627" s="8"/>
      <c r="Y627" s="8"/>
      <c r="Z627" s="8"/>
    </row>
    <row r="628" spans="1:26" ht="12.75">
      <c r="A628" s="11">
        <v>43746.97274305555</v>
      </c>
      <c r="B628" s="12" t="str">
        <f>HYPERLINK("https://twitter.com/mohamme52808485","@mohamme52808485")</f>
        <v>@mohamme52808485</v>
      </c>
      <c r="C628" s="13" t="s">
        <v>3470</v>
      </c>
      <c r="D628" s="13" t="s">
        <v>3472</v>
      </c>
      <c r="E628" s="12" t="str">
        <f>HYPERLINK("https://twitter.com/mohamme52808485/status/1181816754223366145","1181816754223366145")</f>
        <v>1181816754223366145</v>
      </c>
      <c r="F628" s="8"/>
      <c r="G628" s="14" t="s">
        <v>3473</v>
      </c>
      <c r="H628" s="8"/>
      <c r="I628" s="15">
        <v>0</v>
      </c>
      <c r="J628" s="15">
        <v>0</v>
      </c>
      <c r="K628" s="12" t="str">
        <f>HYPERLINK("http://twitter.com","Twitter Web Client")</f>
        <v>Twitter Web Client</v>
      </c>
      <c r="L628" s="16">
        <v>7</v>
      </c>
      <c r="M628" s="16">
        <v>46</v>
      </c>
      <c r="N628" s="16">
        <v>0</v>
      </c>
      <c r="O628" s="17"/>
      <c r="P628" s="18">
        <v>42268.752349537041</v>
      </c>
      <c r="Q628" s="8"/>
      <c r="R628" s="8"/>
      <c r="S628" s="8"/>
      <c r="T628" s="8"/>
      <c r="U628" s="19" t="str">
        <f>HYPERLINK("https://pbs.twimg.com/profile_images/646335743065911297/IFJURT6Z.jpg","View")</f>
        <v>View</v>
      </c>
      <c r="V628" s="8"/>
      <c r="W628" s="8"/>
      <c r="X628" s="8"/>
      <c r="Y628" s="8"/>
      <c r="Z628" s="8"/>
    </row>
    <row r="629" spans="1:26" ht="12.75">
      <c r="A629" s="11">
        <v>43746.972349537042</v>
      </c>
      <c r="B629" s="12" t="str">
        <f>HYPERLINK("https://twitter.com/ldahan78456","@ldahan78456")</f>
        <v>@ldahan78456</v>
      </c>
      <c r="C629" s="13" t="s">
        <v>3476</v>
      </c>
      <c r="D629" s="13" t="s">
        <v>3477</v>
      </c>
      <c r="E629" s="12" t="str">
        <f>HYPERLINK("https://twitter.com/ldahan78456/status/1181816607972179968","1181816607972179968")</f>
        <v>1181816607972179968</v>
      </c>
      <c r="F629" s="8"/>
      <c r="G629" s="14" t="s">
        <v>3478</v>
      </c>
      <c r="H629" s="8"/>
      <c r="I629" s="15">
        <v>0</v>
      </c>
      <c r="J629" s="15">
        <v>0</v>
      </c>
      <c r="K629" s="12" t="str">
        <f>HYPERLINK("http://twitter.com","Twitter Web Client")</f>
        <v>Twitter Web Client</v>
      </c>
      <c r="L629" s="16">
        <v>6</v>
      </c>
      <c r="M629" s="16">
        <v>34</v>
      </c>
      <c r="N629" s="16">
        <v>0</v>
      </c>
      <c r="O629" s="17"/>
      <c r="P629" s="18">
        <v>42073.247210648144</v>
      </c>
      <c r="Q629" s="8"/>
      <c r="R629" s="8"/>
      <c r="S629" s="8"/>
      <c r="T629" s="8"/>
      <c r="U629" s="19" t="str">
        <f>HYPERLINK("https://pbs.twimg.com/profile_images/575279110957625344/PQbQF62h.jpeg","View")</f>
        <v>View</v>
      </c>
      <c r="V629" s="8"/>
      <c r="W629" s="8"/>
      <c r="X629" s="8"/>
      <c r="Y629" s="8"/>
      <c r="Z629" s="8"/>
    </row>
    <row r="630" spans="1:26" ht="12.75">
      <c r="A630" s="11">
        <v>43746.971782407403</v>
      </c>
      <c r="B630" s="12" t="str">
        <f>HYPERLINK("https://twitter.com/alshraii454346","@alshraii454346")</f>
        <v>@alshraii454346</v>
      </c>
      <c r="C630" s="13" t="s">
        <v>3479</v>
      </c>
      <c r="D630" s="13" t="s">
        <v>3480</v>
      </c>
      <c r="E630" s="12" t="str">
        <f>HYPERLINK("https://twitter.com/alshraii454346/status/1181816403923554305","1181816403923554305")</f>
        <v>1181816403923554305</v>
      </c>
      <c r="F630" s="8"/>
      <c r="G630" s="14" t="s">
        <v>3481</v>
      </c>
      <c r="H630" s="8"/>
      <c r="I630" s="15">
        <v>0</v>
      </c>
      <c r="J630" s="15">
        <v>0</v>
      </c>
      <c r="K630" s="12" t="str">
        <f>HYPERLINK("http://twitter.com","Twitter Web Client")</f>
        <v>Twitter Web Client</v>
      </c>
      <c r="L630" s="16">
        <v>18</v>
      </c>
      <c r="M630" s="16">
        <v>42</v>
      </c>
      <c r="N630" s="16">
        <v>0</v>
      </c>
      <c r="O630" s="17"/>
      <c r="P630" s="18">
        <v>42071.59646990741</v>
      </c>
      <c r="Q630" s="8"/>
      <c r="R630" s="8"/>
      <c r="S630" s="8"/>
      <c r="T630" s="8"/>
      <c r="U630" s="19" t="str">
        <f>HYPERLINK("https://pbs.twimg.com/profile_images/574680870826594304/1-T2Azvv.jpeg","View")</f>
        <v>View</v>
      </c>
      <c r="V630" s="8"/>
      <c r="W630" s="8"/>
      <c r="X630" s="8"/>
      <c r="Y630" s="8"/>
      <c r="Z630" s="8"/>
    </row>
    <row r="631" spans="1:26" ht="12.75">
      <c r="A631" s="11">
        <v>43746.968148148153</v>
      </c>
      <c r="B631" s="12" t="str">
        <f>HYPERLINK("https://twitter.com/alsahalie_hh","@alsahalie_hh")</f>
        <v>@alsahalie_hh</v>
      </c>
      <c r="C631" s="13" t="s">
        <v>3482</v>
      </c>
      <c r="D631" s="13" t="s">
        <v>3483</v>
      </c>
      <c r="E631" s="12" t="str">
        <f>HYPERLINK("https://twitter.com/alsahalie_hh/status/1181815089093054465","1181815089093054465")</f>
        <v>1181815089093054465</v>
      </c>
      <c r="F631" s="8"/>
      <c r="G631" s="14" t="s">
        <v>3484</v>
      </c>
      <c r="H631" s="8"/>
      <c r="I631" s="15">
        <v>0</v>
      </c>
      <c r="J631" s="15">
        <v>0</v>
      </c>
      <c r="K631" s="12" t="str">
        <f>HYPERLINK("http://twitter.com","Twitter Web Client")</f>
        <v>Twitter Web Client</v>
      </c>
      <c r="L631" s="16">
        <v>3</v>
      </c>
      <c r="M631" s="16">
        <v>35</v>
      </c>
      <c r="N631" s="16">
        <v>0</v>
      </c>
      <c r="O631" s="17"/>
      <c r="P631" s="18">
        <v>42066.423796296294</v>
      </c>
      <c r="Q631" s="8"/>
      <c r="R631" s="8"/>
      <c r="S631" s="8"/>
      <c r="T631" s="8"/>
      <c r="U631" s="19" t="str">
        <f>HYPERLINK("https://pbs.twimg.com/profile_images/572821551460777984/UeSNwQmf.jpeg","View")</f>
        <v>View</v>
      </c>
      <c r="V631" s="8"/>
      <c r="W631" s="8"/>
      <c r="X631" s="8"/>
      <c r="Y631" s="8"/>
      <c r="Z631" s="8"/>
    </row>
    <row r="632" spans="1:26" ht="12.75">
      <c r="A632" s="11">
        <v>43746.967731481476</v>
      </c>
      <c r="B632" s="12" t="str">
        <f>HYPERLINK("https://twitter.com/faheede45222","@faheede45222")</f>
        <v>@faheede45222</v>
      </c>
      <c r="C632" s="13" t="s">
        <v>3488</v>
      </c>
      <c r="D632" s="13" t="s">
        <v>3489</v>
      </c>
      <c r="E632" s="12" t="str">
        <f>HYPERLINK("https://twitter.com/faheede45222/status/1181814934239371267","1181814934239371267")</f>
        <v>1181814934239371267</v>
      </c>
      <c r="F632" s="8"/>
      <c r="G632" s="14" t="s">
        <v>3490</v>
      </c>
      <c r="H632" s="8"/>
      <c r="I632" s="15">
        <v>0</v>
      </c>
      <c r="J632" s="15">
        <v>0</v>
      </c>
      <c r="K632" s="12" t="str">
        <f>HYPERLINK("http://twitter.com","Twitter Web Client")</f>
        <v>Twitter Web Client</v>
      </c>
      <c r="L632" s="16">
        <v>1</v>
      </c>
      <c r="M632" s="16">
        <v>37</v>
      </c>
      <c r="N632" s="16">
        <v>0</v>
      </c>
      <c r="O632" s="17"/>
      <c r="P632" s="18">
        <v>42080.436909722222</v>
      </c>
      <c r="Q632" s="8"/>
      <c r="R632" s="8"/>
      <c r="S632" s="8"/>
      <c r="T632" s="8"/>
      <c r="U632" s="19" t="str">
        <f>HYPERLINK("https://pbs.twimg.com/profile_images/577884595447681024/uOF05kth.jpeg","View")</f>
        <v>View</v>
      </c>
      <c r="V632" s="8"/>
      <c r="W632" s="8"/>
      <c r="X632" s="8"/>
      <c r="Y632" s="8"/>
      <c r="Z632" s="8"/>
    </row>
    <row r="633" spans="1:26" ht="12.75">
      <c r="A633" s="11">
        <v>43746.965798611112</v>
      </c>
      <c r="B633" s="12" t="str">
        <f>HYPERLINK("https://twitter.com/alkaladee33","@alkaladee33")</f>
        <v>@alkaladee33</v>
      </c>
      <c r="C633" s="13" t="s">
        <v>3493</v>
      </c>
      <c r="D633" s="13" t="s">
        <v>3494</v>
      </c>
      <c r="E633" s="12" t="str">
        <f>HYPERLINK("https://twitter.com/alkaladee33/status/1181814234528788481","1181814234528788481")</f>
        <v>1181814234528788481</v>
      </c>
      <c r="F633" s="8"/>
      <c r="G633" s="14" t="s">
        <v>3496</v>
      </c>
      <c r="H633" s="8"/>
      <c r="I633" s="15">
        <v>0</v>
      </c>
      <c r="J633" s="15">
        <v>0</v>
      </c>
      <c r="K633" s="12" t="str">
        <f>HYPERLINK("http://twitter.com","Twitter Web Client")</f>
        <v>Twitter Web Client</v>
      </c>
      <c r="L633" s="16">
        <v>3</v>
      </c>
      <c r="M633" s="16">
        <v>45</v>
      </c>
      <c r="N633" s="16">
        <v>0</v>
      </c>
      <c r="O633" s="17"/>
      <c r="P633" s="18">
        <v>42073.201458333337</v>
      </c>
      <c r="Q633" s="8"/>
      <c r="R633" s="8"/>
      <c r="S633" s="8"/>
      <c r="T633" s="8"/>
      <c r="U633" s="19" t="str">
        <f>HYPERLINK("https://pbs.twimg.com/profile_images/575262482677112832/yLpLel_l.jpeg","View")</f>
        <v>View</v>
      </c>
      <c r="V633" s="8"/>
      <c r="W633" s="8"/>
      <c r="X633" s="8"/>
      <c r="Y633" s="8"/>
      <c r="Z633" s="8"/>
    </row>
    <row r="634" spans="1:26" ht="12.75">
      <c r="A634" s="11">
        <v>43746.965115740742</v>
      </c>
      <c r="B634" s="12" t="str">
        <f>HYPERLINK("https://twitter.com/Elhag57Hesham","@Elhag57Hesham")</f>
        <v>@Elhag57Hesham</v>
      </c>
      <c r="C634" s="13" t="s">
        <v>3499</v>
      </c>
      <c r="D634" s="13" t="s">
        <v>3500</v>
      </c>
      <c r="E634" s="12" t="str">
        <f>HYPERLINK("https://twitter.com/Elhag57Hesham/status/1181813988096655361","1181813988096655361")</f>
        <v>1181813988096655361</v>
      </c>
      <c r="F634" s="8"/>
      <c r="G634" s="14" t="s">
        <v>3502</v>
      </c>
      <c r="H634" s="8"/>
      <c r="I634" s="15">
        <v>0</v>
      </c>
      <c r="J634" s="15">
        <v>0</v>
      </c>
      <c r="K634" s="12" t="str">
        <f>HYPERLINK("http://twitter.com","Twitter Web Client")</f>
        <v>Twitter Web Client</v>
      </c>
      <c r="L634" s="16">
        <v>0</v>
      </c>
      <c r="M634" s="16">
        <v>43</v>
      </c>
      <c r="N634" s="16">
        <v>0</v>
      </c>
      <c r="O634" s="17"/>
      <c r="P634" s="18">
        <v>42535.953611111108</v>
      </c>
      <c r="Q634" s="8"/>
      <c r="R634" s="8" t="s">
        <v>3506</v>
      </c>
      <c r="S634" s="8"/>
      <c r="T634" s="8"/>
      <c r="U634" s="19" t="str">
        <f>HYPERLINK("https://pbs.twimg.com/profile_images/742958572020076544/Fr2D8XNu.jpg","View")</f>
        <v>View</v>
      </c>
      <c r="V634" s="8"/>
      <c r="W634" s="8"/>
      <c r="X634" s="8"/>
      <c r="Y634" s="8"/>
      <c r="Z634" s="8"/>
    </row>
    <row r="635" spans="1:26" ht="12.75">
      <c r="A635" s="11">
        <v>43746.964826388888</v>
      </c>
      <c r="B635" s="12" t="str">
        <f>HYPERLINK("https://twitter.com/selimah02477981","@selimah02477981")</f>
        <v>@selimah02477981</v>
      </c>
      <c r="C635" s="13" t="s">
        <v>3507</v>
      </c>
      <c r="D635" s="13" t="s">
        <v>3508</v>
      </c>
      <c r="E635" s="12" t="str">
        <f>HYPERLINK("https://twitter.com/selimah02477981/status/1181813883809468417","1181813883809468417")</f>
        <v>1181813883809468417</v>
      </c>
      <c r="F635" s="8"/>
      <c r="G635" s="14" t="s">
        <v>3511</v>
      </c>
      <c r="H635" s="8"/>
      <c r="I635" s="15">
        <v>0</v>
      </c>
      <c r="J635" s="15">
        <v>0</v>
      </c>
      <c r="K635" s="12" t="str">
        <f>HYPERLINK("http://twitter.com","Twitter Web Client")</f>
        <v>Twitter Web Client</v>
      </c>
      <c r="L635" s="16">
        <v>0</v>
      </c>
      <c r="M635" s="16">
        <v>32</v>
      </c>
      <c r="N635" s="16">
        <v>0</v>
      </c>
      <c r="O635" s="17"/>
      <c r="P635" s="18">
        <v>41825.364861111113</v>
      </c>
      <c r="Q635" s="8"/>
      <c r="R635" s="8"/>
      <c r="S635" s="8"/>
      <c r="T635" s="8"/>
      <c r="U635" s="19" t="str">
        <f>HYPERLINK("https://pbs.twimg.com/profile_images/485449592272470017/SCposWdB.jpeg","View")</f>
        <v>View</v>
      </c>
      <c r="V635" s="8"/>
      <c r="W635" s="8"/>
      <c r="X635" s="8"/>
      <c r="Y635" s="8"/>
      <c r="Z635" s="8"/>
    </row>
    <row r="636" spans="1:26" ht="12.75">
      <c r="A636" s="11">
        <v>43746.964687500003</v>
      </c>
      <c r="B636" s="12" t="str">
        <f>HYPERLINK("https://twitter.com/saeed_shranie","@saeed_shranie")</f>
        <v>@saeed_shranie</v>
      </c>
      <c r="C636" s="13" t="s">
        <v>3514</v>
      </c>
      <c r="D636" s="13" t="s">
        <v>3515</v>
      </c>
      <c r="E636" s="12" t="str">
        <f>HYPERLINK("https://twitter.com/saeed_shranie/status/1181813834287341568","1181813834287341568")</f>
        <v>1181813834287341568</v>
      </c>
      <c r="F636" s="8"/>
      <c r="G636" s="14" t="s">
        <v>3516</v>
      </c>
      <c r="H636" s="8"/>
      <c r="I636" s="15">
        <v>0</v>
      </c>
      <c r="J636" s="15">
        <v>0</v>
      </c>
      <c r="K636" s="12" t="str">
        <f>HYPERLINK("http://twitter.com","Twitter Web Client")</f>
        <v>Twitter Web Client</v>
      </c>
      <c r="L636" s="16">
        <v>8</v>
      </c>
      <c r="M636" s="16">
        <v>38</v>
      </c>
      <c r="N636" s="16">
        <v>0</v>
      </c>
      <c r="O636" s="17"/>
      <c r="P636" s="18">
        <v>41845.752002314817</v>
      </c>
      <c r="Q636" s="8"/>
      <c r="R636" s="8"/>
      <c r="S636" s="8"/>
      <c r="T636" s="8"/>
      <c r="U636" s="19" t="str">
        <f>HYPERLINK("https://pbs.twimg.com/profile_images/492838080349364224/1T1qeOme.jpeg","View")</f>
        <v>View</v>
      </c>
      <c r="V636" s="8"/>
      <c r="W636" s="8"/>
      <c r="X636" s="8"/>
      <c r="Y636" s="8"/>
      <c r="Z636" s="8"/>
    </row>
    <row r="637" spans="1:26" ht="12.75">
      <c r="A637" s="11">
        <v>43746.964421296296</v>
      </c>
      <c r="B637" s="12" t="str">
        <f>HYPERLINK("https://twitter.com/elzaharany_33","@elzaharany_33")</f>
        <v>@elzaharany_33</v>
      </c>
      <c r="C637" s="13" t="s">
        <v>3520</v>
      </c>
      <c r="D637" s="13" t="s">
        <v>3521</v>
      </c>
      <c r="E637" s="12" t="str">
        <f>HYPERLINK("https://twitter.com/elzaharany_33/status/1181813734831984646","1181813734831984646")</f>
        <v>1181813734831984646</v>
      </c>
      <c r="F637" s="8"/>
      <c r="G637" s="14" t="s">
        <v>3524</v>
      </c>
      <c r="H637" s="8"/>
      <c r="I637" s="15">
        <v>0</v>
      </c>
      <c r="J637" s="15">
        <v>0</v>
      </c>
      <c r="K637" s="12" t="str">
        <f>HYPERLINK("http://twitter.com","Twitter Web Client")</f>
        <v>Twitter Web Client</v>
      </c>
      <c r="L637" s="16">
        <v>9</v>
      </c>
      <c r="M637" s="16">
        <v>44</v>
      </c>
      <c r="N637" s="16">
        <v>0</v>
      </c>
      <c r="O637" s="17"/>
      <c r="P637" s="18">
        <v>42075.21739583333</v>
      </c>
      <c r="Q637" s="8"/>
      <c r="R637" s="8"/>
      <c r="S637" s="8"/>
      <c r="T637" s="8"/>
      <c r="U637" s="19" t="str">
        <f>HYPERLINK("https://pbs.twimg.com/profile_images/575993143000104960/WXySS2eQ.jpeg","View")</f>
        <v>View</v>
      </c>
      <c r="V637" s="8"/>
      <c r="W637" s="8"/>
      <c r="X637" s="8"/>
      <c r="Y637" s="8"/>
      <c r="Z637" s="8"/>
    </row>
    <row r="638" spans="1:26" ht="12.75">
      <c r="A638" s="11">
        <v>43746.964120370365</v>
      </c>
      <c r="B638" s="12" t="str">
        <f>HYPERLINK("https://twitter.com/saidibndahmane","@saidibndahmane")</f>
        <v>@saidibndahmane</v>
      </c>
      <c r="C638" s="13" t="s">
        <v>3528</v>
      </c>
      <c r="D638" s="13" t="s">
        <v>3529</v>
      </c>
      <c r="E638" s="12" t="str">
        <f>HYPERLINK("https://twitter.com/saidibndahmane/status/1181813628250591232","1181813628250591232")</f>
        <v>1181813628250591232</v>
      </c>
      <c r="F638" s="8"/>
      <c r="G638" s="14" t="s">
        <v>3530</v>
      </c>
      <c r="H638" s="8"/>
      <c r="I638" s="15">
        <v>0</v>
      </c>
      <c r="J638" s="15">
        <v>0</v>
      </c>
      <c r="K638" s="12" t="str">
        <f>HYPERLINK("http://twitter.com","Twitter Web Client")</f>
        <v>Twitter Web Client</v>
      </c>
      <c r="L638" s="16">
        <v>7</v>
      </c>
      <c r="M638" s="16">
        <v>32</v>
      </c>
      <c r="N638" s="16">
        <v>0</v>
      </c>
      <c r="O638" s="17"/>
      <c r="P638" s="18">
        <v>42070.462847222225</v>
      </c>
      <c r="Q638" s="8"/>
      <c r="R638" s="8"/>
      <c r="S638" s="8"/>
      <c r="T638" s="8"/>
      <c r="U638" s="19" t="str">
        <f>HYPERLINK("https://pbs.twimg.com/profile_images/574295253408083968/HHeKsw3X.jpeg","View")</f>
        <v>View</v>
      </c>
      <c r="V638" s="8"/>
      <c r="W638" s="8"/>
      <c r="X638" s="8"/>
      <c r="Y638" s="8"/>
      <c r="Z638" s="8"/>
    </row>
    <row r="639" spans="1:26" ht="12.75">
      <c r="A639" s="11">
        <v>43746.963287037041</v>
      </c>
      <c r="B639" s="12" t="str">
        <f>HYPERLINK("https://twitter.com/saidkhaybari","@saidkhaybari")</f>
        <v>@saidkhaybari</v>
      </c>
      <c r="C639" s="13" t="s">
        <v>3534</v>
      </c>
      <c r="D639" s="13" t="s">
        <v>3535</v>
      </c>
      <c r="E639" s="12" t="str">
        <f>HYPERLINK("https://twitter.com/saidkhaybari/status/1181813324545167361","1181813324545167361")</f>
        <v>1181813324545167361</v>
      </c>
      <c r="F639" s="8"/>
      <c r="G639" s="14" t="s">
        <v>3536</v>
      </c>
      <c r="H639" s="8"/>
      <c r="I639" s="15">
        <v>0</v>
      </c>
      <c r="J639" s="15">
        <v>0</v>
      </c>
      <c r="K639" s="12" t="str">
        <f>HYPERLINK("http://twitter.com","Twitter Web Client")</f>
        <v>Twitter Web Client</v>
      </c>
      <c r="L639" s="16">
        <v>0</v>
      </c>
      <c r="M639" s="16">
        <v>28</v>
      </c>
      <c r="N639" s="16">
        <v>0</v>
      </c>
      <c r="O639" s="17"/>
      <c r="P639" s="18">
        <v>41824.22583333333</v>
      </c>
      <c r="Q639" s="8"/>
      <c r="R639" s="8"/>
      <c r="S639" s="8"/>
      <c r="T639" s="8"/>
      <c r="U639" s="19" t="str">
        <f>HYPERLINK("https://pbs.twimg.com/profile_images/485036913321992193/ysVBpJvl.jpeg","View")</f>
        <v>View</v>
      </c>
      <c r="V639" s="8"/>
      <c r="W639" s="8"/>
      <c r="X639" s="8"/>
      <c r="Y639" s="8"/>
      <c r="Z639" s="8"/>
    </row>
    <row r="640" spans="1:26" ht="12.75">
      <c r="A640" s="11">
        <v>43746.963148148148</v>
      </c>
      <c r="B640" s="12" t="str">
        <f>HYPERLINK("https://twitter.com/elhabeshe4","@elhabeshe4")</f>
        <v>@elhabeshe4</v>
      </c>
      <c r="C640" s="13" t="s">
        <v>3542</v>
      </c>
      <c r="D640" s="13" t="s">
        <v>3543</v>
      </c>
      <c r="E640" s="12" t="str">
        <f>HYPERLINK("https://twitter.com/elhabeshe4/status/1181813273521508352","1181813273521508352")</f>
        <v>1181813273521508352</v>
      </c>
      <c r="F640" s="8"/>
      <c r="G640" s="14" t="s">
        <v>3544</v>
      </c>
      <c r="H640" s="8"/>
      <c r="I640" s="15">
        <v>2</v>
      </c>
      <c r="J640" s="15">
        <v>1</v>
      </c>
      <c r="K640" s="12" t="str">
        <f>HYPERLINK("http://twitter.com","Twitter Web Client")</f>
        <v>Twitter Web Client</v>
      </c>
      <c r="L640" s="16">
        <v>13</v>
      </c>
      <c r="M640" s="16">
        <v>37</v>
      </c>
      <c r="N640" s="16">
        <v>0</v>
      </c>
      <c r="O640" s="17"/>
      <c r="P640" s="18">
        <v>42076.646111111113</v>
      </c>
      <c r="Q640" s="8"/>
      <c r="R640" s="8"/>
      <c r="S640" s="8"/>
      <c r="T640" s="8"/>
      <c r="U640" s="19" t="str">
        <f>HYPERLINK("https://pbs.twimg.com/profile_images/576511032954236928/dsmiKwBP.jpeg","View")</f>
        <v>View</v>
      </c>
      <c r="V640" s="8"/>
      <c r="W640" s="8"/>
      <c r="X640" s="8"/>
      <c r="Y640" s="8"/>
      <c r="Z640" s="8"/>
    </row>
    <row r="641" spans="1:26" ht="12.75">
      <c r="A641" s="11">
        <v>43746.962731481486</v>
      </c>
      <c r="B641" s="12" t="str">
        <f>HYPERLINK("https://twitter.com/mubarakaanzi","@mubarakaanzi")</f>
        <v>@mubarakaanzi</v>
      </c>
      <c r="C641" s="13" t="s">
        <v>3547</v>
      </c>
      <c r="D641" s="13" t="s">
        <v>3548</v>
      </c>
      <c r="E641" s="12" t="str">
        <f>HYPERLINK("https://twitter.com/mubarakaanzi/status/1181813122534907904","1181813122534907904")</f>
        <v>1181813122534907904</v>
      </c>
      <c r="F641" s="8"/>
      <c r="G641" s="14" t="s">
        <v>3550</v>
      </c>
      <c r="H641" s="8"/>
      <c r="I641" s="15">
        <v>0</v>
      </c>
      <c r="J641" s="15">
        <v>0</v>
      </c>
      <c r="K641" s="12" t="str">
        <f>HYPERLINK("http://twitter.com","Twitter Web Client")</f>
        <v>Twitter Web Client</v>
      </c>
      <c r="L641" s="16">
        <v>20</v>
      </c>
      <c r="M641" s="16">
        <v>42</v>
      </c>
      <c r="N641" s="16">
        <v>0</v>
      </c>
      <c r="O641" s="17"/>
      <c r="P641" s="18">
        <v>42075.404120370367</v>
      </c>
      <c r="Q641" s="8"/>
      <c r="R641" s="8"/>
      <c r="S641" s="8"/>
      <c r="T641" s="8"/>
      <c r="U641" s="19" t="str">
        <f>HYPERLINK("https://pbs.twimg.com/profile_images/576061129530552320/LZ_TDG2z.jpeg","View")</f>
        <v>View</v>
      </c>
      <c r="V641" s="8"/>
      <c r="W641" s="8"/>
      <c r="X641" s="8"/>
      <c r="Y641" s="8"/>
      <c r="Z641" s="8"/>
    </row>
    <row r="642" spans="1:26" ht="12.75">
      <c r="A642" s="11">
        <v>43746.960729166662</v>
      </c>
      <c r="B642" s="12" t="str">
        <f>HYPERLINK("https://twitter.com/salehalhajji3","@salehalhajji3")</f>
        <v>@salehalhajji3</v>
      </c>
      <c r="C642" s="13" t="s">
        <v>3553</v>
      </c>
      <c r="D642" s="13" t="s">
        <v>3554</v>
      </c>
      <c r="E642" s="12" t="str">
        <f>HYPERLINK("https://twitter.com/salehalhajji3/status/1181812398392582144","1181812398392582144")</f>
        <v>1181812398392582144</v>
      </c>
      <c r="F642" s="8"/>
      <c r="G642" s="14" t="s">
        <v>3556</v>
      </c>
      <c r="H642" s="8"/>
      <c r="I642" s="15">
        <v>0</v>
      </c>
      <c r="J642" s="15">
        <v>0</v>
      </c>
      <c r="K642" s="12" t="str">
        <f>HYPERLINK("http://twitter.com","Twitter Web Client")</f>
        <v>Twitter Web Client</v>
      </c>
      <c r="L642" s="16">
        <v>0</v>
      </c>
      <c r="M642" s="16">
        <v>37</v>
      </c>
      <c r="N642" s="16">
        <v>0</v>
      </c>
      <c r="O642" s="17"/>
      <c r="P642" s="18">
        <v>42066.207986111112</v>
      </c>
      <c r="Q642" s="8"/>
      <c r="R642" s="8"/>
      <c r="S642" s="8"/>
      <c r="T642" s="8"/>
      <c r="U642" s="19" t="str">
        <f>HYPERLINK("https://pbs.twimg.com/profile_images/572743355100971008/BUq-nErU.jpeg","View")</f>
        <v>View</v>
      </c>
      <c r="V642" s="8"/>
      <c r="W642" s="8"/>
      <c r="X642" s="8"/>
      <c r="Y642" s="8"/>
      <c r="Z642" s="8"/>
    </row>
    <row r="643" spans="1:26" ht="12.75">
      <c r="A643" s="11">
        <v>43746.959432870368</v>
      </c>
      <c r="B643" s="12" t="str">
        <f>HYPERLINK("https://twitter.com/al7alyala41565","@al7alyala41565")</f>
        <v>@al7alyala41565</v>
      </c>
      <c r="C643" s="13" t="s">
        <v>3560</v>
      </c>
      <c r="D643" s="13" t="s">
        <v>3561</v>
      </c>
      <c r="E643" s="12" t="str">
        <f>HYPERLINK("https://twitter.com/al7alyala41565/status/1181811930463428609","1181811930463428609")</f>
        <v>1181811930463428609</v>
      </c>
      <c r="F643" s="8"/>
      <c r="G643" s="14" t="s">
        <v>3562</v>
      </c>
      <c r="H643" s="8"/>
      <c r="I643" s="15">
        <v>0</v>
      </c>
      <c r="J643" s="15">
        <v>0</v>
      </c>
      <c r="K643" s="12" t="str">
        <f>HYPERLINK("http://twitter.com","Twitter Web Client")</f>
        <v>Twitter Web Client</v>
      </c>
      <c r="L643" s="16">
        <v>9</v>
      </c>
      <c r="M643" s="16">
        <v>50</v>
      </c>
      <c r="N643" s="16">
        <v>0</v>
      </c>
      <c r="O643" s="17"/>
      <c r="P643" s="18">
        <v>42072.16207175926</v>
      </c>
      <c r="Q643" s="8"/>
      <c r="R643" s="8"/>
      <c r="S643" s="8"/>
      <c r="T643" s="8"/>
      <c r="U643" s="19" t="str">
        <f>HYPERLINK("https://pbs.twimg.com/profile_images/574885799335849984/nP3cGN3s.jpeg","View")</f>
        <v>View</v>
      </c>
      <c r="V643" s="8"/>
      <c r="W643" s="8"/>
      <c r="X643" s="8"/>
      <c r="Y643" s="8"/>
      <c r="Z643" s="8"/>
    </row>
    <row r="644" spans="1:26" ht="12.75">
      <c r="A644" s="11">
        <v>43746.957453703704</v>
      </c>
      <c r="B644" s="12" t="str">
        <f>HYPERLINK("https://twitter.com/7madWanas","@7madWanas")</f>
        <v>@7madWanas</v>
      </c>
      <c r="C644" s="13" t="s">
        <v>3574</v>
      </c>
      <c r="D644" s="13" t="s">
        <v>3575</v>
      </c>
      <c r="E644" s="12" t="str">
        <f>HYPERLINK("https://twitter.com/7madWanas/status/1181811211467403266","1181811211467403266")</f>
        <v>1181811211467403266</v>
      </c>
      <c r="F644" s="8"/>
      <c r="G644" s="14" t="s">
        <v>3576</v>
      </c>
      <c r="H644" s="8"/>
      <c r="I644" s="15">
        <v>0</v>
      </c>
      <c r="J644" s="15">
        <v>0</v>
      </c>
      <c r="K644" s="12" t="str">
        <f>HYPERLINK("http://twitter.com","Twitter Web Client")</f>
        <v>Twitter Web Client</v>
      </c>
      <c r="L644" s="16">
        <v>104</v>
      </c>
      <c r="M644" s="16">
        <v>40</v>
      </c>
      <c r="N644" s="16">
        <v>0</v>
      </c>
      <c r="O644" s="17"/>
      <c r="P644" s="18">
        <v>42075.171412037038</v>
      </c>
      <c r="Q644" s="8"/>
      <c r="R644" s="8"/>
      <c r="S644" s="8"/>
      <c r="T644" s="8"/>
      <c r="U644" s="19" t="str">
        <f>HYPERLINK("https://pbs.twimg.com/profile_images/575976311954370561/F0daKahG.jpeg","View")</f>
        <v>View</v>
      </c>
      <c r="V644" s="8"/>
      <c r="W644" s="8"/>
      <c r="X644" s="8"/>
      <c r="Y644" s="8"/>
      <c r="Z644" s="8"/>
    </row>
    <row r="645" spans="1:26" ht="12.75">
      <c r="A645" s="11">
        <v>43746.955925925926</v>
      </c>
      <c r="B645" s="12" t="str">
        <f>HYPERLINK("https://twitter.com/aliashed","@aliashed")</f>
        <v>@aliashed</v>
      </c>
      <c r="C645" s="13" t="s">
        <v>785</v>
      </c>
      <c r="D645" s="13" t="s">
        <v>3582</v>
      </c>
      <c r="E645" s="12" t="str">
        <f>HYPERLINK("https://twitter.com/aliashed/status/1181810659362840576","1181810659362840576")</f>
        <v>1181810659362840576</v>
      </c>
      <c r="F645" s="8"/>
      <c r="G645" s="14" t="s">
        <v>3583</v>
      </c>
      <c r="H645" s="8"/>
      <c r="I645" s="15">
        <v>0</v>
      </c>
      <c r="J645" s="15">
        <v>0</v>
      </c>
      <c r="K645" s="12" t="str">
        <f>HYPERLINK("http://twitter.com","Twitter Web Client")</f>
        <v>Twitter Web Client</v>
      </c>
      <c r="L645" s="16">
        <v>0</v>
      </c>
      <c r="M645" s="16">
        <v>29</v>
      </c>
      <c r="N645" s="16">
        <v>0</v>
      </c>
      <c r="O645" s="17"/>
      <c r="P645" s="18">
        <v>42080.856134259258</v>
      </c>
      <c r="Q645" s="8"/>
      <c r="R645" s="8"/>
      <c r="S645" s="8"/>
      <c r="T645" s="8"/>
      <c r="U645" s="19" t="str">
        <f>HYPERLINK("https://pbs.twimg.com/profile_images/578038597720264704/goGolgh2.jpeg","View")</f>
        <v>View</v>
      </c>
      <c r="V645" s="8"/>
      <c r="W645" s="8"/>
      <c r="X645" s="8"/>
      <c r="Y645" s="8"/>
      <c r="Z645" s="8"/>
    </row>
    <row r="646" spans="1:26" ht="12.75">
      <c r="A646" s="11">
        <v>43746.955057870371</v>
      </c>
      <c r="B646" s="12" t="str">
        <f>HYPERLINK("https://twitter.com/mbleasdale","@mbleasdale")</f>
        <v>@mbleasdale</v>
      </c>
      <c r="C646" s="13" t="s">
        <v>3587</v>
      </c>
      <c r="D646" s="13" t="s">
        <v>3588</v>
      </c>
      <c r="E646" s="12" t="str">
        <f>HYPERLINK("https://twitter.com/mbleasdale/status/1181810341765734400","1181810341765734400")</f>
        <v>1181810341765734400</v>
      </c>
      <c r="F646" s="8"/>
      <c r="G646" s="15"/>
      <c r="H646" s="8"/>
      <c r="I646" s="15">
        <v>0</v>
      </c>
      <c r="J646" s="15">
        <v>1</v>
      </c>
      <c r="K646" s="12" t="str">
        <f>HYPERLINK("http://twitter.com/download/android","Twitter for Android")</f>
        <v>Twitter for Android</v>
      </c>
      <c r="L646" s="16">
        <v>864</v>
      </c>
      <c r="M646" s="16">
        <v>285</v>
      </c>
      <c r="N646" s="16">
        <v>27</v>
      </c>
      <c r="O646" s="17"/>
      <c r="P646" s="18">
        <v>39819.494224537033</v>
      </c>
      <c r="Q646" s="8" t="s">
        <v>3592</v>
      </c>
      <c r="R646" s="8" t="s">
        <v>3593</v>
      </c>
      <c r="S646" s="8"/>
      <c r="T646" s="8"/>
      <c r="U646" s="19" t="str">
        <f>HYPERLINK("https://pbs.twimg.com/profile_images/1181018698645008384/uLQEY_N_.jpg","View")</f>
        <v>View</v>
      </c>
      <c r="V646" s="8"/>
      <c r="W646" s="8"/>
      <c r="X646" s="8"/>
      <c r="Y646" s="8"/>
      <c r="Z646" s="8"/>
    </row>
    <row r="647" spans="1:26" ht="12.75">
      <c r="A647" s="11">
        <v>43746.954062500001</v>
      </c>
      <c r="B647" s="12" t="str">
        <f>HYPERLINK("https://twitter.com/abedalmage22","@abedalmage22")</f>
        <v>@abedalmage22</v>
      </c>
      <c r="C647" s="13" t="s">
        <v>3595</v>
      </c>
      <c r="D647" s="13" t="s">
        <v>3596</v>
      </c>
      <c r="E647" s="12" t="str">
        <f>HYPERLINK("https://twitter.com/abedalmage22/status/1181809982934802432","1181809982934802432")</f>
        <v>1181809982934802432</v>
      </c>
      <c r="F647" s="8"/>
      <c r="G647" s="14" t="s">
        <v>3597</v>
      </c>
      <c r="H647" s="8"/>
      <c r="I647" s="15">
        <v>0</v>
      </c>
      <c r="J647" s="15">
        <v>0</v>
      </c>
      <c r="K647" s="12" t="str">
        <f>HYPERLINK("http://twitter.com","Twitter Web Client")</f>
        <v>Twitter Web Client</v>
      </c>
      <c r="L647" s="16">
        <v>5</v>
      </c>
      <c r="M647" s="16">
        <v>56</v>
      </c>
      <c r="N647" s="16">
        <v>0</v>
      </c>
      <c r="O647" s="17"/>
      <c r="P647" s="18">
        <v>42072.180949074071</v>
      </c>
      <c r="Q647" s="8"/>
      <c r="R647" s="8"/>
      <c r="S647" s="8"/>
      <c r="T647" s="8"/>
      <c r="U647" s="19" t="str">
        <f>HYPERLINK("https://pbs.twimg.com/profile_images/574892707690102784/YzX3Qkpf.jpeg","View")</f>
        <v>View</v>
      </c>
      <c r="V647" s="8"/>
      <c r="W647" s="8"/>
      <c r="X647" s="8"/>
      <c r="Y647" s="8"/>
      <c r="Z647" s="8"/>
    </row>
    <row r="648" spans="1:26" ht="12.75">
      <c r="A648" s="11">
        <v>43746.951064814813</v>
      </c>
      <c r="B648" s="12" t="str">
        <f>HYPERLINK("https://twitter.com/mohammedalaagam","@mohammedalaagam")</f>
        <v>@mohammedalaagam</v>
      </c>
      <c r="C648" s="13" t="s">
        <v>3601</v>
      </c>
      <c r="D648" s="13" t="s">
        <v>3602</v>
      </c>
      <c r="E648" s="12" t="str">
        <f>HYPERLINK("https://twitter.com/mohammedalaagam/status/1181808897088204806","1181808897088204806")</f>
        <v>1181808897088204806</v>
      </c>
      <c r="F648" s="8"/>
      <c r="G648" s="14" t="s">
        <v>3603</v>
      </c>
      <c r="H648" s="8"/>
      <c r="I648" s="15">
        <v>0</v>
      </c>
      <c r="J648" s="15">
        <v>0</v>
      </c>
      <c r="K648" s="12" t="str">
        <f>HYPERLINK("http://twitter.com","Twitter Web Client")</f>
        <v>Twitter Web Client</v>
      </c>
      <c r="L648" s="16">
        <v>1</v>
      </c>
      <c r="M648" s="16">
        <v>37</v>
      </c>
      <c r="N648" s="16">
        <v>0</v>
      </c>
      <c r="O648" s="17"/>
      <c r="P648" s="18">
        <v>41848.272986111115</v>
      </c>
      <c r="Q648" s="8"/>
      <c r="R648" s="8"/>
      <c r="S648" s="8"/>
      <c r="T648" s="8"/>
      <c r="U648" s="19" t="str">
        <f>HYPERLINK("https://pbs.twimg.com/profile_images/493751247485157376/AuraJUY7.jpeg","View")</f>
        <v>View</v>
      </c>
      <c r="V648" s="8"/>
      <c r="W648" s="8"/>
      <c r="X648" s="8"/>
      <c r="Y648" s="8"/>
      <c r="Z648" s="8"/>
    </row>
    <row r="649" spans="1:26" ht="12.75">
      <c r="A649" s="11">
        <v>43746.949687500004</v>
      </c>
      <c r="B649" s="12" t="str">
        <f>HYPERLINK("https://twitter.com/alharabiie44","@alharabiie44")</f>
        <v>@alharabiie44</v>
      </c>
      <c r="C649" s="13" t="s">
        <v>3607</v>
      </c>
      <c r="D649" s="13" t="s">
        <v>3608</v>
      </c>
      <c r="E649" s="12" t="str">
        <f>HYPERLINK("https://twitter.com/alharabiie44/status/1181808399039827969","1181808399039827969")</f>
        <v>1181808399039827969</v>
      </c>
      <c r="F649" s="8"/>
      <c r="G649" s="14" t="s">
        <v>3609</v>
      </c>
      <c r="H649" s="8"/>
      <c r="I649" s="15">
        <v>0</v>
      </c>
      <c r="J649" s="15">
        <v>0</v>
      </c>
      <c r="K649" s="12" t="str">
        <f>HYPERLINK("http://twitter.com","Twitter Web Client")</f>
        <v>Twitter Web Client</v>
      </c>
      <c r="L649" s="16">
        <v>4</v>
      </c>
      <c r="M649" s="16">
        <v>27</v>
      </c>
      <c r="N649" s="16">
        <v>0</v>
      </c>
      <c r="O649" s="17"/>
      <c r="P649" s="18">
        <v>42069.475150462968</v>
      </c>
      <c r="Q649" s="8"/>
      <c r="R649" s="8"/>
      <c r="S649" s="8"/>
      <c r="T649" s="8"/>
      <c r="U649" s="19" t="str">
        <f>HYPERLINK("https://pbs.twimg.com/profile_images/573927360505888768/q74tHrwl.jpeg","View")</f>
        <v>View</v>
      </c>
      <c r="V649" s="8"/>
      <c r="W649" s="8"/>
      <c r="X649" s="8"/>
      <c r="Y649" s="8"/>
      <c r="Z649" s="8"/>
    </row>
    <row r="650" spans="1:26" ht="12.75">
      <c r="A650" s="11">
        <v>43746.947812500002</v>
      </c>
      <c r="B650" s="12" t="str">
        <f>HYPERLINK("https://twitter.com/hadialrashidi1","@hadialrashidi1")</f>
        <v>@hadialrashidi1</v>
      </c>
      <c r="C650" s="13" t="s">
        <v>3610</v>
      </c>
      <c r="D650" s="13" t="s">
        <v>3611</v>
      </c>
      <c r="E650" s="12" t="str">
        <f>HYPERLINK("https://twitter.com/hadialrashidi1/status/1181807718526590976","1181807718526590976")</f>
        <v>1181807718526590976</v>
      </c>
      <c r="F650" s="8"/>
      <c r="G650" s="14" t="s">
        <v>3612</v>
      </c>
      <c r="H650" s="8"/>
      <c r="I650" s="15">
        <v>0</v>
      </c>
      <c r="J650" s="15">
        <v>0</v>
      </c>
      <c r="K650" s="12" t="str">
        <f>HYPERLINK("http://twitter.com","Twitter Web Client")</f>
        <v>Twitter Web Client</v>
      </c>
      <c r="L650" s="16">
        <v>2</v>
      </c>
      <c r="M650" s="16">
        <v>36</v>
      </c>
      <c r="N650" s="16">
        <v>0</v>
      </c>
      <c r="O650" s="17"/>
      <c r="P650" s="18">
        <v>42069.168344907404</v>
      </c>
      <c r="Q650" s="8"/>
      <c r="R650" s="8"/>
      <c r="S650" s="8"/>
      <c r="T650" s="8"/>
      <c r="U650" s="19" t="str">
        <f>HYPERLINK("https://pbs.twimg.com/profile_images/573816118407663616/k-4RwwIQ.jpeg","View")</f>
        <v>View</v>
      </c>
      <c r="V650" s="8"/>
      <c r="W650" s="8"/>
      <c r="X650" s="8"/>
      <c r="Y650" s="8"/>
      <c r="Z650" s="8"/>
    </row>
    <row r="651" spans="1:26" ht="12.75">
      <c r="A651" s="11">
        <v>43746.947569444441</v>
      </c>
      <c r="B651" s="12" t="str">
        <f>HYPERLINK("https://twitter.com/mohammedahtani5","@mohammedahtani5")</f>
        <v>@mohammedahtani5</v>
      </c>
      <c r="C651" s="13" t="s">
        <v>3615</v>
      </c>
      <c r="D651" s="13" t="s">
        <v>3616</v>
      </c>
      <c r="E651" s="12" t="str">
        <f>HYPERLINK("https://twitter.com/mohammedahtani5/status/1181807627757641729","1181807627757641729")</f>
        <v>1181807627757641729</v>
      </c>
      <c r="F651" s="8"/>
      <c r="G651" s="14" t="s">
        <v>3617</v>
      </c>
      <c r="H651" s="8"/>
      <c r="I651" s="15">
        <v>0</v>
      </c>
      <c r="J651" s="15">
        <v>0</v>
      </c>
      <c r="K651" s="12" t="str">
        <f>HYPERLINK("http://twitter.com","Twitter Web Client")</f>
        <v>Twitter Web Client</v>
      </c>
      <c r="L651" s="16">
        <v>2</v>
      </c>
      <c r="M651" s="16">
        <v>39</v>
      </c>
      <c r="N651" s="16">
        <v>0</v>
      </c>
      <c r="O651" s="17"/>
      <c r="P651" s="18">
        <v>42074.200057870374</v>
      </c>
      <c r="Q651" s="8"/>
      <c r="R651" s="8"/>
      <c r="S651" s="8"/>
      <c r="T651" s="8"/>
      <c r="U651" s="19" t="str">
        <f>HYPERLINK("https://pbs.twimg.com/profile_images/575627245953249281/h1DWTLTi.jpeg","View")</f>
        <v>View</v>
      </c>
      <c r="V651" s="8"/>
      <c r="W651" s="8"/>
      <c r="X651" s="8"/>
      <c r="Y651" s="8"/>
      <c r="Z651" s="8"/>
    </row>
    <row r="652" spans="1:26" ht="12.75">
      <c r="A652" s="11">
        <v>43746.946192129632</v>
      </c>
      <c r="B652" s="12" t="str">
        <f>HYPERLINK("https://twitter.com/nazzalanzi1","@nazzalanzi1")</f>
        <v>@nazzalanzi1</v>
      </c>
      <c r="C652" s="13" t="s">
        <v>3622</v>
      </c>
      <c r="D652" s="13" t="s">
        <v>3624</v>
      </c>
      <c r="E652" s="12" t="str">
        <f>HYPERLINK("https://twitter.com/nazzalanzi1/status/1181807129751179264","1181807129751179264")</f>
        <v>1181807129751179264</v>
      </c>
      <c r="F652" s="8"/>
      <c r="G652" s="14" t="s">
        <v>3625</v>
      </c>
      <c r="H652" s="8"/>
      <c r="I652" s="15">
        <v>0</v>
      </c>
      <c r="J652" s="15">
        <v>0</v>
      </c>
      <c r="K652" s="12" t="str">
        <f>HYPERLINK("http://twitter.com","Twitter Web Client")</f>
        <v>Twitter Web Client</v>
      </c>
      <c r="L652" s="16">
        <v>1</v>
      </c>
      <c r="M652" s="16">
        <v>42</v>
      </c>
      <c r="N652" s="16">
        <v>0</v>
      </c>
      <c r="O652" s="17"/>
      <c r="P652" s="18">
        <v>42071.062627314815</v>
      </c>
      <c r="Q652" s="8"/>
      <c r="R652" s="8"/>
      <c r="S652" s="8"/>
      <c r="T652" s="8"/>
      <c r="U652" s="19" t="str">
        <f>HYPERLINK("https://pbs.twimg.com/profile_images/574502694418694144/FS8xzQKL.jpeg","View")</f>
        <v>View</v>
      </c>
      <c r="V652" s="8"/>
      <c r="W652" s="8"/>
      <c r="X652" s="8"/>
      <c r="Y652" s="8"/>
      <c r="Z652" s="8"/>
    </row>
    <row r="653" spans="1:26" ht="12.75">
      <c r="A653" s="11">
        <v>43746.943935185191</v>
      </c>
      <c r="B653" s="12" t="str">
        <f>HYPERLINK("https://twitter.com/elduosr33","@elduosr33")</f>
        <v>@elduosr33</v>
      </c>
      <c r="C653" s="7" t="s">
        <v>3628</v>
      </c>
      <c r="D653" s="7" t="s">
        <v>3629</v>
      </c>
      <c r="E653" s="12" t="str">
        <f>HYPERLINK("https://twitter.com/elduosr33/status/1181806314483322880","1181806314483322880")</f>
        <v>1181806314483322880</v>
      </c>
      <c r="F653" s="8"/>
      <c r="G653" s="14" t="s">
        <v>3630</v>
      </c>
      <c r="H653" s="8"/>
      <c r="I653" s="15">
        <v>0</v>
      </c>
      <c r="J653" s="15">
        <v>0</v>
      </c>
      <c r="K653" s="12" t="str">
        <f>HYPERLINK("http://twitter.com","Twitter Web Client")</f>
        <v>Twitter Web Client</v>
      </c>
      <c r="L653" s="16">
        <v>5</v>
      </c>
      <c r="M653" s="16">
        <v>52</v>
      </c>
      <c r="N653" s="16">
        <v>0</v>
      </c>
      <c r="O653" s="17"/>
      <c r="P653" s="18">
        <v>42072.344791666663</v>
      </c>
      <c r="Q653" s="8"/>
      <c r="R653" s="7"/>
      <c r="S653" s="8"/>
      <c r="T653" s="8"/>
      <c r="U653" s="19" t="str">
        <f>HYPERLINK("https://pbs.twimg.com/profile_images/574952159483047938/wXL14NSJ.jpeg","View")</f>
        <v>View</v>
      </c>
      <c r="V653" s="8"/>
      <c r="W653" s="8"/>
      <c r="X653" s="8"/>
      <c r="Y653" s="8"/>
      <c r="Z653" s="8"/>
    </row>
    <row r="654" spans="1:26" ht="12.75">
      <c r="A654" s="11">
        <v>43746.943692129629</v>
      </c>
      <c r="B654" s="12" t="str">
        <f>HYPERLINK("https://twitter.com/JassimMajidio","@JassimMajidio")</f>
        <v>@JassimMajidio</v>
      </c>
      <c r="C654" s="13" t="s">
        <v>3633</v>
      </c>
      <c r="D654" s="13" t="s">
        <v>3634</v>
      </c>
      <c r="E654" s="12" t="str">
        <f>HYPERLINK("https://twitter.com/JassimMajidio/status/1181806225174007810","1181806225174007810")</f>
        <v>1181806225174007810</v>
      </c>
      <c r="F654" s="8"/>
      <c r="G654" s="14" t="s">
        <v>3636</v>
      </c>
      <c r="H654" s="8"/>
      <c r="I654" s="15">
        <v>0</v>
      </c>
      <c r="J654" s="15">
        <v>0</v>
      </c>
      <c r="K654" s="12" t="str">
        <f>HYPERLINK("http://twitter.com","Twitter Web Client")</f>
        <v>Twitter Web Client</v>
      </c>
      <c r="L654" s="16">
        <v>0</v>
      </c>
      <c r="M654" s="16">
        <v>36</v>
      </c>
      <c r="N654" s="16">
        <v>0</v>
      </c>
      <c r="O654" s="17"/>
      <c r="P654" s="18">
        <v>42070.788287037038</v>
      </c>
      <c r="Q654" s="8"/>
      <c r="R654" s="8"/>
      <c r="S654" s="8"/>
      <c r="T654" s="8"/>
      <c r="U654" s="19" t="str">
        <f>HYPERLINK("https://pbs.twimg.com/profile_images/574405560751157248/z3iUumu5.jpeg","View")</f>
        <v>View</v>
      </c>
      <c r="V654" s="8"/>
      <c r="W654" s="8"/>
      <c r="X654" s="8"/>
      <c r="Y654" s="8"/>
      <c r="Z654" s="8"/>
    </row>
    <row r="655" spans="1:26" ht="12.75">
      <c r="A655" s="11">
        <v>43746.942824074074</v>
      </c>
      <c r="B655" s="12" t="str">
        <f>HYPERLINK("https://twitter.com/AlhrdaneHamza","@AlhrdaneHamza")</f>
        <v>@AlhrdaneHamza</v>
      </c>
      <c r="C655" s="13" t="s">
        <v>3637</v>
      </c>
      <c r="D655" s="13" t="s">
        <v>3638</v>
      </c>
      <c r="E655" s="12" t="str">
        <f>HYPERLINK("https://twitter.com/AlhrdaneHamza/status/1181805909292531712","1181805909292531712")</f>
        <v>1181805909292531712</v>
      </c>
      <c r="F655" s="8"/>
      <c r="G655" s="14" t="s">
        <v>3639</v>
      </c>
      <c r="H655" s="8"/>
      <c r="I655" s="15">
        <v>0</v>
      </c>
      <c r="J655" s="15">
        <v>0</v>
      </c>
      <c r="K655" s="12" t="str">
        <f>HYPERLINK("http://twitter.com","Twitter Web Client")</f>
        <v>Twitter Web Client</v>
      </c>
      <c r="L655" s="16">
        <v>6</v>
      </c>
      <c r="M655" s="16">
        <v>39</v>
      </c>
      <c r="N655" s="16">
        <v>0</v>
      </c>
      <c r="O655" s="17"/>
      <c r="P655" s="18">
        <v>42072.221168981487</v>
      </c>
      <c r="Q655" s="8"/>
      <c r="R655" s="8"/>
      <c r="S655" s="8"/>
      <c r="T655" s="8"/>
      <c r="U655" s="19" t="str">
        <f>HYPERLINK("https://pbs.twimg.com/profile_images/574911958530424834/-Gcgkejx.jpeg","View")</f>
        <v>View</v>
      </c>
      <c r="V655" s="8"/>
      <c r="W655" s="8"/>
      <c r="X655" s="8"/>
      <c r="Y655" s="8"/>
      <c r="Z655" s="8"/>
    </row>
    <row r="656" spans="1:26" ht="12.75">
      <c r="A656" s="11">
        <v>43746.942083333328</v>
      </c>
      <c r="B656" s="12" t="str">
        <f>HYPERLINK("https://twitter.com/alfarwanmohame1","@alfarwanmohame1")</f>
        <v>@alfarwanmohame1</v>
      </c>
      <c r="C656" s="13" t="s">
        <v>3643</v>
      </c>
      <c r="D656" s="13" t="s">
        <v>3644</v>
      </c>
      <c r="E656" s="12" t="str">
        <f>HYPERLINK("https://twitter.com/alfarwanmohame1/status/1181805640680910849","1181805640680910849")</f>
        <v>1181805640680910849</v>
      </c>
      <c r="F656" s="8"/>
      <c r="G656" s="14" t="s">
        <v>3645</v>
      </c>
      <c r="H656" s="8"/>
      <c r="I656" s="15">
        <v>0</v>
      </c>
      <c r="J656" s="15">
        <v>0</v>
      </c>
      <c r="K656" s="12" t="str">
        <f>HYPERLINK("http://twitter.com","Twitter Web Client")</f>
        <v>Twitter Web Client</v>
      </c>
      <c r="L656" s="16">
        <v>5</v>
      </c>
      <c r="M656" s="16">
        <v>40</v>
      </c>
      <c r="N656" s="16">
        <v>0</v>
      </c>
      <c r="O656" s="17"/>
      <c r="P656" s="18">
        <v>42073.718344907407</v>
      </c>
      <c r="Q656" s="8"/>
      <c r="R656" s="8"/>
      <c r="S656" s="8"/>
      <c r="T656" s="8"/>
      <c r="U656" s="19" t="str">
        <f>HYPERLINK("https://pbs.twimg.com/profile_images/575454248994889728/gCCJE0ru.jpeg","View")</f>
        <v>View</v>
      </c>
      <c r="V656" s="8"/>
      <c r="W656" s="8"/>
      <c r="X656" s="8"/>
      <c r="Y656" s="8"/>
      <c r="Z656" s="8"/>
    </row>
    <row r="657" spans="1:26" ht="12.75">
      <c r="A657" s="11">
        <v>43746.940462962964</v>
      </c>
      <c r="B657" s="12" t="str">
        <f>HYPERLINK("https://twitter.com/DestiGrace1","@DestiGrace1")</f>
        <v>@DestiGrace1</v>
      </c>
      <c r="C657" s="13" t="s">
        <v>3650</v>
      </c>
      <c r="D657" s="13" t="s">
        <v>3651</v>
      </c>
      <c r="E657" s="12" t="str">
        <f>HYPERLINK("https://twitter.com/DestiGrace1/status/1181805055948787713","1181805055948787713")</f>
        <v>1181805055948787713</v>
      </c>
      <c r="F657" s="8" t="s">
        <v>3652</v>
      </c>
      <c r="G657" s="15"/>
      <c r="H657" s="8"/>
      <c r="I657" s="15">
        <v>0</v>
      </c>
      <c r="J657" s="15">
        <v>1</v>
      </c>
      <c r="K657" s="12" t="str">
        <f>HYPERLINK("https://mobile.twitter.com","Twitter Web App")</f>
        <v>Twitter Web App</v>
      </c>
      <c r="L657" s="16">
        <v>2711</v>
      </c>
      <c r="M657" s="16">
        <v>3383</v>
      </c>
      <c r="N657" s="16">
        <v>120</v>
      </c>
      <c r="O657" s="17"/>
      <c r="P657" s="18">
        <v>40909.263877314814</v>
      </c>
      <c r="Q657" s="8" t="s">
        <v>3654</v>
      </c>
      <c r="R657" s="8" t="s">
        <v>3655</v>
      </c>
      <c r="S657" s="8"/>
      <c r="T657" s="8"/>
      <c r="U657" s="19" t="str">
        <f>HYPERLINK("https://pbs.twimg.com/profile_images/767350591928410112/2d0GeIUx.jpg","View")</f>
        <v>View</v>
      </c>
      <c r="V657" s="8"/>
      <c r="W657" s="8"/>
      <c r="X657" s="8"/>
      <c r="Y657" s="8"/>
      <c r="Z657" s="8"/>
    </row>
    <row r="658" spans="1:26" ht="12.75">
      <c r="A658" s="11">
        <v>43746.940462962964</v>
      </c>
      <c r="B658" s="12" t="str">
        <f>HYPERLINK("https://twitter.com/zamzamiie012","@zamzamiie012")</f>
        <v>@zamzamiie012</v>
      </c>
      <c r="C658" s="13" t="s">
        <v>3658</v>
      </c>
      <c r="D658" s="13" t="s">
        <v>3659</v>
      </c>
      <c r="E658" s="12" t="str">
        <f>HYPERLINK("https://twitter.com/zamzamiie012/status/1181805055638462464","1181805055638462464")</f>
        <v>1181805055638462464</v>
      </c>
      <c r="F658" s="8"/>
      <c r="G658" s="14" t="s">
        <v>3660</v>
      </c>
      <c r="H658" s="8"/>
      <c r="I658" s="15">
        <v>0</v>
      </c>
      <c r="J658" s="15">
        <v>0</v>
      </c>
      <c r="K658" s="12" t="str">
        <f>HYPERLINK("http://twitter.com","Twitter Web Client")</f>
        <v>Twitter Web Client</v>
      </c>
      <c r="L658" s="16">
        <v>19</v>
      </c>
      <c r="M658" s="16">
        <v>41</v>
      </c>
      <c r="N658" s="16">
        <v>0</v>
      </c>
      <c r="O658" s="17"/>
      <c r="P658" s="18">
        <v>42071.646180555559</v>
      </c>
      <c r="Q658" s="13"/>
      <c r="R658" s="13"/>
      <c r="S658" s="8"/>
      <c r="T658" s="8"/>
      <c r="U658" s="19" t="str">
        <f>HYPERLINK("https://pbs.twimg.com/profile_images/574699085988413441/cm9_WjUj.jpeg","View")</f>
        <v>View</v>
      </c>
      <c r="V658" s="8"/>
      <c r="W658" s="8"/>
      <c r="X658" s="8"/>
      <c r="Y658" s="8"/>
      <c r="Z658" s="8"/>
    </row>
    <row r="659" spans="1:26" ht="12.75">
      <c r="A659" s="11">
        <v>43746.93959490741</v>
      </c>
      <c r="B659" s="12" t="str">
        <f>HYPERLINK("https://twitter.com/mohamme70357493","@mohamme70357493")</f>
        <v>@mohamme70357493</v>
      </c>
      <c r="C659" s="13" t="s">
        <v>3665</v>
      </c>
      <c r="D659" s="13" t="s">
        <v>3666</v>
      </c>
      <c r="E659" s="12" t="str">
        <f>HYPERLINK("https://twitter.com/mohamme70357493/status/1181804739572486144","1181804739572486144")</f>
        <v>1181804739572486144</v>
      </c>
      <c r="F659" s="8"/>
      <c r="G659" s="14" t="s">
        <v>3667</v>
      </c>
      <c r="H659" s="8"/>
      <c r="I659" s="15">
        <v>0</v>
      </c>
      <c r="J659" s="15">
        <v>0</v>
      </c>
      <c r="K659" s="12" t="str">
        <f>HYPERLINK("http://twitter.com","Twitter Web Client")</f>
        <v>Twitter Web Client</v>
      </c>
      <c r="L659" s="16">
        <v>5</v>
      </c>
      <c r="M659" s="16">
        <v>37</v>
      </c>
      <c r="N659" s="16">
        <v>0</v>
      </c>
      <c r="O659" s="17"/>
      <c r="P659" s="18">
        <v>42267.76226851852</v>
      </c>
      <c r="Q659" s="8"/>
      <c r="R659" s="8"/>
      <c r="S659" s="8"/>
      <c r="T659" s="8"/>
      <c r="U659" s="19" t="str">
        <f>HYPERLINK("https://pbs.twimg.com/profile_images/645768913435951105/YwO9EW7R.jpg","View")</f>
        <v>View</v>
      </c>
      <c r="V659" s="8"/>
      <c r="W659" s="8"/>
      <c r="X659" s="8"/>
      <c r="Y659" s="8"/>
      <c r="Z659" s="8"/>
    </row>
    <row r="660" spans="1:26" ht="12.75">
      <c r="A660" s="11">
        <v>43746.938599537039</v>
      </c>
      <c r="B660" s="12" t="str">
        <f>HYPERLINK("https://twitter.com/abdulra31444642","@abdulra31444642")</f>
        <v>@abdulra31444642</v>
      </c>
      <c r="C660" s="13" t="s">
        <v>3672</v>
      </c>
      <c r="D660" s="13" t="s">
        <v>3673</v>
      </c>
      <c r="E660" s="12" t="str">
        <f>HYPERLINK("https://twitter.com/abdulra31444642/status/1181804377234952192","1181804377234952192")</f>
        <v>1181804377234952192</v>
      </c>
      <c r="F660" s="8"/>
      <c r="G660" s="14" t="s">
        <v>3675</v>
      </c>
      <c r="H660" s="8"/>
      <c r="I660" s="15">
        <v>0</v>
      </c>
      <c r="J660" s="15">
        <v>0</v>
      </c>
      <c r="K660" s="12" t="str">
        <f>HYPERLINK("http://twitter.com","Twitter Web Client")</f>
        <v>Twitter Web Client</v>
      </c>
      <c r="L660" s="16">
        <v>3</v>
      </c>
      <c r="M660" s="16">
        <v>33</v>
      </c>
      <c r="N660" s="16">
        <v>0</v>
      </c>
      <c r="O660" s="17"/>
      <c r="P660" s="18">
        <v>41827.391875000001</v>
      </c>
      <c r="Q660" s="8"/>
      <c r="R660" s="8"/>
      <c r="S660" s="8"/>
      <c r="T660" s="8"/>
      <c r="U660" s="19" t="str">
        <f>HYPERLINK("https://pbs.twimg.com/profile_images/486184330226438146/Nxn3R808.jpeg","View")</f>
        <v>View</v>
      </c>
      <c r="V660" s="8"/>
      <c r="W660" s="8"/>
      <c r="X660" s="8"/>
      <c r="Y660" s="8"/>
      <c r="Z660" s="8"/>
    </row>
    <row r="661" spans="1:26" ht="12.75">
      <c r="A661" s="11">
        <v>43746.936331018514</v>
      </c>
      <c r="B661" s="12" t="str">
        <f>HYPERLINK("https://twitter.com/AldosariHiesham","@AldosariHiesham")</f>
        <v>@AldosariHiesham</v>
      </c>
      <c r="C661" s="13" t="s">
        <v>3676</v>
      </c>
      <c r="D661" s="13" t="s">
        <v>3678</v>
      </c>
      <c r="E661" s="12" t="str">
        <f>HYPERLINK("https://twitter.com/AldosariHiesham/status/1181803555201662976","1181803555201662976")</f>
        <v>1181803555201662976</v>
      </c>
      <c r="F661" s="8"/>
      <c r="G661" s="14" t="s">
        <v>3680</v>
      </c>
      <c r="H661" s="8"/>
      <c r="I661" s="15">
        <v>0</v>
      </c>
      <c r="J661" s="15">
        <v>0</v>
      </c>
      <c r="K661" s="12" t="str">
        <f>HYPERLINK("http://twitter.com","Twitter Web Client")</f>
        <v>Twitter Web Client</v>
      </c>
      <c r="L661" s="16">
        <v>13</v>
      </c>
      <c r="M661" s="16">
        <v>43</v>
      </c>
      <c r="N661" s="16">
        <v>0</v>
      </c>
      <c r="O661" s="17"/>
      <c r="P661" s="18">
        <v>42071.608564814815</v>
      </c>
      <c r="Q661" s="8"/>
      <c r="R661" s="8"/>
      <c r="S661" s="8"/>
      <c r="T661" s="8"/>
      <c r="U661" s="19" t="str">
        <f>HYPERLINK("https://pbs.twimg.com/profile_images/574714642519347200/fzPDH23K.jpeg","View")</f>
        <v>View</v>
      </c>
      <c r="V661" s="8"/>
      <c r="W661" s="8"/>
      <c r="X661" s="8"/>
      <c r="Y661" s="8"/>
      <c r="Z661" s="8"/>
    </row>
    <row r="662" spans="1:26" ht="12.75">
      <c r="A662" s="11">
        <v>43746.935081018513</v>
      </c>
      <c r="B662" s="12" t="str">
        <f>HYPERLINK("https://twitter.com/alganayam33","@alganayam33")</f>
        <v>@alganayam33</v>
      </c>
      <c r="C662" s="13" t="s">
        <v>3681</v>
      </c>
      <c r="D662" s="13" t="s">
        <v>3682</v>
      </c>
      <c r="E662" s="12" t="str">
        <f>HYPERLINK("https://twitter.com/alganayam33/status/1181803104137818113","1181803104137818113")</f>
        <v>1181803104137818113</v>
      </c>
      <c r="F662" s="8"/>
      <c r="G662" s="14" t="s">
        <v>3683</v>
      </c>
      <c r="H662" s="8"/>
      <c r="I662" s="15">
        <v>0</v>
      </c>
      <c r="J662" s="15">
        <v>0</v>
      </c>
      <c r="K662" s="12" t="str">
        <f>HYPERLINK("http://twitter.com","Twitter Web Client")</f>
        <v>Twitter Web Client</v>
      </c>
      <c r="L662" s="16">
        <v>6</v>
      </c>
      <c r="M662" s="16">
        <v>38</v>
      </c>
      <c r="N662" s="16">
        <v>0</v>
      </c>
      <c r="O662" s="17"/>
      <c r="P662" s="18">
        <v>42072.231504629628</v>
      </c>
      <c r="Q662" s="8"/>
      <c r="R662" s="8"/>
      <c r="S662" s="8"/>
      <c r="T662" s="8"/>
      <c r="U662" s="19" t="str">
        <f>HYPERLINK("https://pbs.twimg.com/profile_images/574911016523329537/O--oUEO0.jpeg","View")</f>
        <v>View</v>
      </c>
      <c r="V662" s="8"/>
      <c r="W662" s="8"/>
      <c r="X662" s="8"/>
      <c r="Y662" s="8"/>
      <c r="Z662" s="8"/>
    </row>
    <row r="663" spans="1:26" ht="12.75">
      <c r="A663" s="11">
        <v>43746.933958333335</v>
      </c>
      <c r="B663" s="12" t="str">
        <f>HYPERLINK("https://twitter.com/ShahraniZ","@ShahraniZ")</f>
        <v>@ShahraniZ</v>
      </c>
      <c r="C663" s="13" t="s">
        <v>3684</v>
      </c>
      <c r="D663" s="13" t="s">
        <v>3685</v>
      </c>
      <c r="E663" s="12" t="str">
        <f>HYPERLINK("https://twitter.com/ShahraniZ/status/1181802698468933632","1181802698468933632")</f>
        <v>1181802698468933632</v>
      </c>
      <c r="F663" s="8"/>
      <c r="G663" s="14" t="s">
        <v>3686</v>
      </c>
      <c r="H663" s="8"/>
      <c r="I663" s="15">
        <v>0</v>
      </c>
      <c r="J663" s="15">
        <v>0</v>
      </c>
      <c r="K663" s="12" t="str">
        <f>HYPERLINK("http://twitter.com","Twitter Web Client")</f>
        <v>Twitter Web Client</v>
      </c>
      <c r="L663" s="16">
        <v>1</v>
      </c>
      <c r="M663" s="16">
        <v>34</v>
      </c>
      <c r="N663" s="16">
        <v>0</v>
      </c>
      <c r="O663" s="17"/>
      <c r="P663" s="18">
        <v>41829.312245370369</v>
      </c>
      <c r="Q663" s="8"/>
      <c r="R663" s="8"/>
      <c r="S663" s="8"/>
      <c r="T663" s="8"/>
      <c r="U663" s="19" t="str">
        <f>HYPERLINK("https://pbs.twimg.com/profile_images/486881256836059137/rWgp55kU.jpeg","View")</f>
        <v>View</v>
      </c>
      <c r="V663" s="8"/>
      <c r="W663" s="8"/>
      <c r="X663" s="8"/>
      <c r="Y663" s="8"/>
      <c r="Z663" s="8"/>
    </row>
    <row r="664" spans="1:26" ht="12.75">
      <c r="A664" s="11">
        <v>43746.931817129633</v>
      </c>
      <c r="B664" s="12" t="str">
        <f>HYPERLINK("https://twitter.com/saaeed55_564","@saaeed55_564")</f>
        <v>@saaeed55_564</v>
      </c>
      <c r="C664" s="13" t="s">
        <v>3689</v>
      </c>
      <c r="D664" s="13" t="s">
        <v>3690</v>
      </c>
      <c r="E664" s="12" t="str">
        <f>HYPERLINK("https://twitter.com/saaeed55_564/status/1181801920660475904","1181801920660475904")</f>
        <v>1181801920660475904</v>
      </c>
      <c r="F664" s="8"/>
      <c r="G664" s="14" t="s">
        <v>3691</v>
      </c>
      <c r="H664" s="8"/>
      <c r="I664" s="15">
        <v>0</v>
      </c>
      <c r="J664" s="15">
        <v>0</v>
      </c>
      <c r="K664" s="12" t="str">
        <f>HYPERLINK("http://twitter.com","Twitter Web Client")</f>
        <v>Twitter Web Client</v>
      </c>
      <c r="L664" s="16">
        <v>10</v>
      </c>
      <c r="M664" s="16">
        <v>37</v>
      </c>
      <c r="N664" s="16">
        <v>0</v>
      </c>
      <c r="O664" s="17"/>
      <c r="P664" s="18">
        <v>42075.489872685182</v>
      </c>
      <c r="Q664" s="8"/>
      <c r="R664" s="8"/>
      <c r="S664" s="8"/>
      <c r="T664" s="8"/>
      <c r="U664" s="19" t="str">
        <f>HYPERLINK("https://pbs.twimg.com/profile_images/576091867646803968/rGI7HDwf.jpeg","View")</f>
        <v>View</v>
      </c>
      <c r="V664" s="8"/>
      <c r="W664" s="8"/>
      <c r="X664" s="8"/>
      <c r="Y664" s="8"/>
      <c r="Z664" s="8"/>
    </row>
    <row r="665" spans="1:26" ht="12.75">
      <c r="A665" s="11">
        <v>43746.930173611108</v>
      </c>
      <c r="B665" s="12" t="str">
        <f>HYPERLINK("https://twitter.com/abdmajeed19","@abdmajeed19")</f>
        <v>@abdmajeed19</v>
      </c>
      <c r="C665" s="13" t="s">
        <v>3694</v>
      </c>
      <c r="D665" s="13" t="s">
        <v>3695</v>
      </c>
      <c r="E665" s="12" t="str">
        <f>HYPERLINK("https://twitter.com/abdmajeed19/status/1181801325190942720","1181801325190942720")</f>
        <v>1181801325190942720</v>
      </c>
      <c r="F665" s="8"/>
      <c r="G665" s="14" t="s">
        <v>3696</v>
      </c>
      <c r="H665" s="8"/>
      <c r="I665" s="15">
        <v>0</v>
      </c>
      <c r="J665" s="15">
        <v>0</v>
      </c>
      <c r="K665" s="12" t="str">
        <f>HYPERLINK("http://twitter.com","Twitter Web Client")</f>
        <v>Twitter Web Client</v>
      </c>
      <c r="L665" s="16">
        <v>9</v>
      </c>
      <c r="M665" s="16">
        <v>41</v>
      </c>
      <c r="N665" s="16">
        <v>0</v>
      </c>
      <c r="O665" s="17"/>
      <c r="P665" s="18">
        <v>42268.762986111113</v>
      </c>
      <c r="Q665" s="8"/>
      <c r="R665" s="8"/>
      <c r="S665" s="8"/>
      <c r="T665" s="8"/>
      <c r="U665" s="19" t="str">
        <f>HYPERLINK("https://pbs.twimg.com/profile_images/646340610526281733/aIUuu_8l.jpg","View")</f>
        <v>View</v>
      </c>
      <c r="V665" s="8"/>
      <c r="W665" s="8"/>
      <c r="X665" s="8"/>
      <c r="Y665" s="8"/>
      <c r="Z665" s="8"/>
    </row>
    <row r="666" spans="1:26" ht="12.75">
      <c r="A666" s="11">
        <v>43746.929548611108</v>
      </c>
      <c r="B666" s="12" t="str">
        <f>HYPERLINK("https://twitter.com/khaleds67467044","@khaleds67467044")</f>
        <v>@khaleds67467044</v>
      </c>
      <c r="C666" s="13" t="s">
        <v>3697</v>
      </c>
      <c r="D666" s="13" t="s">
        <v>3698</v>
      </c>
      <c r="E666" s="12" t="str">
        <f>HYPERLINK("https://twitter.com/khaleds67467044/status/1181801100120342528","1181801100120342528")</f>
        <v>1181801100120342528</v>
      </c>
      <c r="F666" s="8"/>
      <c r="G666" s="14" t="s">
        <v>3699</v>
      </c>
      <c r="H666" s="8"/>
      <c r="I666" s="15">
        <v>0</v>
      </c>
      <c r="J666" s="15">
        <v>0</v>
      </c>
      <c r="K666" s="12" t="str">
        <f>HYPERLINK("http://twitter.com","Twitter Web Client")</f>
        <v>Twitter Web Client</v>
      </c>
      <c r="L666" s="16">
        <v>1</v>
      </c>
      <c r="M666" s="16">
        <v>36</v>
      </c>
      <c r="N666" s="16">
        <v>0</v>
      </c>
      <c r="O666" s="17"/>
      <c r="P666" s="18">
        <v>42065.805011574077</v>
      </c>
      <c r="Q666" s="8"/>
      <c r="R666" s="8"/>
      <c r="S666" s="8"/>
      <c r="T666" s="8"/>
      <c r="U666" s="19" t="str">
        <f>HYPERLINK("https://pbs.twimg.com/profile_images/572597749447540736/NALtcEnE.jpeg","View")</f>
        <v>View</v>
      </c>
      <c r="V666" s="8"/>
      <c r="W666" s="8"/>
      <c r="X666" s="8"/>
      <c r="Y666" s="8"/>
      <c r="Z666" s="8"/>
    </row>
    <row r="667" spans="1:26" ht="12.75">
      <c r="A667" s="11">
        <v>43746.929305555561</v>
      </c>
      <c r="B667" s="12" t="str">
        <f>HYPERLINK("https://twitter.com/saeedal53855352","@saeedal53855352")</f>
        <v>@saeedal53855352</v>
      </c>
      <c r="C667" s="13" t="s">
        <v>3702</v>
      </c>
      <c r="D667" s="13" t="s">
        <v>3703</v>
      </c>
      <c r="E667" s="12" t="str">
        <f>HYPERLINK("https://twitter.com/saeedal53855352/status/1181801009611493376","1181801009611493376")</f>
        <v>1181801009611493376</v>
      </c>
      <c r="F667" s="8"/>
      <c r="G667" s="14" t="s">
        <v>3704</v>
      </c>
      <c r="H667" s="8"/>
      <c r="I667" s="15">
        <v>0</v>
      </c>
      <c r="J667" s="15">
        <v>0</v>
      </c>
      <c r="K667" s="12" t="str">
        <f>HYPERLINK("http://twitter.com","Twitter Web Client")</f>
        <v>Twitter Web Client</v>
      </c>
      <c r="L667" s="16">
        <v>6</v>
      </c>
      <c r="M667" s="16">
        <v>43</v>
      </c>
      <c r="N667" s="16">
        <v>0</v>
      </c>
      <c r="O667" s="17"/>
      <c r="P667" s="18">
        <v>42073.247789351852</v>
      </c>
      <c r="Q667" s="8"/>
      <c r="R667" s="8"/>
      <c r="S667" s="8"/>
      <c r="T667" s="8"/>
      <c r="U667" s="19" t="str">
        <f>HYPERLINK("https://pbs.twimg.com/profile_images/575281322979012609/sBdh8BuY.jpeg","View")</f>
        <v>View</v>
      </c>
      <c r="V667" s="8"/>
      <c r="W667" s="8"/>
      <c r="X667" s="8"/>
      <c r="Y667" s="8"/>
      <c r="Z667" s="8"/>
    </row>
    <row r="668" spans="1:26" ht="12.75">
      <c r="A668" s="11">
        <v>43746.928807870368</v>
      </c>
      <c r="B668" s="12" t="str">
        <f>HYPERLINK("https://twitter.com/aliasir54688004","@aliasir54688004")</f>
        <v>@aliasir54688004</v>
      </c>
      <c r="C668" s="13" t="s">
        <v>3706</v>
      </c>
      <c r="D668" s="13" t="s">
        <v>3707</v>
      </c>
      <c r="E668" s="12" t="str">
        <f>HYPERLINK("https://twitter.com/aliasir54688004/status/1181800830594437120","1181800830594437120")</f>
        <v>1181800830594437120</v>
      </c>
      <c r="F668" s="8"/>
      <c r="G668" s="14" t="s">
        <v>3708</v>
      </c>
      <c r="H668" s="8"/>
      <c r="I668" s="15">
        <v>0</v>
      </c>
      <c r="J668" s="15">
        <v>0</v>
      </c>
      <c r="K668" s="12" t="str">
        <f>HYPERLINK("http://twitter.com","Twitter Web Client")</f>
        <v>Twitter Web Client</v>
      </c>
      <c r="L668" s="16">
        <v>2</v>
      </c>
      <c r="M668" s="16">
        <v>37</v>
      </c>
      <c r="N668" s="16">
        <v>0</v>
      </c>
      <c r="O668" s="17"/>
      <c r="P668" s="18">
        <v>42066.084814814814</v>
      </c>
      <c r="Q668" s="8"/>
      <c r="R668" s="8"/>
      <c r="S668" s="8"/>
      <c r="T668" s="8"/>
      <c r="U668" s="19" t="str">
        <f>HYPERLINK("https://pbs.twimg.com/profile_images/572698963753451520/7GON-kkt.jpeg","View")</f>
        <v>View</v>
      </c>
      <c r="V668" s="8"/>
      <c r="W668" s="8"/>
      <c r="X668" s="8"/>
      <c r="Y668" s="8"/>
      <c r="Z668" s="8"/>
    </row>
    <row r="669" spans="1:26" ht="12.75">
      <c r="A669" s="11">
        <v>43746.926087962958</v>
      </c>
      <c r="B669" s="12" t="str">
        <f>HYPERLINK("https://twitter.com/AlmansourSalieh","@AlmansourSalieh")</f>
        <v>@AlmansourSalieh</v>
      </c>
      <c r="C669" s="13" t="s">
        <v>3709</v>
      </c>
      <c r="D669" s="13" t="s">
        <v>3710</v>
      </c>
      <c r="E669" s="12" t="str">
        <f>HYPERLINK("https://twitter.com/AlmansourSalieh/status/1181799845536894976","1181799845536894976")</f>
        <v>1181799845536894976</v>
      </c>
      <c r="F669" s="8"/>
      <c r="G669" s="14" t="s">
        <v>3711</v>
      </c>
      <c r="H669" s="8"/>
      <c r="I669" s="15">
        <v>0</v>
      </c>
      <c r="J669" s="15">
        <v>0</v>
      </c>
      <c r="K669" s="12" t="str">
        <f>HYPERLINK("http://twitter.com","Twitter Web Client")</f>
        <v>Twitter Web Client</v>
      </c>
      <c r="L669" s="16">
        <v>8</v>
      </c>
      <c r="M669" s="16">
        <v>40</v>
      </c>
      <c r="N669" s="16">
        <v>0</v>
      </c>
      <c r="O669" s="17"/>
      <c r="P669" s="18">
        <v>42073.72179398148</v>
      </c>
      <c r="Q669" s="8"/>
      <c r="R669" s="8"/>
      <c r="S669" s="8"/>
      <c r="T669" s="8"/>
      <c r="U669" s="19" t="str">
        <f>HYPERLINK("https://pbs.twimg.com/profile_images/575454037258076160/T8fOGUl0.jpeg","View")</f>
        <v>View</v>
      </c>
      <c r="V669" s="8"/>
      <c r="W669" s="8"/>
      <c r="X669" s="8"/>
      <c r="Y669" s="8"/>
      <c r="Z669" s="8"/>
    </row>
    <row r="670" spans="1:26" ht="12.75">
      <c r="A670" s="11">
        <v>43746.925347222219</v>
      </c>
      <c r="B670" s="12" t="str">
        <f>HYPERLINK("https://twitter.com/tallal_el3tebbe","@tallal_el3tebbe")</f>
        <v>@tallal_el3tebbe</v>
      </c>
      <c r="C670" s="13" t="s">
        <v>3716</v>
      </c>
      <c r="D670" s="13" t="s">
        <v>3717</v>
      </c>
      <c r="E670" s="12" t="str">
        <f>HYPERLINK("https://twitter.com/tallal_el3tebbe/status/1181799577013370880","1181799577013370880")</f>
        <v>1181799577013370880</v>
      </c>
      <c r="F670" s="8"/>
      <c r="G670" s="14" t="s">
        <v>3718</v>
      </c>
      <c r="H670" s="8"/>
      <c r="I670" s="15">
        <v>0</v>
      </c>
      <c r="J670" s="15">
        <v>0</v>
      </c>
      <c r="K670" s="12" t="str">
        <f>HYPERLINK("http://twitter.com","Twitter Web Client")</f>
        <v>Twitter Web Client</v>
      </c>
      <c r="L670" s="16">
        <v>3</v>
      </c>
      <c r="M670" s="16">
        <v>33</v>
      </c>
      <c r="N670" s="16">
        <v>0</v>
      </c>
      <c r="O670" s="17"/>
      <c r="P670" s="18">
        <v>41845.354432870372</v>
      </c>
      <c r="Q670" s="8"/>
      <c r="R670" s="8"/>
      <c r="S670" s="8"/>
      <c r="T670" s="8"/>
      <c r="U670" s="19" t="str">
        <f>HYPERLINK("https://pbs.twimg.com/profile_images/493446706545958913/gbmA29rJ.jpeg","View")</f>
        <v>View</v>
      </c>
      <c r="V670" s="8"/>
      <c r="W670" s="8"/>
      <c r="X670" s="8"/>
      <c r="Y670" s="8"/>
      <c r="Z670" s="8"/>
    </row>
    <row r="671" spans="1:26" ht="12.75">
      <c r="A671" s="11">
        <v>43746.923958333333</v>
      </c>
      <c r="B671" s="12" t="str">
        <f>HYPERLINK("https://twitter.com/alsalale_6556","@alsalale_6556")</f>
        <v>@alsalale_6556</v>
      </c>
      <c r="C671" s="13" t="s">
        <v>3719</v>
      </c>
      <c r="D671" s="13" t="s">
        <v>3720</v>
      </c>
      <c r="E671" s="12" t="str">
        <f>HYPERLINK("https://twitter.com/alsalale_6556/status/1181799074711982081","1181799074711982081")</f>
        <v>1181799074711982081</v>
      </c>
      <c r="F671" s="8"/>
      <c r="G671" s="14" t="s">
        <v>3723</v>
      </c>
      <c r="H671" s="8"/>
      <c r="I671" s="15">
        <v>0</v>
      </c>
      <c r="J671" s="15">
        <v>0</v>
      </c>
      <c r="K671" s="12" t="str">
        <f>HYPERLINK("http://twitter.com","Twitter Web Client")</f>
        <v>Twitter Web Client</v>
      </c>
      <c r="L671" s="16">
        <v>9</v>
      </c>
      <c r="M671" s="16">
        <v>43</v>
      </c>
      <c r="N671" s="16">
        <v>0</v>
      </c>
      <c r="O671" s="17"/>
      <c r="P671" s="18">
        <v>42075.238900462966</v>
      </c>
      <c r="Q671" s="8"/>
      <c r="R671" s="13"/>
      <c r="S671" s="8"/>
      <c r="T671" s="8"/>
      <c r="U671" s="19" t="str">
        <f>HYPERLINK("https://pbs.twimg.com/profile_images/576000833344548864/X3sZlqpe.jpeg","View")</f>
        <v>View</v>
      </c>
      <c r="V671" s="8"/>
      <c r="W671" s="8"/>
      <c r="X671" s="8"/>
      <c r="Y671" s="8"/>
      <c r="Z671" s="8"/>
    </row>
    <row r="672" spans="1:26" ht="12.75">
      <c r="A672" s="11">
        <v>43746.923101851848</v>
      </c>
      <c r="B672" s="12" t="str">
        <f>HYPERLINK("https://twitter.com/mohmed_harbee","@mohmed_harbee")</f>
        <v>@mohmed_harbee</v>
      </c>
      <c r="C672" s="13" t="s">
        <v>3725</v>
      </c>
      <c r="D672" s="13" t="s">
        <v>3726</v>
      </c>
      <c r="E672" s="12" t="str">
        <f>HYPERLINK("https://twitter.com/mohmed_harbee/status/1181798762034991104","1181798762034991104")</f>
        <v>1181798762034991104</v>
      </c>
      <c r="F672" s="8"/>
      <c r="G672" s="14" t="s">
        <v>3727</v>
      </c>
      <c r="H672" s="8"/>
      <c r="I672" s="15">
        <v>0</v>
      </c>
      <c r="J672" s="15">
        <v>0</v>
      </c>
      <c r="K672" s="12" t="str">
        <f>HYPERLINK("http://twitter.com","Twitter Web Client")</f>
        <v>Twitter Web Client</v>
      </c>
      <c r="L672" s="16">
        <v>9</v>
      </c>
      <c r="M672" s="16">
        <v>34</v>
      </c>
      <c r="N672" s="16">
        <v>0</v>
      </c>
      <c r="O672" s="17"/>
      <c r="P672" s="18">
        <v>41845.614525462966</v>
      </c>
      <c r="Q672" s="8"/>
      <c r="R672" s="8"/>
      <c r="S672" s="8"/>
      <c r="T672" s="8"/>
      <c r="U672" s="19" t="str">
        <f>HYPERLINK("https://pbs.twimg.com/profile_images/494200713602297859/D-QxTQOH.jpeg","View")</f>
        <v>View</v>
      </c>
      <c r="V672" s="8"/>
      <c r="W672" s="8"/>
      <c r="X672" s="8"/>
      <c r="Y672" s="8"/>
      <c r="Z672" s="8"/>
    </row>
    <row r="673" spans="1:26" ht="12.75">
      <c r="A673" s="11">
        <v>43746.92260416667</v>
      </c>
      <c r="B673" s="12" t="str">
        <f>HYPERLINK("https://twitter.com/badhswyan65","@badhswyan65")</f>
        <v>@badhswyan65</v>
      </c>
      <c r="C673" s="13" t="s">
        <v>3730</v>
      </c>
      <c r="D673" s="13" t="s">
        <v>3731</v>
      </c>
      <c r="E673" s="12" t="str">
        <f>HYPERLINK("https://twitter.com/badhswyan65/status/1181798584540377089","1181798584540377089")</f>
        <v>1181798584540377089</v>
      </c>
      <c r="F673" s="8"/>
      <c r="G673" s="14" t="s">
        <v>3732</v>
      </c>
      <c r="H673" s="8"/>
      <c r="I673" s="15">
        <v>0</v>
      </c>
      <c r="J673" s="15">
        <v>0</v>
      </c>
      <c r="K673" s="12" t="str">
        <f>HYPERLINK("http://twitter.com","Twitter Web Client")</f>
        <v>Twitter Web Client</v>
      </c>
      <c r="L673" s="16">
        <v>1</v>
      </c>
      <c r="M673" s="16">
        <v>32</v>
      </c>
      <c r="N673" s="16">
        <v>0</v>
      </c>
      <c r="O673" s="17"/>
      <c r="P673" s="18">
        <v>42065.22655092593</v>
      </c>
      <c r="Q673" s="8"/>
      <c r="R673" s="8"/>
      <c r="S673" s="8"/>
      <c r="T673" s="8"/>
      <c r="U673" s="19" t="str">
        <f>HYPERLINK("https://pbs.twimg.com/profile_images/572387723458015232/wXpfi7Se.jpeg","View")</f>
        <v>View</v>
      </c>
      <c r="V673" s="8"/>
      <c r="W673" s="8"/>
      <c r="X673" s="8"/>
      <c r="Y673" s="8"/>
      <c r="Z673" s="8"/>
    </row>
    <row r="674" spans="1:26" ht="12.75">
      <c r="A674" s="11">
        <v>43746.921493055561</v>
      </c>
      <c r="B674" s="12" t="str">
        <f>HYPERLINK("https://twitter.com/dheifallahlaou1","@dheifallahlaou1")</f>
        <v>@dheifallahlaou1</v>
      </c>
      <c r="C674" s="13" t="s">
        <v>3735</v>
      </c>
      <c r="D674" s="13" t="s">
        <v>3736</v>
      </c>
      <c r="E674" s="12" t="str">
        <f>HYPERLINK("https://twitter.com/dheifallahlaou1/status/1181798179098021888","1181798179098021888")</f>
        <v>1181798179098021888</v>
      </c>
      <c r="F674" s="8"/>
      <c r="G674" s="14" t="s">
        <v>3737</v>
      </c>
      <c r="H674" s="8"/>
      <c r="I674" s="15">
        <v>0</v>
      </c>
      <c r="J674" s="15">
        <v>0</v>
      </c>
      <c r="K674" s="12" t="str">
        <f>HYPERLINK("http://twitter.com","Twitter Web Client")</f>
        <v>Twitter Web Client</v>
      </c>
      <c r="L674" s="16">
        <v>0</v>
      </c>
      <c r="M674" s="16">
        <v>36</v>
      </c>
      <c r="N674" s="16">
        <v>0</v>
      </c>
      <c r="O674" s="17"/>
      <c r="P674" s="18">
        <v>42021.65116898148</v>
      </c>
      <c r="Q674" s="8"/>
      <c r="R674" s="8"/>
      <c r="S674" s="8"/>
      <c r="T674" s="8"/>
      <c r="U674" s="19" t="str">
        <f>HYPERLINK("https://pbs.twimg.com/profile_images/556596907019993088/8lVBIZru.jpeg","View")</f>
        <v>View</v>
      </c>
      <c r="V674" s="8"/>
      <c r="W674" s="8"/>
      <c r="X674" s="8"/>
      <c r="Y674" s="8"/>
      <c r="Z674" s="8"/>
    </row>
    <row r="675" spans="1:26" ht="12.75">
      <c r="A675" s="11">
        <v>43746.920138888891</v>
      </c>
      <c r="B675" s="12" t="str">
        <f>HYPERLINK("https://twitter.com/MhmdAshoor","@MhmdAshoor")</f>
        <v>@MhmdAshoor</v>
      </c>
      <c r="C675" s="13" t="s">
        <v>3739</v>
      </c>
      <c r="D675" s="13" t="s">
        <v>3740</v>
      </c>
      <c r="E675" s="12" t="str">
        <f>HYPERLINK("https://twitter.com/MhmdAshoor/status/1181797688213413889","1181797688213413889")</f>
        <v>1181797688213413889</v>
      </c>
      <c r="F675" s="8"/>
      <c r="G675" s="14" t="s">
        <v>3742</v>
      </c>
      <c r="H675" s="8"/>
      <c r="I675" s="15">
        <v>0</v>
      </c>
      <c r="J675" s="15">
        <v>0</v>
      </c>
      <c r="K675" s="12" t="str">
        <f>HYPERLINK("http://twitter.com","Twitter Web Client")</f>
        <v>Twitter Web Client</v>
      </c>
      <c r="L675" s="16">
        <v>0</v>
      </c>
      <c r="M675" s="16">
        <v>29</v>
      </c>
      <c r="N675" s="16">
        <v>0</v>
      </c>
      <c r="O675" s="17"/>
      <c r="P675" s="18">
        <v>41829.351400462961</v>
      </c>
      <c r="Q675" s="8"/>
      <c r="R675" s="8"/>
      <c r="S675" s="8"/>
      <c r="T675" s="8"/>
      <c r="U675" s="19" t="str">
        <f>HYPERLINK("https://pbs.twimg.com/profile_images/486894218107817986/fYQMzkVS.jpeg","View")</f>
        <v>View</v>
      </c>
      <c r="V675" s="8"/>
      <c r="W675" s="8"/>
      <c r="X675" s="8"/>
      <c r="Y675" s="8"/>
      <c r="Z675" s="8"/>
    </row>
    <row r="676" spans="1:26" ht="12.75">
      <c r="A676" s="11">
        <v>43746.917766203704</v>
      </c>
      <c r="B676" s="12" t="str">
        <f>HYPERLINK("https://twitter.com/anzibeshr2015","@anzibeshr2015")</f>
        <v>@anzibeshr2015</v>
      </c>
      <c r="C676" s="13" t="s">
        <v>3745</v>
      </c>
      <c r="D676" s="13" t="s">
        <v>3746</v>
      </c>
      <c r="E676" s="12" t="str">
        <f>HYPERLINK("https://twitter.com/anzibeshr2015/status/1181796827366068229","1181796827366068229")</f>
        <v>1181796827366068229</v>
      </c>
      <c r="F676" s="8"/>
      <c r="G676" s="14" t="s">
        <v>3747</v>
      </c>
      <c r="H676" s="8"/>
      <c r="I676" s="15">
        <v>0</v>
      </c>
      <c r="J676" s="15">
        <v>0</v>
      </c>
      <c r="K676" s="12" t="str">
        <f>HYPERLINK("http://twitter.com","Twitter Web Client")</f>
        <v>Twitter Web Client</v>
      </c>
      <c r="L676" s="16">
        <v>0</v>
      </c>
      <c r="M676" s="16">
        <v>34</v>
      </c>
      <c r="N676" s="16">
        <v>0</v>
      </c>
      <c r="O676" s="17"/>
      <c r="P676" s="18">
        <v>41849.183518518519</v>
      </c>
      <c r="Q676" s="8"/>
      <c r="R676" s="8"/>
      <c r="S676" s="8"/>
      <c r="T676" s="8"/>
      <c r="U676" s="19" t="str">
        <f>HYPERLINK("https://pbs.twimg.com/profile_images/494081211245940736/Gc0vDEvR.jpeg","View")</f>
        <v>View</v>
      </c>
      <c r="V676" s="8"/>
      <c r="W676" s="8"/>
      <c r="X676" s="8"/>
      <c r="Y676" s="8"/>
      <c r="Z676" s="8"/>
    </row>
    <row r="677" spans="1:26" ht="12.75">
      <c r="A677" s="11">
        <v>43746.917256944449</v>
      </c>
      <c r="B677" s="12" t="str">
        <f>HYPERLINK("https://twitter.com/alanaze_66","@alanaze_66")</f>
        <v>@alanaze_66</v>
      </c>
      <c r="C677" s="13" t="s">
        <v>3751</v>
      </c>
      <c r="D677" s="13" t="s">
        <v>3752</v>
      </c>
      <c r="E677" s="12" t="str">
        <f>HYPERLINK("https://twitter.com/alanaze_66/status/1181796645534613504","1181796645534613504")</f>
        <v>1181796645534613504</v>
      </c>
      <c r="F677" s="8"/>
      <c r="G677" s="14" t="s">
        <v>3753</v>
      </c>
      <c r="H677" s="8"/>
      <c r="I677" s="15">
        <v>0</v>
      </c>
      <c r="J677" s="15">
        <v>0</v>
      </c>
      <c r="K677" s="12" t="str">
        <f>HYPERLINK("http://twitter.com","Twitter Web Client")</f>
        <v>Twitter Web Client</v>
      </c>
      <c r="L677" s="16">
        <v>2</v>
      </c>
      <c r="M677" s="16">
        <v>37</v>
      </c>
      <c r="N677" s="16">
        <v>0</v>
      </c>
      <c r="O677" s="17"/>
      <c r="P677" s="18">
        <v>42074.621238425927</v>
      </c>
      <c r="Q677" s="8"/>
      <c r="R677" s="8"/>
      <c r="S677" s="8"/>
      <c r="T677" s="8"/>
      <c r="U677" s="19" t="str">
        <f>HYPERLINK("https://pbs.twimg.com/profile_images/575777104345722880/GKAwTDA0.jpeg","View")</f>
        <v>View</v>
      </c>
      <c r="V677" s="8"/>
      <c r="W677" s="8"/>
      <c r="X677" s="8"/>
      <c r="Y677" s="8"/>
      <c r="Z677" s="8"/>
    </row>
    <row r="678" spans="1:26" ht="12.75">
      <c r="A678" s="11">
        <v>43746.916689814811</v>
      </c>
      <c r="B678" s="12" t="str">
        <f>HYPERLINK("https://twitter.com/correct_1","@correct_1")</f>
        <v>@correct_1</v>
      </c>
      <c r="C678" s="13" t="s">
        <v>3756</v>
      </c>
      <c r="D678" s="13" t="s">
        <v>3757</v>
      </c>
      <c r="E678" s="12" t="str">
        <f>HYPERLINK("https://twitter.com/correct_1/status/1181796441272078337","1181796441272078337")</f>
        <v>1181796441272078337</v>
      </c>
      <c r="F678" s="8"/>
      <c r="G678" s="15"/>
      <c r="H678" s="8"/>
      <c r="I678" s="15">
        <v>0</v>
      </c>
      <c r="J678" s="15">
        <v>0</v>
      </c>
      <c r="K678" s="12" t="str">
        <f>HYPERLINK("https://ifttt.com","IFTTT")</f>
        <v>IFTTT</v>
      </c>
      <c r="L678" s="16">
        <v>203</v>
      </c>
      <c r="M678" s="16">
        <v>704</v>
      </c>
      <c r="N678" s="16">
        <v>0</v>
      </c>
      <c r="O678" s="17"/>
      <c r="P678" s="18">
        <v>43046.176527777774</v>
      </c>
      <c r="Q678" s="8" t="s">
        <v>1804</v>
      </c>
      <c r="R678" s="8" t="s">
        <v>3761</v>
      </c>
      <c r="S678" s="8"/>
      <c r="T678" s="8"/>
      <c r="U678" s="19" t="str">
        <f>HYPERLINK("https://pbs.twimg.com/profile_images/943147622189056000/VBI85nal.jpg","View")</f>
        <v>View</v>
      </c>
      <c r="V678" s="8"/>
      <c r="W678" s="8"/>
      <c r="X678" s="8"/>
      <c r="Y678" s="8"/>
      <c r="Z678" s="8"/>
    </row>
    <row r="679" spans="1:26" ht="12.75">
      <c r="A679" s="11">
        <v>43746.916342592594</v>
      </c>
      <c r="B679" s="12" t="str">
        <f>HYPERLINK("https://twitter.com/albrakahmed2","@albrakahmed2")</f>
        <v>@albrakahmed2</v>
      </c>
      <c r="C679" s="13" t="s">
        <v>3762</v>
      </c>
      <c r="D679" s="13" t="s">
        <v>3763</v>
      </c>
      <c r="E679" s="12" t="str">
        <f>HYPERLINK("https://twitter.com/albrakahmed2/status/1181796313005989888","1181796313005989888")</f>
        <v>1181796313005989888</v>
      </c>
      <c r="F679" s="8"/>
      <c r="G679" s="14" t="s">
        <v>3765</v>
      </c>
      <c r="H679" s="8"/>
      <c r="I679" s="15">
        <v>0</v>
      </c>
      <c r="J679" s="15">
        <v>0</v>
      </c>
      <c r="K679" s="12" t="str">
        <f>HYPERLINK("http://twitter.com","Twitter Web Client")</f>
        <v>Twitter Web Client</v>
      </c>
      <c r="L679" s="16">
        <v>5</v>
      </c>
      <c r="M679" s="16">
        <v>36</v>
      </c>
      <c r="N679" s="16">
        <v>0</v>
      </c>
      <c r="O679" s="17"/>
      <c r="P679" s="18">
        <v>42078.692337962959</v>
      </c>
      <c r="Q679" s="8"/>
      <c r="R679" s="8"/>
      <c r="S679" s="8"/>
      <c r="T679" s="8"/>
      <c r="U679" s="19" t="str">
        <f>HYPERLINK("https://pbs.twimg.com/profile_images/577273573930180608/m3sjvEH3.jpeg","View")</f>
        <v>View</v>
      </c>
      <c r="V679" s="8"/>
      <c r="W679" s="8"/>
      <c r="X679" s="8"/>
      <c r="Y679" s="8"/>
      <c r="Z679" s="8"/>
    </row>
    <row r="680" spans="1:26" ht="12.75">
      <c r="A680" s="11">
        <v>43746.914224537039</v>
      </c>
      <c r="B680" s="12" t="str">
        <f>HYPERLINK("https://twitter.com/khalidb50233508","@khalidb50233508")</f>
        <v>@khalidb50233508</v>
      </c>
      <c r="C680" s="13" t="s">
        <v>3770</v>
      </c>
      <c r="D680" s="13" t="s">
        <v>3771</v>
      </c>
      <c r="E680" s="12" t="str">
        <f>HYPERLINK("https://twitter.com/khalidb50233508/status/1181795545888776194","1181795545888776194")</f>
        <v>1181795545888776194</v>
      </c>
      <c r="F680" s="8"/>
      <c r="G680" s="14" t="s">
        <v>3773</v>
      </c>
      <c r="H680" s="8"/>
      <c r="I680" s="15">
        <v>0</v>
      </c>
      <c r="J680" s="15">
        <v>0</v>
      </c>
      <c r="K680" s="12" t="str">
        <f>HYPERLINK("http://twitter.com","Twitter Web Client")</f>
        <v>Twitter Web Client</v>
      </c>
      <c r="L680" s="16">
        <v>4</v>
      </c>
      <c r="M680" s="16">
        <v>34</v>
      </c>
      <c r="N680" s="16">
        <v>0</v>
      </c>
      <c r="O680" s="17"/>
      <c r="P680" s="18">
        <v>42083.611504629633</v>
      </c>
      <c r="Q680" s="8"/>
      <c r="R680" s="8"/>
      <c r="S680" s="8"/>
      <c r="T680" s="8"/>
      <c r="U680" s="20" t="s">
        <v>354</v>
      </c>
      <c r="V680" s="8"/>
      <c r="W680" s="8"/>
      <c r="X680" s="8"/>
      <c r="Y680" s="8"/>
      <c r="Z680" s="8"/>
    </row>
    <row r="681" spans="1:26" ht="12.75">
      <c r="A681" s="11">
        <v>43746.912233796298</v>
      </c>
      <c r="B681" s="12" t="str">
        <f>HYPERLINK("https://twitter.com/alwada3iie4","@alwada3iie4")</f>
        <v>@alwada3iie4</v>
      </c>
      <c r="C681" s="13" t="s">
        <v>3775</v>
      </c>
      <c r="D681" s="7" t="s">
        <v>3776</v>
      </c>
      <c r="E681" s="12" t="str">
        <f>HYPERLINK("https://twitter.com/alwada3iie4/status/1181794822912450560","1181794822912450560")</f>
        <v>1181794822912450560</v>
      </c>
      <c r="F681" s="8"/>
      <c r="G681" s="14" t="s">
        <v>3777</v>
      </c>
      <c r="H681" s="8"/>
      <c r="I681" s="15">
        <v>0</v>
      </c>
      <c r="J681" s="15">
        <v>0</v>
      </c>
      <c r="K681" s="12" t="str">
        <f>HYPERLINK("http://twitter.com","Twitter Web Client")</f>
        <v>Twitter Web Client</v>
      </c>
      <c r="L681" s="16">
        <v>3</v>
      </c>
      <c r="M681" s="16">
        <v>63</v>
      </c>
      <c r="N681" s="16">
        <v>0</v>
      </c>
      <c r="O681" s="17"/>
      <c r="P681" s="18">
        <v>42071.719398148147</v>
      </c>
      <c r="Q681" s="7"/>
      <c r="R681" s="7"/>
      <c r="S681" s="15"/>
      <c r="T681" s="8"/>
      <c r="U681" s="19" t="str">
        <f>HYPERLINK("https://pbs.twimg.com/profile_images/574725459268644864/_oNfLYeF.jpeg","View")</f>
        <v>View</v>
      </c>
      <c r="V681" s="8"/>
      <c r="W681" s="8"/>
      <c r="X681" s="8"/>
      <c r="Y681" s="8"/>
      <c r="Z681" s="8"/>
    </row>
    <row r="682" spans="1:26" ht="12.75">
      <c r="A682" s="11">
        <v>43746.91024305555</v>
      </c>
      <c r="B682" s="12" t="str">
        <f>HYPERLINK("https://twitter.com/Skhamis","@Skhamis")</f>
        <v>@Skhamis</v>
      </c>
      <c r="C682" s="13" t="s">
        <v>3781</v>
      </c>
      <c r="D682" s="13" t="s">
        <v>3782</v>
      </c>
      <c r="E682" s="12" t="str">
        <f>HYPERLINK("https://twitter.com/Skhamis/status/1181794102452592640","1181794102452592640")</f>
        <v>1181794102452592640</v>
      </c>
      <c r="F682" s="14" t="s">
        <v>3783</v>
      </c>
      <c r="G682" s="14" t="s">
        <v>3786</v>
      </c>
      <c r="H682" s="8"/>
      <c r="I682" s="15">
        <v>0</v>
      </c>
      <c r="J682" s="15">
        <v>1</v>
      </c>
      <c r="K682" s="12" t="str">
        <f>HYPERLINK("http://twitter.com/download/android","Twitter for Android")</f>
        <v>Twitter for Android</v>
      </c>
      <c r="L682" s="16">
        <v>1860</v>
      </c>
      <c r="M682" s="16">
        <v>4998</v>
      </c>
      <c r="N682" s="16">
        <v>24</v>
      </c>
      <c r="O682" s="17"/>
      <c r="P682" s="18">
        <v>39961.370868055557</v>
      </c>
      <c r="Q682" s="8" t="s">
        <v>3790</v>
      </c>
      <c r="R682" s="8" t="s">
        <v>3791</v>
      </c>
      <c r="S682" s="8"/>
      <c r="T682" s="8"/>
      <c r="U682" s="19" t="str">
        <f>HYPERLINK("https://pbs.twimg.com/profile_images/1637157435/Dr_Sahar_1_.jpg","View")</f>
        <v>View</v>
      </c>
      <c r="V682" s="8"/>
      <c r="W682" s="8"/>
      <c r="X682" s="8"/>
      <c r="Y682" s="8"/>
      <c r="Z682" s="8"/>
    </row>
    <row r="683" spans="1:26" ht="12.75">
      <c r="A683" s="11">
        <v>43746.905856481477</v>
      </c>
      <c r="B683" s="12" t="str">
        <f>HYPERLINK("https://twitter.com/ahmedalawad8","@ahmedalawad8")</f>
        <v>@ahmedalawad8</v>
      </c>
      <c r="C683" s="13" t="s">
        <v>3792</v>
      </c>
      <c r="D683" s="13" t="s">
        <v>3793</v>
      </c>
      <c r="E683" s="12" t="str">
        <f>HYPERLINK("https://twitter.com/ahmedalawad8/status/1181792515462184960","1181792515462184960")</f>
        <v>1181792515462184960</v>
      </c>
      <c r="F683" s="8"/>
      <c r="G683" s="14" t="s">
        <v>3794</v>
      </c>
      <c r="H683" s="8"/>
      <c r="I683" s="15">
        <v>0</v>
      </c>
      <c r="J683" s="15">
        <v>0</v>
      </c>
      <c r="K683" s="12" t="str">
        <f>HYPERLINK("http://twitter.com","Twitter Web Client")</f>
        <v>Twitter Web Client</v>
      </c>
      <c r="L683" s="16">
        <v>1</v>
      </c>
      <c r="M683" s="16">
        <v>41</v>
      </c>
      <c r="N683" s="16">
        <v>0</v>
      </c>
      <c r="O683" s="17"/>
      <c r="P683" s="18">
        <v>42071.160833333328</v>
      </c>
      <c r="Q683" s="8"/>
      <c r="R683" s="8"/>
      <c r="S683" s="8"/>
      <c r="T683" s="8"/>
      <c r="U683" s="19" t="str">
        <f>HYPERLINK("https://pbs.twimg.com/profile_images/574524682394730496/AvcKggcp.jpeg","View")</f>
        <v>View</v>
      </c>
      <c r="V683" s="8"/>
      <c r="W683" s="8"/>
      <c r="X683" s="8"/>
      <c r="Y683" s="8"/>
      <c r="Z683" s="8"/>
    </row>
    <row r="684" spans="1:26" ht="12.75">
      <c r="A684" s="11">
        <v>43746.901643518519</v>
      </c>
      <c r="B684" s="12" t="str">
        <f>HYPERLINK("https://twitter.com/alkoraniie7854","@alkoraniie7854")</f>
        <v>@alkoraniie7854</v>
      </c>
      <c r="C684" s="7" t="s">
        <v>3797</v>
      </c>
      <c r="D684" s="7" t="s">
        <v>3798</v>
      </c>
      <c r="E684" s="12" t="str">
        <f>HYPERLINK("https://twitter.com/alkoraniie7854/status/1181790986562879489","1181790986562879489")</f>
        <v>1181790986562879489</v>
      </c>
      <c r="F684" s="8"/>
      <c r="G684" s="14" t="s">
        <v>3799</v>
      </c>
      <c r="H684" s="8"/>
      <c r="I684" s="15">
        <v>0</v>
      </c>
      <c r="J684" s="15">
        <v>0</v>
      </c>
      <c r="K684" s="12" t="str">
        <f>HYPERLINK("http://twitter.com","Twitter Web Client")</f>
        <v>Twitter Web Client</v>
      </c>
      <c r="L684" s="16">
        <v>1</v>
      </c>
      <c r="M684" s="16">
        <v>33</v>
      </c>
      <c r="N684" s="16">
        <v>0</v>
      </c>
      <c r="O684" s="17"/>
      <c r="P684" s="18">
        <v>42071.47555555556</v>
      </c>
      <c r="Q684" s="7"/>
      <c r="R684" s="7"/>
      <c r="S684" s="8"/>
      <c r="T684" s="8"/>
      <c r="U684" s="19" t="str">
        <f>HYPERLINK("https://pbs.twimg.com/profile_images/574637085237243904/H8nNDbIQ.jpeg","View")</f>
        <v>View</v>
      </c>
      <c r="V684" s="8"/>
      <c r="W684" s="8"/>
      <c r="X684" s="8"/>
      <c r="Y684" s="8"/>
      <c r="Z684" s="8"/>
    </row>
    <row r="685" spans="1:26" ht="12.75">
      <c r="A685" s="11">
        <v>43746.900844907403</v>
      </c>
      <c r="B685" s="12" t="str">
        <f>HYPERLINK("https://twitter.com/naseeer4544","@naseeer4544")</f>
        <v>@naseeer4544</v>
      </c>
      <c r="C685" s="13" t="s">
        <v>3803</v>
      </c>
      <c r="D685" s="13" t="s">
        <v>3804</v>
      </c>
      <c r="E685" s="12" t="str">
        <f>HYPERLINK("https://twitter.com/naseeer4544/status/1181790696245780480","1181790696245780480")</f>
        <v>1181790696245780480</v>
      </c>
      <c r="F685" s="8"/>
      <c r="G685" s="14" t="s">
        <v>3805</v>
      </c>
      <c r="H685" s="8"/>
      <c r="I685" s="15">
        <v>0</v>
      </c>
      <c r="J685" s="15">
        <v>0</v>
      </c>
      <c r="K685" s="12" t="str">
        <f>HYPERLINK("http://twitter.com","Twitter Web Client")</f>
        <v>Twitter Web Client</v>
      </c>
      <c r="L685" s="16">
        <v>7</v>
      </c>
      <c r="M685" s="16">
        <v>43</v>
      </c>
      <c r="N685" s="16">
        <v>0</v>
      </c>
      <c r="O685" s="17"/>
      <c r="P685" s="18">
        <v>42075.247974537036</v>
      </c>
      <c r="Q685" s="8"/>
      <c r="R685" s="8"/>
      <c r="S685" s="8"/>
      <c r="T685" s="8"/>
      <c r="U685" s="19" t="str">
        <f>HYPERLINK("https://pbs.twimg.com/profile_images/576004129920696320/BQ4UgvLy.jpeg","View")</f>
        <v>View</v>
      </c>
      <c r="V685" s="8"/>
      <c r="W685" s="8"/>
      <c r="X685" s="8"/>
      <c r="Y685" s="8"/>
      <c r="Z685" s="8"/>
    </row>
    <row r="686" spans="1:26" ht="12.75">
      <c r="A686" s="11">
        <v>43746.899641203709</v>
      </c>
      <c r="B686" s="12" t="str">
        <f>HYPERLINK("https://twitter.com/ALAhli_Live2","@ALAhli_Live2")</f>
        <v>@ALAhli_Live2</v>
      </c>
      <c r="C686" s="13" t="s">
        <v>3810</v>
      </c>
      <c r="D686" s="13" t="s">
        <v>3811</v>
      </c>
      <c r="E686" s="12" t="str">
        <f>HYPERLINK("https://twitter.com/ALAhli_Live2/status/1181790261644578817","1181790261644578817")</f>
        <v>1181790261644578817</v>
      </c>
      <c r="F686" s="8"/>
      <c r="G686" s="14" t="s">
        <v>3812</v>
      </c>
      <c r="H686" s="8"/>
      <c r="I686" s="15">
        <v>0</v>
      </c>
      <c r="J686" s="15">
        <v>0</v>
      </c>
      <c r="K686" s="12" t="str">
        <f>HYPERLINK("http://twitter.com","Twitter Web Client")</f>
        <v>Twitter Web Client</v>
      </c>
      <c r="L686" s="16">
        <v>22</v>
      </c>
      <c r="M686" s="16">
        <v>48</v>
      </c>
      <c r="N686" s="16">
        <v>0</v>
      </c>
      <c r="O686" s="17"/>
      <c r="P686" s="18">
        <v>41482.553657407407</v>
      </c>
      <c r="Q686" s="8"/>
      <c r="R686" s="8" t="s">
        <v>3813</v>
      </c>
      <c r="S686" s="8"/>
      <c r="T686" s="8"/>
      <c r="U686" s="19" t="str">
        <f>HYPERLINK("https://pbs.twimg.com/profile_images/825009803571363841/gvFESbGk.jpg","View")</f>
        <v>View</v>
      </c>
      <c r="V686" s="8"/>
      <c r="W686" s="8"/>
      <c r="X686" s="8"/>
      <c r="Y686" s="8"/>
      <c r="Z686" s="8"/>
    </row>
    <row r="687" spans="1:26" ht="12.75">
      <c r="A687" s="11">
        <v>43746.898310185185</v>
      </c>
      <c r="B687" s="12" t="str">
        <f>HYPERLINK("https://twitter.com/AlfrhanSamir","@AlfrhanSamir")</f>
        <v>@AlfrhanSamir</v>
      </c>
      <c r="C687" s="13" t="s">
        <v>3817</v>
      </c>
      <c r="D687" s="13" t="s">
        <v>3818</v>
      </c>
      <c r="E687" s="12" t="str">
        <f>HYPERLINK("https://twitter.com/AlfrhanSamir/status/1181789780377575424","1181789780377575424")</f>
        <v>1181789780377575424</v>
      </c>
      <c r="F687" s="8"/>
      <c r="G687" s="14" t="s">
        <v>3819</v>
      </c>
      <c r="H687" s="8"/>
      <c r="I687" s="15">
        <v>0</v>
      </c>
      <c r="J687" s="15">
        <v>0</v>
      </c>
      <c r="K687" s="12" t="str">
        <f>HYPERLINK("http://twitter.com","Twitter Web Client")</f>
        <v>Twitter Web Client</v>
      </c>
      <c r="L687" s="16">
        <v>2</v>
      </c>
      <c r="M687" s="16">
        <v>39</v>
      </c>
      <c r="N687" s="16">
        <v>0</v>
      </c>
      <c r="O687" s="17"/>
      <c r="P687" s="18">
        <v>42073.239386574074</v>
      </c>
      <c r="Q687" s="8"/>
      <c r="R687" s="8"/>
      <c r="S687" s="8"/>
      <c r="T687" s="8"/>
      <c r="U687" s="19" t="str">
        <f>HYPERLINK("https://pbs.twimg.com/profile_images/575293745320435712/CtbfcnOZ.jpeg","View")</f>
        <v>View</v>
      </c>
      <c r="V687" s="8"/>
      <c r="W687" s="8"/>
      <c r="X687" s="8"/>
      <c r="Y687" s="8"/>
      <c r="Z687" s="8"/>
    </row>
    <row r="688" spans="1:26" ht="12.75">
      <c r="A688" s="11">
        <v>43746.897118055553</v>
      </c>
      <c r="B688" s="12" t="str">
        <f>HYPERLINK("https://twitter.com/mosfersmar","@mosfersmar")</f>
        <v>@mosfersmar</v>
      </c>
      <c r="C688" s="13" t="s">
        <v>3823</v>
      </c>
      <c r="D688" s="13" t="s">
        <v>3824</v>
      </c>
      <c r="E688" s="12" t="str">
        <f>HYPERLINK("https://twitter.com/mosfersmar/status/1181789347265339392","1181789347265339392")</f>
        <v>1181789347265339392</v>
      </c>
      <c r="F688" s="8"/>
      <c r="G688" s="14" t="s">
        <v>3825</v>
      </c>
      <c r="H688" s="8"/>
      <c r="I688" s="15">
        <v>0</v>
      </c>
      <c r="J688" s="15">
        <v>0</v>
      </c>
      <c r="K688" s="12" t="str">
        <f>HYPERLINK("http://twitter.com","Twitter Web Client")</f>
        <v>Twitter Web Client</v>
      </c>
      <c r="L688" s="16">
        <v>1</v>
      </c>
      <c r="M688" s="16">
        <v>43</v>
      </c>
      <c r="N688" s="16">
        <v>0</v>
      </c>
      <c r="O688" s="17"/>
      <c r="P688" s="18">
        <v>42074.773854166662</v>
      </c>
      <c r="Q688" s="8"/>
      <c r="R688" s="8"/>
      <c r="S688" s="8"/>
      <c r="T688" s="8"/>
      <c r="U688" s="19" t="str">
        <f>HYPERLINK("https://pbs.twimg.com/profile_images/575832576683732992/6rtzh8G6.jpeg","View")</f>
        <v>View</v>
      </c>
      <c r="V688" s="8"/>
      <c r="W688" s="8"/>
      <c r="X688" s="8"/>
      <c r="Y688" s="8"/>
      <c r="Z688" s="8"/>
    </row>
    <row r="689" spans="1:26" ht="12.75">
      <c r="A689" s="11">
        <v>43746.89461805555</v>
      </c>
      <c r="B689" s="12" t="str">
        <f>HYPERLINK("https://twitter.com/ibrahim32184271","@ibrahim32184271")</f>
        <v>@ibrahim32184271</v>
      </c>
      <c r="C689" s="13" t="s">
        <v>3829</v>
      </c>
      <c r="D689" s="13" t="s">
        <v>3830</v>
      </c>
      <c r="E689" s="12" t="str">
        <f>HYPERLINK("https://twitter.com/ibrahim32184271/status/1181788441333424128","1181788441333424128")</f>
        <v>1181788441333424128</v>
      </c>
      <c r="F689" s="8"/>
      <c r="G689" s="14" t="s">
        <v>3832</v>
      </c>
      <c r="H689" s="8"/>
      <c r="I689" s="15">
        <v>0</v>
      </c>
      <c r="J689" s="15">
        <v>0</v>
      </c>
      <c r="K689" s="12" t="str">
        <f>HYPERLINK("http://twitter.com","Twitter Web Client")</f>
        <v>Twitter Web Client</v>
      </c>
      <c r="L689" s="16">
        <v>0</v>
      </c>
      <c r="M689" s="16">
        <v>36</v>
      </c>
      <c r="N689" s="16">
        <v>0</v>
      </c>
      <c r="O689" s="17"/>
      <c r="P689" s="18">
        <v>42022.364039351851</v>
      </c>
      <c r="Q689" s="8"/>
      <c r="R689" s="8"/>
      <c r="S689" s="8"/>
      <c r="T689" s="8"/>
      <c r="U689" s="19" t="str">
        <f>HYPERLINK("https://pbs.twimg.com/profile_images/556855621341818880/C4KT5X5b.jpeg","View")</f>
        <v>View</v>
      </c>
      <c r="V689" s="8"/>
      <c r="W689" s="8"/>
      <c r="X689" s="8"/>
      <c r="Y689" s="8"/>
      <c r="Z689" s="8"/>
    </row>
    <row r="690" spans="1:26" ht="12.75">
      <c r="A690" s="11">
        <v>43746.894097222219</v>
      </c>
      <c r="B690" s="12" t="str">
        <f>HYPERLINK("https://twitter.com/mohamme22306439","@mohamme22306439")</f>
        <v>@mohamme22306439</v>
      </c>
      <c r="C690" s="13" t="s">
        <v>3834</v>
      </c>
      <c r="D690" s="13" t="s">
        <v>3835</v>
      </c>
      <c r="E690" s="12" t="str">
        <f>HYPERLINK("https://twitter.com/mohamme22306439/status/1181788250228297729","1181788250228297729")</f>
        <v>1181788250228297729</v>
      </c>
      <c r="F690" s="8"/>
      <c r="G690" s="14" t="s">
        <v>3838</v>
      </c>
      <c r="H690" s="8"/>
      <c r="I690" s="15">
        <v>0</v>
      </c>
      <c r="J690" s="15">
        <v>0</v>
      </c>
      <c r="K690" s="12" t="str">
        <f>HYPERLINK("http://twitter.com","Twitter Web Client")</f>
        <v>Twitter Web Client</v>
      </c>
      <c r="L690" s="16">
        <v>3</v>
      </c>
      <c r="M690" s="16">
        <v>42</v>
      </c>
      <c r="N690" s="16">
        <v>0</v>
      </c>
      <c r="O690" s="17"/>
      <c r="P690" s="18">
        <v>42071.128425925926</v>
      </c>
      <c r="Q690" s="8"/>
      <c r="R690" s="8"/>
      <c r="S690" s="8"/>
      <c r="T690" s="8"/>
      <c r="U690" s="19" t="str">
        <f>HYPERLINK("https://pbs.twimg.com/profile_images/574513678432645120/FYl_5Xlq.jpeg","View")</f>
        <v>View</v>
      </c>
      <c r="V690" s="8"/>
      <c r="W690" s="8"/>
      <c r="X690" s="8"/>
      <c r="Y690" s="8"/>
      <c r="Z690" s="8"/>
    </row>
    <row r="691" spans="1:26" ht="12.75">
      <c r="A691" s="11">
        <v>43746.891180555554</v>
      </c>
      <c r="B691" s="12" t="str">
        <f>HYPERLINK("https://twitter.com/aldayeel44","@aldayeel44")</f>
        <v>@aldayeel44</v>
      </c>
      <c r="C691" s="13" t="s">
        <v>3839</v>
      </c>
      <c r="D691" s="13" t="s">
        <v>3840</v>
      </c>
      <c r="E691" s="12" t="str">
        <f>HYPERLINK("https://twitter.com/aldayeel44/status/1181787195629342720","1181787195629342720")</f>
        <v>1181787195629342720</v>
      </c>
      <c r="F691" s="8"/>
      <c r="G691" s="14" t="s">
        <v>3841</v>
      </c>
      <c r="H691" s="8"/>
      <c r="I691" s="15">
        <v>0</v>
      </c>
      <c r="J691" s="15">
        <v>0</v>
      </c>
      <c r="K691" s="12" t="str">
        <f>HYPERLINK("http://twitter.com","Twitter Web Client")</f>
        <v>Twitter Web Client</v>
      </c>
      <c r="L691" s="16">
        <v>2</v>
      </c>
      <c r="M691" s="16">
        <v>26</v>
      </c>
      <c r="N691" s="16">
        <v>0</v>
      </c>
      <c r="O691" s="17"/>
      <c r="P691" s="18">
        <v>42073.690405092595</v>
      </c>
      <c r="Q691" s="8"/>
      <c r="R691" s="8"/>
      <c r="S691" s="8"/>
      <c r="T691" s="8"/>
      <c r="U691" s="19" t="str">
        <f>HYPERLINK("https://pbs.twimg.com/profile_images/575440212802711552/xu60vYJs.jpeg","View")</f>
        <v>View</v>
      </c>
      <c r="V691" s="8"/>
      <c r="W691" s="8"/>
      <c r="X691" s="8"/>
      <c r="Y691" s="8"/>
      <c r="Z691" s="8"/>
    </row>
    <row r="692" spans="1:26" ht="12.75">
      <c r="A692" s="11">
        <v>43746.890393518523</v>
      </c>
      <c r="B692" s="12" t="str">
        <f>HYPERLINK("https://twitter.com/almodalajabdal1","@almodalajabdal1")</f>
        <v>@almodalajabdal1</v>
      </c>
      <c r="C692" s="13" t="s">
        <v>3844</v>
      </c>
      <c r="D692" s="13" t="s">
        <v>3845</v>
      </c>
      <c r="E692" s="12" t="str">
        <f>HYPERLINK("https://twitter.com/almodalajabdal1/status/1181786908780847104","1181786908780847104")</f>
        <v>1181786908780847104</v>
      </c>
      <c r="F692" s="8"/>
      <c r="G692" s="14" t="s">
        <v>3847</v>
      </c>
      <c r="H692" s="8"/>
      <c r="I692" s="15">
        <v>0</v>
      </c>
      <c r="J692" s="15">
        <v>0</v>
      </c>
      <c r="K692" s="12" t="str">
        <f>HYPERLINK("http://twitter.com","Twitter Web Client")</f>
        <v>Twitter Web Client</v>
      </c>
      <c r="L692" s="16">
        <v>16</v>
      </c>
      <c r="M692" s="16">
        <v>46</v>
      </c>
      <c r="N692" s="16">
        <v>0</v>
      </c>
      <c r="O692" s="17"/>
      <c r="P692" s="18">
        <v>42071.609224537038</v>
      </c>
      <c r="Q692" s="8"/>
      <c r="R692" s="8"/>
      <c r="S692" s="8"/>
      <c r="T692" s="8"/>
      <c r="U692" s="19" t="str">
        <f>HYPERLINK("https://pbs.twimg.com/profile_images/574714597103378432/j1V6Uhq4.jpeg","View")</f>
        <v>View</v>
      </c>
      <c r="V692" s="8"/>
      <c r="W692" s="8"/>
      <c r="X692" s="8"/>
      <c r="Y692" s="8"/>
      <c r="Z692" s="8"/>
    </row>
    <row r="693" spans="1:26" ht="12.75">
      <c r="A693" s="11">
        <v>43746.89</v>
      </c>
      <c r="B693" s="12" t="str">
        <f>HYPERLINK("https://twitter.com/dheifallahbadr2","@dheifallahbadr2")</f>
        <v>@dheifallahbadr2</v>
      </c>
      <c r="C693" s="13" t="s">
        <v>3850</v>
      </c>
      <c r="D693" s="13" t="s">
        <v>3851</v>
      </c>
      <c r="E693" s="12" t="str">
        <f>HYPERLINK("https://twitter.com/dheifallahbadr2/status/1181786767176785921","1181786767176785921")</f>
        <v>1181786767176785921</v>
      </c>
      <c r="F693" s="8"/>
      <c r="G693" s="14" t="s">
        <v>3852</v>
      </c>
      <c r="H693" s="8"/>
      <c r="I693" s="15">
        <v>0</v>
      </c>
      <c r="J693" s="15">
        <v>0</v>
      </c>
      <c r="K693" s="12" t="str">
        <f>HYPERLINK("http://twitter.com","Twitter Web Client")</f>
        <v>Twitter Web Client</v>
      </c>
      <c r="L693" s="16">
        <v>0</v>
      </c>
      <c r="M693" s="16">
        <v>36</v>
      </c>
      <c r="N693" s="16">
        <v>0</v>
      </c>
      <c r="O693" s="17"/>
      <c r="P693" s="18">
        <v>42067.388321759259</v>
      </c>
      <c r="Q693" s="8"/>
      <c r="R693" s="8"/>
      <c r="S693" s="8"/>
      <c r="T693" s="8"/>
      <c r="U693" s="19" t="str">
        <f>HYPERLINK("https://pbs.twimg.com/profile_images/573171192686768128/sFIVSWA4.jpeg","View")</f>
        <v>View</v>
      </c>
      <c r="V693" s="8"/>
      <c r="W693" s="8"/>
      <c r="X693" s="8"/>
      <c r="Y693" s="8"/>
      <c r="Z693" s="8"/>
    </row>
    <row r="694" spans="1:26" ht="12.75">
      <c r="A694" s="11">
        <v>43746.88144675926</v>
      </c>
      <c r="B694" s="12" t="str">
        <f>HYPERLINK("https://twitter.com/DosariYousefal","@DosariYousefal")</f>
        <v>@DosariYousefal</v>
      </c>
      <c r="C694" s="13" t="s">
        <v>3856</v>
      </c>
      <c r="D694" s="13" t="s">
        <v>3857</v>
      </c>
      <c r="E694" s="12" t="str">
        <f>HYPERLINK("https://twitter.com/DosariYousefal/status/1181783665778528257","1181783665778528257")</f>
        <v>1181783665778528257</v>
      </c>
      <c r="F694" s="8"/>
      <c r="G694" s="14" t="s">
        <v>3858</v>
      </c>
      <c r="H694" s="8"/>
      <c r="I694" s="15">
        <v>0</v>
      </c>
      <c r="J694" s="15">
        <v>0</v>
      </c>
      <c r="K694" s="12" t="str">
        <f>HYPERLINK("http://twitter.com","Twitter Web Client")</f>
        <v>Twitter Web Client</v>
      </c>
      <c r="L694" s="16">
        <v>0</v>
      </c>
      <c r="M694" s="16">
        <v>26</v>
      </c>
      <c r="N694" s="16">
        <v>0</v>
      </c>
      <c r="O694" s="17"/>
      <c r="P694" s="18">
        <v>41827.235335648147</v>
      </c>
      <c r="Q694" s="8"/>
      <c r="R694" s="8"/>
      <c r="S694" s="8"/>
      <c r="T694" s="8"/>
      <c r="U694" s="19" t="str">
        <f>HYPERLINK("https://pbs.twimg.com/profile_images/486127798038175744/JlDVidGh.jpeg","View")</f>
        <v>View</v>
      </c>
      <c r="V694" s="8"/>
      <c r="W694" s="8"/>
      <c r="X694" s="8"/>
      <c r="Y694" s="8"/>
      <c r="Z694" s="8"/>
    </row>
    <row r="695" spans="1:26" ht="12.75">
      <c r="A695" s="11">
        <v>43746.880636574075</v>
      </c>
      <c r="B695" s="12" t="str">
        <f>HYPERLINK("https://twitter.com/M3somAbdallha9","@M3somAbdallha9")</f>
        <v>@M3somAbdallha9</v>
      </c>
      <c r="C695" s="7" t="s">
        <v>3863</v>
      </c>
      <c r="D695" s="7" t="s">
        <v>3864</v>
      </c>
      <c r="E695" s="12" t="str">
        <f>HYPERLINK("https://twitter.com/M3somAbdallha9/status/1181783373985075200","1181783373985075200")</f>
        <v>1181783373985075200</v>
      </c>
      <c r="F695" s="7"/>
      <c r="G695" s="14" t="s">
        <v>3865</v>
      </c>
      <c r="H695" s="8"/>
      <c r="I695" s="15">
        <v>0</v>
      </c>
      <c r="J695" s="15">
        <v>0</v>
      </c>
      <c r="K695" s="12" t="str">
        <f>HYPERLINK("http://twitter.com","Twitter Web Client")</f>
        <v>Twitter Web Client</v>
      </c>
      <c r="L695" s="16">
        <v>0</v>
      </c>
      <c r="M695" s="16">
        <v>35</v>
      </c>
      <c r="N695" s="16">
        <v>0</v>
      </c>
      <c r="O695" s="17"/>
      <c r="P695" s="18">
        <v>42078.223912037036</v>
      </c>
      <c r="Q695" s="7"/>
      <c r="R695" s="7"/>
      <c r="S695" s="8"/>
      <c r="T695" s="8"/>
      <c r="U695" s="19" t="str">
        <f>HYPERLINK("https://pbs.twimg.com/profile_images/577082675279724544/4YOvqZmX.jpeg","View")</f>
        <v>View</v>
      </c>
      <c r="V695" s="8"/>
      <c r="W695" s="8"/>
      <c r="X695" s="8"/>
      <c r="Y695" s="8"/>
      <c r="Z695" s="8"/>
    </row>
    <row r="696" spans="1:26" ht="12.75">
      <c r="A696" s="11">
        <v>43746.875173611115</v>
      </c>
      <c r="B696" s="12" t="str">
        <f>HYPERLINK("https://twitter.com/mohamedabdulil1","@mohamedabdulil1")</f>
        <v>@mohamedabdulil1</v>
      </c>
      <c r="C696" s="13" t="s">
        <v>3871</v>
      </c>
      <c r="D696" s="13" t="s">
        <v>3872</v>
      </c>
      <c r="E696" s="12" t="str">
        <f>HYPERLINK("https://twitter.com/mohamedabdulil1/status/1181781393141047296","1181781393141047296")</f>
        <v>1181781393141047296</v>
      </c>
      <c r="F696" s="8"/>
      <c r="G696" s="14" t="s">
        <v>3873</v>
      </c>
      <c r="H696" s="8"/>
      <c r="I696" s="15">
        <v>0</v>
      </c>
      <c r="J696" s="15">
        <v>0</v>
      </c>
      <c r="K696" s="12" t="str">
        <f>HYPERLINK("http://twitter.com","Twitter Web Client")</f>
        <v>Twitter Web Client</v>
      </c>
      <c r="L696" s="16">
        <v>2</v>
      </c>
      <c r="M696" s="16">
        <v>36</v>
      </c>
      <c r="N696" s="16">
        <v>0</v>
      </c>
      <c r="O696" s="17"/>
      <c r="P696" s="18">
        <v>42068.30023148148</v>
      </c>
      <c r="Q696" s="8"/>
      <c r="R696" s="8"/>
      <c r="S696" s="8"/>
      <c r="T696" s="8"/>
      <c r="U696" s="19" t="str">
        <f>HYPERLINK("https://pbs.twimg.com/profile_images/573501603354779648/mmRUAD7w.jpeg","View")</f>
        <v>View</v>
      </c>
      <c r="V696" s="8"/>
      <c r="W696" s="8"/>
      <c r="X696" s="8"/>
      <c r="Y696" s="8"/>
      <c r="Z696" s="8"/>
    </row>
    <row r="697" spans="1:26" ht="12.75">
      <c r="A697" s="11">
        <v>43746.87462962963</v>
      </c>
      <c r="B697" s="12" t="str">
        <f>HYPERLINK("https://twitter.com/zebusrose","@zebusrose")</f>
        <v>@zebusrose</v>
      </c>
      <c r="C697" s="13" t="s">
        <v>3876</v>
      </c>
      <c r="D697" s="13" t="s">
        <v>3877</v>
      </c>
      <c r="E697" s="12" t="str">
        <f>HYPERLINK("https://twitter.com/zebusrose/status/1181781195371233280","1181781195371233280")</f>
        <v>1181781195371233280</v>
      </c>
      <c r="F697" s="8"/>
      <c r="G697" s="14" t="s">
        <v>3878</v>
      </c>
      <c r="H697" s="8"/>
      <c r="I697" s="15">
        <v>1</v>
      </c>
      <c r="J697" s="15">
        <v>0</v>
      </c>
      <c r="K697" s="12" t="str">
        <f>HYPERLINK("http://twitter.com/download/iphone","Twitter for iPhone")</f>
        <v>Twitter for iPhone</v>
      </c>
      <c r="L697" s="16">
        <v>630</v>
      </c>
      <c r="M697" s="16">
        <v>851</v>
      </c>
      <c r="N697" s="16">
        <v>36</v>
      </c>
      <c r="O697" s="17"/>
      <c r="P697" s="18">
        <v>39980.750902777778</v>
      </c>
      <c r="Q697" s="8" t="s">
        <v>3881</v>
      </c>
      <c r="R697" s="8" t="s">
        <v>3882</v>
      </c>
      <c r="S697" s="8"/>
      <c r="T697" s="8"/>
      <c r="U697" s="19" t="str">
        <f>HYPERLINK("https://pbs.twimg.com/profile_images/543793476916101120/Nuhq2yH6.jpeg","View")</f>
        <v>View</v>
      </c>
      <c r="V697" s="8"/>
      <c r="W697" s="8"/>
      <c r="X697" s="8"/>
      <c r="Y697" s="8"/>
      <c r="Z697" s="8"/>
    </row>
    <row r="698" spans="1:26" ht="12.75">
      <c r="A698" s="11">
        <v>43746.873842592591</v>
      </c>
      <c r="B698" s="12" t="str">
        <f>HYPERLINK("https://twitter.com/abdallaabdeen3","@abdallaabdeen3")</f>
        <v>@abdallaabdeen3</v>
      </c>
      <c r="C698" s="13" t="s">
        <v>3885</v>
      </c>
      <c r="D698" s="13" t="s">
        <v>3886</v>
      </c>
      <c r="E698" s="12" t="str">
        <f>HYPERLINK("https://twitter.com/abdallaabdeen3/status/1181780913929232384","1181780913929232384")</f>
        <v>1181780913929232384</v>
      </c>
      <c r="F698" s="8"/>
      <c r="G698" s="14" t="s">
        <v>3887</v>
      </c>
      <c r="H698" s="8"/>
      <c r="I698" s="15">
        <v>0</v>
      </c>
      <c r="J698" s="15">
        <v>0</v>
      </c>
      <c r="K698" s="12" t="str">
        <f>HYPERLINK("http://twitter.com","Twitter Web Client")</f>
        <v>Twitter Web Client</v>
      </c>
      <c r="L698" s="16">
        <v>1</v>
      </c>
      <c r="M698" s="16">
        <v>37</v>
      </c>
      <c r="N698" s="16">
        <v>0</v>
      </c>
      <c r="O698" s="17"/>
      <c r="P698" s="18">
        <v>41843.283703703702</v>
      </c>
      <c r="Q698" s="8"/>
      <c r="R698" s="8"/>
      <c r="S698" s="8"/>
      <c r="T698" s="8"/>
      <c r="U698" s="19" t="str">
        <f>HYPERLINK("https://pbs.twimg.com/profile_images/491943106443354112/vCW_5Jov.jpeg","View")</f>
        <v>View</v>
      </c>
      <c r="V698" s="8"/>
      <c r="W698" s="8"/>
      <c r="X698" s="8"/>
      <c r="Y698" s="8"/>
      <c r="Z698" s="8"/>
    </row>
    <row r="699" spans="1:26" ht="12.75">
      <c r="A699" s="11">
        <v>43746.871319444443</v>
      </c>
      <c r="B699" s="12" t="str">
        <f>HYPERLINK("https://twitter.com/ahmedelwada","@ahmedelwada")</f>
        <v>@ahmedelwada</v>
      </c>
      <c r="C699" s="13" t="s">
        <v>3893</v>
      </c>
      <c r="D699" s="13" t="s">
        <v>3894</v>
      </c>
      <c r="E699" s="12" t="str">
        <f>HYPERLINK("https://twitter.com/ahmedelwada/status/1181779998992211969","1181779998992211969")</f>
        <v>1181779998992211969</v>
      </c>
      <c r="F699" s="8"/>
      <c r="G699" s="14" t="s">
        <v>3895</v>
      </c>
      <c r="H699" s="8"/>
      <c r="I699" s="15">
        <v>0</v>
      </c>
      <c r="J699" s="15">
        <v>0</v>
      </c>
      <c r="K699" s="12" t="str">
        <f>HYPERLINK("http://twitter.com","Twitter Web Client")</f>
        <v>Twitter Web Client</v>
      </c>
      <c r="L699" s="16">
        <v>13</v>
      </c>
      <c r="M699" s="16">
        <v>36</v>
      </c>
      <c r="N699" s="16">
        <v>0</v>
      </c>
      <c r="O699" s="17"/>
      <c r="P699" s="18">
        <v>42068.15662037037</v>
      </c>
      <c r="Q699" s="8"/>
      <c r="R699" s="8"/>
      <c r="S699" s="8"/>
      <c r="T699" s="8"/>
      <c r="U699" s="19" t="str">
        <f>HYPERLINK("https://pbs.twimg.com/profile_images/573449563048058883/TWzxZsjW.jpeg","View")</f>
        <v>View</v>
      </c>
      <c r="V699" s="8"/>
      <c r="W699" s="8"/>
      <c r="X699" s="8"/>
      <c r="Y699" s="8"/>
      <c r="Z699" s="8"/>
    </row>
    <row r="700" spans="1:26" ht="12.75">
      <c r="A700" s="11">
        <v>43746.870520833334</v>
      </c>
      <c r="B700" s="12" t="str">
        <f>HYPERLINK("https://twitter.com/DosariSaadeal","@DosariSaadeal")</f>
        <v>@DosariSaadeal</v>
      </c>
      <c r="C700" s="13" t="s">
        <v>3897</v>
      </c>
      <c r="D700" s="13" t="s">
        <v>3898</v>
      </c>
      <c r="E700" s="12" t="str">
        <f>HYPERLINK("https://twitter.com/DosariSaadeal/status/1181779708180123648","1181779708180123648")</f>
        <v>1181779708180123648</v>
      </c>
      <c r="F700" s="8"/>
      <c r="G700" s="14" t="s">
        <v>3899</v>
      </c>
      <c r="H700" s="8"/>
      <c r="I700" s="15">
        <v>0</v>
      </c>
      <c r="J700" s="15">
        <v>0</v>
      </c>
      <c r="K700" s="12" t="str">
        <f>HYPERLINK("http://twitter.com","Twitter Web Client")</f>
        <v>Twitter Web Client</v>
      </c>
      <c r="L700" s="16">
        <v>0</v>
      </c>
      <c r="M700" s="16">
        <v>41</v>
      </c>
      <c r="N700" s="16">
        <v>0</v>
      </c>
      <c r="O700" s="17"/>
      <c r="P700" s="18">
        <v>42070.818460648152</v>
      </c>
      <c r="Q700" s="8"/>
      <c r="R700" s="8"/>
      <c r="S700" s="8"/>
      <c r="T700" s="8"/>
      <c r="U700" s="19" t="str">
        <f>HYPERLINK("https://pbs.twimg.com/profile_images/574414459160018944/vvuwDfpA.jpeg","View")</f>
        <v>View</v>
      </c>
      <c r="V700" s="8"/>
      <c r="W700" s="8"/>
      <c r="X700" s="8"/>
      <c r="Y700" s="8"/>
      <c r="Z700" s="8"/>
    </row>
    <row r="701" spans="1:26" ht="12.75">
      <c r="A701" s="11">
        <v>43746.870115740741</v>
      </c>
      <c r="B701" s="12" t="str">
        <f>HYPERLINK("https://twitter.com/ahmedalkathir14","@ahmedalkathir14")</f>
        <v>@ahmedalkathir14</v>
      </c>
      <c r="C701" s="13" t="s">
        <v>3902</v>
      </c>
      <c r="D701" s="13" t="s">
        <v>3903</v>
      </c>
      <c r="E701" s="12" t="str">
        <f>HYPERLINK("https://twitter.com/ahmedalkathir14/status/1181779562180612096","1181779562180612096")</f>
        <v>1181779562180612096</v>
      </c>
      <c r="F701" s="8"/>
      <c r="G701" s="14" t="s">
        <v>3905</v>
      </c>
      <c r="H701" s="8"/>
      <c r="I701" s="15">
        <v>0</v>
      </c>
      <c r="J701" s="15">
        <v>0</v>
      </c>
      <c r="K701" s="12" t="str">
        <f>HYPERLINK("http://twitter.com","Twitter Web Client")</f>
        <v>Twitter Web Client</v>
      </c>
      <c r="L701" s="16">
        <v>0</v>
      </c>
      <c r="M701" s="16">
        <v>36</v>
      </c>
      <c r="N701" s="16">
        <v>0</v>
      </c>
      <c r="O701" s="17"/>
      <c r="P701" s="18">
        <v>42017.206157407403</v>
      </c>
      <c r="Q701" s="8"/>
      <c r="R701" s="8"/>
      <c r="S701" s="8"/>
      <c r="T701" s="8"/>
      <c r="U701" s="19" t="str">
        <f>HYPERLINK("https://pbs.twimg.com/profile_images/554985539439316992/6_xLckDl.jpeg","View")</f>
        <v>View</v>
      </c>
      <c r="V701" s="8"/>
      <c r="W701" s="8"/>
      <c r="X701" s="8"/>
      <c r="Y701" s="8"/>
      <c r="Z701" s="8"/>
    </row>
    <row r="702" spans="1:26" ht="12.75">
      <c r="A702" s="11">
        <v>43746.867164351846</v>
      </c>
      <c r="B702" s="12" t="str">
        <f>HYPERLINK("https://twitter.com/mjeabmutairi","@mjeabmutairi")</f>
        <v>@mjeabmutairi</v>
      </c>
      <c r="C702" s="13" t="s">
        <v>2070</v>
      </c>
      <c r="D702" s="13" t="s">
        <v>3908</v>
      </c>
      <c r="E702" s="12" t="str">
        <f>HYPERLINK("https://twitter.com/mjeabmutairi/status/1181778491127291904","1181778491127291904")</f>
        <v>1181778491127291904</v>
      </c>
      <c r="F702" s="8"/>
      <c r="G702" s="14" t="s">
        <v>3909</v>
      </c>
      <c r="H702" s="8"/>
      <c r="I702" s="15">
        <v>0</v>
      </c>
      <c r="J702" s="15">
        <v>0</v>
      </c>
      <c r="K702" s="12" t="str">
        <f>HYPERLINK("http://twitter.com","Twitter Web Client")</f>
        <v>Twitter Web Client</v>
      </c>
      <c r="L702" s="16">
        <v>8</v>
      </c>
      <c r="M702" s="16">
        <v>35</v>
      </c>
      <c r="N702" s="16">
        <v>0</v>
      </c>
      <c r="O702" s="17"/>
      <c r="P702" s="18">
        <v>42068.33625</v>
      </c>
      <c r="Q702" s="8"/>
      <c r="R702" s="8"/>
      <c r="S702" s="8"/>
      <c r="T702" s="8"/>
      <c r="U702" s="19" t="str">
        <f>HYPERLINK("https://pbs.twimg.com/profile_images/573519365280149504/J9OkOPCE.jpeg","View")</f>
        <v>View</v>
      </c>
      <c r="V702" s="8"/>
      <c r="W702" s="8"/>
      <c r="X702" s="8"/>
      <c r="Y702" s="8"/>
      <c r="Z702" s="8"/>
    </row>
    <row r="703" spans="1:26" ht="12.75">
      <c r="A703" s="11">
        <v>43746.866111111114</v>
      </c>
      <c r="B703" s="12" t="str">
        <f>HYPERLINK("https://twitter.com/MaJoad60410","@MaJoad60410")</f>
        <v>@MaJoad60410</v>
      </c>
      <c r="C703" s="13" t="s">
        <v>3912</v>
      </c>
      <c r="D703" s="13" t="s">
        <v>3913</v>
      </c>
      <c r="E703" s="12" t="str">
        <f>HYPERLINK("https://twitter.com/MaJoad60410/status/1181778112117387264","1181778112117387264")</f>
        <v>1181778112117387264</v>
      </c>
      <c r="F703" s="8"/>
      <c r="G703" s="15"/>
      <c r="H703" s="8"/>
      <c r="I703" s="15">
        <v>1</v>
      </c>
      <c r="J703" s="15">
        <v>2</v>
      </c>
      <c r="K703" s="12" t="str">
        <f>HYPERLINK("https://mobile.twitter.com","Twitter Web App")</f>
        <v>Twitter Web App</v>
      </c>
      <c r="L703" s="16">
        <v>2981</v>
      </c>
      <c r="M703" s="16">
        <v>3056</v>
      </c>
      <c r="N703" s="16">
        <v>12</v>
      </c>
      <c r="O703" s="17"/>
      <c r="P703" s="18">
        <v>42798.622534722221</v>
      </c>
      <c r="Q703" s="8" t="s">
        <v>3917</v>
      </c>
      <c r="R703" s="8" t="s">
        <v>3918</v>
      </c>
      <c r="S703" s="8"/>
      <c r="T703" s="8"/>
      <c r="U703" s="19" t="str">
        <f>HYPERLINK("https://pbs.twimg.com/profile_images/858872246538051586/QsFadJD-.jpg","View")</f>
        <v>View</v>
      </c>
      <c r="V703" s="8"/>
      <c r="W703" s="8"/>
      <c r="X703" s="8"/>
      <c r="Y703" s="8"/>
      <c r="Z703" s="8"/>
    </row>
    <row r="704" spans="1:26" ht="12.75">
      <c r="A704" s="11">
        <v>43746.865787037037</v>
      </c>
      <c r="B704" s="12" t="str">
        <f>HYPERLINK("https://twitter.com/da8eem733","@da8eem733")</f>
        <v>@da8eem733</v>
      </c>
      <c r="C704" s="13" t="s">
        <v>3919</v>
      </c>
      <c r="D704" s="13" t="s">
        <v>3920</v>
      </c>
      <c r="E704" s="12" t="str">
        <f>HYPERLINK("https://twitter.com/da8eem733/status/1181777993770950658","1181777993770950658")</f>
        <v>1181777993770950658</v>
      </c>
      <c r="F704" s="8"/>
      <c r="G704" s="14" t="s">
        <v>3921</v>
      </c>
      <c r="H704" s="8"/>
      <c r="I704" s="15">
        <v>0</v>
      </c>
      <c r="J704" s="15">
        <v>0</v>
      </c>
      <c r="K704" s="12" t="str">
        <f>HYPERLINK("http://twitter.com","Twitter Web Client")</f>
        <v>Twitter Web Client</v>
      </c>
      <c r="L704" s="16">
        <v>14</v>
      </c>
      <c r="M704" s="16">
        <v>30</v>
      </c>
      <c r="N704" s="16">
        <v>0</v>
      </c>
      <c r="O704" s="17"/>
      <c r="P704" s="18">
        <v>42072.287152777775</v>
      </c>
      <c r="Q704" s="8"/>
      <c r="R704" s="8"/>
      <c r="S704" s="8"/>
      <c r="T704" s="8"/>
      <c r="U704" s="19" t="str">
        <f>HYPERLINK("https://pbs.twimg.com/profile_images/574931147039248387/2I-TiDp1.jpeg","View")</f>
        <v>View</v>
      </c>
      <c r="V704" s="8"/>
      <c r="W704" s="8"/>
      <c r="X704" s="8"/>
      <c r="Y704" s="8"/>
      <c r="Z704" s="8"/>
    </row>
    <row r="705" spans="1:26" ht="12.75">
      <c r="A705" s="11">
        <v>43746.863668981481</v>
      </c>
      <c r="B705" s="12" t="str">
        <f>HYPERLINK("https://twitter.com/JarSaeedial","@JarSaeedial")</f>
        <v>@JarSaeedial</v>
      </c>
      <c r="C705" s="13" t="s">
        <v>3924</v>
      </c>
      <c r="D705" s="13" t="s">
        <v>3925</v>
      </c>
      <c r="E705" s="12" t="str">
        <f>HYPERLINK("https://twitter.com/JarSaeedial/status/1181777227052126209","1181777227052126209")</f>
        <v>1181777227052126209</v>
      </c>
      <c r="F705" s="8"/>
      <c r="G705" s="14" t="s">
        <v>3926</v>
      </c>
      <c r="H705" s="8"/>
      <c r="I705" s="15">
        <v>0</v>
      </c>
      <c r="J705" s="15">
        <v>1</v>
      </c>
      <c r="K705" s="12" t="str">
        <f>HYPERLINK("http://twitter.com","Twitter Web Client")</f>
        <v>Twitter Web Client</v>
      </c>
      <c r="L705" s="16">
        <v>16</v>
      </c>
      <c r="M705" s="16">
        <v>43</v>
      </c>
      <c r="N705" s="16">
        <v>0</v>
      </c>
      <c r="O705" s="17"/>
      <c r="P705" s="18">
        <v>42074.339745370366</v>
      </c>
      <c r="Q705" s="8"/>
      <c r="R705" s="8"/>
      <c r="S705" s="8"/>
      <c r="T705" s="8"/>
      <c r="U705" s="19" t="str">
        <f>HYPERLINK("https://pbs.twimg.com/profile_images/575678033006194689/5jARNuf1.jpeg","View")</f>
        <v>View</v>
      </c>
      <c r="V705" s="8"/>
      <c r="W705" s="8"/>
      <c r="X705" s="8"/>
      <c r="Y705" s="8"/>
      <c r="Z705" s="8"/>
    </row>
    <row r="706" spans="1:26" ht="12.75">
      <c r="A706" s="11">
        <v>43746.861134259263</v>
      </c>
      <c r="B706" s="12" t="str">
        <f>HYPERLINK("https://twitter.com/baraksulais","@baraksulais")</f>
        <v>@baraksulais</v>
      </c>
      <c r="C706" s="13" t="s">
        <v>3928</v>
      </c>
      <c r="D706" s="13" t="s">
        <v>3930</v>
      </c>
      <c r="E706" s="12" t="str">
        <f>HYPERLINK("https://twitter.com/baraksulais/status/1181776306389868545","1181776306389868545")</f>
        <v>1181776306389868545</v>
      </c>
      <c r="F706" s="8"/>
      <c r="G706" s="14" t="s">
        <v>3932</v>
      </c>
      <c r="H706" s="8"/>
      <c r="I706" s="15">
        <v>0</v>
      </c>
      <c r="J706" s="15">
        <v>0</v>
      </c>
      <c r="K706" s="12" t="str">
        <f>HYPERLINK("http://twitter.com","Twitter Web Client")</f>
        <v>Twitter Web Client</v>
      </c>
      <c r="L706" s="16">
        <v>0</v>
      </c>
      <c r="M706" s="16">
        <v>44</v>
      </c>
      <c r="N706" s="16">
        <v>0</v>
      </c>
      <c r="O706" s="17"/>
      <c r="P706" s="18">
        <v>42072.458680555559</v>
      </c>
      <c r="Q706" s="8"/>
      <c r="R706" s="8"/>
      <c r="S706" s="8"/>
      <c r="T706" s="8"/>
      <c r="U706" s="19" t="str">
        <f>HYPERLINK("https://pbs.twimg.com/profile_images/574993585323429888/XAThGmHS.jpeg","View")</f>
        <v>View</v>
      </c>
      <c r="V706" s="8"/>
      <c r="W706" s="8"/>
      <c r="X706" s="8"/>
      <c r="Y706" s="8"/>
      <c r="Z706" s="8"/>
    </row>
    <row r="707" spans="1:26" ht="12.75">
      <c r="A707" s="11">
        <v>43746.859525462962</v>
      </c>
      <c r="B707" s="12" t="str">
        <f>HYPERLINK("https://twitter.com/alirashed20141","@alirashed20141")</f>
        <v>@alirashed20141</v>
      </c>
      <c r="C707" s="13" t="s">
        <v>3934</v>
      </c>
      <c r="D707" s="13" t="s">
        <v>3935</v>
      </c>
      <c r="E707" s="12" t="str">
        <f>HYPERLINK("https://twitter.com/alirashed20141/status/1181775725302562816","1181775725302562816")</f>
        <v>1181775725302562816</v>
      </c>
      <c r="F707" s="8"/>
      <c r="G707" s="14" t="s">
        <v>3936</v>
      </c>
      <c r="H707" s="8"/>
      <c r="I707" s="15">
        <v>0</v>
      </c>
      <c r="J707" s="15">
        <v>0</v>
      </c>
      <c r="K707" s="12" t="str">
        <f>HYPERLINK("http://twitter.com","Twitter Web Client")</f>
        <v>Twitter Web Client</v>
      </c>
      <c r="L707" s="16">
        <v>1</v>
      </c>
      <c r="M707" s="16">
        <v>29</v>
      </c>
      <c r="N707" s="16">
        <v>0</v>
      </c>
      <c r="O707" s="17"/>
      <c r="P707" s="18">
        <v>41821.376539351855</v>
      </c>
      <c r="Q707" s="8"/>
      <c r="R707" s="8"/>
      <c r="S707" s="8"/>
      <c r="T707" s="8"/>
      <c r="U707" s="19" t="str">
        <f>HYPERLINK("https://pbs.twimg.com/profile_images/484004249735405568/gkKcGF3I.jpeg","View")</f>
        <v>View</v>
      </c>
      <c r="V707" s="8"/>
      <c r="W707" s="8"/>
      <c r="X707" s="8"/>
      <c r="Y707" s="8"/>
      <c r="Z707" s="8"/>
    </row>
    <row r="708" spans="1:26" ht="12.75">
      <c r="A708" s="11">
        <v>43746.856759259259</v>
      </c>
      <c r="B708" s="12" t="str">
        <f>HYPERLINK("https://twitter.com/ilahmari","@ilahmari")</f>
        <v>@ilahmari</v>
      </c>
      <c r="C708" s="13" t="s">
        <v>3937</v>
      </c>
      <c r="D708" s="13" t="s">
        <v>3938</v>
      </c>
      <c r="E708" s="12" t="str">
        <f>HYPERLINK("https://twitter.com/ilahmari/status/1181774721681154053","1181774721681154053")</f>
        <v>1181774721681154053</v>
      </c>
      <c r="F708" s="8"/>
      <c r="G708" s="14" t="s">
        <v>3939</v>
      </c>
      <c r="H708" s="8"/>
      <c r="I708" s="15">
        <v>0</v>
      </c>
      <c r="J708" s="15">
        <v>0</v>
      </c>
      <c r="K708" s="12" t="str">
        <f>HYPERLINK("http://twitter.com","Twitter Web Client")</f>
        <v>Twitter Web Client</v>
      </c>
      <c r="L708" s="16">
        <v>6</v>
      </c>
      <c r="M708" s="16">
        <v>42</v>
      </c>
      <c r="N708" s="16">
        <v>0</v>
      </c>
      <c r="O708" s="17"/>
      <c r="P708" s="18">
        <v>42070.411770833336</v>
      </c>
      <c r="Q708" s="8"/>
      <c r="R708" s="8"/>
      <c r="S708" s="8"/>
      <c r="T708" s="8"/>
      <c r="U708" s="19" t="str">
        <f>HYPERLINK("https://pbs.twimg.com/profile_images/574267217723846656/CkKnRp-9.jpeg","View")</f>
        <v>View</v>
      </c>
      <c r="V708" s="8"/>
      <c r="W708" s="8"/>
      <c r="X708" s="8"/>
      <c r="Y708" s="8"/>
      <c r="Z708" s="8"/>
    </row>
    <row r="709" spans="1:26" ht="12.75">
      <c r="A709" s="11">
        <v>43746.850497685184</v>
      </c>
      <c r="B709" s="12" t="str">
        <f>HYPERLINK("https://twitter.com/tarekmahedy","@tarekmahedy")</f>
        <v>@tarekmahedy</v>
      </c>
      <c r="C709" s="13" t="s">
        <v>3940</v>
      </c>
      <c r="D709" s="13" t="s">
        <v>3941</v>
      </c>
      <c r="E709" s="12" t="str">
        <f>HYPERLINK("https://twitter.com/tarekmahedy/status/1181772450327154689","1181772450327154689")</f>
        <v>1181772450327154689</v>
      </c>
      <c r="F709" s="8"/>
      <c r="G709" s="15"/>
      <c r="H709" s="8"/>
      <c r="I709" s="15">
        <v>0</v>
      </c>
      <c r="J709" s="15">
        <v>0</v>
      </c>
      <c r="K709" s="12" t="str">
        <f>HYPERLINK("https://mobile.twitter.com","Twitter Web App")</f>
        <v>Twitter Web App</v>
      </c>
      <c r="L709" s="16">
        <v>17</v>
      </c>
      <c r="M709" s="16">
        <v>134</v>
      </c>
      <c r="N709" s="16">
        <v>1</v>
      </c>
      <c r="O709" s="17"/>
      <c r="P709" s="18">
        <v>43234.338854166665</v>
      </c>
      <c r="Q709" s="8"/>
      <c r="R709" s="8" t="s">
        <v>3944</v>
      </c>
      <c r="S709" s="14" t="s">
        <v>3946</v>
      </c>
      <c r="T709" s="8"/>
      <c r="U709" s="19" t="str">
        <f>HYPERLINK("https://pbs.twimg.com/profile_images/996079892725948416/b-ao9wdn.jpg","View")</f>
        <v>View</v>
      </c>
      <c r="V709" s="8"/>
      <c r="W709" s="8"/>
      <c r="X709" s="8"/>
      <c r="Y709" s="8"/>
      <c r="Z709" s="8"/>
    </row>
    <row r="710" spans="1:26" ht="12.75">
      <c r="A710" s="11">
        <v>43746.849143518513</v>
      </c>
      <c r="B710" s="12" t="str">
        <f>HYPERLINK("https://twitter.com/abdelrhmanavome","@abdelrhmanavome")</f>
        <v>@abdelrhmanavome</v>
      </c>
      <c r="C710" s="13" t="s">
        <v>3947</v>
      </c>
      <c r="D710" s="13" t="s">
        <v>3948</v>
      </c>
      <c r="E710" s="12" t="str">
        <f>HYPERLINK("https://twitter.com/abdelrhmanavome/status/1181771963213189121","1181771963213189121")</f>
        <v>1181771963213189121</v>
      </c>
      <c r="F710" s="8"/>
      <c r="G710" s="14" t="s">
        <v>3950</v>
      </c>
      <c r="H710" s="8"/>
      <c r="I710" s="15">
        <v>0</v>
      </c>
      <c r="J710" s="15">
        <v>0</v>
      </c>
      <c r="K710" s="12" t="str">
        <f>HYPERLINK("http://twitter.com","Twitter Web Client")</f>
        <v>Twitter Web Client</v>
      </c>
      <c r="L710" s="16">
        <v>2</v>
      </c>
      <c r="M710" s="16">
        <v>40</v>
      </c>
      <c r="N710" s="16">
        <v>0</v>
      </c>
      <c r="O710" s="17"/>
      <c r="P710" s="18">
        <v>42429.508067129631</v>
      </c>
      <c r="Q710" s="8"/>
      <c r="R710" s="8" t="s">
        <v>3951</v>
      </c>
      <c r="S710" s="8"/>
      <c r="T710" s="8"/>
      <c r="U710" s="19" t="str">
        <f>HYPERLINK("https://pbs.twimg.com/profile_images/704507540575354881/DbRoFvxV.jpg","View")</f>
        <v>View</v>
      </c>
      <c r="V710" s="8"/>
      <c r="W710" s="8"/>
      <c r="X710" s="8"/>
      <c r="Y710" s="8"/>
      <c r="Z710" s="8"/>
    </row>
    <row r="711" spans="1:26" ht="12.75">
      <c r="A711" s="11">
        <v>43746.84674768518</v>
      </c>
      <c r="B711" s="12" t="str">
        <f>HYPERLINK("https://twitter.com/radishariftnmnr","@radishariftnmnr")</f>
        <v>@radishariftnmnr</v>
      </c>
      <c r="C711" s="13" t="s">
        <v>3954</v>
      </c>
      <c r="D711" s="13" t="s">
        <v>3955</v>
      </c>
      <c r="E711" s="12" t="str">
        <f>HYPERLINK("https://twitter.com/radishariftnmnr/status/1181771093075533825","1181771093075533825")</f>
        <v>1181771093075533825</v>
      </c>
      <c r="F711" s="8"/>
      <c r="G711" s="14" t="s">
        <v>3956</v>
      </c>
      <c r="H711" s="8"/>
      <c r="I711" s="15">
        <v>0</v>
      </c>
      <c r="J711" s="15">
        <v>0</v>
      </c>
      <c r="K711" s="12" t="str">
        <f>HYPERLINK("http://twitter.com","Twitter Web Client")</f>
        <v>Twitter Web Client</v>
      </c>
      <c r="L711" s="16">
        <v>4</v>
      </c>
      <c r="M711" s="16">
        <v>44</v>
      </c>
      <c r="N711" s="16">
        <v>0</v>
      </c>
      <c r="O711" s="17"/>
      <c r="P711" s="18">
        <v>42529.117685185185</v>
      </c>
      <c r="Q711" s="8" t="s">
        <v>3958</v>
      </c>
      <c r="R711" s="8" t="s">
        <v>3959</v>
      </c>
      <c r="S711" s="8"/>
      <c r="T711" s="8"/>
      <c r="U711" s="19" t="str">
        <f>HYPERLINK("https://pbs.twimg.com/profile_images/740480950971322368/_fXsVFLx.jpg","View")</f>
        <v>View</v>
      </c>
      <c r="V711" s="8"/>
      <c r="W711" s="8"/>
      <c r="X711" s="8"/>
      <c r="Y711" s="8"/>
      <c r="Z711" s="8"/>
    </row>
    <row r="712" spans="1:26" ht="12.75">
      <c r="A712" s="11">
        <v>43746.84646990741</v>
      </c>
      <c r="B712" s="12" t="str">
        <f>HYPERLINK("https://twitter.com/abdelgawwadsexe","@abdelgawwadsexe")</f>
        <v>@abdelgawwadsexe</v>
      </c>
      <c r="C712" s="13" t="s">
        <v>3960</v>
      </c>
      <c r="D712" s="13" t="s">
        <v>3961</v>
      </c>
      <c r="E712" s="12" t="str">
        <f>HYPERLINK("https://twitter.com/abdelgawwadsexe/status/1181770992722546688","1181770992722546688")</f>
        <v>1181770992722546688</v>
      </c>
      <c r="F712" s="8"/>
      <c r="G712" s="14" t="s">
        <v>3963</v>
      </c>
      <c r="H712" s="8"/>
      <c r="I712" s="15">
        <v>0</v>
      </c>
      <c r="J712" s="15">
        <v>0</v>
      </c>
      <c r="K712" s="12" t="str">
        <f>HYPERLINK("http://twitter.com","Twitter Web Client")</f>
        <v>Twitter Web Client</v>
      </c>
      <c r="L712" s="16">
        <v>4</v>
      </c>
      <c r="M712" s="16">
        <v>41</v>
      </c>
      <c r="N712" s="16">
        <v>0</v>
      </c>
      <c r="O712" s="17"/>
      <c r="P712" s="18">
        <v>42429.561122685191</v>
      </c>
      <c r="Q712" s="8"/>
      <c r="R712" s="8" t="s">
        <v>3964</v>
      </c>
      <c r="S712" s="8"/>
      <c r="T712" s="8"/>
      <c r="U712" s="19" t="str">
        <f>HYPERLINK("https://pbs.twimg.com/profile_images/704526922622111744/BdGaJUG2.jpg","View")</f>
        <v>View</v>
      </c>
      <c r="V712" s="8"/>
      <c r="W712" s="8"/>
      <c r="X712" s="8"/>
      <c r="Y712" s="8"/>
      <c r="Z712" s="8"/>
    </row>
    <row r="713" spans="1:26" ht="12.75">
      <c r="A713" s="11">
        <v>43746.844629629632</v>
      </c>
      <c r="B713" s="12" t="str">
        <f>HYPERLINK("https://twitter.com/abdelgawwadzzyc","@abdelgawwadzzyc")</f>
        <v>@abdelgawwadzzyc</v>
      </c>
      <c r="C713" s="13" t="s">
        <v>3965</v>
      </c>
      <c r="D713" s="13" t="s">
        <v>3966</v>
      </c>
      <c r="E713" s="12" t="str">
        <f>HYPERLINK("https://twitter.com/abdelgawwadzzyc/status/1181770324754538497","1181770324754538497")</f>
        <v>1181770324754538497</v>
      </c>
      <c r="F713" s="8"/>
      <c r="G713" s="14" t="s">
        <v>3967</v>
      </c>
      <c r="H713" s="8"/>
      <c r="I713" s="15">
        <v>0</v>
      </c>
      <c r="J713" s="15">
        <v>0</v>
      </c>
      <c r="K713" s="12" t="str">
        <f>HYPERLINK("http://twitter.com","Twitter Web Client")</f>
        <v>Twitter Web Client</v>
      </c>
      <c r="L713" s="16">
        <v>0</v>
      </c>
      <c r="M713" s="16">
        <v>38</v>
      </c>
      <c r="N713" s="16">
        <v>0</v>
      </c>
      <c r="O713" s="17"/>
      <c r="P713" s="18">
        <v>42478.951226851852</v>
      </c>
      <c r="Q713" s="8" t="s">
        <v>964</v>
      </c>
      <c r="R713" s="8" t="s">
        <v>3968</v>
      </c>
      <c r="S713" s="8"/>
      <c r="T713" s="8"/>
      <c r="U713" s="19" t="str">
        <f>HYPERLINK("https://pbs.twimg.com/profile_images/722301427150884864/4bwghyFb.jpg","View")</f>
        <v>View</v>
      </c>
      <c r="V713" s="8"/>
      <c r="W713" s="8"/>
      <c r="X713" s="8"/>
      <c r="Y713" s="8"/>
      <c r="Z713" s="8"/>
    </row>
    <row r="714" spans="1:26" ht="12.75">
      <c r="A714" s="11">
        <v>43746.844340277778</v>
      </c>
      <c r="B714" s="12" t="str">
        <f>HYPERLINK("https://twitter.com/emadhamidyekot","@emadhamidyekot")</f>
        <v>@emadhamidyekot</v>
      </c>
      <c r="C714" s="13" t="s">
        <v>3969</v>
      </c>
      <c r="D714" s="13" t="s">
        <v>3970</v>
      </c>
      <c r="E714" s="12" t="str">
        <f>HYPERLINK("https://twitter.com/emadhamidyekot/status/1181770222346424320","1181770222346424320")</f>
        <v>1181770222346424320</v>
      </c>
      <c r="F714" s="8"/>
      <c r="G714" s="14" t="s">
        <v>3971</v>
      </c>
      <c r="H714" s="8"/>
      <c r="I714" s="15">
        <v>0</v>
      </c>
      <c r="J714" s="15">
        <v>0</v>
      </c>
      <c r="K714" s="12" t="str">
        <f>HYPERLINK("http://twitter.com","Twitter Web Client")</f>
        <v>Twitter Web Client</v>
      </c>
      <c r="L714" s="16">
        <v>4</v>
      </c>
      <c r="M714" s="16">
        <v>41</v>
      </c>
      <c r="N714" s="16">
        <v>0</v>
      </c>
      <c r="O714" s="17"/>
      <c r="P714" s="18">
        <v>42428.921898148154</v>
      </c>
      <c r="Q714" s="8"/>
      <c r="R714" s="8" t="s">
        <v>3972</v>
      </c>
      <c r="S714" s="8"/>
      <c r="T714" s="8"/>
      <c r="U714" s="19" t="str">
        <f>HYPERLINK("https://pbs.twimg.com/profile_images/704486408992456704/FuaCcetg.jpg","View")</f>
        <v>View</v>
      </c>
      <c r="V714" s="8"/>
      <c r="W714" s="8"/>
      <c r="X714" s="8"/>
      <c r="Y714" s="8"/>
      <c r="Z714" s="8"/>
    </row>
    <row r="715" spans="1:26" ht="12.75">
      <c r="A715" s="11">
        <v>43746.839583333334</v>
      </c>
      <c r="B715" s="12" t="str">
        <f>HYPERLINK("https://twitter.com/abdelrehemmcdrs","@abdelrehemmcdrs")</f>
        <v>@abdelrehemmcdrs</v>
      </c>
      <c r="C715" s="13" t="s">
        <v>3973</v>
      </c>
      <c r="D715" s="13" t="s">
        <v>3974</v>
      </c>
      <c r="E715" s="12" t="str">
        <f>HYPERLINK("https://twitter.com/abdelrehemmcdrs/status/1181768497577299968","1181768497577299968")</f>
        <v>1181768497577299968</v>
      </c>
      <c r="F715" s="8"/>
      <c r="G715" s="14" t="s">
        <v>3977</v>
      </c>
      <c r="H715" s="8"/>
      <c r="I715" s="15">
        <v>0</v>
      </c>
      <c r="J715" s="15">
        <v>0</v>
      </c>
      <c r="K715" s="12" t="str">
        <f>HYPERLINK("http://twitter.com","Twitter Web Client")</f>
        <v>Twitter Web Client</v>
      </c>
      <c r="L715" s="16">
        <v>2</v>
      </c>
      <c r="M715" s="16">
        <v>41</v>
      </c>
      <c r="N715" s="16">
        <v>0</v>
      </c>
      <c r="O715" s="17"/>
      <c r="P715" s="18">
        <v>42429.486504629633</v>
      </c>
      <c r="Q715" s="8"/>
      <c r="R715" s="8" t="s">
        <v>3978</v>
      </c>
      <c r="S715" s="8"/>
      <c r="T715" s="8"/>
      <c r="U715" s="19" t="str">
        <f>HYPERLINK("https://pbs.twimg.com/profile_images/704499148700164097/iOEHgZl0.jpg","View")</f>
        <v>View</v>
      </c>
      <c r="V715" s="8"/>
      <c r="W715" s="8"/>
      <c r="X715" s="8"/>
      <c r="Y715" s="8"/>
      <c r="Z715" s="8"/>
    </row>
    <row r="716" spans="1:26" ht="12.75">
      <c r="A716" s="11">
        <v>43746.836562500001</v>
      </c>
      <c r="B716" s="12" t="str">
        <f>HYPERLINK("https://twitter.com/fawwazbentanlkp","@fawwazbentanlkp")</f>
        <v>@fawwazbentanlkp</v>
      </c>
      <c r="C716" s="13" t="s">
        <v>3980</v>
      </c>
      <c r="D716" s="7" t="s">
        <v>3981</v>
      </c>
      <c r="E716" s="12" t="str">
        <f>HYPERLINK("https://twitter.com/fawwazbentanlkp/status/1181767403002322944","1181767403002322944")</f>
        <v>1181767403002322944</v>
      </c>
      <c r="F716" s="8"/>
      <c r="G716" s="14" t="s">
        <v>3982</v>
      </c>
      <c r="H716" s="8"/>
      <c r="I716" s="15">
        <v>0</v>
      </c>
      <c r="J716" s="15">
        <v>0</v>
      </c>
      <c r="K716" s="12" t="str">
        <f>HYPERLINK("http://twitter.com","Twitter Web Client")</f>
        <v>Twitter Web Client</v>
      </c>
      <c r="L716" s="16">
        <v>14</v>
      </c>
      <c r="M716" s="16">
        <v>47</v>
      </c>
      <c r="N716" s="16">
        <v>0</v>
      </c>
      <c r="O716" s="17"/>
      <c r="P716" s="18">
        <v>42532.54965277778</v>
      </c>
      <c r="Q716" s="7" t="s">
        <v>3986</v>
      </c>
      <c r="R716" s="13" t="s">
        <v>3987</v>
      </c>
      <c r="S716" s="8"/>
      <c r="T716" s="8"/>
      <c r="U716" s="19" t="str">
        <f>HYPERLINK("https://pbs.twimg.com/profile_images/741724635457323008/7jDjToGs.jpg","View")</f>
        <v>View</v>
      </c>
      <c r="V716" s="8"/>
      <c r="W716" s="8"/>
      <c r="X716" s="8"/>
      <c r="Y716" s="8"/>
      <c r="Z716" s="8"/>
    </row>
    <row r="717" spans="1:26" ht="12.75">
      <c r="A717" s="11">
        <v>43746.835277777776</v>
      </c>
      <c r="B717" s="12" t="str">
        <f>HYPERLINK("https://twitter.com/naharyhedadnxtk","@naharyhedadnxtk")</f>
        <v>@naharyhedadnxtk</v>
      </c>
      <c r="C717" s="13" t="s">
        <v>3988</v>
      </c>
      <c r="D717" s="13" t="s">
        <v>3989</v>
      </c>
      <c r="E717" s="12" t="str">
        <f>HYPERLINK("https://twitter.com/naharyhedadnxtk/status/1181766936830582784","1181766936830582784")</f>
        <v>1181766936830582784</v>
      </c>
      <c r="F717" s="8"/>
      <c r="G717" s="14" t="s">
        <v>3990</v>
      </c>
      <c r="H717" s="8"/>
      <c r="I717" s="15">
        <v>0</v>
      </c>
      <c r="J717" s="15">
        <v>0</v>
      </c>
      <c r="K717" s="12" t="str">
        <f>HYPERLINK("http://twitter.com","Twitter Web Client")</f>
        <v>Twitter Web Client</v>
      </c>
      <c r="L717" s="16">
        <v>2</v>
      </c>
      <c r="M717" s="16">
        <v>39</v>
      </c>
      <c r="N717" s="16">
        <v>0</v>
      </c>
      <c r="O717" s="17"/>
      <c r="P717" s="18">
        <v>42474.277141203704</v>
      </c>
      <c r="Q717" s="8" t="s">
        <v>3991</v>
      </c>
      <c r="R717" s="8" t="s">
        <v>3992</v>
      </c>
      <c r="S717" s="8"/>
      <c r="T717" s="8"/>
      <c r="U717" s="19" t="str">
        <f>HYPERLINK("https://pbs.twimg.com/profile_images/720800176026304512/gL-S3vRI.jpg","View")</f>
        <v>View</v>
      </c>
      <c r="V717" s="8"/>
      <c r="W717" s="8"/>
      <c r="X717" s="8"/>
      <c r="Y717" s="8"/>
      <c r="Z717" s="8"/>
    </row>
    <row r="718" spans="1:26" ht="12.75">
      <c r="A718" s="11">
        <v>43746.834999999999</v>
      </c>
      <c r="B718" s="12" t="str">
        <f>HYPERLINK("https://twitter.com/zakimosaurqb","@zakimosaurqb")</f>
        <v>@zakimosaurqb</v>
      </c>
      <c r="C718" s="13" t="s">
        <v>3995</v>
      </c>
      <c r="D718" s="13" t="s">
        <v>3996</v>
      </c>
      <c r="E718" s="12" t="str">
        <f>HYPERLINK("https://twitter.com/zakimosaurqb/status/1181766835794001920","1181766835794001920")</f>
        <v>1181766835794001920</v>
      </c>
      <c r="F718" s="8"/>
      <c r="G718" s="14" t="s">
        <v>3997</v>
      </c>
      <c r="H718" s="8"/>
      <c r="I718" s="15">
        <v>0</v>
      </c>
      <c r="J718" s="15">
        <v>0</v>
      </c>
      <c r="K718" s="12" t="str">
        <f>HYPERLINK("http://twitter.com","Twitter Web Client")</f>
        <v>Twitter Web Client</v>
      </c>
      <c r="L718" s="16">
        <v>4</v>
      </c>
      <c r="M718" s="16">
        <v>42</v>
      </c>
      <c r="N718" s="16">
        <v>0</v>
      </c>
      <c r="O718" s="17"/>
      <c r="P718" s="18">
        <v>42429.696689814809</v>
      </c>
      <c r="Q718" s="8"/>
      <c r="R718" s="8" t="s">
        <v>4001</v>
      </c>
      <c r="S718" s="8"/>
      <c r="T718" s="8"/>
      <c r="U718" s="19" t="str">
        <f>HYPERLINK("https://pbs.twimg.com/profile_images/704550168465506304/YZ1rKpku.jpg","View")</f>
        <v>View</v>
      </c>
      <c r="V718" s="8"/>
      <c r="W718" s="8"/>
      <c r="X718" s="8"/>
      <c r="Y718" s="8"/>
      <c r="Z718" s="8"/>
    </row>
    <row r="719" spans="1:26" ht="12.75">
      <c r="A719" s="11">
        <v>43746.833703703705</v>
      </c>
      <c r="B719" s="12" t="str">
        <f>HYPERLINK("https://twitter.com/nayefmeaqlitdiv","@nayefmeaqlitdiv")</f>
        <v>@nayefmeaqlitdiv</v>
      </c>
      <c r="C719" s="13" t="s">
        <v>4003</v>
      </c>
      <c r="D719" s="13" t="s">
        <v>4004</v>
      </c>
      <c r="E719" s="12" t="str">
        <f>HYPERLINK("https://twitter.com/nayefmeaqlitdiv/status/1181766366090674177","1181766366090674177")</f>
        <v>1181766366090674177</v>
      </c>
      <c r="F719" s="8"/>
      <c r="G719" s="14" t="s">
        <v>4005</v>
      </c>
      <c r="H719" s="8"/>
      <c r="I719" s="15">
        <v>0</v>
      </c>
      <c r="J719" s="15">
        <v>0</v>
      </c>
      <c r="K719" s="12" t="str">
        <f>HYPERLINK("http://twitter.com","Twitter Web Client")</f>
        <v>Twitter Web Client</v>
      </c>
      <c r="L719" s="16">
        <v>2</v>
      </c>
      <c r="M719" s="16">
        <v>39</v>
      </c>
      <c r="N719" s="16">
        <v>0</v>
      </c>
      <c r="O719" s="17"/>
      <c r="P719" s="18">
        <v>42471.050034722226</v>
      </c>
      <c r="Q719" s="8" t="s">
        <v>4007</v>
      </c>
      <c r="R719" s="8" t="s">
        <v>4008</v>
      </c>
      <c r="S719" s="8"/>
      <c r="T719" s="8"/>
      <c r="U719" s="19" t="str">
        <f>HYPERLINK("https://pbs.twimg.com/profile_images/719708890154205184/AVv1iA5Q.jpg","View")</f>
        <v>View</v>
      </c>
      <c r="V719" s="8"/>
      <c r="W719" s="8"/>
      <c r="X719" s="8"/>
      <c r="Y719" s="8"/>
      <c r="Z719" s="8"/>
    </row>
    <row r="720" spans="1:26" ht="12.75">
      <c r="A720" s="11">
        <v>43746.827268518522</v>
      </c>
      <c r="B720" s="12" t="str">
        <f>HYPERLINK("https://twitter.com/aboubaidahfciug","@aboubaidahfciug")</f>
        <v>@aboubaidahfciug</v>
      </c>
      <c r="C720" s="7" t="s">
        <v>4011</v>
      </c>
      <c r="D720" s="7" t="s">
        <v>4012</v>
      </c>
      <c r="E720" s="12" t="str">
        <f>HYPERLINK("https://twitter.com/aboubaidahfciug/status/1181764033336299521","1181764033336299521")</f>
        <v>1181764033336299521</v>
      </c>
      <c r="F720" s="15"/>
      <c r="G720" s="14" t="s">
        <v>4013</v>
      </c>
      <c r="H720" s="8"/>
      <c r="I720" s="15">
        <v>0</v>
      </c>
      <c r="J720" s="15">
        <v>0</v>
      </c>
      <c r="K720" s="12" t="str">
        <f>HYPERLINK("http://twitter.com","Twitter Web Client")</f>
        <v>Twitter Web Client</v>
      </c>
      <c r="L720" s="16">
        <v>4</v>
      </c>
      <c r="M720" s="16">
        <v>41</v>
      </c>
      <c r="N720" s="16">
        <v>0</v>
      </c>
      <c r="O720" s="17"/>
      <c r="P720" s="18">
        <v>42429.700254629628</v>
      </c>
      <c r="Q720" s="7"/>
      <c r="R720" s="7" t="s">
        <v>4016</v>
      </c>
      <c r="S720" s="8"/>
      <c r="T720" s="8"/>
      <c r="U720" s="19" t="str">
        <f>HYPERLINK("https://pbs.twimg.com/profile_images/704551398495657984/wRg2M8_K.jpg","View")</f>
        <v>View</v>
      </c>
      <c r="V720" s="8"/>
      <c r="W720" s="8"/>
      <c r="X720" s="8"/>
      <c r="Y720" s="8"/>
      <c r="Z720" s="8"/>
    </row>
    <row r="721" spans="1:26" ht="12.75">
      <c r="A721" s="11">
        <v>43746.826261574075</v>
      </c>
      <c r="B721" s="12" t="str">
        <f>HYPERLINK("https://twitter.com/zahermenawechng","@zahermenawechng")</f>
        <v>@zahermenawechng</v>
      </c>
      <c r="C721" s="13" t="s">
        <v>4017</v>
      </c>
      <c r="D721" s="13" t="s">
        <v>4018</v>
      </c>
      <c r="E721" s="12" t="str">
        <f>HYPERLINK("https://twitter.com/zahermenawechng/status/1181763668440162304","1181763668440162304")</f>
        <v>1181763668440162304</v>
      </c>
      <c r="F721" s="8"/>
      <c r="G721" s="14" t="s">
        <v>4019</v>
      </c>
      <c r="H721" s="8"/>
      <c r="I721" s="15">
        <v>0</v>
      </c>
      <c r="J721" s="15">
        <v>0</v>
      </c>
      <c r="K721" s="12" t="str">
        <f>HYPERLINK("http://twitter.com","Twitter Web Client")</f>
        <v>Twitter Web Client</v>
      </c>
      <c r="L721" s="16">
        <v>1</v>
      </c>
      <c r="M721" s="16">
        <v>37</v>
      </c>
      <c r="N721" s="16">
        <v>0</v>
      </c>
      <c r="O721" s="17"/>
      <c r="P721" s="18">
        <v>42495.877962962964</v>
      </c>
      <c r="Q721" s="8" t="s">
        <v>4023</v>
      </c>
      <c r="R721" s="8" t="s">
        <v>4024</v>
      </c>
      <c r="S721" s="8"/>
      <c r="T721" s="8"/>
      <c r="U721" s="19" t="str">
        <f>HYPERLINK("https://pbs.twimg.com/profile_images/728436368997670913/hT7LDhSR.jpg","View")</f>
        <v>View</v>
      </c>
      <c r="V721" s="8"/>
      <c r="W721" s="8"/>
      <c r="X721" s="8"/>
      <c r="Y721" s="8"/>
      <c r="Z721" s="8"/>
    </row>
    <row r="722" spans="1:26" ht="12.75">
      <c r="A722" s="11">
        <v>43746.825694444444</v>
      </c>
      <c r="B722" s="12" t="str">
        <f>HYPERLINK("https://twitter.com/fayezbenmesqsrm","@fayezbenmesqsrm")</f>
        <v>@fayezbenmesqsrm</v>
      </c>
      <c r="C722" s="13" t="s">
        <v>4026</v>
      </c>
      <c r="D722" s="13" t="s">
        <v>4027</v>
      </c>
      <c r="E722" s="12" t="str">
        <f>HYPERLINK("https://twitter.com/fayezbenmesqsrm/status/1181763463955267591","1181763463955267591")</f>
        <v>1181763463955267591</v>
      </c>
      <c r="F722" s="8"/>
      <c r="G722" s="14" t="s">
        <v>4028</v>
      </c>
      <c r="H722" s="8"/>
      <c r="I722" s="15">
        <v>0</v>
      </c>
      <c r="J722" s="15">
        <v>0</v>
      </c>
      <c r="K722" s="12" t="str">
        <f>HYPERLINK("http://twitter.com","Twitter Web Client")</f>
        <v>Twitter Web Client</v>
      </c>
      <c r="L722" s="16">
        <v>13</v>
      </c>
      <c r="M722" s="16">
        <v>43</v>
      </c>
      <c r="N722" s="16">
        <v>0</v>
      </c>
      <c r="O722" s="17"/>
      <c r="P722" s="18">
        <v>42532.714780092589</v>
      </c>
      <c r="Q722" s="8" t="s">
        <v>4031</v>
      </c>
      <c r="R722" s="8" t="s">
        <v>3992</v>
      </c>
      <c r="S722" s="8"/>
      <c r="T722" s="8"/>
      <c r="U722" s="19" t="str">
        <f>HYPERLINK("https://pbs.twimg.com/profile_images/741784485981741057/UUwXvV6Q.jpg","View")</f>
        <v>View</v>
      </c>
      <c r="V722" s="8"/>
      <c r="W722" s="8"/>
      <c r="X722" s="8"/>
      <c r="Y722" s="8"/>
      <c r="Z722" s="8"/>
    </row>
    <row r="723" spans="1:26" ht="12.75">
      <c r="A723" s="11">
        <v>43746.824849537035</v>
      </c>
      <c r="B723" s="12" t="str">
        <f>HYPERLINK("https://twitter.com/talhansehemawzz","@talhansehemawzz")</f>
        <v>@talhansehemawzz</v>
      </c>
      <c r="C723" s="13" t="s">
        <v>4035</v>
      </c>
      <c r="D723" s="13" t="s">
        <v>4036</v>
      </c>
      <c r="E723" s="12" t="str">
        <f>HYPERLINK("https://twitter.com/talhansehemawzz/status/1181763158383484933","1181763158383484933")</f>
        <v>1181763158383484933</v>
      </c>
      <c r="F723" s="8"/>
      <c r="G723" s="14" t="s">
        <v>4037</v>
      </c>
      <c r="H723" s="8"/>
      <c r="I723" s="15">
        <v>0</v>
      </c>
      <c r="J723" s="15">
        <v>0</v>
      </c>
      <c r="K723" s="12" t="str">
        <f>HYPERLINK("http://twitter.com","Twitter Web Client")</f>
        <v>Twitter Web Client</v>
      </c>
      <c r="L723" s="16">
        <v>3</v>
      </c>
      <c r="M723" s="16">
        <v>39</v>
      </c>
      <c r="N723" s="16">
        <v>0</v>
      </c>
      <c r="O723" s="17"/>
      <c r="P723" s="18">
        <v>42429.732291666667</v>
      </c>
      <c r="Q723" s="8"/>
      <c r="R723" s="8" t="s">
        <v>4040</v>
      </c>
      <c r="S723" s="8"/>
      <c r="T723" s="8"/>
      <c r="U723" s="19" t="str">
        <f>HYPERLINK("https://pbs.twimg.com/profile_images/704562631240228864/ayk8W4Dr.jpg","View")</f>
        <v>View</v>
      </c>
      <c r="V723" s="8"/>
      <c r="W723" s="8"/>
      <c r="X723" s="8"/>
      <c r="Y723" s="8"/>
      <c r="Z723" s="8"/>
    </row>
    <row r="724" spans="1:26" ht="12.75">
      <c r="A724" s="11">
        <v>43746.821724537032</v>
      </c>
      <c r="B724" s="12" t="str">
        <f>HYPERLINK("https://twitter.com/abdelwahednymvg","@abdelwahednymvg")</f>
        <v>@abdelwahednymvg</v>
      </c>
      <c r="C724" s="7" t="s">
        <v>4041</v>
      </c>
      <c r="D724" s="13" t="s">
        <v>4042</v>
      </c>
      <c r="E724" s="12" t="str">
        <f>HYPERLINK("https://twitter.com/abdelwahednymvg/status/1181762023220289537","1181762023220289537")</f>
        <v>1181762023220289537</v>
      </c>
      <c r="F724" s="8"/>
      <c r="G724" s="14" t="s">
        <v>4043</v>
      </c>
      <c r="H724" s="8"/>
      <c r="I724" s="15">
        <v>0</v>
      </c>
      <c r="J724" s="15">
        <v>0</v>
      </c>
      <c r="K724" s="12" t="str">
        <f>HYPERLINK("http://twitter.com","Twitter Web Client")</f>
        <v>Twitter Web Client</v>
      </c>
      <c r="L724" s="16">
        <v>0</v>
      </c>
      <c r="M724" s="16">
        <v>37</v>
      </c>
      <c r="N724" s="16">
        <v>0</v>
      </c>
      <c r="O724" s="17"/>
      <c r="P724" s="18">
        <v>42495.927800925929</v>
      </c>
      <c r="Q724" s="8" t="s">
        <v>964</v>
      </c>
      <c r="R724" s="13" t="s">
        <v>4046</v>
      </c>
      <c r="S724" s="8"/>
      <c r="T724" s="8"/>
      <c r="U724" s="19" t="str">
        <f>HYPERLINK("https://pbs.twimg.com/profile_images/728454391963901953/5QtPlcKP.jpg","View")</f>
        <v>View</v>
      </c>
      <c r="V724" s="8"/>
      <c r="W724" s="8"/>
      <c r="X724" s="8"/>
      <c r="Y724" s="8"/>
      <c r="Z724" s="8"/>
    </row>
    <row r="725" spans="1:26" ht="12.75">
      <c r="A725" s="11">
        <v>43746.819328703699</v>
      </c>
      <c r="B725" s="12" t="str">
        <f>HYPERLINK("https://twitter.com/khamiszamilaoyx","@khamiszamilaoyx")</f>
        <v>@khamiszamilaoyx</v>
      </c>
      <c r="C725" s="13" t="s">
        <v>4047</v>
      </c>
      <c r="D725" s="13" t="s">
        <v>4048</v>
      </c>
      <c r="E725" s="12" t="str">
        <f>HYPERLINK("https://twitter.com/khamiszamilaoyx/status/1181761155880177671","1181761155880177671")</f>
        <v>1181761155880177671</v>
      </c>
      <c r="F725" s="8"/>
      <c r="G725" s="14" t="s">
        <v>4049</v>
      </c>
      <c r="H725" s="8"/>
      <c r="I725" s="15">
        <v>0</v>
      </c>
      <c r="J725" s="15">
        <v>0</v>
      </c>
      <c r="K725" s="12" t="str">
        <f>HYPERLINK("http://twitter.com","Twitter Web Client")</f>
        <v>Twitter Web Client</v>
      </c>
      <c r="L725" s="16">
        <v>4</v>
      </c>
      <c r="M725" s="16">
        <v>40</v>
      </c>
      <c r="N725" s="16">
        <v>0</v>
      </c>
      <c r="O725" s="17"/>
      <c r="P725" s="18">
        <v>42507.979826388888</v>
      </c>
      <c r="Q725" s="8" t="s">
        <v>4051</v>
      </c>
      <c r="R725" s="8" t="s">
        <v>4052</v>
      </c>
      <c r="S725" s="8"/>
      <c r="T725" s="8"/>
      <c r="U725" s="19" t="str">
        <f>HYPERLINK("https://pbs.twimg.com/profile_images/732821613020884992/ywhQ2Rdw.jpg","View")</f>
        <v>View</v>
      </c>
      <c r="V725" s="8"/>
      <c r="W725" s="8"/>
      <c r="X725" s="8"/>
      <c r="Y725" s="8"/>
      <c r="Z725" s="8"/>
    </row>
    <row r="726" spans="1:26" ht="12.75">
      <c r="A726" s="11">
        <v>43746.817719907413</v>
      </c>
      <c r="B726" s="12" t="str">
        <f>HYPERLINK("https://twitter.com/redatowaleyahnr","@redatowaleyahnr")</f>
        <v>@redatowaleyahnr</v>
      </c>
      <c r="C726" s="13" t="s">
        <v>4054</v>
      </c>
      <c r="D726" s="13" t="s">
        <v>4055</v>
      </c>
      <c r="E726" s="12" t="str">
        <f>HYPERLINK("https://twitter.com/redatowaleyahnr/status/1181760572372783104","1181760572372783104")</f>
        <v>1181760572372783104</v>
      </c>
      <c r="F726" s="8"/>
      <c r="G726" s="14" t="s">
        <v>4056</v>
      </c>
      <c r="H726" s="8"/>
      <c r="I726" s="15">
        <v>0</v>
      </c>
      <c r="J726" s="15">
        <v>0</v>
      </c>
      <c r="K726" s="12" t="str">
        <f>HYPERLINK("http://twitter.com","Twitter Web Client")</f>
        <v>Twitter Web Client</v>
      </c>
      <c r="L726" s="16">
        <v>5</v>
      </c>
      <c r="M726" s="16">
        <v>41</v>
      </c>
      <c r="N726" s="16">
        <v>0</v>
      </c>
      <c r="O726" s="17"/>
      <c r="P726" s="18">
        <v>42429.598645833335</v>
      </c>
      <c r="Q726" s="8"/>
      <c r="R726" s="8" t="s">
        <v>4057</v>
      </c>
      <c r="S726" s="8"/>
      <c r="T726" s="8"/>
      <c r="U726" s="19" t="str">
        <f>HYPERLINK("https://pbs.twimg.com/profile_images/704536419683930112/yF7nFeNw.jpg","View")</f>
        <v>View</v>
      </c>
      <c r="V726" s="8"/>
      <c r="W726" s="8"/>
      <c r="X726" s="8"/>
      <c r="Y726" s="8"/>
      <c r="Z726" s="8"/>
    </row>
    <row r="727" spans="1:26" ht="12.75">
      <c r="A727" s="11">
        <v>43746.816689814819</v>
      </c>
      <c r="B727" s="12" t="str">
        <f>HYPERLINK("https://twitter.com/tawfikaalixpudc","@tawfikaalixpudc")</f>
        <v>@tawfikaalixpudc</v>
      </c>
      <c r="C727" s="7" t="s">
        <v>4059</v>
      </c>
      <c r="D727" s="7" t="s">
        <v>4060</v>
      </c>
      <c r="E727" s="12" t="str">
        <f>HYPERLINK("https://twitter.com/tawfikaalixpudc/status/1181760200287690752","1181760200287690752")</f>
        <v>1181760200287690752</v>
      </c>
      <c r="F727" s="15"/>
      <c r="G727" s="14" t="s">
        <v>4061</v>
      </c>
      <c r="H727" s="8"/>
      <c r="I727" s="15">
        <v>0</v>
      </c>
      <c r="J727" s="15">
        <v>0</v>
      </c>
      <c r="K727" s="12" t="str">
        <f>HYPERLINK("http://twitter.com","Twitter Web Client")</f>
        <v>Twitter Web Client</v>
      </c>
      <c r="L727" s="16">
        <v>8</v>
      </c>
      <c r="M727" s="16">
        <v>48</v>
      </c>
      <c r="N727" s="16">
        <v>0</v>
      </c>
      <c r="O727" s="17"/>
      <c r="P727" s="18">
        <v>42529.108865740738</v>
      </c>
      <c r="Q727" s="7" t="s">
        <v>4064</v>
      </c>
      <c r="R727" s="7" t="s">
        <v>4065</v>
      </c>
      <c r="S727" s="8"/>
      <c r="T727" s="8"/>
      <c r="U727" s="19" t="str">
        <f>HYPERLINK("https://pbs.twimg.com/profile_images/740477747714248704/lCntvf3T.jpg","View")</f>
        <v>View</v>
      </c>
      <c r="V727" s="8"/>
      <c r="W727" s="8"/>
      <c r="X727" s="8"/>
      <c r="Y727" s="8"/>
      <c r="Z727" s="8"/>
    </row>
    <row r="728" spans="1:26" ht="12.75">
      <c r="A728" s="11">
        <v>43746.81527777778</v>
      </c>
      <c r="B728" s="12" t="str">
        <f>HYPERLINK("https://twitter.com/marwanbenmotqof","@marwanbenmotqof")</f>
        <v>@marwanbenmotqof</v>
      </c>
      <c r="C728" s="13" t="s">
        <v>4067</v>
      </c>
      <c r="D728" s="13" t="s">
        <v>4068</v>
      </c>
      <c r="E728" s="12" t="str">
        <f>HYPERLINK("https://twitter.com/marwanbenmotqof/status/1181759686741315585","1181759686741315585")</f>
        <v>1181759686741315585</v>
      </c>
      <c r="F728" s="8"/>
      <c r="G728" s="14" t="s">
        <v>4069</v>
      </c>
      <c r="H728" s="8"/>
      <c r="I728" s="15">
        <v>0</v>
      </c>
      <c r="J728" s="15">
        <v>0</v>
      </c>
      <c r="K728" s="12" t="str">
        <f>HYPERLINK("http://twitter.com","Twitter Web Client")</f>
        <v>Twitter Web Client</v>
      </c>
      <c r="L728" s="16">
        <v>3</v>
      </c>
      <c r="M728" s="16">
        <v>42</v>
      </c>
      <c r="N728" s="16">
        <v>0</v>
      </c>
      <c r="O728" s="17"/>
      <c r="P728" s="18">
        <v>42429.745370370365</v>
      </c>
      <c r="Q728" s="8"/>
      <c r="R728" s="8" t="s">
        <v>4073</v>
      </c>
      <c r="S728" s="8"/>
      <c r="T728" s="8"/>
      <c r="U728" s="19" t="str">
        <f>HYPERLINK("https://pbs.twimg.com/profile_images/704567756427923456/oXTVAkif.jpg","View")</f>
        <v>View</v>
      </c>
      <c r="V728" s="8"/>
      <c r="W728" s="8"/>
      <c r="X728" s="8"/>
      <c r="Y728" s="8"/>
      <c r="Z728" s="8"/>
    </row>
    <row r="729" spans="1:26" ht="12.75">
      <c r="A729" s="11">
        <v>43746.814826388887</v>
      </c>
      <c r="B729" s="12" t="str">
        <f>HYPERLINK("https://twitter.com/alykaabiaeyp","@alykaabiaeyp")</f>
        <v>@alykaabiaeyp</v>
      </c>
      <c r="C729" s="13" t="s">
        <v>4074</v>
      </c>
      <c r="D729" s="13" t="s">
        <v>4075</v>
      </c>
      <c r="E729" s="12" t="str">
        <f>HYPERLINK("https://twitter.com/alykaabiaeyp/status/1181759526258823169","1181759526258823169")</f>
        <v>1181759526258823169</v>
      </c>
      <c r="F729" s="8"/>
      <c r="G729" s="14" t="s">
        <v>4078</v>
      </c>
      <c r="H729" s="8"/>
      <c r="I729" s="15">
        <v>0</v>
      </c>
      <c r="J729" s="15">
        <v>0</v>
      </c>
      <c r="K729" s="12" t="str">
        <f>HYPERLINK("http://twitter.com","Twitter Web Client")</f>
        <v>Twitter Web Client</v>
      </c>
      <c r="L729" s="16">
        <v>6</v>
      </c>
      <c r="M729" s="16">
        <v>41</v>
      </c>
      <c r="N729" s="16">
        <v>0</v>
      </c>
      <c r="O729" s="17"/>
      <c r="P729" s="18">
        <v>42429.603171296301</v>
      </c>
      <c r="Q729" s="8"/>
      <c r="R729" s="8" t="s">
        <v>4081</v>
      </c>
      <c r="S729" s="8"/>
      <c r="T729" s="8"/>
      <c r="U729" s="19" t="str">
        <f>HYPERLINK("https://pbs.twimg.com/profile_images/704537951888277504/U-6kFvv7.jpg","View")</f>
        <v>View</v>
      </c>
      <c r="V729" s="8"/>
      <c r="W729" s="8"/>
      <c r="X729" s="8"/>
      <c r="Y729" s="8"/>
      <c r="Z729" s="8"/>
    </row>
    <row r="730" spans="1:26" ht="12.75">
      <c r="A730" s="11">
        <v>43746.812673611115</v>
      </c>
      <c r="B730" s="12" t="str">
        <f>HYPERLINK("https://twitter.com/yehiahoshanbtbh","@yehiahoshanbtbh")</f>
        <v>@yehiahoshanbtbh</v>
      </c>
      <c r="C730" s="13" t="s">
        <v>4083</v>
      </c>
      <c r="D730" s="7" t="s">
        <v>4084</v>
      </c>
      <c r="E730" s="12" t="str">
        <f>HYPERLINK("https://twitter.com/yehiahoshanbtbh/status/1181758746869059584","1181758746869059584")</f>
        <v>1181758746869059584</v>
      </c>
      <c r="F730" s="8"/>
      <c r="G730" s="14" t="s">
        <v>4085</v>
      </c>
      <c r="H730" s="8"/>
      <c r="I730" s="15">
        <v>0</v>
      </c>
      <c r="J730" s="15">
        <v>0</v>
      </c>
      <c r="K730" s="12" t="str">
        <f>HYPERLINK("http://twitter.com","Twitter Web Client")</f>
        <v>Twitter Web Client</v>
      </c>
      <c r="L730" s="16">
        <v>2</v>
      </c>
      <c r="M730" s="16">
        <v>42</v>
      </c>
      <c r="N730" s="16">
        <v>0</v>
      </c>
      <c r="O730" s="17"/>
      <c r="P730" s="18">
        <v>42429.57094907407</v>
      </c>
      <c r="Q730" s="8"/>
      <c r="R730" s="13" t="s">
        <v>4086</v>
      </c>
      <c r="S730" s="8"/>
      <c r="T730" s="8"/>
      <c r="U730" s="19" t="str">
        <f>HYPERLINK("https://pbs.twimg.com/profile_images/704530330338926592/JlVKI4-P.jpg","View")</f>
        <v>View</v>
      </c>
      <c r="V730" s="8"/>
      <c r="W730" s="8"/>
      <c r="X730" s="8"/>
      <c r="Y730" s="8"/>
      <c r="Z730" s="8"/>
    </row>
    <row r="731" spans="1:26" ht="12.75">
      <c r="A731" s="11">
        <v>43746.810833333337</v>
      </c>
      <c r="B731" s="12" t="str">
        <f>HYPERLINK("https://twitter.com/sahershayeaxhbi","@sahershayeaxhbi")</f>
        <v>@sahershayeaxhbi</v>
      </c>
      <c r="C731" s="13" t="s">
        <v>4090</v>
      </c>
      <c r="D731" s="13" t="s">
        <v>4091</v>
      </c>
      <c r="E731" s="12" t="str">
        <f>HYPERLINK("https://twitter.com/sahershayeaxhbi/status/1181758076812251137","1181758076812251137")</f>
        <v>1181758076812251137</v>
      </c>
      <c r="F731" s="8"/>
      <c r="G731" s="14" t="s">
        <v>4092</v>
      </c>
      <c r="H731" s="8"/>
      <c r="I731" s="15">
        <v>0</v>
      </c>
      <c r="J731" s="15">
        <v>0</v>
      </c>
      <c r="K731" s="12" t="str">
        <f>HYPERLINK("http://twitter.com","Twitter Web Client")</f>
        <v>Twitter Web Client</v>
      </c>
      <c r="L731" s="16">
        <v>16</v>
      </c>
      <c r="M731" s="16">
        <v>48</v>
      </c>
      <c r="N731" s="16">
        <v>0</v>
      </c>
      <c r="O731" s="17"/>
      <c r="P731" s="18">
        <v>42532.539756944447</v>
      </c>
      <c r="Q731" s="8" t="s">
        <v>4094</v>
      </c>
      <c r="R731" s="8" t="s">
        <v>4095</v>
      </c>
      <c r="S731" s="8"/>
      <c r="T731" s="8"/>
      <c r="U731" s="19" t="str">
        <f>HYPERLINK("https://pbs.twimg.com/profile_images/741721057640484864/k_dC8AHz.jpg","View")</f>
        <v>View</v>
      </c>
      <c r="V731" s="8"/>
      <c r="W731" s="8"/>
      <c r="X731" s="8"/>
      <c r="Y731" s="8"/>
      <c r="Z731" s="8"/>
    </row>
    <row r="732" spans="1:26" ht="12.75">
      <c r="A732" s="11">
        <v>43746.809548611112</v>
      </c>
      <c r="B732" s="12" t="str">
        <f>HYPERLINK("https://twitter.com/kool65doc","@kool65doc")</f>
        <v>@kool65doc</v>
      </c>
      <c r="C732" s="13" t="s">
        <v>4096</v>
      </c>
      <c r="D732" s="13" t="s">
        <v>4097</v>
      </c>
      <c r="E732" s="12" t="str">
        <f>HYPERLINK("https://twitter.com/kool65doc/status/1181757611517104128","1181757611517104128")</f>
        <v>1181757611517104128</v>
      </c>
      <c r="F732" s="8"/>
      <c r="G732" s="15"/>
      <c r="H732" s="8"/>
      <c r="I732" s="15">
        <v>0</v>
      </c>
      <c r="J732" s="15">
        <v>0</v>
      </c>
      <c r="K732" s="12" t="str">
        <f>HYPERLINK("https://mobile.twitter.com","Twitter Web App")</f>
        <v>Twitter Web App</v>
      </c>
      <c r="L732" s="16">
        <v>1049</v>
      </c>
      <c r="M732" s="16">
        <v>1552</v>
      </c>
      <c r="N732" s="16">
        <v>6</v>
      </c>
      <c r="O732" s="17"/>
      <c r="P732" s="18">
        <v>41519.772314814814</v>
      </c>
      <c r="Q732" s="8" t="s">
        <v>4098</v>
      </c>
      <c r="R732" s="8" t="s">
        <v>4100</v>
      </c>
      <c r="S732" s="8"/>
      <c r="T732" s="8"/>
      <c r="U732" s="19" t="str">
        <f>HYPERLINK("https://pbs.twimg.com/profile_images/1137775446773383173/9H2xWB6A.png","View")</f>
        <v>View</v>
      </c>
      <c r="V732" s="8"/>
      <c r="W732" s="8"/>
      <c r="X732" s="8"/>
      <c r="Y732" s="8"/>
      <c r="Z732" s="8"/>
    </row>
    <row r="733" spans="1:26" ht="12.75">
      <c r="A733" s="11">
        <v>43746.807118055556</v>
      </c>
      <c r="B733" s="12" t="str">
        <f>HYPERLINK("https://twitter.com/ramzyharthywenq","@ramzyharthywenq")</f>
        <v>@ramzyharthywenq</v>
      </c>
      <c r="C733" s="13" t="s">
        <v>4102</v>
      </c>
      <c r="D733" s="13" t="s">
        <v>4103</v>
      </c>
      <c r="E733" s="12" t="str">
        <f>HYPERLINK("https://twitter.com/ramzyharthywenq/status/1181756731480662016","1181756731480662016")</f>
        <v>1181756731480662016</v>
      </c>
      <c r="F733" s="8"/>
      <c r="G733" s="14" t="s">
        <v>4104</v>
      </c>
      <c r="H733" s="8"/>
      <c r="I733" s="15">
        <v>0</v>
      </c>
      <c r="J733" s="15">
        <v>0</v>
      </c>
      <c r="K733" s="12" t="str">
        <f>HYPERLINK("http://twitter.com","Twitter Web Client")</f>
        <v>Twitter Web Client</v>
      </c>
      <c r="L733" s="16">
        <v>6</v>
      </c>
      <c r="M733" s="16">
        <v>41</v>
      </c>
      <c r="N733" s="16">
        <v>0</v>
      </c>
      <c r="O733" s="17"/>
      <c r="P733" s="18">
        <v>42429.773402777777</v>
      </c>
      <c r="Q733" s="8"/>
      <c r="R733" s="8" t="s">
        <v>4107</v>
      </c>
      <c r="S733" s="8"/>
      <c r="T733" s="8"/>
      <c r="U733" s="19" t="str">
        <f>HYPERLINK("https://pbs.twimg.com/profile_images/704578696003362816/tXIZHm80.jpg","View")</f>
        <v>View</v>
      </c>
      <c r="V733" s="8"/>
      <c r="W733" s="8"/>
      <c r="X733" s="8"/>
      <c r="Y733" s="8"/>
      <c r="Z733" s="8"/>
    </row>
    <row r="734" spans="1:26" ht="12.75">
      <c r="A734" s="11">
        <v>43746.806562500002</v>
      </c>
      <c r="B734" s="12" t="str">
        <f>HYPERLINK("https://twitter.com/ramibakarigmum","@ramibakarigmum")</f>
        <v>@ramibakarigmum</v>
      </c>
      <c r="C734" s="13" t="s">
        <v>4109</v>
      </c>
      <c r="D734" s="13" t="s">
        <v>4110</v>
      </c>
      <c r="E734" s="12" t="str">
        <f>HYPERLINK("https://twitter.com/ramibakarigmum/status/1181756528682049537","1181756528682049537")</f>
        <v>1181756528682049537</v>
      </c>
      <c r="F734" s="8"/>
      <c r="G734" s="14" t="s">
        <v>4111</v>
      </c>
      <c r="H734" s="8"/>
      <c r="I734" s="15">
        <v>0</v>
      </c>
      <c r="J734" s="15">
        <v>0</v>
      </c>
      <c r="K734" s="12" t="str">
        <f>HYPERLINK("http://twitter.com","Twitter Web Client")</f>
        <v>Twitter Web Client</v>
      </c>
      <c r="L734" s="16">
        <v>1</v>
      </c>
      <c r="M734" s="16">
        <v>40</v>
      </c>
      <c r="N734" s="16">
        <v>0</v>
      </c>
      <c r="O734" s="17"/>
      <c r="P734" s="18">
        <v>42471.562615740739</v>
      </c>
      <c r="Q734" s="8" t="s">
        <v>4112</v>
      </c>
      <c r="R734" s="8" t="s">
        <v>4113</v>
      </c>
      <c r="S734" s="8"/>
      <c r="T734" s="8"/>
      <c r="U734" s="19" t="str">
        <f>HYPERLINK("https://pbs.twimg.com/profile_images/719759891485835264/5rnVvjjR.jpg","View")</f>
        <v>View</v>
      </c>
      <c r="V734" s="8"/>
      <c r="W734" s="8"/>
      <c r="X734" s="8"/>
      <c r="Y734" s="8"/>
      <c r="Z734" s="8"/>
    </row>
    <row r="735" spans="1:26" ht="12.75">
      <c r="A735" s="11">
        <v>43746.805277777778</v>
      </c>
      <c r="B735" s="12" t="str">
        <f>HYPERLINK("https://twitter.com/farrashoshablhv","@farrashoshablhv")</f>
        <v>@farrashoshablhv</v>
      </c>
      <c r="C735" s="13" t="s">
        <v>4115</v>
      </c>
      <c r="D735" s="13" t="s">
        <v>4116</v>
      </c>
      <c r="E735" s="12" t="str">
        <f>HYPERLINK("https://twitter.com/farrashoshablhv/status/1181756064703930369","1181756064703930369")</f>
        <v>1181756064703930369</v>
      </c>
      <c r="F735" s="8"/>
      <c r="G735" s="14" t="s">
        <v>4117</v>
      </c>
      <c r="H735" s="8"/>
      <c r="I735" s="15">
        <v>0</v>
      </c>
      <c r="J735" s="15">
        <v>0</v>
      </c>
      <c r="K735" s="12" t="str">
        <f>HYPERLINK("http://twitter.com","Twitter Web Client")</f>
        <v>Twitter Web Client</v>
      </c>
      <c r="L735" s="16">
        <v>7</v>
      </c>
      <c r="M735" s="16">
        <v>50</v>
      </c>
      <c r="N735" s="16">
        <v>0</v>
      </c>
      <c r="O735" s="17"/>
      <c r="P735" s="18">
        <v>42533.511342592596</v>
      </c>
      <c r="Q735" s="8" t="s">
        <v>4023</v>
      </c>
      <c r="R735" s="8" t="s">
        <v>4118</v>
      </c>
      <c r="S735" s="8"/>
      <c r="T735" s="8"/>
      <c r="U735" s="19" t="str">
        <f>HYPERLINK("https://pbs.twimg.com/profile_images/742073144442277888/bc1gqav8.jpg","View")</f>
        <v>View</v>
      </c>
      <c r="V735" s="8"/>
      <c r="W735" s="8"/>
      <c r="X735" s="8"/>
      <c r="Y735" s="8"/>
      <c r="Z735" s="8"/>
    </row>
    <row r="736" spans="1:26" ht="12.75">
      <c r="A736" s="11">
        <v>43746.801840277782</v>
      </c>
      <c r="B736" s="12" t="str">
        <f>HYPERLINK("https://twitter.com/fayyadmekhlspsb","@fayyadmekhlspsb")</f>
        <v>@fayyadmekhlspsb</v>
      </c>
      <c r="C736" s="13" t="s">
        <v>4119</v>
      </c>
      <c r="D736" s="13" t="s">
        <v>4120</v>
      </c>
      <c r="E736" s="12" t="str">
        <f>HYPERLINK("https://twitter.com/fayyadmekhlspsb/status/1181754820807548928","1181754820807548928")</f>
        <v>1181754820807548928</v>
      </c>
      <c r="F736" s="8"/>
      <c r="G736" s="14" t="s">
        <v>4121</v>
      </c>
      <c r="H736" s="8"/>
      <c r="I736" s="15">
        <v>0</v>
      </c>
      <c r="J736" s="15">
        <v>0</v>
      </c>
      <c r="K736" s="12" t="str">
        <f>HYPERLINK("http://twitter.com","Twitter Web Client")</f>
        <v>Twitter Web Client</v>
      </c>
      <c r="L736" s="16">
        <v>15</v>
      </c>
      <c r="M736" s="16">
        <v>43</v>
      </c>
      <c r="N736" s="16">
        <v>0</v>
      </c>
      <c r="O736" s="17"/>
      <c r="P736" s="18">
        <v>42529.492372685185</v>
      </c>
      <c r="Q736" s="8" t="s">
        <v>4122</v>
      </c>
      <c r="R736" s="8" t="s">
        <v>4123</v>
      </c>
      <c r="S736" s="8"/>
      <c r="T736" s="8"/>
      <c r="U736" s="19" t="str">
        <f>HYPERLINK("https://pbs.twimg.com/profile_images/740616720944140288/qortEkes.jpg","View")</f>
        <v>View</v>
      </c>
      <c r="V736" s="8"/>
      <c r="W736" s="8"/>
      <c r="X736" s="8"/>
      <c r="Y736" s="8"/>
      <c r="Z736" s="8"/>
    </row>
    <row r="737" spans="1:26" ht="12.75">
      <c r="A737" s="11">
        <v>43746.801562499997</v>
      </c>
      <c r="B737" s="12" t="str">
        <f>HYPERLINK("https://twitter.com/sohaibkebespwir","@sohaibkebespwir")</f>
        <v>@sohaibkebespwir</v>
      </c>
      <c r="C737" s="7" t="s">
        <v>4126</v>
      </c>
      <c r="D737" s="7" t="s">
        <v>4127</v>
      </c>
      <c r="E737" s="12" t="str">
        <f>HYPERLINK("https://twitter.com/sohaibkebespwir/status/1181754716956573697","1181754716956573697")</f>
        <v>1181754716956573697</v>
      </c>
      <c r="F737" s="8"/>
      <c r="G737" s="14" t="s">
        <v>4128</v>
      </c>
      <c r="H737" s="8"/>
      <c r="I737" s="15">
        <v>0</v>
      </c>
      <c r="J737" s="15">
        <v>0</v>
      </c>
      <c r="K737" s="12" t="str">
        <f>HYPERLINK("http://twitter.com","Twitter Web Client")</f>
        <v>Twitter Web Client</v>
      </c>
      <c r="L737" s="16">
        <v>3</v>
      </c>
      <c r="M737" s="16">
        <v>46</v>
      </c>
      <c r="N737" s="16">
        <v>0</v>
      </c>
      <c r="O737" s="17"/>
      <c r="P737" s="18">
        <v>42533.682083333333</v>
      </c>
      <c r="Q737" s="7" t="s">
        <v>4130</v>
      </c>
      <c r="R737" s="7" t="s">
        <v>4131</v>
      </c>
      <c r="S737" s="8"/>
      <c r="T737" s="8"/>
      <c r="U737" s="19" t="str">
        <f>HYPERLINK("https://pbs.twimg.com/profile_images/742135019125231616/LnXPBzV8.jpg","View")</f>
        <v>View</v>
      </c>
      <c r="V737" s="8"/>
      <c r="W737" s="8"/>
      <c r="X737" s="8"/>
      <c r="Y737" s="8"/>
      <c r="Z737" s="8"/>
    </row>
    <row r="738" spans="1:26" ht="12.75">
      <c r="A738" s="11">
        <v>43746.801273148143</v>
      </c>
      <c r="B738" s="12" t="str">
        <f>HYPERLINK("https://twitter.com/rabeazaakcxslyg","@rabeazaakcxslyg")</f>
        <v>@rabeazaakcxslyg</v>
      </c>
      <c r="C738" s="7" t="s">
        <v>4132</v>
      </c>
      <c r="D738" s="13" t="s">
        <v>4133</v>
      </c>
      <c r="E738" s="12" t="str">
        <f>HYPERLINK("https://twitter.com/rabeazaakcxslyg/status/1181754612942098432","1181754612942098432")</f>
        <v>1181754612942098432</v>
      </c>
      <c r="F738" s="8"/>
      <c r="G738" s="14" t="s">
        <v>4134</v>
      </c>
      <c r="H738" s="8"/>
      <c r="I738" s="15">
        <v>0</v>
      </c>
      <c r="J738" s="15">
        <v>0</v>
      </c>
      <c r="K738" s="12" t="str">
        <f>HYPERLINK("http://twitter.com","Twitter Web Client")</f>
        <v>Twitter Web Client</v>
      </c>
      <c r="L738" s="16">
        <v>1</v>
      </c>
      <c r="M738" s="16">
        <v>39</v>
      </c>
      <c r="N738" s="16">
        <v>0</v>
      </c>
      <c r="O738" s="17"/>
      <c r="P738" s="18">
        <v>42496.945844907408</v>
      </c>
      <c r="Q738" s="8" t="s">
        <v>4135</v>
      </c>
      <c r="R738" s="8" t="s">
        <v>4136</v>
      </c>
      <c r="S738" s="8"/>
      <c r="T738" s="8"/>
      <c r="U738" s="19" t="str">
        <f>HYPERLINK("https://pbs.twimg.com/profile_images/728822994580209664/L37hOe9M.jpg","View")</f>
        <v>View</v>
      </c>
      <c r="V738" s="8"/>
      <c r="W738" s="8"/>
      <c r="X738" s="8"/>
      <c r="Y738" s="8"/>
      <c r="Z738" s="8"/>
    </row>
    <row r="739" spans="1:26" ht="12.75">
      <c r="A739" s="11">
        <v>43746.797789351855</v>
      </c>
      <c r="B739" s="12" t="str">
        <f>HYPERLINK("https://twitter.com/malekgasemfftr","@malekgasemfftr")</f>
        <v>@malekgasemfftr</v>
      </c>
      <c r="C739" s="13" t="s">
        <v>4137</v>
      </c>
      <c r="D739" s="13" t="s">
        <v>4138</v>
      </c>
      <c r="E739" s="12" t="str">
        <f>HYPERLINK("https://twitter.com/malekgasemfftr/status/1181753351417077762","1181753351417077762")</f>
        <v>1181753351417077762</v>
      </c>
      <c r="F739" s="8"/>
      <c r="G739" s="14" t="s">
        <v>4139</v>
      </c>
      <c r="H739" s="8"/>
      <c r="I739" s="15">
        <v>0</v>
      </c>
      <c r="J739" s="15">
        <v>0</v>
      </c>
      <c r="K739" s="12" t="str">
        <f>HYPERLINK("http://twitter.com","Twitter Web Client")</f>
        <v>Twitter Web Client</v>
      </c>
      <c r="L739" s="16">
        <v>1</v>
      </c>
      <c r="M739" s="16">
        <v>39</v>
      </c>
      <c r="N739" s="16">
        <v>0</v>
      </c>
      <c r="O739" s="17"/>
      <c r="P739" s="18">
        <v>42468.639918981484</v>
      </c>
      <c r="Q739" s="8" t="s">
        <v>4140</v>
      </c>
      <c r="R739" s="8" t="s">
        <v>4141</v>
      </c>
      <c r="S739" s="8"/>
      <c r="T739" s="8"/>
      <c r="U739" s="19" t="str">
        <f>HYPERLINK("https://pbs.twimg.com/profile_images/718633967390330880/JPnCNFvb.jpg","View")</f>
        <v>View</v>
      </c>
      <c r="V739" s="8"/>
      <c r="W739" s="8"/>
      <c r="X739" s="8"/>
      <c r="Y739" s="8"/>
      <c r="Z739" s="8"/>
    </row>
    <row r="740" spans="1:26" ht="12.75">
      <c r="A740" s="11">
        <v>43746.796956018516</v>
      </c>
      <c r="B740" s="12" t="str">
        <f>HYPERLINK("https://twitter.com/wanisowaisoyid","@wanisowaisoyid")</f>
        <v>@wanisowaisoyid</v>
      </c>
      <c r="C740" s="13" t="s">
        <v>4142</v>
      </c>
      <c r="D740" s="13" t="s">
        <v>4143</v>
      </c>
      <c r="E740" s="12" t="str">
        <f>HYPERLINK("https://twitter.com/wanisowaisoyid/status/1181753047170584576","1181753047170584576")</f>
        <v>1181753047170584576</v>
      </c>
      <c r="F740" s="8"/>
      <c r="G740" s="14" t="s">
        <v>4146</v>
      </c>
      <c r="H740" s="8"/>
      <c r="I740" s="15">
        <v>0</v>
      </c>
      <c r="J740" s="15">
        <v>0</v>
      </c>
      <c r="K740" s="12" t="str">
        <f>HYPERLINK("http://twitter.com","Twitter Web Client")</f>
        <v>Twitter Web Client</v>
      </c>
      <c r="L740" s="16">
        <v>3</v>
      </c>
      <c r="M740" s="16">
        <v>41</v>
      </c>
      <c r="N740" s="16">
        <v>0</v>
      </c>
      <c r="O740" s="17"/>
      <c r="P740" s="18">
        <v>42429.534120370372</v>
      </c>
      <c r="Q740" s="8"/>
      <c r="R740" s="8" t="s">
        <v>4148</v>
      </c>
      <c r="S740" s="8"/>
      <c r="T740" s="8"/>
      <c r="U740" s="19" t="str">
        <f>HYPERLINK("https://pbs.twimg.com/profile_images/704517811683483648/0JxtjX5G.jpg","View")</f>
        <v>View</v>
      </c>
      <c r="V740" s="8"/>
      <c r="W740" s="8"/>
      <c r="X740" s="8"/>
      <c r="Y740" s="8"/>
      <c r="Z740" s="8"/>
    </row>
    <row r="741" spans="1:26" ht="12.75">
      <c r="A741" s="11">
        <v>43746.795104166667</v>
      </c>
      <c r="B741" s="12" t="str">
        <f>HYPERLINK("https://twitter.com/hazemmosedatqy","@hazemmosedatqy")</f>
        <v>@hazemmosedatqy</v>
      </c>
      <c r="C741" s="13" t="s">
        <v>4149</v>
      </c>
      <c r="D741" s="13" t="s">
        <v>4150</v>
      </c>
      <c r="E741" s="12" t="str">
        <f>HYPERLINK("https://twitter.com/hazemmosedatqy/status/1181752378967674880","1181752378967674880")</f>
        <v>1181752378967674880</v>
      </c>
      <c r="F741" s="8"/>
      <c r="G741" s="14" t="s">
        <v>4151</v>
      </c>
      <c r="H741" s="8"/>
      <c r="I741" s="15">
        <v>0</v>
      </c>
      <c r="J741" s="15">
        <v>0</v>
      </c>
      <c r="K741" s="12" t="str">
        <f>HYPERLINK("http://twitter.com","Twitter Web Client")</f>
        <v>Twitter Web Client</v>
      </c>
      <c r="L741" s="16">
        <v>4</v>
      </c>
      <c r="M741" s="16">
        <v>41</v>
      </c>
      <c r="N741" s="16">
        <v>0</v>
      </c>
      <c r="O741" s="17"/>
      <c r="P741" s="18">
        <v>42429.737650462965</v>
      </c>
      <c r="Q741" s="8"/>
      <c r="R741" s="8" t="s">
        <v>4154</v>
      </c>
      <c r="S741" s="8"/>
      <c r="T741" s="8"/>
      <c r="U741" s="19" t="str">
        <f>HYPERLINK("https://pbs.twimg.com/profile_images/704564681101459458/P-UTL4Se.jpg","View")</f>
        <v>View</v>
      </c>
      <c r="V741" s="8"/>
      <c r="W741" s="8"/>
      <c r="X741" s="8"/>
      <c r="Y741" s="8"/>
      <c r="Z741" s="8"/>
    </row>
    <row r="742" spans="1:26" ht="12.75">
      <c r="A742" s="11">
        <v>43746.790231481486</v>
      </c>
      <c r="B742" s="12" t="str">
        <f>HYPERLINK("https://twitter.com/RajMeister","@RajMeister")</f>
        <v>@RajMeister</v>
      </c>
      <c r="C742" s="13" t="s">
        <v>4157</v>
      </c>
      <c r="D742" s="13" t="s">
        <v>4158</v>
      </c>
      <c r="E742" s="12" t="str">
        <f>HYPERLINK("https://twitter.com/RajMeister/status/1181750612444229639","1181750612444229639")</f>
        <v>1181750612444229639</v>
      </c>
      <c r="F742" s="8"/>
      <c r="G742" s="15"/>
      <c r="H742" s="8"/>
      <c r="I742" s="15">
        <v>0</v>
      </c>
      <c r="J742" s="15">
        <v>0</v>
      </c>
      <c r="K742" s="12" t="str">
        <f>HYPERLINK("http://twitter.com/download/iphone","Twitter for iPhone")</f>
        <v>Twitter for iPhone</v>
      </c>
      <c r="L742" s="16">
        <v>1354</v>
      </c>
      <c r="M742" s="16">
        <v>276</v>
      </c>
      <c r="N742" s="16">
        <v>42</v>
      </c>
      <c r="O742" s="17"/>
      <c r="P742" s="18">
        <v>40358.129282407404</v>
      </c>
      <c r="Q742" s="8" t="s">
        <v>4160</v>
      </c>
      <c r="R742" s="8" t="s">
        <v>4161</v>
      </c>
      <c r="S742" s="14" t="s">
        <v>4162</v>
      </c>
      <c r="T742" s="8"/>
      <c r="U742" s="19" t="str">
        <f>HYPERLINK("https://pbs.twimg.com/profile_images/600491986831974400/UUZ3vSQp.jpg","View")</f>
        <v>View</v>
      </c>
      <c r="V742" s="8"/>
      <c r="W742" s="8"/>
      <c r="X742" s="8"/>
      <c r="Y742" s="8"/>
      <c r="Z742" s="8"/>
    </row>
    <row r="743" spans="1:26" ht="12.75">
      <c r="A743" s="11">
        <v>43746.789872685185</v>
      </c>
      <c r="B743" s="12" t="str">
        <f>HYPERLINK("https://twitter.com/thabetgobairdfh","@thabetgobairdfh")</f>
        <v>@thabetgobairdfh</v>
      </c>
      <c r="C743" s="7" t="s">
        <v>4165</v>
      </c>
      <c r="D743" s="7" t="s">
        <v>4166</v>
      </c>
      <c r="E743" s="12" t="str">
        <f>HYPERLINK("https://twitter.com/thabetgobairdfh/status/1181750480525025281","1181750480525025281")</f>
        <v>1181750480525025281</v>
      </c>
      <c r="F743" s="8"/>
      <c r="G743" s="14" t="s">
        <v>4167</v>
      </c>
      <c r="H743" s="8"/>
      <c r="I743" s="15">
        <v>0</v>
      </c>
      <c r="J743" s="15">
        <v>0</v>
      </c>
      <c r="K743" s="12" t="str">
        <f>HYPERLINK("http://twitter.com","Twitter Web Client")</f>
        <v>Twitter Web Client</v>
      </c>
      <c r="L743" s="16">
        <v>11</v>
      </c>
      <c r="M743" s="16">
        <v>42</v>
      </c>
      <c r="N743" s="16">
        <v>0</v>
      </c>
      <c r="O743" s="17"/>
      <c r="P743" s="18">
        <v>42533.453553240739</v>
      </c>
      <c r="Q743" s="7" t="s">
        <v>4170</v>
      </c>
      <c r="R743" s="7" t="s">
        <v>4171</v>
      </c>
      <c r="S743" s="8"/>
      <c r="T743" s="8"/>
      <c r="U743" s="19" t="str">
        <f>HYPERLINK("https://pbs.twimg.com/profile_images/742052204383768580/i0UEoUlo.jpg","View")</f>
        <v>View</v>
      </c>
      <c r="V743" s="8"/>
      <c r="W743" s="8"/>
      <c r="X743" s="8"/>
      <c r="Y743" s="8"/>
      <c r="Z743" s="8"/>
    </row>
    <row r="744" spans="1:26" ht="12.75">
      <c r="A744" s="11">
        <v>43746.78875</v>
      </c>
      <c r="B744" s="12" t="str">
        <f>HYPERLINK("https://twitter.com/hasinghamedmoyr","@hasinghamedmoyr")</f>
        <v>@hasinghamedmoyr</v>
      </c>
      <c r="C744" s="13" t="s">
        <v>4174</v>
      </c>
      <c r="D744" s="13" t="s">
        <v>4175</v>
      </c>
      <c r="E744" s="12" t="str">
        <f>HYPERLINK("https://twitter.com/hasinghamedmoyr/status/1181750074604490753","1181750074604490753")</f>
        <v>1181750074604490753</v>
      </c>
      <c r="F744" s="8"/>
      <c r="G744" s="14" t="s">
        <v>4176</v>
      </c>
      <c r="H744" s="8"/>
      <c r="I744" s="15">
        <v>0</v>
      </c>
      <c r="J744" s="15">
        <v>0</v>
      </c>
      <c r="K744" s="12" t="str">
        <f>HYPERLINK("http://twitter.com","Twitter Web Client")</f>
        <v>Twitter Web Client</v>
      </c>
      <c r="L744" s="16">
        <v>6</v>
      </c>
      <c r="M744" s="16">
        <v>53</v>
      </c>
      <c r="N744" s="16">
        <v>0</v>
      </c>
      <c r="O744" s="17"/>
      <c r="P744" s="18">
        <v>42533.678356481483</v>
      </c>
      <c r="Q744" s="8" t="s">
        <v>4177</v>
      </c>
      <c r="R744" s="8" t="s">
        <v>4040</v>
      </c>
      <c r="S744" s="8"/>
      <c r="T744" s="8"/>
      <c r="U744" s="19" t="str">
        <f>HYPERLINK("https://pbs.twimg.com/profile_images/742133670186782720/6RnUaQum.jpg","View")</f>
        <v>View</v>
      </c>
      <c r="V744" s="8"/>
      <c r="W744" s="8"/>
      <c r="X744" s="8"/>
      <c r="Y744" s="8"/>
      <c r="Z744" s="8"/>
    </row>
    <row r="745" spans="1:26" ht="12.75">
      <c r="A745" s="11">
        <v>43746.788472222222</v>
      </c>
      <c r="B745" s="12" t="str">
        <f>HYPERLINK("https://twitter.com/osamahabbodsdhf","@osamahabbodsdhf")</f>
        <v>@osamahabbodsdhf</v>
      </c>
      <c r="C745" s="13" t="s">
        <v>4180</v>
      </c>
      <c r="D745" s="13" t="s">
        <v>4181</v>
      </c>
      <c r="E745" s="12" t="str">
        <f>HYPERLINK("https://twitter.com/osamahabbodsdhf/status/1181749972712202240","1181749972712202240")</f>
        <v>1181749972712202240</v>
      </c>
      <c r="F745" s="8"/>
      <c r="G745" s="14" t="s">
        <v>4182</v>
      </c>
      <c r="H745" s="8"/>
      <c r="I745" s="15">
        <v>0</v>
      </c>
      <c r="J745" s="15">
        <v>0</v>
      </c>
      <c r="K745" s="12" t="str">
        <f>HYPERLINK("http://twitter.com","Twitter Web Client")</f>
        <v>Twitter Web Client</v>
      </c>
      <c r="L745" s="16">
        <v>3</v>
      </c>
      <c r="M745" s="16">
        <v>39</v>
      </c>
      <c r="N745" s="16">
        <v>0</v>
      </c>
      <c r="O745" s="17"/>
      <c r="P745" s="18">
        <v>42429.753113425926</v>
      </c>
      <c r="Q745" s="8"/>
      <c r="R745" s="8" t="s">
        <v>4185</v>
      </c>
      <c r="S745" s="8"/>
      <c r="T745" s="8"/>
      <c r="U745" s="19" t="str">
        <f>HYPERLINK("https://pbs.twimg.com/profile_images/704791918107095040/ZjGLNIor.jpg","View")</f>
        <v>View</v>
      </c>
      <c r="V745" s="8"/>
      <c r="W745" s="8"/>
      <c r="X745" s="8"/>
      <c r="Y745" s="8"/>
      <c r="Z745" s="8"/>
    </row>
    <row r="746" spans="1:26" ht="12.75">
      <c r="A746" s="11">
        <v>43746.786608796298</v>
      </c>
      <c r="B746" s="12" t="str">
        <f>HYPERLINK("https://twitter.com/saidetabiggox","@saidetabiggox")</f>
        <v>@saidetabiggox</v>
      </c>
      <c r="C746" s="13" t="s">
        <v>4186</v>
      </c>
      <c r="D746" s="13" t="s">
        <v>4187</v>
      </c>
      <c r="E746" s="12" t="str">
        <f>HYPERLINK("https://twitter.com/saidetabiggox/status/1181749300944089088","1181749300944089088")</f>
        <v>1181749300944089088</v>
      </c>
      <c r="F746" s="8"/>
      <c r="G746" s="14" t="s">
        <v>4188</v>
      </c>
      <c r="H746" s="8"/>
      <c r="I746" s="15">
        <v>0</v>
      </c>
      <c r="J746" s="15">
        <v>0</v>
      </c>
      <c r="K746" s="12" t="str">
        <f>HYPERLINK("http://twitter.com","Twitter Web Client")</f>
        <v>Twitter Web Client</v>
      </c>
      <c r="L746" s="16">
        <v>4</v>
      </c>
      <c r="M746" s="16">
        <v>41</v>
      </c>
      <c r="N746" s="16">
        <v>0</v>
      </c>
      <c r="O746" s="17"/>
      <c r="P746" s="18">
        <v>42428.934988425928</v>
      </c>
      <c r="Q746" s="8"/>
      <c r="R746" s="8" t="s">
        <v>4189</v>
      </c>
      <c r="S746" s="8"/>
      <c r="T746" s="8"/>
      <c r="U746" s="19" t="str">
        <f>HYPERLINK("https://pbs.twimg.com/profile_images/704490868007305217/HExXuazE.jpg","View")</f>
        <v>View</v>
      </c>
      <c r="V746" s="8"/>
      <c r="W746" s="8"/>
      <c r="X746" s="8"/>
      <c r="Y746" s="8"/>
      <c r="Z746" s="8"/>
    </row>
    <row r="747" spans="1:26" ht="12.75">
      <c r="A747" s="11">
        <v>43746.785613425927</v>
      </c>
      <c r="B747" s="12" t="str">
        <f>HYPERLINK("https://twitter.com/romehbenhamdwin","@romehbenhamdwin")</f>
        <v>@romehbenhamdwin</v>
      </c>
      <c r="C747" s="13" t="s">
        <v>4190</v>
      </c>
      <c r="D747" s="13" t="s">
        <v>4191</v>
      </c>
      <c r="E747" s="12" t="str">
        <f>HYPERLINK("https://twitter.com/romehbenhamdwin/status/1181748938526863360","1181748938526863360")</f>
        <v>1181748938526863360</v>
      </c>
      <c r="F747" s="8"/>
      <c r="G747" s="14" t="s">
        <v>4192</v>
      </c>
      <c r="H747" s="8"/>
      <c r="I747" s="15">
        <v>0</v>
      </c>
      <c r="J747" s="15">
        <v>0</v>
      </c>
      <c r="K747" s="12" t="str">
        <f>HYPERLINK("http://twitter.com","Twitter Web Client")</f>
        <v>Twitter Web Client</v>
      </c>
      <c r="L747" s="16">
        <v>14</v>
      </c>
      <c r="M747" s="16">
        <v>52</v>
      </c>
      <c r="N747" s="16">
        <v>0</v>
      </c>
      <c r="O747" s="17"/>
      <c r="P747" s="18">
        <v>42529.517638888894</v>
      </c>
      <c r="Q747" s="8" t="s">
        <v>4195</v>
      </c>
      <c r="R747" s="8" t="s">
        <v>4196</v>
      </c>
      <c r="S747" s="8"/>
      <c r="T747" s="8"/>
      <c r="U747" s="19" t="str">
        <f>HYPERLINK("https://pbs.twimg.com/profile_images/740625884462391297/ywYfdu-g.jpg","View")</f>
        <v>View</v>
      </c>
      <c r="V747" s="8"/>
      <c r="W747" s="8"/>
      <c r="X747" s="8"/>
      <c r="Y747" s="8"/>
      <c r="Z747" s="8"/>
    </row>
    <row r="748" spans="1:26" ht="12.75">
      <c r="A748" s="11">
        <v>43746.784328703703</v>
      </c>
      <c r="B748" s="12" t="str">
        <f>HYPERLINK("https://twitter.com/mostafashaibvcf","@mostafashaibvcf")</f>
        <v>@mostafashaibvcf</v>
      </c>
      <c r="C748" s="13" t="s">
        <v>4198</v>
      </c>
      <c r="D748" s="13" t="s">
        <v>4199</v>
      </c>
      <c r="E748" s="12" t="str">
        <f>HYPERLINK("https://twitter.com/mostafashaibvcf/status/1181748471524712448","1181748471524712448")</f>
        <v>1181748471524712448</v>
      </c>
      <c r="F748" s="8"/>
      <c r="G748" s="14" t="s">
        <v>4200</v>
      </c>
      <c r="H748" s="8"/>
      <c r="I748" s="15">
        <v>0</v>
      </c>
      <c r="J748" s="15">
        <v>0</v>
      </c>
      <c r="K748" s="12" t="str">
        <f>HYPERLINK("http://twitter.com","Twitter Web Client")</f>
        <v>Twitter Web Client</v>
      </c>
      <c r="L748" s="16">
        <v>4</v>
      </c>
      <c r="M748" s="16">
        <v>38</v>
      </c>
      <c r="N748" s="16">
        <v>0</v>
      </c>
      <c r="O748" s="17"/>
      <c r="P748" s="18">
        <v>42495.916585648149</v>
      </c>
      <c r="Q748" s="8" t="s">
        <v>4203</v>
      </c>
      <c r="R748" s="8" t="s">
        <v>4204</v>
      </c>
      <c r="S748" s="8"/>
      <c r="T748" s="8"/>
      <c r="U748" s="19" t="str">
        <f>HYPERLINK("https://pbs.twimg.com/profile_images/728449961814188033/Q5fibRc1.jpg","View")</f>
        <v>View</v>
      </c>
      <c r="V748" s="8"/>
      <c r="W748" s="8"/>
      <c r="X748" s="8"/>
      <c r="Y748" s="8"/>
      <c r="Z748" s="8"/>
    </row>
    <row r="749" spans="1:26" ht="12.75">
      <c r="A749" s="11">
        <v>43746.783750000002</v>
      </c>
      <c r="B749" s="12" t="str">
        <f>HYPERLINK("https://twitter.com/badeahassanrdwj","@badeahassanrdwj")</f>
        <v>@badeahassanrdwj</v>
      </c>
      <c r="C749" s="13" t="s">
        <v>4205</v>
      </c>
      <c r="D749" s="13" t="s">
        <v>4206</v>
      </c>
      <c r="E749" s="12" t="str">
        <f>HYPERLINK("https://twitter.com/badeahassanrdwj/status/1181748264925831169","1181748264925831169")</f>
        <v>1181748264925831169</v>
      </c>
      <c r="F749" s="8"/>
      <c r="G749" s="14" t="s">
        <v>4207</v>
      </c>
      <c r="H749" s="8"/>
      <c r="I749" s="15">
        <v>0</v>
      </c>
      <c r="J749" s="15">
        <v>0</v>
      </c>
      <c r="K749" s="12" t="str">
        <f>HYPERLINK("http://twitter.com","Twitter Web Client")</f>
        <v>Twitter Web Client</v>
      </c>
      <c r="L749" s="16">
        <v>8</v>
      </c>
      <c r="M749" s="16">
        <v>41</v>
      </c>
      <c r="N749" s="16">
        <v>0</v>
      </c>
      <c r="O749" s="17"/>
      <c r="P749" s="18">
        <v>42429.558437500003</v>
      </c>
      <c r="Q749" s="8"/>
      <c r="R749" s="13" t="s">
        <v>4211</v>
      </c>
      <c r="S749" s="15"/>
      <c r="T749" s="8"/>
      <c r="U749" s="19" t="str">
        <f>HYPERLINK("https://pbs.twimg.com/profile_images/704525971194380288/T8_zX3kX.jpg","View")</f>
        <v>View</v>
      </c>
      <c r="V749" s="8"/>
      <c r="W749" s="8"/>
      <c r="X749" s="8"/>
      <c r="Y749" s="8"/>
      <c r="Z749" s="8"/>
    </row>
    <row r="750" spans="1:26" ht="12.75">
      <c r="A750" s="11">
        <v>43746.782187500001</v>
      </c>
      <c r="B750" s="12" t="str">
        <f>HYPERLINK("https://twitter.com/gabereteqbtvb","@gabereteqbtvb")</f>
        <v>@gabereteqbtvb</v>
      </c>
      <c r="C750" s="13" t="s">
        <v>4212</v>
      </c>
      <c r="D750" s="13" t="s">
        <v>4213</v>
      </c>
      <c r="E750" s="12" t="str">
        <f>HYPERLINK("https://twitter.com/gabereteqbtvb/status/1181747695565885441","1181747695565885441")</f>
        <v>1181747695565885441</v>
      </c>
      <c r="F750" s="8"/>
      <c r="G750" s="14" t="s">
        <v>4215</v>
      </c>
      <c r="H750" s="8"/>
      <c r="I750" s="15">
        <v>0</v>
      </c>
      <c r="J750" s="15">
        <v>0</v>
      </c>
      <c r="K750" s="12" t="str">
        <f>HYPERLINK("http://twitter.com","Twitter Web Client")</f>
        <v>Twitter Web Client</v>
      </c>
      <c r="L750" s="16">
        <v>0</v>
      </c>
      <c r="M750" s="16">
        <v>37</v>
      </c>
      <c r="N750" s="16">
        <v>0</v>
      </c>
      <c r="O750" s="17"/>
      <c r="P750" s="18">
        <v>42493.996921296297</v>
      </c>
      <c r="Q750" s="8"/>
      <c r="R750" s="13" t="s">
        <v>4216</v>
      </c>
      <c r="S750" s="8"/>
      <c r="T750" s="8"/>
      <c r="U750" s="19" t="str">
        <f>HYPERLINK("https://pbs.twimg.com/profile_images/727754113459625985/HTKW6dGd.jpg","View")</f>
        <v>View</v>
      </c>
      <c r="V750" s="8"/>
      <c r="W750" s="8"/>
      <c r="X750" s="8"/>
      <c r="Y750" s="8"/>
      <c r="Z750" s="8"/>
    </row>
    <row r="751" spans="1:26" ht="12.75">
      <c r="A751" s="11">
        <v>43746.780624999999</v>
      </c>
      <c r="B751" s="12" t="str">
        <f>HYPERLINK("https://twitter.com/mohamme44273623","@mohamme44273623")</f>
        <v>@mohamme44273623</v>
      </c>
      <c r="C751" s="13" t="s">
        <v>4217</v>
      </c>
      <c r="D751" s="13" t="s">
        <v>4218</v>
      </c>
      <c r="E751" s="12" t="str">
        <f>HYPERLINK("https://twitter.com/mohamme44273623/status/1181747130022682625","1181747130022682625")</f>
        <v>1181747130022682625</v>
      </c>
      <c r="F751" s="8"/>
      <c r="G751" s="14" t="s">
        <v>4219</v>
      </c>
      <c r="H751" s="8"/>
      <c r="I751" s="15">
        <v>0</v>
      </c>
      <c r="J751" s="15">
        <v>0</v>
      </c>
      <c r="K751" s="12" t="str">
        <f>HYPERLINK("http://twitter.com","Twitter Web Client")</f>
        <v>Twitter Web Client</v>
      </c>
      <c r="L751" s="16">
        <v>2</v>
      </c>
      <c r="M751" s="16">
        <v>39</v>
      </c>
      <c r="N751" s="16">
        <v>0</v>
      </c>
      <c r="O751" s="17"/>
      <c r="P751" s="18">
        <v>42490.419918981483</v>
      </c>
      <c r="Q751" s="13"/>
      <c r="R751" s="13" t="s">
        <v>4220</v>
      </c>
      <c r="S751" s="8"/>
      <c r="T751" s="8"/>
      <c r="U751" s="19" t="str">
        <f>HYPERLINK("https://pbs.twimg.com/profile_images/726457349595103232/5eNZ5JCH.jpg","View")</f>
        <v>View</v>
      </c>
      <c r="V751" s="8"/>
      <c r="W751" s="8"/>
      <c r="X751" s="8"/>
      <c r="Y751" s="8"/>
      <c r="Z751" s="8"/>
    </row>
    <row r="752" spans="1:26" ht="12.75">
      <c r="A752" s="11">
        <v>43746.780057870375</v>
      </c>
      <c r="B752" s="12" t="str">
        <f>HYPERLINK("https://twitter.com/mehannasharvarb","@mehannasharvarb")</f>
        <v>@mehannasharvarb</v>
      </c>
      <c r="C752" s="13" t="s">
        <v>4221</v>
      </c>
      <c r="D752" s="13" t="s">
        <v>4222</v>
      </c>
      <c r="E752" s="12" t="str">
        <f>HYPERLINK("https://twitter.com/mehannasharvarb/status/1181746926724796416","1181746926724796416")</f>
        <v>1181746926724796416</v>
      </c>
      <c r="F752" s="8"/>
      <c r="G752" s="14" t="s">
        <v>4223</v>
      </c>
      <c r="H752" s="8"/>
      <c r="I752" s="15">
        <v>0</v>
      </c>
      <c r="J752" s="15">
        <v>0</v>
      </c>
      <c r="K752" s="12" t="str">
        <f>HYPERLINK("http://twitter.com","Twitter Web Client")</f>
        <v>Twitter Web Client</v>
      </c>
      <c r="L752" s="16">
        <v>10</v>
      </c>
      <c r="M752" s="16">
        <v>52</v>
      </c>
      <c r="N752" s="16">
        <v>0</v>
      </c>
      <c r="O752" s="17"/>
      <c r="P752" s="18">
        <v>42532.599340277782</v>
      </c>
      <c r="Q752" s="8" t="s">
        <v>4224</v>
      </c>
      <c r="R752" s="13" t="s">
        <v>4225</v>
      </c>
      <c r="S752" s="8"/>
      <c r="T752" s="8"/>
      <c r="U752" s="19" t="str">
        <f>HYPERLINK("https://pbs.twimg.com/profile_images/741742647556083712/JYUpzDAQ.jpg","View")</f>
        <v>View</v>
      </c>
      <c r="V752" s="8"/>
      <c r="W752" s="8"/>
      <c r="X752" s="8"/>
      <c r="Y752" s="8"/>
      <c r="Z752" s="8"/>
    </row>
    <row r="753" spans="1:26" ht="12.75">
      <c r="A753" s="11">
        <v>43746.778356481482</v>
      </c>
      <c r="B753" s="12" t="str">
        <f>HYPERLINK("https://twitter.com/paulinehollywoo","@paulinehollywoo")</f>
        <v>@paulinehollywoo</v>
      </c>
      <c r="C753" s="13" t="s">
        <v>4229</v>
      </c>
      <c r="D753" s="13" t="s">
        <v>4230</v>
      </c>
      <c r="E753" s="12" t="str">
        <f>HYPERLINK("https://twitter.com/paulinehollywoo/status/1181746309365059585","1181746309365059585")</f>
        <v>1181746309365059585</v>
      </c>
      <c r="F753" s="8" t="s">
        <v>4231</v>
      </c>
      <c r="G753" s="15"/>
      <c r="H753" s="8"/>
      <c r="I753" s="15">
        <v>0</v>
      </c>
      <c r="J753" s="15">
        <v>2</v>
      </c>
      <c r="K753" s="12" t="str">
        <f>HYPERLINK("https://mobile.twitter.com","Twitter Web App")</f>
        <v>Twitter Web App</v>
      </c>
      <c r="L753" s="16">
        <v>1602</v>
      </c>
      <c r="M753" s="16">
        <v>1609</v>
      </c>
      <c r="N753" s="16">
        <v>3</v>
      </c>
      <c r="O753" s="17"/>
      <c r="P753" s="18">
        <v>41396.09951388889</v>
      </c>
      <c r="Q753" s="7" t="s">
        <v>4232</v>
      </c>
      <c r="R753" s="13"/>
      <c r="S753" s="14" t="s">
        <v>4233</v>
      </c>
      <c r="T753" s="8"/>
      <c r="U753" s="19" t="str">
        <f>HYPERLINK("https://pbs.twimg.com/profile_images/831807662991945728/BA9hP6-D.jpg","View")</f>
        <v>View</v>
      </c>
      <c r="V753" s="8"/>
      <c r="W753" s="8"/>
      <c r="X753" s="8"/>
      <c r="Y753" s="8"/>
      <c r="Z753" s="8"/>
    </row>
    <row r="754" spans="1:26" ht="12.75">
      <c r="A754" s="11">
        <v>43746.774814814809</v>
      </c>
      <c r="B754" s="12" t="str">
        <f>HYPERLINK("https://twitter.com/shadikereziltgp","@shadikereziltgp")</f>
        <v>@shadikereziltgp</v>
      </c>
      <c r="C754" s="13" t="s">
        <v>4236</v>
      </c>
      <c r="D754" s="13" t="s">
        <v>4237</v>
      </c>
      <c r="E754" s="12" t="str">
        <f>HYPERLINK("https://twitter.com/shadikereziltgp/status/1181745024456957953","1181745024456957953")</f>
        <v>1181745024456957953</v>
      </c>
      <c r="F754" s="8"/>
      <c r="G754" s="14" t="s">
        <v>4240</v>
      </c>
      <c r="H754" s="8"/>
      <c r="I754" s="15">
        <v>0</v>
      </c>
      <c r="J754" s="15">
        <v>0</v>
      </c>
      <c r="K754" s="12" t="str">
        <f>HYPERLINK("http://twitter.com","Twitter Web Client")</f>
        <v>Twitter Web Client</v>
      </c>
      <c r="L754" s="16">
        <v>9</v>
      </c>
      <c r="M754" s="16">
        <v>48</v>
      </c>
      <c r="N754" s="16">
        <v>0</v>
      </c>
      <c r="O754" s="17"/>
      <c r="P754" s="18">
        <v>42533.676608796297</v>
      </c>
      <c r="Q754" s="8" t="s">
        <v>4243</v>
      </c>
      <c r="R754" s="13" t="s">
        <v>4244</v>
      </c>
      <c r="S754" s="8"/>
      <c r="T754" s="8"/>
      <c r="U754" s="19" t="str">
        <f>HYPERLINK("https://pbs.twimg.com/profile_images/742133036213501952/TF-a2ONQ.jpg","View")</f>
        <v>View</v>
      </c>
      <c r="V754" s="8"/>
      <c r="W754" s="8"/>
      <c r="X754" s="8"/>
      <c r="Y754" s="8"/>
      <c r="Z754" s="8"/>
    </row>
    <row r="755" spans="1:26" ht="12.75">
      <c r="A755" s="11">
        <v>43746.774537037039</v>
      </c>
      <c r="B755" s="12" t="str">
        <f>HYPERLINK("https://twitter.com/ayyadazzammsxi","@ayyadazzammsxi")</f>
        <v>@ayyadazzammsxi</v>
      </c>
      <c r="C755" s="13" t="s">
        <v>4247</v>
      </c>
      <c r="D755" s="13" t="s">
        <v>4248</v>
      </c>
      <c r="E755" s="12" t="str">
        <f>HYPERLINK("https://twitter.com/ayyadazzammsxi/status/1181744923537805312","1181744923537805312")</f>
        <v>1181744923537805312</v>
      </c>
      <c r="F755" s="8"/>
      <c r="G755" s="14" t="s">
        <v>4249</v>
      </c>
      <c r="H755" s="8"/>
      <c r="I755" s="15">
        <v>0</v>
      </c>
      <c r="J755" s="15">
        <v>0</v>
      </c>
      <c r="K755" s="12" t="str">
        <f>HYPERLINK("http://twitter.com","Twitter Web Client")</f>
        <v>Twitter Web Client</v>
      </c>
      <c r="L755" s="16">
        <v>2</v>
      </c>
      <c r="M755" s="16">
        <v>40</v>
      </c>
      <c r="N755" s="16">
        <v>0</v>
      </c>
      <c r="O755" s="17"/>
      <c r="P755" s="18">
        <v>42429.75381944445</v>
      </c>
      <c r="Q755" s="8"/>
      <c r="R755" s="13" t="s">
        <v>4252</v>
      </c>
      <c r="S755" s="8"/>
      <c r="T755" s="8"/>
      <c r="U755" s="19" t="str">
        <f>HYPERLINK("https://pbs.twimg.com/profile_images/704792294252220419/oRhdkeqG.jpg","View")</f>
        <v>View</v>
      </c>
      <c r="V755" s="8"/>
      <c r="W755" s="8"/>
      <c r="X755" s="8"/>
      <c r="Y755" s="8"/>
      <c r="Z755" s="8"/>
    </row>
    <row r="756" spans="1:26" ht="12.75">
      <c r="A756" s="11">
        <v>43746.772418981476</v>
      </c>
      <c r="B756" s="12" t="str">
        <f>HYPERLINK("https://twitter.com/wardanmeshecxie","@wardanmeshecxie")</f>
        <v>@wardanmeshecxie</v>
      </c>
      <c r="C756" s="13" t="s">
        <v>4255</v>
      </c>
      <c r="D756" s="13" t="s">
        <v>4256</v>
      </c>
      <c r="E756" s="12" t="str">
        <f>HYPERLINK("https://twitter.com/wardanmeshecxie/status/1181744157083222016","1181744157083222016")</f>
        <v>1181744157083222016</v>
      </c>
      <c r="F756" s="8"/>
      <c r="G756" s="14" t="s">
        <v>4257</v>
      </c>
      <c r="H756" s="8"/>
      <c r="I756" s="15">
        <v>0</v>
      </c>
      <c r="J756" s="15">
        <v>0</v>
      </c>
      <c r="K756" s="12" t="str">
        <f>HYPERLINK("http://twitter.com","Twitter Web Client")</f>
        <v>Twitter Web Client</v>
      </c>
      <c r="L756" s="16">
        <v>2</v>
      </c>
      <c r="M756" s="16">
        <v>37</v>
      </c>
      <c r="N756" s="16">
        <v>0</v>
      </c>
      <c r="O756" s="17"/>
      <c r="P756" s="18">
        <v>42485.958298611113</v>
      </c>
      <c r="Q756" s="13" t="s">
        <v>4260</v>
      </c>
      <c r="R756" s="13" t="s">
        <v>3972</v>
      </c>
      <c r="S756" s="8"/>
      <c r="T756" s="8"/>
      <c r="U756" s="19" t="str">
        <f>HYPERLINK("https://pbs.twimg.com/profile_images/724840632552939521/GT7eEC5_.jpg","View")</f>
        <v>View</v>
      </c>
      <c r="V756" s="8"/>
      <c r="W756" s="8"/>
      <c r="X756" s="8"/>
      <c r="Y756" s="8"/>
      <c r="Z756" s="8"/>
    </row>
    <row r="757" spans="1:26" ht="12.75">
      <c r="A757" s="11">
        <v>43746.771145833336</v>
      </c>
      <c r="B757" s="12" t="str">
        <f>HYPERLINK("https://twitter.com/abdelrazzakjzyh","@abdelrazzakjzyh")</f>
        <v>@abdelrazzakjzyh</v>
      </c>
      <c r="C757" s="13" t="s">
        <v>4264</v>
      </c>
      <c r="D757" s="13" t="s">
        <v>4265</v>
      </c>
      <c r="E757" s="12" t="str">
        <f>HYPERLINK("https://twitter.com/abdelrazzakjzyh/status/1181743694690623488","1181743694690623488")</f>
        <v>1181743694690623488</v>
      </c>
      <c r="F757" s="8"/>
      <c r="G757" s="14" t="s">
        <v>4266</v>
      </c>
      <c r="H757" s="8"/>
      <c r="I757" s="15">
        <v>0</v>
      </c>
      <c r="J757" s="15">
        <v>0</v>
      </c>
      <c r="K757" s="12" t="str">
        <f>HYPERLINK("http://twitter.com","Twitter Web Client")</f>
        <v>Twitter Web Client</v>
      </c>
      <c r="L757" s="16">
        <v>11</v>
      </c>
      <c r="M757" s="16">
        <v>49</v>
      </c>
      <c r="N757" s="16">
        <v>0</v>
      </c>
      <c r="O757" s="17"/>
      <c r="P757" s="18">
        <v>42533.677465277782</v>
      </c>
      <c r="Q757" s="13" t="s">
        <v>4268</v>
      </c>
      <c r="R757" s="13" t="s">
        <v>4269</v>
      </c>
      <c r="S757" s="8"/>
      <c r="T757" s="8"/>
      <c r="U757" s="19" t="str">
        <f>HYPERLINK("https://pbs.twimg.com/profile_images/742133348231970821/_xe6dGG_.jpg","View")</f>
        <v>View</v>
      </c>
      <c r="V757" s="8"/>
      <c r="W757" s="8"/>
      <c r="X757" s="8"/>
      <c r="Y757" s="8"/>
      <c r="Z757" s="8"/>
    </row>
    <row r="758" spans="1:26" ht="12.75">
      <c r="A758" s="11">
        <v>43746.769594907411</v>
      </c>
      <c r="B758" s="12" t="str">
        <f>HYPERLINK("https://twitter.com/gazimorbanryn","@gazimorbanryn")</f>
        <v>@gazimorbanryn</v>
      </c>
      <c r="C758" s="13" t="s">
        <v>4271</v>
      </c>
      <c r="D758" s="13" t="s">
        <v>4272</v>
      </c>
      <c r="E758" s="12" t="str">
        <f>HYPERLINK("https://twitter.com/gazimorbanryn/status/1181743133647888385","1181743133647888385")</f>
        <v>1181743133647888385</v>
      </c>
      <c r="F758" s="8"/>
      <c r="G758" s="14" t="s">
        <v>4273</v>
      </c>
      <c r="H758" s="8"/>
      <c r="I758" s="15">
        <v>0</v>
      </c>
      <c r="J758" s="15">
        <v>0</v>
      </c>
      <c r="K758" s="12" t="str">
        <f>HYPERLINK("http://twitter.com","Twitter Web Client")</f>
        <v>Twitter Web Client</v>
      </c>
      <c r="L758" s="16">
        <v>2</v>
      </c>
      <c r="M758" s="16">
        <v>39</v>
      </c>
      <c r="N758" s="16">
        <v>0</v>
      </c>
      <c r="O758" s="17"/>
      <c r="P758" s="18">
        <v>42459.918576388889</v>
      </c>
      <c r="Q758" s="8" t="s">
        <v>4276</v>
      </c>
      <c r="R758" s="13" t="s">
        <v>4277</v>
      </c>
      <c r="S758" s="8"/>
      <c r="T758" s="8"/>
      <c r="U758" s="19" t="str">
        <f>HYPERLINK("https://pbs.twimg.com/profile_images/715435139728277505/twFoYpnK.jpg","View")</f>
        <v>View</v>
      </c>
      <c r="V758" s="8"/>
      <c r="W758" s="8"/>
      <c r="X758" s="8"/>
      <c r="Y758" s="8"/>
      <c r="Z758" s="8"/>
    </row>
    <row r="759" spans="1:26" ht="12.75">
      <c r="A759" s="11">
        <v>43746.767118055555</v>
      </c>
      <c r="B759" s="12" t="str">
        <f>HYPERLINK("https://twitter.com/hemamarhabi1","@hemamarhabi1")</f>
        <v>@hemamarhabi1</v>
      </c>
      <c r="C759" s="13" t="s">
        <v>4279</v>
      </c>
      <c r="D759" s="13" t="s">
        <v>4280</v>
      </c>
      <c r="E759" s="12" t="str">
        <f>HYPERLINK("https://twitter.com/hemamarhabi1/status/1181742235420889088","1181742235420889088")</f>
        <v>1181742235420889088</v>
      </c>
      <c r="F759" s="8"/>
      <c r="G759" s="14" t="s">
        <v>4281</v>
      </c>
      <c r="H759" s="8"/>
      <c r="I759" s="15">
        <v>0</v>
      </c>
      <c r="J759" s="15">
        <v>0</v>
      </c>
      <c r="K759" s="12" t="str">
        <f>HYPERLINK("http://twitter.com","Twitter Web Client")</f>
        <v>Twitter Web Client</v>
      </c>
      <c r="L759" s="16">
        <v>1</v>
      </c>
      <c r="M759" s="16">
        <v>39</v>
      </c>
      <c r="N759" s="16">
        <v>0</v>
      </c>
      <c r="O759" s="17"/>
      <c r="P759" s="18">
        <v>42488.57099537037</v>
      </c>
      <c r="Q759" s="13"/>
      <c r="R759" s="13" t="s">
        <v>4283</v>
      </c>
      <c r="S759" s="8"/>
      <c r="T759" s="8"/>
      <c r="U759" s="19" t="str">
        <f>HYPERLINK("https://pbs.twimg.com/profile_images/725787369790668800/WBDePwma.jpg","View")</f>
        <v>View</v>
      </c>
      <c r="V759" s="8"/>
      <c r="W759" s="8"/>
      <c r="X759" s="8"/>
      <c r="Y759" s="8"/>
      <c r="Z759" s="8"/>
    </row>
    <row r="760" spans="1:26" ht="12.75">
      <c r="A760" s="11">
        <v>43746.764421296291</v>
      </c>
      <c r="B760" s="12" t="str">
        <f>HYPERLINK("https://twitter.com/asizahrawivifh","@asizahrawivifh")</f>
        <v>@asizahrawivifh</v>
      </c>
      <c r="C760" s="13" t="s">
        <v>4285</v>
      </c>
      <c r="D760" s="13" t="s">
        <v>4286</v>
      </c>
      <c r="E760" s="12" t="str">
        <f>HYPERLINK("https://twitter.com/asizahrawivifh/status/1181741260673093635","1181741260673093635")</f>
        <v>1181741260673093635</v>
      </c>
      <c r="F760" s="8"/>
      <c r="G760" s="14" t="s">
        <v>4287</v>
      </c>
      <c r="H760" s="8"/>
      <c r="I760" s="15">
        <v>0</v>
      </c>
      <c r="J760" s="15">
        <v>0</v>
      </c>
      <c r="K760" s="12" t="str">
        <f>HYPERLINK("http://twitter.com","Twitter Web Client")</f>
        <v>Twitter Web Client</v>
      </c>
      <c r="L760" s="16">
        <v>12</v>
      </c>
      <c r="M760" s="16">
        <v>49</v>
      </c>
      <c r="N760" s="16">
        <v>0</v>
      </c>
      <c r="O760" s="17"/>
      <c r="P760" s="18">
        <v>42533.507534722223</v>
      </c>
      <c r="Q760" s="8" t="s">
        <v>4288</v>
      </c>
      <c r="R760" s="13" t="s">
        <v>4289</v>
      </c>
      <c r="S760" s="8"/>
      <c r="T760" s="8"/>
      <c r="U760" s="19" t="str">
        <f>HYPERLINK("https://pbs.twimg.com/profile_images/742071765204148224/VibZflIs.jpg","View")</f>
        <v>View</v>
      </c>
      <c r="V760" s="8"/>
      <c r="W760" s="8"/>
      <c r="X760" s="8"/>
      <c r="Y760" s="8"/>
      <c r="Z760" s="8"/>
    </row>
    <row r="761" spans="1:26" ht="12.75">
      <c r="A761" s="11">
        <v>43746.762303240743</v>
      </c>
      <c r="B761" s="12" t="str">
        <f>HYPERLINK("https://twitter.com/hanyhashbolbwbb","@hanyhashbolbwbb")</f>
        <v>@hanyhashbolbwbb</v>
      </c>
      <c r="C761" s="13" t="s">
        <v>4290</v>
      </c>
      <c r="D761" s="13" t="s">
        <v>4291</v>
      </c>
      <c r="E761" s="12" t="str">
        <f>HYPERLINK("https://twitter.com/hanyhashbolbwbb/status/1181740492821860352","1181740492821860352")</f>
        <v>1181740492821860352</v>
      </c>
      <c r="F761" s="8"/>
      <c r="G761" s="14" t="s">
        <v>4292</v>
      </c>
      <c r="H761" s="8"/>
      <c r="I761" s="15">
        <v>0</v>
      </c>
      <c r="J761" s="15">
        <v>0</v>
      </c>
      <c r="K761" s="12" t="str">
        <f>HYPERLINK("http://twitter.com","Twitter Web Client")</f>
        <v>Twitter Web Client</v>
      </c>
      <c r="L761" s="16">
        <v>4</v>
      </c>
      <c r="M761" s="16">
        <v>42</v>
      </c>
      <c r="N761" s="16">
        <v>0</v>
      </c>
      <c r="O761" s="17"/>
      <c r="P761" s="18">
        <v>42429.725775462968</v>
      </c>
      <c r="Q761" s="13"/>
      <c r="R761" s="13" t="s">
        <v>4196</v>
      </c>
      <c r="S761" s="8"/>
      <c r="T761" s="8"/>
      <c r="U761" s="19" t="str">
        <f>HYPERLINK("https://pbs.twimg.com/profile_images/704559059261849600/u66SLoeT.jpg","View")</f>
        <v>View</v>
      </c>
      <c r="V761" s="8"/>
      <c r="W761" s="8"/>
      <c r="X761" s="8"/>
      <c r="Y761" s="8"/>
      <c r="Z761" s="8"/>
    </row>
    <row r="762" spans="1:26" ht="12.75">
      <c r="A762" s="11">
        <v>43746.760023148148</v>
      </c>
      <c r="B762" s="12" t="str">
        <f>HYPERLINK("https://twitter.com/faisalatragiczv","@faisalatragiczv")</f>
        <v>@faisalatragiczv</v>
      </c>
      <c r="C762" s="13" t="s">
        <v>4296</v>
      </c>
      <c r="D762" s="13" t="s">
        <v>4297</v>
      </c>
      <c r="E762" s="12" t="str">
        <f>HYPERLINK("https://twitter.com/faisalatragiczv/status/1181739666367766529","1181739666367766529")</f>
        <v>1181739666367766529</v>
      </c>
      <c r="F762" s="8"/>
      <c r="G762" s="14" t="s">
        <v>4298</v>
      </c>
      <c r="H762" s="8"/>
      <c r="I762" s="15">
        <v>0</v>
      </c>
      <c r="J762" s="15">
        <v>0</v>
      </c>
      <c r="K762" s="12" t="str">
        <f>HYPERLINK("http://twitter.com","Twitter Web Client")</f>
        <v>Twitter Web Client</v>
      </c>
      <c r="L762" s="16">
        <v>8</v>
      </c>
      <c r="M762" s="16">
        <v>43</v>
      </c>
      <c r="N762" s="16">
        <v>0</v>
      </c>
      <c r="O762" s="17"/>
      <c r="P762" s="18">
        <v>42529.112268518518</v>
      </c>
      <c r="Q762" s="13" t="s">
        <v>4300</v>
      </c>
      <c r="R762" s="13" t="s">
        <v>4301</v>
      </c>
      <c r="S762" s="8"/>
      <c r="T762" s="8"/>
      <c r="U762" s="19" t="str">
        <f>HYPERLINK("https://pbs.twimg.com/profile_images/740478979031900160/l2HFA5N9.jpg","View")</f>
        <v>View</v>
      </c>
      <c r="V762" s="8"/>
      <c r="W762" s="8"/>
      <c r="X762" s="8"/>
      <c r="Y762" s="8"/>
      <c r="Z762" s="8"/>
    </row>
    <row r="763" spans="1:26" ht="12.75">
      <c r="A763" s="11">
        <v>43746.75944444444</v>
      </c>
      <c r="B763" s="12" t="str">
        <f>HYPERLINK("https://twitter.com/abdelrazzakthnk","@abdelrazzakthnk")</f>
        <v>@abdelrazzakthnk</v>
      </c>
      <c r="C763" s="13" t="s">
        <v>4303</v>
      </c>
      <c r="D763" s="13" t="s">
        <v>4304</v>
      </c>
      <c r="E763" s="12" t="str">
        <f>HYPERLINK("https://twitter.com/abdelrazzakthnk/status/1181739457046818818","1181739457046818818")</f>
        <v>1181739457046818818</v>
      </c>
      <c r="F763" s="8"/>
      <c r="G763" s="14" t="s">
        <v>4306</v>
      </c>
      <c r="H763" s="8"/>
      <c r="I763" s="15">
        <v>0</v>
      </c>
      <c r="J763" s="15">
        <v>0</v>
      </c>
      <c r="K763" s="12" t="str">
        <f>HYPERLINK("http://twitter.com","Twitter Web Client")</f>
        <v>Twitter Web Client</v>
      </c>
      <c r="L763" s="16">
        <v>15</v>
      </c>
      <c r="M763" s="16">
        <v>46</v>
      </c>
      <c r="N763" s="16">
        <v>0</v>
      </c>
      <c r="O763" s="17"/>
      <c r="P763" s="18">
        <v>42532.564479166671</v>
      </c>
      <c r="Q763" s="8" t="s">
        <v>4307</v>
      </c>
      <c r="R763" s="13" t="s">
        <v>4308</v>
      </c>
      <c r="S763" s="8"/>
      <c r="T763" s="8"/>
      <c r="U763" s="19" t="str">
        <f>HYPERLINK("https://pbs.twimg.com/profile_images/741730017621770240/u7_9pRKO.jpg","View")</f>
        <v>View</v>
      </c>
      <c r="V763" s="8"/>
      <c r="W763" s="8"/>
      <c r="X763" s="8"/>
      <c r="Y763" s="8"/>
      <c r="Z763" s="8"/>
    </row>
    <row r="764" spans="1:26" ht="12.75">
      <c r="A764" s="11">
        <v>43746.758877314816</v>
      </c>
      <c r="B764" s="12" t="str">
        <f>HYPERLINK("https://twitter.com/fadlnaemiawkx","@fadlnaemiawkx")</f>
        <v>@fadlnaemiawkx</v>
      </c>
      <c r="C764" s="13" t="s">
        <v>4309</v>
      </c>
      <c r="D764" s="13" t="s">
        <v>4310</v>
      </c>
      <c r="E764" s="12" t="str">
        <f>HYPERLINK("https://twitter.com/fadlnaemiawkx/status/1181739249009401856","1181739249009401856")</f>
        <v>1181739249009401856</v>
      </c>
      <c r="F764" s="8"/>
      <c r="G764" s="14" t="s">
        <v>4313</v>
      </c>
      <c r="H764" s="8"/>
      <c r="I764" s="15">
        <v>0</v>
      </c>
      <c r="J764" s="15">
        <v>0</v>
      </c>
      <c r="K764" s="12" t="str">
        <f>HYPERLINK("http://twitter.com","Twitter Web Client")</f>
        <v>Twitter Web Client</v>
      </c>
      <c r="L764" s="16">
        <v>14</v>
      </c>
      <c r="M764" s="16">
        <v>51</v>
      </c>
      <c r="N764" s="16">
        <v>0</v>
      </c>
      <c r="O764" s="17"/>
      <c r="P764" s="18">
        <v>42532.726481481484</v>
      </c>
      <c r="Q764" s="7" t="s">
        <v>4317</v>
      </c>
      <c r="R764" s="7" t="s">
        <v>4318</v>
      </c>
      <c r="S764" s="8"/>
      <c r="T764" s="8"/>
      <c r="U764" s="19" t="str">
        <f>HYPERLINK("https://pbs.twimg.com/profile_images/741788724019798016/wf9bdjrf.jpg","View")</f>
        <v>View</v>
      </c>
      <c r="V764" s="8"/>
      <c r="W764" s="8"/>
      <c r="X764" s="8"/>
      <c r="Y764" s="8"/>
      <c r="Z764" s="8"/>
    </row>
    <row r="765" spans="1:26" ht="12.75">
      <c r="A765" s="11">
        <v>43746.758148148147</v>
      </c>
      <c r="B765" s="12" t="str">
        <f>HYPERLINK("https://twitter.com/zakimetewiowse","@zakimetewiowse")</f>
        <v>@zakimetewiowse</v>
      </c>
      <c r="C765" s="13" t="s">
        <v>4319</v>
      </c>
      <c r="D765" s="13" t="s">
        <v>4320</v>
      </c>
      <c r="E765" s="12" t="str">
        <f>HYPERLINK("https://twitter.com/zakimetewiowse/status/1181738986273984514","1181738986273984514")</f>
        <v>1181738986273984514</v>
      </c>
      <c r="F765" s="8"/>
      <c r="G765" s="14" t="s">
        <v>4321</v>
      </c>
      <c r="H765" s="8"/>
      <c r="I765" s="15">
        <v>0</v>
      </c>
      <c r="J765" s="15">
        <v>0</v>
      </c>
      <c r="K765" s="12" t="str">
        <f>HYPERLINK("http://twitter.com","Twitter Web Client")</f>
        <v>Twitter Web Client</v>
      </c>
      <c r="L765" s="16">
        <v>4</v>
      </c>
      <c r="M765" s="16">
        <v>41</v>
      </c>
      <c r="N765" s="16">
        <v>0</v>
      </c>
      <c r="O765" s="17"/>
      <c r="P765" s="18">
        <v>42429.752187499995</v>
      </c>
      <c r="Q765" s="13"/>
      <c r="R765" s="13" t="s">
        <v>4131</v>
      </c>
      <c r="S765" s="8"/>
      <c r="T765" s="8"/>
      <c r="U765" s="19" t="str">
        <f>HYPERLINK("https://pbs.twimg.com/profile_images/704570436307316736/vElHc8Ad.jpg","View")</f>
        <v>View</v>
      </c>
      <c r="V765" s="8"/>
      <c r="W765" s="8"/>
      <c r="X765" s="8"/>
      <c r="Y765" s="8"/>
      <c r="Z765" s="8"/>
    </row>
    <row r="766" spans="1:26" ht="12.75">
      <c r="A766" s="11">
        <v>43746.757604166662</v>
      </c>
      <c r="B766" s="12" t="str">
        <f>HYPERLINK("https://twitter.com/badeafayezizki","@badeafayezizki")</f>
        <v>@badeafayezizki</v>
      </c>
      <c r="C766" s="13" t="s">
        <v>4325</v>
      </c>
      <c r="D766" s="13" t="s">
        <v>4326</v>
      </c>
      <c r="E766" s="12" t="str">
        <f>HYPERLINK("https://twitter.com/badeafayezizki/status/1181738790295130115","1181738790295130115")</f>
        <v>1181738790295130115</v>
      </c>
      <c r="F766" s="8"/>
      <c r="G766" s="14" t="s">
        <v>4327</v>
      </c>
      <c r="H766" s="8"/>
      <c r="I766" s="15">
        <v>0</v>
      </c>
      <c r="J766" s="15">
        <v>0</v>
      </c>
      <c r="K766" s="12" t="str">
        <f>HYPERLINK("http://twitter.com","Twitter Web Client")</f>
        <v>Twitter Web Client</v>
      </c>
      <c r="L766" s="16">
        <v>1</v>
      </c>
      <c r="M766" s="16">
        <v>37</v>
      </c>
      <c r="N766" s="16">
        <v>0</v>
      </c>
      <c r="O766" s="17"/>
      <c r="P766" s="18">
        <v>42489.744745370372</v>
      </c>
      <c r="Q766" s="8"/>
      <c r="R766" s="13" t="s">
        <v>4329</v>
      </c>
      <c r="S766" s="8"/>
      <c r="T766" s="8"/>
      <c r="U766" s="19" t="str">
        <f>HYPERLINK("https://pbs.twimg.com/profile_images/726212839447228416/RqzUAKo-.jpg","View")</f>
        <v>View</v>
      </c>
      <c r="V766" s="8"/>
      <c r="W766" s="8"/>
      <c r="X766" s="8"/>
      <c r="Y766" s="8"/>
      <c r="Z766" s="8"/>
    </row>
    <row r="767" spans="1:26" ht="12.75">
      <c r="A767" s="11">
        <v>43746.757245370369</v>
      </c>
      <c r="B767" s="12" t="str">
        <f>HYPERLINK("https://twitter.com/saadmashraqolmq","@saadmashraqolmq")</f>
        <v>@saadmashraqolmq</v>
      </c>
      <c r="C767" s="13" t="s">
        <v>4330</v>
      </c>
      <c r="D767" s="13" t="s">
        <v>4331</v>
      </c>
      <c r="E767" s="12" t="str">
        <f>HYPERLINK("https://twitter.com/saadmashraqolmq/status/1181738658447216641","1181738658447216641")</f>
        <v>1181738658447216641</v>
      </c>
      <c r="F767" s="8"/>
      <c r="G767" s="14" t="s">
        <v>4332</v>
      </c>
      <c r="H767" s="8"/>
      <c r="I767" s="15">
        <v>0</v>
      </c>
      <c r="J767" s="15">
        <v>0</v>
      </c>
      <c r="K767" s="12" t="str">
        <f>HYPERLINK("http://twitter.com","Twitter Web Client")</f>
        <v>Twitter Web Client</v>
      </c>
      <c r="L767" s="16">
        <v>3</v>
      </c>
      <c r="M767" s="16">
        <v>41</v>
      </c>
      <c r="N767" s="16">
        <v>0</v>
      </c>
      <c r="O767" s="17"/>
      <c r="P767" s="18">
        <v>42429.566250000003</v>
      </c>
      <c r="Q767" s="13"/>
      <c r="R767" s="13" t="s">
        <v>4123</v>
      </c>
      <c r="S767" s="8"/>
      <c r="T767" s="8"/>
      <c r="U767" s="19" t="str">
        <f>HYPERLINK("https://pbs.twimg.com/profile_images/704528763678232576/3G1--Qy7.jpg","View")</f>
        <v>View</v>
      </c>
      <c r="V767" s="8"/>
      <c r="W767" s="8"/>
      <c r="X767" s="8"/>
      <c r="Y767" s="8"/>
      <c r="Z767" s="8"/>
    </row>
    <row r="768" spans="1:26" ht="12.75">
      <c r="A768" s="11">
        <v>43746.75273148148</v>
      </c>
      <c r="B768" s="12" t="str">
        <f>HYPERLINK("https://twitter.com/martindunphy","@martindunphy")</f>
        <v>@martindunphy</v>
      </c>
      <c r="C768" s="13" t="s">
        <v>4333</v>
      </c>
      <c r="D768" s="13" t="s">
        <v>4334</v>
      </c>
      <c r="E768" s="12" t="str">
        <f>HYPERLINK("https://twitter.com/martindunphy/status/1181737024694341633","1181737024694341633")</f>
        <v>1181737024694341633</v>
      </c>
      <c r="F768" s="8"/>
      <c r="G768" s="15"/>
      <c r="H768" s="8"/>
      <c r="I768" s="15">
        <v>0</v>
      </c>
      <c r="J768" s="15">
        <v>0</v>
      </c>
      <c r="K768" s="12" t="str">
        <f>HYPERLINK("https://mobile.twitter.com","Twitter Web App")</f>
        <v>Twitter Web App</v>
      </c>
      <c r="L768" s="16">
        <v>957</v>
      </c>
      <c r="M768" s="16">
        <v>200</v>
      </c>
      <c r="N768" s="16">
        <v>79</v>
      </c>
      <c r="O768" s="17"/>
      <c r="P768" s="18">
        <v>40277.561018518521</v>
      </c>
      <c r="Q768" s="8" t="s">
        <v>4337</v>
      </c>
      <c r="R768" s="13" t="s">
        <v>4338</v>
      </c>
      <c r="S768" s="14" t="s">
        <v>4339</v>
      </c>
      <c r="T768" s="8"/>
      <c r="U768" s="19" t="str">
        <f>HYPERLINK("https://pbs.twimg.com/profile_images/748375682581995523/ePlYfTrE.jpg","View")</f>
        <v>View</v>
      </c>
      <c r="V768" s="8"/>
      <c r="W768" s="8"/>
      <c r="X768" s="8"/>
      <c r="Y768" s="8"/>
      <c r="Z768" s="8"/>
    </row>
    <row r="769" spans="1:26" ht="12.75">
      <c r="A769" s="11">
        <v>43746.752708333333</v>
      </c>
      <c r="B769" s="12" t="str">
        <f>HYPERLINK("https://twitter.com/reyaddosarysirt","@reyaddosarysirt")</f>
        <v>@reyaddosarysirt</v>
      </c>
      <c r="C769" s="13" t="s">
        <v>4341</v>
      </c>
      <c r="D769" s="13" t="s">
        <v>4342</v>
      </c>
      <c r="E769" s="12" t="str">
        <f>HYPERLINK("https://twitter.com/reyaddosarysirt/status/1181737016276455425","1181737016276455425")</f>
        <v>1181737016276455425</v>
      </c>
      <c r="F769" s="8"/>
      <c r="G769" s="14" t="s">
        <v>4344</v>
      </c>
      <c r="H769" s="8"/>
      <c r="I769" s="15">
        <v>0</v>
      </c>
      <c r="J769" s="15">
        <v>0</v>
      </c>
      <c r="K769" s="12" t="str">
        <f>HYPERLINK("http://twitter.com","Twitter Web Client")</f>
        <v>Twitter Web Client</v>
      </c>
      <c r="L769" s="16">
        <v>5</v>
      </c>
      <c r="M769" s="16">
        <v>39</v>
      </c>
      <c r="N769" s="16">
        <v>0</v>
      </c>
      <c r="O769" s="17"/>
      <c r="P769" s="18">
        <v>42465.115775462968</v>
      </c>
      <c r="Q769" s="8" t="s">
        <v>4346</v>
      </c>
      <c r="R769" s="13" t="s">
        <v>4348</v>
      </c>
      <c r="S769" s="8"/>
      <c r="T769" s="8"/>
      <c r="U769" s="19" t="str">
        <f>HYPERLINK("https://pbs.twimg.com/profile_images/717844139862310912/7UYSa2-P.jpg","View")</f>
        <v>View</v>
      </c>
      <c r="V769" s="8"/>
      <c r="W769" s="8"/>
      <c r="X769" s="8"/>
      <c r="Y769" s="8"/>
      <c r="Z769" s="8"/>
    </row>
    <row r="770" spans="1:26" ht="12.75">
      <c r="A770" s="11">
        <v>43746.752280092594</v>
      </c>
      <c r="B770" s="12" t="str">
        <f>HYPERLINK("https://twitter.com/hamidanalhourjh","@hamidanalhourjh")</f>
        <v>@hamidanalhourjh</v>
      </c>
      <c r="C770" s="13" t="s">
        <v>4349</v>
      </c>
      <c r="D770" s="13" t="s">
        <v>4350</v>
      </c>
      <c r="E770" s="12" t="str">
        <f>HYPERLINK("https://twitter.com/hamidanalhourjh/status/1181736857186365441","1181736857186365441")</f>
        <v>1181736857186365441</v>
      </c>
      <c r="F770" s="8"/>
      <c r="G770" s="14" t="s">
        <v>4351</v>
      </c>
      <c r="H770" s="8"/>
      <c r="I770" s="15">
        <v>0</v>
      </c>
      <c r="J770" s="15">
        <v>0</v>
      </c>
      <c r="K770" s="12" t="str">
        <f>HYPERLINK("http://twitter.com","Twitter Web Client")</f>
        <v>Twitter Web Client</v>
      </c>
      <c r="L770" s="16">
        <v>15</v>
      </c>
      <c r="M770" s="16">
        <v>50</v>
      </c>
      <c r="N770" s="16">
        <v>0</v>
      </c>
      <c r="O770" s="17"/>
      <c r="P770" s="18">
        <v>42532.561099537037</v>
      </c>
      <c r="Q770" s="8" t="s">
        <v>4354</v>
      </c>
      <c r="R770" s="13" t="s">
        <v>4355</v>
      </c>
      <c r="S770" s="8"/>
      <c r="T770" s="8"/>
      <c r="U770" s="19" t="str">
        <f>HYPERLINK("https://pbs.twimg.com/profile_images/741728784643194881/C2O8_AWN.jpg","View")</f>
        <v>View</v>
      </c>
      <c r="V770" s="8"/>
      <c r="W770" s="8"/>
      <c r="X770" s="8"/>
      <c r="Y770" s="8"/>
      <c r="Z770" s="8"/>
    </row>
    <row r="771" spans="1:26" ht="12.75">
      <c r="A771" s="11">
        <v>43746.751712962963</v>
      </c>
      <c r="B771" s="12" t="str">
        <f>HYPERLINK("https://twitter.com/ekabgaberslnt","@ekabgaberslnt")</f>
        <v>@ekabgaberslnt</v>
      </c>
      <c r="C771" s="13" t="s">
        <v>4356</v>
      </c>
      <c r="D771" s="13" t="s">
        <v>4357</v>
      </c>
      <c r="E771" s="12" t="str">
        <f>HYPERLINK("https://twitter.com/ekabgaberslnt/status/1181736652856872960","1181736652856872960")</f>
        <v>1181736652856872960</v>
      </c>
      <c r="F771" s="8"/>
      <c r="G771" s="14" t="s">
        <v>4358</v>
      </c>
      <c r="H771" s="8"/>
      <c r="I771" s="15">
        <v>0</v>
      </c>
      <c r="J771" s="15">
        <v>0</v>
      </c>
      <c r="K771" s="12" t="str">
        <f>HYPERLINK("http://twitter.com","Twitter Web Client")</f>
        <v>Twitter Web Client</v>
      </c>
      <c r="L771" s="16">
        <v>3</v>
      </c>
      <c r="M771" s="16">
        <v>39</v>
      </c>
      <c r="N771" s="16">
        <v>0</v>
      </c>
      <c r="O771" s="17"/>
      <c r="P771" s="18">
        <v>42470.756724537037</v>
      </c>
      <c r="Q771" s="13" t="s">
        <v>4359</v>
      </c>
      <c r="R771" s="13" t="s">
        <v>4360</v>
      </c>
      <c r="S771" s="8"/>
      <c r="T771" s="8"/>
      <c r="U771" s="19" t="str">
        <f>HYPERLINK("https://pbs.twimg.com/profile_images/719460413147082752/ng1TjiU9.jpg","View")</f>
        <v>View</v>
      </c>
      <c r="V771" s="8"/>
      <c r="W771" s="8"/>
      <c r="X771" s="8"/>
      <c r="Y771" s="8"/>
      <c r="Z771" s="8"/>
    </row>
    <row r="772" spans="1:26" ht="12.75">
      <c r="A772" s="11">
        <v>43746.751435185186</v>
      </c>
      <c r="B772" s="12" t="str">
        <f>HYPERLINK("https://twitter.com/eliashendijnhn","@eliashendijnhn")</f>
        <v>@eliashendijnhn</v>
      </c>
      <c r="C772" s="7" t="s">
        <v>4361</v>
      </c>
      <c r="D772" s="13" t="s">
        <v>4362</v>
      </c>
      <c r="E772" s="12" t="str">
        <f>HYPERLINK("https://twitter.com/eliashendijnhn/status/1181736552592035840","1181736552592035840")</f>
        <v>1181736552592035840</v>
      </c>
      <c r="F772" s="8"/>
      <c r="G772" s="14" t="s">
        <v>4363</v>
      </c>
      <c r="H772" s="8"/>
      <c r="I772" s="15">
        <v>0</v>
      </c>
      <c r="J772" s="15">
        <v>0</v>
      </c>
      <c r="K772" s="12" t="str">
        <f>HYPERLINK("http://twitter.com","Twitter Web Client")</f>
        <v>Twitter Web Client</v>
      </c>
      <c r="L772" s="16">
        <v>2</v>
      </c>
      <c r="M772" s="16">
        <v>39</v>
      </c>
      <c r="N772" s="16">
        <v>0</v>
      </c>
      <c r="O772" s="17"/>
      <c r="P772" s="18">
        <v>42472.881296296298</v>
      </c>
      <c r="Q772" s="13" t="s">
        <v>4367</v>
      </c>
      <c r="R772" s="13" t="s">
        <v>4368</v>
      </c>
      <c r="S772" s="8"/>
      <c r="T772" s="8"/>
      <c r="U772" s="19" t="str">
        <f>HYPERLINK("https://pbs.twimg.com/profile_images/720120242610049025/dxqpmr-l.jpg","View")</f>
        <v>View</v>
      </c>
      <c r="V772" s="8"/>
      <c r="W772" s="8"/>
      <c r="X772" s="8"/>
      <c r="Y772" s="8"/>
      <c r="Z772" s="8"/>
    </row>
    <row r="773" spans="1:26" ht="12.75">
      <c r="A773" s="11">
        <v>43746.750752314816</v>
      </c>
      <c r="B773" s="12" t="str">
        <f>HYPERLINK("https://twitter.com/JoannaMccleland","@JoannaMccleland")</f>
        <v>@JoannaMccleland</v>
      </c>
      <c r="C773" s="13" t="s">
        <v>4369</v>
      </c>
      <c r="D773" s="13" t="s">
        <v>4370</v>
      </c>
      <c r="E773" s="12" t="str">
        <f>HYPERLINK("https://twitter.com/JoannaMccleland/status/1181736306134716417","1181736306134716417")</f>
        <v>1181736306134716417</v>
      </c>
      <c r="F773" s="8"/>
      <c r="G773" s="15"/>
      <c r="H773" s="8"/>
      <c r="I773" s="15">
        <v>0</v>
      </c>
      <c r="J773" s="15">
        <v>0</v>
      </c>
      <c r="K773" s="12" t="str">
        <f>HYPERLINK("http://twitter.com/download/android","Twitter for Android")</f>
        <v>Twitter for Android</v>
      </c>
      <c r="L773" s="16">
        <v>55</v>
      </c>
      <c r="M773" s="16">
        <v>204</v>
      </c>
      <c r="N773" s="16">
        <v>0</v>
      </c>
      <c r="O773" s="17"/>
      <c r="P773" s="18">
        <v>43661.677349537036</v>
      </c>
      <c r="Q773" s="8"/>
      <c r="R773" s="13" t="s">
        <v>4373</v>
      </c>
      <c r="S773" s="8"/>
      <c r="T773" s="8"/>
      <c r="U773" s="19" t="str">
        <f>HYPERLINK("https://pbs.twimg.com/profile_images/1150907399689113601/P15VsnDV.jpg","View")</f>
        <v>View</v>
      </c>
      <c r="V773" s="8"/>
      <c r="W773" s="8"/>
      <c r="X773" s="8"/>
      <c r="Y773" s="8"/>
      <c r="Z773" s="8"/>
    </row>
    <row r="774" spans="1:26" ht="12.75">
      <c r="A774" s="11">
        <v>43746.750138888892</v>
      </c>
      <c r="B774" s="12" t="str">
        <f>HYPERLINK("https://twitter.com/zaherghamedkihm","@zaherghamedkihm")</f>
        <v>@zaherghamedkihm</v>
      </c>
      <c r="C774" s="13" t="s">
        <v>4375</v>
      </c>
      <c r="D774" s="13" t="s">
        <v>4376</v>
      </c>
      <c r="E774" s="12" t="str">
        <f>HYPERLINK("https://twitter.com/zaherghamedkihm/status/1181736084109217792","1181736084109217792")</f>
        <v>1181736084109217792</v>
      </c>
      <c r="F774" s="8"/>
      <c r="G774" s="14" t="s">
        <v>4377</v>
      </c>
      <c r="H774" s="8"/>
      <c r="I774" s="15">
        <v>0</v>
      </c>
      <c r="J774" s="15">
        <v>0</v>
      </c>
      <c r="K774" s="12" t="str">
        <f>HYPERLINK("http://twitter.com","Twitter Web Client")</f>
        <v>Twitter Web Client</v>
      </c>
      <c r="L774" s="16">
        <v>1</v>
      </c>
      <c r="M774" s="16">
        <v>39</v>
      </c>
      <c r="N774" s="16">
        <v>0</v>
      </c>
      <c r="O774" s="17"/>
      <c r="P774" s="18">
        <v>42473.839166666672</v>
      </c>
      <c r="Q774" s="13" t="s">
        <v>4378</v>
      </c>
      <c r="R774" s="13" t="s">
        <v>4380</v>
      </c>
      <c r="S774" s="8"/>
      <c r="T774" s="8"/>
      <c r="U774" s="19" t="str">
        <f>HYPERLINK("https://pbs.twimg.com/profile_images/720776546064211968/JSLE46kl.jpg","View")</f>
        <v>View</v>
      </c>
      <c r="V774" s="8"/>
      <c r="W774" s="8"/>
      <c r="X774" s="8"/>
      <c r="Y774" s="8"/>
      <c r="Z774" s="8"/>
    </row>
    <row r="775" spans="1:26" ht="12.75">
      <c r="A775" s="11">
        <v>43746.749583333338</v>
      </c>
      <c r="B775" s="12" t="str">
        <f>HYPERLINK("https://twitter.com/masharybenmyfbc","@masharybenmyfbc")</f>
        <v>@masharybenmyfbc</v>
      </c>
      <c r="C775" s="13" t="s">
        <v>4382</v>
      </c>
      <c r="D775" s="13" t="s">
        <v>4383</v>
      </c>
      <c r="E775" s="12" t="str">
        <f>HYPERLINK("https://twitter.com/masharybenmyfbc/status/1181735881943785472","1181735881943785472")</f>
        <v>1181735881943785472</v>
      </c>
      <c r="F775" s="8"/>
      <c r="G775" s="14" t="s">
        <v>4384</v>
      </c>
      <c r="H775" s="8"/>
      <c r="I775" s="15">
        <v>0</v>
      </c>
      <c r="J775" s="15">
        <v>0</v>
      </c>
      <c r="K775" s="12" t="str">
        <f>HYPERLINK("http://twitter.com","Twitter Web Client")</f>
        <v>Twitter Web Client</v>
      </c>
      <c r="L775" s="16">
        <v>11</v>
      </c>
      <c r="M775" s="16">
        <v>42</v>
      </c>
      <c r="N775" s="16">
        <v>0</v>
      </c>
      <c r="O775" s="17"/>
      <c r="P775" s="18">
        <v>42529.058969907404</v>
      </c>
      <c r="Q775" s="13" t="s">
        <v>3991</v>
      </c>
      <c r="R775" s="13" t="s">
        <v>4387</v>
      </c>
      <c r="S775" s="8"/>
      <c r="T775" s="8"/>
      <c r="U775" s="19" t="str">
        <f>HYPERLINK("https://pbs.twimg.com/profile_images/740459663448276992/QzX6USh0.jpg","View")</f>
        <v>View</v>
      </c>
      <c r="V775" s="8"/>
      <c r="W775" s="8"/>
      <c r="X775" s="8"/>
      <c r="Y775" s="8"/>
      <c r="Z775" s="8"/>
    </row>
    <row r="776" spans="1:26" ht="12.75">
      <c r="A776" s="11">
        <v>43746.748298611114</v>
      </c>
      <c r="B776" s="12" t="str">
        <f>HYPERLINK("https://twitter.com/abdelwahabkbjfy","@abdelwahabkbjfy")</f>
        <v>@abdelwahabkbjfy</v>
      </c>
      <c r="C776" s="13" t="s">
        <v>4388</v>
      </c>
      <c r="D776" s="13" t="s">
        <v>4389</v>
      </c>
      <c r="E776" s="12" t="str">
        <f>HYPERLINK("https://twitter.com/abdelwahabkbjfy/status/1181735417814618112","1181735417814618112")</f>
        <v>1181735417814618112</v>
      </c>
      <c r="F776" s="8"/>
      <c r="G776" s="14" t="s">
        <v>4390</v>
      </c>
      <c r="H776" s="8"/>
      <c r="I776" s="15">
        <v>0</v>
      </c>
      <c r="J776" s="15">
        <v>0</v>
      </c>
      <c r="K776" s="12" t="str">
        <f>HYPERLINK("http://twitter.com","Twitter Web Client")</f>
        <v>Twitter Web Client</v>
      </c>
      <c r="L776" s="16">
        <v>1</v>
      </c>
      <c r="M776" s="16">
        <v>41</v>
      </c>
      <c r="N776" s="16">
        <v>0</v>
      </c>
      <c r="O776" s="17"/>
      <c r="P776" s="18">
        <v>42428.922662037032</v>
      </c>
      <c r="Q776" s="13"/>
      <c r="R776" s="13" t="s">
        <v>4391</v>
      </c>
      <c r="S776" s="8"/>
      <c r="T776" s="8"/>
      <c r="U776" s="19" t="str">
        <f>HYPERLINK("https://pbs.twimg.com/profile_images/704486717689110532/hM2CFu4O.jpg","View")</f>
        <v>View</v>
      </c>
      <c r="V776" s="8"/>
      <c r="W776" s="8"/>
      <c r="X776" s="8"/>
      <c r="Y776" s="8"/>
      <c r="Z776" s="8"/>
    </row>
    <row r="777" spans="1:26" ht="12.75">
      <c r="A777" s="11">
        <v>43746.746585648143</v>
      </c>
      <c r="B777" s="12" t="str">
        <f>HYPERLINK("https://twitter.com/elawibatrafoqkp","@elawibatrafoqkp")</f>
        <v>@elawibatrafoqkp</v>
      </c>
      <c r="C777" s="13" t="s">
        <v>4392</v>
      </c>
      <c r="D777" s="13" t="s">
        <v>4394</v>
      </c>
      <c r="E777" s="12" t="str">
        <f>HYPERLINK("https://twitter.com/elawibatrafoqkp/status/1181734796915040256","1181734796915040256")</f>
        <v>1181734796915040256</v>
      </c>
      <c r="F777" s="8"/>
      <c r="G777" s="14" t="s">
        <v>4396</v>
      </c>
      <c r="H777" s="8"/>
      <c r="I777" s="15">
        <v>0</v>
      </c>
      <c r="J777" s="15">
        <v>0</v>
      </c>
      <c r="K777" s="12" t="str">
        <f>HYPERLINK("http://twitter.com","Twitter Web Client")</f>
        <v>Twitter Web Client</v>
      </c>
      <c r="L777" s="16">
        <v>13</v>
      </c>
      <c r="M777" s="16">
        <v>46</v>
      </c>
      <c r="N777" s="16">
        <v>0</v>
      </c>
      <c r="O777" s="17"/>
      <c r="P777" s="18">
        <v>42533.501018518524</v>
      </c>
      <c r="Q777" s="13" t="s">
        <v>4177</v>
      </c>
      <c r="R777" s="13" t="s">
        <v>4398</v>
      </c>
      <c r="S777" s="8"/>
      <c r="T777" s="8"/>
      <c r="U777" s="19" t="str">
        <f>HYPERLINK("https://pbs.twimg.com/profile_images/742069402208722944/hqnjGdfv.jpg","View")</f>
        <v>View</v>
      </c>
      <c r="V777" s="8"/>
      <c r="W777" s="8"/>
      <c r="X777" s="8"/>
      <c r="Y777" s="8"/>
      <c r="Z777" s="8"/>
    </row>
    <row r="778" spans="1:26" ht="12.75">
      <c r="A778" s="11">
        <v>43746.746562500004</v>
      </c>
      <c r="B778" s="12" t="str">
        <f>HYPERLINK("https://twitter.com/andyopel","@andyopel")</f>
        <v>@andyopel</v>
      </c>
      <c r="C778" s="13" t="s">
        <v>4401</v>
      </c>
      <c r="D778" s="13" t="s">
        <v>4402</v>
      </c>
      <c r="E778" s="12" t="str">
        <f>HYPERLINK("https://twitter.com/andyopel/status/1181734787448528896","1181734787448528896")</f>
        <v>1181734787448528896</v>
      </c>
      <c r="F778" s="8"/>
      <c r="G778" s="15"/>
      <c r="H778" s="8"/>
      <c r="I778" s="15">
        <v>2</v>
      </c>
      <c r="J778" s="15">
        <v>4</v>
      </c>
      <c r="K778" s="12" t="str">
        <f>HYPERLINK("http://twitter.com/download/iphone","Twitter for iPhone")</f>
        <v>Twitter for iPhone</v>
      </c>
      <c r="L778" s="16">
        <v>168</v>
      </c>
      <c r="M778" s="16">
        <v>449</v>
      </c>
      <c r="N778" s="16">
        <v>6</v>
      </c>
      <c r="O778" s="17"/>
      <c r="P778" s="18">
        <v>39755.260138888887</v>
      </c>
      <c r="Q778" s="13"/>
      <c r="R778" s="13" t="s">
        <v>4405</v>
      </c>
      <c r="S778" s="8"/>
      <c r="T778" s="8"/>
      <c r="U778" s="19" t="str">
        <f>HYPERLINK("https://pbs.twimg.com/profile_images/63466778/IMG_4333.jpg","View")</f>
        <v>View</v>
      </c>
      <c r="V778" s="8"/>
      <c r="W778" s="8"/>
      <c r="X778" s="8"/>
      <c r="Y778" s="8"/>
      <c r="Z778" s="8"/>
    </row>
    <row r="779" spans="1:26" ht="12.75">
      <c r="A779" s="11">
        <v>43746.745393518519</v>
      </c>
      <c r="B779" s="12" t="str">
        <f>HYPERLINK("https://twitter.com/rinaadeelah","@rinaadeelah")</f>
        <v>@rinaadeelah</v>
      </c>
      <c r="C779" s="13" t="s">
        <v>4407</v>
      </c>
      <c r="D779" s="13" t="s">
        <v>4408</v>
      </c>
      <c r="E779" s="12" t="str">
        <f>HYPERLINK("https://twitter.com/rinaadeelah/status/1181734364423569408","1181734364423569408")</f>
        <v>1181734364423569408</v>
      </c>
      <c r="F779" s="14" t="s">
        <v>4409</v>
      </c>
      <c r="G779" s="15"/>
      <c r="H779" s="8"/>
      <c r="I779" s="15">
        <v>0</v>
      </c>
      <c r="J779" s="15">
        <v>0</v>
      </c>
      <c r="K779" s="12" t="str">
        <f>HYPERLINK("https://mobile.twitter.com","Twitter Web App")</f>
        <v>Twitter Web App</v>
      </c>
      <c r="L779" s="16">
        <v>2622</v>
      </c>
      <c r="M779" s="16">
        <v>1998</v>
      </c>
      <c r="N779" s="16">
        <v>47</v>
      </c>
      <c r="O779" s="17"/>
      <c r="P779" s="18">
        <v>40409.648530092592</v>
      </c>
      <c r="Q779" s="13" t="s">
        <v>4412</v>
      </c>
      <c r="R779" s="13" t="s">
        <v>4413</v>
      </c>
      <c r="S779" s="14" t="s">
        <v>4414</v>
      </c>
      <c r="T779" s="8"/>
      <c r="U779" s="19" t="str">
        <f>HYPERLINK("https://pbs.twimg.com/profile_images/1181004364464476162/tVuyPhKR.jpg","View")</f>
        <v>View</v>
      </c>
      <c r="V779" s="8"/>
      <c r="W779" s="8"/>
      <c r="X779" s="8"/>
      <c r="Y779" s="8"/>
      <c r="Z779" s="8"/>
    </row>
    <row r="780" spans="1:26" ht="12.75">
      <c r="A780" s="11">
        <v>43746.745092592595</v>
      </c>
      <c r="B780" s="12" t="str">
        <f>HYPERLINK("https://twitter.com/borhankhobrjvky","@borhankhobrjvky")</f>
        <v>@borhankhobrjvky</v>
      </c>
      <c r="C780" s="13" t="s">
        <v>4418</v>
      </c>
      <c r="D780" s="13" t="s">
        <v>4420</v>
      </c>
      <c r="E780" s="12" t="str">
        <f>HYPERLINK("https://twitter.com/borhankhobrjvky/status/1181734253823967232","1181734253823967232")</f>
        <v>1181734253823967232</v>
      </c>
      <c r="F780" s="8"/>
      <c r="G780" s="14" t="s">
        <v>4421</v>
      </c>
      <c r="H780" s="8"/>
      <c r="I780" s="15">
        <v>0</v>
      </c>
      <c r="J780" s="15">
        <v>0</v>
      </c>
      <c r="K780" s="12" t="str">
        <f>HYPERLINK("http://twitter.com","Twitter Web Client")</f>
        <v>Twitter Web Client</v>
      </c>
      <c r="L780" s="16">
        <v>13</v>
      </c>
      <c r="M780" s="16">
        <v>43</v>
      </c>
      <c r="N780" s="16">
        <v>0</v>
      </c>
      <c r="O780" s="17"/>
      <c r="P780" s="18">
        <v>42529.081620370373</v>
      </c>
      <c r="Q780" s="8" t="s">
        <v>4424</v>
      </c>
      <c r="R780" s="13" t="s">
        <v>4425</v>
      </c>
      <c r="S780" s="8"/>
      <c r="T780" s="8"/>
      <c r="U780" s="19" t="str">
        <f>HYPERLINK("https://pbs.twimg.com/profile_images/740467872988815360/72I6vkn6.jpg","View")</f>
        <v>View</v>
      </c>
      <c r="V780" s="8"/>
      <c r="W780" s="8"/>
      <c r="X780" s="8"/>
      <c r="Y780" s="8"/>
      <c r="Z780" s="8"/>
    </row>
    <row r="781" spans="1:26" ht="12.75">
      <c r="A781" s="11">
        <v>43746.744490740741</v>
      </c>
      <c r="B781" s="12" t="str">
        <f>HYPERLINK("https://twitter.com/tarekshaqryesec","@tarekshaqryesec")</f>
        <v>@tarekshaqryesec</v>
      </c>
      <c r="C781" s="13" t="s">
        <v>4427</v>
      </c>
      <c r="D781" s="13" t="s">
        <v>4429</v>
      </c>
      <c r="E781" s="12" t="str">
        <f>HYPERLINK("https://twitter.com/tarekshaqryesec/status/1181734038517796865","1181734038517796865")</f>
        <v>1181734038517796865</v>
      </c>
      <c r="F781" s="8"/>
      <c r="G781" s="14" t="s">
        <v>4430</v>
      </c>
      <c r="H781" s="8"/>
      <c r="I781" s="15">
        <v>0</v>
      </c>
      <c r="J781" s="15">
        <v>0</v>
      </c>
      <c r="K781" s="12" t="str">
        <f>HYPERLINK("http://twitter.com","Twitter Web Client")</f>
        <v>Twitter Web Client</v>
      </c>
      <c r="L781" s="16">
        <v>3</v>
      </c>
      <c r="M781" s="16">
        <v>42</v>
      </c>
      <c r="N781" s="16">
        <v>0</v>
      </c>
      <c r="O781" s="17"/>
      <c r="P781" s="18">
        <v>42429.746145833335</v>
      </c>
      <c r="Q781" s="8"/>
      <c r="R781" s="13" t="s">
        <v>4431</v>
      </c>
      <c r="S781" s="8"/>
      <c r="T781" s="8"/>
      <c r="U781" s="19" t="str">
        <f>HYPERLINK("https://pbs.twimg.com/profile_images/704568072015892481/nDHj6i8b.jpg","View")</f>
        <v>View</v>
      </c>
      <c r="V781" s="8"/>
      <c r="W781" s="8"/>
      <c r="X781" s="8"/>
      <c r="Y781" s="8"/>
      <c r="Z781" s="8"/>
    </row>
    <row r="782" spans="1:26" ht="12.75">
      <c r="A782" s="11">
        <v>43746.743333333332</v>
      </c>
      <c r="B782" s="12" t="str">
        <f>HYPERLINK("https://twitter.com/muhammadalssay3","@muhammadalssay3")</f>
        <v>@muhammadalssay3</v>
      </c>
      <c r="C782" s="7" t="s">
        <v>4433</v>
      </c>
      <c r="D782" s="7" t="s">
        <v>4434</v>
      </c>
      <c r="E782" s="12" t="str">
        <f>HYPERLINK("https://twitter.com/muhammadalssay3/status/1181733615635488774","1181733615635488774")</f>
        <v>1181733615635488774</v>
      </c>
      <c r="F782" s="8"/>
      <c r="G782" s="14" t="s">
        <v>4435</v>
      </c>
      <c r="H782" s="8"/>
      <c r="I782" s="15">
        <v>0</v>
      </c>
      <c r="J782" s="15">
        <v>0</v>
      </c>
      <c r="K782" s="12" t="str">
        <f>HYPERLINK("http://twitter.com","Twitter Web Client")</f>
        <v>Twitter Web Client</v>
      </c>
      <c r="L782" s="16">
        <v>0</v>
      </c>
      <c r="M782" s="16">
        <v>0</v>
      </c>
      <c r="N782" s="16">
        <v>0</v>
      </c>
      <c r="O782" s="17"/>
      <c r="P782" s="18">
        <v>42482.16915509259</v>
      </c>
      <c r="Q782" s="7"/>
      <c r="R782" s="7" t="s">
        <v>4052</v>
      </c>
      <c r="S782" s="15"/>
      <c r="T782" s="8"/>
      <c r="U782" s="19" t="str">
        <f>HYPERLINK("https://pbs.twimg.com/profile_images/723853760158679040/MEKt-YFa.jpg","View")</f>
        <v>View</v>
      </c>
      <c r="V782" s="8"/>
      <c r="W782" s="8"/>
      <c r="X782" s="8"/>
      <c r="Y782" s="8"/>
      <c r="Z782" s="8"/>
    </row>
    <row r="783" spans="1:26" ht="12.75">
      <c r="A783" s="11">
        <v>43746.743136574078</v>
      </c>
      <c r="B783" s="12" t="str">
        <f>HYPERLINK("https://twitter.com/fouadbenhaivelp","@fouadbenhaivelp")</f>
        <v>@fouadbenhaivelp</v>
      </c>
      <c r="C783" s="13" t="s">
        <v>4439</v>
      </c>
      <c r="D783" s="13" t="s">
        <v>4440</v>
      </c>
      <c r="E783" s="12" t="str">
        <f>HYPERLINK("https://twitter.com/fouadbenhaivelp/status/1181733544500105216","1181733544500105216")</f>
        <v>1181733544500105216</v>
      </c>
      <c r="F783" s="8"/>
      <c r="G783" s="14" t="s">
        <v>4441</v>
      </c>
      <c r="H783" s="8"/>
      <c r="I783" s="15">
        <v>0</v>
      </c>
      <c r="J783" s="15">
        <v>0</v>
      </c>
      <c r="K783" s="12" t="str">
        <f>HYPERLINK("http://twitter.com","Twitter Web Client")</f>
        <v>Twitter Web Client</v>
      </c>
      <c r="L783" s="16">
        <v>2</v>
      </c>
      <c r="M783" s="16">
        <v>41</v>
      </c>
      <c r="N783" s="16">
        <v>0</v>
      </c>
      <c r="O783" s="17"/>
      <c r="P783" s="18">
        <v>42429.675162037034</v>
      </c>
      <c r="Q783" s="13"/>
      <c r="R783" s="13" t="s">
        <v>4360</v>
      </c>
      <c r="S783" s="8"/>
      <c r="T783" s="8"/>
      <c r="U783" s="19" t="str">
        <f>HYPERLINK("https://pbs.twimg.com/profile_images/704541833339215873/yiikHXUn.jpg","View")</f>
        <v>View</v>
      </c>
      <c r="V783" s="8"/>
      <c r="W783" s="8"/>
      <c r="X783" s="8"/>
      <c r="Y783" s="8"/>
      <c r="Z783" s="8"/>
    </row>
    <row r="784" spans="1:26" ht="12.75">
      <c r="A784" s="11">
        <v>43746.740624999999</v>
      </c>
      <c r="B784" s="12" t="str">
        <f>HYPERLINK("https://twitter.com/aymanbarhomuhzz","@aymanbarhomuhzz")</f>
        <v>@aymanbarhomuhzz</v>
      </c>
      <c r="C784" s="13" t="s">
        <v>4446</v>
      </c>
      <c r="D784" s="13" t="s">
        <v>4447</v>
      </c>
      <c r="E784" s="12" t="str">
        <f>HYPERLINK("https://twitter.com/aymanbarhomuhzz/status/1181732634382290944","1181732634382290944")</f>
        <v>1181732634382290944</v>
      </c>
      <c r="F784" s="8"/>
      <c r="G784" s="14" t="s">
        <v>4448</v>
      </c>
      <c r="H784" s="8"/>
      <c r="I784" s="15">
        <v>0</v>
      </c>
      <c r="J784" s="15">
        <v>0</v>
      </c>
      <c r="K784" s="12" t="str">
        <f>HYPERLINK("http://twitter.com","Twitter Web Client")</f>
        <v>Twitter Web Client</v>
      </c>
      <c r="L784" s="16">
        <v>13</v>
      </c>
      <c r="M784" s="16">
        <v>51</v>
      </c>
      <c r="N784" s="16">
        <v>0</v>
      </c>
      <c r="O784" s="17"/>
      <c r="P784" s="18">
        <v>42532.584178240737</v>
      </c>
      <c r="Q784" s="13" t="s">
        <v>4452</v>
      </c>
      <c r="R784" s="13" t="s">
        <v>4453</v>
      </c>
      <c r="S784" s="8"/>
      <c r="T784" s="8"/>
      <c r="U784" s="19" t="str">
        <f>HYPERLINK("https://pbs.twimg.com/profile_images/741737156964720641/eo3ZYFVx.jpg","View")</f>
        <v>View</v>
      </c>
      <c r="V784" s="8"/>
      <c r="W784" s="8"/>
      <c r="X784" s="8"/>
      <c r="Y784" s="8"/>
      <c r="Z784" s="8"/>
    </row>
    <row r="785" spans="1:26" ht="12.75">
      <c r="A785" s="11">
        <v>43746.738310185188</v>
      </c>
      <c r="B785" s="12" t="str">
        <f>HYPERLINK("https://twitter.com/azzamakhdardwqu","@azzamakhdardwqu")</f>
        <v>@azzamakhdardwqu</v>
      </c>
      <c r="C785" s="13" t="s">
        <v>4454</v>
      </c>
      <c r="D785" s="13" t="s">
        <v>4455</v>
      </c>
      <c r="E785" s="12" t="str">
        <f>HYPERLINK("https://twitter.com/azzamakhdardwqu/status/1181731798633586688","1181731798633586688")</f>
        <v>1181731798633586688</v>
      </c>
      <c r="F785" s="8"/>
      <c r="G785" s="14" t="s">
        <v>4456</v>
      </c>
      <c r="H785" s="8"/>
      <c r="I785" s="15">
        <v>0</v>
      </c>
      <c r="J785" s="15">
        <v>0</v>
      </c>
      <c r="K785" s="12" t="str">
        <f>HYPERLINK("http://twitter.com","Twitter Web Client")</f>
        <v>Twitter Web Client</v>
      </c>
      <c r="L785" s="16">
        <v>2</v>
      </c>
      <c r="M785" s="16">
        <v>39</v>
      </c>
      <c r="N785" s="16">
        <v>0</v>
      </c>
      <c r="O785" s="17"/>
      <c r="P785" s="18">
        <v>42470.959895833337</v>
      </c>
      <c r="Q785" s="8" t="s">
        <v>4195</v>
      </c>
      <c r="R785" s="13" t="s">
        <v>4107</v>
      </c>
      <c r="S785" s="8"/>
      <c r="T785" s="8"/>
      <c r="U785" s="19" t="str">
        <f>HYPERLINK("https://pbs.twimg.com/profile_images/719693066685145088/Ja40LsEj.jpg","View")</f>
        <v>View</v>
      </c>
      <c r="V785" s="8"/>
      <c r="W785" s="8"/>
      <c r="X785" s="8"/>
      <c r="Y785" s="8"/>
      <c r="Z785" s="8"/>
    </row>
    <row r="786" spans="1:26" ht="12.75">
      <c r="A786" s="11">
        <v>43746.735810185186</v>
      </c>
      <c r="B786" s="12" t="str">
        <f>HYPERLINK("https://twitter.com/masoudsowaiprgr","@masoudsowaiprgr")</f>
        <v>@masoudsowaiprgr</v>
      </c>
      <c r="C786" s="13" t="s">
        <v>4460</v>
      </c>
      <c r="D786" s="13" t="s">
        <v>4461</v>
      </c>
      <c r="E786" s="12" t="str">
        <f>HYPERLINK("https://twitter.com/masoudsowaiprgr/status/1181730892068335617","1181730892068335617")</f>
        <v>1181730892068335617</v>
      </c>
      <c r="F786" s="8"/>
      <c r="G786" s="14" t="s">
        <v>4462</v>
      </c>
      <c r="H786" s="8"/>
      <c r="I786" s="15">
        <v>0</v>
      </c>
      <c r="J786" s="15">
        <v>0</v>
      </c>
      <c r="K786" s="12" t="str">
        <f>HYPERLINK("http://twitter.com","Twitter Web Client")</f>
        <v>Twitter Web Client</v>
      </c>
      <c r="L786" s="16">
        <v>16</v>
      </c>
      <c r="M786" s="16">
        <v>43</v>
      </c>
      <c r="N786" s="16">
        <v>0</v>
      </c>
      <c r="O786" s="17"/>
      <c r="P786" s="18">
        <v>42529.491261574076</v>
      </c>
      <c r="Q786" s="8" t="s">
        <v>4463</v>
      </c>
      <c r="R786" s="13" t="s">
        <v>4464</v>
      </c>
      <c r="S786" s="8"/>
      <c r="T786" s="8"/>
      <c r="U786" s="19" t="str">
        <f>HYPERLINK("https://pbs.twimg.com/profile_images/740616321243750400/fVsarzd9.jpg","View")</f>
        <v>View</v>
      </c>
      <c r="V786" s="8"/>
      <c r="W786" s="8"/>
      <c r="X786" s="8"/>
      <c r="Y786" s="8"/>
      <c r="Z786" s="8"/>
    </row>
    <row r="787" spans="1:26" ht="12.75">
      <c r="A787" s="11">
        <v>43746.735613425924</v>
      </c>
      <c r="B787" s="12" t="str">
        <f>HYPERLINK("https://twitter.com/salemgaserqwxx","@salemgaserqwxx")</f>
        <v>@salemgaserqwxx</v>
      </c>
      <c r="C787" s="13" t="s">
        <v>4465</v>
      </c>
      <c r="D787" s="13" t="s">
        <v>4466</v>
      </c>
      <c r="E787" s="12" t="str">
        <f>HYPERLINK("https://twitter.com/salemgaserqwxx/status/1181730818202447873","1181730818202447873")</f>
        <v>1181730818202447873</v>
      </c>
      <c r="F787" s="8"/>
      <c r="G787" s="14" t="s">
        <v>4467</v>
      </c>
      <c r="H787" s="8"/>
      <c r="I787" s="15">
        <v>0</v>
      </c>
      <c r="J787" s="15">
        <v>0</v>
      </c>
      <c r="K787" s="12" t="str">
        <f>HYPERLINK("http://twitter.com","Twitter Web Client")</f>
        <v>Twitter Web Client</v>
      </c>
      <c r="L787" s="16">
        <v>2</v>
      </c>
      <c r="M787" s="16">
        <v>40</v>
      </c>
      <c r="N787" s="16">
        <v>0</v>
      </c>
      <c r="O787" s="17"/>
      <c r="P787" s="18">
        <v>42428.942291666666</v>
      </c>
      <c r="Q787" s="13"/>
      <c r="R787" s="13" t="s">
        <v>4468</v>
      </c>
      <c r="S787" s="8"/>
      <c r="T787" s="8"/>
      <c r="U787" s="19" t="str">
        <f>HYPERLINK("https://pbs.twimg.com/profile_images/704493956273455106/5WBlVXEM.jpg","View")</f>
        <v>View</v>
      </c>
      <c r="V787" s="8"/>
      <c r="W787" s="8"/>
      <c r="X787" s="8"/>
      <c r="Y787" s="8"/>
      <c r="Z787" s="8"/>
    </row>
    <row r="788" spans="1:26" ht="12.75">
      <c r="A788" s="11">
        <v>43746.734930555554</v>
      </c>
      <c r="B788" s="12" t="str">
        <f>HYPERLINK("https://twitter.com/AbuAlkhattabe","@AbuAlkhattabe")</f>
        <v>@AbuAlkhattabe</v>
      </c>
      <c r="C788" s="13" t="s">
        <v>4473</v>
      </c>
      <c r="D788" s="13" t="s">
        <v>4474</v>
      </c>
      <c r="E788" s="12" t="str">
        <f>HYPERLINK("https://twitter.com/AbuAlkhattabe/status/1181730573204639744","1181730573204639744")</f>
        <v>1181730573204639744</v>
      </c>
      <c r="F788" s="8"/>
      <c r="G788" s="15"/>
      <c r="H788" s="8"/>
      <c r="I788" s="15">
        <v>1</v>
      </c>
      <c r="J788" s="15">
        <v>1</v>
      </c>
      <c r="K788" s="12" t="str">
        <f>HYPERLINK("http://twitter.com/download/android","Twitter for Android")</f>
        <v>Twitter for Android</v>
      </c>
      <c r="L788" s="16">
        <v>25</v>
      </c>
      <c r="M788" s="16">
        <v>233</v>
      </c>
      <c r="N788" s="16">
        <v>1</v>
      </c>
      <c r="O788" s="17"/>
      <c r="P788" s="18">
        <v>43637.140972222223</v>
      </c>
      <c r="Q788" s="13" t="s">
        <v>4475</v>
      </c>
      <c r="R788" s="13" t="s">
        <v>4476</v>
      </c>
      <c r="S788" s="8"/>
      <c r="T788" s="8"/>
      <c r="U788" s="19" t="str">
        <f>HYPERLINK("https://pbs.twimg.com/profile_images/1142016274479714310/bZ00k-Kc.jpg","View")</f>
        <v>View</v>
      </c>
      <c r="V788" s="8"/>
      <c r="W788" s="8"/>
      <c r="X788" s="8"/>
      <c r="Y788" s="8"/>
      <c r="Z788" s="8"/>
    </row>
    <row r="789" spans="1:26" ht="12.75">
      <c r="A789" s="11">
        <v>43746.733715277776</v>
      </c>
      <c r="B789" s="12" t="str">
        <f>HYPERLINK("https://twitter.com/rahkgerebypbaz","@rahkgerebypbaz")</f>
        <v>@rahkgerebypbaz</v>
      </c>
      <c r="C789" s="13" t="s">
        <v>4477</v>
      </c>
      <c r="D789" s="13" t="s">
        <v>4478</v>
      </c>
      <c r="E789" s="12" t="str">
        <f>HYPERLINK("https://twitter.com/rahkgerebypbaz/status/1181730133280993280","1181730133280993280")</f>
        <v>1181730133280993280</v>
      </c>
      <c r="F789" s="8"/>
      <c r="G789" s="14" t="s">
        <v>4479</v>
      </c>
      <c r="H789" s="8"/>
      <c r="I789" s="15">
        <v>0</v>
      </c>
      <c r="J789" s="15">
        <v>0</v>
      </c>
      <c r="K789" s="12" t="str">
        <f>HYPERLINK("http://twitter.com","Twitter Web Client")</f>
        <v>Twitter Web Client</v>
      </c>
      <c r="L789" s="16">
        <v>1</v>
      </c>
      <c r="M789" s="16">
        <v>41</v>
      </c>
      <c r="N789" s="16">
        <v>0</v>
      </c>
      <c r="O789" s="17"/>
      <c r="P789" s="18">
        <v>42429.589421296296</v>
      </c>
      <c r="Q789" s="8"/>
      <c r="R789" s="13" t="s">
        <v>4480</v>
      </c>
      <c r="S789" s="8"/>
      <c r="T789" s="8"/>
      <c r="U789" s="19" t="str">
        <f>HYPERLINK("https://pbs.twimg.com/profile_images/704533652642926592/08SokzjW.jpg","View")</f>
        <v>View</v>
      </c>
      <c r="V789" s="8"/>
      <c r="W789" s="8"/>
      <c r="X789" s="8"/>
      <c r="Y789" s="8"/>
      <c r="Z789" s="8"/>
    </row>
    <row r="790" spans="1:26" ht="12.75">
      <c r="A790" s="11">
        <v>43746.732754629629</v>
      </c>
      <c r="B790" s="12" t="str">
        <f>HYPERLINK("https://twitter.com/fawwazgoghiqojy","@fawwazgoghiqojy")</f>
        <v>@fawwazgoghiqojy</v>
      </c>
      <c r="C790" s="13" t="s">
        <v>4484</v>
      </c>
      <c r="D790" s="13" t="s">
        <v>4485</v>
      </c>
      <c r="E790" s="12" t="str">
        <f>HYPERLINK("https://twitter.com/fawwazgoghiqojy/status/1181729785300635648","1181729785300635648")</f>
        <v>1181729785300635648</v>
      </c>
      <c r="F790" s="8"/>
      <c r="G790" s="14" t="s">
        <v>4486</v>
      </c>
      <c r="H790" s="8"/>
      <c r="I790" s="15">
        <v>0</v>
      </c>
      <c r="J790" s="15">
        <v>0</v>
      </c>
      <c r="K790" s="12" t="str">
        <f>HYPERLINK("http://twitter.com","Twitter Web Client")</f>
        <v>Twitter Web Client</v>
      </c>
      <c r="L790" s="16">
        <v>3</v>
      </c>
      <c r="M790" s="16">
        <v>42</v>
      </c>
      <c r="N790" s="16">
        <v>0</v>
      </c>
      <c r="O790" s="17"/>
      <c r="P790" s="18">
        <v>42429.769108796296</v>
      </c>
      <c r="Q790" s="8"/>
      <c r="R790" s="13" t="s">
        <v>4490</v>
      </c>
      <c r="S790" s="8"/>
      <c r="T790" s="8"/>
      <c r="U790" s="19" t="str">
        <f>HYPERLINK("https://pbs.twimg.com/profile_images/704577283810586625/rVFpOAAI.jpg","View")</f>
        <v>View</v>
      </c>
      <c r="V790" s="8"/>
      <c r="W790" s="8"/>
      <c r="X790" s="8"/>
      <c r="Y790" s="8"/>
      <c r="Z790" s="8"/>
    </row>
    <row r="791" spans="1:26" ht="12.75">
      <c r="A791" s="11">
        <v>43746.731435185182</v>
      </c>
      <c r="B791" s="12" t="str">
        <f>HYPERLINK("https://twitter.com/khalafassafbmev","@khalafassafbmev")</f>
        <v>@khalafassafbmev</v>
      </c>
      <c r="C791" s="13" t="s">
        <v>4491</v>
      </c>
      <c r="D791" s="13" t="s">
        <v>4492</v>
      </c>
      <c r="E791" s="12" t="str">
        <f>HYPERLINK("https://twitter.com/khalafassafbmev/status/1181729305476382720","1181729305476382720")</f>
        <v>1181729305476382720</v>
      </c>
      <c r="F791" s="8"/>
      <c r="G791" s="14" t="s">
        <v>4495</v>
      </c>
      <c r="H791" s="8"/>
      <c r="I791" s="15">
        <v>0</v>
      </c>
      <c r="J791" s="15">
        <v>0</v>
      </c>
      <c r="K791" s="12" t="str">
        <f>HYPERLINK("http://twitter.com","Twitter Web Client")</f>
        <v>Twitter Web Client</v>
      </c>
      <c r="L791" s="16">
        <v>3</v>
      </c>
      <c r="M791" s="16">
        <v>42</v>
      </c>
      <c r="N791" s="16">
        <v>0</v>
      </c>
      <c r="O791" s="17"/>
      <c r="P791" s="18">
        <v>42429.699386574073</v>
      </c>
      <c r="Q791" s="8"/>
      <c r="R791" s="13" t="s">
        <v>4308</v>
      </c>
      <c r="S791" s="8"/>
      <c r="T791" s="8"/>
      <c r="U791" s="19" t="str">
        <f>HYPERLINK("https://pbs.twimg.com/profile_images/704551087093772288/vooaKCvK.jpg","View")</f>
        <v>View</v>
      </c>
      <c r="V791" s="8"/>
      <c r="W791" s="8"/>
      <c r="X791" s="8"/>
      <c r="Y791" s="8"/>
      <c r="Z791" s="8"/>
    </row>
    <row r="792" spans="1:26" ht="12.75">
      <c r="A792" s="11">
        <v>43746.731238425928</v>
      </c>
      <c r="B792" s="12" t="str">
        <f>HYPERLINK("https://twitter.com/faragaslamikyrl","@faragaslamikyrl")</f>
        <v>@faragaslamikyrl</v>
      </c>
      <c r="C792" s="13" t="s">
        <v>4497</v>
      </c>
      <c r="D792" s="13" t="s">
        <v>59</v>
      </c>
      <c r="E792" s="12" t="str">
        <f>HYPERLINK("https://twitter.com/faragaslamikyrl/status/1181729233309184001","1181729233309184001")</f>
        <v>1181729233309184001</v>
      </c>
      <c r="F792" s="8"/>
      <c r="G792" s="14" t="s">
        <v>4498</v>
      </c>
      <c r="H792" s="8"/>
      <c r="I792" s="15">
        <v>0</v>
      </c>
      <c r="J792" s="15">
        <v>0</v>
      </c>
      <c r="K792" s="12" t="str">
        <f>HYPERLINK("http://twitter.com","Twitter Web Client")</f>
        <v>Twitter Web Client</v>
      </c>
      <c r="L792" s="16">
        <v>2</v>
      </c>
      <c r="M792" s="16">
        <v>37</v>
      </c>
      <c r="N792" s="16">
        <v>0</v>
      </c>
      <c r="O792" s="17"/>
      <c r="P792" s="18">
        <v>42495.915856481486</v>
      </c>
      <c r="Q792" s="13" t="s">
        <v>964</v>
      </c>
      <c r="R792" s="13" t="s">
        <v>4499</v>
      </c>
      <c r="S792" s="8"/>
      <c r="T792" s="8"/>
      <c r="U792" s="19" t="str">
        <f>HYPERLINK("https://pbs.twimg.com/profile_images/728449679726284800/NDtnegGq.jpg","View")</f>
        <v>View</v>
      </c>
      <c r="V792" s="8"/>
      <c r="W792" s="8"/>
      <c r="X792" s="8"/>
      <c r="Y792" s="8"/>
      <c r="Z792" s="8"/>
    </row>
    <row r="793" spans="1:26" ht="12.75">
      <c r="A793" s="11">
        <v>43746.729872685188</v>
      </c>
      <c r="B793" s="12" t="str">
        <f>HYPERLINK("https://twitter.com/moroeygabrfcfx","@moroeygabrfcfx")</f>
        <v>@moroeygabrfcfx</v>
      </c>
      <c r="C793" s="7" t="s">
        <v>4500</v>
      </c>
      <c r="D793" s="7" t="s">
        <v>4501</v>
      </c>
      <c r="E793" s="12" t="str">
        <f>HYPERLINK("https://twitter.com/moroeygabrfcfx/status/1181728740763734016","1181728740763734016")</f>
        <v>1181728740763734016</v>
      </c>
      <c r="F793" s="7"/>
      <c r="G793" s="14" t="s">
        <v>4502</v>
      </c>
      <c r="H793" s="8"/>
      <c r="I793" s="15">
        <v>0</v>
      </c>
      <c r="J793" s="15">
        <v>0</v>
      </c>
      <c r="K793" s="12" t="str">
        <f>HYPERLINK("http://twitter.com","Twitter Web Client")</f>
        <v>Twitter Web Client</v>
      </c>
      <c r="L793" s="16">
        <v>2</v>
      </c>
      <c r="M793" s="16">
        <v>39</v>
      </c>
      <c r="N793" s="16">
        <v>0</v>
      </c>
      <c r="O793" s="17"/>
      <c r="P793" s="18">
        <v>42456.864814814813</v>
      </c>
      <c r="Q793" s="7" t="s">
        <v>4260</v>
      </c>
      <c r="R793" s="8" t="s">
        <v>4503</v>
      </c>
      <c r="S793" s="15"/>
      <c r="T793" s="8"/>
      <c r="U793" s="19" t="str">
        <f>HYPERLINK("https://pbs.twimg.com/profile_images/714675277557792768/OTs-0PTS.jpg","View")</f>
        <v>View</v>
      </c>
      <c r="V793" s="8"/>
      <c r="W793" s="8"/>
      <c r="X793" s="8"/>
      <c r="Y793" s="8"/>
      <c r="Z793" s="8"/>
    </row>
    <row r="794" spans="1:26" ht="12.75">
      <c r="A794" s="11">
        <v>43746.729317129633</v>
      </c>
      <c r="B794" s="12" t="str">
        <f>HYPERLINK("https://twitter.com/oudahshetefcoml","@oudahshetefcoml")</f>
        <v>@oudahshetefcoml</v>
      </c>
      <c r="C794" s="13" t="s">
        <v>4506</v>
      </c>
      <c r="D794" s="13" t="s">
        <v>78</v>
      </c>
      <c r="E794" s="12" t="str">
        <f>HYPERLINK("https://twitter.com/oudahshetefcoml/status/1181728537545515009","1181728537545515009")</f>
        <v>1181728537545515009</v>
      </c>
      <c r="F794" s="8"/>
      <c r="G794" s="14" t="s">
        <v>4508</v>
      </c>
      <c r="H794" s="8"/>
      <c r="I794" s="15">
        <v>0</v>
      </c>
      <c r="J794" s="15">
        <v>0</v>
      </c>
      <c r="K794" s="12" t="str">
        <f>HYPERLINK("http://twitter.com","Twitter Web Client")</f>
        <v>Twitter Web Client</v>
      </c>
      <c r="L794" s="16">
        <v>1</v>
      </c>
      <c r="M794" s="16">
        <v>39</v>
      </c>
      <c r="N794" s="16">
        <v>0</v>
      </c>
      <c r="O794" s="17"/>
      <c r="P794" s="18">
        <v>42463.744074074071</v>
      </c>
      <c r="Q794" s="13" t="s">
        <v>4509</v>
      </c>
      <c r="R794" s="13" t="s">
        <v>4510</v>
      </c>
      <c r="S794" s="8"/>
      <c r="T794" s="8"/>
      <c r="U794" s="19" t="str">
        <f>HYPERLINK("https://pbs.twimg.com/profile_images/716877562975092736/3iwe6sAz.jpg","View")</f>
        <v>View</v>
      </c>
      <c r="V794" s="8"/>
      <c r="W794" s="8"/>
      <c r="X794" s="8"/>
      <c r="Y794" s="8"/>
      <c r="Z794" s="8"/>
    </row>
    <row r="795" spans="1:26" ht="12.75">
      <c r="A795" s="11">
        <v>43746.729120370372</v>
      </c>
      <c r="B795" s="12" t="str">
        <f>HYPERLINK("https://twitter.com/hassanabdlrwyxy","@hassanabdlrwyxy")</f>
        <v>@hassanabdlrwyxy</v>
      </c>
      <c r="C795" s="7" t="s">
        <v>4511</v>
      </c>
      <c r="D795" s="7" t="s">
        <v>4512</v>
      </c>
      <c r="E795" s="12" t="str">
        <f>HYPERLINK("https://twitter.com/hassanabdlrwyxy/status/1181728464472281093","1181728464472281093")</f>
        <v>1181728464472281093</v>
      </c>
      <c r="F795" s="8"/>
      <c r="G795" s="14" t="s">
        <v>4513</v>
      </c>
      <c r="H795" s="8"/>
      <c r="I795" s="15">
        <v>0</v>
      </c>
      <c r="J795" s="15">
        <v>0</v>
      </c>
      <c r="K795" s="12" t="str">
        <f>HYPERLINK("http://twitter.com","Twitter Web Client")</f>
        <v>Twitter Web Client</v>
      </c>
      <c r="L795" s="16">
        <v>9</v>
      </c>
      <c r="M795" s="16">
        <v>39</v>
      </c>
      <c r="N795" s="16">
        <v>0</v>
      </c>
      <c r="O795" s="17"/>
      <c r="P795" s="18">
        <v>42532.472002314811</v>
      </c>
      <c r="Q795" s="7" t="s">
        <v>4170</v>
      </c>
      <c r="R795" s="7" t="s">
        <v>4517</v>
      </c>
      <c r="S795" s="8"/>
      <c r="T795" s="8"/>
      <c r="U795" s="19" t="str">
        <f>HYPERLINK("https://pbs.twimg.com/profile_images/741696511365554176/5v6eJJ4T.jpg","View")</f>
        <v>View</v>
      </c>
      <c r="V795" s="8"/>
      <c r="W795" s="8"/>
      <c r="X795" s="8"/>
      <c r="Y795" s="8"/>
      <c r="Z795" s="8"/>
    </row>
    <row r="796" spans="1:26" ht="12.75">
      <c r="A796" s="11">
        <v>43746.72892361111</v>
      </c>
      <c r="B796" s="12" t="str">
        <f>HYPERLINK("https://twitter.com/ibrahimdoayntpo","@ibrahimdoayntpo")</f>
        <v>@ibrahimdoayntpo</v>
      </c>
      <c r="C796" s="13" t="s">
        <v>4518</v>
      </c>
      <c r="D796" s="13" t="s">
        <v>4519</v>
      </c>
      <c r="E796" s="12" t="str">
        <f>HYPERLINK("https://twitter.com/ibrahimdoayntpo/status/1181728393697603584","1181728393697603584")</f>
        <v>1181728393697603584</v>
      </c>
      <c r="F796" s="8"/>
      <c r="G796" s="14" t="s">
        <v>4520</v>
      </c>
      <c r="H796" s="8"/>
      <c r="I796" s="15">
        <v>0</v>
      </c>
      <c r="J796" s="15">
        <v>0</v>
      </c>
      <c r="K796" s="12" t="str">
        <f>HYPERLINK("http://twitter.com","Twitter Web Client")</f>
        <v>Twitter Web Client</v>
      </c>
      <c r="L796" s="16">
        <v>14</v>
      </c>
      <c r="M796" s="16">
        <v>40</v>
      </c>
      <c r="N796" s="16">
        <v>0</v>
      </c>
      <c r="O796" s="17"/>
      <c r="P796" s="18">
        <v>42529.699699074074</v>
      </c>
      <c r="Q796" s="8" t="s">
        <v>4523</v>
      </c>
      <c r="R796" s="13" t="s">
        <v>4524</v>
      </c>
      <c r="S796" s="8"/>
      <c r="T796" s="8"/>
      <c r="U796" s="19" t="str">
        <f>HYPERLINK("https://pbs.twimg.com/profile_images/740691857588490240/D8xQC5rk.jpg","View")</f>
        <v>View</v>
      </c>
      <c r="V796" s="8"/>
      <c r="W796" s="8"/>
      <c r="X796" s="8"/>
      <c r="Y796" s="8"/>
      <c r="Z796" s="8"/>
    </row>
    <row r="797" spans="1:26" ht="12.75">
      <c r="A797" s="11">
        <v>43746.725624999999</v>
      </c>
      <c r="B797" s="12" t="str">
        <f>HYPERLINK("https://twitter.com/sakrgeashanlqlq","@sakrgeashanlqlq")</f>
        <v>@sakrgeashanlqlq</v>
      </c>
      <c r="C797" s="13" t="s">
        <v>4525</v>
      </c>
      <c r="D797" s="13" t="s">
        <v>4526</v>
      </c>
      <c r="E797" s="12" t="str">
        <f>HYPERLINK("https://twitter.com/sakrgeashanlqlq/status/1181727199306682369","1181727199306682369")</f>
        <v>1181727199306682369</v>
      </c>
      <c r="F797" s="8"/>
      <c r="G797" s="14" t="s">
        <v>4529</v>
      </c>
      <c r="H797" s="8"/>
      <c r="I797" s="15">
        <v>0</v>
      </c>
      <c r="J797" s="15">
        <v>0</v>
      </c>
      <c r="K797" s="12" t="str">
        <f>HYPERLINK("http://twitter.com","Twitter Web Client")</f>
        <v>Twitter Web Client</v>
      </c>
      <c r="L797" s="16">
        <v>9</v>
      </c>
      <c r="M797" s="16">
        <v>38</v>
      </c>
      <c r="N797" s="16">
        <v>0</v>
      </c>
      <c r="O797" s="17"/>
      <c r="P797" s="18">
        <v>42532.528854166667</v>
      </c>
      <c r="Q797" s="13" t="s">
        <v>4530</v>
      </c>
      <c r="R797" s="13" t="s">
        <v>4531</v>
      </c>
      <c r="S797" s="8"/>
      <c r="T797" s="8"/>
      <c r="U797" s="19" t="str">
        <f>HYPERLINK("https://pbs.twimg.com/profile_images/741717107226873856/x1D6GPZW.jpg","View")</f>
        <v>View</v>
      </c>
      <c r="V797" s="8"/>
      <c r="W797" s="8"/>
      <c r="X797" s="8"/>
      <c r="Y797" s="8"/>
      <c r="Z797" s="8"/>
    </row>
    <row r="798" spans="1:26" ht="12.75">
      <c r="A798" s="11">
        <v>43746.725011574075</v>
      </c>
      <c r="B798" s="12" t="str">
        <f>HYPERLINK("https://twitter.com/UKRedRevolution","@UKRedRevolution")</f>
        <v>@UKRedRevolution</v>
      </c>
      <c r="C798" s="13" t="s">
        <v>4533</v>
      </c>
      <c r="D798" s="13" t="s">
        <v>4534</v>
      </c>
      <c r="E798" s="12" t="str">
        <f>HYPERLINK("https://twitter.com/UKRedRevolution/status/1181726977088262144","1181726977088262144")</f>
        <v>1181726977088262144</v>
      </c>
      <c r="F798" s="14" t="s">
        <v>4535</v>
      </c>
      <c r="G798" s="14" t="s">
        <v>4536</v>
      </c>
      <c r="H798" s="8"/>
      <c r="I798" s="15">
        <v>0</v>
      </c>
      <c r="J798" s="15">
        <v>0</v>
      </c>
      <c r="K798" s="12" t="str">
        <f>HYPERLINK("https://redrevolution.co.uk","Red Revolution Media")</f>
        <v>Red Revolution Media</v>
      </c>
      <c r="L798" s="16">
        <v>1787</v>
      </c>
      <c r="M798" s="16">
        <v>503</v>
      </c>
      <c r="N798" s="16">
        <v>16</v>
      </c>
      <c r="O798" s="17"/>
      <c r="P798" s="18">
        <v>43466.318368055552</v>
      </c>
      <c r="Q798" s="13" t="s">
        <v>2782</v>
      </c>
      <c r="R798" s="13" t="s">
        <v>4539</v>
      </c>
      <c r="S798" s="14" t="s">
        <v>4540</v>
      </c>
      <c r="T798" s="8"/>
      <c r="U798" s="19" t="str">
        <f>HYPERLINK("https://pbs.twimg.com/profile_images/1109457534052716546/y46CcULY.png","View")</f>
        <v>View</v>
      </c>
      <c r="V798" s="8"/>
      <c r="W798" s="8"/>
      <c r="X798" s="8"/>
      <c r="Y798" s="8"/>
      <c r="Z798" s="8"/>
    </row>
    <row r="799" spans="1:26" ht="12.75">
      <c r="A799" s="11">
        <v>43746.724872685183</v>
      </c>
      <c r="B799" s="12" t="str">
        <f>HYPERLINK("https://twitter.com/romehamishgcwj","@romehamishgcwj")</f>
        <v>@romehamishgcwj</v>
      </c>
      <c r="C799" s="13" t="s">
        <v>4543</v>
      </c>
      <c r="D799" s="13" t="s">
        <v>99</v>
      </c>
      <c r="E799" s="12" t="str">
        <f>HYPERLINK("https://twitter.com/romehamishgcwj/status/1181726925330493441","1181726925330493441")</f>
        <v>1181726925330493441</v>
      </c>
      <c r="F799" s="8"/>
      <c r="G799" s="14" t="s">
        <v>4545</v>
      </c>
      <c r="H799" s="8"/>
      <c r="I799" s="15">
        <v>0</v>
      </c>
      <c r="J799" s="15">
        <v>0</v>
      </c>
      <c r="K799" s="12" t="str">
        <f>HYPERLINK("http://twitter.com","Twitter Web Client")</f>
        <v>Twitter Web Client</v>
      </c>
      <c r="L799" s="16">
        <v>2</v>
      </c>
      <c r="M799" s="16">
        <v>39</v>
      </c>
      <c r="N799" s="16">
        <v>0</v>
      </c>
      <c r="O799" s="17"/>
      <c r="P799" s="18">
        <v>42471.560891203699</v>
      </c>
      <c r="Q799" s="13" t="s">
        <v>4547</v>
      </c>
      <c r="R799" s="13" t="s">
        <v>4531</v>
      </c>
      <c r="S799" s="8"/>
      <c r="T799" s="8"/>
      <c r="U799" s="19" t="str">
        <f>HYPERLINK("https://pbs.twimg.com/profile_images/719759627429224448/lxNGyf3A.jpg","View")</f>
        <v>View</v>
      </c>
      <c r="V799" s="8"/>
      <c r="W799" s="8"/>
      <c r="X799" s="8"/>
      <c r="Y799" s="8"/>
      <c r="Z799" s="8"/>
    </row>
    <row r="800" spans="1:26" ht="12.75">
      <c r="A800" s="11">
        <v>43746.72446759259</v>
      </c>
      <c r="B800" s="12" t="str">
        <f>HYPERLINK("https://twitter.com/gaberabdalyafpz","@gaberabdalyafpz")</f>
        <v>@gaberabdalyafpz</v>
      </c>
      <c r="C800" s="13" t="s">
        <v>4548</v>
      </c>
      <c r="D800" s="13" t="s">
        <v>4549</v>
      </c>
      <c r="E800" s="12" t="str">
        <f>HYPERLINK("https://twitter.com/gaberabdalyafpz/status/1181726780417282048","1181726780417282048")</f>
        <v>1181726780417282048</v>
      </c>
      <c r="F800" s="8"/>
      <c r="G800" s="14" t="s">
        <v>4551</v>
      </c>
      <c r="H800" s="8"/>
      <c r="I800" s="15">
        <v>0</v>
      </c>
      <c r="J800" s="15">
        <v>0</v>
      </c>
      <c r="K800" s="12" t="str">
        <f>HYPERLINK("http://twitter.com","Twitter Web Client")</f>
        <v>Twitter Web Client</v>
      </c>
      <c r="L800" s="16">
        <v>5</v>
      </c>
      <c r="M800" s="16">
        <v>39</v>
      </c>
      <c r="N800" s="16">
        <v>0</v>
      </c>
      <c r="O800" s="17"/>
      <c r="P800" s="18">
        <v>42428.90325231482</v>
      </c>
      <c r="Q800" s="8"/>
      <c r="R800" s="13" t="s">
        <v>4552</v>
      </c>
      <c r="S800" s="8"/>
      <c r="T800" s="8"/>
      <c r="U800" s="19" t="str">
        <f>HYPERLINK("https://pbs.twimg.com/profile_images/704479001063071744/ZM9CTjty.jpg","View")</f>
        <v>View</v>
      </c>
      <c r="V800" s="8"/>
      <c r="W800" s="8"/>
      <c r="X800" s="8"/>
      <c r="Y800" s="8"/>
      <c r="Z800" s="8"/>
    </row>
    <row r="801" spans="1:26" ht="12.75">
      <c r="A801" s="11">
        <v>43746.723449074074</v>
      </c>
      <c r="B801" s="12" t="str">
        <f>HYPERLINK("https://twitter.com/hazemdabantfwj","@hazemdabantfwj")</f>
        <v>@hazemdabantfwj</v>
      </c>
      <c r="C801" s="13" t="s">
        <v>4553</v>
      </c>
      <c r="D801" s="13" t="s">
        <v>4554</v>
      </c>
      <c r="E801" s="12" t="str">
        <f>HYPERLINK("https://twitter.com/hazemdabantfwj/status/1181726409158483969","1181726409158483969")</f>
        <v>1181726409158483969</v>
      </c>
      <c r="F801" s="8"/>
      <c r="G801" s="14" t="s">
        <v>4555</v>
      </c>
      <c r="H801" s="8"/>
      <c r="I801" s="15">
        <v>0</v>
      </c>
      <c r="J801" s="15">
        <v>0</v>
      </c>
      <c r="K801" s="12" t="str">
        <f>HYPERLINK("http://twitter.com","Twitter Web Client")</f>
        <v>Twitter Web Client</v>
      </c>
      <c r="L801" s="16">
        <v>5</v>
      </c>
      <c r="M801" s="16">
        <v>46</v>
      </c>
      <c r="N801" s="16">
        <v>0</v>
      </c>
      <c r="O801" s="17"/>
      <c r="P801" s="18">
        <v>42533.520636574074</v>
      </c>
      <c r="Q801" s="13" t="s">
        <v>4556</v>
      </c>
      <c r="R801" s="13" t="s">
        <v>4557</v>
      </c>
      <c r="S801" s="8"/>
      <c r="T801" s="8"/>
      <c r="U801" s="19" t="str">
        <f>HYPERLINK("https://pbs.twimg.com/profile_images/742076509603700736/mIBpJWbD.jpg","View")</f>
        <v>View</v>
      </c>
      <c r="V801" s="8"/>
      <c r="W801" s="8"/>
      <c r="X801" s="8"/>
      <c r="Y801" s="8"/>
      <c r="Z801" s="8"/>
    </row>
    <row r="802" spans="1:26" ht="12.75">
      <c r="A802" s="11">
        <v>43746.72283564815</v>
      </c>
      <c r="B802" s="12" t="str">
        <f>HYPERLINK("https://twitter.com/alysahelinadp","@alysahelinadp")</f>
        <v>@alysahelinadp</v>
      </c>
      <c r="C802" s="13" t="s">
        <v>4558</v>
      </c>
      <c r="D802" s="13" t="s">
        <v>104</v>
      </c>
      <c r="E802" s="12" t="str">
        <f>HYPERLINK("https://twitter.com/alysahelinadp/status/1181726189775405056","1181726189775405056")</f>
        <v>1181726189775405056</v>
      </c>
      <c r="F802" s="8"/>
      <c r="G802" s="14" t="s">
        <v>4561</v>
      </c>
      <c r="H802" s="8"/>
      <c r="I802" s="15">
        <v>0</v>
      </c>
      <c r="J802" s="15">
        <v>0</v>
      </c>
      <c r="K802" s="12" t="str">
        <f>HYPERLINK("http://twitter.com","Twitter Web Client")</f>
        <v>Twitter Web Client</v>
      </c>
      <c r="L802" s="16">
        <v>13</v>
      </c>
      <c r="M802" s="16">
        <v>45</v>
      </c>
      <c r="N802" s="16">
        <v>0</v>
      </c>
      <c r="O802" s="17"/>
      <c r="P802" s="18">
        <v>42532.490636574075</v>
      </c>
      <c r="Q802" s="8" t="s">
        <v>4051</v>
      </c>
      <c r="R802" s="13" t="s">
        <v>4563</v>
      </c>
      <c r="S802" s="8"/>
      <c r="T802" s="8"/>
      <c r="U802" s="19" t="str">
        <f>HYPERLINK("https://pbs.twimg.com/profile_images/741703256225808384/fNYhYAZr.jpg","View")</f>
        <v>View</v>
      </c>
      <c r="V802" s="8"/>
      <c r="W802" s="8"/>
      <c r="X802" s="8"/>
      <c r="Y802" s="8"/>
      <c r="Z802" s="8"/>
    </row>
    <row r="803" spans="1:26" ht="12.75">
      <c r="A803" s="11">
        <v>43746.722291666665</v>
      </c>
      <c r="B803" s="12" t="str">
        <f>HYPERLINK("https://twitter.com/abdelmegidmogoj","@abdelmegidmogoj")</f>
        <v>@abdelmegidmogoj</v>
      </c>
      <c r="C803" s="13" t="s">
        <v>4564</v>
      </c>
      <c r="D803" s="13" t="s">
        <v>4565</v>
      </c>
      <c r="E803" s="12" t="str">
        <f>HYPERLINK("https://twitter.com/abdelmegidmogoj/status/1181725989774209024","1181725989774209024")</f>
        <v>1181725989774209024</v>
      </c>
      <c r="F803" s="8"/>
      <c r="G803" s="14" t="s">
        <v>4566</v>
      </c>
      <c r="H803" s="8"/>
      <c r="I803" s="15">
        <v>0</v>
      </c>
      <c r="J803" s="15">
        <v>0</v>
      </c>
      <c r="K803" s="12" t="str">
        <f>HYPERLINK("http://twitter.com","Twitter Web Client")</f>
        <v>Twitter Web Client</v>
      </c>
      <c r="L803" s="16">
        <v>19</v>
      </c>
      <c r="M803" s="16">
        <v>46</v>
      </c>
      <c r="N803" s="16">
        <v>0</v>
      </c>
      <c r="O803" s="17"/>
      <c r="P803" s="18">
        <v>42532.587777777779</v>
      </c>
      <c r="Q803" s="13" t="s">
        <v>4570</v>
      </c>
      <c r="R803" s="13" t="s">
        <v>4571</v>
      </c>
      <c r="S803" s="8"/>
      <c r="T803" s="8"/>
      <c r="U803" s="19" t="str">
        <f>HYPERLINK("https://pbs.twimg.com/profile_images/741738462655680512/e0NYCPRB.jpg","View")</f>
        <v>View</v>
      </c>
      <c r="V803" s="8"/>
      <c r="W803" s="8"/>
      <c r="X803" s="8"/>
      <c r="Y803" s="8"/>
      <c r="Z803" s="8"/>
    </row>
    <row r="804" spans="1:26" ht="12.75">
      <c r="A804" s="11">
        <v>43746.721886574072</v>
      </c>
      <c r="B804" s="12" t="str">
        <f>HYPERLINK("https://twitter.com/khalilhoshavahr","@khalilhoshavahr")</f>
        <v>@khalilhoshavahr</v>
      </c>
      <c r="C804" s="13" t="s">
        <v>4572</v>
      </c>
      <c r="D804" s="13" t="s">
        <v>118</v>
      </c>
      <c r="E804" s="12" t="str">
        <f>HYPERLINK("https://twitter.com/khalilhoshavahr/status/1181725844961742849","1181725844961742849")</f>
        <v>1181725844961742849</v>
      </c>
      <c r="F804" s="8"/>
      <c r="G804" s="14" t="s">
        <v>4574</v>
      </c>
      <c r="H804" s="8"/>
      <c r="I804" s="15">
        <v>0</v>
      </c>
      <c r="J804" s="15">
        <v>0</v>
      </c>
      <c r="K804" s="12" t="str">
        <f>HYPERLINK("http://twitter.com","Twitter Web Client")</f>
        <v>Twitter Web Client</v>
      </c>
      <c r="L804" s="16">
        <v>1</v>
      </c>
      <c r="M804" s="16">
        <v>38</v>
      </c>
      <c r="N804" s="16">
        <v>0</v>
      </c>
      <c r="O804" s="17"/>
      <c r="P804" s="18">
        <v>42509.476655092592</v>
      </c>
      <c r="Q804" s="13" t="s">
        <v>4575</v>
      </c>
      <c r="R804" s="13" t="s">
        <v>4576</v>
      </c>
      <c r="S804" s="8"/>
      <c r="T804" s="8"/>
      <c r="U804" s="19" t="str">
        <f>HYPERLINK("https://pbs.twimg.com/profile_images/733363283747606529/XVO63it7.jpg","View")</f>
        <v>View</v>
      </c>
      <c r="V804" s="8"/>
      <c r="W804" s="8"/>
      <c r="X804" s="8"/>
      <c r="Y804" s="8"/>
      <c r="Z804" s="8"/>
    </row>
    <row r="805" spans="1:26" ht="12.75">
      <c r="A805" s="11">
        <v>43746.720266203702</v>
      </c>
      <c r="B805" s="12" t="str">
        <f>HYPERLINK("https://twitter.com/F57334599","@F57334599")</f>
        <v>@F57334599</v>
      </c>
      <c r="C805" s="13" t="s">
        <v>4579</v>
      </c>
      <c r="D805" s="13" t="s">
        <v>4580</v>
      </c>
      <c r="E805" s="12" t="str">
        <f>HYPERLINK("https://twitter.com/F57334599/status/1181725258400899072","1181725258400899072")</f>
        <v>1181725258400899072</v>
      </c>
      <c r="F805" s="8"/>
      <c r="G805" s="15"/>
      <c r="H805" s="8"/>
      <c r="I805" s="15">
        <v>0</v>
      </c>
      <c r="J805" s="15">
        <v>0</v>
      </c>
      <c r="K805" s="12" t="str">
        <f>HYPERLINK("http://twitter.com/download/iphone","Twitter for iPhone")</f>
        <v>Twitter for iPhone</v>
      </c>
      <c r="L805" s="16">
        <v>7</v>
      </c>
      <c r="M805" s="16">
        <v>24</v>
      </c>
      <c r="N805" s="16">
        <v>0</v>
      </c>
      <c r="O805" s="17"/>
      <c r="P805" s="18">
        <v>43623.108263888891</v>
      </c>
      <c r="Q805" s="13"/>
      <c r="R805" s="13" t="s">
        <v>4583</v>
      </c>
      <c r="S805" s="8"/>
      <c r="T805" s="8"/>
      <c r="U805" s="19" t="str">
        <f>HYPERLINK("https://pbs.twimg.com/profile_images/1162239499083980801/nmFlaM4l.jpg","View")</f>
        <v>View</v>
      </c>
      <c r="V805" s="8"/>
      <c r="W805" s="8"/>
      <c r="X805" s="8"/>
      <c r="Y805" s="8"/>
      <c r="Z805" s="8"/>
    </row>
    <row r="806" spans="1:26" ht="12.75">
      <c r="A806" s="11">
        <v>43746.703182870369</v>
      </c>
      <c r="B806" s="12" t="str">
        <f>HYPERLINK("https://twitter.com/Amed93743972","@Amed93743972")</f>
        <v>@Amed93743972</v>
      </c>
      <c r="C806" s="13" t="s">
        <v>4584</v>
      </c>
      <c r="D806" s="13" t="s">
        <v>4585</v>
      </c>
      <c r="E806" s="12" t="str">
        <f>HYPERLINK("https://twitter.com/Amed93743972/status/1181719066530242564","1181719066530242564")</f>
        <v>1181719066530242564</v>
      </c>
      <c r="F806" s="8" t="s">
        <v>4587</v>
      </c>
      <c r="G806" s="14" t="s">
        <v>4589</v>
      </c>
      <c r="H806" s="8"/>
      <c r="I806" s="15">
        <v>0</v>
      </c>
      <c r="J806" s="15">
        <v>1</v>
      </c>
      <c r="K806" s="12" t="str">
        <f>HYPERLINK("https://mobile.twitter.com","Twitter Web App")</f>
        <v>Twitter Web App</v>
      </c>
      <c r="L806" s="16">
        <v>228</v>
      </c>
      <c r="M806" s="16">
        <v>1322</v>
      </c>
      <c r="N806" s="16">
        <v>0</v>
      </c>
      <c r="O806" s="17"/>
      <c r="P806" s="18">
        <v>43565.522129629629</v>
      </c>
      <c r="Q806" s="8" t="s">
        <v>4590</v>
      </c>
      <c r="R806" s="13"/>
      <c r="S806" s="8"/>
      <c r="T806" s="8"/>
      <c r="U806" s="19" t="str">
        <f>HYPERLINK("https://pbs.twimg.com/profile_images/1176094358359199744/zKh1L20v.jpg","View")</f>
        <v>View</v>
      </c>
      <c r="V806" s="8"/>
      <c r="W806" s="8"/>
      <c r="X806" s="8"/>
      <c r="Y806" s="8"/>
      <c r="Z806" s="8"/>
    </row>
    <row r="807" spans="1:26" ht="12.75">
      <c r="A807" s="11">
        <v>43746.695416666669</v>
      </c>
      <c r="B807" s="12" t="str">
        <f>HYPERLINK("https://twitter.com/al77ab45235","@al77ab45235")</f>
        <v>@al77ab45235</v>
      </c>
      <c r="C807" s="13" t="s">
        <v>4593</v>
      </c>
      <c r="D807" s="13" t="s">
        <v>4594</v>
      </c>
      <c r="E807" s="12" t="str">
        <f>HYPERLINK("https://twitter.com/al77ab45235/status/1181716252168986625","1181716252168986625")</f>
        <v>1181716252168986625</v>
      </c>
      <c r="F807" s="8"/>
      <c r="G807" s="14" t="s">
        <v>4595</v>
      </c>
      <c r="H807" s="8"/>
      <c r="I807" s="15">
        <v>0</v>
      </c>
      <c r="J807" s="15">
        <v>0</v>
      </c>
      <c r="K807" s="12" t="str">
        <f>HYPERLINK("http://twitter.com","Twitter Web Client")</f>
        <v>Twitter Web Client</v>
      </c>
      <c r="L807" s="16">
        <v>5</v>
      </c>
      <c r="M807" s="16">
        <v>34</v>
      </c>
      <c r="N807" s="16">
        <v>0</v>
      </c>
      <c r="O807" s="17"/>
      <c r="P807" s="18">
        <v>42082.3824537037</v>
      </c>
      <c r="Q807" s="8"/>
      <c r="R807" s="13"/>
      <c r="S807" s="8"/>
      <c r="T807" s="8"/>
      <c r="U807" s="19" t="str">
        <f>HYPERLINK("https://pbs.twimg.com/profile_images/578589750875045890/o7_2JjMi.jpeg","View")</f>
        <v>View</v>
      </c>
      <c r="V807" s="8"/>
      <c r="W807" s="8"/>
      <c r="X807" s="8"/>
      <c r="Y807" s="8"/>
      <c r="Z807" s="8"/>
    </row>
    <row r="808" spans="1:26" ht="12.75">
      <c r="A808" s="11">
        <v>43746.694166666668</v>
      </c>
      <c r="B808" s="12" t="str">
        <f>HYPERLINK("https://twitter.com/hearsanmuikeab3","@hearsanmuikeab3")</f>
        <v>@hearsanmuikeab3</v>
      </c>
      <c r="C808" s="13" t="s">
        <v>4597</v>
      </c>
      <c r="D808" s="13" t="s">
        <v>4420</v>
      </c>
      <c r="E808" s="12" t="str">
        <f>HYPERLINK("https://twitter.com/hearsanmuikeab3/status/1181715797854576647","1181715797854576647")</f>
        <v>1181715797854576647</v>
      </c>
      <c r="F808" s="8"/>
      <c r="G808" s="14" t="s">
        <v>4601</v>
      </c>
      <c r="H808" s="8"/>
      <c r="I808" s="15">
        <v>0</v>
      </c>
      <c r="J808" s="15">
        <v>0</v>
      </c>
      <c r="K808" s="12" t="str">
        <f>HYPERLINK("http://twitter.com","Twitter Web Client")</f>
        <v>Twitter Web Client</v>
      </c>
      <c r="L808" s="16">
        <v>4</v>
      </c>
      <c r="M808" s="16">
        <v>43</v>
      </c>
      <c r="N808" s="16">
        <v>0</v>
      </c>
      <c r="O808" s="17"/>
      <c r="P808" s="18">
        <v>42083.295706018514</v>
      </c>
      <c r="Q808" s="8"/>
      <c r="R808" s="13"/>
      <c r="S808" s="8"/>
      <c r="T808" s="8"/>
      <c r="U808" s="19" t="str">
        <f>HYPERLINK("https://pbs.twimg.com/profile_images/578921037196185601/ZHd8R4lA.jpeg","View")</f>
        <v>View</v>
      </c>
      <c r="V808" s="8"/>
      <c r="W808" s="8"/>
      <c r="X808" s="8"/>
      <c r="Y808" s="8"/>
      <c r="Z808" s="8"/>
    </row>
    <row r="809" spans="1:26" ht="12.75">
      <c r="A809" s="11">
        <v>43746.693356481483</v>
      </c>
      <c r="B809" s="12" t="str">
        <f>HYPERLINK("https://twitter.com/faisalyield","@faisalyield")</f>
        <v>@faisalyield</v>
      </c>
      <c r="C809" s="7" t="s">
        <v>4602</v>
      </c>
      <c r="D809" s="7" t="s">
        <v>4603</v>
      </c>
      <c r="E809" s="12" t="str">
        <f>HYPERLINK("https://twitter.com/faisalyield/status/1181715504442028032","1181715504442028032")</f>
        <v>1181715504442028032</v>
      </c>
      <c r="F809" s="8"/>
      <c r="G809" s="14" t="s">
        <v>4605</v>
      </c>
      <c r="H809" s="8"/>
      <c r="I809" s="15">
        <v>0</v>
      </c>
      <c r="J809" s="15">
        <v>0</v>
      </c>
      <c r="K809" s="12" t="str">
        <f>HYPERLINK("http://twitter.com","Twitter Web Client")</f>
        <v>Twitter Web Client</v>
      </c>
      <c r="L809" s="16">
        <v>3</v>
      </c>
      <c r="M809" s="16">
        <v>26</v>
      </c>
      <c r="N809" s="16">
        <v>0</v>
      </c>
      <c r="O809" s="17"/>
      <c r="P809" s="18">
        <v>42083.852743055555</v>
      </c>
      <c r="Q809" s="7"/>
      <c r="R809" s="7"/>
      <c r="S809" s="15"/>
      <c r="T809" s="8"/>
      <c r="U809" s="19" t="str">
        <f>HYPERLINK("https://pbs.twimg.com/profile_images/579122920250744832/0_qDilCT.jpg","View")</f>
        <v>View</v>
      </c>
      <c r="V809" s="8"/>
      <c r="W809" s="8"/>
      <c r="X809" s="8"/>
      <c r="Y809" s="8"/>
      <c r="Z809" s="8"/>
    </row>
    <row r="810" spans="1:26" ht="12.75">
      <c r="A810" s="11">
        <v>43746.69295138889</v>
      </c>
      <c r="B810" s="12" t="str">
        <f>HYPERLINK("https://twitter.com/majdibinhamoud1","@majdibinhamoud1")</f>
        <v>@majdibinhamoud1</v>
      </c>
      <c r="C810" s="13" t="s">
        <v>4608</v>
      </c>
      <c r="D810" s="13" t="s">
        <v>4609</v>
      </c>
      <c r="E810" s="12" t="str">
        <f>HYPERLINK("https://twitter.com/majdibinhamoud1/status/1181715359822417921","1181715359822417921")</f>
        <v>1181715359822417921</v>
      </c>
      <c r="F810" s="8"/>
      <c r="G810" s="14" t="s">
        <v>4612</v>
      </c>
      <c r="H810" s="8"/>
      <c r="I810" s="15">
        <v>0</v>
      </c>
      <c r="J810" s="15">
        <v>0</v>
      </c>
      <c r="K810" s="12" t="str">
        <f>HYPERLINK("http://twitter.com","Twitter Web Client")</f>
        <v>Twitter Web Client</v>
      </c>
      <c r="L810" s="16">
        <v>3</v>
      </c>
      <c r="M810" s="16">
        <v>34</v>
      </c>
      <c r="N810" s="16">
        <v>0</v>
      </c>
      <c r="O810" s="17"/>
      <c r="P810" s="18">
        <v>42023.198148148149</v>
      </c>
      <c r="Q810" s="13"/>
      <c r="R810" s="13"/>
      <c r="S810" s="8"/>
      <c r="T810" s="8"/>
      <c r="U810" s="19" t="str">
        <f>HYPERLINK("https://pbs.twimg.com/profile_images/557158743662534656/Wb32_G_I.jpeg","View")</f>
        <v>View</v>
      </c>
      <c r="V810" s="8"/>
      <c r="W810" s="8"/>
      <c r="X810" s="8"/>
      <c r="Y810" s="8"/>
      <c r="Z810" s="8"/>
    </row>
    <row r="811" spans="1:26" ht="12.75">
      <c r="A811" s="11">
        <v>43746.692303240736</v>
      </c>
      <c r="B811" s="12" t="str">
        <f>HYPERLINK("https://twitter.com/ahmedii551","@ahmedii551")</f>
        <v>@ahmedii551</v>
      </c>
      <c r="C811" s="13" t="s">
        <v>4615</v>
      </c>
      <c r="D811" s="13" t="s">
        <v>4434</v>
      </c>
      <c r="E811" s="12" t="str">
        <f>HYPERLINK("https://twitter.com/ahmedii551/status/1181715122903044096","1181715122903044096")</f>
        <v>1181715122903044096</v>
      </c>
      <c r="F811" s="8"/>
      <c r="G811" s="14" t="s">
        <v>4616</v>
      </c>
      <c r="H811" s="8"/>
      <c r="I811" s="15">
        <v>0</v>
      </c>
      <c r="J811" s="15">
        <v>0</v>
      </c>
      <c r="K811" s="12" t="str">
        <f>HYPERLINK("http://twitter.com","Twitter Web Client")</f>
        <v>Twitter Web Client</v>
      </c>
      <c r="L811" s="16">
        <v>8</v>
      </c>
      <c r="M811" s="16">
        <v>47</v>
      </c>
      <c r="N811" s="16">
        <v>0</v>
      </c>
      <c r="O811" s="17"/>
      <c r="P811" s="18">
        <v>42268.749722222223</v>
      </c>
      <c r="Q811" s="13"/>
      <c r="R811" s="13"/>
      <c r="S811" s="8"/>
      <c r="T811" s="8"/>
      <c r="U811" s="19" t="str">
        <f>HYPERLINK("https://pbs.twimg.com/profile_images/646334657219301376/yuZaH8Lw.jpg","View")</f>
        <v>View</v>
      </c>
      <c r="V811" s="8"/>
      <c r="W811" s="8"/>
      <c r="X811" s="8"/>
      <c r="Y811" s="8"/>
      <c r="Z811" s="8"/>
    </row>
    <row r="812" spans="1:26" ht="12.75">
      <c r="A812" s="11">
        <v>43746.690960648149</v>
      </c>
      <c r="B812" s="12" t="str">
        <f>HYPERLINK("https://twitter.com/yasser1fryedi3","@yasser1fryedi3")</f>
        <v>@yasser1fryedi3</v>
      </c>
      <c r="C812" s="13" t="s">
        <v>4619</v>
      </c>
      <c r="D812" s="13" t="s">
        <v>4012</v>
      </c>
      <c r="E812" s="12" t="str">
        <f>HYPERLINK("https://twitter.com/yasser1fryedi3/status/1181714638318297088","1181714638318297088")</f>
        <v>1181714638318297088</v>
      </c>
      <c r="F812" s="8"/>
      <c r="G812" s="14" t="s">
        <v>4622</v>
      </c>
      <c r="H812" s="8"/>
      <c r="I812" s="15">
        <v>0</v>
      </c>
      <c r="J812" s="15">
        <v>0</v>
      </c>
      <c r="K812" s="12" t="str">
        <f>HYPERLINK("http://twitter.com","Twitter Web Client")</f>
        <v>Twitter Web Client</v>
      </c>
      <c r="L812" s="16">
        <v>10</v>
      </c>
      <c r="M812" s="16">
        <v>49</v>
      </c>
      <c r="N812" s="16">
        <v>0</v>
      </c>
      <c r="O812" s="17"/>
      <c r="P812" s="18">
        <v>41483.563599537039</v>
      </c>
      <c r="Q812" s="13"/>
      <c r="R812" s="13" t="s">
        <v>4623</v>
      </c>
      <c r="S812" s="8"/>
      <c r="T812" s="8"/>
      <c r="U812" s="19" t="str">
        <f>HYPERLINK("https://pbs.twimg.com/profile_images/824988302226894848/utGwEfMo.jpg","View")</f>
        <v>View</v>
      </c>
      <c r="V812" s="8"/>
      <c r="W812" s="8"/>
      <c r="X812" s="8"/>
      <c r="Y812" s="8"/>
      <c r="Z812" s="8"/>
    </row>
    <row r="813" spans="1:26" ht="12.75">
      <c r="A813" s="11">
        <v>43746.68954861111</v>
      </c>
      <c r="B813" s="12" t="str">
        <f>HYPERLINK("https://twitter.com/masculineharbi1","@masculineharbi1")</f>
        <v>@masculineharbi1</v>
      </c>
      <c r="C813" s="13" t="s">
        <v>4626</v>
      </c>
      <c r="D813" s="13" t="s">
        <v>4447</v>
      </c>
      <c r="E813" s="12" t="str">
        <f>HYPERLINK("https://twitter.com/masculineharbi1/status/1181714126625746945","1181714126625746945")</f>
        <v>1181714126625746945</v>
      </c>
      <c r="F813" s="8"/>
      <c r="G813" s="14" t="s">
        <v>4627</v>
      </c>
      <c r="H813" s="8"/>
      <c r="I813" s="15">
        <v>0</v>
      </c>
      <c r="J813" s="15">
        <v>0</v>
      </c>
      <c r="K813" s="12" t="str">
        <f>HYPERLINK("http://twitter.com","Twitter Web Client")</f>
        <v>Twitter Web Client</v>
      </c>
      <c r="L813" s="16">
        <v>0</v>
      </c>
      <c r="M813" s="16">
        <v>29</v>
      </c>
      <c r="N813" s="16">
        <v>0</v>
      </c>
      <c r="O813" s="17"/>
      <c r="P813" s="18">
        <v>42081.820532407408</v>
      </c>
      <c r="Q813" s="13"/>
      <c r="R813" s="13"/>
      <c r="S813" s="8"/>
      <c r="T813" s="8"/>
      <c r="U813" s="20" t="s">
        <v>354</v>
      </c>
      <c r="V813" s="8"/>
      <c r="W813" s="8"/>
      <c r="X813" s="8"/>
      <c r="Y813" s="8"/>
      <c r="Z813" s="8"/>
    </row>
    <row r="814" spans="1:26" ht="12.75">
      <c r="A814" s="11">
        <v>43746.689016203702</v>
      </c>
      <c r="B814" s="12" t="str">
        <f>HYPERLINK("https://twitter.com/alsahaliie12","@alsahaliie12")</f>
        <v>@alsahaliie12</v>
      </c>
      <c r="C814" s="7" t="s">
        <v>4629</v>
      </c>
      <c r="D814" s="7" t="s">
        <v>4036</v>
      </c>
      <c r="E814" s="12" t="str">
        <f>HYPERLINK("https://twitter.com/alsahaliie12/status/1181713932307828736","1181713932307828736")</f>
        <v>1181713932307828736</v>
      </c>
      <c r="F814" s="8"/>
      <c r="G814" s="14" t="s">
        <v>4631</v>
      </c>
      <c r="H814" s="8"/>
      <c r="I814" s="15">
        <v>0</v>
      </c>
      <c r="J814" s="15">
        <v>0</v>
      </c>
      <c r="K814" s="12" t="str">
        <f>HYPERLINK("http://twitter.com","Twitter Web Client")</f>
        <v>Twitter Web Client</v>
      </c>
      <c r="L814" s="16">
        <v>19</v>
      </c>
      <c r="M814" s="16">
        <v>46</v>
      </c>
      <c r="N814" s="16">
        <v>0</v>
      </c>
      <c r="O814" s="17"/>
      <c r="P814" s="18">
        <v>42071.61137731481</v>
      </c>
      <c r="Q814" s="8"/>
      <c r="R814" s="7"/>
      <c r="S814" s="8"/>
      <c r="T814" s="8"/>
      <c r="U814" s="19" t="str">
        <f>HYPERLINK("https://pbs.twimg.com/profile_images/574686330761805824/XjjX2Y8p.jpeg","View")</f>
        <v>View</v>
      </c>
      <c r="V814" s="8"/>
      <c r="W814" s="8"/>
      <c r="X814" s="8"/>
      <c r="Y814" s="8"/>
      <c r="Z814" s="8"/>
    </row>
    <row r="815" spans="1:26" ht="12.75">
      <c r="A815" s="11">
        <v>43746.687384259261</v>
      </c>
      <c r="B815" s="12" t="str">
        <f>HYPERLINK("https://twitter.com/saadaldaan","@saadaldaan")</f>
        <v>@saadaldaan</v>
      </c>
      <c r="C815" s="13" t="s">
        <v>4633</v>
      </c>
      <c r="D815" s="13" t="s">
        <v>4634</v>
      </c>
      <c r="E815" s="12" t="str">
        <f>HYPERLINK("https://twitter.com/saadaldaan/status/1181713340629803008","1181713340629803008")</f>
        <v>1181713340629803008</v>
      </c>
      <c r="F815" s="8"/>
      <c r="G815" s="14" t="s">
        <v>4635</v>
      </c>
      <c r="H815" s="8"/>
      <c r="I815" s="15">
        <v>0</v>
      </c>
      <c r="J815" s="15">
        <v>0</v>
      </c>
      <c r="K815" s="12" t="str">
        <f>HYPERLINK("http://twitter.com","Twitter Web Client")</f>
        <v>Twitter Web Client</v>
      </c>
      <c r="L815" s="16">
        <v>3</v>
      </c>
      <c r="M815" s="16">
        <v>32</v>
      </c>
      <c r="N815" s="16">
        <v>0</v>
      </c>
      <c r="O815" s="17"/>
      <c r="P815" s="18">
        <v>42087.255023148144</v>
      </c>
      <c r="Q815" s="13"/>
      <c r="R815" s="13"/>
      <c r="S815" s="8"/>
      <c r="T815" s="8"/>
      <c r="U815" s="19" t="str">
        <f>HYPERLINK("https://pbs.twimg.com/profile_images/580355925585719296/kmPfJCRe.jpg","View")</f>
        <v>View</v>
      </c>
      <c r="V815" s="8"/>
      <c r="W815" s="8"/>
      <c r="X815" s="8"/>
      <c r="Y815" s="8"/>
      <c r="Z815" s="8"/>
    </row>
    <row r="816" spans="1:26" ht="12.75">
      <c r="A816" s="11">
        <v>43746.687002314815</v>
      </c>
      <c r="B816" s="12" t="str">
        <f>HYPERLINK("https://twitter.com/moaazselim1","@moaazselim1")</f>
        <v>@moaazselim1</v>
      </c>
      <c r="C816" s="13" t="s">
        <v>4636</v>
      </c>
      <c r="D816" s="13" t="s">
        <v>4637</v>
      </c>
      <c r="E816" s="12" t="str">
        <f>HYPERLINK("https://twitter.com/moaazselim1/status/1181713204428365824","1181713204428365824")</f>
        <v>1181713204428365824</v>
      </c>
      <c r="F816" s="8"/>
      <c r="G816" s="14" t="s">
        <v>4638</v>
      </c>
      <c r="H816" s="8"/>
      <c r="I816" s="15">
        <v>0</v>
      </c>
      <c r="J816" s="15">
        <v>0</v>
      </c>
      <c r="K816" s="12" t="str">
        <f>HYPERLINK("http://twitter.com","Twitter Web Client")</f>
        <v>Twitter Web Client</v>
      </c>
      <c r="L816" s="16">
        <v>1</v>
      </c>
      <c r="M816" s="16">
        <v>33</v>
      </c>
      <c r="N816" s="16">
        <v>0</v>
      </c>
      <c r="O816" s="17"/>
      <c r="P816" s="18">
        <v>41825.369837962964</v>
      </c>
      <c r="Q816" s="13"/>
      <c r="R816" s="13"/>
      <c r="S816" s="8"/>
      <c r="T816" s="8"/>
      <c r="U816" s="19" t="str">
        <f>HYPERLINK("https://pbs.twimg.com/profile_images/485451349497106432/dkeO_LoC.jpeg","View")</f>
        <v>View</v>
      </c>
      <c r="V816" s="8"/>
      <c r="W816" s="8"/>
      <c r="X816" s="8"/>
      <c r="Y816" s="8"/>
      <c r="Z816" s="8"/>
    </row>
    <row r="817" spans="1:26" ht="12.75">
      <c r="A817" s="11">
        <v>43746.685474537036</v>
      </c>
      <c r="B817" s="12" t="str">
        <f>HYPERLINK("https://twitter.com/Daivya15","@Daivya15")</f>
        <v>@Daivya15</v>
      </c>
      <c r="C817" s="13" t="s">
        <v>4639</v>
      </c>
      <c r="D817" s="13" t="s">
        <v>1130</v>
      </c>
      <c r="E817" s="12" t="str">
        <f>HYPERLINK("https://twitter.com/Daivya15/status/1181712649639170048","1181712649639170048")</f>
        <v>1181712649639170048</v>
      </c>
      <c r="F817" s="8"/>
      <c r="G817" s="14" t="s">
        <v>4640</v>
      </c>
      <c r="H817" s="8"/>
      <c r="I817" s="15">
        <v>0</v>
      </c>
      <c r="J817" s="15">
        <v>0</v>
      </c>
      <c r="K817" s="12" t="str">
        <f>HYPERLINK("https://mobile.twitter.com","Twitter Web App")</f>
        <v>Twitter Web App</v>
      </c>
      <c r="L817" s="16">
        <v>0</v>
      </c>
      <c r="M817" s="16">
        <v>0</v>
      </c>
      <c r="N817" s="16">
        <v>0</v>
      </c>
      <c r="O817" s="17"/>
      <c r="P817" s="18">
        <v>43651.999837962961</v>
      </c>
      <c r="Q817" s="8"/>
      <c r="R817" s="13"/>
      <c r="S817" s="8"/>
      <c r="T817" s="8"/>
      <c r="U817" s="19" t="str">
        <f>HYPERLINK("https://pbs.twimg.com/profile_images/1174020761045962753/njUW6JY_.jpg","View")</f>
        <v>View</v>
      </c>
      <c r="V817" s="8"/>
      <c r="W817" s="8"/>
      <c r="X817" s="8"/>
      <c r="Y817" s="8"/>
      <c r="Z817" s="8"/>
    </row>
    <row r="818" spans="1:26" ht="12.75">
      <c r="A818" s="11">
        <v>43746.684976851851</v>
      </c>
      <c r="B818" s="12" t="str">
        <f>HYPERLINK("https://twitter.com/auntievahi","@auntievahi")</f>
        <v>@auntievahi</v>
      </c>
      <c r="C818" s="13" t="s">
        <v>4643</v>
      </c>
      <c r="D818" s="13" t="s">
        <v>4644</v>
      </c>
      <c r="E818" s="12" t="str">
        <f>HYPERLINK("https://twitter.com/auntievahi/status/1181712468277641219","1181712468277641219")</f>
        <v>1181712468277641219</v>
      </c>
      <c r="F818" s="8"/>
      <c r="G818" s="15"/>
      <c r="H818" s="8"/>
      <c r="I818" s="15">
        <v>0</v>
      </c>
      <c r="J818" s="15">
        <v>0</v>
      </c>
      <c r="K818" s="12" t="str">
        <f>HYPERLINK("https://mobile.twitter.com","Twitter Web App")</f>
        <v>Twitter Web App</v>
      </c>
      <c r="L818" s="16">
        <v>60</v>
      </c>
      <c r="M818" s="16">
        <v>214</v>
      </c>
      <c r="N818" s="16">
        <v>0</v>
      </c>
      <c r="O818" s="17"/>
      <c r="P818" s="18">
        <v>41771.29896990741</v>
      </c>
      <c r="Q818" s="13" t="s">
        <v>4646</v>
      </c>
      <c r="R818" s="13"/>
      <c r="S818" s="8"/>
      <c r="T818" s="8"/>
      <c r="U818" s="19" t="str">
        <f>HYPERLINK("https://pbs.twimg.com/profile_images/1019687834708570118/v_rMij5I.jpg","View")</f>
        <v>View</v>
      </c>
      <c r="V818" s="8"/>
      <c r="W818" s="8"/>
      <c r="X818" s="8"/>
      <c r="Y818" s="8"/>
      <c r="Z818" s="8"/>
    </row>
    <row r="819" spans="1:26" ht="12.75">
      <c r="A819" s="11">
        <v>43746.684953703705</v>
      </c>
      <c r="B819" s="12" t="str">
        <f>HYPERLINK("https://twitter.com/issaalswelh","@issaalswelh")</f>
        <v>@issaalswelh</v>
      </c>
      <c r="C819" s="7" t="s">
        <v>4648</v>
      </c>
      <c r="D819" s="7" t="s">
        <v>4649</v>
      </c>
      <c r="E819" s="12" t="str">
        <f>HYPERLINK("https://twitter.com/issaalswelh/status/1181712459167621120","1181712459167621120")</f>
        <v>1181712459167621120</v>
      </c>
      <c r="F819" s="8"/>
      <c r="G819" s="14" t="s">
        <v>4650</v>
      </c>
      <c r="H819" s="8"/>
      <c r="I819" s="15">
        <v>0</v>
      </c>
      <c r="J819" s="15">
        <v>0</v>
      </c>
      <c r="K819" s="12" t="str">
        <f>HYPERLINK("http://twitter.com","Twitter Web Client")</f>
        <v>Twitter Web Client</v>
      </c>
      <c r="L819" s="16">
        <v>8</v>
      </c>
      <c r="M819" s="16">
        <v>43</v>
      </c>
      <c r="N819" s="16">
        <v>0</v>
      </c>
      <c r="O819" s="17"/>
      <c r="P819" s="18">
        <v>42075.252384259264</v>
      </c>
      <c r="Q819" s="8"/>
      <c r="R819" s="7"/>
      <c r="S819" s="8"/>
      <c r="T819" s="8"/>
      <c r="U819" s="19" t="str">
        <f>HYPERLINK("https://pbs.twimg.com/profile_images/576005841859452928/1au0xSZ5.jpg","View")</f>
        <v>View</v>
      </c>
      <c r="V819" s="8"/>
      <c r="W819" s="8"/>
      <c r="X819" s="8"/>
      <c r="Y819" s="8"/>
      <c r="Z819" s="8"/>
    </row>
    <row r="820" spans="1:26" ht="12.75">
      <c r="A820" s="11">
        <v>43746.684525462959</v>
      </c>
      <c r="B820" s="12" t="str">
        <f>HYPERLINK("https://twitter.com/masharae342","@masharae342")</f>
        <v>@masharae342</v>
      </c>
      <c r="C820" s="7" t="s">
        <v>4654</v>
      </c>
      <c r="D820" s="7" t="s">
        <v>4656</v>
      </c>
      <c r="E820" s="12" t="str">
        <f>HYPERLINK("https://twitter.com/masharae342/status/1181712303701598208","1181712303701598208")</f>
        <v>1181712303701598208</v>
      </c>
      <c r="F820" s="15"/>
      <c r="G820" s="14" t="s">
        <v>4657</v>
      </c>
      <c r="H820" s="8"/>
      <c r="I820" s="15">
        <v>0</v>
      </c>
      <c r="J820" s="15">
        <v>0</v>
      </c>
      <c r="K820" s="12" t="str">
        <f>HYPERLINK("http://twitter.com","Twitter Web Client")</f>
        <v>Twitter Web Client</v>
      </c>
      <c r="L820" s="16">
        <v>7</v>
      </c>
      <c r="M820" s="16">
        <v>52</v>
      </c>
      <c r="N820" s="16">
        <v>0</v>
      </c>
      <c r="O820" s="17"/>
      <c r="P820" s="18">
        <v>42074.372870370367</v>
      </c>
      <c r="Q820" s="7"/>
      <c r="R820" s="7"/>
      <c r="S820" s="15"/>
      <c r="T820" s="8"/>
      <c r="U820" s="19" t="str">
        <f>HYPERLINK("https://pbs.twimg.com/profile_images/575687034074886144/9AoaKfJt.jpeg","View")</f>
        <v>View</v>
      </c>
      <c r="V820" s="8"/>
      <c r="W820" s="8"/>
      <c r="X820" s="8"/>
      <c r="Y820" s="8"/>
      <c r="Z820" s="8"/>
    </row>
    <row r="821" spans="1:26" ht="12.75">
      <c r="A821" s="11">
        <v>43746.68414351852</v>
      </c>
      <c r="B821" s="12" t="str">
        <f>HYPERLINK("https://twitter.com/khalidaldosar11","@khalidaldosar11")</f>
        <v>@khalidaldosar11</v>
      </c>
      <c r="C821" s="13" t="s">
        <v>4661</v>
      </c>
      <c r="D821" s="13" t="s">
        <v>4662</v>
      </c>
      <c r="E821" s="12" t="str">
        <f>HYPERLINK("https://twitter.com/khalidaldosar11/status/1181712166916968448","1181712166916968448")</f>
        <v>1181712166916968448</v>
      </c>
      <c r="F821" s="8"/>
      <c r="G821" s="14" t="s">
        <v>4663</v>
      </c>
      <c r="H821" s="8"/>
      <c r="I821" s="15">
        <v>0</v>
      </c>
      <c r="J821" s="15">
        <v>0</v>
      </c>
      <c r="K821" s="12" t="str">
        <f>HYPERLINK("http://twitter.com","Twitter Web Client")</f>
        <v>Twitter Web Client</v>
      </c>
      <c r="L821" s="16">
        <v>4</v>
      </c>
      <c r="M821" s="16">
        <v>35</v>
      </c>
      <c r="N821" s="16">
        <v>0</v>
      </c>
      <c r="O821" s="17"/>
      <c r="P821" s="18">
        <v>42080.112129629633</v>
      </c>
      <c r="Q821" s="13"/>
      <c r="R821" s="13"/>
      <c r="S821" s="8"/>
      <c r="T821" s="8"/>
      <c r="U821" s="19" t="str">
        <f>HYPERLINK("https://pbs.twimg.com/profile_images/577769276905377792/05yR7Uqc.jpeg","View")</f>
        <v>View</v>
      </c>
      <c r="V821" s="8"/>
      <c r="W821" s="8"/>
      <c r="X821" s="8"/>
      <c r="Y821" s="8"/>
      <c r="Z821" s="8"/>
    </row>
    <row r="822" spans="1:26" ht="12.75">
      <c r="A822" s="11">
        <v>43746.683113425926</v>
      </c>
      <c r="B822" s="12" t="str">
        <f>HYPERLINK("https://twitter.com/abedalaz332","@abedalaz332")</f>
        <v>@abedalaz332</v>
      </c>
      <c r="C822" s="13" t="s">
        <v>4666</v>
      </c>
      <c r="D822" s="13" t="s">
        <v>4667</v>
      </c>
      <c r="E822" s="12" t="str">
        <f>HYPERLINK("https://twitter.com/abedalaz332/status/1181711793787457537","1181711793787457537")</f>
        <v>1181711793787457537</v>
      </c>
      <c r="F822" s="8"/>
      <c r="G822" s="14" t="s">
        <v>4668</v>
      </c>
      <c r="H822" s="8"/>
      <c r="I822" s="15">
        <v>0</v>
      </c>
      <c r="J822" s="15">
        <v>0</v>
      </c>
      <c r="K822" s="12" t="str">
        <f>HYPERLINK("http://twitter.com","Twitter Web Client")</f>
        <v>Twitter Web Client</v>
      </c>
      <c r="L822" s="16">
        <v>0</v>
      </c>
      <c r="M822" s="16">
        <v>37</v>
      </c>
      <c r="N822" s="16">
        <v>0</v>
      </c>
      <c r="O822" s="17"/>
      <c r="P822" s="18">
        <v>42077.549560185187</v>
      </c>
      <c r="Q822" s="8"/>
      <c r="R822" s="13"/>
      <c r="S822" s="8"/>
      <c r="T822" s="8"/>
      <c r="U822" s="19" t="str">
        <f>HYPERLINK("https://pbs.twimg.com/profile_images/576838246463774721/xoJClXMi.jpeg","View")</f>
        <v>View</v>
      </c>
      <c r="V822" s="8"/>
      <c r="W822" s="8"/>
      <c r="X822" s="8"/>
      <c r="Y822" s="8"/>
      <c r="Z822" s="8"/>
    </row>
    <row r="823" spans="1:26" ht="12.75">
      <c r="A823" s="11">
        <v>43746.681215277778</v>
      </c>
      <c r="B823" s="12" t="str">
        <f>HYPERLINK("https://twitter.com/abedsuort","@abedsuort")</f>
        <v>@abedsuort</v>
      </c>
      <c r="C823" s="7" t="s">
        <v>4671</v>
      </c>
      <c r="D823" s="13" t="s">
        <v>4672</v>
      </c>
      <c r="E823" s="12" t="str">
        <f>HYPERLINK("https://twitter.com/abedsuort/status/1181711106450083840","1181711106450083840")</f>
        <v>1181711106450083840</v>
      </c>
      <c r="F823" s="8"/>
      <c r="G823" s="14" t="s">
        <v>4673</v>
      </c>
      <c r="H823" s="8"/>
      <c r="I823" s="15">
        <v>0</v>
      </c>
      <c r="J823" s="15">
        <v>0</v>
      </c>
      <c r="K823" s="12" t="str">
        <f>HYPERLINK("http://twitter.com","Twitter Web Client")</f>
        <v>Twitter Web Client</v>
      </c>
      <c r="L823" s="16">
        <v>0</v>
      </c>
      <c r="M823" s="16">
        <v>39</v>
      </c>
      <c r="N823" s="16">
        <v>0</v>
      </c>
      <c r="O823" s="17"/>
      <c r="P823" s="18">
        <v>42090.779421296298</v>
      </c>
      <c r="Q823" s="8"/>
      <c r="R823" s="13"/>
      <c r="S823" s="8"/>
      <c r="T823" s="8"/>
      <c r="U823" s="19" t="str">
        <f>HYPERLINK("https://pbs.twimg.com/profile_images/581633186679123968/nmZz7_y8.jpg","View")</f>
        <v>View</v>
      </c>
      <c r="V823" s="8"/>
      <c r="W823" s="8"/>
      <c r="X823" s="8"/>
      <c r="Y823" s="8"/>
      <c r="Z823" s="8"/>
    </row>
    <row r="824" spans="1:26" ht="12.75">
      <c r="A824" s="11">
        <v>43746.681122685186</v>
      </c>
      <c r="B824" s="12" t="str">
        <f>HYPERLINK("https://twitter.com/Dahanapriya2","@Dahanapriya2")</f>
        <v>@Dahanapriya2</v>
      </c>
      <c r="C824" s="13" t="s">
        <v>4676</v>
      </c>
      <c r="D824" s="13" t="s">
        <v>1107</v>
      </c>
      <c r="E824" s="12" t="str">
        <f>HYPERLINK("https://twitter.com/Dahanapriya2/status/1181711071964319744","1181711071964319744")</f>
        <v>1181711071964319744</v>
      </c>
      <c r="F824" s="8"/>
      <c r="G824" s="14" t="s">
        <v>4677</v>
      </c>
      <c r="H824" s="8"/>
      <c r="I824" s="15">
        <v>0</v>
      </c>
      <c r="J824" s="15">
        <v>0</v>
      </c>
      <c r="K824" s="12" t="str">
        <f>HYPERLINK("https://mobile.twitter.com","Twitter Web App")</f>
        <v>Twitter Web App</v>
      </c>
      <c r="L824" s="16">
        <v>0</v>
      </c>
      <c r="M824" s="16">
        <v>0</v>
      </c>
      <c r="N824" s="16">
        <v>0</v>
      </c>
      <c r="O824" s="17"/>
      <c r="P824" s="18">
        <v>43651.999386574069</v>
      </c>
      <c r="Q824" s="8"/>
      <c r="R824" s="13"/>
      <c r="S824" s="8"/>
      <c r="T824" s="8"/>
      <c r="U824" s="19" t="str">
        <f>HYPERLINK("https://pbs.twimg.com/profile_images/1171376529021919232/dYYLB7hp.jpg","View")</f>
        <v>View</v>
      </c>
      <c r="V824" s="8"/>
      <c r="W824" s="8"/>
      <c r="X824" s="8"/>
      <c r="Y824" s="8"/>
      <c r="Z824" s="8"/>
    </row>
    <row r="825" spans="1:26" ht="12.75">
      <c r="A825" s="11">
        <v>43746.68105324074</v>
      </c>
      <c r="B825" s="12" t="str">
        <f>HYPERLINK("https://twitter.com/MarzookMosaad","@MarzookMosaad")</f>
        <v>@MarzookMosaad</v>
      </c>
      <c r="C825" s="13" t="s">
        <v>4681</v>
      </c>
      <c r="D825" s="13" t="s">
        <v>59</v>
      </c>
      <c r="E825" s="12" t="str">
        <f>HYPERLINK("https://twitter.com/MarzookMosaad/status/1181711048723894274","1181711048723894274")</f>
        <v>1181711048723894274</v>
      </c>
      <c r="F825" s="8"/>
      <c r="G825" s="14" t="s">
        <v>4682</v>
      </c>
      <c r="H825" s="8"/>
      <c r="I825" s="15">
        <v>0</v>
      </c>
      <c r="J825" s="15">
        <v>0</v>
      </c>
      <c r="K825" s="12" t="str">
        <f>HYPERLINK("http://twitter.com","Twitter Web Client")</f>
        <v>Twitter Web Client</v>
      </c>
      <c r="L825" s="16">
        <v>0</v>
      </c>
      <c r="M825" s="16">
        <v>34</v>
      </c>
      <c r="N825" s="16">
        <v>0</v>
      </c>
      <c r="O825" s="17"/>
      <c r="P825" s="18">
        <v>42070.979907407411</v>
      </c>
      <c r="Q825" s="13"/>
      <c r="R825" s="13"/>
      <c r="S825" s="8"/>
      <c r="T825" s="8"/>
      <c r="U825" s="19" t="str">
        <f>HYPERLINK("https://pbs.twimg.com/profile_images/574472881331032064/twQCuJWe.jpeg","View")</f>
        <v>View</v>
      </c>
      <c r="V825" s="8"/>
      <c r="W825" s="8"/>
      <c r="X825" s="8"/>
      <c r="Y825" s="8"/>
      <c r="Z825" s="8"/>
    </row>
    <row r="826" spans="1:26" ht="12.75">
      <c r="A826" s="11">
        <v>43746.680983796294</v>
      </c>
      <c r="B826" s="12" t="str">
        <f>HYPERLINK("https://twitter.com/katewillis10","@katewillis10")</f>
        <v>@katewillis10</v>
      </c>
      <c r="C826" s="13" t="s">
        <v>4685</v>
      </c>
      <c r="D826" s="13" t="s">
        <v>4686</v>
      </c>
      <c r="E826" s="12" t="str">
        <f>HYPERLINK("https://twitter.com/katewillis10/status/1181711021549015042","1181711021549015042")</f>
        <v>1181711021549015042</v>
      </c>
      <c r="F826" s="8"/>
      <c r="G826" s="15"/>
      <c r="H826" s="8"/>
      <c r="I826" s="15">
        <v>0</v>
      </c>
      <c r="J826" s="15">
        <v>0</v>
      </c>
      <c r="K826" s="12" t="str">
        <f>HYPERLINK("http://twitter.com/download/iphone","Twitter for iPhone")</f>
        <v>Twitter for iPhone</v>
      </c>
      <c r="L826" s="16">
        <v>585</v>
      </c>
      <c r="M826" s="16">
        <v>634</v>
      </c>
      <c r="N826" s="16">
        <v>54</v>
      </c>
      <c r="O826" s="17"/>
      <c r="P826" s="18">
        <v>41229.849525462967</v>
      </c>
      <c r="Q826" s="13"/>
      <c r="R826" s="13"/>
      <c r="S826" s="8"/>
      <c r="T826" s="8"/>
      <c r="U826" s="19" t="str">
        <f>HYPERLINK("https://pbs.twimg.com/profile_images/648507159504793600/XmdVUbWz.png","View")</f>
        <v>View</v>
      </c>
      <c r="V826" s="8"/>
      <c r="W826" s="8"/>
      <c r="X826" s="8"/>
      <c r="Y826" s="8"/>
      <c r="Z826" s="8"/>
    </row>
    <row r="827" spans="1:26" ht="12.75">
      <c r="A827" s="11">
        <v>43746.679641203707</v>
      </c>
      <c r="B827" s="12" t="str">
        <f>HYPERLINK("https://twitter.com/mazenmeshaal3","@mazenmeshaal3")</f>
        <v>@mazenmeshaal3</v>
      </c>
      <c r="C827" s="13" t="s">
        <v>4689</v>
      </c>
      <c r="D827" s="13" t="s">
        <v>4690</v>
      </c>
      <c r="E827" s="12" t="str">
        <f>HYPERLINK("https://twitter.com/mazenmeshaal3/status/1181710537505329152","1181710537505329152")</f>
        <v>1181710537505329152</v>
      </c>
      <c r="F827" s="8"/>
      <c r="G827" s="14" t="s">
        <v>4692</v>
      </c>
      <c r="H827" s="8"/>
      <c r="I827" s="15">
        <v>0</v>
      </c>
      <c r="J827" s="15">
        <v>0</v>
      </c>
      <c r="K827" s="12" t="str">
        <f>HYPERLINK("http://twitter.com","Twitter Web Client")</f>
        <v>Twitter Web Client</v>
      </c>
      <c r="L827" s="16">
        <v>1</v>
      </c>
      <c r="M827" s="16">
        <v>41</v>
      </c>
      <c r="N827" s="16">
        <v>0</v>
      </c>
      <c r="O827" s="17"/>
      <c r="P827" s="18">
        <v>42071.464143518519</v>
      </c>
      <c r="Q827" s="13"/>
      <c r="R827" s="13"/>
      <c r="S827" s="8"/>
      <c r="T827" s="8"/>
      <c r="U827" s="19" t="str">
        <f>HYPERLINK("https://pbs.twimg.com/profile_images/574633760785760258/yeDPdURG.jpeg","View")</f>
        <v>View</v>
      </c>
      <c r="V827" s="8"/>
      <c r="W827" s="8"/>
      <c r="X827" s="8"/>
      <c r="Y827" s="8"/>
      <c r="Z827" s="8"/>
    </row>
    <row r="828" spans="1:26" ht="12.75">
      <c r="A828" s="11">
        <v>43746.679490740746</v>
      </c>
      <c r="B828" s="12" t="str">
        <f>HYPERLINK("https://twitter.com/mohammednayef41","@mohammednayef41")</f>
        <v>@mohammednayef41</v>
      </c>
      <c r="C828" s="13" t="s">
        <v>4694</v>
      </c>
      <c r="D828" s="13" t="s">
        <v>78</v>
      </c>
      <c r="E828" s="12" t="str">
        <f>HYPERLINK("https://twitter.com/mohammednayef41/status/1181710479502331905","1181710479502331905")</f>
        <v>1181710479502331905</v>
      </c>
      <c r="F828" s="8"/>
      <c r="G828" s="14" t="s">
        <v>4695</v>
      </c>
      <c r="H828" s="8"/>
      <c r="I828" s="15">
        <v>0</v>
      </c>
      <c r="J828" s="15">
        <v>0</v>
      </c>
      <c r="K828" s="12" t="str">
        <f>HYPERLINK("http://twitter.com","Twitter Web Client")</f>
        <v>Twitter Web Client</v>
      </c>
      <c r="L828" s="16">
        <v>0</v>
      </c>
      <c r="M828" s="16">
        <v>36</v>
      </c>
      <c r="N828" s="16">
        <v>0</v>
      </c>
      <c r="O828" s="17"/>
      <c r="P828" s="18">
        <v>42215.117893518516</v>
      </c>
      <c r="Q828" s="8"/>
      <c r="R828" s="13"/>
      <c r="S828" s="8"/>
      <c r="T828" s="8"/>
      <c r="U828" s="19" t="str">
        <f>HYPERLINK("https://pbs.twimg.com/profile_images/626692505732395008/K50DIFvN.jpg","View")</f>
        <v>View</v>
      </c>
      <c r="V828" s="8"/>
      <c r="W828" s="8"/>
      <c r="X828" s="8"/>
      <c r="Y828" s="8"/>
      <c r="Z828" s="8"/>
    </row>
    <row r="829" spans="1:26" ht="12.75">
      <c r="A829" s="11">
        <v>43746.6793287037</v>
      </c>
      <c r="B829" s="12" t="str">
        <f>HYPERLINK("https://twitter.com/eldaa333","@eldaa333")</f>
        <v>@eldaa333</v>
      </c>
      <c r="C829" s="7" t="s">
        <v>4699</v>
      </c>
      <c r="D829" s="7" t="s">
        <v>4700</v>
      </c>
      <c r="E829" s="12" t="str">
        <f>HYPERLINK("https://twitter.com/eldaa333/status/1181710421880971267","1181710421880971267")</f>
        <v>1181710421880971267</v>
      </c>
      <c r="F829" s="8"/>
      <c r="G829" s="14" t="s">
        <v>4702</v>
      </c>
      <c r="H829" s="8"/>
      <c r="I829" s="15">
        <v>0</v>
      </c>
      <c r="J829" s="15">
        <v>0</v>
      </c>
      <c r="K829" s="12" t="str">
        <f>HYPERLINK("http://twitter.com","Twitter Web Client")</f>
        <v>Twitter Web Client</v>
      </c>
      <c r="L829" s="16">
        <v>4</v>
      </c>
      <c r="M829" s="16">
        <v>37</v>
      </c>
      <c r="N829" s="16">
        <v>0</v>
      </c>
      <c r="O829" s="17"/>
      <c r="P829" s="18">
        <v>42076.550567129627</v>
      </c>
      <c r="Q829" s="8"/>
      <c r="R829" s="8"/>
      <c r="S829" s="8"/>
      <c r="T829" s="8"/>
      <c r="U829" s="19" t="str">
        <f>HYPERLINK("https://pbs.twimg.com/profile_images/576476253076606976/wTa5wipm.jpeg","View")</f>
        <v>View</v>
      </c>
      <c r="V829" s="8"/>
      <c r="W829" s="8"/>
      <c r="X829" s="8"/>
      <c r="Y829" s="8"/>
      <c r="Z829" s="8"/>
    </row>
    <row r="830" spans="1:26" ht="12.75">
      <c r="A830" s="11">
        <v>43746.679166666669</v>
      </c>
      <c r="B830" s="12" t="str">
        <f>HYPERLINK("https://twitter.com/Mo7medMofre7","@Mo7medMofre7")</f>
        <v>@Mo7medMofre7</v>
      </c>
      <c r="C830" s="7" t="s">
        <v>4704</v>
      </c>
      <c r="D830" s="7" t="s">
        <v>4091</v>
      </c>
      <c r="E830" s="12" t="str">
        <f>HYPERLINK("https://twitter.com/Mo7medMofre7/status/1181710363387142145","1181710363387142145")</f>
        <v>1181710363387142145</v>
      </c>
      <c r="F830" s="8"/>
      <c r="G830" s="14" t="s">
        <v>4705</v>
      </c>
      <c r="H830" s="8"/>
      <c r="I830" s="15">
        <v>1</v>
      </c>
      <c r="J830" s="15">
        <v>1</v>
      </c>
      <c r="K830" s="12" t="str">
        <f>HYPERLINK("http://twitter.com","Twitter Web Client")</f>
        <v>Twitter Web Client</v>
      </c>
      <c r="L830" s="16">
        <v>4</v>
      </c>
      <c r="M830" s="16">
        <v>37</v>
      </c>
      <c r="N830" s="16">
        <v>0</v>
      </c>
      <c r="O830" s="17"/>
      <c r="P830" s="18">
        <v>42080.565057870372</v>
      </c>
      <c r="Q830" s="7"/>
      <c r="R830" s="13"/>
      <c r="S830" s="8"/>
      <c r="T830" s="8"/>
      <c r="U830" s="19" t="str">
        <f>HYPERLINK("https://pbs.twimg.com/profile_images/577930967207137280/EoQe7VFu.jpeg","View")</f>
        <v>View</v>
      </c>
      <c r="V830" s="8"/>
      <c r="W830" s="8"/>
      <c r="X830" s="8"/>
      <c r="Y830" s="8"/>
      <c r="Z830" s="8"/>
    </row>
    <row r="831" spans="1:26" ht="12.75">
      <c r="A831" s="11">
        <v>43746.679039351853</v>
      </c>
      <c r="B831" s="12" t="str">
        <f>HYPERLINK("https://twitter.com/el_yoosuf","@el_yoosuf")</f>
        <v>@el_yoosuf</v>
      </c>
      <c r="C831" s="13" t="s">
        <v>4709</v>
      </c>
      <c r="D831" s="13" t="s">
        <v>1130</v>
      </c>
      <c r="E831" s="12" t="str">
        <f>HYPERLINK("https://twitter.com/el_yoosuf/status/1181710316163358720","1181710316163358720")</f>
        <v>1181710316163358720</v>
      </c>
      <c r="F831" s="8"/>
      <c r="G831" s="14" t="s">
        <v>4711</v>
      </c>
      <c r="H831" s="8"/>
      <c r="I831" s="15">
        <v>0</v>
      </c>
      <c r="J831" s="15">
        <v>0</v>
      </c>
      <c r="K831" s="12" t="str">
        <f>HYPERLINK("https://mobile.twitter.com","Twitter Web App")</f>
        <v>Twitter Web App</v>
      </c>
      <c r="L831" s="16">
        <v>0</v>
      </c>
      <c r="M831" s="16">
        <v>1</v>
      </c>
      <c r="N831" s="16">
        <v>0</v>
      </c>
      <c r="O831" s="17"/>
      <c r="P831" s="18">
        <v>43739.935543981483</v>
      </c>
      <c r="Q831" s="8" t="s">
        <v>4714</v>
      </c>
      <c r="R831" s="13" t="s">
        <v>3198</v>
      </c>
      <c r="S831" s="8"/>
      <c r="T831" s="8"/>
      <c r="U831" s="19" t="str">
        <f>HYPERLINK("https://pbs.twimg.com/profile_images/1181710135787315202/IS-18EmC.jpg","View")</f>
        <v>View</v>
      </c>
      <c r="V831" s="8"/>
      <c r="W831" s="8"/>
      <c r="X831" s="8"/>
      <c r="Y831" s="8"/>
      <c r="Z831" s="8"/>
    </row>
    <row r="832" spans="1:26" ht="12.75">
      <c r="A832" s="11">
        <v>43746.677430555559</v>
      </c>
      <c r="B832" s="12" t="str">
        <f>HYPERLINK("https://twitter.com/elshahrani9833","@elshahrani9833")</f>
        <v>@elshahrani9833</v>
      </c>
      <c r="C832" s="13" t="s">
        <v>4716</v>
      </c>
      <c r="D832" s="13" t="s">
        <v>4717</v>
      </c>
      <c r="E832" s="12" t="str">
        <f>HYPERLINK("https://twitter.com/elshahrani9833/status/1181709736053530624","1181709736053530624")</f>
        <v>1181709736053530624</v>
      </c>
      <c r="F832" s="8"/>
      <c r="G832" s="14" t="s">
        <v>4718</v>
      </c>
      <c r="H832" s="8"/>
      <c r="I832" s="15">
        <v>0</v>
      </c>
      <c r="J832" s="15">
        <v>0</v>
      </c>
      <c r="K832" s="12" t="str">
        <f>HYPERLINK("http://twitter.com","Twitter Web Client")</f>
        <v>Twitter Web Client</v>
      </c>
      <c r="L832" s="16">
        <v>1</v>
      </c>
      <c r="M832" s="16">
        <v>32</v>
      </c>
      <c r="N832" s="16">
        <v>0</v>
      </c>
      <c r="O832" s="17"/>
      <c r="P832" s="18">
        <v>41827.304629629631</v>
      </c>
      <c r="Q832" s="8"/>
      <c r="R832" s="13"/>
      <c r="S832" s="8"/>
      <c r="T832" s="8"/>
      <c r="U832" s="19" t="str">
        <f>HYPERLINK("https://pbs.twimg.com/profile_images/486152636232515585/srJ7r3fG.jpeg","View")</f>
        <v>View</v>
      </c>
      <c r="V832" s="8"/>
      <c r="W832" s="8"/>
      <c r="X832" s="8"/>
      <c r="Y832" s="8"/>
      <c r="Z832" s="8"/>
    </row>
    <row r="833" spans="1:26" ht="12.75">
      <c r="A833" s="11">
        <v>43746.67695601852</v>
      </c>
      <c r="B833" s="12" t="str">
        <f>HYPERLINK("https://twitter.com/faihaan5344","@faihaan5344")</f>
        <v>@faihaan5344</v>
      </c>
      <c r="C833" s="7" t="s">
        <v>4722</v>
      </c>
      <c r="D833" s="7" t="s">
        <v>4103</v>
      </c>
      <c r="E833" s="12" t="str">
        <f>HYPERLINK("https://twitter.com/faihaan5344/status/1181709563566919680","1181709563566919680")</f>
        <v>1181709563566919680</v>
      </c>
      <c r="F833" s="8"/>
      <c r="G833" s="14" t="s">
        <v>4723</v>
      </c>
      <c r="H833" s="8"/>
      <c r="I833" s="15">
        <v>0</v>
      </c>
      <c r="J833" s="15">
        <v>0</v>
      </c>
      <c r="K833" s="12" t="str">
        <f>HYPERLINK("http://twitter.com","Twitter Web Client")</f>
        <v>Twitter Web Client</v>
      </c>
      <c r="L833" s="16">
        <v>10</v>
      </c>
      <c r="M833" s="16">
        <v>42</v>
      </c>
      <c r="N833" s="16">
        <v>0</v>
      </c>
      <c r="O833" s="17"/>
      <c r="P833" s="18">
        <v>42072.315925925926</v>
      </c>
      <c r="Q833" s="7"/>
      <c r="R833" s="13"/>
      <c r="S833" s="8"/>
      <c r="T833" s="8"/>
      <c r="U833" s="19" t="str">
        <f>HYPERLINK("https://pbs.twimg.com/profile_images/574946483679580160/SOdEgGbV.jpeg","View")</f>
        <v>View</v>
      </c>
      <c r="V833" s="8"/>
      <c r="W833" s="8"/>
      <c r="X833" s="8"/>
      <c r="Y833" s="8"/>
      <c r="Z833" s="8"/>
    </row>
    <row r="834" spans="1:26" ht="12.75">
      <c r="A834" s="11">
        <v>43746.676365740743</v>
      </c>
      <c r="B834" s="12" t="str">
        <f>HYPERLINK("https://twitter.com/Goldnmyear","@Goldnmyear")</f>
        <v>@Goldnmyear</v>
      </c>
      <c r="C834" s="13" t="s">
        <v>4726</v>
      </c>
      <c r="D834" s="13" t="s">
        <v>4727</v>
      </c>
      <c r="E834" s="12" t="str">
        <f>HYPERLINK("https://twitter.com/Goldnmyear/status/1181709347111542786","1181709347111542786")</f>
        <v>1181709347111542786</v>
      </c>
      <c r="F834" s="8"/>
      <c r="G834" s="15"/>
      <c r="H834" s="8"/>
      <c r="I834" s="15">
        <v>0</v>
      </c>
      <c r="J834" s="15">
        <v>0</v>
      </c>
      <c r="K834" s="12" t="str">
        <f>HYPERLINK("http://twitter.com/download/iphone","Twitter for iPhone")</f>
        <v>Twitter for iPhone</v>
      </c>
      <c r="L834" s="16">
        <v>734</v>
      </c>
      <c r="M834" s="16">
        <v>977</v>
      </c>
      <c r="N834" s="16">
        <v>6</v>
      </c>
      <c r="O834" s="17"/>
      <c r="P834" s="18">
        <v>42645.445092592592</v>
      </c>
      <c r="Q834" s="8" t="s">
        <v>1804</v>
      </c>
      <c r="R834" s="13" t="s">
        <v>4728</v>
      </c>
      <c r="S834" s="8"/>
      <c r="T834" s="8"/>
      <c r="U834" s="19" t="str">
        <f>HYPERLINK("https://pbs.twimg.com/profile_images/956257726811791361/F9-ol-pJ.jpg","View")</f>
        <v>View</v>
      </c>
      <c r="V834" s="8"/>
      <c r="W834" s="8"/>
      <c r="X834" s="8"/>
      <c r="Y834" s="8"/>
      <c r="Z834" s="8"/>
    </row>
    <row r="835" spans="1:26" ht="12.75">
      <c r="A835" s="11">
        <v>43746.676041666666</v>
      </c>
      <c r="B835" s="12" t="str">
        <f>HYPERLINK("https://twitter.com/CoolRashidal","@CoolRashidal")</f>
        <v>@CoolRashidal</v>
      </c>
      <c r="C835" s="13" t="s">
        <v>4730</v>
      </c>
      <c r="D835" s="13" t="s">
        <v>4731</v>
      </c>
      <c r="E835" s="12" t="str">
        <f>HYPERLINK("https://twitter.com/CoolRashidal/status/1181709231210323968","1181709231210323968")</f>
        <v>1181709231210323968</v>
      </c>
      <c r="F835" s="8"/>
      <c r="G835" s="14" t="s">
        <v>4732</v>
      </c>
      <c r="H835" s="8"/>
      <c r="I835" s="15">
        <v>0</v>
      </c>
      <c r="J835" s="15">
        <v>0</v>
      </c>
      <c r="K835" s="12" t="str">
        <f>HYPERLINK("http://twitter.com","Twitter Web Client")</f>
        <v>Twitter Web Client</v>
      </c>
      <c r="L835" s="16">
        <v>3</v>
      </c>
      <c r="M835" s="16">
        <v>32</v>
      </c>
      <c r="N835" s="16">
        <v>0</v>
      </c>
      <c r="O835" s="17"/>
      <c r="P835" s="18">
        <v>41826.555798611109</v>
      </c>
      <c r="Q835" s="7"/>
      <c r="R835" s="13"/>
      <c r="S835" s="8"/>
      <c r="T835" s="8"/>
      <c r="U835" s="19" t="str">
        <f>HYPERLINK("https://pbs.twimg.com/profile_images/485881987903660032/iLA1cpf2.jpeg","View")</f>
        <v>View</v>
      </c>
      <c r="V835" s="8"/>
      <c r="W835" s="8"/>
      <c r="X835" s="8"/>
      <c r="Y835" s="8"/>
      <c r="Z835" s="8"/>
    </row>
    <row r="836" spans="1:26" ht="12.75">
      <c r="A836" s="11">
        <v>43746.675879629634</v>
      </c>
      <c r="B836" s="12" t="str">
        <f>HYPERLINK("https://twitter.com/HazzaOlarifi","@HazzaOlarifi")</f>
        <v>@HazzaOlarifi</v>
      </c>
      <c r="C836" s="13" t="s">
        <v>4736</v>
      </c>
      <c r="D836" s="13" t="s">
        <v>99</v>
      </c>
      <c r="E836" s="12" t="str">
        <f>HYPERLINK("https://twitter.com/HazzaOlarifi/status/1181709172901105664","1181709172901105664")</f>
        <v>1181709172901105664</v>
      </c>
      <c r="F836" s="8"/>
      <c r="G836" s="14" t="s">
        <v>4737</v>
      </c>
      <c r="H836" s="8"/>
      <c r="I836" s="15">
        <v>0</v>
      </c>
      <c r="J836" s="15">
        <v>0</v>
      </c>
      <c r="K836" s="12" t="str">
        <f>HYPERLINK("http://twitter.com","Twitter Web Client")</f>
        <v>Twitter Web Client</v>
      </c>
      <c r="L836" s="16">
        <v>1</v>
      </c>
      <c r="M836" s="16">
        <v>36</v>
      </c>
      <c r="N836" s="16">
        <v>0</v>
      </c>
      <c r="O836" s="17"/>
      <c r="P836" s="18">
        <v>42065.789166666669</v>
      </c>
      <c r="Q836" s="13"/>
      <c r="R836" s="13"/>
      <c r="S836" s="8"/>
      <c r="T836" s="8"/>
      <c r="U836" s="19" t="str">
        <f>HYPERLINK("https://pbs.twimg.com/profile_images/572592106246389760/V6DJzs7i.jpeg","View")</f>
        <v>View</v>
      </c>
      <c r="V836" s="8"/>
      <c r="W836" s="8"/>
      <c r="X836" s="8"/>
      <c r="Y836" s="8"/>
      <c r="Z836" s="8"/>
    </row>
    <row r="837" spans="1:26" ht="12.75">
      <c r="A837" s="11">
        <v>43746.675717592589</v>
      </c>
      <c r="B837" s="12" t="str">
        <f>HYPERLINK("https://twitter.com/zkulai1","@zkulai1")</f>
        <v>@zkulai1</v>
      </c>
      <c r="C837" s="13" t="s">
        <v>4740</v>
      </c>
      <c r="D837" s="13" t="s">
        <v>4741</v>
      </c>
      <c r="E837" s="12" t="str">
        <f>HYPERLINK("https://twitter.com/zkulai1/status/1181709115002888193","1181709115002888193")</f>
        <v>1181709115002888193</v>
      </c>
      <c r="F837" s="8"/>
      <c r="G837" s="14" t="s">
        <v>4742</v>
      </c>
      <c r="H837" s="8"/>
      <c r="I837" s="15">
        <v>0</v>
      </c>
      <c r="J837" s="15">
        <v>0</v>
      </c>
      <c r="K837" s="12" t="str">
        <f>HYPERLINK("http://twitter.com","Twitter Web Client")</f>
        <v>Twitter Web Client</v>
      </c>
      <c r="L837" s="16">
        <v>2</v>
      </c>
      <c r="M837" s="16">
        <v>41</v>
      </c>
      <c r="N837" s="16">
        <v>0</v>
      </c>
      <c r="O837" s="17"/>
      <c r="P837" s="18">
        <v>42265.798217592594</v>
      </c>
      <c r="Q837" s="13"/>
      <c r="R837" s="13"/>
      <c r="S837" s="8"/>
      <c r="T837" s="8"/>
      <c r="U837" s="19" t="str">
        <f>HYPERLINK("https://pbs.twimg.com/profile_images/645057163224854528/HVAqzNVx.jpg","View")</f>
        <v>View</v>
      </c>
      <c r="V837" s="8"/>
      <c r="W837" s="8"/>
      <c r="X837" s="8"/>
      <c r="Y837" s="8"/>
      <c r="Z837" s="8"/>
    </row>
    <row r="838" spans="1:26" ht="12.75">
      <c r="A838" s="11">
        <v>43746.674930555557</v>
      </c>
      <c r="B838" s="12" t="str">
        <f>HYPERLINK("https://twitter.com/SalSalmanomari","@SalSalmanomari")</f>
        <v>@SalSalmanomari</v>
      </c>
      <c r="C838" s="13" t="s">
        <v>4743</v>
      </c>
      <c r="D838" s="13" t="s">
        <v>4744</v>
      </c>
      <c r="E838" s="12" t="str">
        <f>HYPERLINK("https://twitter.com/SalSalmanomari/status/1181708830025162752","1181708830025162752")</f>
        <v>1181708830025162752</v>
      </c>
      <c r="F838" s="8"/>
      <c r="G838" s="14" t="s">
        <v>4745</v>
      </c>
      <c r="H838" s="8"/>
      <c r="I838" s="15">
        <v>0</v>
      </c>
      <c r="J838" s="15">
        <v>0</v>
      </c>
      <c r="K838" s="12" t="str">
        <f>HYPERLINK("http://twitter.com","Twitter Web Client")</f>
        <v>Twitter Web Client</v>
      </c>
      <c r="L838" s="16">
        <v>0</v>
      </c>
      <c r="M838" s="16">
        <v>42</v>
      </c>
      <c r="N838" s="16">
        <v>0</v>
      </c>
      <c r="O838" s="17"/>
      <c r="P838" s="18">
        <v>42022.768645833334</v>
      </c>
      <c r="Q838" s="13"/>
      <c r="R838" s="13"/>
      <c r="S838" s="8"/>
      <c r="T838" s="8"/>
      <c r="U838" s="19" t="str">
        <f>HYPERLINK("https://pbs.twimg.com/profile_images/557001862113525761/WzTlRfn6.jpeg","View")</f>
        <v>View</v>
      </c>
      <c r="V838" s="8"/>
      <c r="W838" s="8"/>
      <c r="X838" s="8"/>
      <c r="Y838" s="8"/>
      <c r="Z838" s="8"/>
    </row>
    <row r="839" spans="1:26" ht="12.75">
      <c r="A839" s="11">
        <v>43746.674618055556</v>
      </c>
      <c r="B839" s="12" t="str">
        <f>HYPERLINK("https://twitter.com/almasyaneww","@almasyaneww")</f>
        <v>@almasyaneww</v>
      </c>
      <c r="C839" s="13" t="s">
        <v>4749</v>
      </c>
      <c r="D839" s="13" t="s">
        <v>4750</v>
      </c>
      <c r="E839" s="12" t="str">
        <f>HYPERLINK("https://twitter.com/almasyaneww/status/1181708713578631168","1181708713578631168")</f>
        <v>1181708713578631168</v>
      </c>
      <c r="F839" s="8"/>
      <c r="G839" s="14" t="s">
        <v>4752</v>
      </c>
      <c r="H839" s="8"/>
      <c r="I839" s="15">
        <v>0</v>
      </c>
      <c r="J839" s="15">
        <v>0</v>
      </c>
      <c r="K839" s="12" t="str">
        <f>HYPERLINK("http://twitter.com","Twitter Web Client")</f>
        <v>Twitter Web Client</v>
      </c>
      <c r="L839" s="16">
        <v>1</v>
      </c>
      <c r="M839" s="16">
        <v>32</v>
      </c>
      <c r="N839" s="16">
        <v>0</v>
      </c>
      <c r="O839" s="17"/>
      <c r="P839" s="18">
        <v>42080.691770833335</v>
      </c>
      <c r="Q839" s="13"/>
      <c r="R839" s="13"/>
      <c r="S839" s="8"/>
      <c r="T839" s="8"/>
      <c r="U839" s="19" t="str">
        <f>HYPERLINK("https://pbs.twimg.com/profile_images/577976895234396160/dBevXnBx.jpeg","View")</f>
        <v>View</v>
      </c>
      <c r="V839" s="8"/>
      <c r="W839" s="8"/>
      <c r="X839" s="8"/>
      <c r="Y839" s="8"/>
      <c r="Z839" s="8"/>
    </row>
    <row r="840" spans="1:26" ht="12.75">
      <c r="A840" s="11">
        <v>43746.674456018518</v>
      </c>
      <c r="B840" s="12" t="str">
        <f>HYPERLINK("https://twitter.com/abdaala_eldosri","@abdaala_eldosri")</f>
        <v>@abdaala_eldosri</v>
      </c>
      <c r="C840" s="13" t="s">
        <v>4756</v>
      </c>
      <c r="D840" s="13" t="s">
        <v>104</v>
      </c>
      <c r="E840" s="12" t="str">
        <f>HYPERLINK("https://twitter.com/abdaala_eldosri/status/1181708657110716416","1181708657110716416")</f>
        <v>1181708657110716416</v>
      </c>
      <c r="F840" s="8"/>
      <c r="G840" s="14" t="s">
        <v>4757</v>
      </c>
      <c r="H840" s="8"/>
      <c r="I840" s="15">
        <v>0</v>
      </c>
      <c r="J840" s="15">
        <v>0</v>
      </c>
      <c r="K840" s="12" t="str">
        <f>HYPERLINK("http://twitter.com","Twitter Web Client")</f>
        <v>Twitter Web Client</v>
      </c>
      <c r="L840" s="16">
        <v>8</v>
      </c>
      <c r="M840" s="16">
        <v>31</v>
      </c>
      <c r="N840" s="16">
        <v>0</v>
      </c>
      <c r="O840" s="17"/>
      <c r="P840" s="18">
        <v>41845.730636574073</v>
      </c>
      <c r="Q840" s="13"/>
      <c r="R840" s="13"/>
      <c r="S840" s="8"/>
      <c r="T840" s="8"/>
      <c r="U840" s="19" t="str">
        <f>HYPERLINK("https://pbs.twimg.com/profile_images/492829793742622720/ocaTWjuA.jpeg","View")</f>
        <v>View</v>
      </c>
      <c r="V840" s="8"/>
      <c r="W840" s="8"/>
      <c r="X840" s="8"/>
      <c r="Y840" s="8"/>
      <c r="Z840" s="8"/>
    </row>
    <row r="841" spans="1:26" ht="12.75">
      <c r="A841" s="11">
        <v>43746.674166666664</v>
      </c>
      <c r="B841" s="12" t="str">
        <f>HYPERLINK("https://twitter.com/JarSaeedoal","@JarSaeedoal")</f>
        <v>@JarSaeedoal</v>
      </c>
      <c r="C841" s="7" t="s">
        <v>4760</v>
      </c>
      <c r="D841" s="7" t="s">
        <v>4761</v>
      </c>
      <c r="E841" s="12" t="str">
        <f>HYPERLINK("https://twitter.com/JarSaeedoal/status/1181708551468863488","1181708551468863488")</f>
        <v>1181708551468863488</v>
      </c>
      <c r="F841" s="15"/>
      <c r="G841" s="14" t="s">
        <v>4762</v>
      </c>
      <c r="H841" s="8"/>
      <c r="I841" s="15">
        <v>0</v>
      </c>
      <c r="J841" s="15">
        <v>0</v>
      </c>
      <c r="K841" s="12" t="str">
        <f>HYPERLINK("http://twitter.com","Twitter Web Client")</f>
        <v>Twitter Web Client</v>
      </c>
      <c r="L841" s="16">
        <v>4</v>
      </c>
      <c r="M841" s="16">
        <v>36</v>
      </c>
      <c r="N841" s="16">
        <v>0</v>
      </c>
      <c r="O841" s="17"/>
      <c r="P841" s="18">
        <v>42069.276539351849</v>
      </c>
      <c r="Q841" s="7"/>
      <c r="R841" s="7"/>
      <c r="S841" s="15"/>
      <c r="T841" s="8"/>
      <c r="U841" s="19" t="str">
        <f>HYPERLINK("https://pbs.twimg.com/profile_images/573857185337249792/W8Yh3Ptp.jpeg","View")</f>
        <v>View</v>
      </c>
      <c r="V841" s="8"/>
      <c r="W841" s="8"/>
      <c r="X841" s="8"/>
      <c r="Y841" s="8"/>
      <c r="Z841" s="8"/>
    </row>
    <row r="842" spans="1:26" ht="12.75">
      <c r="A842" s="11">
        <v>43746.673680555556</v>
      </c>
      <c r="B842" s="12" t="str">
        <f>HYPERLINK("https://twitter.com/MohsanMnwar","@MohsanMnwar")</f>
        <v>@MohsanMnwar</v>
      </c>
      <c r="C842" s="13" t="s">
        <v>4767</v>
      </c>
      <c r="D842" s="13" t="s">
        <v>118</v>
      </c>
      <c r="E842" s="12" t="str">
        <f>HYPERLINK("https://twitter.com/MohsanMnwar/status/1181708377124200448","1181708377124200448")</f>
        <v>1181708377124200448</v>
      </c>
      <c r="F842" s="8"/>
      <c r="G842" s="14" t="s">
        <v>4768</v>
      </c>
      <c r="H842" s="8"/>
      <c r="I842" s="15">
        <v>0</v>
      </c>
      <c r="J842" s="15">
        <v>0</v>
      </c>
      <c r="K842" s="12" t="str">
        <f>HYPERLINK("http://twitter.com","Twitter Web Client")</f>
        <v>Twitter Web Client</v>
      </c>
      <c r="L842" s="16">
        <v>3</v>
      </c>
      <c r="M842" s="16">
        <v>36</v>
      </c>
      <c r="N842" s="16">
        <v>0</v>
      </c>
      <c r="O842" s="17"/>
      <c r="P842" s="18">
        <v>41827.269467592589</v>
      </c>
      <c r="Q842" s="13"/>
      <c r="R842" s="13"/>
      <c r="S842" s="8"/>
      <c r="T842" s="8"/>
      <c r="U842" s="19" t="str">
        <f>HYPERLINK("https://pbs.twimg.com/profile_images/486139790153101313/bv_8f__A.jpeg","View")</f>
        <v>View</v>
      </c>
      <c r="V842" s="8"/>
      <c r="W842" s="8"/>
      <c r="X842" s="8"/>
      <c r="Y842" s="8"/>
      <c r="Z842" s="8"/>
    </row>
    <row r="843" spans="1:26" ht="12.75">
      <c r="A843" s="11">
        <v>43746.673460648148</v>
      </c>
      <c r="B843" s="12" t="str">
        <f>HYPERLINK("https://twitter.com/adnaan_el","@adnaan_el")</f>
        <v>@adnaan_el</v>
      </c>
      <c r="C843" s="13" t="s">
        <v>4773</v>
      </c>
      <c r="D843" s="13" t="s">
        <v>1130</v>
      </c>
      <c r="E843" s="12" t="str">
        <f>HYPERLINK("https://twitter.com/adnaan_el/status/1181708294181675008","1181708294181675008")</f>
        <v>1181708294181675008</v>
      </c>
      <c r="F843" s="8"/>
      <c r="G843" s="14" t="s">
        <v>4774</v>
      </c>
      <c r="H843" s="8"/>
      <c r="I843" s="15">
        <v>0</v>
      </c>
      <c r="J843" s="15">
        <v>0</v>
      </c>
      <c r="K843" s="12" t="str">
        <f>HYPERLINK("https://mobile.twitter.com","Twitter Web App")</f>
        <v>Twitter Web App</v>
      </c>
      <c r="L843" s="16">
        <v>1</v>
      </c>
      <c r="M843" s="16">
        <v>1</v>
      </c>
      <c r="N843" s="16">
        <v>0</v>
      </c>
      <c r="O843" s="17"/>
      <c r="P843" s="18">
        <v>43739.941990740743</v>
      </c>
      <c r="Q843" s="8" t="s">
        <v>4714</v>
      </c>
      <c r="R843" s="13" t="s">
        <v>2443</v>
      </c>
      <c r="S843" s="8"/>
      <c r="T843" s="8"/>
      <c r="U843" s="19" t="str">
        <f>HYPERLINK("https://pbs.twimg.com/profile_images/1181707935660965888/0SjZhQc1.jpg","View")</f>
        <v>View</v>
      </c>
      <c r="V843" s="8"/>
      <c r="W843" s="8"/>
      <c r="X843" s="8"/>
      <c r="Y843" s="8"/>
      <c r="Z843" s="8"/>
    </row>
    <row r="844" spans="1:26" ht="12.75">
      <c r="A844" s="11">
        <v>43746.671712962961</v>
      </c>
      <c r="B844" s="12" t="str">
        <f>HYPERLINK("https://twitter.com/elzalia3121","@elzalia3121")</f>
        <v>@elzalia3121</v>
      </c>
      <c r="C844" s="13" t="s">
        <v>4778</v>
      </c>
      <c r="D844" s="13" t="s">
        <v>4779</v>
      </c>
      <c r="E844" s="12" t="str">
        <f>HYPERLINK("https://twitter.com/elzalia3121/status/1181707662100172802","1181707662100172802")</f>
        <v>1181707662100172802</v>
      </c>
      <c r="F844" s="8"/>
      <c r="G844" s="14" t="s">
        <v>4780</v>
      </c>
      <c r="H844" s="8"/>
      <c r="I844" s="15">
        <v>0</v>
      </c>
      <c r="J844" s="15">
        <v>0</v>
      </c>
      <c r="K844" s="12" t="str">
        <f>HYPERLINK("http://twitter.com","Twitter Web Client")</f>
        <v>Twitter Web Client</v>
      </c>
      <c r="L844" s="16">
        <v>9</v>
      </c>
      <c r="M844" s="16">
        <v>46</v>
      </c>
      <c r="N844" s="16">
        <v>0</v>
      </c>
      <c r="O844" s="17"/>
      <c r="P844" s="18">
        <v>42072.379537037035</v>
      </c>
      <c r="Q844" s="13"/>
      <c r="R844" s="13"/>
      <c r="S844" s="8"/>
      <c r="T844" s="8"/>
      <c r="U844" s="19" t="str">
        <f>HYPERLINK("https://pbs.twimg.com/profile_images/574964846791278592/OUeyjfYh.jpeg","View")</f>
        <v>View</v>
      </c>
      <c r="V844" s="8"/>
      <c r="W844" s="8"/>
      <c r="X844" s="8"/>
      <c r="Y844" s="8"/>
      <c r="Z844" s="8"/>
    </row>
    <row r="845" spans="1:26" ht="12.75">
      <c r="A845" s="11">
        <v>43746.671111111107</v>
      </c>
      <c r="B845" s="12" t="str">
        <f>HYPERLINK("https://twitter.com/abedalsal000","@abedalsal000")</f>
        <v>@abedalsal000</v>
      </c>
      <c r="C845" s="13" t="s">
        <v>4784</v>
      </c>
      <c r="D845" s="13" t="s">
        <v>154</v>
      </c>
      <c r="E845" s="12" t="str">
        <f>HYPERLINK("https://twitter.com/abedalsal000/status/1181707443178479617","1181707443178479617")</f>
        <v>1181707443178479617</v>
      </c>
      <c r="F845" s="8"/>
      <c r="G845" s="14" t="s">
        <v>4785</v>
      </c>
      <c r="H845" s="8"/>
      <c r="I845" s="15">
        <v>0</v>
      </c>
      <c r="J845" s="15">
        <v>0</v>
      </c>
      <c r="K845" s="12" t="str">
        <f>HYPERLINK("http://twitter.com","Twitter Web Client")</f>
        <v>Twitter Web Client</v>
      </c>
      <c r="L845" s="16">
        <v>5</v>
      </c>
      <c r="M845" s="16">
        <v>33</v>
      </c>
      <c r="N845" s="16">
        <v>0</v>
      </c>
      <c r="O845" s="17"/>
      <c r="P845" s="18">
        <v>42083.487835648149</v>
      </c>
      <c r="Q845" s="13"/>
      <c r="R845" s="13"/>
      <c r="S845" s="8"/>
      <c r="T845" s="8"/>
      <c r="U845" s="19" t="str">
        <f>HYPERLINK("https://pbs.twimg.com/profile_images/578990141471096833/RZ1HNsa_.jpeg","View")</f>
        <v>View</v>
      </c>
      <c r="V845" s="8"/>
      <c r="W845" s="8"/>
      <c r="X845" s="8"/>
      <c r="Y845" s="8"/>
      <c r="Z845" s="8"/>
    </row>
    <row r="846" spans="1:26" ht="12.75">
      <c r="A846" s="11">
        <v>43746.670011574075</v>
      </c>
      <c r="B846" s="12" t="str">
        <f>HYPERLINK("https://twitter.com/AlsobehyIssa","@AlsobehyIssa")</f>
        <v>@AlsobehyIssa</v>
      </c>
      <c r="C846" s="13" t="s">
        <v>4789</v>
      </c>
      <c r="D846" s="13" t="s">
        <v>4143</v>
      </c>
      <c r="E846" s="12" t="str">
        <f>HYPERLINK("https://twitter.com/AlsobehyIssa/status/1181707044233121794","1181707044233121794")</f>
        <v>1181707044233121794</v>
      </c>
      <c r="F846" s="8"/>
      <c r="G846" s="14" t="s">
        <v>4790</v>
      </c>
      <c r="H846" s="8"/>
      <c r="I846" s="15">
        <v>0</v>
      </c>
      <c r="J846" s="15">
        <v>0</v>
      </c>
      <c r="K846" s="12" t="str">
        <f>HYPERLINK("http://twitter.com","Twitter Web Client")</f>
        <v>Twitter Web Client</v>
      </c>
      <c r="L846" s="16">
        <v>7</v>
      </c>
      <c r="M846" s="16">
        <v>42</v>
      </c>
      <c r="N846" s="16">
        <v>0</v>
      </c>
      <c r="O846" s="17"/>
      <c r="P846" s="18">
        <v>42071.657743055555</v>
      </c>
      <c r="Q846" s="13"/>
      <c r="R846" s="13"/>
      <c r="S846" s="8"/>
      <c r="T846" s="8"/>
      <c r="U846" s="19" t="str">
        <f>HYPERLINK("https://pbs.twimg.com/profile_images/574712674732236800/GB_5IC2B.jpeg","View")</f>
        <v>View</v>
      </c>
      <c r="V846" s="8"/>
      <c r="W846" s="8"/>
      <c r="X846" s="8"/>
      <c r="Y846" s="8"/>
      <c r="Z846" s="8"/>
    </row>
    <row r="847" spans="1:26" ht="12.75">
      <c r="A847" s="11">
        <v>43746.668738425928</v>
      </c>
      <c r="B847" s="12" t="str">
        <f>HYPERLINK("https://twitter.com/ahmedasmari6","@ahmedasmari6")</f>
        <v>@ahmedasmari6</v>
      </c>
      <c r="C847" s="13" t="s">
        <v>4794</v>
      </c>
      <c r="D847" s="13" t="s">
        <v>4795</v>
      </c>
      <c r="E847" s="12" t="str">
        <f>HYPERLINK("https://twitter.com/ahmedasmari6/status/1181706583295832064","1181706583295832064")</f>
        <v>1181706583295832064</v>
      </c>
      <c r="F847" s="8"/>
      <c r="G847" s="14" t="s">
        <v>4796</v>
      </c>
      <c r="H847" s="8"/>
      <c r="I847" s="15">
        <v>0</v>
      </c>
      <c r="J847" s="15">
        <v>0</v>
      </c>
      <c r="K847" s="12" t="str">
        <f>HYPERLINK("http://twitter.com","Twitter Web Client")</f>
        <v>Twitter Web Client</v>
      </c>
      <c r="L847" s="16">
        <v>1</v>
      </c>
      <c r="M847" s="16">
        <v>36</v>
      </c>
      <c r="N847" s="16">
        <v>0</v>
      </c>
      <c r="O847" s="17"/>
      <c r="P847" s="18">
        <v>42021.706932870366</v>
      </c>
      <c r="Q847" s="13"/>
      <c r="R847" s="13"/>
      <c r="S847" s="8"/>
      <c r="T847" s="8"/>
      <c r="U847" s="19" t="str">
        <f>HYPERLINK("https://pbs.twimg.com/profile_images/556622268470554625/YrcmrjVU.jpeg","View")</f>
        <v>View</v>
      </c>
      <c r="V847" s="8"/>
      <c r="W847" s="8"/>
      <c r="X847" s="8"/>
      <c r="Y847" s="8"/>
      <c r="Z847" s="8"/>
    </row>
    <row r="848" spans="1:26" ht="12.75">
      <c r="A848" s="11">
        <v>43746.665625000001</v>
      </c>
      <c r="B848" s="12" t="str">
        <f>HYPERLINK("https://twitter.com/gomaa_mhmd","@gomaa_mhmd")</f>
        <v>@gomaa_mhmd</v>
      </c>
      <c r="C848" s="13" t="s">
        <v>4803</v>
      </c>
      <c r="D848" s="13" t="s">
        <v>4804</v>
      </c>
      <c r="E848" s="12" t="str">
        <f>HYPERLINK("https://twitter.com/gomaa_mhmd/status/1181705457473392640","1181705457473392640")</f>
        <v>1181705457473392640</v>
      </c>
      <c r="F848" s="8"/>
      <c r="G848" s="14" t="s">
        <v>4805</v>
      </c>
      <c r="H848" s="8"/>
      <c r="I848" s="15">
        <v>0</v>
      </c>
      <c r="J848" s="15">
        <v>0</v>
      </c>
      <c r="K848" s="12" t="str">
        <f>HYPERLINK("http://twitter.com","Twitter Web Client")</f>
        <v>Twitter Web Client</v>
      </c>
      <c r="L848" s="16">
        <v>4</v>
      </c>
      <c r="M848" s="16">
        <v>27</v>
      </c>
      <c r="N848" s="16">
        <v>0</v>
      </c>
      <c r="O848" s="17"/>
      <c r="P848" s="18">
        <v>41827.316319444442</v>
      </c>
      <c r="Q848" s="8"/>
      <c r="R848" s="13"/>
      <c r="S848" s="8"/>
      <c r="T848" s="8"/>
      <c r="U848" s="19" t="str">
        <f>HYPERLINK("https://pbs.twimg.com/profile_images/486156737091608577/yB8XhHDG.jpeg","View")</f>
        <v>View</v>
      </c>
      <c r="V848" s="8"/>
      <c r="W848" s="8"/>
      <c r="X848" s="8"/>
      <c r="Y848" s="8"/>
      <c r="Z848" s="8"/>
    </row>
    <row r="849" spans="1:26" ht="12.75">
      <c r="A849" s="11">
        <v>43746.6637962963</v>
      </c>
      <c r="B849" s="12" t="str">
        <f>HYPERLINK("https://twitter.com/AlShaahir","@AlShaahir")</f>
        <v>@AlShaahir</v>
      </c>
      <c r="C849" s="13" t="s">
        <v>4809</v>
      </c>
      <c r="D849" s="13" t="s">
        <v>1107</v>
      </c>
      <c r="E849" s="12" t="str">
        <f>HYPERLINK("https://twitter.com/AlShaahir/status/1181704795003842560","1181704795003842560")</f>
        <v>1181704795003842560</v>
      </c>
      <c r="F849" s="7"/>
      <c r="G849" s="14" t="s">
        <v>4810</v>
      </c>
      <c r="H849" s="8"/>
      <c r="I849" s="15">
        <v>0</v>
      </c>
      <c r="J849" s="15">
        <v>0</v>
      </c>
      <c r="K849" s="12" t="str">
        <f>HYPERLINK("https://mobile.twitter.com","Twitter Web App")</f>
        <v>Twitter Web App</v>
      </c>
      <c r="L849" s="16">
        <v>0</v>
      </c>
      <c r="M849" s="16">
        <v>0</v>
      </c>
      <c r="N849" s="16">
        <v>0</v>
      </c>
      <c r="O849" s="17"/>
      <c r="P849" s="18">
        <v>43739.945254629631</v>
      </c>
      <c r="Q849" s="13" t="s">
        <v>4714</v>
      </c>
      <c r="R849" s="8" t="s">
        <v>1606</v>
      </c>
      <c r="S849" s="8"/>
      <c r="T849" s="8"/>
      <c r="U849" s="19" t="str">
        <f>HYPERLINK("https://pbs.twimg.com/profile_images/1181704567928414208/JoX8uiSn.jpg","View")</f>
        <v>View</v>
      </c>
      <c r="V849" s="8"/>
      <c r="W849" s="8"/>
      <c r="X849" s="8"/>
      <c r="Y849" s="8"/>
      <c r="Z849" s="8"/>
    </row>
    <row r="850" spans="1:26" ht="12.75">
      <c r="A850" s="11">
        <v>43746.660960648151</v>
      </c>
      <c r="B850" s="12" t="str">
        <f>HYPERLINK("https://twitter.com/alisaidialisai2","@alisaidialisai2")</f>
        <v>@alisaidialisai2</v>
      </c>
      <c r="C850" s="13" t="s">
        <v>4816</v>
      </c>
      <c r="D850" s="13" t="s">
        <v>4187</v>
      </c>
      <c r="E850" s="12" t="str">
        <f>HYPERLINK("https://twitter.com/alisaidialisai2/status/1181703765273038853","1181703765273038853")</f>
        <v>1181703765273038853</v>
      </c>
      <c r="F850" s="8"/>
      <c r="G850" s="14" t="s">
        <v>4817</v>
      </c>
      <c r="H850" s="8"/>
      <c r="I850" s="15">
        <v>0</v>
      </c>
      <c r="J850" s="15">
        <v>0</v>
      </c>
      <c r="K850" s="12" t="str">
        <f>HYPERLINK("http://twitter.com","Twitter Web Client")</f>
        <v>Twitter Web Client</v>
      </c>
      <c r="L850" s="16">
        <v>0</v>
      </c>
      <c r="M850" s="16">
        <v>36</v>
      </c>
      <c r="N850" s="16">
        <v>0</v>
      </c>
      <c r="O850" s="17"/>
      <c r="P850" s="18">
        <v>42026.391134259262</v>
      </c>
      <c r="Q850" s="8"/>
      <c r="R850" s="8"/>
      <c r="S850" s="8"/>
      <c r="T850" s="8"/>
      <c r="U850" s="19" t="str">
        <f>HYPERLINK("https://pbs.twimg.com/profile_images/558314081870835712/yKD7mD4y.jpeg","View")</f>
        <v>View</v>
      </c>
      <c r="V850" s="8"/>
      <c r="W850" s="8"/>
      <c r="X850" s="8"/>
      <c r="Y850" s="8"/>
      <c r="Z850" s="8"/>
    </row>
    <row r="851" spans="1:26" ht="12.75">
      <c r="A851" s="11">
        <v>43746.660798611112</v>
      </c>
      <c r="B851" s="12" t="str">
        <f>HYPERLINK("https://twitter.com/hammadalharbih","@hammadalharbih")</f>
        <v>@hammadalharbih</v>
      </c>
      <c r="C851" s="13" t="s">
        <v>4822</v>
      </c>
      <c r="D851" s="13" t="s">
        <v>4824</v>
      </c>
      <c r="E851" s="12" t="str">
        <f>HYPERLINK("https://twitter.com/hammadalharbih/status/1181703707513237504","1181703707513237504")</f>
        <v>1181703707513237504</v>
      </c>
      <c r="F851" s="8"/>
      <c r="G851" s="14" t="s">
        <v>4825</v>
      </c>
      <c r="H851" s="8"/>
      <c r="I851" s="15">
        <v>0</v>
      </c>
      <c r="J851" s="15">
        <v>0</v>
      </c>
      <c r="K851" s="12" t="str">
        <f>HYPERLINK("http://twitter.com","Twitter Web Client")</f>
        <v>Twitter Web Client</v>
      </c>
      <c r="L851" s="16">
        <v>2</v>
      </c>
      <c r="M851" s="16">
        <v>33</v>
      </c>
      <c r="N851" s="16">
        <v>0</v>
      </c>
      <c r="O851" s="17"/>
      <c r="P851" s="18">
        <v>41847.24391203704</v>
      </c>
      <c r="Q851" s="8"/>
      <c r="R851" s="8"/>
      <c r="S851" s="8"/>
      <c r="T851" s="8"/>
      <c r="U851" s="19" t="str">
        <f>HYPERLINK("https://pbs.twimg.com/profile_images/493378300647968768/VLVGReqo.jpeg","View")</f>
        <v>View</v>
      </c>
      <c r="V851" s="8"/>
      <c r="W851" s="8"/>
      <c r="X851" s="8"/>
      <c r="Y851" s="8"/>
      <c r="Z851" s="8"/>
    </row>
    <row r="852" spans="1:26" ht="12.75">
      <c r="A852" s="11">
        <v>43746.659710648149</v>
      </c>
      <c r="B852" s="12" t="str">
        <f>HYPERLINK("https://twitter.com/IsaidKhalid","@IsaidKhalid")</f>
        <v>@IsaidKhalid</v>
      </c>
      <c r="C852" s="13" t="s">
        <v>4829</v>
      </c>
      <c r="D852" s="13" t="s">
        <v>4830</v>
      </c>
      <c r="E852" s="12" t="str">
        <f>HYPERLINK("https://twitter.com/IsaidKhalid/status/1181703311180943360","1181703311180943360")</f>
        <v>1181703311180943360</v>
      </c>
      <c r="F852" s="8"/>
      <c r="G852" s="14" t="s">
        <v>4831</v>
      </c>
      <c r="H852" s="8"/>
      <c r="I852" s="15">
        <v>0</v>
      </c>
      <c r="J852" s="15">
        <v>0</v>
      </c>
      <c r="K852" s="12" t="str">
        <f>HYPERLINK("http://twitter.com","Twitter Web Client")</f>
        <v>Twitter Web Client</v>
      </c>
      <c r="L852" s="16">
        <v>2</v>
      </c>
      <c r="M852" s="16">
        <v>26</v>
      </c>
      <c r="N852" s="16">
        <v>0</v>
      </c>
      <c r="O852" s="17"/>
      <c r="P852" s="18">
        <v>42023.220648148148</v>
      </c>
      <c r="Q852" s="8"/>
      <c r="R852" s="8"/>
      <c r="S852" s="8"/>
      <c r="T852" s="8"/>
      <c r="U852" s="19" t="str">
        <f>HYPERLINK("https://pbs.twimg.com/profile_images/557165952572203008/X_Od4Rar.jpeg","View")</f>
        <v>View</v>
      </c>
      <c r="V852" s="8"/>
      <c r="W852" s="8"/>
      <c r="X852" s="8"/>
      <c r="Y852" s="8"/>
      <c r="Z852" s="8"/>
    </row>
    <row r="853" spans="1:26" ht="12.75">
      <c r="A853" s="11">
        <v>43746.659143518518</v>
      </c>
      <c r="B853" s="12" t="str">
        <f>HYPERLINK("https://twitter.com/NabeehShabazz","@NabeehShabazz")</f>
        <v>@NabeehShabazz</v>
      </c>
      <c r="C853" s="13" t="s">
        <v>4832</v>
      </c>
      <c r="D853" s="13" t="s">
        <v>907</v>
      </c>
      <c r="E853" s="12" t="str">
        <f>HYPERLINK("https://twitter.com/NabeehShabazz/status/1181703108453261313","1181703108453261313")</f>
        <v>1181703108453261313</v>
      </c>
      <c r="F853" s="8"/>
      <c r="G853" s="14" t="s">
        <v>4833</v>
      </c>
      <c r="H853" s="8"/>
      <c r="I853" s="15">
        <v>0</v>
      </c>
      <c r="J853" s="15">
        <v>0</v>
      </c>
      <c r="K853" s="12" t="str">
        <f>HYPERLINK("https://mobile.twitter.com","Twitter Web App")</f>
        <v>Twitter Web App</v>
      </c>
      <c r="L853" s="16">
        <v>0</v>
      </c>
      <c r="M853" s="16">
        <v>1</v>
      </c>
      <c r="N853" s="16">
        <v>0</v>
      </c>
      <c r="O853" s="17"/>
      <c r="P853" s="18">
        <v>43739.94809027778</v>
      </c>
      <c r="Q853" s="8" t="s">
        <v>4714</v>
      </c>
      <c r="R853" s="8" t="s">
        <v>1281</v>
      </c>
      <c r="S853" s="8"/>
      <c r="T853" s="8"/>
      <c r="U853" s="19" t="str">
        <f>HYPERLINK("https://pbs.twimg.com/profile_images/1181702901938307073/d4mZY7WG.jpg","View")</f>
        <v>View</v>
      </c>
      <c r="V853" s="8"/>
      <c r="W853" s="8"/>
      <c r="X853" s="8"/>
      <c r="Y853" s="8"/>
      <c r="Z853" s="8"/>
    </row>
    <row r="854" spans="1:26" ht="12.75">
      <c r="A854" s="11">
        <v>43746.658622685187</v>
      </c>
      <c r="B854" s="12" t="str">
        <f>HYPERLINK("https://twitter.com/abdullahosari","@abdullahosari")</f>
        <v>@abdullahosari</v>
      </c>
      <c r="C854" s="13" t="s">
        <v>4756</v>
      </c>
      <c r="D854" s="13" t="s">
        <v>4836</v>
      </c>
      <c r="E854" s="12" t="str">
        <f>HYPERLINK("https://twitter.com/abdullahosari/status/1181702917780377600","1181702917780377600")</f>
        <v>1181702917780377600</v>
      </c>
      <c r="F854" s="8"/>
      <c r="G854" s="14" t="s">
        <v>4837</v>
      </c>
      <c r="H854" s="8"/>
      <c r="I854" s="15">
        <v>0</v>
      </c>
      <c r="J854" s="15">
        <v>0</v>
      </c>
      <c r="K854" s="12" t="str">
        <f>HYPERLINK("http://twitter.com","Twitter Web Client")</f>
        <v>Twitter Web Client</v>
      </c>
      <c r="L854" s="16">
        <v>2</v>
      </c>
      <c r="M854" s="16">
        <v>26</v>
      </c>
      <c r="N854" s="16">
        <v>0</v>
      </c>
      <c r="O854" s="17"/>
      <c r="P854" s="18">
        <v>42079.830555555556</v>
      </c>
      <c r="Q854" s="8"/>
      <c r="R854" s="8"/>
      <c r="S854" s="8"/>
      <c r="T854" s="8"/>
      <c r="U854" s="19" t="str">
        <f>HYPERLINK("https://pbs.twimg.com/profile_images/577666363403071488/IpKEqaOx.jpg","View")</f>
        <v>View</v>
      </c>
      <c r="V854" s="8"/>
      <c r="W854" s="8"/>
      <c r="X854" s="8"/>
      <c r="Y854" s="8"/>
      <c r="Z854" s="8"/>
    </row>
    <row r="855" spans="1:26" ht="12.75">
      <c r="A855" s="11">
        <v>43746.657743055555</v>
      </c>
      <c r="B855" s="12" t="str">
        <f>HYPERLINK("https://twitter.com/OldAndInvisible","@OldAndInvisible")</f>
        <v>@OldAndInvisible</v>
      </c>
      <c r="C855" s="13" t="s">
        <v>4841</v>
      </c>
      <c r="D855" s="13" t="s">
        <v>4842</v>
      </c>
      <c r="E855" s="12" t="str">
        <f>HYPERLINK("https://twitter.com/OldAndInvisible/status/1181702600648990720","1181702600648990720")</f>
        <v>1181702600648990720</v>
      </c>
      <c r="F855" s="8"/>
      <c r="G855" s="15"/>
      <c r="H855" s="8"/>
      <c r="I855" s="15">
        <v>0</v>
      </c>
      <c r="J855" s="15">
        <v>1</v>
      </c>
      <c r="K855" s="12" t="str">
        <f>HYPERLINK("http://twitter.com/download/android","Twitter for Android")</f>
        <v>Twitter for Android</v>
      </c>
      <c r="L855" s="16">
        <v>621</v>
      </c>
      <c r="M855" s="16">
        <v>844</v>
      </c>
      <c r="N855" s="16">
        <v>1</v>
      </c>
      <c r="O855" s="17"/>
      <c r="P855" s="18">
        <v>42949.443055555559</v>
      </c>
      <c r="Q855" s="8" t="s">
        <v>4843</v>
      </c>
      <c r="R855" s="13" t="s">
        <v>4844</v>
      </c>
      <c r="S855" s="8"/>
      <c r="T855" s="8"/>
      <c r="U855" s="19" t="str">
        <f>HYPERLINK("https://pbs.twimg.com/profile_images/1171593559889383424/Ux7ikMc_.jpg","View")</f>
        <v>View</v>
      </c>
      <c r="V855" s="8"/>
      <c r="W855" s="8"/>
      <c r="X855" s="8"/>
      <c r="Y855" s="8"/>
      <c r="Z855" s="8"/>
    </row>
    <row r="856" spans="1:26" ht="12.75">
      <c r="A856" s="11">
        <v>43746.657199074078</v>
      </c>
      <c r="B856" s="12" t="str">
        <f>HYPERLINK("https://twitter.com/Nayab83810477","@Nayab83810477")</f>
        <v>@Nayab83810477</v>
      </c>
      <c r="C856" s="13" t="s">
        <v>4847</v>
      </c>
      <c r="D856" s="13" t="s">
        <v>907</v>
      </c>
      <c r="E856" s="12" t="str">
        <f>HYPERLINK("https://twitter.com/Nayab83810477/status/1181702402270846976","1181702402270846976")</f>
        <v>1181702402270846976</v>
      </c>
      <c r="F856" s="8"/>
      <c r="G856" s="14" t="s">
        <v>4848</v>
      </c>
      <c r="H856" s="8"/>
      <c r="I856" s="15">
        <v>0</v>
      </c>
      <c r="J856" s="15">
        <v>0</v>
      </c>
      <c r="K856" s="12" t="str">
        <f>HYPERLINK("https://mobile.twitter.com","Twitter Web App")</f>
        <v>Twitter Web App</v>
      </c>
      <c r="L856" s="16">
        <v>0</v>
      </c>
      <c r="M856" s="16">
        <v>0</v>
      </c>
      <c r="N856" s="16">
        <v>0</v>
      </c>
      <c r="O856" s="17"/>
      <c r="P856" s="18">
        <v>43685.073136574079</v>
      </c>
      <c r="Q856" s="8"/>
      <c r="R856" s="8"/>
      <c r="S856" s="8"/>
      <c r="T856" s="8"/>
      <c r="U856" s="19" t="str">
        <f>HYPERLINK("https://pbs.twimg.com/profile_images/1170638678416166913/FJoehsa_.jpg","View")</f>
        <v>View</v>
      </c>
      <c r="V856" s="8"/>
      <c r="W856" s="8"/>
      <c r="X856" s="8"/>
      <c r="Y856" s="8"/>
      <c r="Z856" s="8"/>
    </row>
    <row r="857" spans="1:26" ht="12.75">
      <c r="A857" s="11">
        <v>43746.657071759255</v>
      </c>
      <c r="B857" s="12" t="str">
        <f>HYPERLINK("https://twitter.com/sa3ed54578","@sa3ed54578")</f>
        <v>@sa3ed54578</v>
      </c>
      <c r="C857" s="13" t="s">
        <v>4850</v>
      </c>
      <c r="D857" s="13" t="s">
        <v>4851</v>
      </c>
      <c r="E857" s="12" t="str">
        <f>HYPERLINK("https://twitter.com/sa3ed54578/status/1181702357748535297","1181702357748535297")</f>
        <v>1181702357748535297</v>
      </c>
      <c r="F857" s="8"/>
      <c r="G857" s="14" t="s">
        <v>4852</v>
      </c>
      <c r="H857" s="8"/>
      <c r="I857" s="15">
        <v>0</v>
      </c>
      <c r="J857" s="15">
        <v>0</v>
      </c>
      <c r="K857" s="12" t="str">
        <f>HYPERLINK("http://twitter.com","Twitter Web Client")</f>
        <v>Twitter Web Client</v>
      </c>
      <c r="L857" s="16">
        <v>10</v>
      </c>
      <c r="M857" s="16">
        <v>40</v>
      </c>
      <c r="N857" s="16">
        <v>0</v>
      </c>
      <c r="O857" s="17"/>
      <c r="P857" s="18">
        <v>42072.168414351851</v>
      </c>
      <c r="Q857" s="8"/>
      <c r="R857" s="8"/>
      <c r="S857" s="8"/>
      <c r="T857" s="8"/>
      <c r="U857" s="19" t="str">
        <f>HYPERLINK("https://pbs.twimg.com/profile_images/574888112469356547/IAxT3tF2.jpeg","View")</f>
        <v>View</v>
      </c>
      <c r="V857" s="8"/>
      <c r="W857" s="8"/>
      <c r="X857" s="8"/>
      <c r="Y857" s="8"/>
      <c r="Z857" s="8"/>
    </row>
    <row r="858" spans="1:26" ht="12.75">
      <c r="A858" s="11">
        <v>43746.657037037032</v>
      </c>
      <c r="B858" s="12" t="str">
        <f>HYPERLINK("https://twitter.com/dadhush","@dadhush")</f>
        <v>@dadhush</v>
      </c>
      <c r="C858" s="13" t="s">
        <v>4856</v>
      </c>
      <c r="D858" s="13" t="s">
        <v>923</v>
      </c>
      <c r="E858" s="12" t="str">
        <f>HYPERLINK("https://twitter.com/dadhush/status/1181702342787223552","1181702342787223552")</f>
        <v>1181702342787223552</v>
      </c>
      <c r="F858" s="8"/>
      <c r="G858" s="14" t="s">
        <v>4859</v>
      </c>
      <c r="H858" s="8"/>
      <c r="I858" s="15">
        <v>0</v>
      </c>
      <c r="J858" s="15">
        <v>0</v>
      </c>
      <c r="K858" s="12" t="str">
        <f>HYPERLINK("https://mobile.twitter.com","Twitter Web App")</f>
        <v>Twitter Web App</v>
      </c>
      <c r="L858" s="16">
        <v>0</v>
      </c>
      <c r="M858" s="16">
        <v>0</v>
      </c>
      <c r="N858" s="16">
        <v>0</v>
      </c>
      <c r="O858" s="17"/>
      <c r="P858" s="18">
        <v>43684.163773148146</v>
      </c>
      <c r="Q858" s="8"/>
      <c r="R858" s="8"/>
      <c r="S858" s="8"/>
      <c r="T858" s="8"/>
      <c r="U858" s="19" t="str">
        <f>HYPERLINK("https://pbs.twimg.com/profile_images/1173683666561536001/KxwYTXCj.png","View")</f>
        <v>View</v>
      </c>
      <c r="V858" s="8"/>
      <c r="W858" s="8"/>
      <c r="X858" s="8"/>
      <c r="Y858" s="8"/>
      <c r="Z858" s="8"/>
    </row>
    <row r="859" spans="1:26" ht="12.75">
      <c r="A859" s="11">
        <v>43746.656921296293</v>
      </c>
      <c r="B859" s="12" t="str">
        <f>HYPERLINK("https://twitter.com/manasw33","@manasw33")</f>
        <v>@manasw33</v>
      </c>
      <c r="C859" s="13" t="s">
        <v>4860</v>
      </c>
      <c r="D859" s="13" t="s">
        <v>227</v>
      </c>
      <c r="E859" s="12" t="str">
        <f>HYPERLINK("https://twitter.com/manasw33/status/1181702300814979072","1181702300814979072")</f>
        <v>1181702300814979072</v>
      </c>
      <c r="F859" s="8"/>
      <c r="G859" s="14" t="s">
        <v>4861</v>
      </c>
      <c r="H859" s="8"/>
      <c r="I859" s="15">
        <v>0</v>
      </c>
      <c r="J859" s="15">
        <v>0</v>
      </c>
      <c r="K859" s="12" t="str">
        <f>HYPERLINK("http://twitter.com","Twitter Web Client")</f>
        <v>Twitter Web Client</v>
      </c>
      <c r="L859" s="16">
        <v>4</v>
      </c>
      <c r="M859" s="16">
        <v>45</v>
      </c>
      <c r="N859" s="16">
        <v>0</v>
      </c>
      <c r="O859" s="17"/>
      <c r="P859" s="18">
        <v>42073.685717592598</v>
      </c>
      <c r="Q859" s="8"/>
      <c r="R859" s="8"/>
      <c r="S859" s="8"/>
      <c r="T859" s="8"/>
      <c r="U859" s="19" t="str">
        <f>HYPERLINK("https://pbs.twimg.com/profile_images/575438047040307200/230LP37I.jpeg","View")</f>
        <v>View</v>
      </c>
      <c r="V859" s="8"/>
      <c r="W859" s="8"/>
      <c r="X859" s="8"/>
      <c r="Y859" s="8"/>
      <c r="Z859" s="8"/>
    </row>
    <row r="860" spans="1:26" ht="12.75">
      <c r="A860" s="11">
        <v>43746.656597222223</v>
      </c>
      <c r="B860" s="12" t="str">
        <f>HYPERLINK("https://twitter.com/hamdanalanzi_","@hamdanalanzi_")</f>
        <v>@hamdanalanzi_</v>
      </c>
      <c r="C860" s="13" t="s">
        <v>4864</v>
      </c>
      <c r="D860" s="7" t="s">
        <v>937</v>
      </c>
      <c r="E860" s="12" t="str">
        <f>HYPERLINK("https://twitter.com/hamdanalanzi_/status/1181702185886703617","1181702185886703617")</f>
        <v>1181702185886703617</v>
      </c>
      <c r="F860" s="8"/>
      <c r="G860" s="14" t="s">
        <v>4866</v>
      </c>
      <c r="H860" s="8"/>
      <c r="I860" s="15">
        <v>0</v>
      </c>
      <c r="J860" s="15">
        <v>0</v>
      </c>
      <c r="K860" s="12" t="str">
        <f>HYPERLINK("https://mobile.twitter.com","Twitter Web App")</f>
        <v>Twitter Web App</v>
      </c>
      <c r="L860" s="16">
        <v>0</v>
      </c>
      <c r="M860" s="16">
        <v>21</v>
      </c>
      <c r="N860" s="16">
        <v>0</v>
      </c>
      <c r="O860" s="17"/>
      <c r="P860" s="18">
        <v>41431.787210648152</v>
      </c>
      <c r="Q860" s="8"/>
      <c r="R860" s="8"/>
      <c r="S860" s="8"/>
      <c r="T860" s="8"/>
      <c r="U860" s="19" t="str">
        <f>HYPERLINK("https://pbs.twimg.com/profile_images/921821038102528000/a-EmcYYb.jpg","View")</f>
        <v>View</v>
      </c>
      <c r="V860" s="8"/>
      <c r="W860" s="8"/>
      <c r="X860" s="8"/>
      <c r="Y860" s="8"/>
      <c r="Z860" s="8"/>
    </row>
    <row r="861" spans="1:26" ht="12.75">
      <c r="A861" s="11">
        <v>43746.656435185185</v>
      </c>
      <c r="B861" s="12" t="str">
        <f>HYPERLINK("https://twitter.com/madulhaytee_","@madulhaytee_")</f>
        <v>@madulhaytee_</v>
      </c>
      <c r="C861" s="7" t="s">
        <v>4870</v>
      </c>
      <c r="D861" s="7" t="s">
        <v>952</v>
      </c>
      <c r="E861" s="12" t="str">
        <f>HYPERLINK("https://twitter.com/madulhaytee_/status/1181702126319239169","1181702126319239169")</f>
        <v>1181702126319239169</v>
      </c>
      <c r="F861" s="8"/>
      <c r="G861" s="14" t="s">
        <v>4872</v>
      </c>
      <c r="H861" s="8"/>
      <c r="I861" s="15">
        <v>0</v>
      </c>
      <c r="J861" s="15">
        <v>0</v>
      </c>
      <c r="K861" s="12" t="str">
        <f>HYPERLINK("https://mobile.twitter.com","Twitter Web App")</f>
        <v>Twitter Web App</v>
      </c>
      <c r="L861" s="16">
        <v>4</v>
      </c>
      <c r="M861" s="16">
        <v>21</v>
      </c>
      <c r="N861" s="16">
        <v>0</v>
      </c>
      <c r="O861" s="17"/>
      <c r="P861" s="18">
        <v>41431.834074074075</v>
      </c>
      <c r="Q861" s="7"/>
      <c r="R861" s="8"/>
      <c r="S861" s="8"/>
      <c r="T861" s="8"/>
      <c r="U861" s="19" t="str">
        <f>HYPERLINK("https://pbs.twimg.com/profile_images/922180550097432576/o0d1Fh0y.jpg","View")</f>
        <v>View</v>
      </c>
      <c r="V861" s="8"/>
      <c r="W861" s="8"/>
      <c r="X861" s="8"/>
      <c r="Y861" s="8"/>
      <c r="Z861" s="8"/>
    </row>
    <row r="862" spans="1:26" ht="12.75">
      <c r="A862" s="11">
        <v>43746.654849537037</v>
      </c>
      <c r="B862" s="12" t="str">
        <f>HYPERLINK("https://twitter.com/husseinashoa1","@husseinashoa1")</f>
        <v>@husseinashoa1</v>
      </c>
      <c r="C862" s="13" t="s">
        <v>4879</v>
      </c>
      <c r="D862" s="13" t="s">
        <v>4880</v>
      </c>
      <c r="E862" s="12" t="str">
        <f>HYPERLINK("https://twitter.com/husseinashoa1/status/1181701552505081857","1181701552505081857")</f>
        <v>1181701552505081857</v>
      </c>
      <c r="F862" s="8"/>
      <c r="G862" s="14" t="s">
        <v>4882</v>
      </c>
      <c r="H862" s="8"/>
      <c r="I862" s="15">
        <v>0</v>
      </c>
      <c r="J862" s="15">
        <v>1</v>
      </c>
      <c r="K862" s="12" t="str">
        <f>HYPERLINK("http://twitter.com","Twitter Web Client")</f>
        <v>Twitter Web Client</v>
      </c>
      <c r="L862" s="16">
        <v>1</v>
      </c>
      <c r="M862" s="16">
        <v>42</v>
      </c>
      <c r="N862" s="16">
        <v>0</v>
      </c>
      <c r="O862" s="17"/>
      <c r="P862" s="18">
        <v>42071.556481481486</v>
      </c>
      <c r="Q862" s="8"/>
      <c r="R862" s="8"/>
      <c r="S862" s="8"/>
      <c r="T862" s="8"/>
      <c r="U862" s="19" t="str">
        <f>HYPERLINK("https://pbs.twimg.com/profile_images/574666547521720321/Am948oKK.jpeg","View")</f>
        <v>View</v>
      </c>
      <c r="V862" s="8"/>
      <c r="W862" s="8"/>
      <c r="X862" s="8"/>
      <c r="Y862" s="8"/>
      <c r="Z862" s="8"/>
    </row>
    <row r="863" spans="1:26" ht="12.75">
      <c r="A863" s="11">
        <v>43746.654687499999</v>
      </c>
      <c r="B863" s="12" t="str">
        <f>HYPERLINK("https://twitter.com/MamdouhAbaten","@MamdouhAbaten")</f>
        <v>@MamdouhAbaten</v>
      </c>
      <c r="C863" s="13" t="s">
        <v>4884</v>
      </c>
      <c r="D863" s="13" t="s">
        <v>232</v>
      </c>
      <c r="E863" s="12" t="str">
        <f>HYPERLINK("https://twitter.com/MamdouhAbaten/status/1181701493914767360","1181701493914767360")</f>
        <v>1181701493914767360</v>
      </c>
      <c r="F863" s="8"/>
      <c r="G863" s="14" t="s">
        <v>4885</v>
      </c>
      <c r="H863" s="8"/>
      <c r="I863" s="15">
        <v>0</v>
      </c>
      <c r="J863" s="15">
        <v>0</v>
      </c>
      <c r="K863" s="12" t="str">
        <f>HYPERLINK("http://twitter.com","Twitter Web Client")</f>
        <v>Twitter Web Client</v>
      </c>
      <c r="L863" s="16">
        <v>8</v>
      </c>
      <c r="M863" s="16">
        <v>38</v>
      </c>
      <c r="N863" s="16">
        <v>0</v>
      </c>
      <c r="O863" s="17"/>
      <c r="P863" s="18">
        <v>42073.259386574078</v>
      </c>
      <c r="Q863" s="8"/>
      <c r="R863" s="8"/>
      <c r="S863" s="8"/>
      <c r="T863" s="8"/>
      <c r="U863" s="19" t="str">
        <f>HYPERLINK("https://pbs.twimg.com/profile_images/575294523254837249/Hfsdj4Cx.jpeg","View")</f>
        <v>View</v>
      </c>
      <c r="V863" s="8"/>
      <c r="W863" s="8"/>
      <c r="X863" s="8"/>
      <c r="Y863" s="8"/>
      <c r="Z863" s="8"/>
    </row>
    <row r="864" spans="1:26" ht="12.75">
      <c r="A864" s="11">
        <v>43746.65452546296</v>
      </c>
      <c r="B864" s="12" t="str">
        <f>HYPERLINK("https://twitter.com/turrky4555","@turrky4555")</f>
        <v>@turrky4555</v>
      </c>
      <c r="C864" s="13" t="s">
        <v>4886</v>
      </c>
      <c r="D864" s="13" t="s">
        <v>4887</v>
      </c>
      <c r="E864" s="12" t="str">
        <f>HYPERLINK("https://twitter.com/turrky4555/status/1181701435194576896","1181701435194576896")</f>
        <v>1181701435194576896</v>
      </c>
      <c r="F864" s="8"/>
      <c r="G864" s="14" t="s">
        <v>4888</v>
      </c>
      <c r="H864" s="8"/>
      <c r="I864" s="15">
        <v>0</v>
      </c>
      <c r="J864" s="15">
        <v>0</v>
      </c>
      <c r="K864" s="12" t="str">
        <f>HYPERLINK("http://twitter.com","Twitter Web Client")</f>
        <v>Twitter Web Client</v>
      </c>
      <c r="L864" s="16">
        <v>19</v>
      </c>
      <c r="M864" s="16">
        <v>44</v>
      </c>
      <c r="N864" s="16">
        <v>0</v>
      </c>
      <c r="O864" s="17"/>
      <c r="P864" s="18">
        <v>42075.399375000001</v>
      </c>
      <c r="Q864" s="8"/>
      <c r="R864" s="8"/>
      <c r="S864" s="8"/>
      <c r="T864" s="8"/>
      <c r="U864" s="19" t="str">
        <f>HYPERLINK("https://pbs.twimg.com/profile_images/576058973792575488/5LacXFEP.jpeg","View")</f>
        <v>View</v>
      </c>
      <c r="V864" s="8"/>
      <c r="W864" s="8"/>
      <c r="X864" s="8"/>
      <c r="Y864" s="8"/>
      <c r="Z864" s="8"/>
    </row>
    <row r="865" spans="1:26" ht="12.75">
      <c r="A865" s="11">
        <v>43746.654212962967</v>
      </c>
      <c r="B865" s="12" t="str">
        <f>HYPERLINK("https://twitter.com/musharrafanzi","@musharrafanzi")</f>
        <v>@musharrafanzi</v>
      </c>
      <c r="C865" s="13" t="s">
        <v>4892</v>
      </c>
      <c r="D865" s="13" t="s">
        <v>4893</v>
      </c>
      <c r="E865" s="12" t="str">
        <f>HYPERLINK("https://twitter.com/musharrafanzi/status/1181701320358715394","1181701320358715394")</f>
        <v>1181701320358715394</v>
      </c>
      <c r="F865" s="8"/>
      <c r="G865" s="14" t="s">
        <v>4894</v>
      </c>
      <c r="H865" s="8"/>
      <c r="I865" s="15">
        <v>0</v>
      </c>
      <c r="J865" s="15">
        <v>0</v>
      </c>
      <c r="K865" s="12" t="str">
        <f>HYPERLINK("http://twitter.com","Twitter Web Client")</f>
        <v>Twitter Web Client</v>
      </c>
      <c r="L865" s="16">
        <v>0</v>
      </c>
      <c r="M865" s="16">
        <v>33</v>
      </c>
      <c r="N865" s="16">
        <v>0</v>
      </c>
      <c r="O865" s="17"/>
      <c r="P865" s="18">
        <v>41827.230405092589</v>
      </c>
      <c r="Q865" s="8"/>
      <c r="R865" s="8"/>
      <c r="S865" s="8"/>
      <c r="T865" s="8"/>
      <c r="U865" s="19" t="str">
        <f>HYPERLINK("https://pbs.twimg.com/profile_images/486126212033433603/41nGJc9p.jpeg","View")</f>
        <v>View</v>
      </c>
      <c r="V865" s="8"/>
      <c r="W865" s="8"/>
      <c r="X865" s="8"/>
      <c r="Y865" s="8"/>
      <c r="Z865" s="8"/>
    </row>
    <row r="866" spans="1:26" ht="12.75">
      <c r="A866" s="11">
        <v>43746.653726851851</v>
      </c>
      <c r="B866" s="12" t="str">
        <f>HYPERLINK("https://twitter.com/abdulhadiismai8","@abdulhadiismai8")</f>
        <v>@abdulhadiismai8</v>
      </c>
      <c r="C866" s="13" t="s">
        <v>4898</v>
      </c>
      <c r="D866" s="13" t="s">
        <v>4899</v>
      </c>
      <c r="E866" s="12" t="str">
        <f>HYPERLINK("https://twitter.com/abdulhadiismai8/status/1181701145661755394","1181701145661755394")</f>
        <v>1181701145661755394</v>
      </c>
      <c r="F866" s="8"/>
      <c r="G866" s="14" t="s">
        <v>4901</v>
      </c>
      <c r="H866" s="8"/>
      <c r="I866" s="15">
        <v>0</v>
      </c>
      <c r="J866" s="15">
        <v>0</v>
      </c>
      <c r="K866" s="12" t="str">
        <f>HYPERLINK("http://twitter.com","Twitter Web Client")</f>
        <v>Twitter Web Client</v>
      </c>
      <c r="L866" s="16">
        <v>3</v>
      </c>
      <c r="M866" s="16">
        <v>41</v>
      </c>
      <c r="N866" s="16">
        <v>0</v>
      </c>
      <c r="O866" s="17"/>
      <c r="P866" s="18">
        <v>42070.597719907411</v>
      </c>
      <c r="Q866" s="8"/>
      <c r="R866" s="8"/>
      <c r="S866" s="8"/>
      <c r="T866" s="8"/>
      <c r="U866" s="19" t="str">
        <f>HYPERLINK("https://pbs.twimg.com/profile_images/574334932564082688/M_l9qfmE.jpeg","View")</f>
        <v>View</v>
      </c>
      <c r="V866" s="8"/>
      <c r="W866" s="8"/>
      <c r="X866" s="8"/>
      <c r="Y866" s="8"/>
      <c r="Z866" s="8"/>
    </row>
    <row r="867" spans="1:26" ht="12.75">
      <c r="A867" s="11">
        <v>43746.653611111113</v>
      </c>
      <c r="B867" s="12" t="str">
        <f>HYPERLINK("https://twitter.com/KamaalSalek","@KamaalSalek")</f>
        <v>@KamaalSalek</v>
      </c>
      <c r="C867" s="13" t="s">
        <v>4903</v>
      </c>
      <c r="D867" s="7" t="s">
        <v>923</v>
      </c>
      <c r="E867" s="12" t="str">
        <f>HYPERLINK("https://twitter.com/KamaalSalek/status/1181701103257186304","1181701103257186304")</f>
        <v>1181701103257186304</v>
      </c>
      <c r="F867" s="8"/>
      <c r="G867" s="14" t="s">
        <v>4904</v>
      </c>
      <c r="H867" s="8"/>
      <c r="I867" s="15">
        <v>0</v>
      </c>
      <c r="J867" s="15">
        <v>0</v>
      </c>
      <c r="K867" s="12" t="str">
        <f>HYPERLINK("https://mobile.twitter.com","Twitter Web App")</f>
        <v>Twitter Web App</v>
      </c>
      <c r="L867" s="16">
        <v>0</v>
      </c>
      <c r="M867" s="16">
        <v>0</v>
      </c>
      <c r="N867" s="16">
        <v>0</v>
      </c>
      <c r="O867" s="17"/>
      <c r="P867" s="18">
        <v>43739.95517361111</v>
      </c>
      <c r="Q867" s="8" t="s">
        <v>4714</v>
      </c>
      <c r="R867" s="8" t="s">
        <v>1075</v>
      </c>
      <c r="S867" s="8"/>
      <c r="T867" s="8"/>
      <c r="U867" s="19" t="str">
        <f>HYPERLINK("https://pbs.twimg.com/profile_images/1181700825195806720/OZR05Ma3.jpg","View")</f>
        <v>View</v>
      </c>
      <c r="V867" s="8"/>
      <c r="W867" s="8"/>
      <c r="X867" s="8"/>
      <c r="Y867" s="8"/>
      <c r="Z867" s="8"/>
    </row>
    <row r="868" spans="1:26" ht="12.75">
      <c r="A868" s="11">
        <v>43746.653414351851</v>
      </c>
      <c r="B868" s="12" t="str">
        <f>HYPERLINK("https://twitter.com/BentiealaNafel","@BentiealaNafel")</f>
        <v>@BentiealaNafel</v>
      </c>
      <c r="C868" s="13" t="s">
        <v>4905</v>
      </c>
      <c r="D868" s="13" t="s">
        <v>4906</v>
      </c>
      <c r="E868" s="12" t="str">
        <f>HYPERLINK("https://twitter.com/BentiealaNafel/status/1181701030473535494","1181701030473535494")</f>
        <v>1181701030473535494</v>
      </c>
      <c r="F868" s="8"/>
      <c r="G868" s="14" t="s">
        <v>4907</v>
      </c>
      <c r="H868" s="8"/>
      <c r="I868" s="15">
        <v>0</v>
      </c>
      <c r="J868" s="15">
        <v>0</v>
      </c>
      <c r="K868" s="12" t="str">
        <f>HYPERLINK("http://twitter.com","Twitter Web Client")</f>
        <v>Twitter Web Client</v>
      </c>
      <c r="L868" s="16">
        <v>1</v>
      </c>
      <c r="M868" s="16">
        <v>34</v>
      </c>
      <c r="N868" s="16">
        <v>0</v>
      </c>
      <c r="O868" s="17"/>
      <c r="P868" s="18">
        <v>41828.150312500002</v>
      </c>
      <c r="Q868" s="8"/>
      <c r="R868" s="8"/>
      <c r="S868" s="8"/>
      <c r="T868" s="8"/>
      <c r="U868" s="19" t="str">
        <f>HYPERLINK("https://pbs.twimg.com/profile_images/486459617757519872/rr-gXrZj.jpeg","View")</f>
        <v>View</v>
      </c>
      <c r="V868" s="8"/>
      <c r="W868" s="8"/>
      <c r="X868" s="8"/>
      <c r="Y868" s="8"/>
      <c r="Z868" s="8"/>
    </row>
    <row r="869" spans="1:26" ht="12.75">
      <c r="A869" s="11">
        <v>43746.651180555556</v>
      </c>
      <c r="B869" s="12" t="str">
        <f>HYPERLINK("https://twitter.com/IbrahimelDin1","@IbrahimelDin1")</f>
        <v>@IbrahimelDin1</v>
      </c>
      <c r="C869" s="7" t="s">
        <v>4916</v>
      </c>
      <c r="D869" s="7" t="s">
        <v>937</v>
      </c>
      <c r="E869" s="12" t="str">
        <f>HYPERLINK("https://twitter.com/IbrahimelDin1/status/1181700221425684480","1181700221425684480")</f>
        <v>1181700221425684480</v>
      </c>
      <c r="F869" s="8"/>
      <c r="G869" s="14" t="s">
        <v>4918</v>
      </c>
      <c r="H869" s="8"/>
      <c r="I869" s="15">
        <v>0</v>
      </c>
      <c r="J869" s="15">
        <v>0</v>
      </c>
      <c r="K869" s="12" t="str">
        <f>HYPERLINK("https://mobile.twitter.com","Twitter Web App")</f>
        <v>Twitter Web App</v>
      </c>
      <c r="L869" s="16">
        <v>0</v>
      </c>
      <c r="M869" s="16">
        <v>1</v>
      </c>
      <c r="N869" s="16">
        <v>0</v>
      </c>
      <c r="O869" s="17"/>
      <c r="P869" s="18">
        <v>43739.958680555559</v>
      </c>
      <c r="Q869" s="8" t="s">
        <v>4714</v>
      </c>
      <c r="R869" s="8" t="s">
        <v>1552</v>
      </c>
      <c r="S869" s="8"/>
      <c r="T869" s="8"/>
      <c r="U869" s="19" t="str">
        <f>HYPERLINK("https://pbs.twimg.com/profile_images/1181699964549791744/i3dF2vLc.jpg","View")</f>
        <v>View</v>
      </c>
      <c r="V869" s="8"/>
      <c r="W869" s="8"/>
      <c r="X869" s="8"/>
      <c r="Y869" s="8"/>
      <c r="Z869" s="8"/>
    </row>
    <row r="870" spans="1:26" ht="12.75">
      <c r="A870" s="11">
        <v>43746.650590277779</v>
      </c>
      <c r="B870" s="12" t="str">
        <f>HYPERLINK("https://twitter.com/MradeNasser","@MradeNasser")</f>
        <v>@MradeNasser</v>
      </c>
      <c r="C870" s="13" t="s">
        <v>4921</v>
      </c>
      <c r="D870" s="13" t="s">
        <v>4922</v>
      </c>
      <c r="E870" s="12" t="str">
        <f>HYPERLINK("https://twitter.com/MradeNasser/status/1181700008267124736","1181700008267124736")</f>
        <v>1181700008267124736</v>
      </c>
      <c r="F870" s="8"/>
      <c r="G870" s="14" t="s">
        <v>4923</v>
      </c>
      <c r="H870" s="8"/>
      <c r="I870" s="15">
        <v>0</v>
      </c>
      <c r="J870" s="15">
        <v>0</v>
      </c>
      <c r="K870" s="12" t="str">
        <f>HYPERLINK("http://twitter.com","Twitter Web Client")</f>
        <v>Twitter Web Client</v>
      </c>
      <c r="L870" s="16">
        <v>0</v>
      </c>
      <c r="M870" s="16">
        <v>37</v>
      </c>
      <c r="N870" s="16">
        <v>0</v>
      </c>
      <c r="O870" s="17"/>
      <c r="P870" s="18">
        <v>42066.783090277779</v>
      </c>
      <c r="Q870" s="8"/>
      <c r="R870" s="8"/>
      <c r="S870" s="8"/>
      <c r="T870" s="8"/>
      <c r="U870" s="19" t="str">
        <f>HYPERLINK("https://pbs.twimg.com/profile_images/572961544330170368/riXE0OOZ.jpeg","View")</f>
        <v>View</v>
      </c>
      <c r="V870" s="8"/>
      <c r="W870" s="8"/>
      <c r="X870" s="8"/>
      <c r="Y870" s="8"/>
      <c r="Z870" s="8"/>
    </row>
    <row r="871" spans="1:26" ht="12.75">
      <c r="A871" s="11">
        <v>43746.650104166663</v>
      </c>
      <c r="B871" s="12" t="str">
        <f>HYPERLINK("https://twitter.com/saeedalharith2","@saeedalharith2")</f>
        <v>@saeedalharith2</v>
      </c>
      <c r="C871" s="13" t="s">
        <v>4926</v>
      </c>
      <c r="D871" s="13" t="s">
        <v>261</v>
      </c>
      <c r="E871" s="12" t="str">
        <f>HYPERLINK("https://twitter.com/saeedalharith2/status/1181699832869801984","1181699832869801984")</f>
        <v>1181699832869801984</v>
      </c>
      <c r="F871" s="8"/>
      <c r="G871" s="14" t="s">
        <v>4927</v>
      </c>
      <c r="H871" s="8"/>
      <c r="I871" s="15">
        <v>0</v>
      </c>
      <c r="J871" s="15">
        <v>0</v>
      </c>
      <c r="K871" s="12" t="str">
        <f>HYPERLINK("http://twitter.com","Twitter Web Client")</f>
        <v>Twitter Web Client</v>
      </c>
      <c r="L871" s="16">
        <v>1</v>
      </c>
      <c r="M871" s="16">
        <v>44</v>
      </c>
      <c r="N871" s="16">
        <v>0</v>
      </c>
      <c r="O871" s="17"/>
      <c r="P871" s="18">
        <v>42073.432314814811</v>
      </c>
      <c r="Q871" s="8"/>
      <c r="R871" s="8"/>
      <c r="S871" s="8"/>
      <c r="T871" s="8"/>
      <c r="U871" s="19" t="str">
        <f>HYPERLINK("https://pbs.twimg.com/profile_images/575346286037065729/ksL6qrr4.jpeg","View")</f>
        <v>View</v>
      </c>
      <c r="V871" s="8"/>
      <c r="W871" s="8"/>
      <c r="X871" s="8"/>
      <c r="Y871" s="8"/>
      <c r="Z871" s="8"/>
    </row>
    <row r="872" spans="1:26" ht="12.75">
      <c r="A872" s="11">
        <v>43746.649328703701</v>
      </c>
      <c r="B872" s="12" t="str">
        <f>HYPERLINK("https://twitter.com/al3omaree53","@al3omaree53")</f>
        <v>@al3omaree53</v>
      </c>
      <c r="C872" s="13" t="s">
        <v>4930</v>
      </c>
      <c r="D872" s="13" t="s">
        <v>276</v>
      </c>
      <c r="E872" s="12" t="str">
        <f>HYPERLINK("https://twitter.com/al3omaree53/status/1181699552614797312","1181699552614797312")</f>
        <v>1181699552614797312</v>
      </c>
      <c r="F872" s="8"/>
      <c r="G872" s="14" t="s">
        <v>4933</v>
      </c>
      <c r="H872" s="8"/>
      <c r="I872" s="15">
        <v>0</v>
      </c>
      <c r="J872" s="15">
        <v>0</v>
      </c>
      <c r="K872" s="12" t="str">
        <f>HYPERLINK("http://twitter.com","Twitter Web Client")</f>
        <v>Twitter Web Client</v>
      </c>
      <c r="L872" s="16">
        <v>1</v>
      </c>
      <c r="M872" s="16">
        <v>38</v>
      </c>
      <c r="N872" s="16">
        <v>0</v>
      </c>
      <c r="O872" s="17"/>
      <c r="P872" s="18">
        <v>42072.235046296293</v>
      </c>
      <c r="Q872" s="8"/>
      <c r="R872" s="8"/>
      <c r="S872" s="8"/>
      <c r="T872" s="8"/>
      <c r="U872" s="19" t="str">
        <f>HYPERLINK("https://pbs.twimg.com/profile_images/574912271584903169/22xP4E6o.jpeg","View")</f>
        <v>View</v>
      </c>
      <c r="V872" s="8"/>
      <c r="W872" s="8"/>
      <c r="X872" s="8"/>
      <c r="Y872" s="8"/>
      <c r="Z872" s="8"/>
    </row>
    <row r="873" spans="1:26" ht="12.75">
      <c r="A873" s="11">
        <v>43746.649270833332</v>
      </c>
      <c r="B873" s="12" t="str">
        <f>HYPERLINK("https://twitter.com/FaridZuhair","@FaridZuhair")</f>
        <v>@FaridZuhair</v>
      </c>
      <c r="C873" s="13" t="s">
        <v>4936</v>
      </c>
      <c r="D873" s="13" t="s">
        <v>952</v>
      </c>
      <c r="E873" s="12" t="str">
        <f>HYPERLINK("https://twitter.com/FaridZuhair/status/1181699529046839296","1181699529046839296")</f>
        <v>1181699529046839296</v>
      </c>
      <c r="F873" s="8"/>
      <c r="G873" s="14" t="s">
        <v>4937</v>
      </c>
      <c r="H873" s="8"/>
      <c r="I873" s="15">
        <v>0</v>
      </c>
      <c r="J873" s="15">
        <v>0</v>
      </c>
      <c r="K873" s="12" t="str">
        <f>HYPERLINK("https://mobile.twitter.com","Twitter Web App")</f>
        <v>Twitter Web App</v>
      </c>
      <c r="L873" s="16">
        <v>0</v>
      </c>
      <c r="M873" s="16">
        <v>1</v>
      </c>
      <c r="N873" s="16">
        <v>0</v>
      </c>
      <c r="O873" s="17"/>
      <c r="P873" s="18">
        <v>43739.963055555556</v>
      </c>
      <c r="Q873" s="8" t="s">
        <v>4714</v>
      </c>
      <c r="R873" s="8" t="s">
        <v>1110</v>
      </c>
      <c r="S873" s="8"/>
      <c r="T873" s="8"/>
      <c r="U873" s="19" t="str">
        <f>HYPERLINK("https://pbs.twimg.com/profile_images/1181699296107712514/DvVdLHIW.jpg","View")</f>
        <v>View</v>
      </c>
      <c r="V873" s="8"/>
      <c r="W873" s="8"/>
      <c r="X873" s="8"/>
      <c r="Y873" s="8"/>
      <c r="Z873" s="8"/>
    </row>
    <row r="874" spans="1:26" ht="12.75">
      <c r="A874" s="11">
        <v>43746.648518518516</v>
      </c>
      <c r="B874" s="12" t="str">
        <f>HYPERLINK("https://twitter.com/mohdalharbi_848","@mohdalharbi_848")</f>
        <v>@mohdalharbi_848</v>
      </c>
      <c r="C874" s="7" t="s">
        <v>4943</v>
      </c>
      <c r="D874" s="7" t="s">
        <v>1178</v>
      </c>
      <c r="E874" s="12" t="str">
        <f>HYPERLINK("https://twitter.com/mohdalharbi_848/status/1181699256043728896","1181699256043728896")</f>
        <v>1181699256043728896</v>
      </c>
      <c r="F874" s="8"/>
      <c r="G874" s="14" t="s">
        <v>4945</v>
      </c>
      <c r="H874" s="8"/>
      <c r="I874" s="15">
        <v>0</v>
      </c>
      <c r="J874" s="15">
        <v>0</v>
      </c>
      <c r="K874" s="12" t="str">
        <f>HYPERLINK("https://mobile.twitter.com","Twitter Web App")</f>
        <v>Twitter Web App</v>
      </c>
      <c r="L874" s="16">
        <v>0</v>
      </c>
      <c r="M874" s="16">
        <v>20</v>
      </c>
      <c r="N874" s="16">
        <v>0</v>
      </c>
      <c r="O874" s="17"/>
      <c r="P874" s="18">
        <v>41430.198553240742</v>
      </c>
      <c r="Q874" s="7"/>
      <c r="R874" s="13"/>
      <c r="S874" s="8"/>
      <c r="T874" s="8"/>
      <c r="U874" s="19" t="str">
        <f>HYPERLINK("https://pbs.twimg.com/profile_images/922059053655760896/m49crWd4.jpg","View")</f>
        <v>View</v>
      </c>
      <c r="V874" s="8"/>
      <c r="W874" s="8"/>
      <c r="X874" s="8"/>
      <c r="Y874" s="8"/>
      <c r="Z874" s="8"/>
    </row>
    <row r="875" spans="1:26" ht="12.75">
      <c r="A875" s="11">
        <v>43746.648379629631</v>
      </c>
      <c r="B875" s="12" t="str">
        <f>HYPERLINK("https://twitter.com/sauddousri_","@sauddousri_")</f>
        <v>@sauddousri_</v>
      </c>
      <c r="C875" s="13" t="s">
        <v>4949</v>
      </c>
      <c r="D875" s="13" t="s">
        <v>907</v>
      </c>
      <c r="E875" s="12" t="str">
        <f>HYPERLINK("https://twitter.com/sauddousri_/status/1181699207087849472","1181699207087849472")</f>
        <v>1181699207087849472</v>
      </c>
      <c r="F875" s="8"/>
      <c r="G875" s="14" t="s">
        <v>4951</v>
      </c>
      <c r="H875" s="8"/>
      <c r="I875" s="15">
        <v>0</v>
      </c>
      <c r="J875" s="15">
        <v>0</v>
      </c>
      <c r="K875" s="12" t="str">
        <f>HYPERLINK("https://mobile.twitter.com","Twitter Web App")</f>
        <v>Twitter Web App</v>
      </c>
      <c r="L875" s="16">
        <v>0</v>
      </c>
      <c r="M875" s="16">
        <v>20</v>
      </c>
      <c r="N875" s="16">
        <v>0</v>
      </c>
      <c r="O875" s="17"/>
      <c r="P875" s="18">
        <v>41430.196273148147</v>
      </c>
      <c r="Q875" s="8"/>
      <c r="R875" s="8"/>
      <c r="S875" s="8"/>
      <c r="T875" s="8"/>
      <c r="U875" s="19" t="str">
        <f>HYPERLINK("https://pbs.twimg.com/profile_images/922058727875690496/EEleXeym.jpg","View")</f>
        <v>View</v>
      </c>
      <c r="V875" s="8"/>
      <c r="W875" s="8"/>
      <c r="X875" s="8"/>
      <c r="Y875" s="8"/>
      <c r="Z875" s="8"/>
    </row>
    <row r="876" spans="1:26" ht="12.75">
      <c r="A876" s="11">
        <v>43746.647997685184</v>
      </c>
      <c r="B876" s="12" t="str">
        <f>HYPERLINK("https://twitter.com/samraanalharbi","@samraanalharbi")</f>
        <v>@samraanalharbi</v>
      </c>
      <c r="C876" s="13" t="s">
        <v>4955</v>
      </c>
      <c r="D876" s="13" t="s">
        <v>1236</v>
      </c>
      <c r="E876" s="12" t="str">
        <f>HYPERLINK("https://twitter.com/samraanalharbi/status/1181699069678276608","1181699069678276608")</f>
        <v>1181699069678276608</v>
      </c>
      <c r="F876" s="8"/>
      <c r="G876" s="14" t="s">
        <v>4956</v>
      </c>
      <c r="H876" s="8"/>
      <c r="I876" s="15">
        <v>0</v>
      </c>
      <c r="J876" s="15">
        <v>0</v>
      </c>
      <c r="K876" s="12" t="str">
        <f>HYPERLINK("https://mobile.twitter.com","Twitter Web App")</f>
        <v>Twitter Web App</v>
      </c>
      <c r="L876" s="16">
        <v>0</v>
      </c>
      <c r="M876" s="16">
        <v>20</v>
      </c>
      <c r="N876" s="16">
        <v>0</v>
      </c>
      <c r="O876" s="17"/>
      <c r="P876" s="18">
        <v>41430.187708333331</v>
      </c>
      <c r="Q876" s="8"/>
      <c r="R876" s="8"/>
      <c r="S876" s="8"/>
      <c r="T876" s="8"/>
      <c r="U876" s="19" t="str">
        <f>HYPERLINK("https://pbs.twimg.com/profile_images/922058711228563457/0uXiJUwB.jpg","View")</f>
        <v>View</v>
      </c>
      <c r="V876" s="8"/>
      <c r="W876" s="8"/>
      <c r="X876" s="8"/>
      <c r="Y876" s="8"/>
      <c r="Z876" s="8"/>
    </row>
    <row r="877" spans="1:26" ht="12.75">
      <c r="A877" s="11">
        <v>43746.647870370369</v>
      </c>
      <c r="B877" s="12" t="str">
        <f>HYPERLINK("https://twitter.com/hazza042","@hazza042")</f>
        <v>@hazza042</v>
      </c>
      <c r="C877" s="7" t="s">
        <v>4959</v>
      </c>
      <c r="D877" s="7" t="s">
        <v>294</v>
      </c>
      <c r="E877" s="12" t="str">
        <f>HYPERLINK("https://twitter.com/hazza042/status/1181699024480542721","1181699024480542721")</f>
        <v>1181699024480542721</v>
      </c>
      <c r="F877" s="8"/>
      <c r="G877" s="14" t="s">
        <v>4960</v>
      </c>
      <c r="H877" s="8"/>
      <c r="I877" s="15">
        <v>0</v>
      </c>
      <c r="J877" s="15">
        <v>0</v>
      </c>
      <c r="K877" s="12" t="str">
        <f>HYPERLINK("http://twitter.com","Twitter Web Client")</f>
        <v>Twitter Web Client</v>
      </c>
      <c r="L877" s="16">
        <v>14</v>
      </c>
      <c r="M877" s="16">
        <v>39</v>
      </c>
      <c r="N877" s="16">
        <v>0</v>
      </c>
      <c r="O877" s="17"/>
      <c r="P877" s="18">
        <v>42268.743344907409</v>
      </c>
      <c r="Q877" s="7"/>
      <c r="R877" s="7"/>
      <c r="S877" s="8"/>
      <c r="T877" s="8"/>
      <c r="U877" s="19" t="str">
        <f>HYPERLINK("https://pbs.twimg.com/profile_images/646331811086209024/L9Lo6MrL.jpg","View")</f>
        <v>View</v>
      </c>
      <c r="V877" s="8"/>
      <c r="W877" s="8"/>
      <c r="X877" s="8"/>
      <c r="Y877" s="8"/>
      <c r="Z877" s="8"/>
    </row>
    <row r="878" spans="1:26" ht="12.75">
      <c r="A878" s="11">
        <v>43746.647766203707</v>
      </c>
      <c r="B878" s="12" t="str">
        <f>HYPERLINK("https://twitter.com/yusufkhabir","@yusufkhabir")</f>
        <v>@yusufkhabir</v>
      </c>
      <c r="C878" s="13" t="s">
        <v>4964</v>
      </c>
      <c r="D878" s="13" t="s">
        <v>28</v>
      </c>
      <c r="E878" s="12" t="str">
        <f>HYPERLINK("https://twitter.com/yusufkhabir/status/1181698982575140864","1181698982575140864")</f>
        <v>1181698982575140864</v>
      </c>
      <c r="F878" s="8"/>
      <c r="G878" s="14" t="s">
        <v>1267</v>
      </c>
      <c r="H878" s="8"/>
      <c r="I878" s="15">
        <v>0</v>
      </c>
      <c r="J878" s="15">
        <v>0</v>
      </c>
      <c r="K878" s="12" t="str">
        <f>HYPERLINK("https://mobile.twitter.com","Twitter Web App")</f>
        <v>Twitter Web App</v>
      </c>
      <c r="L878" s="16">
        <v>2</v>
      </c>
      <c r="M878" s="16">
        <v>20</v>
      </c>
      <c r="N878" s="16">
        <v>0</v>
      </c>
      <c r="O878" s="17"/>
      <c r="P878" s="18">
        <v>41430.183587962965</v>
      </c>
      <c r="Q878" s="8"/>
      <c r="R878" s="8"/>
      <c r="S878" s="8"/>
      <c r="T878" s="8"/>
      <c r="U878" s="19" t="str">
        <f>HYPERLINK("https://pbs.twimg.com/profile_images/922058445829709824/6NkR7Pmx.jpg","View")</f>
        <v>View</v>
      </c>
      <c r="V878" s="8"/>
      <c r="W878" s="8"/>
      <c r="X878" s="8"/>
      <c r="Y878" s="8"/>
      <c r="Z878" s="8"/>
    </row>
    <row r="879" spans="1:26" ht="12.75">
      <c r="A879" s="11">
        <v>43746.647604166668</v>
      </c>
      <c r="B879" s="12" t="str">
        <f>HYPERLINK("https://twitter.com/Hussain84563161","@Hussain84563161")</f>
        <v>@Hussain84563161</v>
      </c>
      <c r="C879" s="13" t="s">
        <v>4969</v>
      </c>
      <c r="D879" s="13" t="s">
        <v>4970</v>
      </c>
      <c r="E879" s="12" t="str">
        <f>HYPERLINK("https://twitter.com/Hussain84563161/status/1181698926648467458","1181698926648467458")</f>
        <v>1181698926648467458</v>
      </c>
      <c r="F879" s="8"/>
      <c r="G879" s="15"/>
      <c r="H879" s="8"/>
      <c r="I879" s="15">
        <v>0</v>
      </c>
      <c r="J879" s="15">
        <v>0</v>
      </c>
      <c r="K879" s="12" t="str">
        <f>HYPERLINK("http://twitter.com/download/android","Twitter for Android")</f>
        <v>Twitter for Android</v>
      </c>
      <c r="L879" s="16">
        <v>31</v>
      </c>
      <c r="M879" s="16">
        <v>122</v>
      </c>
      <c r="N879" s="16">
        <v>0</v>
      </c>
      <c r="O879" s="17"/>
      <c r="P879" s="18">
        <v>43138.295960648145</v>
      </c>
      <c r="Q879" s="8" t="s">
        <v>4972</v>
      </c>
      <c r="R879" s="8" t="s">
        <v>4973</v>
      </c>
      <c r="S879" s="8"/>
      <c r="T879" s="8"/>
      <c r="U879" s="19" t="str">
        <f>HYPERLINK("https://pbs.twimg.com/profile_images/1115518596921348096/llt_xlN6.jpg","View")</f>
        <v>View</v>
      </c>
      <c r="V879" s="8"/>
      <c r="W879" s="8"/>
      <c r="X879" s="8"/>
      <c r="Y879" s="8"/>
      <c r="Z879" s="8"/>
    </row>
    <row r="880" spans="1:26" ht="12.75">
      <c r="A880" s="11">
        <v>43746.647592592592</v>
      </c>
      <c r="B880" s="12" t="str">
        <f>HYPERLINK("https://twitter.com/ArshadNawfal","@ArshadNawfal")</f>
        <v>@ArshadNawfal</v>
      </c>
      <c r="C880" s="13" t="s">
        <v>4975</v>
      </c>
      <c r="D880" s="13" t="s">
        <v>1178</v>
      </c>
      <c r="E880" s="12" t="str">
        <f>HYPERLINK("https://twitter.com/ArshadNawfal/status/1181698922630111232","1181698922630111232")</f>
        <v>1181698922630111232</v>
      </c>
      <c r="F880" s="8"/>
      <c r="G880" s="14" t="s">
        <v>4976</v>
      </c>
      <c r="H880" s="8"/>
      <c r="I880" s="15">
        <v>0</v>
      </c>
      <c r="J880" s="15">
        <v>0</v>
      </c>
      <c r="K880" s="12" t="str">
        <f>HYPERLINK("https://mobile.twitter.com","Twitter Web App")</f>
        <v>Twitter Web App</v>
      </c>
      <c r="L880" s="16">
        <v>0</v>
      </c>
      <c r="M880" s="16">
        <v>0</v>
      </c>
      <c r="N880" s="16">
        <v>0</v>
      </c>
      <c r="O880" s="17"/>
      <c r="P880" s="18">
        <v>43740.001180555555</v>
      </c>
      <c r="Q880" s="8" t="s">
        <v>4714</v>
      </c>
      <c r="R880" s="8" t="s">
        <v>1258</v>
      </c>
      <c r="S880" s="8"/>
      <c r="T880" s="8"/>
      <c r="U880" s="19" t="str">
        <f>HYPERLINK("https://pbs.twimg.com/profile_images/1181697823797964801/oWWd-6rp.jpg","View")</f>
        <v>View</v>
      </c>
      <c r="V880" s="8"/>
      <c r="W880" s="8"/>
      <c r="X880" s="8"/>
      <c r="Y880" s="8"/>
      <c r="Z880" s="8"/>
    </row>
    <row r="881" spans="1:26" ht="12.75">
      <c r="A881" s="11">
        <v>43746.647557870368</v>
      </c>
      <c r="B881" s="12" t="str">
        <f>HYPERLINK("https://twitter.com/fahdaldosarifa1","@fahdaldosarifa1")</f>
        <v>@fahdaldosarifa1</v>
      </c>
      <c r="C881" s="13" t="s">
        <v>568</v>
      </c>
      <c r="D881" s="13" t="s">
        <v>4980</v>
      </c>
      <c r="E881" s="12" t="str">
        <f>HYPERLINK("https://twitter.com/fahdaldosarifa1/status/1181698910168997889","1181698910168997889")</f>
        <v>1181698910168997889</v>
      </c>
      <c r="F881" s="8"/>
      <c r="G881" s="14" t="s">
        <v>4982</v>
      </c>
      <c r="H881" s="8"/>
      <c r="I881" s="15">
        <v>0</v>
      </c>
      <c r="J881" s="15">
        <v>0</v>
      </c>
      <c r="K881" s="12" t="str">
        <f>HYPERLINK("http://twitter.com","Twitter Web Client")</f>
        <v>Twitter Web Client</v>
      </c>
      <c r="L881" s="16">
        <v>2</v>
      </c>
      <c r="M881" s="16">
        <v>36</v>
      </c>
      <c r="N881" s="16">
        <v>0</v>
      </c>
      <c r="O881" s="17"/>
      <c r="P881" s="18">
        <v>42065.403657407413</v>
      </c>
      <c r="Q881" s="8"/>
      <c r="R881" s="8"/>
      <c r="S881" s="8"/>
      <c r="T881" s="8"/>
      <c r="U881" s="19" t="str">
        <f>HYPERLINK("https://pbs.twimg.com/profile_images/572451899782074368/92OJin97.jpeg","View")</f>
        <v>View</v>
      </c>
      <c r="V881" s="8"/>
      <c r="W881" s="8"/>
      <c r="X881" s="8"/>
      <c r="Y881" s="8"/>
      <c r="Z881" s="8"/>
    </row>
    <row r="882" spans="1:26" ht="12.75">
      <c r="A882" s="11">
        <v>43746.647476851853</v>
      </c>
      <c r="B882" s="12" t="str">
        <f>HYPERLINK("https://twitter.com/salimalquarni","@salimalquarni")</f>
        <v>@salimalquarni</v>
      </c>
      <c r="C882" s="13" t="s">
        <v>4986</v>
      </c>
      <c r="D882" s="13" t="s">
        <v>914</v>
      </c>
      <c r="E882" s="12" t="str">
        <f>HYPERLINK("https://twitter.com/salimalquarni/status/1181698879235878912","1181698879235878912")</f>
        <v>1181698879235878912</v>
      </c>
      <c r="F882" s="8"/>
      <c r="G882" s="14" t="s">
        <v>917</v>
      </c>
      <c r="H882" s="8"/>
      <c r="I882" s="15">
        <v>0</v>
      </c>
      <c r="J882" s="15">
        <v>0</v>
      </c>
      <c r="K882" s="12" t="str">
        <f>HYPERLINK("https://mobile.twitter.com","Twitter Web App")</f>
        <v>Twitter Web App</v>
      </c>
      <c r="L882" s="16">
        <v>1</v>
      </c>
      <c r="M882" s="16">
        <v>20</v>
      </c>
      <c r="N882" s="16">
        <v>0</v>
      </c>
      <c r="O882" s="17"/>
      <c r="P882" s="18">
        <v>41430.182638888888</v>
      </c>
      <c r="Q882" s="8"/>
      <c r="R882" s="8"/>
      <c r="S882" s="8"/>
      <c r="T882" s="8"/>
      <c r="U882" s="19" t="str">
        <f>HYPERLINK("https://pbs.twimg.com/profile_images/922057987702767616/VF2EkUQE.jpg","View")</f>
        <v>View</v>
      </c>
      <c r="V882" s="8"/>
      <c r="W882" s="8"/>
      <c r="X882" s="8"/>
      <c r="Y882" s="8"/>
      <c r="Z882" s="8"/>
    </row>
    <row r="883" spans="1:26" ht="12.75">
      <c r="A883" s="11">
        <v>43746.647326388891</v>
      </c>
      <c r="B883" s="12" t="str">
        <f>HYPERLINK("https://twitter.com/abidahnehari","@abidahnehari")</f>
        <v>@abidahnehari</v>
      </c>
      <c r="C883" s="13" t="s">
        <v>4991</v>
      </c>
      <c r="D883" s="13" t="s">
        <v>28</v>
      </c>
      <c r="E883" s="12" t="str">
        <f>HYPERLINK("https://twitter.com/abidahnehari/status/1181698825448083456","1181698825448083456")</f>
        <v>1181698825448083456</v>
      </c>
      <c r="F883" s="8"/>
      <c r="G883" s="14" t="s">
        <v>31</v>
      </c>
      <c r="H883" s="8"/>
      <c r="I883" s="15">
        <v>0</v>
      </c>
      <c r="J883" s="15">
        <v>0</v>
      </c>
      <c r="K883" s="12" t="str">
        <f>HYPERLINK("https://mobile.twitter.com","Twitter Web App")</f>
        <v>Twitter Web App</v>
      </c>
      <c r="L883" s="16">
        <v>2</v>
      </c>
      <c r="M883" s="16">
        <v>20</v>
      </c>
      <c r="N883" s="16">
        <v>0</v>
      </c>
      <c r="O883" s="17"/>
      <c r="P883" s="18">
        <v>41429.841909722221</v>
      </c>
      <c r="Q883" s="8"/>
      <c r="R883" s="8"/>
      <c r="S883" s="8"/>
      <c r="T883" s="8"/>
      <c r="U883" s="19" t="str">
        <f>HYPERLINK("https://pbs.twimg.com/profile_images/922057404782542848/j7bTZDkg.jpg","View")</f>
        <v>View</v>
      </c>
      <c r="V883" s="8"/>
      <c r="W883" s="8"/>
      <c r="X883" s="8"/>
      <c r="Y883" s="8"/>
      <c r="Z883" s="8"/>
    </row>
    <row r="884" spans="1:26" ht="12.75">
      <c r="A884" s="11">
        <v>43746.647245370375</v>
      </c>
      <c r="B884" s="12" t="str">
        <f>HYPERLINK("https://twitter.com/ghazialotaibi10","@ghazialotaibi10")</f>
        <v>@ghazialotaibi10</v>
      </c>
      <c r="C884" s="13" t="s">
        <v>4995</v>
      </c>
      <c r="D884" s="13" t="s">
        <v>4996</v>
      </c>
      <c r="E884" s="12" t="str">
        <f>HYPERLINK("https://twitter.com/ghazialotaibi10/status/1181698796524392448","1181698796524392448")</f>
        <v>1181698796524392448</v>
      </c>
      <c r="F884" s="8"/>
      <c r="G884" s="14" t="s">
        <v>4997</v>
      </c>
      <c r="H884" s="8"/>
      <c r="I884" s="15">
        <v>0</v>
      </c>
      <c r="J884" s="15">
        <v>0</v>
      </c>
      <c r="K884" s="12" t="str">
        <f>HYPERLINK("http://twitter.com","Twitter Web Client")</f>
        <v>Twitter Web Client</v>
      </c>
      <c r="L884" s="16">
        <v>0</v>
      </c>
      <c r="M884" s="16">
        <v>40</v>
      </c>
      <c r="N884" s="16">
        <v>0</v>
      </c>
      <c r="O884" s="17"/>
      <c r="P884" s="18">
        <v>42023.083831018521</v>
      </c>
      <c r="Q884" s="8"/>
      <c r="R884" s="8"/>
      <c r="S884" s="8"/>
      <c r="T884" s="8"/>
      <c r="U884" s="19" t="str">
        <f>HYPERLINK("https://pbs.twimg.com/profile_images/557116908688789504/iwWqPI1Z.jpeg","View")</f>
        <v>View</v>
      </c>
      <c r="V884" s="8"/>
      <c r="W884" s="8"/>
      <c r="X884" s="8"/>
      <c r="Y884" s="8"/>
      <c r="Z884" s="8"/>
    </row>
    <row r="885" spans="1:26" ht="12.75">
      <c r="A885" s="11">
        <v>43746.647164351853</v>
      </c>
      <c r="B885" s="12" t="str">
        <f>HYPERLINK("https://twitter.com/ahmadareshi","@ahmadareshi")</f>
        <v>@ahmadareshi</v>
      </c>
      <c r="C885" s="13" t="s">
        <v>5001</v>
      </c>
      <c r="D885" s="13" t="s">
        <v>968</v>
      </c>
      <c r="E885" s="12" t="str">
        <f>HYPERLINK("https://twitter.com/ahmadareshi/status/1181698765226274816","1181698765226274816")</f>
        <v>1181698765226274816</v>
      </c>
      <c r="F885" s="8"/>
      <c r="G885" s="14" t="s">
        <v>5004</v>
      </c>
      <c r="H885" s="8"/>
      <c r="I885" s="15">
        <v>0</v>
      </c>
      <c r="J885" s="15">
        <v>0</v>
      </c>
      <c r="K885" s="12" t="str">
        <f>HYPERLINK("https://mobile.twitter.com","Twitter Web App")</f>
        <v>Twitter Web App</v>
      </c>
      <c r="L885" s="16">
        <v>1</v>
      </c>
      <c r="M885" s="16">
        <v>20</v>
      </c>
      <c r="N885" s="16">
        <v>0</v>
      </c>
      <c r="O885" s="17"/>
      <c r="P885" s="18">
        <v>41429.83965277778</v>
      </c>
      <c r="Q885" s="8"/>
      <c r="R885" s="8"/>
      <c r="S885" s="8"/>
      <c r="T885" s="8"/>
      <c r="U885" s="19" t="str">
        <f>HYPERLINK("https://pbs.twimg.com/profile_images/922057066776104960/JRNmTKpa.jpg","View")</f>
        <v>View</v>
      </c>
      <c r="V885" s="8"/>
      <c r="W885" s="8"/>
      <c r="X885" s="8"/>
      <c r="Y885" s="8"/>
      <c r="Z885" s="8"/>
    </row>
    <row r="886" spans="1:26" ht="12.75">
      <c r="A886" s="11">
        <v>43746.646967592591</v>
      </c>
      <c r="B886" s="12" t="str">
        <f>HYPERLINK("https://twitter.com/amalsalimaan_","@amalsalimaan_")</f>
        <v>@amalsalimaan_</v>
      </c>
      <c r="C886" s="7" t="s">
        <v>5007</v>
      </c>
      <c r="D886" s="7" t="s">
        <v>944</v>
      </c>
      <c r="E886" s="12" t="str">
        <f>HYPERLINK("https://twitter.com/amalsalimaan_/status/1181698695693099009","1181698695693099009")</f>
        <v>1181698695693099009</v>
      </c>
      <c r="F886" s="8"/>
      <c r="G886" s="14" t="s">
        <v>5008</v>
      </c>
      <c r="H886" s="8"/>
      <c r="I886" s="15">
        <v>0</v>
      </c>
      <c r="J886" s="15">
        <v>0</v>
      </c>
      <c r="K886" s="12" t="str">
        <f>HYPERLINK("https://mobile.twitter.com","Twitter Web App")</f>
        <v>Twitter Web App</v>
      </c>
      <c r="L886" s="16">
        <v>3</v>
      </c>
      <c r="M886" s="16">
        <v>20</v>
      </c>
      <c r="N886" s="16">
        <v>0</v>
      </c>
      <c r="O886" s="17"/>
      <c r="P886" s="18">
        <v>41429.269363425927</v>
      </c>
      <c r="Q886" s="7"/>
      <c r="R886" s="13"/>
      <c r="S886" s="8"/>
      <c r="T886" s="8"/>
      <c r="U886" s="19" t="str">
        <f>HYPERLINK("https://pbs.twimg.com/profile_images/1179514126311182336/2LtqKXKy.jpg","View")</f>
        <v>View</v>
      </c>
      <c r="V886" s="8"/>
      <c r="W886" s="8"/>
      <c r="X886" s="8"/>
      <c r="Y886" s="8"/>
      <c r="Z886" s="8"/>
    </row>
    <row r="887" spans="1:26" ht="12.75">
      <c r="A887" s="11">
        <v>43746.646921296298</v>
      </c>
      <c r="B887" s="12" t="str">
        <f>HYPERLINK("https://twitter.com/OrMaTbowCvVhieV","@OrMaTbowCvVhieV")</f>
        <v>@OrMaTbowCvVhieV</v>
      </c>
      <c r="C887" s="13" t="s">
        <v>5009</v>
      </c>
      <c r="D887" s="13" t="s">
        <v>5010</v>
      </c>
      <c r="E887" s="12" t="str">
        <f>HYPERLINK("https://twitter.com/OrMaTbowCvVhieV/status/1181698679335522305","1181698679335522305")</f>
        <v>1181698679335522305</v>
      </c>
      <c r="F887" s="8"/>
      <c r="G887" s="14" t="s">
        <v>5011</v>
      </c>
      <c r="H887" s="8"/>
      <c r="I887" s="15">
        <v>6</v>
      </c>
      <c r="J887" s="15">
        <v>6</v>
      </c>
      <c r="K887" s="12" t="str">
        <f>HYPERLINK("http://twitter.com/download/android","Twitter for Android")</f>
        <v>Twitter for Android</v>
      </c>
      <c r="L887" s="16">
        <v>2724</v>
      </c>
      <c r="M887" s="16">
        <v>4737</v>
      </c>
      <c r="N887" s="16">
        <v>0</v>
      </c>
      <c r="O887" s="17"/>
      <c r="P887" s="18">
        <v>43702.060115740736</v>
      </c>
      <c r="Q887" s="8"/>
      <c r="R887" s="8" t="s">
        <v>5014</v>
      </c>
      <c r="S887" s="8"/>
      <c r="T887" s="8"/>
      <c r="U887" s="19" t="str">
        <f>HYPERLINK("https://pbs.twimg.com/profile_images/1180900420396429313/cBlZyRNd.jpg","View")</f>
        <v>View</v>
      </c>
      <c r="V887" s="8"/>
      <c r="W887" s="8"/>
      <c r="X887" s="8"/>
      <c r="Y887" s="8"/>
      <c r="Z887" s="8"/>
    </row>
    <row r="888" spans="1:26" ht="12.75">
      <c r="A888" s="11">
        <v>43746.64680555556</v>
      </c>
      <c r="B888" s="12" t="str">
        <f>HYPERLINK("https://twitter.com/fatmahfarhaann","@fatmahfarhaann")</f>
        <v>@fatmahfarhaann</v>
      </c>
      <c r="C888" s="13" t="s">
        <v>5015</v>
      </c>
      <c r="D888" s="13" t="s">
        <v>1030</v>
      </c>
      <c r="E888" s="12" t="str">
        <f>HYPERLINK("https://twitter.com/fatmahfarhaann/status/1181698637849456641","1181698637849456641")</f>
        <v>1181698637849456641</v>
      </c>
      <c r="F888" s="8"/>
      <c r="G888" s="14" t="s">
        <v>5018</v>
      </c>
      <c r="H888" s="8"/>
      <c r="I888" s="15">
        <v>0</v>
      </c>
      <c r="J888" s="15">
        <v>0</v>
      </c>
      <c r="K888" s="12" t="str">
        <f>HYPERLINK("https://mobile.twitter.com","Twitter Web App")</f>
        <v>Twitter Web App</v>
      </c>
      <c r="L888" s="16">
        <v>0</v>
      </c>
      <c r="M888" s="16">
        <v>20</v>
      </c>
      <c r="N888" s="16">
        <v>0</v>
      </c>
      <c r="O888" s="17"/>
      <c r="P888" s="18">
        <v>41429.2496875</v>
      </c>
      <c r="Q888" s="8"/>
      <c r="R888" s="8"/>
      <c r="S888" s="8"/>
      <c r="T888" s="8"/>
      <c r="U888" s="19" t="str">
        <f>HYPERLINK("https://pbs.twimg.com/profile_images/920340260793417729/pI1Gkuqm.jpg","View")</f>
        <v>View</v>
      </c>
      <c r="V888" s="8"/>
      <c r="W888" s="8"/>
      <c r="X888" s="8"/>
      <c r="Y888" s="8"/>
      <c r="Z888" s="8"/>
    </row>
    <row r="889" spans="1:26" ht="12.75">
      <c r="A889" s="11">
        <v>43746.646643518514</v>
      </c>
      <c r="B889" s="12" t="str">
        <f>HYPERLINK("https://twitter.com/wadhakhairullah","@wadhakhairullah")</f>
        <v>@wadhakhairullah</v>
      </c>
      <c r="C889" s="13" t="s">
        <v>5021</v>
      </c>
      <c r="D889" s="13" t="s">
        <v>1130</v>
      </c>
      <c r="E889" s="12" t="str">
        <f>HYPERLINK("https://twitter.com/wadhakhairullah/status/1181698576642011136","1181698576642011136")</f>
        <v>1181698576642011136</v>
      </c>
      <c r="F889" s="8"/>
      <c r="G889" s="14" t="s">
        <v>5023</v>
      </c>
      <c r="H889" s="8"/>
      <c r="I889" s="15">
        <v>0</v>
      </c>
      <c r="J889" s="15">
        <v>0</v>
      </c>
      <c r="K889" s="12" t="str">
        <f>HYPERLINK("https://mobile.twitter.com","Twitter Web App")</f>
        <v>Twitter Web App</v>
      </c>
      <c r="L889" s="16">
        <v>0</v>
      </c>
      <c r="M889" s="16">
        <v>20</v>
      </c>
      <c r="N889" s="16">
        <v>0</v>
      </c>
      <c r="O889" s="17"/>
      <c r="P889" s="18">
        <v>41428.852407407408</v>
      </c>
      <c r="Q889" s="8"/>
      <c r="R889" s="8"/>
      <c r="S889" s="8"/>
      <c r="T889" s="8"/>
      <c r="U889" s="19" t="str">
        <f>HYPERLINK("https://pbs.twimg.com/profile_images/920039299591979008/sLW0K2xq.jpg","View")</f>
        <v>View</v>
      </c>
      <c r="V889" s="8"/>
      <c r="W889" s="8"/>
      <c r="X889" s="8"/>
      <c r="Y889" s="8"/>
      <c r="Z889" s="8"/>
    </row>
    <row r="890" spans="1:26" ht="12.75">
      <c r="A890" s="11">
        <v>43746.646493055552</v>
      </c>
      <c r="B890" s="12" t="str">
        <f>HYPERLINK("https://twitter.com/matlaqalmateri_","@matlaqalmateri_")</f>
        <v>@matlaqalmateri_</v>
      </c>
      <c r="C890" s="13" t="s">
        <v>5026</v>
      </c>
      <c r="D890" s="13" t="s">
        <v>1107</v>
      </c>
      <c r="E890" s="12" t="str">
        <f>HYPERLINK("https://twitter.com/matlaqalmateri_/status/1181698524418674690","1181698524418674690")</f>
        <v>1181698524418674690</v>
      </c>
      <c r="F890" s="8"/>
      <c r="G890" s="14" t="s">
        <v>5029</v>
      </c>
      <c r="H890" s="8"/>
      <c r="I890" s="15">
        <v>0</v>
      </c>
      <c r="J890" s="15">
        <v>0</v>
      </c>
      <c r="K890" s="12" t="str">
        <f>HYPERLINK("https://mobile.twitter.com","Twitter Web App")</f>
        <v>Twitter Web App</v>
      </c>
      <c r="L890" s="16">
        <v>0</v>
      </c>
      <c r="M890" s="16">
        <v>20</v>
      </c>
      <c r="N890" s="16">
        <v>0</v>
      </c>
      <c r="O890" s="17"/>
      <c r="P890" s="18">
        <v>41428.851712962962</v>
      </c>
      <c r="Q890" s="8"/>
      <c r="R890" s="8"/>
      <c r="S890" s="8"/>
      <c r="T890" s="8"/>
      <c r="U890" s="19" t="str">
        <f>HYPERLINK("https://pbs.twimg.com/profile_images/920038835072806912/zjmKKANc.jpg","View")</f>
        <v>View</v>
      </c>
      <c r="V890" s="8"/>
      <c r="W890" s="8"/>
      <c r="X890" s="8"/>
      <c r="Y890" s="8"/>
      <c r="Z890" s="8"/>
    </row>
    <row r="891" spans="1:26" ht="12.75">
      <c r="A891" s="11">
        <v>43746.64634259259</v>
      </c>
      <c r="B891" s="12" t="str">
        <f>HYPERLINK("https://twitter.com/samhoodrashidi","@samhoodrashidi")</f>
        <v>@samhoodrashidi</v>
      </c>
      <c r="C891" s="7" t="s">
        <v>5036</v>
      </c>
      <c r="D891" s="7" t="s">
        <v>907</v>
      </c>
      <c r="E891" s="12" t="str">
        <f>HYPERLINK("https://twitter.com/samhoodrashidi/status/1181698470068928512","1181698470068928512")</f>
        <v>1181698470068928512</v>
      </c>
      <c r="F891" s="8"/>
      <c r="G891" s="14" t="s">
        <v>5037</v>
      </c>
      <c r="H891" s="8"/>
      <c r="I891" s="15">
        <v>0</v>
      </c>
      <c r="J891" s="15">
        <v>0</v>
      </c>
      <c r="K891" s="12" t="str">
        <f>HYPERLINK("https://mobile.twitter.com","Twitter Web App")</f>
        <v>Twitter Web App</v>
      </c>
      <c r="L891" s="16">
        <v>3</v>
      </c>
      <c r="M891" s="16">
        <v>20</v>
      </c>
      <c r="N891" s="16">
        <v>0</v>
      </c>
      <c r="O891" s="17"/>
      <c r="P891" s="18">
        <v>41428.848668981482</v>
      </c>
      <c r="Q891" s="8"/>
      <c r="R891" s="8"/>
      <c r="S891" s="8"/>
      <c r="T891" s="8"/>
      <c r="U891" s="19" t="str">
        <f>HYPERLINK("https://pbs.twimg.com/profile_images/920037196366675968/JuzPbgyE.jpg","View")</f>
        <v>View</v>
      </c>
      <c r="V891" s="8"/>
      <c r="W891" s="8"/>
      <c r="X891" s="8"/>
      <c r="Y891" s="8"/>
      <c r="Z891" s="8"/>
    </row>
    <row r="892" spans="1:26" ht="12.75">
      <c r="A892" s="11">
        <v>43746.645023148143</v>
      </c>
      <c r="B892" s="12" t="str">
        <f>HYPERLINK("https://twitter.com/abdelrhmanel3b2","@abdelrhmanel3b2")</f>
        <v>@abdelrhmanel3b2</v>
      </c>
      <c r="C892" s="13" t="s">
        <v>5040</v>
      </c>
      <c r="D892" s="13" t="s">
        <v>5041</v>
      </c>
      <c r="E892" s="12" t="str">
        <f>HYPERLINK("https://twitter.com/abdelrhmanel3b2/status/1181697991238967296","1181697991238967296")</f>
        <v>1181697991238967296</v>
      </c>
      <c r="F892" s="8"/>
      <c r="G892" s="14" t="s">
        <v>5042</v>
      </c>
      <c r="H892" s="8"/>
      <c r="I892" s="15">
        <v>0</v>
      </c>
      <c r="J892" s="15">
        <v>0</v>
      </c>
      <c r="K892" s="12" t="str">
        <f>HYPERLINK("http://twitter.com","Twitter Web Client")</f>
        <v>Twitter Web Client</v>
      </c>
      <c r="L892" s="16">
        <v>1</v>
      </c>
      <c r="M892" s="16">
        <v>29</v>
      </c>
      <c r="N892" s="16">
        <v>0</v>
      </c>
      <c r="O892" s="17"/>
      <c r="P892" s="18">
        <v>42080.342604166668</v>
      </c>
      <c r="Q892" s="8"/>
      <c r="R892" s="8"/>
      <c r="S892" s="8"/>
      <c r="T892" s="8"/>
      <c r="U892" s="19" t="str">
        <f>HYPERLINK("https://pbs.twimg.com/profile_images/577850456120037377/qIuH3WN_.jpeg","View")</f>
        <v>View</v>
      </c>
      <c r="V892" s="8"/>
      <c r="W892" s="8"/>
      <c r="X892" s="8"/>
      <c r="Y892" s="8"/>
      <c r="Z892" s="8"/>
    </row>
    <row r="893" spans="1:26" ht="12.75">
      <c r="A893" s="11">
        <v>43746.644594907411</v>
      </c>
      <c r="B893" s="12" t="str">
        <f>HYPERLINK("https://twitter.com/abousaayidee134","@abousaayidee134")</f>
        <v>@abousaayidee134</v>
      </c>
      <c r="C893" s="7" t="s">
        <v>5046</v>
      </c>
      <c r="D893" s="7" t="s">
        <v>923</v>
      </c>
      <c r="E893" s="12" t="str">
        <f>HYPERLINK("https://twitter.com/abousaayidee134/status/1181697834757701632","1181697834757701632")</f>
        <v>1181697834757701632</v>
      </c>
      <c r="F893" s="8"/>
      <c r="G893" s="14" t="s">
        <v>5047</v>
      </c>
      <c r="H893" s="8"/>
      <c r="I893" s="15">
        <v>0</v>
      </c>
      <c r="J893" s="15">
        <v>0</v>
      </c>
      <c r="K893" s="12" t="str">
        <f>HYPERLINK("https://mobile.twitter.com","Twitter Web App")</f>
        <v>Twitter Web App</v>
      </c>
      <c r="L893" s="16">
        <v>0</v>
      </c>
      <c r="M893" s="16">
        <v>5</v>
      </c>
      <c r="N893" s="16">
        <v>0</v>
      </c>
      <c r="O893" s="17"/>
      <c r="P893" s="18">
        <v>41442.244085648148</v>
      </c>
      <c r="Q893" s="7"/>
      <c r="R893" s="13"/>
      <c r="S893" s="8"/>
      <c r="T893" s="8"/>
      <c r="U893" s="19" t="str">
        <f>HYPERLINK("https://pbs.twimg.com/profile_images/920604676613062656/awYcv3ro.jpg","View")</f>
        <v>View</v>
      </c>
      <c r="V893" s="8"/>
      <c r="W893" s="8"/>
      <c r="X893" s="8"/>
      <c r="Y893" s="8"/>
      <c r="Z893" s="8"/>
    </row>
    <row r="894" spans="1:26" ht="12.75">
      <c r="A894" s="11">
        <v>43746.644108796296</v>
      </c>
      <c r="B894" s="12" t="str">
        <f>HYPERLINK("https://twitter.com/salman_alhazere","@salman_alhazere")</f>
        <v>@salman_alhazere</v>
      </c>
      <c r="C894" s="13" t="s">
        <v>4955</v>
      </c>
      <c r="D894" s="13" t="s">
        <v>937</v>
      </c>
      <c r="E894" s="12" t="str">
        <f>HYPERLINK("https://twitter.com/salman_alhazere/status/1181697659930738688","1181697659930738688")</f>
        <v>1181697659930738688</v>
      </c>
      <c r="F894" s="8"/>
      <c r="G894" s="14" t="s">
        <v>5050</v>
      </c>
      <c r="H894" s="8"/>
      <c r="I894" s="15">
        <v>0</v>
      </c>
      <c r="J894" s="15">
        <v>0</v>
      </c>
      <c r="K894" s="12" t="str">
        <f>HYPERLINK("https://mobile.twitter.com","Twitter Web App")</f>
        <v>Twitter Web App</v>
      </c>
      <c r="L894" s="16">
        <v>1</v>
      </c>
      <c r="M894" s="16">
        <v>5</v>
      </c>
      <c r="N894" s="16">
        <v>0</v>
      </c>
      <c r="O894" s="17"/>
      <c r="P894" s="18">
        <v>41435.946192129632</v>
      </c>
      <c r="Q894" s="8"/>
      <c r="R894" s="8"/>
      <c r="S894" s="8"/>
      <c r="T894" s="8"/>
      <c r="U894" s="19" t="str">
        <f>HYPERLINK("https://pbs.twimg.com/profile_images/920242632613175296/nCuTJE6T.jpg","View")</f>
        <v>View</v>
      </c>
      <c r="V894" s="8"/>
      <c r="W894" s="8"/>
      <c r="X894" s="8"/>
      <c r="Y894" s="8"/>
      <c r="Z894" s="8"/>
    </row>
    <row r="895" spans="1:26" ht="12.75">
      <c r="A895" s="11">
        <v>43746.644062499996</v>
      </c>
      <c r="B895" s="12" t="str">
        <f>HYPERLINK("https://twitter.com/3awaagy77","@3awaagy77")</f>
        <v>@3awaagy77</v>
      </c>
      <c r="C895" s="13" t="s">
        <v>5053</v>
      </c>
      <c r="D895" s="13" t="s">
        <v>318</v>
      </c>
      <c r="E895" s="12" t="str">
        <f>HYPERLINK("https://twitter.com/3awaagy77/status/1181697643204009985","1181697643204009985")</f>
        <v>1181697643204009985</v>
      </c>
      <c r="F895" s="8"/>
      <c r="G895" s="14" t="s">
        <v>5054</v>
      </c>
      <c r="H895" s="8"/>
      <c r="I895" s="15">
        <v>0</v>
      </c>
      <c r="J895" s="15">
        <v>0</v>
      </c>
      <c r="K895" s="12" t="str">
        <f>HYPERLINK("http://twitter.com","Twitter Web Client")</f>
        <v>Twitter Web Client</v>
      </c>
      <c r="L895" s="16">
        <v>14</v>
      </c>
      <c r="M895" s="16">
        <v>48</v>
      </c>
      <c r="N895" s="16">
        <v>0</v>
      </c>
      <c r="O895" s="17"/>
      <c r="P895" s="18">
        <v>42073.65247685185</v>
      </c>
      <c r="Q895" s="8"/>
      <c r="R895" s="8"/>
      <c r="S895" s="8"/>
      <c r="T895" s="8"/>
      <c r="U895" s="19" t="str">
        <f>HYPERLINK("https://pbs.twimg.com/profile_images/575426018678206464/s422KLU4.jpeg","View")</f>
        <v>View</v>
      </c>
      <c r="V895" s="8"/>
      <c r="W895" s="8"/>
      <c r="X895" s="8"/>
      <c r="Y895" s="8"/>
      <c r="Z895" s="8"/>
    </row>
    <row r="896" spans="1:26" ht="12.75">
      <c r="A896" s="11">
        <v>43746.642939814818</v>
      </c>
      <c r="B896" s="12" t="str">
        <f>HYPERLINK("https://twitter.com/isabinjassim1","@isabinjassim1")</f>
        <v>@isabinjassim1</v>
      </c>
      <c r="C896" s="13" t="s">
        <v>5055</v>
      </c>
      <c r="D896" s="13" t="s">
        <v>5056</v>
      </c>
      <c r="E896" s="12" t="str">
        <f>HYPERLINK("https://twitter.com/isabinjassim1/status/1181697237669339136","1181697237669339136")</f>
        <v>1181697237669339136</v>
      </c>
      <c r="F896" s="8"/>
      <c r="G896" s="14" t="s">
        <v>5059</v>
      </c>
      <c r="H896" s="8"/>
      <c r="I896" s="15">
        <v>0</v>
      </c>
      <c r="J896" s="15">
        <v>0</v>
      </c>
      <c r="K896" s="12" t="str">
        <f>HYPERLINK("http://twitter.com","Twitter Web Client")</f>
        <v>Twitter Web Client</v>
      </c>
      <c r="L896" s="16">
        <v>1</v>
      </c>
      <c r="M896" s="16">
        <v>35</v>
      </c>
      <c r="N896" s="16">
        <v>0</v>
      </c>
      <c r="O896" s="17"/>
      <c r="P896" s="18">
        <v>42068.761458333334</v>
      </c>
      <c r="Q896" s="8"/>
      <c r="R896" s="8"/>
      <c r="S896" s="8"/>
      <c r="T896" s="8"/>
      <c r="U896" s="19" t="str">
        <f>HYPERLINK("https://pbs.twimg.com/profile_images/573670654630756354/V-iJpodF.jpeg","View")</f>
        <v>View</v>
      </c>
      <c r="V896" s="8"/>
      <c r="W896" s="8"/>
      <c r="X896" s="8"/>
      <c r="Y896" s="8"/>
      <c r="Z896" s="8"/>
    </row>
    <row r="897" spans="1:26" ht="12.75">
      <c r="A897" s="11">
        <v>43746.642638888894</v>
      </c>
      <c r="B897" s="12" t="str">
        <f>HYPERLINK("https://twitter.com/QaiselZamani1","@QaiselZamani1")</f>
        <v>@QaiselZamani1</v>
      </c>
      <c r="C897" s="7" t="s">
        <v>5067</v>
      </c>
      <c r="D897" s="7" t="s">
        <v>907</v>
      </c>
      <c r="E897" s="12" t="str">
        <f>HYPERLINK("https://twitter.com/QaiselZamani1/status/1181697127501582337","1181697127501582337")</f>
        <v>1181697127501582337</v>
      </c>
      <c r="F897" s="8"/>
      <c r="G897" s="14" t="s">
        <v>5068</v>
      </c>
      <c r="H897" s="8"/>
      <c r="I897" s="15">
        <v>0</v>
      </c>
      <c r="J897" s="15">
        <v>0</v>
      </c>
      <c r="K897" s="12" t="str">
        <f>HYPERLINK("https://mobile.twitter.com","Twitter Web App")</f>
        <v>Twitter Web App</v>
      </c>
      <c r="L897" s="16">
        <v>0</v>
      </c>
      <c r="M897" s="16">
        <v>1</v>
      </c>
      <c r="N897" s="16">
        <v>0</v>
      </c>
      <c r="O897" s="17"/>
      <c r="P897" s="18">
        <v>43740.934004629627</v>
      </c>
      <c r="Q897" s="7" t="s">
        <v>4714</v>
      </c>
      <c r="R897" s="13" t="s">
        <v>1277</v>
      </c>
      <c r="S897" s="8"/>
      <c r="T897" s="8"/>
      <c r="U897" s="19" t="str">
        <f>HYPERLINK("https://pbs.twimg.com/profile_images/1181696948136398848/sce3ml3B.jpg","View")</f>
        <v>View</v>
      </c>
      <c r="V897" s="8"/>
      <c r="W897" s="8"/>
      <c r="X897" s="8"/>
      <c r="Y897" s="8"/>
      <c r="Z897" s="8"/>
    </row>
    <row r="898" spans="1:26" ht="12.75">
      <c r="A898" s="11">
        <v>43746.642002314809</v>
      </c>
      <c r="B898" s="12" t="str">
        <f>HYPERLINK("https://twitter.com/nasserastour","@nasserastour")</f>
        <v>@nasserastour</v>
      </c>
      <c r="C898" s="13" t="s">
        <v>5069</v>
      </c>
      <c r="D898" s="13" t="s">
        <v>5070</v>
      </c>
      <c r="E898" s="12" t="str">
        <f>HYPERLINK("https://twitter.com/nasserastour/status/1181696896227794945","1181696896227794945")</f>
        <v>1181696896227794945</v>
      </c>
      <c r="F898" s="8"/>
      <c r="G898" s="14" t="s">
        <v>5071</v>
      </c>
      <c r="H898" s="8"/>
      <c r="I898" s="15">
        <v>0</v>
      </c>
      <c r="J898" s="15">
        <v>0</v>
      </c>
      <c r="K898" s="12" t="str">
        <f>HYPERLINK("http://twitter.com","Twitter Web Client")</f>
        <v>Twitter Web Client</v>
      </c>
      <c r="L898" s="16">
        <v>1</v>
      </c>
      <c r="M898" s="16">
        <v>44</v>
      </c>
      <c r="N898" s="16">
        <v>0</v>
      </c>
      <c r="O898" s="17"/>
      <c r="P898" s="18">
        <v>42082.158564814818</v>
      </c>
      <c r="Q898" s="8"/>
      <c r="R898" s="8"/>
      <c r="S898" s="8"/>
      <c r="T898" s="8"/>
      <c r="U898" s="19" t="str">
        <f>HYPERLINK("https://pbs.twimg.com/profile_images/578508799142699008/TjI35hZT.jpeg","View")</f>
        <v>View</v>
      </c>
      <c r="V898" s="8"/>
      <c r="W898" s="8"/>
      <c r="X898" s="8"/>
      <c r="Y898" s="8"/>
      <c r="Z898" s="8"/>
    </row>
    <row r="899" spans="1:26" ht="12.75">
      <c r="A899" s="11">
        <v>43746.641851851848</v>
      </c>
      <c r="B899" s="12" t="str">
        <f>HYPERLINK("https://twitter.com/abdullah100510","@abdullah100510")</f>
        <v>@abdullah100510</v>
      </c>
      <c r="C899" s="7" t="s">
        <v>5076</v>
      </c>
      <c r="D899" s="7" t="s">
        <v>342</v>
      </c>
      <c r="E899" s="12" t="str">
        <f>HYPERLINK("https://twitter.com/abdullah100510/status/1181696839701159936","1181696839701159936")</f>
        <v>1181696839701159936</v>
      </c>
      <c r="F899" s="8"/>
      <c r="G899" s="14" t="s">
        <v>5077</v>
      </c>
      <c r="H899" s="8"/>
      <c r="I899" s="15">
        <v>0</v>
      </c>
      <c r="J899" s="15">
        <v>0</v>
      </c>
      <c r="K899" s="12" t="str">
        <f>HYPERLINK("http://twitter.com","Twitter Web Client")</f>
        <v>Twitter Web Client</v>
      </c>
      <c r="L899" s="16">
        <v>9</v>
      </c>
      <c r="M899" s="16">
        <v>47</v>
      </c>
      <c r="N899" s="16">
        <v>0</v>
      </c>
      <c r="O899" s="17"/>
      <c r="P899" s="18">
        <v>42268.748229166667</v>
      </c>
      <c r="Q899" s="7"/>
      <c r="R899" s="7"/>
      <c r="S899" s="8"/>
      <c r="T899" s="8"/>
      <c r="U899" s="19" t="str">
        <f>HYPERLINK("https://pbs.twimg.com/profile_images/646334321414901760/mof9g0po.jpg","View")</f>
        <v>View</v>
      </c>
      <c r="V899" s="8"/>
      <c r="W899" s="8"/>
      <c r="X899" s="8"/>
      <c r="Y899" s="8"/>
      <c r="Z899" s="8"/>
    </row>
    <row r="900" spans="1:26" ht="12.75">
      <c r="A900" s="11">
        <v>43746.641689814816</v>
      </c>
      <c r="B900" s="12" t="str">
        <f>HYPERLINK("https://twitter.com/DhimShaya","@DhimShaya")</f>
        <v>@DhimShaya</v>
      </c>
      <c r="C900" s="13" t="s">
        <v>5078</v>
      </c>
      <c r="D900" s="7" t="s">
        <v>5079</v>
      </c>
      <c r="E900" s="12" t="str">
        <f>HYPERLINK("https://twitter.com/DhimShaya/status/1181696783115833350","1181696783115833350")</f>
        <v>1181696783115833350</v>
      </c>
      <c r="F900" s="8"/>
      <c r="G900" s="14" t="s">
        <v>5080</v>
      </c>
      <c r="H900" s="8"/>
      <c r="I900" s="15">
        <v>0</v>
      </c>
      <c r="J900" s="15">
        <v>0</v>
      </c>
      <c r="K900" s="12" t="str">
        <f>HYPERLINK("http://twitter.com","Twitter Web Client")</f>
        <v>Twitter Web Client</v>
      </c>
      <c r="L900" s="16">
        <v>0</v>
      </c>
      <c r="M900" s="16">
        <v>36</v>
      </c>
      <c r="N900" s="16">
        <v>0</v>
      </c>
      <c r="O900" s="17"/>
      <c r="P900" s="18">
        <v>42019.577800925923</v>
      </c>
      <c r="Q900" s="8"/>
      <c r="R900" s="8"/>
      <c r="S900" s="8"/>
      <c r="T900" s="8"/>
      <c r="U900" s="19" t="str">
        <f>HYPERLINK("https://pbs.twimg.com/profile_images/555846736476774400/7WpzHQKO.jpeg","View")</f>
        <v>View</v>
      </c>
      <c r="V900" s="8"/>
      <c r="W900" s="8"/>
      <c r="X900" s="8"/>
      <c r="Y900" s="8"/>
      <c r="Z900" s="8"/>
    </row>
    <row r="901" spans="1:26" ht="12.75">
      <c r="A901" s="11">
        <v>43746.640821759254</v>
      </c>
      <c r="B901" s="12" t="str">
        <f>HYPERLINK("https://twitter.com/MuslimalIbrahi1","@MuslimalIbrahi1")</f>
        <v>@MuslimalIbrahi1</v>
      </c>
      <c r="C901" s="13" t="s">
        <v>5083</v>
      </c>
      <c r="D901" s="13" t="s">
        <v>1236</v>
      </c>
      <c r="E901" s="12" t="str">
        <f>HYPERLINK("https://twitter.com/MuslimalIbrahi1/status/1181696466525380608","1181696466525380608")</f>
        <v>1181696466525380608</v>
      </c>
      <c r="F901" s="8"/>
      <c r="G901" s="14" t="s">
        <v>5084</v>
      </c>
      <c r="H901" s="8"/>
      <c r="I901" s="15">
        <v>0</v>
      </c>
      <c r="J901" s="15">
        <v>1</v>
      </c>
      <c r="K901" s="12" t="str">
        <f>HYPERLINK("https://mobile.twitter.com","Twitter Web App")</f>
        <v>Twitter Web App</v>
      </c>
      <c r="L901" s="16">
        <v>0</v>
      </c>
      <c r="M901" s="16">
        <v>1</v>
      </c>
      <c r="N901" s="16">
        <v>0</v>
      </c>
      <c r="O901" s="17"/>
      <c r="P901" s="18">
        <v>43740.937083333338</v>
      </c>
      <c r="Q901" s="7" t="s">
        <v>4714</v>
      </c>
      <c r="R901" s="13" t="s">
        <v>912</v>
      </c>
      <c r="S901" s="8"/>
      <c r="T901" s="8"/>
      <c r="U901" s="19" t="str">
        <f>HYPERLINK("https://pbs.twimg.com/profile_images/1181341250034601984/kkGLts65.jpg","View")</f>
        <v>View</v>
      </c>
      <c r="V901" s="8"/>
      <c r="W901" s="8"/>
      <c r="X901" s="8"/>
      <c r="Y901" s="8"/>
      <c r="Z901" s="8"/>
    </row>
    <row r="902" spans="1:26" ht="12.75">
      <c r="A902" s="11">
        <v>43746.640092592592</v>
      </c>
      <c r="B902" s="12" t="str">
        <f>HYPERLINK("https://twitter.com/QaasemElfare7","@QaasemElfare7")</f>
        <v>@QaasemElfare7</v>
      </c>
      <c r="C902" s="13" t="s">
        <v>5091</v>
      </c>
      <c r="D902" s="13" t="s">
        <v>4342</v>
      </c>
      <c r="E902" s="12" t="str">
        <f>HYPERLINK("https://twitter.com/QaasemElfare7/status/1181696202846420992","1181696202846420992")</f>
        <v>1181696202846420992</v>
      </c>
      <c r="F902" s="8"/>
      <c r="G902" s="14" t="s">
        <v>5092</v>
      </c>
      <c r="H902" s="8"/>
      <c r="I902" s="15">
        <v>0</v>
      </c>
      <c r="J902" s="15">
        <v>0</v>
      </c>
      <c r="K902" s="12" t="str">
        <f>HYPERLINK("http://twitter.com","Twitter Web Client")</f>
        <v>Twitter Web Client</v>
      </c>
      <c r="L902" s="16">
        <v>66</v>
      </c>
      <c r="M902" s="16">
        <v>34</v>
      </c>
      <c r="N902" s="16">
        <v>0</v>
      </c>
      <c r="O902" s="17"/>
      <c r="P902" s="18">
        <v>42022.744872685187</v>
      </c>
      <c r="Q902" s="8"/>
      <c r="R902" s="8"/>
      <c r="S902" s="8"/>
      <c r="T902" s="8"/>
      <c r="U902" s="19" t="str">
        <f>HYPERLINK("https://pbs.twimg.com/profile_images/556992804920905728/8rZIJYla.jpeg","View")</f>
        <v>View</v>
      </c>
      <c r="V902" s="8"/>
      <c r="W902" s="8"/>
      <c r="X902" s="8"/>
      <c r="Y902" s="8"/>
      <c r="Z902" s="8"/>
    </row>
    <row r="903" spans="1:26" ht="12.75">
      <c r="A903" s="11">
        <v>43746.63962962963</v>
      </c>
      <c r="B903" s="12" t="str">
        <f>HYPERLINK("https://twitter.com/ChahineJihaad","@ChahineJihaad")</f>
        <v>@ChahineJihaad</v>
      </c>
      <c r="C903" s="13" t="s">
        <v>5096</v>
      </c>
      <c r="D903" s="7" t="s">
        <v>28</v>
      </c>
      <c r="E903" s="12" t="str">
        <f>HYPERLINK("https://twitter.com/ChahineJihaad/status/1181696037863297024","1181696037863297024")</f>
        <v>1181696037863297024</v>
      </c>
      <c r="F903" s="8"/>
      <c r="G903" s="14" t="s">
        <v>1267</v>
      </c>
      <c r="H903" s="8"/>
      <c r="I903" s="15">
        <v>0</v>
      </c>
      <c r="J903" s="15">
        <v>0</v>
      </c>
      <c r="K903" s="12" t="str">
        <f>HYPERLINK("https://mobile.twitter.com","Twitter Web App")</f>
        <v>Twitter Web App</v>
      </c>
      <c r="L903" s="16">
        <v>1</v>
      </c>
      <c r="M903" s="16">
        <v>1</v>
      </c>
      <c r="N903" s="16">
        <v>0</v>
      </c>
      <c r="O903" s="17"/>
      <c r="P903" s="18">
        <v>43740.943842592591</v>
      </c>
      <c r="Q903" s="8" t="s">
        <v>4714</v>
      </c>
      <c r="R903" s="8" t="s">
        <v>925</v>
      </c>
      <c r="S903" s="8"/>
      <c r="T903" s="8"/>
      <c r="U903" s="19" t="str">
        <f>HYPERLINK("https://pbs.twimg.com/profile_images/1181695804307673088/WdAYqykf.jpg","View")</f>
        <v>View</v>
      </c>
      <c r="V903" s="8"/>
      <c r="W903" s="8"/>
      <c r="X903" s="8"/>
      <c r="Y903" s="8"/>
      <c r="Z903" s="8"/>
    </row>
    <row r="904" spans="1:26" ht="12.75">
      <c r="A904" s="11">
        <v>43746.639282407406</v>
      </c>
      <c r="B904" s="12" t="str">
        <f>HYPERLINK("https://twitter.com/hababshammari","@hababshammari")</f>
        <v>@hababshammari</v>
      </c>
      <c r="C904" s="13" t="s">
        <v>5101</v>
      </c>
      <c r="D904" s="13" t="s">
        <v>4362</v>
      </c>
      <c r="E904" s="12" t="str">
        <f>HYPERLINK("https://twitter.com/hababshammari/status/1181695909312258048","1181695909312258048")</f>
        <v>1181695909312258048</v>
      </c>
      <c r="F904" s="8"/>
      <c r="G904" s="14" t="s">
        <v>5102</v>
      </c>
      <c r="H904" s="8"/>
      <c r="I904" s="15">
        <v>0</v>
      </c>
      <c r="J904" s="15">
        <v>0</v>
      </c>
      <c r="K904" s="12" t="str">
        <f>HYPERLINK("http://twitter.com","Twitter Web Client")</f>
        <v>Twitter Web Client</v>
      </c>
      <c r="L904" s="16">
        <v>0</v>
      </c>
      <c r="M904" s="16">
        <v>36</v>
      </c>
      <c r="N904" s="16">
        <v>0</v>
      </c>
      <c r="O904" s="17"/>
      <c r="P904" s="18">
        <v>42069.062002314815</v>
      </c>
      <c r="Q904" s="8"/>
      <c r="R904" s="8"/>
      <c r="S904" s="8"/>
      <c r="T904" s="8"/>
      <c r="U904" s="19" t="str">
        <f>HYPERLINK("https://pbs.twimg.com/profile_images/573777580307824640/2sjm7czd.jpeg","View")</f>
        <v>View</v>
      </c>
      <c r="V904" s="8"/>
      <c r="W904" s="8"/>
      <c r="X904" s="8"/>
      <c r="Y904" s="8"/>
      <c r="Z904" s="8"/>
    </row>
    <row r="905" spans="1:26" ht="12.75">
      <c r="A905" s="11">
        <v>43746.638472222221</v>
      </c>
      <c r="B905" s="12" t="str">
        <f>HYPERLINK("https://twitter.com/AbdullahoGhamdi","@AbdullahoGhamdi")</f>
        <v>@AbdullahoGhamdi</v>
      </c>
      <c r="C905" s="13" t="s">
        <v>5103</v>
      </c>
      <c r="D905" s="7" t="s">
        <v>4376</v>
      </c>
      <c r="E905" s="12" t="str">
        <f>HYPERLINK("https://twitter.com/AbdullahoGhamdi/status/1181695614859526145","1181695614859526145")</f>
        <v>1181695614859526145</v>
      </c>
      <c r="F905" s="8"/>
      <c r="G905" s="14" t="s">
        <v>5106</v>
      </c>
      <c r="H905" s="8"/>
      <c r="I905" s="15">
        <v>0</v>
      </c>
      <c r="J905" s="15">
        <v>0</v>
      </c>
      <c r="K905" s="12" t="str">
        <f>HYPERLINK("http://twitter.com","Twitter Web Client")</f>
        <v>Twitter Web Client</v>
      </c>
      <c r="L905" s="16">
        <v>2</v>
      </c>
      <c r="M905" s="16">
        <v>36</v>
      </c>
      <c r="N905" s="16">
        <v>0</v>
      </c>
      <c r="O905" s="17"/>
      <c r="P905" s="18">
        <v>42021.646562499998</v>
      </c>
      <c r="Q905" s="8"/>
      <c r="R905" s="8"/>
      <c r="S905" s="8"/>
      <c r="T905" s="8"/>
      <c r="U905" s="19" t="str">
        <f>HYPERLINK("https://pbs.twimg.com/profile_images/556595379546759168/AbSFN-7k.jpeg","View")</f>
        <v>View</v>
      </c>
      <c r="V905" s="8"/>
      <c r="W905" s="8"/>
      <c r="X905" s="8"/>
      <c r="Y905" s="8"/>
      <c r="Z905" s="8"/>
    </row>
    <row r="906" spans="1:26" ht="12.75">
      <c r="A906" s="11">
        <v>43746.638391203705</v>
      </c>
      <c r="B906" s="12" t="str">
        <f>HYPERLINK("https://twitter.com/abuhilalah","@abuhilalah")</f>
        <v>@abuhilalah</v>
      </c>
      <c r="C906" s="13" t="s">
        <v>5112</v>
      </c>
      <c r="D906" s="7" t="s">
        <v>5010</v>
      </c>
      <c r="E906" s="12" t="str">
        <f>HYPERLINK("https://twitter.com/abuhilalah/status/1181695587160338437","1181695587160338437")</f>
        <v>1181695587160338437</v>
      </c>
      <c r="F906" s="8"/>
      <c r="G906" s="15"/>
      <c r="H906" s="8"/>
      <c r="I906" s="15">
        <v>87</v>
      </c>
      <c r="J906" s="15">
        <v>144</v>
      </c>
      <c r="K906" s="12" t="str">
        <f>HYPERLINK("http://twitter.com/download/iphone","Twitter for iPhone")</f>
        <v>Twitter for iPhone</v>
      </c>
      <c r="L906" s="16">
        <v>353980</v>
      </c>
      <c r="M906" s="16">
        <v>1855</v>
      </c>
      <c r="N906" s="16">
        <v>636</v>
      </c>
      <c r="O906" s="17" t="s">
        <v>984</v>
      </c>
      <c r="P906" s="18">
        <v>40573.087604166663</v>
      </c>
      <c r="Q906" s="8" t="s">
        <v>5116</v>
      </c>
      <c r="R906" s="8" t="s">
        <v>5117</v>
      </c>
      <c r="S906" s="8"/>
      <c r="T906" s="8"/>
      <c r="U906" s="19" t="str">
        <f>HYPERLINK("https://pbs.twimg.com/profile_images/732288340549095426/DqC4A6ax.jpg","View")</f>
        <v>View</v>
      </c>
      <c r="V906" s="8"/>
      <c r="W906" s="8"/>
      <c r="X906" s="8"/>
      <c r="Y906" s="8"/>
      <c r="Z906" s="8"/>
    </row>
    <row r="907" spans="1:26" ht="12.75">
      <c r="A907" s="11">
        <v>43746.635358796295</v>
      </c>
      <c r="B907" s="12" t="str">
        <f>HYPERLINK("https://twitter.com/alma7yasanui","@alma7yasanui")</f>
        <v>@alma7yasanui</v>
      </c>
      <c r="C907" s="13" t="s">
        <v>5120</v>
      </c>
      <c r="D907" s="13" t="s">
        <v>370</v>
      </c>
      <c r="E907" s="12" t="str">
        <f>HYPERLINK("https://twitter.com/alma7yasanui/status/1181694488139505664","1181694488139505664")</f>
        <v>1181694488139505664</v>
      </c>
      <c r="F907" s="8"/>
      <c r="G907" s="14" t="s">
        <v>5121</v>
      </c>
      <c r="H907" s="8"/>
      <c r="I907" s="15">
        <v>0</v>
      </c>
      <c r="J907" s="15">
        <v>0</v>
      </c>
      <c r="K907" s="12" t="str">
        <f>HYPERLINK("http://twitter.com","Twitter Web Client")</f>
        <v>Twitter Web Client</v>
      </c>
      <c r="L907" s="16">
        <v>24</v>
      </c>
      <c r="M907" s="16">
        <v>33</v>
      </c>
      <c r="N907" s="16">
        <v>0</v>
      </c>
      <c r="O907" s="17"/>
      <c r="P907" s="18">
        <v>42075.354895833334</v>
      </c>
      <c r="Q907" s="7"/>
      <c r="R907" s="13"/>
      <c r="S907" s="8"/>
      <c r="T907" s="8"/>
      <c r="U907" s="19" t="str">
        <f>HYPERLINK("https://pbs.twimg.com/profile_images/576042926200868865/2tG9uOAV.jpeg","View")</f>
        <v>View</v>
      </c>
      <c r="V907" s="8"/>
      <c r="W907" s="8"/>
      <c r="X907" s="8"/>
      <c r="Y907" s="8"/>
      <c r="Z907" s="8"/>
    </row>
    <row r="908" spans="1:26" ht="12.75">
      <c r="A908" s="11">
        <v>43746.633564814816</v>
      </c>
      <c r="B908" s="12" t="str">
        <f>HYPERLINK("https://twitter.com/alsabaya3e55","@alsabaya3e55")</f>
        <v>@alsabaya3e55</v>
      </c>
      <c r="C908" s="13" t="s">
        <v>5129</v>
      </c>
      <c r="D908" s="13" t="s">
        <v>5130</v>
      </c>
      <c r="E908" s="12" t="str">
        <f>HYPERLINK("https://twitter.com/alsabaya3e55/status/1181693836545986560","1181693836545986560")</f>
        <v>1181693836545986560</v>
      </c>
      <c r="F908" s="8"/>
      <c r="G908" s="14" t="s">
        <v>5132</v>
      </c>
      <c r="H908" s="8"/>
      <c r="I908" s="15">
        <v>0</v>
      </c>
      <c r="J908" s="15">
        <v>0</v>
      </c>
      <c r="K908" s="12" t="str">
        <f>HYPERLINK("http://twitter.com","Twitter Web Client")</f>
        <v>Twitter Web Client</v>
      </c>
      <c r="L908" s="16">
        <v>6</v>
      </c>
      <c r="M908" s="16">
        <v>36</v>
      </c>
      <c r="N908" s="16">
        <v>0</v>
      </c>
      <c r="O908" s="17"/>
      <c r="P908" s="18">
        <v>42079.726643518516</v>
      </c>
      <c r="Q908" s="8"/>
      <c r="R908" s="8"/>
      <c r="S908" s="8"/>
      <c r="T908" s="8"/>
      <c r="U908" s="19" t="str">
        <f>HYPERLINK("https://pbs.twimg.com/profile_images/577627297915654144/MU1Pal8v.jpeg","View")</f>
        <v>View</v>
      </c>
      <c r="V908" s="8"/>
      <c r="W908" s="8"/>
      <c r="X908" s="8"/>
      <c r="Y908" s="8"/>
      <c r="Z908" s="8"/>
    </row>
    <row r="909" spans="1:26" ht="12.75">
      <c r="A909" s="11">
        <v>43746.631863425922</v>
      </c>
      <c r="B909" s="12" t="str">
        <f>HYPERLINK("https://twitter.com/al_nizaam","@al_nizaam")</f>
        <v>@al_nizaam</v>
      </c>
      <c r="C909" s="13" t="s">
        <v>5139</v>
      </c>
      <c r="D909" s="13" t="s">
        <v>28</v>
      </c>
      <c r="E909" s="12" t="str">
        <f>HYPERLINK("https://twitter.com/al_nizaam/status/1181693222474534912","1181693222474534912")</f>
        <v>1181693222474534912</v>
      </c>
      <c r="F909" s="8"/>
      <c r="G909" s="14" t="s">
        <v>31</v>
      </c>
      <c r="H909" s="8"/>
      <c r="I909" s="15">
        <v>0</v>
      </c>
      <c r="J909" s="15">
        <v>0</v>
      </c>
      <c r="K909" s="12" t="str">
        <f>HYPERLINK("https://mobile.twitter.com","Twitter Web App")</f>
        <v>Twitter Web App</v>
      </c>
      <c r="L909" s="16">
        <v>1</v>
      </c>
      <c r="M909" s="16">
        <v>1</v>
      </c>
      <c r="N909" s="16">
        <v>0</v>
      </c>
      <c r="O909" s="17"/>
      <c r="P909" s="18">
        <v>43740.949490740742</v>
      </c>
      <c r="Q909" s="8" t="s">
        <v>4714</v>
      </c>
      <c r="R909" s="8" t="s">
        <v>1135</v>
      </c>
      <c r="S909" s="8"/>
      <c r="T909" s="8"/>
      <c r="U909" s="19" t="str">
        <f>HYPERLINK("https://pbs.twimg.com/profile_images/1181692856387268608/ZpUzCY3_.jpg","View")</f>
        <v>View</v>
      </c>
      <c r="V909" s="8"/>
      <c r="W909" s="8"/>
      <c r="X909" s="8"/>
      <c r="Y909" s="8"/>
      <c r="Z909" s="8"/>
    </row>
    <row r="910" spans="1:26" ht="12.75">
      <c r="A910" s="11">
        <v>43746.631747685184</v>
      </c>
      <c r="B910" s="12" t="str">
        <f>HYPERLINK("https://twitter.com/WaseemJama","@WaseemJama")</f>
        <v>@WaseemJama</v>
      </c>
      <c r="C910" s="13" t="s">
        <v>5141</v>
      </c>
      <c r="D910" s="13" t="s">
        <v>937</v>
      </c>
      <c r="E910" s="12" t="str">
        <f>HYPERLINK("https://twitter.com/WaseemJama/status/1181693180183367680","1181693180183367680")</f>
        <v>1181693180183367680</v>
      </c>
      <c r="F910" s="8"/>
      <c r="G910" s="14" t="s">
        <v>5142</v>
      </c>
      <c r="H910" s="8"/>
      <c r="I910" s="15">
        <v>0</v>
      </c>
      <c r="J910" s="15">
        <v>0</v>
      </c>
      <c r="K910" s="12" t="str">
        <f>HYPERLINK("https://mobile.twitter.com","Twitter Web App")</f>
        <v>Twitter Web App</v>
      </c>
      <c r="L910" s="16">
        <v>0</v>
      </c>
      <c r="M910" s="16">
        <v>0</v>
      </c>
      <c r="N910" s="16">
        <v>0</v>
      </c>
      <c r="O910" s="17"/>
      <c r="P910" s="18">
        <v>43740.966469907406</v>
      </c>
      <c r="Q910" s="8" t="s">
        <v>1587</v>
      </c>
      <c r="R910" s="8" t="s">
        <v>1075</v>
      </c>
      <c r="S910" s="8"/>
      <c r="T910" s="8"/>
      <c r="U910" s="19" t="str">
        <f>HYPERLINK("https://pbs.twimg.com/profile_images/1181691742908641280/VPlRQXp_.jpg","View")</f>
        <v>View</v>
      </c>
      <c r="V910" s="8"/>
      <c r="W910" s="8"/>
      <c r="X910" s="8"/>
      <c r="Y910" s="8"/>
      <c r="Z910" s="8"/>
    </row>
    <row r="911" spans="1:26" ht="12.75">
      <c r="A911" s="11">
        <v>43746.631597222222</v>
      </c>
      <c r="B911" s="12" t="str">
        <f>HYPERLINK("https://twitter.com/SaidOzuhairi","@SaidOzuhairi")</f>
        <v>@SaidOzuhairi</v>
      </c>
      <c r="C911" s="13" t="s">
        <v>5147</v>
      </c>
      <c r="D911" s="13" t="s">
        <v>385</v>
      </c>
      <c r="E911" s="12" t="str">
        <f>HYPERLINK("https://twitter.com/SaidOzuhairi/status/1181693126437720065","1181693126437720065")</f>
        <v>1181693126437720065</v>
      </c>
      <c r="F911" s="8"/>
      <c r="G911" s="14" t="s">
        <v>5148</v>
      </c>
      <c r="H911" s="8"/>
      <c r="I911" s="15">
        <v>0</v>
      </c>
      <c r="J911" s="15">
        <v>0</v>
      </c>
      <c r="K911" s="12" t="str">
        <f>HYPERLINK("http://twitter.com","Twitter Web Client")</f>
        <v>Twitter Web Client</v>
      </c>
      <c r="L911" s="16">
        <v>0</v>
      </c>
      <c r="M911" s="16">
        <v>43</v>
      </c>
      <c r="N911" s="16">
        <v>0</v>
      </c>
      <c r="O911" s="17"/>
      <c r="P911" s="18">
        <v>42073.819120370375</v>
      </c>
      <c r="Q911" s="8"/>
      <c r="R911" s="8"/>
      <c r="S911" s="8"/>
      <c r="T911" s="8"/>
      <c r="U911" s="19" t="str">
        <f>HYPERLINK("https://pbs.twimg.com/profile_images/575486874287919104/rpjItkh0.jpeg","View")</f>
        <v>View</v>
      </c>
      <c r="V911" s="8"/>
      <c r="W911" s="8"/>
      <c r="X911" s="8"/>
      <c r="Y911" s="8"/>
      <c r="Z911" s="8"/>
    </row>
    <row r="912" spans="1:26" ht="12.75">
      <c r="A912" s="11">
        <v>43746.631435185191</v>
      </c>
      <c r="B912" s="12" t="str">
        <f>HYPERLINK("https://twitter.com/coolebejadqahta","@coolebejadqahta")</f>
        <v>@coolebejadqahta</v>
      </c>
      <c r="C912" s="13" t="s">
        <v>5151</v>
      </c>
      <c r="D912" s="13" t="s">
        <v>5153</v>
      </c>
      <c r="E912" s="12" t="str">
        <f>HYPERLINK("https://twitter.com/coolebejadqahta/status/1181693067616800770","1181693067616800770")</f>
        <v>1181693067616800770</v>
      </c>
      <c r="F912" s="8"/>
      <c r="G912" s="14" t="s">
        <v>5154</v>
      </c>
      <c r="H912" s="8"/>
      <c r="I912" s="15">
        <v>0</v>
      </c>
      <c r="J912" s="15">
        <v>0</v>
      </c>
      <c r="K912" s="12" t="str">
        <f>HYPERLINK("http://twitter.com","Twitter Web Client")</f>
        <v>Twitter Web Client</v>
      </c>
      <c r="L912" s="16">
        <v>0</v>
      </c>
      <c r="M912" s="16">
        <v>25</v>
      </c>
      <c r="N912" s="16">
        <v>0</v>
      </c>
      <c r="O912" s="17"/>
      <c r="P912" s="18">
        <v>41848.258553240739</v>
      </c>
      <c r="Q912" s="8"/>
      <c r="R912" s="8"/>
      <c r="S912" s="8"/>
      <c r="T912" s="8"/>
      <c r="U912" s="19" t="str">
        <f>HYPERLINK("https://pbs.twimg.com/profile_images/493750757259083776/FJCE8_MK.jpeg","View")</f>
        <v>View</v>
      </c>
      <c r="V912" s="8"/>
      <c r="W912" s="8"/>
      <c r="X912" s="8"/>
      <c r="Y912" s="8"/>
      <c r="Z912" s="8"/>
    </row>
    <row r="913" spans="1:26" ht="12.75">
      <c r="A913" s="11">
        <v>43746.629328703704</v>
      </c>
      <c r="B913" s="12" t="str">
        <f>HYPERLINK("https://twitter.com/alrashede4444","@alrashede4444")</f>
        <v>@alrashede4444</v>
      </c>
      <c r="C913" s="7" t="s">
        <v>5157</v>
      </c>
      <c r="D913" s="7" t="s">
        <v>388</v>
      </c>
      <c r="E913" s="12" t="str">
        <f>HYPERLINK("https://twitter.com/alrashede4444/status/1181692302529634311","1181692302529634311")</f>
        <v>1181692302529634311</v>
      </c>
      <c r="F913" s="8"/>
      <c r="G913" s="14" t="s">
        <v>5160</v>
      </c>
      <c r="H913" s="8"/>
      <c r="I913" s="15">
        <v>0</v>
      </c>
      <c r="J913" s="15">
        <v>0</v>
      </c>
      <c r="K913" s="12" t="str">
        <f>HYPERLINK("http://twitter.com","Twitter Web Client")</f>
        <v>Twitter Web Client</v>
      </c>
      <c r="L913" s="16">
        <v>5</v>
      </c>
      <c r="M913" s="16">
        <v>38</v>
      </c>
      <c r="N913" s="16">
        <v>0</v>
      </c>
      <c r="O913" s="17"/>
      <c r="P913" s="18">
        <v>42074.59946759259</v>
      </c>
      <c r="Q913" s="7"/>
      <c r="R913" s="13"/>
      <c r="S913" s="8"/>
      <c r="T913" s="8"/>
      <c r="U913" s="19" t="str">
        <f>HYPERLINK("https://pbs.twimg.com/profile_images/575769302277562368/Jsu0TF8a.jpeg","View")</f>
        <v>View</v>
      </c>
      <c r="V913" s="8"/>
      <c r="W913" s="8"/>
      <c r="X913" s="8"/>
      <c r="Y913" s="8"/>
      <c r="Z913" s="8"/>
    </row>
    <row r="914" spans="1:26" ht="12.75">
      <c r="A914" s="11">
        <v>43746.629004629634</v>
      </c>
      <c r="B914" s="12" t="str">
        <f>HYPERLINK("https://twitter.com/Ahlawe_Anna","@Ahlawe_Anna")</f>
        <v>@Ahlawe_Anna</v>
      </c>
      <c r="C914" s="13" t="s">
        <v>5163</v>
      </c>
      <c r="D914" s="13" t="s">
        <v>4455</v>
      </c>
      <c r="E914" s="12" t="str">
        <f>HYPERLINK("https://twitter.com/Ahlawe_Anna/status/1181692186947198977","1181692186947198977")</f>
        <v>1181692186947198977</v>
      </c>
      <c r="F914" s="8"/>
      <c r="G914" s="14" t="s">
        <v>5164</v>
      </c>
      <c r="H914" s="8"/>
      <c r="I914" s="15">
        <v>0</v>
      </c>
      <c r="J914" s="15">
        <v>0</v>
      </c>
      <c r="K914" s="12" t="str">
        <f>HYPERLINK("http://twitter.com","Twitter Web Client")</f>
        <v>Twitter Web Client</v>
      </c>
      <c r="L914" s="16">
        <v>13</v>
      </c>
      <c r="M914" s="16">
        <v>60</v>
      </c>
      <c r="N914" s="16">
        <v>0</v>
      </c>
      <c r="O914" s="17"/>
      <c r="P914" s="18">
        <v>41481.801562499997</v>
      </c>
      <c r="Q914" s="8"/>
      <c r="R914" s="8" t="s">
        <v>5166</v>
      </c>
      <c r="S914" s="8"/>
      <c r="T914" s="8"/>
      <c r="U914" s="19" t="str">
        <f>HYPERLINK("https://pbs.twimg.com/profile_images/825045447379148800/lm-QN_Ph.jpg","View")</f>
        <v>View</v>
      </c>
      <c r="V914" s="8"/>
      <c r="W914" s="8"/>
      <c r="X914" s="8"/>
      <c r="Y914" s="8"/>
      <c r="Z914" s="8"/>
    </row>
    <row r="915" spans="1:26" ht="12.75">
      <c r="A915" s="11">
        <v>43746.628842592589</v>
      </c>
      <c r="B915" s="12" t="str">
        <f>HYPERLINK("https://twitter.com/shakerraslan1","@shakerraslan1")</f>
        <v>@shakerraslan1</v>
      </c>
      <c r="C915" s="13" t="s">
        <v>5167</v>
      </c>
      <c r="D915" s="7" t="s">
        <v>5168</v>
      </c>
      <c r="E915" s="12" t="str">
        <f>HYPERLINK("https://twitter.com/shakerraslan1/status/1181692127413182467","1181692127413182467")</f>
        <v>1181692127413182467</v>
      </c>
      <c r="F915" s="8"/>
      <c r="G915" s="14" t="s">
        <v>5169</v>
      </c>
      <c r="H915" s="8"/>
      <c r="I915" s="15">
        <v>0</v>
      </c>
      <c r="J915" s="15">
        <v>0</v>
      </c>
      <c r="K915" s="12" t="str">
        <f>HYPERLINK("http://twitter.com","Twitter Web Client")</f>
        <v>Twitter Web Client</v>
      </c>
      <c r="L915" s="16">
        <v>0</v>
      </c>
      <c r="M915" s="16">
        <v>30</v>
      </c>
      <c r="N915" s="16">
        <v>0</v>
      </c>
      <c r="O915" s="17"/>
      <c r="P915" s="18">
        <v>41823.365081018521</v>
      </c>
      <c r="Q915" s="7"/>
      <c r="R915" s="13"/>
      <c r="S915" s="8"/>
      <c r="T915" s="8"/>
      <c r="U915" s="19" t="str">
        <f>HYPERLINK("https://pbs.twimg.com/profile_images/484724867145555968/PufbLxtl.jpeg","View")</f>
        <v>View</v>
      </c>
      <c r="V915" s="8"/>
      <c r="W915" s="8"/>
      <c r="X915" s="8"/>
      <c r="Y915" s="8"/>
      <c r="Z915" s="8"/>
    </row>
    <row r="916" spans="1:26" ht="12.75">
      <c r="A916" s="11">
        <v>43746.628680555557</v>
      </c>
      <c r="B916" s="12" t="str">
        <f>HYPERLINK("https://twitter.com/naimdafey","@naimdafey")</f>
        <v>@naimdafey</v>
      </c>
      <c r="C916" s="7" t="s">
        <v>5173</v>
      </c>
      <c r="D916" s="7" t="s">
        <v>394</v>
      </c>
      <c r="E916" s="12" t="str">
        <f>HYPERLINK("https://twitter.com/naimdafey/status/1181692069179531265","1181692069179531265")</f>
        <v>1181692069179531265</v>
      </c>
      <c r="F916" s="8"/>
      <c r="G916" s="14" t="s">
        <v>5174</v>
      </c>
      <c r="H916" s="8"/>
      <c r="I916" s="15">
        <v>0</v>
      </c>
      <c r="J916" s="15">
        <v>0</v>
      </c>
      <c r="K916" s="12" t="str">
        <f>HYPERLINK("http://twitter.com","Twitter Web Client")</f>
        <v>Twitter Web Client</v>
      </c>
      <c r="L916" s="16">
        <v>0</v>
      </c>
      <c r="M916" s="16">
        <v>36</v>
      </c>
      <c r="N916" s="16">
        <v>0</v>
      </c>
      <c r="O916" s="17"/>
      <c r="P916" s="18">
        <v>42069.486608796295</v>
      </c>
      <c r="Q916" s="7"/>
      <c r="R916" s="13"/>
      <c r="S916" s="8"/>
      <c r="T916" s="8"/>
      <c r="U916" s="19" t="str">
        <f>HYPERLINK("https://pbs.twimg.com/profile_images/573931485591306241/f--9jtbZ.jpeg","View")</f>
        <v>View</v>
      </c>
      <c r="V916" s="8"/>
      <c r="W916" s="8"/>
      <c r="X916" s="8"/>
      <c r="Y916" s="8"/>
      <c r="Z916" s="8"/>
    </row>
    <row r="917" spans="1:26" ht="12.75">
      <c r="A917" s="11">
        <v>43746.628518518519</v>
      </c>
      <c r="B917" s="12" t="str">
        <f>HYPERLINK("https://twitter.com/mohammedelm7ar1","@mohammedelm7ar1")</f>
        <v>@mohammedelm7ar1</v>
      </c>
      <c r="C917" s="13" t="s">
        <v>5175</v>
      </c>
      <c r="D917" s="7" t="s">
        <v>5177</v>
      </c>
      <c r="E917" s="12" t="str">
        <f>HYPERLINK("https://twitter.com/mohammedelm7ar1/status/1181692010106949632","1181692010106949632")</f>
        <v>1181692010106949632</v>
      </c>
      <c r="F917" s="8"/>
      <c r="G917" s="14" t="s">
        <v>5179</v>
      </c>
      <c r="H917" s="8"/>
      <c r="I917" s="15">
        <v>0</v>
      </c>
      <c r="J917" s="15">
        <v>0</v>
      </c>
      <c r="K917" s="12" t="str">
        <f>HYPERLINK("http://twitter.com","Twitter Web Client")</f>
        <v>Twitter Web Client</v>
      </c>
      <c r="L917" s="16">
        <v>0</v>
      </c>
      <c r="M917" s="16">
        <v>36</v>
      </c>
      <c r="N917" s="16">
        <v>0</v>
      </c>
      <c r="O917" s="17"/>
      <c r="P917" s="18">
        <v>42267.109722222223</v>
      </c>
      <c r="Q917" s="7"/>
      <c r="R917" s="7"/>
      <c r="S917" s="8"/>
      <c r="T917" s="8"/>
      <c r="U917" s="19" t="str">
        <f>HYPERLINK("https://pbs.twimg.com/profile_images/645587900915027968/_qm32sb9.jpg","View")</f>
        <v>View</v>
      </c>
      <c r="V917" s="8"/>
      <c r="W917" s="8"/>
      <c r="X917" s="8"/>
      <c r="Y917" s="8"/>
      <c r="Z917" s="8"/>
    </row>
    <row r="918" spans="1:26" ht="12.75">
      <c r="A918" s="11">
        <v>43746.627152777779</v>
      </c>
      <c r="B918" s="12" t="str">
        <f>HYPERLINK("https://twitter.com/sabit_akrahman7","@sabit_akrahman7")</f>
        <v>@sabit_akrahman7</v>
      </c>
      <c r="C918" s="13" t="s">
        <v>4986</v>
      </c>
      <c r="D918" s="13" t="s">
        <v>952</v>
      </c>
      <c r="E918" s="12" t="str">
        <f>HYPERLINK("https://twitter.com/sabit_akrahman7/status/1181691514688331781","1181691514688331781")</f>
        <v>1181691514688331781</v>
      </c>
      <c r="F918" s="8"/>
      <c r="G918" s="14" t="s">
        <v>5184</v>
      </c>
      <c r="H918" s="8"/>
      <c r="I918" s="15">
        <v>0</v>
      </c>
      <c r="J918" s="15">
        <v>0</v>
      </c>
      <c r="K918" s="12" t="str">
        <f>HYPERLINK("https://mobile.twitter.com","Twitter Web App")</f>
        <v>Twitter Web App</v>
      </c>
      <c r="L918" s="16">
        <v>1</v>
      </c>
      <c r="M918" s="16">
        <v>5</v>
      </c>
      <c r="N918" s="16">
        <v>0</v>
      </c>
      <c r="O918" s="17"/>
      <c r="P918" s="18">
        <v>41435.941516203704</v>
      </c>
      <c r="Q918" s="8"/>
      <c r="R918" s="8"/>
      <c r="S918" s="8"/>
      <c r="T918" s="8"/>
      <c r="U918" s="19" t="str">
        <f>HYPERLINK("https://pbs.twimg.com/profile_images/920242016071512064/XnlrFmuY.jpg","View")</f>
        <v>View</v>
      </c>
      <c r="V918" s="8"/>
      <c r="W918" s="8"/>
      <c r="X918" s="8"/>
      <c r="Y918" s="8"/>
      <c r="Z918" s="8"/>
    </row>
    <row r="919" spans="1:26" ht="12.75">
      <c r="A919" s="11">
        <v>43746.627106481479</v>
      </c>
      <c r="B919" s="12" t="str">
        <f>HYPERLINK("https://twitter.com/AmandaSokal","@AmandaSokal")</f>
        <v>@AmandaSokal</v>
      </c>
      <c r="C919" s="13" t="s">
        <v>5190</v>
      </c>
      <c r="D919" s="13" t="s">
        <v>5191</v>
      </c>
      <c r="E919" s="12" t="str">
        <f>HYPERLINK("https://twitter.com/AmandaSokal/status/1181691498695249923","1181691498695249923")</f>
        <v>1181691498695249923</v>
      </c>
      <c r="F919" s="8"/>
      <c r="G919" s="15"/>
      <c r="H919" s="8"/>
      <c r="I919" s="15">
        <v>0</v>
      </c>
      <c r="J919" s="15">
        <v>0</v>
      </c>
      <c r="K919" s="12" t="str">
        <f>HYPERLINK("http://twitter.com/download/iphone","Twitter for iPhone")</f>
        <v>Twitter for iPhone</v>
      </c>
      <c r="L919" s="16">
        <v>219</v>
      </c>
      <c r="M919" s="16">
        <v>305</v>
      </c>
      <c r="N919" s="16">
        <v>6</v>
      </c>
      <c r="O919" s="17"/>
      <c r="P919" s="18">
        <v>40745.526180555556</v>
      </c>
      <c r="Q919" s="8" t="s">
        <v>5194</v>
      </c>
      <c r="R919" s="8" t="s">
        <v>5195</v>
      </c>
      <c r="S919" s="8"/>
      <c r="T919" s="8"/>
      <c r="U919" s="19" t="str">
        <f>HYPERLINK("https://pbs.twimg.com/profile_images/1111407665647751169/IARlHOPs.jpg","View")</f>
        <v>View</v>
      </c>
      <c r="V919" s="8"/>
      <c r="W919" s="8"/>
      <c r="X919" s="8"/>
      <c r="Y919" s="8"/>
      <c r="Z919" s="8"/>
    </row>
    <row r="920" spans="1:26" ht="12.75">
      <c r="A920" s="11">
        <v>43746.626875000002</v>
      </c>
      <c r="B920" s="12" t="str">
        <f>HYPERLINK("https://twitter.com/alabdellat44","@alabdellat44")</f>
        <v>@alabdellat44</v>
      </c>
      <c r="C920" s="13" t="s">
        <v>5196</v>
      </c>
      <c r="D920" s="13" t="s">
        <v>5197</v>
      </c>
      <c r="E920" s="12" t="str">
        <f>HYPERLINK("https://twitter.com/alabdellat44/status/1181691415644004353","1181691415644004353")</f>
        <v>1181691415644004353</v>
      </c>
      <c r="F920" s="8"/>
      <c r="G920" s="14" t="s">
        <v>5200</v>
      </c>
      <c r="H920" s="8"/>
      <c r="I920" s="15">
        <v>0</v>
      </c>
      <c r="J920" s="15">
        <v>0</v>
      </c>
      <c r="K920" s="12" t="str">
        <f>HYPERLINK("http://twitter.com","Twitter Web Client")</f>
        <v>Twitter Web Client</v>
      </c>
      <c r="L920" s="16">
        <v>9</v>
      </c>
      <c r="M920" s="16">
        <v>50</v>
      </c>
      <c r="N920" s="16">
        <v>0</v>
      </c>
      <c r="O920" s="17"/>
      <c r="P920" s="18">
        <v>42072.67114583333</v>
      </c>
      <c r="Q920" s="8"/>
      <c r="R920" s="8"/>
      <c r="S920" s="8"/>
      <c r="T920" s="8"/>
      <c r="U920" s="19" t="str">
        <f>HYPERLINK("https://pbs.twimg.com/profile_images/575070417422938112/u2SAse90.jpeg","View")</f>
        <v>View</v>
      </c>
      <c r="V920" s="8"/>
      <c r="W920" s="8"/>
      <c r="X920" s="8"/>
      <c r="Y920" s="8"/>
      <c r="Z920" s="8"/>
    </row>
    <row r="921" spans="1:26" ht="12.75">
      <c r="A921" s="11">
        <v>43746.62672453704</v>
      </c>
      <c r="B921" s="12" t="str">
        <f>HYPERLINK("https://twitter.com/tallal_el3nzee","@tallal_el3nzee")</f>
        <v>@tallal_el3nzee</v>
      </c>
      <c r="C921" s="7" t="s">
        <v>5204</v>
      </c>
      <c r="D921" s="7" t="s">
        <v>4466</v>
      </c>
      <c r="E921" s="12" t="str">
        <f>HYPERLINK("https://twitter.com/tallal_el3nzee/status/1181691357901004806","1181691357901004806")</f>
        <v>1181691357901004806</v>
      </c>
      <c r="F921" s="8"/>
      <c r="G921" s="14" t="s">
        <v>5207</v>
      </c>
      <c r="H921" s="8"/>
      <c r="I921" s="15">
        <v>0</v>
      </c>
      <c r="J921" s="15">
        <v>0</v>
      </c>
      <c r="K921" s="12" t="str">
        <f>HYPERLINK("http://twitter.com","Twitter Web Client")</f>
        <v>Twitter Web Client</v>
      </c>
      <c r="L921" s="16">
        <v>3</v>
      </c>
      <c r="M921" s="16">
        <v>34</v>
      </c>
      <c r="N921" s="16">
        <v>0</v>
      </c>
      <c r="O921" s="17"/>
      <c r="P921" s="18">
        <v>41846.577731481484</v>
      </c>
      <c r="Q921" s="7"/>
      <c r="R921" s="13"/>
      <c r="S921" s="8"/>
      <c r="T921" s="8"/>
      <c r="U921" s="19" t="str">
        <f>HYPERLINK("https://pbs.twimg.com/profile_images/493452964728565762/t-WcxyCb.jpeg","View")</f>
        <v>View</v>
      </c>
      <c r="V921" s="8"/>
      <c r="W921" s="8"/>
      <c r="X921" s="8"/>
      <c r="Y921" s="8"/>
      <c r="Z921" s="8"/>
    </row>
    <row r="922" spans="1:26" ht="12.75">
      <c r="A922" s="11">
        <v>43746.625717592593</v>
      </c>
      <c r="B922" s="12" t="str">
        <f>HYPERLINK("https://twitter.com/abirmohd_5687","@abirmohd_5687")</f>
        <v>@abirmohd_5687</v>
      </c>
      <c r="C922" s="13" t="s">
        <v>5212</v>
      </c>
      <c r="D922" s="7" t="s">
        <v>1178</v>
      </c>
      <c r="E922" s="12" t="str">
        <f>HYPERLINK("https://twitter.com/abirmohd_5687/status/1181690993294184448","1181690993294184448")</f>
        <v>1181690993294184448</v>
      </c>
      <c r="F922" s="8"/>
      <c r="G922" s="14" t="s">
        <v>5213</v>
      </c>
      <c r="H922" s="8"/>
      <c r="I922" s="15">
        <v>0</v>
      </c>
      <c r="J922" s="15">
        <v>0</v>
      </c>
      <c r="K922" s="12" t="str">
        <f>HYPERLINK("https://mobile.twitter.com","Twitter Web App")</f>
        <v>Twitter Web App</v>
      </c>
      <c r="L922" s="16">
        <v>1</v>
      </c>
      <c r="M922" s="16">
        <v>5</v>
      </c>
      <c r="N922" s="16">
        <v>0</v>
      </c>
      <c r="O922" s="17"/>
      <c r="P922" s="18">
        <v>41435.854571759257</v>
      </c>
      <c r="Q922" s="7"/>
      <c r="R922" s="13"/>
      <c r="S922" s="8"/>
      <c r="T922" s="8"/>
      <c r="U922" s="19" t="str">
        <f>HYPERLINK("https://pbs.twimg.com/profile_images/920241102472355845/12WGuaTi.jpg","View")</f>
        <v>View</v>
      </c>
      <c r="V922" s="8"/>
      <c r="W922" s="8"/>
      <c r="X922" s="8"/>
      <c r="Y922" s="8"/>
      <c r="Z922" s="8"/>
    </row>
    <row r="923" spans="1:26" ht="12.75">
      <c r="A923" s="11">
        <v>43746.625416666662</v>
      </c>
      <c r="B923" s="12" t="str">
        <f>HYPERLINK("https://twitter.com/amiraoufiu","@amiraoufiu")</f>
        <v>@amiraoufiu</v>
      </c>
      <c r="C923" s="13" t="s">
        <v>5215</v>
      </c>
      <c r="D923" s="7" t="s">
        <v>5216</v>
      </c>
      <c r="E923" s="12" t="str">
        <f>HYPERLINK("https://twitter.com/amiraoufiu/status/1181690883596591104","1181690883596591104")</f>
        <v>1181690883596591104</v>
      </c>
      <c r="F923" s="8"/>
      <c r="G923" s="14" t="s">
        <v>5217</v>
      </c>
      <c r="H923" s="8"/>
      <c r="I923" s="15">
        <v>0</v>
      </c>
      <c r="J923" s="15">
        <v>0</v>
      </c>
      <c r="K923" s="12" t="str">
        <f>HYPERLINK("http://twitter.com","Twitter Web Client")</f>
        <v>Twitter Web Client</v>
      </c>
      <c r="L923" s="16">
        <v>1</v>
      </c>
      <c r="M923" s="16">
        <v>34</v>
      </c>
      <c r="N923" s="16">
        <v>0</v>
      </c>
      <c r="O923" s="17"/>
      <c r="P923" s="18">
        <v>42074.567731481482</v>
      </c>
      <c r="Q923" s="8"/>
      <c r="R923" s="8"/>
      <c r="S923" s="8"/>
      <c r="T923" s="8"/>
      <c r="U923" s="19" t="str">
        <f>HYPERLINK("https://pbs.twimg.com/profile_images/575759731316256768/D997babY.jpeg","View")</f>
        <v>View</v>
      </c>
      <c r="V923" s="8"/>
      <c r="W923" s="8"/>
      <c r="X923" s="8"/>
      <c r="Y923" s="8"/>
      <c r="Z923" s="8"/>
    </row>
    <row r="924" spans="1:26" ht="12.75">
      <c r="A924" s="11">
        <v>43746.625092592592</v>
      </c>
      <c r="B924" s="12" t="str">
        <f>HYPERLINK("https://twitter.com/al3anazeii_yy","@al3anazeii_yy")</f>
        <v>@al3anazeii_yy</v>
      </c>
      <c r="C924" s="13" t="s">
        <v>5221</v>
      </c>
      <c r="D924" s="7" t="s">
        <v>5222</v>
      </c>
      <c r="E924" s="12" t="str">
        <f>HYPERLINK("https://twitter.com/al3anazeii_yy/status/1181690766927831041","1181690766927831041")</f>
        <v>1181690766927831041</v>
      </c>
      <c r="F924" s="8"/>
      <c r="G924" s="14" t="s">
        <v>5223</v>
      </c>
      <c r="H924" s="8"/>
      <c r="I924" s="15">
        <v>0</v>
      </c>
      <c r="J924" s="15">
        <v>0</v>
      </c>
      <c r="K924" s="12" t="str">
        <f>HYPERLINK("http://twitter.com","Twitter Web Client")</f>
        <v>Twitter Web Client</v>
      </c>
      <c r="L924" s="16">
        <v>5</v>
      </c>
      <c r="M924" s="16">
        <v>30</v>
      </c>
      <c r="N924" s="16">
        <v>0</v>
      </c>
      <c r="O924" s="17"/>
      <c r="P924" s="18">
        <v>42074.601458333331</v>
      </c>
      <c r="Q924" s="8"/>
      <c r="R924" s="8"/>
      <c r="S924" s="8"/>
      <c r="T924" s="8"/>
      <c r="U924" s="19" t="str">
        <f>HYPERLINK("https://pbs.twimg.com/profile_images/575769891984162817/uhStKkte.jpeg","View")</f>
        <v>View</v>
      </c>
      <c r="V924" s="8"/>
      <c r="W924" s="8"/>
      <c r="X924" s="8"/>
      <c r="Y924" s="8"/>
      <c r="Z924" s="8"/>
    </row>
    <row r="925" spans="1:26" ht="12.75">
      <c r="A925" s="11">
        <v>43746.624826388885</v>
      </c>
      <c r="B925" s="12" t="str">
        <f>HYPERLINK("https://twitter.com/hasan_aljehrani","@hasan_aljehrani")</f>
        <v>@hasan_aljehrani</v>
      </c>
      <c r="C925" s="13" t="s">
        <v>5227</v>
      </c>
      <c r="D925" s="7" t="s">
        <v>907</v>
      </c>
      <c r="E925" s="12" t="str">
        <f>HYPERLINK("https://twitter.com/hasan_aljehrani/status/1181690670160834560","1181690670160834560")</f>
        <v>1181690670160834560</v>
      </c>
      <c r="F925" s="8"/>
      <c r="G925" s="14" t="s">
        <v>5228</v>
      </c>
      <c r="H925" s="8"/>
      <c r="I925" s="15">
        <v>0</v>
      </c>
      <c r="J925" s="15">
        <v>0</v>
      </c>
      <c r="K925" s="12" t="str">
        <f>HYPERLINK("https://mobile.twitter.com","Twitter Web App")</f>
        <v>Twitter Web App</v>
      </c>
      <c r="L925" s="16">
        <v>1</v>
      </c>
      <c r="M925" s="16">
        <v>36</v>
      </c>
      <c r="N925" s="16">
        <v>0</v>
      </c>
      <c r="O925" s="17"/>
      <c r="P925" s="18">
        <v>41335.204016203701</v>
      </c>
      <c r="Q925" s="8"/>
      <c r="R925" s="8"/>
      <c r="S925" s="8"/>
      <c r="T925" s="8"/>
      <c r="U925" s="19" t="str">
        <f>HYPERLINK("https://pbs.twimg.com/profile_images/1176265053848227840/SDoJpnax.jpg","View")</f>
        <v>View</v>
      </c>
      <c r="V925" s="8"/>
      <c r="W925" s="8"/>
      <c r="X925" s="8"/>
      <c r="Y925" s="8"/>
      <c r="Z925" s="8"/>
    </row>
    <row r="926" spans="1:26" ht="12.75">
      <c r="A926" s="11">
        <v>43746.623981481476</v>
      </c>
      <c r="B926" s="12" t="str">
        <f>HYPERLINK("https://twitter.com/reda_alharsi","@reda_alharsi")</f>
        <v>@reda_alharsi</v>
      </c>
      <c r="C926" s="13" t="s">
        <v>5232</v>
      </c>
      <c r="D926" s="13" t="s">
        <v>1236</v>
      </c>
      <c r="E926" s="12" t="str">
        <f>HYPERLINK("https://twitter.com/reda_alharsi/status/1181690366828765184","1181690366828765184")</f>
        <v>1181690366828765184</v>
      </c>
      <c r="F926" s="8"/>
      <c r="G926" s="14" t="s">
        <v>5233</v>
      </c>
      <c r="H926" s="8"/>
      <c r="I926" s="15">
        <v>0</v>
      </c>
      <c r="J926" s="15">
        <v>0</v>
      </c>
      <c r="K926" s="12" t="str">
        <f>HYPERLINK("https://mobile.twitter.com","Twitter Web App")</f>
        <v>Twitter Web App</v>
      </c>
      <c r="L926" s="16">
        <v>5</v>
      </c>
      <c r="M926" s="16">
        <v>36</v>
      </c>
      <c r="N926" s="16">
        <v>0</v>
      </c>
      <c r="O926" s="17"/>
      <c r="P926" s="18">
        <v>41335.183842592596</v>
      </c>
      <c r="Q926" s="8"/>
      <c r="R926" s="8"/>
      <c r="S926" s="8"/>
      <c r="T926" s="8"/>
      <c r="U926" s="19" t="str">
        <f>HYPERLINK("https://pbs.twimg.com/profile_images/1181690450899374080/_zgq0XU1.png","View")</f>
        <v>View</v>
      </c>
      <c r="V926" s="8"/>
      <c r="W926" s="8"/>
      <c r="X926" s="8"/>
      <c r="Y926" s="8"/>
      <c r="Z926" s="8"/>
    </row>
    <row r="927" spans="1:26" ht="12.75">
      <c r="A927" s="11">
        <v>43746.623530092591</v>
      </c>
      <c r="B927" s="12" t="str">
        <f>HYPERLINK("https://twitter.com/sayid_alatibi78","@sayid_alatibi78")</f>
        <v>@sayid_alatibi78</v>
      </c>
      <c r="C927" s="13" t="s">
        <v>5237</v>
      </c>
      <c r="D927" s="13" t="s">
        <v>952</v>
      </c>
      <c r="E927" s="12" t="str">
        <f>HYPERLINK("https://twitter.com/sayid_alatibi78/status/1181690201271226369","1181690201271226369")</f>
        <v>1181690201271226369</v>
      </c>
      <c r="F927" s="8"/>
      <c r="G927" s="14" t="s">
        <v>5239</v>
      </c>
      <c r="H927" s="8"/>
      <c r="I927" s="15">
        <v>0</v>
      </c>
      <c r="J927" s="15">
        <v>0</v>
      </c>
      <c r="K927" s="12" t="str">
        <f>HYPERLINK("https://mobile.twitter.com","Twitter Web App")</f>
        <v>Twitter Web App</v>
      </c>
      <c r="L927" s="16">
        <v>0</v>
      </c>
      <c r="M927" s="16">
        <v>38</v>
      </c>
      <c r="N927" s="16">
        <v>0</v>
      </c>
      <c r="O927" s="17"/>
      <c r="P927" s="18">
        <v>41337.788043981483</v>
      </c>
      <c r="Q927" s="8"/>
      <c r="R927" s="8"/>
      <c r="S927" s="8"/>
      <c r="T927" s="8"/>
      <c r="U927" s="19" t="str">
        <f>HYPERLINK("https://pbs.twimg.com/profile_images/962202335119208448/lEEp9NpD.jpg","View")</f>
        <v>View</v>
      </c>
      <c r="V927" s="8"/>
      <c r="W927" s="8"/>
      <c r="X927" s="8"/>
      <c r="Y927" s="8"/>
      <c r="Z927" s="8"/>
    </row>
    <row r="928" spans="1:26" ht="12.75">
      <c r="A928" s="11">
        <v>43746.623240740737</v>
      </c>
      <c r="B928" s="12" t="str">
        <f>HYPERLINK("https://twitter.com/ala3taya_66","@ala3taya_66")</f>
        <v>@ala3taya_66</v>
      </c>
      <c r="C928" s="7" t="s">
        <v>5243</v>
      </c>
      <c r="D928" s="7" t="s">
        <v>4501</v>
      </c>
      <c r="E928" s="12" t="str">
        <f>HYPERLINK("https://twitter.com/ala3taya_66/status/1181690097919549442","1181690097919549442")</f>
        <v>1181690097919549442</v>
      </c>
      <c r="F928" s="8"/>
      <c r="G928" s="14" t="s">
        <v>5244</v>
      </c>
      <c r="H928" s="8"/>
      <c r="I928" s="15">
        <v>0</v>
      </c>
      <c r="J928" s="15">
        <v>0</v>
      </c>
      <c r="K928" s="12" t="str">
        <f>HYPERLINK("http://twitter.com","Twitter Web Client")</f>
        <v>Twitter Web Client</v>
      </c>
      <c r="L928" s="16">
        <v>6</v>
      </c>
      <c r="M928" s="16">
        <v>33</v>
      </c>
      <c r="N928" s="16">
        <v>0</v>
      </c>
      <c r="O928" s="17"/>
      <c r="P928" s="18">
        <v>42074.507361111115</v>
      </c>
      <c r="Q928" s="7"/>
      <c r="R928" s="7"/>
      <c r="S928" s="8"/>
      <c r="T928" s="8"/>
      <c r="U928" s="19" t="str">
        <f>HYPERLINK("https://pbs.twimg.com/profile_images/575735761787482112/7Cb-O1S4.jpeg","View")</f>
        <v>View</v>
      </c>
      <c r="V928" s="8"/>
      <c r="W928" s="8"/>
      <c r="X928" s="8"/>
      <c r="Y928" s="8"/>
      <c r="Z928" s="8"/>
    </row>
    <row r="929" spans="1:26" ht="12.75">
      <c r="A929" s="11">
        <v>43746.623124999998</v>
      </c>
      <c r="B929" s="12" t="str">
        <f>HYPERLINK("https://twitter.com/alkaybare_5","@alkaybare_5")</f>
        <v>@alkaybare_5</v>
      </c>
      <c r="C929" s="7" t="s">
        <v>5245</v>
      </c>
      <c r="D929" s="7" t="s">
        <v>5246</v>
      </c>
      <c r="E929" s="12" t="str">
        <f>HYPERLINK("https://twitter.com/alkaybare_5/status/1181690052985929728","1181690052985929728")</f>
        <v>1181690052985929728</v>
      </c>
      <c r="F929" s="8"/>
      <c r="G929" s="14" t="s">
        <v>5247</v>
      </c>
      <c r="H929" s="8"/>
      <c r="I929" s="15">
        <v>0</v>
      </c>
      <c r="J929" s="15">
        <v>0</v>
      </c>
      <c r="K929" s="12" t="str">
        <f>HYPERLINK("http://twitter.com","Twitter Web Client")</f>
        <v>Twitter Web Client</v>
      </c>
      <c r="L929" s="16">
        <v>4</v>
      </c>
      <c r="M929" s="16">
        <v>36</v>
      </c>
      <c r="N929" s="16">
        <v>0</v>
      </c>
      <c r="O929" s="17"/>
      <c r="P929" s="18">
        <v>41846.400219907409</v>
      </c>
      <c r="Q929" s="7"/>
      <c r="R929" s="13"/>
      <c r="S929" s="8"/>
      <c r="T929" s="8"/>
      <c r="U929" s="19" t="str">
        <f>HYPERLINK("https://pbs.twimg.com/profile_images/493072441707474944/DU-rzaBL.jpeg","View")</f>
        <v>View</v>
      </c>
      <c r="V929" s="8"/>
      <c r="W929" s="8"/>
      <c r="X929" s="8"/>
      <c r="Y929" s="8"/>
      <c r="Z929" s="8"/>
    </row>
    <row r="930" spans="1:26" ht="12.75">
      <c r="A930" s="11">
        <v>43746.622835648144</v>
      </c>
      <c r="B930" s="12" t="str">
        <f>HYPERLINK("https://twitter.com/eltawaila3y3","@eltawaila3y3")</f>
        <v>@eltawaila3y3</v>
      </c>
      <c r="C930" s="13" t="s">
        <v>5256</v>
      </c>
      <c r="D930" s="13" t="s">
        <v>428</v>
      </c>
      <c r="E930" s="12" t="str">
        <f>HYPERLINK("https://twitter.com/eltawaila3y3/status/1181689949525041152","1181689949525041152")</f>
        <v>1181689949525041152</v>
      </c>
      <c r="F930" s="8"/>
      <c r="G930" s="14" t="s">
        <v>5259</v>
      </c>
      <c r="H930" s="8"/>
      <c r="I930" s="15">
        <v>0</v>
      </c>
      <c r="J930" s="15">
        <v>0</v>
      </c>
      <c r="K930" s="12" t="str">
        <f>HYPERLINK("http://twitter.com","Twitter Web Client")</f>
        <v>Twitter Web Client</v>
      </c>
      <c r="L930" s="16">
        <v>23</v>
      </c>
      <c r="M930" s="16">
        <v>43</v>
      </c>
      <c r="N930" s="16">
        <v>0</v>
      </c>
      <c r="O930" s="17"/>
      <c r="P930" s="18">
        <v>42073.390208333338</v>
      </c>
      <c r="Q930" s="8"/>
      <c r="R930" s="8"/>
      <c r="S930" s="8"/>
      <c r="T930" s="8"/>
      <c r="U930" s="19" t="str">
        <f>HYPERLINK("https://pbs.twimg.com/profile_images/575330955608506368/i7Gg1Sb4.jpeg","View")</f>
        <v>View</v>
      </c>
      <c r="V930" s="8"/>
      <c r="W930" s="8"/>
      <c r="X930" s="8"/>
      <c r="Y930" s="8"/>
      <c r="Z930" s="8"/>
    </row>
    <row r="931" spans="1:26" ht="12.75">
      <c r="A931" s="11">
        <v>43746.622581018513</v>
      </c>
      <c r="B931" s="12" t="str">
        <f>HYPERLINK("https://twitter.com/obaidehaidan","@obaidehaidan")</f>
        <v>@obaidehaidan</v>
      </c>
      <c r="C931" s="13" t="s">
        <v>5264</v>
      </c>
      <c r="D931" s="13" t="s">
        <v>4519</v>
      </c>
      <c r="E931" s="12" t="str">
        <f>HYPERLINK("https://twitter.com/obaidehaidan/status/1181689857007075328","1181689857007075328")</f>
        <v>1181689857007075328</v>
      </c>
      <c r="F931" s="8"/>
      <c r="G931" s="14" t="s">
        <v>5265</v>
      </c>
      <c r="H931" s="8"/>
      <c r="I931" s="15">
        <v>0</v>
      </c>
      <c r="J931" s="15">
        <v>0</v>
      </c>
      <c r="K931" s="12" t="str">
        <f>HYPERLINK("http://twitter.com","Twitter Web Client")</f>
        <v>Twitter Web Client</v>
      </c>
      <c r="L931" s="16">
        <v>16</v>
      </c>
      <c r="M931" s="16">
        <v>40</v>
      </c>
      <c r="N931" s="16">
        <v>0</v>
      </c>
      <c r="O931" s="17"/>
      <c r="P931" s="18">
        <v>42075.391944444447</v>
      </c>
      <c r="Q931" s="8"/>
      <c r="R931" s="8"/>
      <c r="S931" s="8"/>
      <c r="T931" s="8"/>
      <c r="U931" s="19" t="str">
        <f>HYPERLINK("https://pbs.twimg.com/profile_images/576057259723087872/juo_5XQW.jpeg","View")</f>
        <v>View</v>
      </c>
      <c r="V931" s="8"/>
      <c r="W931" s="8"/>
      <c r="X931" s="8"/>
      <c r="Y931" s="8"/>
      <c r="Z931" s="8"/>
    </row>
    <row r="932" spans="1:26" ht="12.75">
      <c r="A932" s="11">
        <v>43746.62232638889</v>
      </c>
      <c r="B932" s="12" t="str">
        <f>HYPERLINK("https://twitter.com/alhamaee45634","@alhamaee45634")</f>
        <v>@alhamaee45634</v>
      </c>
      <c r="C932" s="13" t="s">
        <v>5267</v>
      </c>
      <c r="D932" s="13" t="s">
        <v>434</v>
      </c>
      <c r="E932" s="12" t="str">
        <f>HYPERLINK("https://twitter.com/alhamaee45634/status/1181689765361541121","1181689765361541121")</f>
        <v>1181689765361541121</v>
      </c>
      <c r="F932" s="8"/>
      <c r="G932" s="14" t="s">
        <v>5270</v>
      </c>
      <c r="H932" s="8"/>
      <c r="I932" s="15">
        <v>0</v>
      </c>
      <c r="J932" s="15">
        <v>0</v>
      </c>
      <c r="K932" s="12" t="str">
        <f>HYPERLINK("http://twitter.com","Twitter Web Client")</f>
        <v>Twitter Web Client</v>
      </c>
      <c r="L932" s="16">
        <v>13</v>
      </c>
      <c r="M932" s="16">
        <v>44</v>
      </c>
      <c r="N932" s="16">
        <v>0</v>
      </c>
      <c r="O932" s="17"/>
      <c r="P932" s="18">
        <v>42074.349247685182</v>
      </c>
      <c r="Q932" s="8"/>
      <c r="R932" s="8"/>
      <c r="S932" s="8"/>
      <c r="T932" s="8"/>
      <c r="U932" s="19" t="str">
        <f>HYPERLINK("https://pbs.twimg.com/profile_images/575678419037356034/8rEGwdvt.jpeg","View")</f>
        <v>View</v>
      </c>
      <c r="V932" s="8"/>
      <c r="W932" s="8"/>
      <c r="X932" s="8"/>
      <c r="Y932" s="8"/>
      <c r="Z932" s="8"/>
    </row>
    <row r="933" spans="1:26" ht="12.75">
      <c r="A933" s="11">
        <v>43746.622152777782</v>
      </c>
      <c r="B933" s="12" t="str">
        <f>HYPERLINK("https://twitter.com/nof_masfar","@nof_masfar")</f>
        <v>@nof_masfar</v>
      </c>
      <c r="C933" s="13" t="s">
        <v>5271</v>
      </c>
      <c r="D933" s="13" t="s">
        <v>28</v>
      </c>
      <c r="E933" s="12" t="str">
        <f>HYPERLINK("https://twitter.com/nof_masfar/status/1181689704271368193","1181689704271368193")</f>
        <v>1181689704271368193</v>
      </c>
      <c r="F933" s="8"/>
      <c r="G933" s="14" t="s">
        <v>1267</v>
      </c>
      <c r="H933" s="8"/>
      <c r="I933" s="15">
        <v>0</v>
      </c>
      <c r="J933" s="15">
        <v>0</v>
      </c>
      <c r="K933" s="12" t="str">
        <f>HYPERLINK("https://mobile.twitter.com","Twitter Web App")</f>
        <v>Twitter Web App</v>
      </c>
      <c r="L933" s="16">
        <v>1</v>
      </c>
      <c r="M933" s="16">
        <v>36</v>
      </c>
      <c r="N933" s="16">
        <v>0</v>
      </c>
      <c r="O933" s="17"/>
      <c r="P933" s="18">
        <v>41335.177071759259</v>
      </c>
      <c r="Q933" s="8"/>
      <c r="R933" s="8"/>
      <c r="S933" s="8"/>
      <c r="T933" s="8"/>
      <c r="U933" s="19" t="str">
        <f>HYPERLINK("https://pbs.twimg.com/profile_images/1179494327786979328/x_xQZvH_.jpg","View")</f>
        <v>View</v>
      </c>
      <c r="V933" s="8"/>
      <c r="W933" s="8"/>
      <c r="X933" s="8"/>
      <c r="Y933" s="8"/>
      <c r="Z933" s="8"/>
    </row>
    <row r="934" spans="1:26" ht="12.75">
      <c r="A934" s="11">
        <v>43746.622152777782</v>
      </c>
      <c r="B934" s="12" t="str">
        <f>HYPERLINK("https://twitter.com/HughSykes","@HughSykes")</f>
        <v>@HughSykes</v>
      </c>
      <c r="C934" s="13" t="s">
        <v>5276</v>
      </c>
      <c r="D934" s="7" t="s">
        <v>5277</v>
      </c>
      <c r="E934" s="12" t="str">
        <f>HYPERLINK("https://twitter.com/HughSykes/status/1181689702962868224","1181689702962868224")</f>
        <v>1181689702962868224</v>
      </c>
      <c r="F934" s="14" t="s">
        <v>5278</v>
      </c>
      <c r="G934" s="14" t="s">
        <v>5281</v>
      </c>
      <c r="H934" s="8"/>
      <c r="I934" s="15">
        <v>0</v>
      </c>
      <c r="J934" s="15">
        <v>4</v>
      </c>
      <c r="K934" s="12" t="str">
        <f>HYPERLINK("https://mobile.twitter.com","Twitter Web App")</f>
        <v>Twitter Web App</v>
      </c>
      <c r="L934" s="16">
        <v>5910</v>
      </c>
      <c r="M934" s="16">
        <v>1461</v>
      </c>
      <c r="N934" s="16">
        <v>247</v>
      </c>
      <c r="O934" s="17"/>
      <c r="P934" s="18">
        <v>39591.125057870369</v>
      </c>
      <c r="Q934" s="8"/>
      <c r="R934" s="8" t="s">
        <v>5282</v>
      </c>
      <c r="S934" s="8"/>
      <c r="T934" s="8"/>
      <c r="U934" s="19" t="str">
        <f>HYPERLINK("https://pbs.twimg.com/profile_images/2211166422/TWEETY.JPG","View")</f>
        <v>View</v>
      </c>
      <c r="V934" s="8"/>
      <c r="W934" s="8"/>
      <c r="X934" s="8"/>
      <c r="Y934" s="8"/>
      <c r="Z934" s="8"/>
    </row>
    <row r="935" spans="1:26" ht="12.75">
      <c r="A935" s="11">
        <v>43746.621874999997</v>
      </c>
      <c r="B935" s="12" t="str">
        <f>HYPERLINK("https://twitter.com/farj_alkasami","@farj_alkasami")</f>
        <v>@farj_alkasami</v>
      </c>
      <c r="C935" s="13" t="s">
        <v>5283</v>
      </c>
      <c r="D935" s="7" t="s">
        <v>914</v>
      </c>
      <c r="E935" s="12" t="str">
        <f>HYPERLINK("https://twitter.com/farj_alkasami/status/1181689600617541633","1181689600617541633")</f>
        <v>1181689600617541633</v>
      </c>
      <c r="F935" s="8"/>
      <c r="G935" s="14" t="s">
        <v>917</v>
      </c>
      <c r="H935" s="8"/>
      <c r="I935" s="15">
        <v>0</v>
      </c>
      <c r="J935" s="15">
        <v>0</v>
      </c>
      <c r="K935" s="12" t="str">
        <f>HYPERLINK("https://mobile.twitter.com","Twitter Web App")</f>
        <v>Twitter Web App</v>
      </c>
      <c r="L935" s="16">
        <v>2</v>
      </c>
      <c r="M935" s="16">
        <v>36</v>
      </c>
      <c r="N935" s="16">
        <v>0</v>
      </c>
      <c r="O935" s="17"/>
      <c r="P935" s="18">
        <v>41335.123113425929</v>
      </c>
      <c r="Q935" s="8"/>
      <c r="R935" s="8"/>
      <c r="S935" s="8"/>
      <c r="T935" s="8"/>
      <c r="U935" s="19" t="str">
        <f>HYPERLINK("https://pbs.twimg.com/profile_images/3327632888/25196050b557e31e6ad31aa582065591.jpeg","View")</f>
        <v>View</v>
      </c>
      <c r="V935" s="8"/>
      <c r="W935" s="8"/>
      <c r="X935" s="8"/>
      <c r="Y935" s="8"/>
      <c r="Z935" s="8"/>
    </row>
    <row r="936" spans="1:26" ht="12.75">
      <c r="A936" s="11">
        <v>43746.621504629627</v>
      </c>
      <c r="B936" s="12" t="str">
        <f>HYPERLINK("https://twitter.com/woj_altalhi","@woj_altalhi")</f>
        <v>@woj_altalhi</v>
      </c>
      <c r="C936" s="13" t="s">
        <v>5284</v>
      </c>
      <c r="D936" s="7" t="s">
        <v>28</v>
      </c>
      <c r="E936" s="12" t="str">
        <f>HYPERLINK("https://twitter.com/woj_altalhi/status/1181689466064211968","1181689466064211968")</f>
        <v>1181689466064211968</v>
      </c>
      <c r="F936" s="8"/>
      <c r="G936" s="14" t="s">
        <v>31</v>
      </c>
      <c r="H936" s="8"/>
      <c r="I936" s="15">
        <v>0</v>
      </c>
      <c r="J936" s="15">
        <v>0</v>
      </c>
      <c r="K936" s="12" t="str">
        <f>HYPERLINK("https://mobile.twitter.com","Twitter Web App")</f>
        <v>Twitter Web App</v>
      </c>
      <c r="L936" s="16">
        <v>2</v>
      </c>
      <c r="M936" s="16">
        <v>36</v>
      </c>
      <c r="N936" s="16">
        <v>0</v>
      </c>
      <c r="O936" s="17"/>
      <c r="P936" s="18">
        <v>41335.120208333334</v>
      </c>
      <c r="Q936" s="8"/>
      <c r="R936" s="13"/>
      <c r="S936" s="8"/>
      <c r="T936" s="8"/>
      <c r="U936" s="19" t="str">
        <f>HYPERLINK("https://pbs.twimg.com/profile_images/3327618885/a8fdf39d777e3e9a3c682009149ea69d.jpeg","View")</f>
        <v>View</v>
      </c>
      <c r="V936" s="8"/>
      <c r="W936" s="8"/>
      <c r="X936" s="8"/>
      <c r="Y936" s="8"/>
      <c r="Z936" s="8"/>
    </row>
    <row r="937" spans="1:26" ht="12.75">
      <c r="A937" s="11">
        <v>43746.621261574073</v>
      </c>
      <c r="B937" s="12" t="str">
        <f>HYPERLINK("https://twitter.com/mohd_dagriri","@mohd_dagriri")</f>
        <v>@mohd_dagriri</v>
      </c>
      <c r="C937" s="13" t="s">
        <v>5288</v>
      </c>
      <c r="D937" s="7" t="s">
        <v>968</v>
      </c>
      <c r="E937" s="12" t="str">
        <f>HYPERLINK("https://twitter.com/mohd_dagriri/status/1181689379967733761","1181689379967733761")</f>
        <v>1181689379967733761</v>
      </c>
      <c r="F937" s="8"/>
      <c r="G937" s="14" t="s">
        <v>5289</v>
      </c>
      <c r="H937" s="8"/>
      <c r="I937" s="15">
        <v>0</v>
      </c>
      <c r="J937" s="15">
        <v>0</v>
      </c>
      <c r="K937" s="12" t="str">
        <f>HYPERLINK("https://mobile.twitter.com","Twitter Web App")</f>
        <v>Twitter Web App</v>
      </c>
      <c r="L937" s="16">
        <v>0</v>
      </c>
      <c r="M937" s="16">
        <v>36</v>
      </c>
      <c r="N937" s="16">
        <v>0</v>
      </c>
      <c r="O937" s="17"/>
      <c r="P937" s="18">
        <v>41335.034236111111</v>
      </c>
      <c r="Q937" s="8"/>
      <c r="R937" s="8"/>
      <c r="S937" s="8"/>
      <c r="T937" s="8"/>
      <c r="U937" s="19" t="str">
        <f>HYPERLINK("https://pbs.twimg.com/profile_images/1021341176215945216/BY0HXJLV.jpg","View")</f>
        <v>View</v>
      </c>
      <c r="V937" s="8"/>
      <c r="W937" s="8"/>
      <c r="X937" s="8"/>
      <c r="Y937" s="8"/>
      <c r="Z937" s="8"/>
    </row>
    <row r="938" spans="1:26" ht="12.75">
      <c r="A938" s="11">
        <v>43746.620983796296</v>
      </c>
      <c r="B938" s="12" t="str">
        <f>HYPERLINK("https://twitter.com/MosferNaye","@MosferNaye")</f>
        <v>@MosferNaye</v>
      </c>
      <c r="C938" s="13" t="s">
        <v>5292</v>
      </c>
      <c r="D938" s="7" t="s">
        <v>455</v>
      </c>
      <c r="E938" s="12" t="str">
        <f>HYPERLINK("https://twitter.com/MosferNaye/status/1181689280009256960","1181689280009256960")</f>
        <v>1181689280009256960</v>
      </c>
      <c r="F938" s="8"/>
      <c r="G938" s="14" t="s">
        <v>5293</v>
      </c>
      <c r="H938" s="8"/>
      <c r="I938" s="15">
        <v>0</v>
      </c>
      <c r="J938" s="15">
        <v>0</v>
      </c>
      <c r="K938" s="12" t="str">
        <f>HYPERLINK("http://twitter.com","Twitter Web Client")</f>
        <v>Twitter Web Client</v>
      </c>
      <c r="L938" s="16">
        <v>0</v>
      </c>
      <c r="M938" s="16">
        <v>26</v>
      </c>
      <c r="N938" s="16">
        <v>0</v>
      </c>
      <c r="O938" s="17"/>
      <c r="P938" s="18">
        <v>42078.79619212963</v>
      </c>
      <c r="Q938" s="8"/>
      <c r="R938" s="8"/>
      <c r="S938" s="8"/>
      <c r="T938" s="8"/>
      <c r="U938" s="19" t="str">
        <f>HYPERLINK("https://pbs.twimg.com/profile_images/577293537982590976/WbbVetw5.jpeg","View")</f>
        <v>View</v>
      </c>
      <c r="V938" s="8"/>
      <c r="W938" s="8"/>
      <c r="X938" s="8"/>
      <c r="Y938" s="8"/>
      <c r="Z938" s="8"/>
    </row>
    <row r="939" spans="1:26" ht="12.75">
      <c r="A939" s="11">
        <v>43746.620787037042</v>
      </c>
      <c r="B939" s="12" t="str">
        <f>HYPERLINK("https://twitter.com/latifah_salman","@latifah_salman")</f>
        <v>@latifah_salman</v>
      </c>
      <c r="C939" s="13" t="s">
        <v>5294</v>
      </c>
      <c r="D939" s="7" t="s">
        <v>944</v>
      </c>
      <c r="E939" s="12" t="str">
        <f>HYPERLINK("https://twitter.com/latifah_salman/status/1181689209687379968","1181689209687379968")</f>
        <v>1181689209687379968</v>
      </c>
      <c r="F939" s="8"/>
      <c r="G939" s="14" t="s">
        <v>5297</v>
      </c>
      <c r="H939" s="8"/>
      <c r="I939" s="15">
        <v>0</v>
      </c>
      <c r="J939" s="15">
        <v>0</v>
      </c>
      <c r="K939" s="12" t="str">
        <f>HYPERLINK("https://mobile.twitter.com","Twitter Web App")</f>
        <v>Twitter Web App</v>
      </c>
      <c r="L939" s="16">
        <v>0</v>
      </c>
      <c r="M939" s="16">
        <v>36</v>
      </c>
      <c r="N939" s="16">
        <v>0</v>
      </c>
      <c r="O939" s="17"/>
      <c r="P939" s="18">
        <v>41335.021909722222</v>
      </c>
      <c r="Q939" s="8"/>
      <c r="R939" s="8"/>
      <c r="S939" s="8"/>
      <c r="T939" s="8"/>
      <c r="U939" s="19" t="str">
        <f>HYPERLINK("https://pbs.twimg.com/profile_images/1021340221504303104/XS_try59.jpg","View")</f>
        <v>View</v>
      </c>
      <c r="V939" s="8"/>
      <c r="W939" s="8"/>
      <c r="X939" s="8"/>
      <c r="Y939" s="8"/>
      <c r="Z939" s="8"/>
    </row>
    <row r="940" spans="1:26" ht="12.75">
      <c r="A940" s="11">
        <v>43746.620590277773</v>
      </c>
      <c r="B940" s="12" t="str">
        <f>HYPERLINK("https://twitter.com/haelall66_tt","@haelall66_tt")</f>
        <v>@haelall66_tt</v>
      </c>
      <c r="C940" s="13" t="s">
        <v>5300</v>
      </c>
      <c r="D940" s="7" t="s">
        <v>5301</v>
      </c>
      <c r="E940" s="12" t="str">
        <f>HYPERLINK("https://twitter.com/haelall66_tt/status/1181689138199846912","1181689138199846912")</f>
        <v>1181689138199846912</v>
      </c>
      <c r="F940" s="8"/>
      <c r="G940" s="14" t="s">
        <v>5303</v>
      </c>
      <c r="H940" s="8"/>
      <c r="I940" s="15">
        <v>0</v>
      </c>
      <c r="J940" s="15">
        <v>0</v>
      </c>
      <c r="K940" s="12" t="str">
        <f>HYPERLINK("http://twitter.com","Twitter Web Client")</f>
        <v>Twitter Web Client</v>
      </c>
      <c r="L940" s="16">
        <v>6</v>
      </c>
      <c r="M940" s="16">
        <v>34</v>
      </c>
      <c r="N940" s="16">
        <v>0</v>
      </c>
      <c r="O940" s="17"/>
      <c r="P940" s="18">
        <v>42074.603587962964</v>
      </c>
      <c r="Q940" s="7"/>
      <c r="R940" s="13"/>
      <c r="S940" s="8"/>
      <c r="T940" s="8"/>
      <c r="U940" s="19" t="str">
        <f>HYPERLINK("https://pbs.twimg.com/profile_images/575770976446627841/ZAtL_zgZ.jpeg","View")</f>
        <v>View</v>
      </c>
      <c r="V940" s="8"/>
      <c r="W940" s="8"/>
      <c r="X940" s="8"/>
      <c r="Y940" s="8"/>
      <c r="Z940" s="8"/>
    </row>
    <row r="941" spans="1:26" ht="12.75">
      <c r="A941" s="11">
        <v>43746.620474537034</v>
      </c>
      <c r="B941" s="12" t="str">
        <f>HYPERLINK("https://twitter.com/UzzaKhalil","@UzzaKhalil")</f>
        <v>@UzzaKhalil</v>
      </c>
      <c r="C941" s="13" t="s">
        <v>5309</v>
      </c>
      <c r="D941" s="7" t="s">
        <v>28</v>
      </c>
      <c r="E941" s="12" t="str">
        <f>HYPERLINK("https://twitter.com/UzzaKhalil/status/1181689093966557184","1181689093966557184")</f>
        <v>1181689093966557184</v>
      </c>
      <c r="F941" s="8"/>
      <c r="G941" s="14" t="s">
        <v>1267</v>
      </c>
      <c r="H941" s="8"/>
      <c r="I941" s="15">
        <v>0</v>
      </c>
      <c r="J941" s="15">
        <v>0</v>
      </c>
      <c r="K941" s="12" t="str">
        <f>HYPERLINK("https://mobile.twitter.com","Twitter Web App")</f>
        <v>Twitter Web App</v>
      </c>
      <c r="L941" s="16">
        <v>0</v>
      </c>
      <c r="M941" s="16">
        <v>0</v>
      </c>
      <c r="N941" s="16">
        <v>0</v>
      </c>
      <c r="O941" s="17"/>
      <c r="P941" s="18">
        <v>43729.912800925929</v>
      </c>
      <c r="Q941" s="8" t="s">
        <v>972</v>
      </c>
      <c r="R941" s="8" t="s">
        <v>5313</v>
      </c>
      <c r="S941" s="8"/>
      <c r="T941" s="8"/>
      <c r="U941" s="19" t="str">
        <f>HYPERLINK("https://pbs.twimg.com/profile_images/1180403912878116864/_f1UYvnO.jpg","View")</f>
        <v>View</v>
      </c>
      <c r="V941" s="8"/>
      <c r="W941" s="8"/>
      <c r="X941" s="8"/>
      <c r="Y941" s="8"/>
      <c r="Z941" s="8"/>
    </row>
    <row r="942" spans="1:26" ht="12.75">
      <c r="A942" s="11">
        <v>43746.620300925926</v>
      </c>
      <c r="B942" s="12" t="str">
        <f>HYPERLINK("https://twitter.com/mansta_alsabiyi","@mansta_alsabiyi")</f>
        <v>@mansta_alsabiyi</v>
      </c>
      <c r="C942" s="13" t="s">
        <v>5314</v>
      </c>
      <c r="D942" s="13" t="s">
        <v>1030</v>
      </c>
      <c r="E942" s="12" t="str">
        <f>HYPERLINK("https://twitter.com/mansta_alsabiyi/status/1181689032289353730","1181689032289353730")</f>
        <v>1181689032289353730</v>
      </c>
      <c r="F942" s="8"/>
      <c r="G942" s="14" t="s">
        <v>5315</v>
      </c>
      <c r="H942" s="8"/>
      <c r="I942" s="15">
        <v>0</v>
      </c>
      <c r="J942" s="15">
        <v>0</v>
      </c>
      <c r="K942" s="12" t="str">
        <f>HYPERLINK("http://twitter.com","Twitter Web Client")</f>
        <v>Twitter Web Client</v>
      </c>
      <c r="L942" s="16">
        <v>1</v>
      </c>
      <c r="M942" s="16">
        <v>36</v>
      </c>
      <c r="N942" s="16">
        <v>0</v>
      </c>
      <c r="O942" s="17"/>
      <c r="P942" s="18">
        <v>41335.014398148152</v>
      </c>
      <c r="Q942" s="8"/>
      <c r="R942" s="8"/>
      <c r="S942" s="8"/>
      <c r="T942" s="8"/>
      <c r="U942" s="19" t="str">
        <f>HYPERLINK("https://pbs.twimg.com/profile_images/1021339608259297280/4pEnbckT.jpg","View")</f>
        <v>View</v>
      </c>
      <c r="V942" s="8"/>
      <c r="W942" s="8"/>
      <c r="X942" s="8"/>
      <c r="Y942" s="8"/>
      <c r="Z942" s="8"/>
    </row>
    <row r="943" spans="1:26" ht="12.75">
      <c r="A943" s="11">
        <v>43746.61986111111</v>
      </c>
      <c r="B943" s="12" t="str">
        <f>HYPERLINK("https://twitter.com/fojia_alli","@fojia_alli")</f>
        <v>@fojia_alli</v>
      </c>
      <c r="C943" s="13" t="s">
        <v>5316</v>
      </c>
      <c r="D943" s="7" t="s">
        <v>1107</v>
      </c>
      <c r="E943" s="12" t="str">
        <f>HYPERLINK("https://twitter.com/fojia_alli/status/1181688870968016896","1181688870968016896")</f>
        <v>1181688870968016896</v>
      </c>
      <c r="F943" s="8"/>
      <c r="G943" s="14" t="s">
        <v>5317</v>
      </c>
      <c r="H943" s="8"/>
      <c r="I943" s="15">
        <v>0</v>
      </c>
      <c r="J943" s="15">
        <v>0</v>
      </c>
      <c r="K943" s="12" t="str">
        <f>HYPERLINK("https://mobile.twitter.com","Twitter Web App")</f>
        <v>Twitter Web App</v>
      </c>
      <c r="L943" s="16">
        <v>1</v>
      </c>
      <c r="M943" s="16">
        <v>36</v>
      </c>
      <c r="N943" s="16">
        <v>0</v>
      </c>
      <c r="O943" s="17"/>
      <c r="P943" s="18">
        <v>41335.009675925925</v>
      </c>
      <c r="Q943" s="7"/>
      <c r="R943" s="13"/>
      <c r="S943" s="8"/>
      <c r="T943" s="8"/>
      <c r="U943" s="19" t="str">
        <f>HYPERLINK("https://pbs.twimg.com/profile_images/1021338894971781120/xGYErBFg.jpg","View")</f>
        <v>View</v>
      </c>
      <c r="V943" s="8"/>
      <c r="W943" s="8"/>
      <c r="X943" s="8"/>
      <c r="Y943" s="8"/>
      <c r="Z943" s="8"/>
    </row>
    <row r="944" spans="1:26" ht="12.75">
      <c r="A944" s="11">
        <v>43746.619699074072</v>
      </c>
      <c r="B944" s="12" t="str">
        <f>HYPERLINK("https://twitter.com/elgabary33","@elgabary33")</f>
        <v>@elgabary33</v>
      </c>
      <c r="C944" s="13" t="s">
        <v>5320</v>
      </c>
      <c r="D944" s="7" t="s">
        <v>5321</v>
      </c>
      <c r="E944" s="12" t="str">
        <f>HYPERLINK("https://twitter.com/elgabary33/status/1181688812398923776","1181688812398923776")</f>
        <v>1181688812398923776</v>
      </c>
      <c r="F944" s="8"/>
      <c r="G944" s="14" t="s">
        <v>5323</v>
      </c>
      <c r="H944" s="8"/>
      <c r="I944" s="15">
        <v>0</v>
      </c>
      <c r="J944" s="15">
        <v>0</v>
      </c>
      <c r="K944" s="12" t="str">
        <f>HYPERLINK("http://twitter.com","Twitter Web Client")</f>
        <v>Twitter Web Client</v>
      </c>
      <c r="L944" s="16">
        <v>9</v>
      </c>
      <c r="M944" s="16">
        <v>40</v>
      </c>
      <c r="N944" s="16">
        <v>0</v>
      </c>
      <c r="O944" s="17"/>
      <c r="P944" s="18">
        <v>42073.276030092587</v>
      </c>
      <c r="Q944" s="8"/>
      <c r="R944" s="8"/>
      <c r="S944" s="8"/>
      <c r="T944" s="8"/>
      <c r="U944" s="19" t="str">
        <f>HYPERLINK("https://pbs.twimg.com/profile_images/575289478811553794/1gzfRGYO.jpeg","View")</f>
        <v>View</v>
      </c>
      <c r="V944" s="8"/>
      <c r="W944" s="8"/>
      <c r="X944" s="8"/>
      <c r="Y944" s="8"/>
      <c r="Z944" s="8"/>
    </row>
    <row r="945" spans="1:26" ht="12.75">
      <c r="A945" s="11">
        <v>43746.619456018518</v>
      </c>
      <c r="B945" s="12" t="str">
        <f>HYPERLINK("https://twitter.com/yehi_aljehrani","@yehi_aljehrani")</f>
        <v>@yehi_aljehrani</v>
      </c>
      <c r="C945" s="13" t="s">
        <v>5327</v>
      </c>
      <c r="D945" s="7" t="s">
        <v>923</v>
      </c>
      <c r="E945" s="12" t="str">
        <f>HYPERLINK("https://twitter.com/yehi_aljehrani/status/1181688726914621440","1181688726914621440")</f>
        <v>1181688726914621440</v>
      </c>
      <c r="F945" s="8"/>
      <c r="G945" s="14" t="s">
        <v>5328</v>
      </c>
      <c r="H945" s="8"/>
      <c r="I945" s="15">
        <v>0</v>
      </c>
      <c r="J945" s="15">
        <v>0</v>
      </c>
      <c r="K945" s="12" t="str">
        <f>HYPERLINK("https://mobile.twitter.com","Twitter Web App")</f>
        <v>Twitter Web App</v>
      </c>
      <c r="L945" s="16">
        <v>1</v>
      </c>
      <c r="M945" s="16">
        <v>36</v>
      </c>
      <c r="N945" s="16">
        <v>0</v>
      </c>
      <c r="O945" s="17"/>
      <c r="P945" s="18">
        <v>41334.981944444444</v>
      </c>
      <c r="Q945" s="8"/>
      <c r="R945" s="8"/>
      <c r="S945" s="8"/>
      <c r="T945" s="8"/>
      <c r="U945" s="19" t="str">
        <f>HYPERLINK("https://pbs.twimg.com/profile_images/1021337607182008320/m2L6WHgI.jpg","View")</f>
        <v>View</v>
      </c>
      <c r="V945" s="8"/>
      <c r="W945" s="8"/>
      <c r="X945" s="8"/>
      <c r="Y945" s="8"/>
      <c r="Z945" s="8"/>
    </row>
    <row r="946" spans="1:26" ht="12.75">
      <c r="A946" s="11">
        <v>43746.619062500002</v>
      </c>
      <c r="B946" s="12" t="str">
        <f>HYPERLINK("https://twitter.com/iushayri","@iushayri")</f>
        <v>@iushayri</v>
      </c>
      <c r="C946" s="13" t="s">
        <v>5330</v>
      </c>
      <c r="D946" s="13" t="s">
        <v>4549</v>
      </c>
      <c r="E946" s="12" t="str">
        <f>HYPERLINK("https://twitter.com/iushayri/status/1181688582160994304","1181688582160994304")</f>
        <v>1181688582160994304</v>
      </c>
      <c r="F946" s="8"/>
      <c r="G946" s="14" t="s">
        <v>5331</v>
      </c>
      <c r="H946" s="8"/>
      <c r="I946" s="15">
        <v>0</v>
      </c>
      <c r="J946" s="15">
        <v>1</v>
      </c>
      <c r="K946" s="12" t="str">
        <f>HYPERLINK("http://twitter.com","Twitter Web Client")</f>
        <v>Twitter Web Client</v>
      </c>
      <c r="L946" s="16">
        <v>2</v>
      </c>
      <c r="M946" s="16">
        <v>44</v>
      </c>
      <c r="N946" s="16">
        <v>0</v>
      </c>
      <c r="O946" s="17"/>
      <c r="P946" s="18">
        <v>42074.14634259259</v>
      </c>
      <c r="Q946" s="8"/>
      <c r="R946" s="8"/>
      <c r="S946" s="8"/>
      <c r="T946" s="8"/>
      <c r="U946" s="19" t="str">
        <f>HYPERLINK("https://pbs.twimg.com/profile_images/575606355819544576/GkMLECEs.jpeg","View")</f>
        <v>View</v>
      </c>
      <c r="V946" s="8"/>
      <c r="W946" s="8"/>
      <c r="X946" s="8"/>
      <c r="Y946" s="8"/>
      <c r="Z946" s="8"/>
    </row>
    <row r="947" spans="1:26" ht="12.75">
      <c r="A947" s="11">
        <v>43746.617731481485</v>
      </c>
      <c r="B947" s="12" t="str">
        <f>HYPERLINK("https://twitter.com/mohamed86420783","@mohamed86420783")</f>
        <v>@mohamed86420783</v>
      </c>
      <c r="C947" s="13" t="s">
        <v>5335</v>
      </c>
      <c r="D947" s="13" t="s">
        <v>4565</v>
      </c>
      <c r="E947" s="12" t="str">
        <f>HYPERLINK("https://twitter.com/mohamed86420783/status/1181688100352868352","1181688100352868352")</f>
        <v>1181688100352868352</v>
      </c>
      <c r="F947" s="8"/>
      <c r="G947" s="14" t="s">
        <v>5336</v>
      </c>
      <c r="H947" s="8"/>
      <c r="I947" s="15">
        <v>0</v>
      </c>
      <c r="J947" s="15">
        <v>0</v>
      </c>
      <c r="K947" s="12" t="str">
        <f>HYPERLINK("http://twitter.com","Twitter Web Client")</f>
        <v>Twitter Web Client</v>
      </c>
      <c r="L947" s="16">
        <v>0</v>
      </c>
      <c r="M947" s="16">
        <v>41</v>
      </c>
      <c r="N947" s="16">
        <v>0</v>
      </c>
      <c r="O947" s="17"/>
      <c r="P947" s="18">
        <v>42079.202361111107</v>
      </c>
      <c r="Q947" s="8"/>
      <c r="R947" s="8"/>
      <c r="S947" s="8"/>
      <c r="T947" s="8"/>
      <c r="U947" s="19" t="str">
        <f>HYPERLINK("https://pbs.twimg.com/profile_images/577456837605228544/2K5iG5V2.jpeg","View")</f>
        <v>View</v>
      </c>
      <c r="V947" s="8"/>
      <c r="W947" s="8"/>
      <c r="X947" s="8"/>
      <c r="Y947" s="8"/>
      <c r="Z947" s="8"/>
    </row>
    <row r="948" spans="1:26" ht="12.75">
      <c r="A948" s="11">
        <v>43746.617650462962</v>
      </c>
      <c r="B948" s="12" t="str">
        <f>HYPERLINK("https://twitter.com/afia_ahmad52","@afia_ahmad52")</f>
        <v>@afia_ahmad52</v>
      </c>
      <c r="C948" s="13" t="s">
        <v>5341</v>
      </c>
      <c r="D948" s="7" t="s">
        <v>937</v>
      </c>
      <c r="E948" s="12" t="str">
        <f>HYPERLINK("https://twitter.com/afia_ahmad52/status/1181688072104054784","1181688072104054784")</f>
        <v>1181688072104054784</v>
      </c>
      <c r="F948" s="8"/>
      <c r="G948" s="14" t="s">
        <v>5342</v>
      </c>
      <c r="H948" s="8"/>
      <c r="I948" s="15">
        <v>0</v>
      </c>
      <c r="J948" s="15">
        <v>0</v>
      </c>
      <c r="K948" s="12" t="str">
        <f>HYPERLINK("https://mobile.twitter.com","Twitter Web App")</f>
        <v>Twitter Web App</v>
      </c>
      <c r="L948" s="16">
        <v>0</v>
      </c>
      <c r="M948" s="16">
        <v>36</v>
      </c>
      <c r="N948" s="16">
        <v>0</v>
      </c>
      <c r="O948" s="17"/>
      <c r="P948" s="18">
        <v>41334.976539351854</v>
      </c>
      <c r="Q948" s="7"/>
      <c r="R948" s="13"/>
      <c r="S948" s="8"/>
      <c r="T948" s="8"/>
      <c r="U948" s="19" t="str">
        <f>HYPERLINK("https://pbs.twimg.com/profile_images/1021336940845490177/7mQoVo0z.jpg","View")</f>
        <v>View</v>
      </c>
      <c r="V948" s="8"/>
      <c r="W948" s="8"/>
      <c r="X948" s="8"/>
      <c r="Y948" s="8"/>
      <c r="Z948" s="8"/>
    </row>
    <row r="949" spans="1:26" ht="12.75">
      <c r="A949" s="11">
        <v>43746.617604166662</v>
      </c>
      <c r="B949" s="12" t="str">
        <f>HYPERLINK("https://twitter.com/albawad555","@albawad555")</f>
        <v>@albawad555</v>
      </c>
      <c r="C949" s="7" t="s">
        <v>5346</v>
      </c>
      <c r="D949" s="7" t="s">
        <v>5347</v>
      </c>
      <c r="E949" s="12" t="str">
        <f>HYPERLINK("https://twitter.com/albawad555/status/1181688053666123776","1181688053666123776")</f>
        <v>1181688053666123776</v>
      </c>
      <c r="F949" s="8"/>
      <c r="G949" s="14" t="s">
        <v>5348</v>
      </c>
      <c r="H949" s="8"/>
      <c r="I949" s="15">
        <v>0</v>
      </c>
      <c r="J949" s="15">
        <v>0</v>
      </c>
      <c r="K949" s="12" t="str">
        <f>HYPERLINK("http://twitter.com","Twitter Web Client")</f>
        <v>Twitter Web Client</v>
      </c>
      <c r="L949" s="16">
        <v>5</v>
      </c>
      <c r="M949" s="16">
        <v>41</v>
      </c>
      <c r="N949" s="16">
        <v>1</v>
      </c>
      <c r="O949" s="17"/>
      <c r="P949" s="18">
        <v>42082.506469907406</v>
      </c>
      <c r="Q949" s="7"/>
      <c r="R949" s="13"/>
      <c r="S949" s="8"/>
      <c r="T949" s="8"/>
      <c r="U949" s="19" t="str">
        <f>HYPERLINK("https://pbs.twimg.com/profile_images/578634502718627840/_zrEnLQS.jpeg","View")</f>
        <v>View</v>
      </c>
      <c r="V949" s="8"/>
      <c r="W949" s="8"/>
      <c r="X949" s="8"/>
      <c r="Y949" s="8"/>
      <c r="Z949" s="8"/>
    </row>
    <row r="950" spans="1:26" ht="12.75">
      <c r="A950" s="11">
        <v>43746.61655092593</v>
      </c>
      <c r="B950" s="12" t="str">
        <f>HYPERLINK("https://twitter.com/mannaqarni1","@mannaqarni1")</f>
        <v>@mannaqarni1</v>
      </c>
      <c r="C950" s="13" t="s">
        <v>5349</v>
      </c>
      <c r="D950" s="13" t="s">
        <v>5350</v>
      </c>
      <c r="E950" s="12" t="str">
        <f>HYPERLINK("https://twitter.com/mannaqarni1/status/1181687671644676098","1181687671644676098")</f>
        <v>1181687671644676098</v>
      </c>
      <c r="F950" s="8"/>
      <c r="G950" s="14" t="s">
        <v>5351</v>
      </c>
      <c r="H950" s="8"/>
      <c r="I950" s="15">
        <v>0</v>
      </c>
      <c r="J950" s="15">
        <v>0</v>
      </c>
      <c r="K950" s="12" t="str">
        <f>HYPERLINK("http://twitter.com","Twitter Web Client")</f>
        <v>Twitter Web Client</v>
      </c>
      <c r="L950" s="16">
        <v>2</v>
      </c>
      <c r="M950" s="16">
        <v>38</v>
      </c>
      <c r="N950" s="16">
        <v>0</v>
      </c>
      <c r="O950" s="17"/>
      <c r="P950" s="18">
        <v>42023.304652777777</v>
      </c>
      <c r="Q950" s="8"/>
      <c r="R950" s="8"/>
      <c r="S950" s="8"/>
      <c r="T950" s="8"/>
      <c r="U950" s="19" t="str">
        <f>HYPERLINK("https://pbs.twimg.com/profile_images/557196259644043265/Yi6LAHVh.jpeg","View")</f>
        <v>View</v>
      </c>
      <c r="V950" s="8"/>
      <c r="W950" s="8"/>
      <c r="X950" s="8"/>
      <c r="Y950" s="8"/>
      <c r="Z950" s="8"/>
    </row>
    <row r="951" spans="1:26" ht="12.75">
      <c r="A951" s="11">
        <v>43746.616296296299</v>
      </c>
      <c r="B951" s="12" t="str">
        <f>HYPERLINK("https://twitter.com/HebshiKhalifah","@HebshiKhalifah")</f>
        <v>@HebshiKhalifah</v>
      </c>
      <c r="C951" s="13" t="s">
        <v>5354</v>
      </c>
      <c r="D951" s="13" t="s">
        <v>914</v>
      </c>
      <c r="E951" s="12" t="str">
        <f>HYPERLINK("https://twitter.com/HebshiKhalifah/status/1181687581953548288","1181687581953548288")</f>
        <v>1181687581953548288</v>
      </c>
      <c r="F951" s="8"/>
      <c r="G951" s="14" t="s">
        <v>917</v>
      </c>
      <c r="H951" s="8"/>
      <c r="I951" s="15">
        <v>0</v>
      </c>
      <c r="J951" s="15">
        <v>0</v>
      </c>
      <c r="K951" s="12" t="str">
        <f>HYPERLINK("https://mobile.twitter.com","Twitter Web App")</f>
        <v>Twitter Web App</v>
      </c>
      <c r="L951" s="16">
        <v>0</v>
      </c>
      <c r="M951" s="16">
        <v>0</v>
      </c>
      <c r="N951" s="16">
        <v>0</v>
      </c>
      <c r="O951" s="17"/>
      <c r="P951" s="18">
        <v>43729.019432870366</v>
      </c>
      <c r="Q951" s="8" t="s">
        <v>1428</v>
      </c>
      <c r="R951" s="8" t="s">
        <v>2727</v>
      </c>
      <c r="S951" s="8"/>
      <c r="T951" s="8"/>
      <c r="U951" s="19" t="str">
        <f>HYPERLINK("https://pbs.twimg.com/profile_images/1180402811193815040/f0BlQnTq.jpg","View")</f>
        <v>View</v>
      </c>
      <c r="V951" s="8"/>
      <c r="W951" s="8"/>
      <c r="X951" s="8"/>
      <c r="Y951" s="8"/>
      <c r="Z951" s="8"/>
    </row>
    <row r="952" spans="1:26" ht="12.75">
      <c r="A952" s="11">
        <v>43746.616215277776</v>
      </c>
      <c r="B952" s="12" t="str">
        <f>HYPERLINK("https://twitter.com/salim_alharbi47","@salim_alharbi47")</f>
        <v>@salim_alharbi47</v>
      </c>
      <c r="C952" s="13" t="s">
        <v>5358</v>
      </c>
      <c r="D952" s="13" t="s">
        <v>952</v>
      </c>
      <c r="E952" s="12" t="str">
        <f>HYPERLINK("https://twitter.com/salim_alharbi47/status/1181687550919839744","1181687550919839744")</f>
        <v>1181687550919839744</v>
      </c>
      <c r="F952" s="8"/>
      <c r="G952" s="14" t="s">
        <v>5359</v>
      </c>
      <c r="H952" s="8"/>
      <c r="I952" s="15">
        <v>0</v>
      </c>
      <c r="J952" s="15">
        <v>0</v>
      </c>
      <c r="K952" s="12" t="str">
        <f>HYPERLINK("https://mobile.twitter.com","Twitter Web App")</f>
        <v>Twitter Web App</v>
      </c>
      <c r="L952" s="16">
        <v>0</v>
      </c>
      <c r="M952" s="16">
        <v>36</v>
      </c>
      <c r="N952" s="16">
        <v>0</v>
      </c>
      <c r="O952" s="17"/>
      <c r="P952" s="18">
        <v>41334.966354166667</v>
      </c>
      <c r="Q952" s="8"/>
      <c r="R952" s="8"/>
      <c r="S952" s="8"/>
      <c r="T952" s="8"/>
      <c r="U952" s="19" t="str">
        <f>HYPERLINK("https://pbs.twimg.com/profile_images/1021335453704773632/yF1rAHzD.jpg","View")</f>
        <v>View</v>
      </c>
      <c r="V952" s="8"/>
      <c r="W952" s="8"/>
      <c r="X952" s="8"/>
      <c r="Y952" s="8"/>
      <c r="Z952" s="8"/>
    </row>
    <row r="953" spans="1:26" ht="12.75">
      <c r="A953" s="11">
        <v>43746.615740740745</v>
      </c>
      <c r="B953" s="12" t="str">
        <f>HYPERLINK("https://twitter.com/Turki585Ali","@Turki585Ali")</f>
        <v>@Turki585Ali</v>
      </c>
      <c r="C953" s="13" t="s">
        <v>5363</v>
      </c>
      <c r="D953" s="7" t="s">
        <v>5364</v>
      </c>
      <c r="E953" s="12" t="str">
        <f>HYPERLINK("https://twitter.com/Turki585Ali/status/1181687380639731719","1181687380639731719")</f>
        <v>1181687380639731719</v>
      </c>
      <c r="F953" s="8"/>
      <c r="G953" s="14" t="s">
        <v>5365</v>
      </c>
      <c r="H953" s="8"/>
      <c r="I953" s="15">
        <v>0</v>
      </c>
      <c r="J953" s="15">
        <v>0</v>
      </c>
      <c r="K953" s="12" t="str">
        <f>HYPERLINK("http://twitter.com","Twitter Web Client")</f>
        <v>Twitter Web Client</v>
      </c>
      <c r="L953" s="16">
        <v>4</v>
      </c>
      <c r="M953" s="16">
        <v>40</v>
      </c>
      <c r="N953" s="16">
        <v>0</v>
      </c>
      <c r="O953" s="17"/>
      <c r="P953" s="18">
        <v>42215.056620370371</v>
      </c>
      <c r="Q953" s="7"/>
      <c r="R953" s="13"/>
      <c r="S953" s="8"/>
      <c r="T953" s="8"/>
      <c r="U953" s="19" t="str">
        <f>HYPERLINK("https://pbs.twimg.com/profile_images/626669139449372672/bXNFun9p.jpg","View")</f>
        <v>View</v>
      </c>
      <c r="V953" s="8"/>
      <c r="W953" s="8"/>
      <c r="X953" s="8"/>
      <c r="Y953" s="8"/>
      <c r="Z953" s="8"/>
    </row>
    <row r="954" spans="1:26" ht="12.75">
      <c r="A954" s="11">
        <v>43746.615057870367</v>
      </c>
      <c r="B954" s="12" t="str">
        <f>HYPERLINK("https://twitter.com/hameddmandora33","@hameddmandora33")</f>
        <v>@hameddmandora33</v>
      </c>
      <c r="C954" s="13" t="s">
        <v>5368</v>
      </c>
      <c r="D954" s="7" t="s">
        <v>5369</v>
      </c>
      <c r="E954" s="12" t="str">
        <f>HYPERLINK("https://twitter.com/hameddmandora33/status/1181687133083488256","1181687133083488256")</f>
        <v>1181687133083488256</v>
      </c>
      <c r="F954" s="8"/>
      <c r="G954" s="14" t="s">
        <v>5372</v>
      </c>
      <c r="H954" s="8"/>
      <c r="I954" s="15">
        <v>0</v>
      </c>
      <c r="J954" s="15">
        <v>0</v>
      </c>
      <c r="K954" s="12" t="str">
        <f>HYPERLINK("http://twitter.com","Twitter Web Client")</f>
        <v>Twitter Web Client</v>
      </c>
      <c r="L954" s="16">
        <v>2</v>
      </c>
      <c r="M954" s="16">
        <v>36</v>
      </c>
      <c r="N954" s="16">
        <v>0</v>
      </c>
      <c r="O954" s="17"/>
      <c r="P954" s="18">
        <v>42075.088553240741</v>
      </c>
      <c r="Q954" s="7"/>
      <c r="R954" s="13"/>
      <c r="S954" s="8"/>
      <c r="T954" s="8"/>
      <c r="U954" s="19" t="str">
        <f>HYPERLINK("https://pbs.twimg.com/profile_images/575947013495259136/mwocHHOL.jpeg","View")</f>
        <v>View</v>
      </c>
      <c r="V954" s="8"/>
      <c r="W954" s="8"/>
      <c r="X954" s="8"/>
      <c r="Y954" s="8"/>
      <c r="Z954" s="8"/>
    </row>
    <row r="955" spans="1:26" ht="12.75">
      <c r="A955" s="11">
        <v>43746.61440972222</v>
      </c>
      <c r="B955" s="12" t="str">
        <f>HYPERLINK("https://twitter.com/fatmah_hamud","@fatmah_hamud")</f>
        <v>@fatmah_hamud</v>
      </c>
      <c r="C955" s="13" t="s">
        <v>5374</v>
      </c>
      <c r="D955" s="13" t="s">
        <v>1178</v>
      </c>
      <c r="E955" s="12" t="str">
        <f>HYPERLINK("https://twitter.com/fatmah_hamud/status/1181686895656361984","1181686895656361984")</f>
        <v>1181686895656361984</v>
      </c>
      <c r="F955" s="8"/>
      <c r="G955" s="14" t="s">
        <v>5376</v>
      </c>
      <c r="H955" s="8"/>
      <c r="I955" s="15">
        <v>0</v>
      </c>
      <c r="J955" s="15">
        <v>0</v>
      </c>
      <c r="K955" s="12" t="str">
        <f>HYPERLINK("https://mobile.twitter.com","Twitter Web App")</f>
        <v>Twitter Web App</v>
      </c>
      <c r="L955" s="16">
        <v>0</v>
      </c>
      <c r="M955" s="16">
        <v>36</v>
      </c>
      <c r="N955" s="16">
        <v>0</v>
      </c>
      <c r="O955" s="17"/>
      <c r="P955" s="18">
        <v>41334.962048611109</v>
      </c>
      <c r="Q955" s="8"/>
      <c r="R955" s="8"/>
      <c r="S955" s="8"/>
      <c r="T955" s="8"/>
      <c r="U955" s="19" t="str">
        <f>HYPERLINK("https://pbs.twimg.com/profile_images/1021334458866155520/cd6Wyhlt.jpg","View")</f>
        <v>View</v>
      </c>
      <c r="V955" s="8"/>
      <c r="W955" s="8"/>
      <c r="X955" s="8"/>
      <c r="Y955" s="8"/>
      <c r="Z955" s="8"/>
    </row>
    <row r="956" spans="1:26" ht="12.75">
      <c r="A956" s="11">
        <v>43746.613912037035</v>
      </c>
      <c r="B956" s="12" t="str">
        <f>HYPERLINK("https://twitter.com/alshmali6767","@alshmali6767")</f>
        <v>@alshmali6767</v>
      </c>
      <c r="C956" s="7" t="s">
        <v>5379</v>
      </c>
      <c r="D956" s="13" t="s">
        <v>5380</v>
      </c>
      <c r="E956" s="12" t="str">
        <f>HYPERLINK("https://twitter.com/alshmali6767/status/1181686716404502528","1181686716404502528")</f>
        <v>1181686716404502528</v>
      </c>
      <c r="F956" s="8"/>
      <c r="G956" s="14" t="s">
        <v>5383</v>
      </c>
      <c r="H956" s="8"/>
      <c r="I956" s="15">
        <v>0</v>
      </c>
      <c r="J956" s="15">
        <v>0</v>
      </c>
      <c r="K956" s="12" t="str">
        <f>HYPERLINK("http://twitter.com","Twitter Web Client")</f>
        <v>Twitter Web Client</v>
      </c>
      <c r="L956" s="16">
        <v>5</v>
      </c>
      <c r="M956" s="16">
        <v>35</v>
      </c>
      <c r="N956" s="16">
        <v>0</v>
      </c>
      <c r="O956" s="17"/>
      <c r="P956" s="18">
        <v>42083.494513888887</v>
      </c>
      <c r="Q956" s="7"/>
      <c r="R956" s="13"/>
      <c r="S956" s="8"/>
      <c r="T956" s="8"/>
      <c r="U956" s="19" t="str">
        <f>HYPERLINK("https://pbs.twimg.com/profile_images/578992636914192384/eHNLrhpo.jpeg","View")</f>
        <v>View</v>
      </c>
      <c r="V956" s="8"/>
      <c r="W956" s="8"/>
      <c r="X956" s="8"/>
      <c r="Y956" s="8"/>
      <c r="Z956" s="8"/>
    </row>
    <row r="957" spans="1:26" ht="12.75">
      <c r="A957" s="11">
        <v>43746.613506944443</v>
      </c>
      <c r="B957" s="12" t="str">
        <f>HYPERLINK("https://twitter.com/AliReza83948681","@AliReza83948681")</f>
        <v>@AliReza83948681</v>
      </c>
      <c r="C957" s="13" t="s">
        <v>5385</v>
      </c>
      <c r="D957" s="13" t="s">
        <v>1178</v>
      </c>
      <c r="E957" s="12" t="str">
        <f>HYPERLINK("https://twitter.com/AliReza83948681/status/1181686569456922624","1181686569456922624")</f>
        <v>1181686569456922624</v>
      </c>
      <c r="F957" s="8"/>
      <c r="G957" s="14" t="s">
        <v>5386</v>
      </c>
      <c r="H957" s="8"/>
      <c r="I957" s="15">
        <v>0</v>
      </c>
      <c r="J957" s="15">
        <v>0</v>
      </c>
      <c r="K957" s="12" t="str">
        <f>HYPERLINK("https://mobile.twitter.com","Twitter Web App")</f>
        <v>Twitter Web App</v>
      </c>
      <c r="L957" s="16">
        <v>0</v>
      </c>
      <c r="M957" s="16">
        <v>1</v>
      </c>
      <c r="N957" s="16">
        <v>0</v>
      </c>
      <c r="O957" s="17"/>
      <c r="P957" s="18">
        <v>43730.123877314814</v>
      </c>
      <c r="Q957" s="8" t="s">
        <v>1228</v>
      </c>
      <c r="R957" s="8" t="s">
        <v>955</v>
      </c>
      <c r="S957" s="8"/>
      <c r="T957" s="8"/>
      <c r="U957" s="19" t="str">
        <f>HYPERLINK("https://pbs.twimg.com/profile_images/1178953122246361088/b2BFYP77.jpg","View")</f>
        <v>View</v>
      </c>
      <c r="V957" s="8"/>
      <c r="W957" s="8"/>
      <c r="X957" s="8"/>
      <c r="Y957" s="8"/>
      <c r="Z957" s="8"/>
    </row>
    <row r="958" spans="1:26" ht="12.75">
      <c r="A958" s="11">
        <v>43746.613391203704</v>
      </c>
      <c r="B958" s="12" t="str">
        <f>HYPERLINK("https://twitter.com/hashaabid1400","@hashaabid1400")</f>
        <v>@hashaabid1400</v>
      </c>
      <c r="C958" s="13" t="s">
        <v>5387</v>
      </c>
      <c r="D958" s="13" t="s">
        <v>1236</v>
      </c>
      <c r="E958" s="12" t="str">
        <f>HYPERLINK("https://twitter.com/hashaabid1400/status/1181686527694274561","1181686527694274561")</f>
        <v>1181686527694274561</v>
      </c>
      <c r="F958" s="8"/>
      <c r="G958" s="14" t="s">
        <v>5388</v>
      </c>
      <c r="H958" s="8"/>
      <c r="I958" s="15">
        <v>0</v>
      </c>
      <c r="J958" s="15">
        <v>0</v>
      </c>
      <c r="K958" s="12" t="str">
        <f>HYPERLINK("https://mobile.twitter.com","Twitter Web App")</f>
        <v>Twitter Web App</v>
      </c>
      <c r="L958" s="16">
        <v>1</v>
      </c>
      <c r="M958" s="16">
        <v>46</v>
      </c>
      <c r="N958" s="16">
        <v>0</v>
      </c>
      <c r="O958" s="17"/>
      <c r="P958" s="18">
        <v>41299.263854166667</v>
      </c>
      <c r="Q958" s="8"/>
      <c r="R958" s="8"/>
      <c r="S958" s="8"/>
      <c r="T958" s="8"/>
      <c r="U958" s="19" t="str">
        <f>HYPERLINK("https://pbs.twimg.com/profile_images/939432019548712960/hOqZKpbB.jpg","View")</f>
        <v>View</v>
      </c>
      <c r="V958" s="8"/>
      <c r="W958" s="8"/>
      <c r="X958" s="8"/>
      <c r="Y958" s="8"/>
      <c r="Z958" s="8"/>
    </row>
    <row r="959" spans="1:26" ht="12.75">
      <c r="A959" s="11">
        <v>43746.613217592589</v>
      </c>
      <c r="B959" s="12" t="str">
        <f>HYPERLINK("https://twitter.com/salhaalkablan14","@salhaalkablan14")</f>
        <v>@salhaalkablan14</v>
      </c>
      <c r="C959" s="13" t="s">
        <v>5391</v>
      </c>
      <c r="D959" s="7" t="s">
        <v>28</v>
      </c>
      <c r="E959" s="12" t="str">
        <f>HYPERLINK("https://twitter.com/salhaalkablan14/status/1181686465169780738","1181686465169780738")</f>
        <v>1181686465169780738</v>
      </c>
      <c r="F959" s="8"/>
      <c r="G959" s="14" t="s">
        <v>1267</v>
      </c>
      <c r="H959" s="8"/>
      <c r="I959" s="15">
        <v>0</v>
      </c>
      <c r="J959" s="15">
        <v>0</v>
      </c>
      <c r="K959" s="12" t="str">
        <f>HYPERLINK("https://mobile.twitter.com","Twitter Web App")</f>
        <v>Twitter Web App</v>
      </c>
      <c r="L959" s="16">
        <v>0</v>
      </c>
      <c r="M959" s="16">
        <v>43</v>
      </c>
      <c r="N959" s="16">
        <v>0</v>
      </c>
      <c r="O959" s="17"/>
      <c r="P959" s="18">
        <v>41299.258437500001</v>
      </c>
      <c r="Q959" s="7"/>
      <c r="R959" s="13"/>
      <c r="S959" s="8"/>
      <c r="T959" s="8"/>
      <c r="U959" s="19" t="str">
        <f>HYPERLINK("https://pbs.twimg.com/profile_images/939432008433811456/7Qu747uV.jpg","View")</f>
        <v>View</v>
      </c>
      <c r="V959" s="8"/>
      <c r="W959" s="8"/>
      <c r="X959" s="8"/>
      <c r="Y959" s="8"/>
      <c r="Z959" s="8"/>
    </row>
    <row r="960" spans="1:26" ht="12.75">
      <c r="A960" s="11">
        <v>43746.613182870366</v>
      </c>
      <c r="B960" s="12" t="str">
        <f>HYPERLINK("https://twitter.com/HamdahKa","@HamdahKa")</f>
        <v>@HamdahKa</v>
      </c>
      <c r="C960" s="13" t="s">
        <v>5394</v>
      </c>
      <c r="D960" s="7" t="s">
        <v>28</v>
      </c>
      <c r="E960" s="12" t="str">
        <f>HYPERLINK("https://twitter.com/HamdahKa/status/1181686453899677696","1181686453899677696")</f>
        <v>1181686453899677696</v>
      </c>
      <c r="F960" s="8"/>
      <c r="G960" s="14" t="s">
        <v>31</v>
      </c>
      <c r="H960" s="8"/>
      <c r="I960" s="15">
        <v>0</v>
      </c>
      <c r="J960" s="15">
        <v>0</v>
      </c>
      <c r="K960" s="12" t="str">
        <f>HYPERLINK("https://mobile.twitter.com","Twitter Web App")</f>
        <v>Twitter Web App</v>
      </c>
      <c r="L960" s="16">
        <v>0</v>
      </c>
      <c r="M960" s="16">
        <v>1</v>
      </c>
      <c r="N960" s="16">
        <v>0</v>
      </c>
      <c r="O960" s="20"/>
      <c r="P960" s="18">
        <v>43727.151122685187</v>
      </c>
      <c r="Q960" s="13" t="s">
        <v>949</v>
      </c>
      <c r="R960" s="13" t="s">
        <v>1839</v>
      </c>
      <c r="S960" s="8"/>
      <c r="T960" s="8"/>
      <c r="U960" s="19" t="str">
        <f>HYPERLINK("https://pbs.twimg.com/profile_images/1180401505255297024/lZCslY0p.jpg","View")</f>
        <v>View</v>
      </c>
      <c r="V960" s="8"/>
      <c r="W960" s="8"/>
      <c r="X960" s="8"/>
      <c r="Y960" s="8"/>
      <c r="Z960" s="8"/>
    </row>
    <row r="961" spans="1:26" ht="12.75">
      <c r="A961" s="11">
        <v>43746.61310185185</v>
      </c>
      <c r="B961" s="12" t="str">
        <f>HYPERLINK("https://twitter.com/MarzuokMohammed","@MarzuokMohammed")</f>
        <v>@MarzuokMohammed</v>
      </c>
      <c r="C961" s="13" t="s">
        <v>5401</v>
      </c>
      <c r="D961" s="7" t="s">
        <v>5402</v>
      </c>
      <c r="E961" s="12" t="str">
        <f>HYPERLINK("https://twitter.com/MarzuokMohammed/status/1181686421796655104","1181686421796655104")</f>
        <v>1181686421796655104</v>
      </c>
      <c r="F961" s="8"/>
      <c r="G961" s="14" t="s">
        <v>5403</v>
      </c>
      <c r="H961" s="8"/>
      <c r="I961" s="15">
        <v>0</v>
      </c>
      <c r="J961" s="15">
        <v>0</v>
      </c>
      <c r="K961" s="12" t="str">
        <f>HYPERLINK("http://twitter.com","Twitter Web Client")</f>
        <v>Twitter Web Client</v>
      </c>
      <c r="L961" s="16">
        <v>4</v>
      </c>
      <c r="M961" s="16">
        <v>40</v>
      </c>
      <c r="N961" s="16">
        <v>0</v>
      </c>
      <c r="O961" s="17"/>
      <c r="P961" s="18">
        <v>42078.688055555554</v>
      </c>
      <c r="Q961" s="7"/>
      <c r="R961" s="13"/>
      <c r="S961" s="8"/>
      <c r="T961" s="8"/>
      <c r="U961" s="19" t="str">
        <f>HYPERLINK("https://pbs.twimg.com/profile_images/577273780512264192/8KwP13Gu.jpeg","View")</f>
        <v>View</v>
      </c>
      <c r="V961" s="8"/>
      <c r="W961" s="8"/>
      <c r="X961" s="8"/>
      <c r="Y961" s="8"/>
      <c r="Z961" s="8"/>
    </row>
    <row r="962" spans="1:26" ht="12.75">
      <c r="A962" s="11">
        <v>43746.611875000002</v>
      </c>
      <c r="B962" s="12" t="str">
        <f>HYPERLINK("https://twitter.com/mohhad_784","@mohhad_784")</f>
        <v>@mohhad_784</v>
      </c>
      <c r="C962" s="13" t="s">
        <v>5407</v>
      </c>
      <c r="D962" s="13" t="s">
        <v>944</v>
      </c>
      <c r="E962" s="12" t="str">
        <f>HYPERLINK("https://twitter.com/mohhad_784/status/1181685978630504449","1181685978630504449")</f>
        <v>1181685978630504449</v>
      </c>
      <c r="F962" s="8"/>
      <c r="G962" s="14" t="s">
        <v>5408</v>
      </c>
      <c r="H962" s="8"/>
      <c r="I962" s="15">
        <v>0</v>
      </c>
      <c r="J962" s="15">
        <v>0</v>
      </c>
      <c r="K962" s="12" t="str">
        <f>HYPERLINK("https://mobile.twitter.com","Twitter Web App")</f>
        <v>Twitter Web App</v>
      </c>
      <c r="L962" s="16">
        <v>0</v>
      </c>
      <c r="M962" s="16">
        <v>33</v>
      </c>
      <c r="N962" s="16">
        <v>0</v>
      </c>
      <c r="O962" s="17"/>
      <c r="P962" s="18">
        <v>41359.223125000004</v>
      </c>
      <c r="Q962" s="8"/>
      <c r="R962" s="8"/>
      <c r="S962" s="8"/>
      <c r="T962" s="8"/>
      <c r="U962" s="19" t="str">
        <f>HYPERLINK("https://pbs.twimg.com/profile_images/1177284967467892736/XaFoBsSu.jpg","View")</f>
        <v>View</v>
      </c>
      <c r="V962" s="8"/>
      <c r="W962" s="8"/>
      <c r="X962" s="8"/>
      <c r="Y962" s="8"/>
      <c r="Z962" s="8"/>
    </row>
    <row r="963" spans="1:26" ht="12.75">
      <c r="A963" s="11">
        <v>43746.611805555556</v>
      </c>
      <c r="B963" s="12" t="str">
        <f>HYPERLINK("https://twitter.com/obaidrashidi1","@obaidrashidi1")</f>
        <v>@obaidrashidi1</v>
      </c>
      <c r="C963" s="13" t="s">
        <v>5411</v>
      </c>
      <c r="D963" s="7" t="s">
        <v>530</v>
      </c>
      <c r="E963" s="12" t="str">
        <f>HYPERLINK("https://twitter.com/obaidrashidi1/status/1181685951455748096","1181685951455748096")</f>
        <v>1181685951455748096</v>
      </c>
      <c r="F963" s="8"/>
      <c r="G963" s="14" t="s">
        <v>5412</v>
      </c>
      <c r="H963" s="8"/>
      <c r="I963" s="15">
        <v>0</v>
      </c>
      <c r="J963" s="15">
        <v>0</v>
      </c>
      <c r="K963" s="12" t="str">
        <f>HYPERLINK("http://twitter.com","Twitter Web Client")</f>
        <v>Twitter Web Client</v>
      </c>
      <c r="L963" s="16">
        <v>1</v>
      </c>
      <c r="M963" s="16">
        <v>35</v>
      </c>
      <c r="N963" s="16">
        <v>0</v>
      </c>
      <c r="O963" s="17"/>
      <c r="P963" s="18">
        <v>42081.389293981483</v>
      </c>
      <c r="Q963" s="7"/>
      <c r="R963" s="8"/>
      <c r="S963" s="8"/>
      <c r="T963" s="8"/>
      <c r="U963" s="19" t="str">
        <f>HYPERLINK("https://pbs.twimg.com/profile_images/578229949586284544/B2nQnJFI.jpeg","View")</f>
        <v>View</v>
      </c>
      <c r="V963" s="8"/>
      <c r="W963" s="8"/>
      <c r="X963" s="8"/>
      <c r="Y963" s="8"/>
      <c r="Z963" s="8"/>
    </row>
    <row r="964" spans="1:26" ht="12.75">
      <c r="A964" s="11">
        <v>43746.611701388887</v>
      </c>
      <c r="B964" s="12" t="str">
        <f>HYPERLINK("https://twitter.com/fad_7821","@fad_7821")</f>
        <v>@fad_7821</v>
      </c>
      <c r="C964" s="13" t="s">
        <v>5415</v>
      </c>
      <c r="D964" s="13" t="s">
        <v>1030</v>
      </c>
      <c r="E964" s="12" t="str">
        <f>HYPERLINK("https://twitter.com/fad_7821/status/1181685914881286144","1181685914881286144")</f>
        <v>1181685914881286144</v>
      </c>
      <c r="F964" s="8"/>
      <c r="G964" s="14" t="s">
        <v>5417</v>
      </c>
      <c r="H964" s="8"/>
      <c r="I964" s="15">
        <v>0</v>
      </c>
      <c r="J964" s="15">
        <v>0</v>
      </c>
      <c r="K964" s="12" t="str">
        <f>HYPERLINK("https://mobile.twitter.com","Twitter Web App")</f>
        <v>Twitter Web App</v>
      </c>
      <c r="L964" s="16">
        <v>0</v>
      </c>
      <c r="M964" s="16">
        <v>27</v>
      </c>
      <c r="N964" s="16">
        <v>0</v>
      </c>
      <c r="O964" s="17"/>
      <c r="P964" s="18">
        <v>41359.221076388887</v>
      </c>
      <c r="Q964" s="8"/>
      <c r="R964" s="8"/>
      <c r="S964" s="8"/>
      <c r="T964" s="8"/>
      <c r="U964" s="19" t="str">
        <f>HYPERLINK("https://pbs.twimg.com/profile_images/1176249379549634560/nGwgykKL.jpg","View")</f>
        <v>View</v>
      </c>
      <c r="V964" s="8"/>
      <c r="W964" s="8"/>
      <c r="X964" s="8"/>
      <c r="Y964" s="8"/>
      <c r="Z964" s="8"/>
    </row>
    <row r="965" spans="1:26" ht="12.75">
      <c r="A965" s="11">
        <v>43746.61142361111</v>
      </c>
      <c r="B965" s="12" t="str">
        <f>HYPERLINK("https://twitter.com/ahmd_6723","@ahmd_6723")</f>
        <v>@ahmd_6723</v>
      </c>
      <c r="C965" s="13" t="s">
        <v>4964</v>
      </c>
      <c r="D965" s="7" t="s">
        <v>1130</v>
      </c>
      <c r="E965" s="12" t="str">
        <f>HYPERLINK("https://twitter.com/ahmd_6723/status/1181685814327042049","1181685814327042049")</f>
        <v>1181685814327042049</v>
      </c>
      <c r="F965" s="8"/>
      <c r="G965" s="14" t="s">
        <v>5420</v>
      </c>
      <c r="H965" s="8"/>
      <c r="I965" s="15">
        <v>0</v>
      </c>
      <c r="J965" s="15">
        <v>0</v>
      </c>
      <c r="K965" s="12" t="str">
        <f>HYPERLINK("https://mobile.twitter.com","Twitter Web App")</f>
        <v>Twitter Web App</v>
      </c>
      <c r="L965" s="16">
        <v>1</v>
      </c>
      <c r="M965" s="16">
        <v>33</v>
      </c>
      <c r="N965" s="16">
        <v>0</v>
      </c>
      <c r="O965" s="17"/>
      <c r="P965" s="18">
        <v>41359.105624999997</v>
      </c>
      <c r="Q965" s="7"/>
      <c r="R965" s="13"/>
      <c r="S965" s="8"/>
      <c r="T965" s="8"/>
      <c r="U965" s="19" t="str">
        <f>HYPERLINK("https://pbs.twimg.com/profile_images/939417922685906945/PUw_CFvb.jpg","View")</f>
        <v>View</v>
      </c>
      <c r="V965" s="8"/>
      <c r="W965" s="8"/>
      <c r="X965" s="8"/>
      <c r="Y965" s="8"/>
      <c r="Z965" s="8"/>
    </row>
    <row r="966" spans="1:26" ht="12.75">
      <c r="A966" s="11">
        <v>43746.611215277779</v>
      </c>
      <c r="B966" s="12" t="str">
        <f>HYPERLINK("https://twitter.com/safei_901","@safei_901")</f>
        <v>@safei_901</v>
      </c>
      <c r="C966" s="7" t="s">
        <v>5212</v>
      </c>
      <c r="D966" s="13" t="s">
        <v>1107</v>
      </c>
      <c r="E966" s="12" t="str">
        <f>HYPERLINK("https://twitter.com/safei_901/status/1181685740511494144","1181685740511494144")</f>
        <v>1181685740511494144</v>
      </c>
      <c r="F966" s="8"/>
      <c r="G966" s="14" t="s">
        <v>5424</v>
      </c>
      <c r="H966" s="8"/>
      <c r="I966" s="15">
        <v>0</v>
      </c>
      <c r="J966" s="15">
        <v>0</v>
      </c>
      <c r="K966" s="12" t="str">
        <f>HYPERLINK("https://mobile.twitter.com","Twitter Web App")</f>
        <v>Twitter Web App</v>
      </c>
      <c r="L966" s="16">
        <v>0</v>
      </c>
      <c r="M966" s="16">
        <v>33</v>
      </c>
      <c r="N966" s="16">
        <v>0</v>
      </c>
      <c r="O966" s="17"/>
      <c r="P966" s="18">
        <v>41359.098055555558</v>
      </c>
      <c r="Q966" s="7"/>
      <c r="R966" s="13"/>
      <c r="S966" s="8"/>
      <c r="T966" s="8"/>
      <c r="U966" s="19" t="str">
        <f>HYPERLINK("https://pbs.twimg.com/profile_images/939417425073733632/EvdatNKn.jpg","View")</f>
        <v>View</v>
      </c>
      <c r="V966" s="8"/>
      <c r="W966" s="8"/>
      <c r="X966" s="8"/>
      <c r="Y966" s="8"/>
      <c r="Z966" s="8"/>
    </row>
    <row r="967" spans="1:26" ht="12.75">
      <c r="A967" s="11">
        <v>43746.611018518517</v>
      </c>
      <c r="B967" s="12" t="str">
        <f>HYPERLINK("https://twitter.com/mali_8921","@mali_8921")</f>
        <v>@mali_8921</v>
      </c>
      <c r="C967" s="7" t="s">
        <v>4991</v>
      </c>
      <c r="D967" s="7" t="s">
        <v>907</v>
      </c>
      <c r="E967" s="12" t="str">
        <f>HYPERLINK("https://twitter.com/mali_8921/status/1181685669535465473","1181685669535465473")</f>
        <v>1181685669535465473</v>
      </c>
      <c r="F967" s="8"/>
      <c r="G967" s="14" t="s">
        <v>5432</v>
      </c>
      <c r="H967" s="8"/>
      <c r="I967" s="15">
        <v>0</v>
      </c>
      <c r="J967" s="15">
        <v>0</v>
      </c>
      <c r="K967" s="12" t="str">
        <f>HYPERLINK("https://mobile.twitter.com","Twitter Web App")</f>
        <v>Twitter Web App</v>
      </c>
      <c r="L967" s="16">
        <v>0</v>
      </c>
      <c r="M967" s="16">
        <v>33</v>
      </c>
      <c r="N967" s="16">
        <v>0</v>
      </c>
      <c r="O967" s="17"/>
      <c r="P967" s="18">
        <v>41359.094039351854</v>
      </c>
      <c r="Q967" s="7"/>
      <c r="R967" s="13"/>
      <c r="S967" s="8"/>
      <c r="T967" s="8"/>
      <c r="U967" s="19" t="str">
        <f>HYPERLINK("https://pbs.twimg.com/profile_images/939417004712214528/3AhCfzWQ.jpg","View")</f>
        <v>View</v>
      </c>
      <c r="V967" s="8"/>
      <c r="W967" s="8"/>
      <c r="X967" s="8"/>
      <c r="Y967" s="8"/>
      <c r="Z967" s="8"/>
    </row>
    <row r="968" spans="1:26" ht="12.75">
      <c r="A968" s="11">
        <v>43746.610763888893</v>
      </c>
      <c r="B968" s="12" t="str">
        <f>HYPERLINK("https://twitter.com/saly_780","@saly_780")</f>
        <v>@saly_780</v>
      </c>
      <c r="C968" s="13" t="s">
        <v>5434</v>
      </c>
      <c r="D968" s="13" t="s">
        <v>923</v>
      </c>
      <c r="E968" s="12" t="str">
        <f>HYPERLINK("https://twitter.com/saly_780/status/1181685575796965376","1181685575796965376")</f>
        <v>1181685575796965376</v>
      </c>
      <c r="F968" s="8"/>
      <c r="G968" s="14" t="s">
        <v>5437</v>
      </c>
      <c r="H968" s="8"/>
      <c r="I968" s="15">
        <v>0</v>
      </c>
      <c r="J968" s="15">
        <v>0</v>
      </c>
      <c r="K968" s="12" t="str">
        <f>HYPERLINK("https://mobile.twitter.com","Twitter Web App")</f>
        <v>Twitter Web App</v>
      </c>
      <c r="L968" s="16">
        <v>0</v>
      </c>
      <c r="M968" s="16">
        <v>33</v>
      </c>
      <c r="N968" s="16">
        <v>0</v>
      </c>
      <c r="O968" s="17"/>
      <c r="P968" s="18">
        <v>41359.035486111112</v>
      </c>
      <c r="Q968" s="8"/>
      <c r="R968" s="8"/>
      <c r="S968" s="8"/>
      <c r="T968" s="8"/>
      <c r="U968" s="19" t="str">
        <f>HYPERLINK("https://pbs.twimg.com/profile_images/939415717639684096/u9ClHE7Q.jpg","View")</f>
        <v>View</v>
      </c>
      <c r="V968" s="8"/>
      <c r="W968" s="8"/>
      <c r="X968" s="8"/>
      <c r="Y968" s="8"/>
      <c r="Z968" s="8"/>
    </row>
    <row r="969" spans="1:26" ht="12.75">
      <c r="A969" s="11">
        <v>43746.610532407409</v>
      </c>
      <c r="B969" s="12" t="str">
        <f>HYPERLINK("https://twitter.com/abdlrahmn_679","@abdlrahmn_679")</f>
        <v>@abdlrahmn_679</v>
      </c>
      <c r="C969" s="13" t="s">
        <v>5439</v>
      </c>
      <c r="D969" s="13" t="s">
        <v>937</v>
      </c>
      <c r="E969" s="12" t="str">
        <f>HYPERLINK("https://twitter.com/abdlrahmn_679/status/1181685491076227072","1181685491076227072")</f>
        <v>1181685491076227072</v>
      </c>
      <c r="F969" s="8"/>
      <c r="G969" s="14" t="s">
        <v>5442</v>
      </c>
      <c r="H969" s="8"/>
      <c r="I969" s="15">
        <v>0</v>
      </c>
      <c r="J969" s="15">
        <v>0</v>
      </c>
      <c r="K969" s="12" t="str">
        <f>HYPERLINK("https://mobile.twitter.com","Twitter Web App")</f>
        <v>Twitter Web App</v>
      </c>
      <c r="L969" s="16">
        <v>0</v>
      </c>
      <c r="M969" s="16">
        <v>33</v>
      </c>
      <c r="N969" s="16">
        <v>0</v>
      </c>
      <c r="O969" s="17"/>
      <c r="P969" s="18">
        <v>41358.828726851854</v>
      </c>
      <c r="Q969" s="8"/>
      <c r="R969" s="8"/>
      <c r="S969" s="8"/>
      <c r="T969" s="8"/>
      <c r="U969" s="19" t="str">
        <f>HYPERLINK("https://pbs.twimg.com/profile_images/939441571597926400/Bo_sxqKo.jpg","View")</f>
        <v>View</v>
      </c>
      <c r="V969" s="8"/>
      <c r="W969" s="8"/>
      <c r="X969" s="8"/>
      <c r="Y969" s="8"/>
      <c r="Z969" s="8"/>
    </row>
    <row r="970" spans="1:26" ht="12.75">
      <c r="A970" s="11">
        <v>43746.610300925924</v>
      </c>
      <c r="B970" s="12" t="str">
        <f>HYPERLINK("https://twitter.com/gursharandas305","@gursharandas305")</f>
        <v>@gursharandas305</v>
      </c>
      <c r="C970" s="13" t="s">
        <v>5446</v>
      </c>
      <c r="D970" s="13" t="s">
        <v>952</v>
      </c>
      <c r="E970" s="12" t="str">
        <f>HYPERLINK("https://twitter.com/gursharandas305/status/1181685406498115584","1181685406498115584")</f>
        <v>1181685406498115584</v>
      </c>
      <c r="F970" s="8"/>
      <c r="G970" s="14" t="s">
        <v>5447</v>
      </c>
      <c r="H970" s="8"/>
      <c r="I970" s="15">
        <v>0</v>
      </c>
      <c r="J970" s="15">
        <v>0</v>
      </c>
      <c r="K970" s="12" t="str">
        <f>HYPERLINK("https://mobile.twitter.com","Twitter Web App")</f>
        <v>Twitter Web App</v>
      </c>
      <c r="L970" s="16">
        <v>0</v>
      </c>
      <c r="M970" s="16">
        <v>33</v>
      </c>
      <c r="N970" s="16">
        <v>0</v>
      </c>
      <c r="O970" s="17"/>
      <c r="P970" s="18">
        <v>41345.166921296295</v>
      </c>
      <c r="Q970" s="8"/>
      <c r="R970" s="8"/>
      <c r="S970" s="8"/>
      <c r="T970" s="8"/>
      <c r="U970" s="19" t="str">
        <f>HYPERLINK("https://pbs.twimg.com/profile_images/3370362209/950d4ac2193cee1073894600d2205082.jpeg","View")</f>
        <v>View</v>
      </c>
      <c r="V970" s="8"/>
      <c r="W970" s="8"/>
      <c r="X970" s="8"/>
      <c r="Y970" s="8"/>
      <c r="Z970" s="8"/>
    </row>
    <row r="971" spans="1:26" ht="12.75">
      <c r="A971" s="11">
        <v>43746.609826388885</v>
      </c>
      <c r="B971" s="12" t="str">
        <f>HYPERLINK("https://twitter.com/solomonqurmla1","@solomonqurmla1")</f>
        <v>@solomonqurmla1</v>
      </c>
      <c r="C971" s="13" t="s">
        <v>5451</v>
      </c>
      <c r="D971" s="13" t="s">
        <v>5452</v>
      </c>
      <c r="E971" s="12" t="str">
        <f>HYPERLINK("https://twitter.com/solomonqurmla1/status/1181685234976399360","1181685234976399360")</f>
        <v>1181685234976399360</v>
      </c>
      <c r="F971" s="8"/>
      <c r="G971" s="14" t="s">
        <v>5453</v>
      </c>
      <c r="H971" s="8"/>
      <c r="I971" s="15">
        <v>0</v>
      </c>
      <c r="J971" s="15">
        <v>0</v>
      </c>
      <c r="K971" s="12" t="str">
        <f>HYPERLINK("http://twitter.com","Twitter Web Client")</f>
        <v>Twitter Web Client</v>
      </c>
      <c r="L971" s="16">
        <v>12</v>
      </c>
      <c r="M971" s="16">
        <v>42</v>
      </c>
      <c r="N971" s="16">
        <v>0</v>
      </c>
      <c r="O971" s="17"/>
      <c r="P971" s="18">
        <v>42076.573067129633</v>
      </c>
      <c r="Q971" s="8"/>
      <c r="R971" s="13"/>
      <c r="S971" s="8"/>
      <c r="T971" s="8"/>
      <c r="U971" s="19" t="str">
        <f>HYPERLINK("https://pbs.twimg.com/profile_images/576490322156355585/q1RLfwpe.jpeg","View")</f>
        <v>View</v>
      </c>
      <c r="V971" s="8"/>
      <c r="W971" s="8"/>
      <c r="X971" s="8"/>
      <c r="Y971" s="8"/>
      <c r="Z971" s="8"/>
    </row>
    <row r="972" spans="1:26" ht="12.75">
      <c r="A972" s="11">
        <v>43746.609756944439</v>
      </c>
      <c r="B972" s="12" t="str">
        <f>HYPERLINK("https://twitter.com/wwaz1","@wwaz1")</f>
        <v>@wwaz1</v>
      </c>
      <c r="C972" s="13" t="s">
        <v>5455</v>
      </c>
      <c r="D972" s="13" t="s">
        <v>907</v>
      </c>
      <c r="E972" s="12" t="str">
        <f>HYPERLINK("https://twitter.com/wwaz1/status/1181685210380812288","1181685210380812288")</f>
        <v>1181685210380812288</v>
      </c>
      <c r="F972" s="8"/>
      <c r="G972" s="14" t="s">
        <v>5458</v>
      </c>
      <c r="H972" s="8"/>
      <c r="I972" s="15">
        <v>0</v>
      </c>
      <c r="J972" s="15">
        <v>0</v>
      </c>
      <c r="K972" s="12" t="str">
        <f>HYPERLINK("https://mobile.twitter.com","Twitter Web App")</f>
        <v>Twitter Web App</v>
      </c>
      <c r="L972" s="16">
        <v>0</v>
      </c>
      <c r="M972" s="16">
        <v>38</v>
      </c>
      <c r="N972" s="16">
        <v>0</v>
      </c>
      <c r="O972" s="17"/>
      <c r="P972" s="18">
        <v>41340.18204861111</v>
      </c>
      <c r="Q972" s="8"/>
      <c r="R972" s="8"/>
      <c r="S972" s="8"/>
      <c r="T972" s="8"/>
      <c r="U972" s="19" t="str">
        <f>HYPERLINK("https://pbs.twimg.com/profile_images/3438575017/d75add99afdf6e1cf7446e037d6553c0.jpeg","View")</f>
        <v>View</v>
      </c>
      <c r="V972" s="8"/>
      <c r="W972" s="8"/>
      <c r="X972" s="8"/>
      <c r="Y972" s="8"/>
      <c r="Z972" s="8"/>
    </row>
    <row r="973" spans="1:26" ht="12.75">
      <c r="A973" s="11">
        <v>43746.609699074077</v>
      </c>
      <c r="B973" s="12" t="str">
        <f>HYPERLINK("https://twitter.com/AlyhayaHamdan","@AlyhayaHamdan")</f>
        <v>@AlyhayaHamdan</v>
      </c>
      <c r="C973" s="13" t="s">
        <v>5461</v>
      </c>
      <c r="D973" s="13" t="s">
        <v>5462</v>
      </c>
      <c r="E973" s="12" t="str">
        <f>HYPERLINK("https://twitter.com/AlyhayaHamdan/status/1181685188893532160","1181685188893532160")</f>
        <v>1181685188893532160</v>
      </c>
      <c r="F973" s="8"/>
      <c r="G973" s="14" t="s">
        <v>5464</v>
      </c>
      <c r="H973" s="8"/>
      <c r="I973" s="15">
        <v>0</v>
      </c>
      <c r="J973" s="15">
        <v>0</v>
      </c>
      <c r="K973" s="12" t="str">
        <f>HYPERLINK("http://twitter.com","Twitter Web Client")</f>
        <v>Twitter Web Client</v>
      </c>
      <c r="L973" s="16">
        <v>3</v>
      </c>
      <c r="M973" s="16">
        <v>43</v>
      </c>
      <c r="N973" s="16">
        <v>0</v>
      </c>
      <c r="O973" s="17"/>
      <c r="P973" s="18">
        <v>42071.613750000004</v>
      </c>
      <c r="Q973" s="8"/>
      <c r="R973" s="8"/>
      <c r="S973" s="8"/>
      <c r="T973" s="8"/>
      <c r="U973" s="19" t="str">
        <f>HYPERLINK("https://pbs.twimg.com/profile_images/574710267830890496/5YX6ufHC.jpeg","View")</f>
        <v>View</v>
      </c>
      <c r="V973" s="8"/>
      <c r="W973" s="8"/>
      <c r="X973" s="8"/>
      <c r="Y973" s="8"/>
      <c r="Z973" s="8"/>
    </row>
    <row r="974" spans="1:26" ht="12.75">
      <c r="A974" s="11">
        <v>43746.609490740739</v>
      </c>
      <c r="B974" s="12" t="str">
        <f>HYPERLINK("https://twitter.com/abdurehman_1045","@abdurehman_1045")</f>
        <v>@abdurehman_1045</v>
      </c>
      <c r="C974" s="13" t="s">
        <v>5468</v>
      </c>
      <c r="D974" s="13" t="s">
        <v>1236</v>
      </c>
      <c r="E974" s="12" t="str">
        <f>HYPERLINK("https://twitter.com/abdurehman_1045/status/1181685112745820161","1181685112745820161")</f>
        <v>1181685112745820161</v>
      </c>
      <c r="F974" s="8"/>
      <c r="G974" s="14" t="s">
        <v>5469</v>
      </c>
      <c r="H974" s="8"/>
      <c r="I974" s="15">
        <v>0</v>
      </c>
      <c r="J974" s="15">
        <v>0</v>
      </c>
      <c r="K974" s="12" t="str">
        <f>HYPERLINK("https://mobile.twitter.com","Twitter Web App")</f>
        <v>Twitter Web App</v>
      </c>
      <c r="L974" s="16">
        <v>0</v>
      </c>
      <c r="M974" s="16">
        <v>36</v>
      </c>
      <c r="N974" s="16">
        <v>0</v>
      </c>
      <c r="O974" s="17"/>
      <c r="P974" s="18">
        <v>41334.907685185186</v>
      </c>
      <c r="Q974" s="8"/>
      <c r="R974" s="8"/>
      <c r="S974" s="8"/>
      <c r="T974" s="8"/>
      <c r="U974" s="19" t="str">
        <f>HYPERLINK("https://pbs.twimg.com/profile_images/1176569467582570496/Lhm-HE2o.jpg","View")</f>
        <v>View</v>
      </c>
      <c r="V974" s="8"/>
      <c r="W974" s="8"/>
      <c r="X974" s="8"/>
      <c r="Y974" s="8"/>
      <c r="Z974" s="8"/>
    </row>
    <row r="975" spans="1:26" ht="12.75">
      <c r="A975" s="11">
        <v>43746.609409722223</v>
      </c>
      <c r="B975" s="12" t="str">
        <f>HYPERLINK("https://twitter.com/al3asyam_99","@al3asyam_99")</f>
        <v>@al3asyam_99</v>
      </c>
      <c r="C975" s="13" t="s">
        <v>5474</v>
      </c>
      <c r="D975" s="7" t="s">
        <v>5475</v>
      </c>
      <c r="E975" s="12" t="str">
        <f>HYPERLINK("https://twitter.com/al3asyam_99/status/1181685083138330625","1181685083138330625")</f>
        <v>1181685083138330625</v>
      </c>
      <c r="F975" s="8"/>
      <c r="G975" s="14" t="s">
        <v>5476</v>
      </c>
      <c r="H975" s="8"/>
      <c r="I975" s="15">
        <v>0</v>
      </c>
      <c r="J975" s="15">
        <v>0</v>
      </c>
      <c r="K975" s="12" t="str">
        <f>HYPERLINK("http://twitter.com","Twitter Web Client")</f>
        <v>Twitter Web Client</v>
      </c>
      <c r="L975" s="16">
        <v>3</v>
      </c>
      <c r="M975" s="16">
        <v>35</v>
      </c>
      <c r="N975" s="16">
        <v>0</v>
      </c>
      <c r="O975" s="17"/>
      <c r="P975" s="18">
        <v>42088.437071759261</v>
      </c>
      <c r="Q975" s="8"/>
      <c r="R975" s="8"/>
      <c r="S975" s="8"/>
      <c r="T975" s="8"/>
      <c r="U975" s="19" t="str">
        <f>HYPERLINK("https://pbs.twimg.com/profile_images/580783697298853889/b3SOUbPA.jpg","View")</f>
        <v>View</v>
      </c>
      <c r="V975" s="8"/>
      <c r="W975" s="8"/>
      <c r="X975" s="8"/>
      <c r="Y975" s="8"/>
      <c r="Z975" s="8"/>
    </row>
    <row r="976" spans="1:26" ht="12.75">
      <c r="A976" s="11">
        <v>43746.609282407408</v>
      </c>
      <c r="B976" s="12" t="str">
        <f>HYPERLINK("https://twitter.com/abedala6333","@abedala6333")</f>
        <v>@abedala6333</v>
      </c>
      <c r="C976" s="7" t="s">
        <v>5481</v>
      </c>
      <c r="D976" s="7" t="s">
        <v>551</v>
      </c>
      <c r="E976" s="12" t="str">
        <f>HYPERLINK("https://twitter.com/abedala6333/status/1181685037860868096","1181685037860868096")</f>
        <v>1181685037860868096</v>
      </c>
      <c r="F976" s="8"/>
      <c r="G976" s="14" t="s">
        <v>5484</v>
      </c>
      <c r="H976" s="8"/>
      <c r="I976" s="15">
        <v>0</v>
      </c>
      <c r="J976" s="15">
        <v>0</v>
      </c>
      <c r="K976" s="12" t="str">
        <f>HYPERLINK("http://twitter.com","Twitter Web Client")</f>
        <v>Twitter Web Client</v>
      </c>
      <c r="L976" s="16">
        <v>2</v>
      </c>
      <c r="M976" s="16">
        <v>38</v>
      </c>
      <c r="N976" s="16">
        <v>1</v>
      </c>
      <c r="O976" s="17"/>
      <c r="P976" s="18">
        <v>42082.236863425926</v>
      </c>
      <c r="Q976" s="7"/>
      <c r="R976" s="7"/>
      <c r="S976" s="8"/>
      <c r="T976" s="8"/>
      <c r="U976" s="19" t="str">
        <f>HYPERLINK("https://pbs.twimg.com/profile_images/578536830368227328/Jib6FCq6.jpeg","View")</f>
        <v>View</v>
      </c>
      <c r="V976" s="8"/>
      <c r="W976" s="8"/>
      <c r="X976" s="8"/>
      <c r="Y976" s="8"/>
      <c r="Z976" s="8"/>
    </row>
    <row r="977" spans="1:26" ht="12.75">
      <c r="A977" s="11">
        <v>43746.609155092592</v>
      </c>
      <c r="B977" s="12" t="str">
        <f>HYPERLINK("https://twitter.com/elmaterre255","@elmaterre255")</f>
        <v>@elmaterre255</v>
      </c>
      <c r="C977" s="13" t="s">
        <v>5486</v>
      </c>
      <c r="D977" s="13" t="s">
        <v>5487</v>
      </c>
      <c r="E977" s="12" t="str">
        <f>HYPERLINK("https://twitter.com/elmaterre255/status/1181684990553264128","1181684990553264128")</f>
        <v>1181684990553264128</v>
      </c>
      <c r="F977" s="8"/>
      <c r="G977" s="14" t="s">
        <v>5489</v>
      </c>
      <c r="H977" s="8"/>
      <c r="I977" s="15">
        <v>0</v>
      </c>
      <c r="J977" s="15">
        <v>0</v>
      </c>
      <c r="K977" s="12" t="str">
        <f>HYPERLINK("http://twitter.com","Twitter Web Client")</f>
        <v>Twitter Web Client</v>
      </c>
      <c r="L977" s="16">
        <v>10</v>
      </c>
      <c r="M977" s="16">
        <v>41</v>
      </c>
      <c r="N977" s="16">
        <v>0</v>
      </c>
      <c r="O977" s="17"/>
      <c r="P977" s="18">
        <v>42073.676203703704</v>
      </c>
      <c r="Q977" s="8"/>
      <c r="R977" s="8"/>
      <c r="S977" s="8"/>
      <c r="T977" s="8"/>
      <c r="U977" s="19" t="str">
        <f>HYPERLINK("https://pbs.twimg.com/profile_images/575434770789740544/ZkfoOfU_.jpeg","View")</f>
        <v>View</v>
      </c>
      <c r="V977" s="8"/>
      <c r="W977" s="8"/>
      <c r="X977" s="8"/>
      <c r="Y977" s="8"/>
      <c r="Z977" s="8"/>
    </row>
    <row r="978" spans="1:26" ht="12.75">
      <c r="A978" s="11">
        <v>43746.606307870374</v>
      </c>
      <c r="B978" s="12" t="str">
        <f>HYPERLINK("https://twitter.com/saeedalghamdis7","@saeedalghamdis7")</f>
        <v>@saeedalghamdis7</v>
      </c>
      <c r="C978" s="13" t="s">
        <v>2928</v>
      </c>
      <c r="D978" s="13" t="s">
        <v>5497</v>
      </c>
      <c r="E978" s="12" t="str">
        <f>HYPERLINK("https://twitter.com/saeedalghamdis7/status/1181683961631780864","1181683961631780864")</f>
        <v>1181683961631780864</v>
      </c>
      <c r="F978" s="8"/>
      <c r="G978" s="14" t="s">
        <v>5498</v>
      </c>
      <c r="H978" s="8"/>
      <c r="I978" s="15">
        <v>0</v>
      </c>
      <c r="J978" s="15">
        <v>0</v>
      </c>
      <c r="K978" s="12" t="str">
        <f>HYPERLINK("http://twitter.com","Twitter Web Client")</f>
        <v>Twitter Web Client</v>
      </c>
      <c r="L978" s="16">
        <v>7</v>
      </c>
      <c r="M978" s="16">
        <v>41</v>
      </c>
      <c r="N978" s="16">
        <v>0</v>
      </c>
      <c r="O978" s="17"/>
      <c r="P978" s="18">
        <v>42070.253796296296</v>
      </c>
      <c r="Q978" s="8"/>
      <c r="R978" s="8"/>
      <c r="S978" s="8"/>
      <c r="T978" s="8"/>
      <c r="U978" s="19" t="str">
        <f>HYPERLINK("https://pbs.twimg.com/profile_images/574210656775229441/0Uu61UwS.jpeg","View")</f>
        <v>View</v>
      </c>
      <c r="V978" s="8"/>
      <c r="W978" s="8"/>
      <c r="X978" s="8"/>
      <c r="Y978" s="8"/>
      <c r="Z978" s="8"/>
    </row>
    <row r="979" spans="1:26" ht="12.75">
      <c r="A979" s="11">
        <v>43746.605509259258</v>
      </c>
      <c r="B979" s="12" t="str">
        <f>HYPERLINK("https://twitter.com/hasaan342","@hasaan342")</f>
        <v>@hasaan342</v>
      </c>
      <c r="C979" s="13" t="s">
        <v>5499</v>
      </c>
      <c r="D979" s="7" t="s">
        <v>5500</v>
      </c>
      <c r="E979" s="12" t="str">
        <f>HYPERLINK("https://twitter.com/hasaan342/status/1181683672749092866","1181683672749092866")</f>
        <v>1181683672749092866</v>
      </c>
      <c r="F979" s="8"/>
      <c r="G979" s="14" t="s">
        <v>5501</v>
      </c>
      <c r="H979" s="8"/>
      <c r="I979" s="15">
        <v>0</v>
      </c>
      <c r="J979" s="15">
        <v>0</v>
      </c>
      <c r="K979" s="12" t="str">
        <f>HYPERLINK("http://twitter.com","Twitter Web Client")</f>
        <v>Twitter Web Client</v>
      </c>
      <c r="L979" s="16">
        <v>9</v>
      </c>
      <c r="M979" s="16">
        <v>42</v>
      </c>
      <c r="N979" s="16">
        <v>0</v>
      </c>
      <c r="O979" s="17"/>
      <c r="P979" s="18">
        <v>42076.539120370369</v>
      </c>
      <c r="Q979" s="8"/>
      <c r="R979" s="8"/>
      <c r="S979" s="8"/>
      <c r="T979" s="8"/>
      <c r="U979" s="19" t="str">
        <f>HYPERLINK("https://pbs.twimg.com/profile_images/576472068327239681/cuwBQ8Kd.jpeg","View")</f>
        <v>View</v>
      </c>
      <c r="V979" s="8"/>
      <c r="W979" s="8"/>
      <c r="X979" s="8"/>
      <c r="Y979" s="8"/>
      <c r="Z979" s="8"/>
    </row>
    <row r="980" spans="1:26" ht="12.75">
      <c r="A980" s="11">
        <v>43746.605127314819</v>
      </c>
      <c r="B980" s="12" t="str">
        <f>HYPERLINK("https://twitter.com/albrikan_mmdouh","@albrikan_mmdouh")</f>
        <v>@albrikan_mmdouh</v>
      </c>
      <c r="C980" s="13" t="s">
        <v>5502</v>
      </c>
      <c r="D980" s="13" t="s">
        <v>5503</v>
      </c>
      <c r="E980" s="12" t="str">
        <f>HYPERLINK("https://twitter.com/albrikan_mmdouh/status/1181683532541960192","1181683532541960192")</f>
        <v>1181683532541960192</v>
      </c>
      <c r="F980" s="8"/>
      <c r="G980" s="14" t="s">
        <v>5504</v>
      </c>
      <c r="H980" s="8"/>
      <c r="I980" s="15">
        <v>0</v>
      </c>
      <c r="J980" s="15">
        <v>0</v>
      </c>
      <c r="K980" s="12" t="str">
        <f>HYPERLINK("http://twitter.com","Twitter Web Client")</f>
        <v>Twitter Web Client</v>
      </c>
      <c r="L980" s="16">
        <v>0</v>
      </c>
      <c r="M980" s="16">
        <v>39</v>
      </c>
      <c r="N980" s="16">
        <v>0</v>
      </c>
      <c r="O980" s="17"/>
      <c r="P980" s="18">
        <v>42081.682627314818</v>
      </c>
      <c r="Q980" s="8"/>
      <c r="R980" s="8"/>
      <c r="S980" s="8"/>
      <c r="T980" s="8"/>
      <c r="U980" s="19" t="str">
        <f>HYPERLINK("https://pbs.twimg.com/profile_images/578335908719685632/XDnBvFKS.jpeg","View")</f>
        <v>View</v>
      </c>
      <c r="V980" s="8"/>
      <c r="W980" s="8"/>
      <c r="X980" s="8"/>
      <c r="Y980" s="8"/>
      <c r="Z980" s="8"/>
    </row>
    <row r="981" spans="1:26" ht="12.75">
      <c r="A981" s="11">
        <v>43746.604756944449</v>
      </c>
      <c r="B981" s="12" t="str">
        <f>HYPERLINK("https://twitter.com/ahmedulgamdi65","@ahmedulgamdi65")</f>
        <v>@ahmedulgamdi65</v>
      </c>
      <c r="C981" s="13" t="s">
        <v>5512</v>
      </c>
      <c r="D981" s="13" t="s">
        <v>28</v>
      </c>
      <c r="E981" s="12" t="str">
        <f>HYPERLINK("https://twitter.com/ahmedulgamdi65/status/1181683397132877825","1181683397132877825")</f>
        <v>1181683397132877825</v>
      </c>
      <c r="F981" s="8"/>
      <c r="G981" s="14" t="s">
        <v>1267</v>
      </c>
      <c r="H981" s="8"/>
      <c r="I981" s="15">
        <v>0</v>
      </c>
      <c r="J981" s="15">
        <v>0</v>
      </c>
      <c r="K981" s="12" t="str">
        <f>HYPERLINK("https://mobile.twitter.com","Twitter Web App")</f>
        <v>Twitter Web App</v>
      </c>
      <c r="L981" s="16">
        <v>0</v>
      </c>
      <c r="M981" s="16">
        <v>38</v>
      </c>
      <c r="N981" s="16">
        <v>0</v>
      </c>
      <c r="O981" s="17"/>
      <c r="P981" s="18">
        <v>41273.447627314818</v>
      </c>
      <c r="Q981" s="8"/>
      <c r="R981" s="8"/>
      <c r="S981" s="8"/>
      <c r="T981" s="8"/>
      <c r="U981" s="19" t="str">
        <f>HYPERLINK("https://pbs.twimg.com/profile_images/984005468480835584/vx6juGZR.jpg","View")</f>
        <v>View</v>
      </c>
      <c r="V981" s="8"/>
      <c r="W981" s="8"/>
      <c r="X981" s="8"/>
      <c r="Y981" s="8"/>
      <c r="Z981" s="8"/>
    </row>
    <row r="982" spans="1:26" ht="12.75">
      <c r="A982" s="11">
        <v>43746.604594907403</v>
      </c>
      <c r="B982" s="12" t="str">
        <f>HYPERLINK("https://twitter.com/alwaleeid33","@alwaleeid33")</f>
        <v>@alwaleeid33</v>
      </c>
      <c r="C982" s="13" t="s">
        <v>5516</v>
      </c>
      <c r="D982" s="7" t="s">
        <v>588</v>
      </c>
      <c r="E982" s="12" t="str">
        <f>HYPERLINK("https://twitter.com/alwaleeid33/status/1181683338744156166","1181683338744156166")</f>
        <v>1181683338744156166</v>
      </c>
      <c r="F982" s="8"/>
      <c r="G982" s="14" t="s">
        <v>5517</v>
      </c>
      <c r="H982" s="8"/>
      <c r="I982" s="15">
        <v>0</v>
      </c>
      <c r="J982" s="15">
        <v>0</v>
      </c>
      <c r="K982" s="12" t="str">
        <f>HYPERLINK("http://twitter.com","Twitter Web Client")</f>
        <v>Twitter Web Client</v>
      </c>
      <c r="L982" s="16">
        <v>1</v>
      </c>
      <c r="M982" s="16">
        <v>45</v>
      </c>
      <c r="N982" s="16">
        <v>0</v>
      </c>
      <c r="O982" s="17"/>
      <c r="P982" s="18">
        <v>42070.365868055553</v>
      </c>
      <c r="Q982" s="8"/>
      <c r="R982" s="8"/>
      <c r="S982" s="8"/>
      <c r="T982" s="8"/>
      <c r="U982" s="19" t="str">
        <f>HYPERLINK("https://pbs.twimg.com/profile_images/574250031185719296/dfGJ-HDQ.jpeg","View")</f>
        <v>View</v>
      </c>
      <c r="V982" s="8"/>
      <c r="W982" s="8"/>
      <c r="X982" s="8"/>
      <c r="Y982" s="8"/>
      <c r="Z982" s="8"/>
    </row>
    <row r="983" spans="1:26" ht="12.75">
      <c r="A983" s="11">
        <v>43746.603958333333</v>
      </c>
      <c r="B983" s="12" t="str">
        <f>HYPERLINK("https://twitter.com/sultanalamri113","@sultanalamri113")</f>
        <v>@sultanalamri113</v>
      </c>
      <c r="C983" s="13" t="s">
        <v>5520</v>
      </c>
      <c r="D983" s="7" t="s">
        <v>914</v>
      </c>
      <c r="E983" s="12" t="str">
        <f>HYPERLINK("https://twitter.com/sultanalamri113/status/1181683110817067008","1181683110817067008")</f>
        <v>1181683110817067008</v>
      </c>
      <c r="F983" s="8"/>
      <c r="G983" s="14" t="s">
        <v>917</v>
      </c>
      <c r="H983" s="8"/>
      <c r="I983" s="15">
        <v>0</v>
      </c>
      <c r="J983" s="15">
        <v>0</v>
      </c>
      <c r="K983" s="12" t="str">
        <f>HYPERLINK("https://mobile.twitter.com","Twitter Web App")</f>
        <v>Twitter Web App</v>
      </c>
      <c r="L983" s="16">
        <v>0</v>
      </c>
      <c r="M983" s="16">
        <v>0</v>
      </c>
      <c r="N983" s="16">
        <v>0</v>
      </c>
      <c r="O983" s="17"/>
      <c r="P983" s="18">
        <v>43731.628379629634</v>
      </c>
      <c r="Q983" s="8" t="s">
        <v>4714</v>
      </c>
      <c r="R983" s="8" t="s">
        <v>3198</v>
      </c>
      <c r="S983" s="8"/>
      <c r="T983" s="8"/>
      <c r="U983" s="19" t="str">
        <f>HYPERLINK("https://pbs.twimg.com/profile_images/1179870586052345857/gJVZsgKH.jpg","View")</f>
        <v>View</v>
      </c>
      <c r="V983" s="8"/>
      <c r="W983" s="8"/>
      <c r="X983" s="8"/>
      <c r="Y983" s="8"/>
      <c r="Z983" s="8"/>
    </row>
    <row r="984" spans="1:26" ht="12.75">
      <c r="A984" s="11">
        <v>43746.603773148148</v>
      </c>
      <c r="B984" s="12" t="str">
        <f>HYPERLINK("https://twitter.com/awesomealmasra1","@awesomealmasra1")</f>
        <v>@awesomealmasra1</v>
      </c>
      <c r="C984" s="13" t="s">
        <v>5523</v>
      </c>
      <c r="D984" s="7" t="s">
        <v>28</v>
      </c>
      <c r="E984" s="12" t="str">
        <f>HYPERLINK("https://twitter.com/awesomealmasra1/status/1181683042370195456","1181683042370195456")</f>
        <v>1181683042370195456</v>
      </c>
      <c r="F984" s="8"/>
      <c r="G984" s="14" t="s">
        <v>31</v>
      </c>
      <c r="H984" s="8"/>
      <c r="I984" s="15">
        <v>0</v>
      </c>
      <c r="J984" s="15">
        <v>0</v>
      </c>
      <c r="K984" s="12" t="str">
        <f>HYPERLINK("https://mobile.twitter.com","Twitter Web App")</f>
        <v>Twitter Web App</v>
      </c>
      <c r="L984" s="16">
        <v>0</v>
      </c>
      <c r="M984" s="16">
        <v>0</v>
      </c>
      <c r="N984" s="16">
        <v>0</v>
      </c>
      <c r="O984" s="17"/>
      <c r="P984" s="18">
        <v>43731.622719907406</v>
      </c>
      <c r="Q984" s="8" t="s">
        <v>4714</v>
      </c>
      <c r="R984" s="8" t="s">
        <v>1281</v>
      </c>
      <c r="S984" s="8"/>
      <c r="T984" s="8"/>
      <c r="U984" s="19" t="str">
        <f>HYPERLINK("https://pbs.twimg.com/profile_images/1180560958076272641/gprgZhF0.jpg","View")</f>
        <v>View</v>
      </c>
      <c r="V984" s="8"/>
      <c r="W984" s="8"/>
      <c r="X984" s="8"/>
      <c r="Y984" s="8"/>
      <c r="Z984" s="8"/>
    </row>
    <row r="985" spans="1:26" ht="12.75">
      <c r="A985" s="11">
        <v>43746.603576388894</v>
      </c>
      <c r="B985" s="12" t="str">
        <f>HYPERLINK("https://twitter.com/IsmailAlSabani1","@IsmailAlSabani1")</f>
        <v>@IsmailAlSabani1</v>
      </c>
      <c r="C985" s="13" t="s">
        <v>5528</v>
      </c>
      <c r="D985" s="13" t="s">
        <v>968</v>
      </c>
      <c r="E985" s="12" t="str">
        <f>HYPERLINK("https://twitter.com/IsmailAlSabani1/status/1181682971276763136","1181682971276763136")</f>
        <v>1181682971276763136</v>
      </c>
      <c r="F985" s="8"/>
      <c r="G985" s="14" t="s">
        <v>5529</v>
      </c>
      <c r="H985" s="8"/>
      <c r="I985" s="15">
        <v>0</v>
      </c>
      <c r="J985" s="15">
        <v>0</v>
      </c>
      <c r="K985" s="12" t="str">
        <f>HYPERLINK("https://mobile.twitter.com","Twitter Web App")</f>
        <v>Twitter Web App</v>
      </c>
      <c r="L985" s="16">
        <v>0</v>
      </c>
      <c r="M985" s="16">
        <v>0</v>
      </c>
      <c r="N985" s="16">
        <v>0</v>
      </c>
      <c r="O985" s="17"/>
      <c r="P985" s="18">
        <v>43731.58525462963</v>
      </c>
      <c r="Q985" s="8" t="s">
        <v>4714</v>
      </c>
      <c r="R985" s="8" t="s">
        <v>1552</v>
      </c>
      <c r="S985" s="8"/>
      <c r="T985" s="8"/>
      <c r="U985" s="19" t="str">
        <f>HYPERLINK("https://pbs.twimg.com/profile_images/1180558951730954240/E1QhgMGe.jpg","View")</f>
        <v>View</v>
      </c>
      <c r="V985" s="8"/>
      <c r="W985" s="8"/>
      <c r="X985" s="8"/>
      <c r="Y985" s="8"/>
      <c r="Z985" s="8"/>
    </row>
    <row r="986" spans="1:26" ht="12.75">
      <c r="A986" s="11">
        <v>43746.603518518517</v>
      </c>
      <c r="B986" s="12" t="str">
        <f>HYPERLINK("https://twitter.com/saadabdelaziz6","@saadabdelaziz6")</f>
        <v>@saadabdelaziz6</v>
      </c>
      <c r="C986" s="13" t="s">
        <v>5532</v>
      </c>
      <c r="D986" s="13" t="s">
        <v>5533</v>
      </c>
      <c r="E986" s="12" t="str">
        <f>HYPERLINK("https://twitter.com/saadabdelaziz6/status/1181682951454646272","1181682951454646272")</f>
        <v>1181682951454646272</v>
      </c>
      <c r="F986" s="8"/>
      <c r="G986" s="14" t="s">
        <v>5534</v>
      </c>
      <c r="H986" s="8"/>
      <c r="I986" s="15">
        <v>0</v>
      </c>
      <c r="J986" s="15">
        <v>0</v>
      </c>
      <c r="K986" s="12" t="str">
        <f>HYPERLINK("http://twitter.com","Twitter Web Client")</f>
        <v>Twitter Web Client</v>
      </c>
      <c r="L986" s="16">
        <v>1</v>
      </c>
      <c r="M986" s="16">
        <v>29</v>
      </c>
      <c r="N986" s="16">
        <v>0</v>
      </c>
      <c r="O986" s="17"/>
      <c r="P986" s="18">
        <v>41827.333611111113</v>
      </c>
      <c r="Q986" s="8"/>
      <c r="R986" s="8"/>
      <c r="S986" s="8"/>
      <c r="T986" s="8"/>
      <c r="U986" s="19" t="str">
        <f>HYPERLINK("https://pbs.twimg.com/profile_images/486163120008609793/2B-ce3Vj.jpeg","View")</f>
        <v>View</v>
      </c>
      <c r="V986" s="8"/>
      <c r="W986" s="8"/>
      <c r="X986" s="8"/>
      <c r="Y986" s="8"/>
      <c r="Z986" s="8"/>
    </row>
    <row r="987" spans="1:26" ht="12.75">
      <c r="A987" s="11">
        <v>43746.603333333333</v>
      </c>
      <c r="B987" s="12" t="str">
        <f>HYPERLINK("https://twitter.com/mahammadalsalhi","@mahammadalsalhi")</f>
        <v>@mahammadalsalhi</v>
      </c>
      <c r="C987" s="13" t="s">
        <v>5539</v>
      </c>
      <c r="D987" s="7" t="s">
        <v>944</v>
      </c>
      <c r="E987" s="12" t="str">
        <f>HYPERLINK("https://twitter.com/mahammadalsalhi/status/1181682881980059648","1181682881980059648")</f>
        <v>1181682881980059648</v>
      </c>
      <c r="F987" s="8"/>
      <c r="G987" s="14" t="s">
        <v>5540</v>
      </c>
      <c r="H987" s="8"/>
      <c r="I987" s="15">
        <v>0</v>
      </c>
      <c r="J987" s="15">
        <v>0</v>
      </c>
      <c r="K987" s="12" t="str">
        <f>HYPERLINK("https://mobile.twitter.com","Twitter Web App")</f>
        <v>Twitter Web App</v>
      </c>
      <c r="L987" s="16">
        <v>0</v>
      </c>
      <c r="M987" s="16">
        <v>1</v>
      </c>
      <c r="N987" s="16">
        <v>0</v>
      </c>
      <c r="O987" s="17"/>
      <c r="P987" s="18">
        <v>43731.574999999997</v>
      </c>
      <c r="Q987" s="7" t="s">
        <v>4714</v>
      </c>
      <c r="R987" s="8" t="s">
        <v>1075</v>
      </c>
      <c r="S987" s="8"/>
      <c r="T987" s="8"/>
      <c r="U987" s="19" t="str">
        <f>HYPERLINK("https://pbs.twimg.com/profile_images/1180558088245395456/SdAj-zk4.jpg","View")</f>
        <v>View</v>
      </c>
      <c r="V987" s="8"/>
      <c r="W987" s="8"/>
      <c r="X987" s="8"/>
      <c r="Y987" s="8"/>
      <c r="Z987" s="8"/>
    </row>
    <row r="988" spans="1:26" ht="12.75">
      <c r="A988" s="11">
        <v>43746.602962962963</v>
      </c>
      <c r="B988" s="12" t="str">
        <f>HYPERLINK("https://twitter.com/MazenAlYassin3","@MazenAlYassin3")</f>
        <v>@MazenAlYassin3</v>
      </c>
      <c r="C988" s="13" t="s">
        <v>5543</v>
      </c>
      <c r="D988" s="13" t="s">
        <v>1130</v>
      </c>
      <c r="E988" s="12" t="str">
        <f>HYPERLINK("https://twitter.com/MazenAlYassin3/status/1181682746457903104","1181682746457903104")</f>
        <v>1181682746457903104</v>
      </c>
      <c r="F988" s="8"/>
      <c r="G988" s="14" t="s">
        <v>5544</v>
      </c>
      <c r="H988" s="8"/>
      <c r="I988" s="15">
        <v>0</v>
      </c>
      <c r="J988" s="15">
        <v>0</v>
      </c>
      <c r="K988" s="12" t="str">
        <f>HYPERLINK("https://mobile.twitter.com","Twitter Web App")</f>
        <v>Twitter Web App</v>
      </c>
      <c r="L988" s="16">
        <v>1</v>
      </c>
      <c r="M988" s="16">
        <v>2</v>
      </c>
      <c r="N988" s="16">
        <v>0</v>
      </c>
      <c r="O988" s="17"/>
      <c r="P988" s="18">
        <v>43731.446574074071</v>
      </c>
      <c r="Q988" s="8" t="s">
        <v>4714</v>
      </c>
      <c r="R988" s="8" t="s">
        <v>1135</v>
      </c>
      <c r="S988" s="8"/>
      <c r="T988" s="8"/>
      <c r="U988" s="19" t="str">
        <f>HYPERLINK("https://pbs.twimg.com/profile_images/1180555597562793984/emTW0bg3.jpg","View")</f>
        <v>View</v>
      </c>
      <c r="V988" s="8"/>
      <c r="W988" s="8"/>
      <c r="X988" s="8"/>
      <c r="Y988" s="8"/>
      <c r="Z988" s="8"/>
    </row>
    <row r="989" spans="1:26" ht="12.75">
      <c r="A989" s="11">
        <v>43746.602719907409</v>
      </c>
      <c r="B989" s="12" t="str">
        <f>HYPERLINK("https://twitter.com/zafeer7477","@zafeer7477")</f>
        <v>@zafeer7477</v>
      </c>
      <c r="C989" s="13" t="s">
        <v>5545</v>
      </c>
      <c r="D989" s="13" t="s">
        <v>628</v>
      </c>
      <c r="E989" s="12" t="str">
        <f>HYPERLINK("https://twitter.com/zafeer7477/status/1181682662144126977","1181682662144126977")</f>
        <v>1181682662144126977</v>
      </c>
      <c r="F989" s="8"/>
      <c r="G989" s="14" t="s">
        <v>5546</v>
      </c>
      <c r="H989" s="8"/>
      <c r="I989" s="15">
        <v>0</v>
      </c>
      <c r="J989" s="15">
        <v>0</v>
      </c>
      <c r="K989" s="12" t="str">
        <f>HYPERLINK("http://twitter.com","Twitter Web Client")</f>
        <v>Twitter Web Client</v>
      </c>
      <c r="L989" s="16">
        <v>3</v>
      </c>
      <c r="M989" s="16">
        <v>40</v>
      </c>
      <c r="N989" s="16">
        <v>0</v>
      </c>
      <c r="O989" s="17"/>
      <c r="P989" s="18">
        <v>42088.191192129627</v>
      </c>
      <c r="Q989" s="8"/>
      <c r="R989" s="8"/>
      <c r="S989" s="8"/>
      <c r="T989" s="8"/>
      <c r="U989" s="19" t="str">
        <f>HYPERLINK("https://pbs.twimg.com/profile_images/580694833645236224/2Kd4-_zt.jpg","View")</f>
        <v>View</v>
      </c>
      <c r="V989" s="8"/>
      <c r="W989" s="8"/>
      <c r="X989" s="8"/>
      <c r="Y989" s="8"/>
      <c r="Z989" s="8"/>
    </row>
    <row r="990" spans="1:26" ht="12.75">
      <c r="A990" s="11">
        <v>43746.602476851855</v>
      </c>
      <c r="B990" s="12" t="str">
        <f>HYPERLINK("https://twitter.com/mamoud_mnyawe","@mamoud_mnyawe")</f>
        <v>@mamoud_mnyawe</v>
      </c>
      <c r="C990" s="13" t="s">
        <v>5551</v>
      </c>
      <c r="D990" s="13" t="s">
        <v>5552</v>
      </c>
      <c r="E990" s="12" t="str">
        <f>HYPERLINK("https://twitter.com/mamoud_mnyawe/status/1181682571597484032","1181682571597484032")</f>
        <v>1181682571597484032</v>
      </c>
      <c r="F990" s="8"/>
      <c r="G990" s="14" t="s">
        <v>5553</v>
      </c>
      <c r="H990" s="8"/>
      <c r="I990" s="15">
        <v>0</v>
      </c>
      <c r="J990" s="15">
        <v>0</v>
      </c>
      <c r="K990" s="12" t="str">
        <f>HYPERLINK("http://twitter.com","Twitter Web Client")</f>
        <v>Twitter Web Client</v>
      </c>
      <c r="L990" s="16">
        <v>4</v>
      </c>
      <c r="M990" s="16">
        <v>36</v>
      </c>
      <c r="N990" s="16">
        <v>0</v>
      </c>
      <c r="O990" s="17"/>
      <c r="P990" s="18">
        <v>41845.275104166663</v>
      </c>
      <c r="Q990" s="8"/>
      <c r="R990" s="8"/>
      <c r="S990" s="8"/>
      <c r="T990" s="8"/>
      <c r="U990" s="19" t="str">
        <f>HYPERLINK("https://pbs.twimg.com/profile_images/493434943259684864/TarXVdDi.jpeg","View")</f>
        <v>View</v>
      </c>
      <c r="V990" s="8"/>
      <c r="W990" s="8"/>
      <c r="X990" s="8"/>
      <c r="Y990" s="8"/>
      <c r="Z990" s="8"/>
    </row>
    <row r="991" spans="1:26" ht="12.75">
      <c r="A991" s="11">
        <v>43746.602060185185</v>
      </c>
      <c r="B991" s="12" t="str">
        <f>HYPERLINK("https://twitter.com/alkaabi7007","@alkaabi7007")</f>
        <v>@alkaabi7007</v>
      </c>
      <c r="C991" s="13" t="s">
        <v>5560</v>
      </c>
      <c r="D991" s="13" t="s">
        <v>5561</v>
      </c>
      <c r="E991" s="12" t="str">
        <f>HYPERLINK("https://twitter.com/alkaabi7007/status/1181682422599110656","1181682422599110656")</f>
        <v>1181682422599110656</v>
      </c>
      <c r="F991" s="8"/>
      <c r="G991" s="15"/>
      <c r="H991" s="8"/>
      <c r="I991" s="15">
        <v>0</v>
      </c>
      <c r="J991" s="15">
        <v>2</v>
      </c>
      <c r="K991" s="12" t="str">
        <f>HYPERLINK("http://twitter.com/download/iphone","Twitter for iPhone")</f>
        <v>Twitter for iPhone</v>
      </c>
      <c r="L991" s="16">
        <v>604</v>
      </c>
      <c r="M991" s="16">
        <v>264</v>
      </c>
      <c r="N991" s="16">
        <v>0</v>
      </c>
      <c r="O991" s="17"/>
      <c r="P991" s="18">
        <v>40932.547962962963</v>
      </c>
      <c r="Q991" s="8"/>
      <c r="R991" s="8" t="s">
        <v>5565</v>
      </c>
      <c r="S991" s="8"/>
      <c r="T991" s="8"/>
      <c r="U991" s="19" t="str">
        <f>HYPERLINK("https://pbs.twimg.com/profile_images/1044678266307702784/GDyp3NZm.jpg","View")</f>
        <v>View</v>
      </c>
      <c r="V991" s="8"/>
      <c r="W991" s="8"/>
      <c r="X991" s="8"/>
      <c r="Y991" s="8"/>
      <c r="Z991" s="8"/>
    </row>
    <row r="992" spans="1:26" ht="12.75">
      <c r="A992" s="11">
        <v>43746.601585648154</v>
      </c>
      <c r="B992" s="12" t="str">
        <f>HYPERLINK("https://twitter.com/jafarel5","@jafarel5")</f>
        <v>@jafarel5</v>
      </c>
      <c r="C992" s="7" t="s">
        <v>5566</v>
      </c>
      <c r="D992" s="7" t="s">
        <v>968</v>
      </c>
      <c r="E992" s="12" t="str">
        <f>HYPERLINK("https://twitter.com/jafarel5/status/1181682251379040256","1181682251379040256")</f>
        <v>1181682251379040256</v>
      </c>
      <c r="F992" s="15"/>
      <c r="G992" s="14" t="s">
        <v>5567</v>
      </c>
      <c r="H992" s="8"/>
      <c r="I992" s="15">
        <v>0</v>
      </c>
      <c r="J992" s="15">
        <v>1</v>
      </c>
      <c r="K992" s="12" t="str">
        <f>HYPERLINK("https://mobile.twitter.com","Twitter Web App")</f>
        <v>Twitter Web App</v>
      </c>
      <c r="L992" s="16">
        <v>0</v>
      </c>
      <c r="M992" s="16">
        <v>1</v>
      </c>
      <c r="N992" s="16">
        <v>0</v>
      </c>
      <c r="O992" s="17"/>
      <c r="P992" s="18">
        <v>43745.609027777777</v>
      </c>
      <c r="Q992" s="8" t="s">
        <v>4714</v>
      </c>
      <c r="R992" s="7" t="s">
        <v>1606</v>
      </c>
      <c r="S992" s="8"/>
      <c r="T992" s="8"/>
      <c r="U992" s="19" t="str">
        <f>HYPERLINK("https://pbs.twimg.com/profile_images/1181335997839097858/gqyt74nY.jpg","View")</f>
        <v>View</v>
      </c>
      <c r="V992" s="8"/>
      <c r="W992" s="8"/>
      <c r="X992" s="8"/>
      <c r="Y992" s="8"/>
      <c r="Z992" s="8"/>
    </row>
    <row r="993" spans="1:26" ht="12.75">
      <c r="A993" s="11">
        <v>43746.601238425923</v>
      </c>
      <c r="B993" s="12" t="str">
        <f>HYPERLINK("https://twitter.com/mohamedobaidal","@mohamedobaidal")</f>
        <v>@mohamedobaidal</v>
      </c>
      <c r="C993" s="13" t="s">
        <v>5572</v>
      </c>
      <c r="D993" s="13" t="s">
        <v>1107</v>
      </c>
      <c r="E993" s="12" t="str">
        <f>HYPERLINK("https://twitter.com/mohamedobaidal/status/1181682122265726977","1181682122265726977")</f>
        <v>1181682122265726977</v>
      </c>
      <c r="F993" s="8"/>
      <c r="G993" s="14" t="s">
        <v>5574</v>
      </c>
      <c r="H993" s="8"/>
      <c r="I993" s="15">
        <v>0</v>
      </c>
      <c r="J993" s="15">
        <v>0</v>
      </c>
      <c r="K993" s="12" t="str">
        <f>HYPERLINK("https://mobile.twitter.com","Twitter Web App")</f>
        <v>Twitter Web App</v>
      </c>
      <c r="L993" s="16">
        <v>0</v>
      </c>
      <c r="M993" s="16">
        <v>2</v>
      </c>
      <c r="N993" s="16">
        <v>0</v>
      </c>
      <c r="O993" s="17"/>
      <c r="P993" s="18">
        <v>43731.441666666666</v>
      </c>
      <c r="Q993" s="8" t="s">
        <v>4714</v>
      </c>
      <c r="R993" s="8" t="s">
        <v>1075</v>
      </c>
      <c r="S993" s="8"/>
      <c r="T993" s="8"/>
      <c r="U993" s="19" t="str">
        <f>HYPERLINK("https://pbs.twimg.com/profile_images/1179466237417443328/E5ciaTzx.jpg","View")</f>
        <v>View</v>
      </c>
      <c r="V993" s="8"/>
      <c r="W993" s="8"/>
      <c r="X993" s="8"/>
      <c r="Y993" s="8"/>
      <c r="Z993" s="8"/>
    </row>
    <row r="994" spans="1:26" ht="12.75">
      <c r="A994" s="11">
        <v>43746.601087962961</v>
      </c>
      <c r="B994" s="12" t="str">
        <f>HYPERLINK("https://twitter.com/elhabeshe3","@elhabeshe3")</f>
        <v>@elhabeshe3</v>
      </c>
      <c r="C994" s="13" t="s">
        <v>3542</v>
      </c>
      <c r="D994" s="13" t="s">
        <v>5578</v>
      </c>
      <c r="E994" s="12" t="str">
        <f>HYPERLINK("https://twitter.com/elhabeshe3/status/1181682067391811586","1181682067391811586")</f>
        <v>1181682067391811586</v>
      </c>
      <c r="F994" s="8"/>
      <c r="G994" s="14" t="s">
        <v>5579</v>
      </c>
      <c r="H994" s="8"/>
      <c r="I994" s="15">
        <v>0</v>
      </c>
      <c r="J994" s="15">
        <v>0</v>
      </c>
      <c r="K994" s="12" t="str">
        <f>HYPERLINK("http://twitter.com","Twitter Web Client")</f>
        <v>Twitter Web Client</v>
      </c>
      <c r="L994" s="16">
        <v>8</v>
      </c>
      <c r="M994" s="16">
        <v>32</v>
      </c>
      <c r="N994" s="16">
        <v>0</v>
      </c>
      <c r="O994" s="17"/>
      <c r="P994" s="18">
        <v>42077.395682870367</v>
      </c>
      <c r="Q994" s="8"/>
      <c r="R994" s="8"/>
      <c r="S994" s="8"/>
      <c r="T994" s="8"/>
      <c r="U994" s="19" t="str">
        <f>HYPERLINK("https://pbs.twimg.com/profile_images/576782842027327488/cHKrs6Kj.jpeg","View")</f>
        <v>View</v>
      </c>
      <c r="V994" s="8"/>
      <c r="W994" s="8"/>
      <c r="X994" s="8"/>
      <c r="Y994" s="8"/>
      <c r="Z994" s="8"/>
    </row>
    <row r="995" spans="1:26" ht="12.75">
      <c r="A995" s="11">
        <v>43746.601053240738</v>
      </c>
      <c r="B995" s="12" t="str">
        <f>HYPERLINK("https://twitter.com/MouledAl_1995","@MouledAl_1995")</f>
        <v>@MouledAl_1995</v>
      </c>
      <c r="C995" s="13" t="s">
        <v>5583</v>
      </c>
      <c r="D995" s="7" t="s">
        <v>907</v>
      </c>
      <c r="E995" s="12" t="str">
        <f>HYPERLINK("https://twitter.com/MouledAl_1995/status/1181682058051014656","1181682058051014656")</f>
        <v>1181682058051014656</v>
      </c>
      <c r="F995" s="8"/>
      <c r="G995" s="14" t="s">
        <v>5584</v>
      </c>
      <c r="H995" s="8"/>
      <c r="I995" s="15">
        <v>0</v>
      </c>
      <c r="J995" s="15">
        <v>0</v>
      </c>
      <c r="K995" s="12" t="str">
        <f>HYPERLINK("https://mobile.twitter.com","Twitter Web App")</f>
        <v>Twitter Web App</v>
      </c>
      <c r="L995" s="16">
        <v>0</v>
      </c>
      <c r="M995" s="16">
        <v>2</v>
      </c>
      <c r="N995" s="16">
        <v>0</v>
      </c>
      <c r="O995" s="17"/>
      <c r="P995" s="18">
        <v>43731.437638888892</v>
      </c>
      <c r="Q995" s="8" t="s">
        <v>1355</v>
      </c>
      <c r="R995" s="8" t="s">
        <v>5586</v>
      </c>
      <c r="S995" s="8"/>
      <c r="T995" s="8"/>
      <c r="U995" s="19" t="str">
        <f>HYPERLINK("https://pbs.twimg.com/profile_images/1176187051563085824/YhJ9r_EJ.jpg","View")</f>
        <v>View</v>
      </c>
      <c r="V995" s="8"/>
      <c r="W995" s="8"/>
      <c r="X995" s="8"/>
      <c r="Y995" s="8"/>
      <c r="Z995" s="8"/>
    </row>
    <row r="996" spans="1:26" ht="12.75">
      <c r="A996" s="11">
        <v>43746.600162037037</v>
      </c>
      <c r="B996" s="12" t="str">
        <f>HYPERLINK("https://twitter.com/aarifal3","@aarifal3")</f>
        <v>@aarifal3</v>
      </c>
      <c r="C996" s="13" t="s">
        <v>5587</v>
      </c>
      <c r="D996" s="13" t="s">
        <v>944</v>
      </c>
      <c r="E996" s="12" t="str">
        <f>HYPERLINK("https://twitter.com/aarifal3/status/1181681732791099398","1181681732791099398")</f>
        <v>1181681732791099398</v>
      </c>
      <c r="F996" s="8"/>
      <c r="G996" s="14" t="s">
        <v>5588</v>
      </c>
      <c r="H996" s="8"/>
      <c r="I996" s="15">
        <v>0</v>
      </c>
      <c r="J996" s="15">
        <v>0</v>
      </c>
      <c r="K996" s="12" t="str">
        <f>HYPERLINK("https://mobile.twitter.com","Twitter Web App")</f>
        <v>Twitter Web App</v>
      </c>
      <c r="L996" s="16">
        <v>0</v>
      </c>
      <c r="M996" s="16">
        <v>1</v>
      </c>
      <c r="N996" s="16">
        <v>0</v>
      </c>
      <c r="O996" s="17"/>
      <c r="P996" s="18">
        <v>43745.607025462959</v>
      </c>
      <c r="Q996" s="8" t="s">
        <v>4714</v>
      </c>
      <c r="R996" s="8" t="s">
        <v>1281</v>
      </c>
      <c r="S996" s="8"/>
      <c r="T996" s="8"/>
      <c r="U996" s="19" t="str">
        <f>HYPERLINK("https://pbs.twimg.com/profile_images/1181335092678971393/b_LAntaG.jpg","View")</f>
        <v>View</v>
      </c>
      <c r="V996" s="8"/>
      <c r="W996" s="8"/>
      <c r="X996" s="8"/>
      <c r="Y996" s="8"/>
      <c r="Z996" s="8"/>
    </row>
    <row r="997" spans="1:26" ht="12.75">
      <c r="A997" s="11">
        <v>43746.600162037037</v>
      </c>
      <c r="B997" s="12" t="str">
        <f>HYPERLINK("https://twitter.com/AlMasra_1998","@AlMasra_1998")</f>
        <v>@AlMasra_1998</v>
      </c>
      <c r="C997" s="13" t="s">
        <v>5523</v>
      </c>
      <c r="D997" s="7" t="s">
        <v>923</v>
      </c>
      <c r="E997" s="12" t="str">
        <f>HYPERLINK("https://twitter.com/AlMasra_1998/status/1181681731897708544","1181681731897708544")</f>
        <v>1181681731897708544</v>
      </c>
      <c r="F997" s="8"/>
      <c r="G997" s="14" t="s">
        <v>5591</v>
      </c>
      <c r="H997" s="8"/>
      <c r="I997" s="15">
        <v>0</v>
      </c>
      <c r="J997" s="15">
        <v>0</v>
      </c>
      <c r="K997" s="12" t="str">
        <f>HYPERLINK("https://mobile.twitter.com","Twitter Web App")</f>
        <v>Twitter Web App</v>
      </c>
      <c r="L997" s="16">
        <v>0</v>
      </c>
      <c r="M997" s="16">
        <v>2</v>
      </c>
      <c r="N997" s="16">
        <v>0</v>
      </c>
      <c r="O997" s="17"/>
      <c r="P997" s="18">
        <v>43731.432488425926</v>
      </c>
      <c r="Q997" s="8" t="s">
        <v>1133</v>
      </c>
      <c r="R997" s="8" t="s">
        <v>2938</v>
      </c>
      <c r="S997" s="8"/>
      <c r="T997" s="8"/>
      <c r="U997" s="19" t="str">
        <f>HYPERLINK("https://pbs.twimg.com/profile_images/1176185188495183872/eMgMwyMt.jpg","View")</f>
        <v>View</v>
      </c>
      <c r="V997" s="8"/>
      <c r="W997" s="8"/>
      <c r="X997" s="8"/>
      <c r="Y997" s="8"/>
      <c r="Z997" s="8"/>
    </row>
    <row r="998" spans="1:26" ht="12.75">
      <c r="A998" s="11">
        <v>43746.599861111114</v>
      </c>
      <c r="B998" s="12" t="str">
        <f>HYPERLINK("https://twitter.com/elzaha_54","@elzaha_54")</f>
        <v>@elzaha_54</v>
      </c>
      <c r="C998" s="13" t="s">
        <v>5593</v>
      </c>
      <c r="D998" s="13" t="s">
        <v>5595</v>
      </c>
      <c r="E998" s="12" t="str">
        <f>HYPERLINK("https://twitter.com/elzaha_54/status/1181681626100707332","1181681626100707332")</f>
        <v>1181681626100707332</v>
      </c>
      <c r="F998" s="8"/>
      <c r="G998" s="14" t="s">
        <v>5597</v>
      </c>
      <c r="H998" s="8"/>
      <c r="I998" s="15">
        <v>0</v>
      </c>
      <c r="J998" s="15">
        <v>0</v>
      </c>
      <c r="K998" s="12" t="str">
        <f>HYPERLINK("http://twitter.com","Twitter Web Client")</f>
        <v>Twitter Web Client</v>
      </c>
      <c r="L998" s="16">
        <v>9</v>
      </c>
      <c r="M998" s="16">
        <v>45</v>
      </c>
      <c r="N998" s="16">
        <v>0</v>
      </c>
      <c r="O998" s="17"/>
      <c r="P998" s="18">
        <v>42075.177893518514</v>
      </c>
      <c r="Q998" s="8"/>
      <c r="R998" s="8"/>
      <c r="S998" s="8"/>
      <c r="T998" s="8"/>
      <c r="U998" s="19" t="str">
        <f>HYPERLINK("https://pbs.twimg.com/profile_images/575978792331530240/1z6879A7.jpeg","View")</f>
        <v>View</v>
      </c>
      <c r="V998" s="8"/>
      <c r="W998" s="8"/>
      <c r="X998" s="8"/>
      <c r="Y998" s="8"/>
      <c r="Z998" s="8"/>
    </row>
    <row r="999" spans="1:26" ht="12.75">
      <c r="A999" s="11">
        <v>43746.598530092597</v>
      </c>
      <c r="B999" s="12" t="str">
        <f>HYPERLINK("https://twitter.com/mujahidal4","@mujahidal4")</f>
        <v>@mujahidal4</v>
      </c>
      <c r="C999" s="13" t="s">
        <v>5599</v>
      </c>
      <c r="D999" s="13" t="s">
        <v>1030</v>
      </c>
      <c r="E999" s="12" t="str">
        <f>HYPERLINK("https://twitter.com/mujahidal4/status/1181681140362399745","1181681140362399745")</f>
        <v>1181681140362399745</v>
      </c>
      <c r="F999" s="8"/>
      <c r="G999" s="14" t="s">
        <v>5600</v>
      </c>
      <c r="H999" s="8"/>
      <c r="I999" s="15">
        <v>0</v>
      </c>
      <c r="J999" s="15">
        <v>0</v>
      </c>
      <c r="K999" s="12" t="str">
        <f>HYPERLINK("https://mobile.twitter.com","Twitter Web App")</f>
        <v>Twitter Web App</v>
      </c>
      <c r="L999" s="16">
        <v>0</v>
      </c>
      <c r="M999" s="16">
        <v>1</v>
      </c>
      <c r="N999" s="16">
        <v>0</v>
      </c>
      <c r="O999" s="17"/>
      <c r="P999" s="18">
        <v>43745.603148148148</v>
      </c>
      <c r="Q999" s="7" t="s">
        <v>4714</v>
      </c>
      <c r="R999" s="13" t="s">
        <v>1075</v>
      </c>
      <c r="S999" s="8"/>
      <c r="T999" s="8"/>
      <c r="U999" s="19" t="str">
        <f>HYPERLINK("https://pbs.twimg.com/profile_images/1181334000603820032/TpdwR-bt.jpg","View")</f>
        <v>View</v>
      </c>
      <c r="V999" s="8"/>
      <c r="W999" s="8"/>
      <c r="X999" s="8"/>
      <c r="Y999" s="8"/>
      <c r="Z999" s="8"/>
    </row>
    <row r="1000" spans="1:26" ht="12.75">
      <c r="A1000" s="11">
        <v>43746.598460648151</v>
      </c>
      <c r="B1000" s="12" t="str">
        <f>HYPERLINK("https://twitter.com/CarolineMangez","@CarolineMangez")</f>
        <v>@CarolineMangez</v>
      </c>
      <c r="C1000" s="13" t="s">
        <v>5605</v>
      </c>
      <c r="D1000" s="7" t="s">
        <v>5606</v>
      </c>
      <c r="E1000" s="12" t="str">
        <f>HYPERLINK("https://twitter.com/CarolineMangez/status/1181681118912958465","1181681118912958465")</f>
        <v>1181681118912958465</v>
      </c>
      <c r="F1000" s="8"/>
      <c r="G1000" s="15"/>
      <c r="H1000" s="8"/>
      <c r="I1000" s="15">
        <v>0</v>
      </c>
      <c r="J1000" s="15">
        <v>0</v>
      </c>
      <c r="K1000" s="12" t="str">
        <f>HYPERLINK("http://twitter.com/download/iphone","Twitter for iPhone")</f>
        <v>Twitter for iPhone</v>
      </c>
      <c r="L1000" s="16">
        <v>1495</v>
      </c>
      <c r="M1000" s="16">
        <v>670</v>
      </c>
      <c r="N1000" s="16">
        <v>21</v>
      </c>
      <c r="O1000" s="17" t="s">
        <v>984</v>
      </c>
      <c r="P1000" s="18">
        <v>40599.311435185184</v>
      </c>
      <c r="Q1000" s="8" t="s">
        <v>5310</v>
      </c>
      <c r="R1000" s="8" t="s">
        <v>5609</v>
      </c>
      <c r="S1000" s="14" t="s">
        <v>5610</v>
      </c>
      <c r="T1000" s="8"/>
      <c r="U1000" s="19" t="str">
        <f>HYPERLINK("https://pbs.twimg.com/profile_images/819672467430109185/61w0OeeF.jpg","View")</f>
        <v>View</v>
      </c>
      <c r="V1000" s="8"/>
      <c r="W1000" s="8"/>
      <c r="X1000" s="8"/>
      <c r="Y1000" s="8"/>
      <c r="Z1000" s="8"/>
    </row>
    <row r="1001" spans="1:26" ht="12.75">
      <c r="A1001" s="11">
        <v>43746.598009259258</v>
      </c>
      <c r="B1001" s="12" t="str">
        <f>HYPERLINK("https://twitter.com/ahmedmen12","@ahmedmen12")</f>
        <v>@ahmedmen12</v>
      </c>
      <c r="C1001" s="13" t="s">
        <v>5615</v>
      </c>
      <c r="D1001" s="7" t="s">
        <v>5616</v>
      </c>
      <c r="E1001" s="12" t="str">
        <f>HYPERLINK("https://twitter.com/ahmedmen12/status/1181680955263721472","1181680955263721472")</f>
        <v>1181680955263721472</v>
      </c>
      <c r="F1001" s="8"/>
      <c r="G1001" s="14" t="s">
        <v>5619</v>
      </c>
      <c r="H1001" s="8"/>
      <c r="I1001" s="15">
        <v>0</v>
      </c>
      <c r="J1001" s="15">
        <v>0</v>
      </c>
      <c r="K1001" s="12" t="str">
        <f>HYPERLINK("http://twitter.com","Twitter Web Client")</f>
        <v>Twitter Web Client</v>
      </c>
      <c r="L1001" s="16">
        <v>13</v>
      </c>
      <c r="M1001" s="16">
        <v>39</v>
      </c>
      <c r="N1001" s="16">
        <v>0</v>
      </c>
      <c r="O1001" s="17"/>
      <c r="P1001" s="18">
        <v>42268.73673611111</v>
      </c>
      <c r="Q1001" s="8"/>
      <c r="R1001" s="8"/>
      <c r="S1001" s="8"/>
      <c r="T1001" s="8"/>
      <c r="U1001" s="19" t="str">
        <f>HYPERLINK("https://pbs.twimg.com/profile_images/646331346357370880/v85L5qYI.jpg","View")</f>
        <v>View</v>
      </c>
      <c r="V1001" s="8"/>
      <c r="W1001" s="8"/>
      <c r="X1001" s="8"/>
      <c r="Y1001" s="8"/>
      <c r="Z1001" s="8"/>
    </row>
    <row r="1002" spans="1:26" ht="12.75">
      <c r="A1002" s="11">
        <v>43746.59783564815</v>
      </c>
      <c r="B1002" s="12" t="str">
        <f>HYPERLINK("https://twitter.com/ialhamaidi","@ialhamaidi")</f>
        <v>@ialhamaidi</v>
      </c>
      <c r="C1002" s="13" t="s">
        <v>5623</v>
      </c>
      <c r="D1002" s="13" t="s">
        <v>937</v>
      </c>
      <c r="E1002" s="12" t="str">
        <f>HYPERLINK("https://twitter.com/ialhamaidi/status/1181680888473513985","1181680888473513985")</f>
        <v>1181680888473513985</v>
      </c>
      <c r="F1002" s="8"/>
      <c r="G1002" s="14" t="s">
        <v>5624</v>
      </c>
      <c r="H1002" s="8"/>
      <c r="I1002" s="15">
        <v>0</v>
      </c>
      <c r="J1002" s="15">
        <v>0</v>
      </c>
      <c r="K1002" s="12" t="str">
        <f>HYPERLINK("https://mobile.twitter.com","Twitter Web App")</f>
        <v>Twitter Web App</v>
      </c>
      <c r="L1002" s="16">
        <v>0</v>
      </c>
      <c r="M1002" s="16">
        <v>2</v>
      </c>
      <c r="N1002" s="16">
        <v>0</v>
      </c>
      <c r="O1002" s="17"/>
      <c r="P1002" s="18">
        <v>43731.425289351857</v>
      </c>
      <c r="Q1002" s="8" t="s">
        <v>1249</v>
      </c>
      <c r="R1002" s="8" t="s">
        <v>5626</v>
      </c>
      <c r="S1002" s="8"/>
      <c r="T1002" s="8"/>
      <c r="U1002" s="19" t="str">
        <f>HYPERLINK("https://pbs.twimg.com/profile_images/1176182608801091587/uNPoFmnR.jpg","View")</f>
        <v>View</v>
      </c>
      <c r="V1002" s="8"/>
      <c r="W1002" s="8"/>
      <c r="X1002" s="8"/>
      <c r="Y1002" s="8"/>
      <c r="Z1002" s="8"/>
    </row>
    <row r="1003" spans="1:26" ht="12.75">
      <c r="A1003" s="11">
        <v>43746.597222222219</v>
      </c>
      <c r="B1003" s="12" t="str">
        <f>HYPERLINK("https://twitter.com/AlsaryKasem","@AlsaryKasem")</f>
        <v>@AlsaryKasem</v>
      </c>
      <c r="C1003" s="13" t="s">
        <v>5627</v>
      </c>
      <c r="D1003" s="7" t="s">
        <v>5628</v>
      </c>
      <c r="E1003" s="12" t="str">
        <f>HYPERLINK("https://twitter.com/AlsaryKasem/status/1181680668599865345","1181680668599865345")</f>
        <v>1181680668599865345</v>
      </c>
      <c r="F1003" s="8"/>
      <c r="G1003" s="14" t="s">
        <v>5629</v>
      </c>
      <c r="H1003" s="8"/>
      <c r="I1003" s="15">
        <v>0</v>
      </c>
      <c r="J1003" s="15">
        <v>0</v>
      </c>
      <c r="K1003" s="12" t="str">
        <f>HYPERLINK("http://twitter.com","Twitter Web Client")</f>
        <v>Twitter Web Client</v>
      </c>
      <c r="L1003" s="16">
        <v>1</v>
      </c>
      <c r="M1003" s="16">
        <v>37</v>
      </c>
      <c r="N1003" s="16">
        <v>0</v>
      </c>
      <c r="O1003" s="17"/>
      <c r="P1003" s="18">
        <v>42069.573379629626</v>
      </c>
      <c r="Q1003" s="8"/>
      <c r="R1003" s="8"/>
      <c r="S1003" s="8"/>
      <c r="T1003" s="8"/>
      <c r="U1003" s="19" t="str">
        <f>HYPERLINK("https://pbs.twimg.com/profile_images/573983258624462848/_60Ded3K.jpeg","View")</f>
        <v>View</v>
      </c>
      <c r="V1003" s="8"/>
      <c r="W1003" s="8"/>
      <c r="X1003" s="8"/>
      <c r="Y1003" s="8"/>
      <c r="Z1003" s="8"/>
    </row>
    <row r="1004" spans="1:26" ht="12.75">
      <c r="A1004" s="11">
        <v>43746.597094907411</v>
      </c>
      <c r="B1004" s="12" t="str">
        <f>HYPERLINK("https://twitter.com/almhri_mohamed","@almhri_mohamed")</f>
        <v>@almhri_mohamed</v>
      </c>
      <c r="C1004" s="13" t="s">
        <v>5633</v>
      </c>
      <c r="D1004" s="13" t="s">
        <v>679</v>
      </c>
      <c r="E1004" s="12" t="str">
        <f>HYPERLINK("https://twitter.com/almhri_mohamed/status/1181680623209111553","1181680623209111553")</f>
        <v>1181680623209111553</v>
      </c>
      <c r="F1004" s="8"/>
      <c r="G1004" s="14" t="s">
        <v>5635</v>
      </c>
      <c r="H1004" s="8"/>
      <c r="I1004" s="15">
        <v>0</v>
      </c>
      <c r="J1004" s="15">
        <v>0</v>
      </c>
      <c r="K1004" s="12" t="str">
        <f>HYPERLINK("http://twitter.com","Twitter Web Client")</f>
        <v>Twitter Web Client</v>
      </c>
      <c r="L1004" s="16">
        <v>3</v>
      </c>
      <c r="M1004" s="16">
        <v>36</v>
      </c>
      <c r="N1004" s="16">
        <v>0</v>
      </c>
      <c r="O1004" s="17"/>
      <c r="P1004" s="18">
        <v>42068.180069444439</v>
      </c>
      <c r="Q1004" s="8"/>
      <c r="R1004" s="8"/>
      <c r="S1004" s="8"/>
      <c r="T1004" s="8"/>
      <c r="U1004" s="19" t="str">
        <f>HYPERLINK("https://pbs.twimg.com/profile_images/573466477304549376/CQJ7Johr.jpeg","View")</f>
        <v>View</v>
      </c>
      <c r="V1004" s="8"/>
      <c r="W1004" s="8"/>
      <c r="X1004" s="8"/>
      <c r="Y1004" s="8"/>
      <c r="Z1004" s="8"/>
    </row>
    <row r="1005" spans="1:26" ht="12.75">
      <c r="A1005" s="11">
        <v>43746.596724537041</v>
      </c>
      <c r="B1005" s="12" t="str">
        <f>HYPERLINK("https://twitter.com/al3anazee33","@al3anazee33")</f>
        <v>@al3anazee33</v>
      </c>
      <c r="C1005" s="13" t="s">
        <v>5641</v>
      </c>
      <c r="D1005" s="13" t="s">
        <v>5642</v>
      </c>
      <c r="E1005" s="12" t="str">
        <f>HYPERLINK("https://twitter.com/al3anazee33/status/1181680486583808000","1181680486583808000")</f>
        <v>1181680486583808000</v>
      </c>
      <c r="F1005" s="8"/>
      <c r="G1005" s="14" t="s">
        <v>5643</v>
      </c>
      <c r="H1005" s="8"/>
      <c r="I1005" s="15">
        <v>0</v>
      </c>
      <c r="J1005" s="15">
        <v>0</v>
      </c>
      <c r="K1005" s="12" t="str">
        <f>HYPERLINK("http://twitter.com","Twitter Web Client")</f>
        <v>Twitter Web Client</v>
      </c>
      <c r="L1005" s="16">
        <v>5</v>
      </c>
      <c r="M1005" s="16">
        <v>48</v>
      </c>
      <c r="N1005" s="16">
        <v>0</v>
      </c>
      <c r="O1005" s="17"/>
      <c r="P1005" s="18">
        <v>42070.424710648149</v>
      </c>
      <c r="Q1005" s="8"/>
      <c r="R1005" s="8"/>
      <c r="S1005" s="8"/>
      <c r="T1005" s="8"/>
      <c r="U1005" s="19" t="str">
        <f>HYPERLINK("https://pbs.twimg.com/profile_images/574271392855670784/CgjRrH54.jpeg","View")</f>
        <v>View</v>
      </c>
      <c r="V1005" s="8"/>
      <c r="W1005" s="8"/>
      <c r="X1005" s="8"/>
      <c r="Y1005" s="8"/>
      <c r="Z1005" s="8"/>
    </row>
    <row r="1006" spans="1:26" ht="12.75">
      <c r="A1006" s="11">
        <v>43746.595520833333</v>
      </c>
      <c r="B1006" s="12" t="str">
        <f>HYPERLINK("https://twitter.com/elsabe3333","@elsabe3333")</f>
        <v>@elsabe3333</v>
      </c>
      <c r="C1006" s="13" t="s">
        <v>2163</v>
      </c>
      <c r="D1006" s="7" t="s">
        <v>5650</v>
      </c>
      <c r="E1006" s="12" t="str">
        <f>HYPERLINK("https://twitter.com/elsabe3333/status/1181680050657251329","1181680050657251329")</f>
        <v>1181680050657251329</v>
      </c>
      <c r="F1006" s="8"/>
      <c r="G1006" s="14" t="s">
        <v>5651</v>
      </c>
      <c r="H1006" s="8"/>
      <c r="I1006" s="15">
        <v>0</v>
      </c>
      <c r="J1006" s="15">
        <v>0</v>
      </c>
      <c r="K1006" s="12" t="str">
        <f>HYPERLINK("http://twitter.com","Twitter Web Client")</f>
        <v>Twitter Web Client</v>
      </c>
      <c r="L1006" s="16">
        <v>9</v>
      </c>
      <c r="M1006" s="16">
        <v>51</v>
      </c>
      <c r="N1006" s="16">
        <v>0</v>
      </c>
      <c r="O1006" s="17"/>
      <c r="P1006" s="18">
        <v>42076.654317129629</v>
      </c>
      <c r="Q1006" s="8"/>
      <c r="R1006" s="8"/>
      <c r="S1006" s="8"/>
      <c r="T1006" s="8"/>
      <c r="U1006" s="19" t="str">
        <f>HYPERLINK("https://pbs.twimg.com/profile_images/576513863627059200/9GRDsksg.jpeg","View")</f>
        <v>View</v>
      </c>
      <c r="V1006" s="8"/>
      <c r="W1006" s="8"/>
      <c r="X1006" s="8"/>
      <c r="Y1006" s="8"/>
      <c r="Z1006" s="8"/>
    </row>
    <row r="1007" spans="1:26" ht="12.75">
      <c r="A1007" s="11">
        <v>43746.595266203702</v>
      </c>
      <c r="B1007" s="12" t="str">
        <f>HYPERLINK("https://twitter.com/alnasharee78","@alnasharee78")</f>
        <v>@alnasharee78</v>
      </c>
      <c r="C1007" s="13" t="s">
        <v>5655</v>
      </c>
      <c r="D1007" s="13" t="s">
        <v>709</v>
      </c>
      <c r="E1007" s="12" t="str">
        <f>HYPERLINK("https://twitter.com/alnasharee78/status/1181679957791137793","1181679957791137793")</f>
        <v>1181679957791137793</v>
      </c>
      <c r="F1007" s="8"/>
      <c r="G1007" s="14" t="s">
        <v>5656</v>
      </c>
      <c r="H1007" s="8"/>
      <c r="I1007" s="15">
        <v>0</v>
      </c>
      <c r="J1007" s="15">
        <v>0</v>
      </c>
      <c r="K1007" s="12" t="str">
        <f>HYPERLINK("http://twitter.com","Twitter Web Client")</f>
        <v>Twitter Web Client</v>
      </c>
      <c r="L1007" s="16">
        <v>18</v>
      </c>
      <c r="M1007" s="16">
        <v>45</v>
      </c>
      <c r="N1007" s="16">
        <v>0</v>
      </c>
      <c r="O1007" s="17"/>
      <c r="P1007" s="18">
        <v>42071.623877314814</v>
      </c>
      <c r="Q1007" s="8"/>
      <c r="R1007" s="8"/>
      <c r="S1007" s="8"/>
      <c r="T1007" s="8"/>
      <c r="U1007" s="19" t="str">
        <f>HYPERLINK("https://pbs.twimg.com/profile_images/574690809737449472/KJDgezJc.jpeg","View")</f>
        <v>View</v>
      </c>
      <c r="V1007" s="8"/>
      <c r="W1007" s="8"/>
      <c r="X1007" s="8"/>
      <c r="Y1007" s="8"/>
      <c r="Z1007" s="8"/>
    </row>
    <row r="1008" spans="1:26" ht="12.75">
      <c r="A1008" s="11">
        <v>43746.594872685186</v>
      </c>
      <c r="B1008" s="12" t="str">
        <f>HYPERLINK("https://twitter.com/hassanaseeri8","@hassanaseeri8")</f>
        <v>@hassanaseeri8</v>
      </c>
      <c r="C1008" s="13" t="s">
        <v>5659</v>
      </c>
      <c r="D1008" s="13" t="s">
        <v>5660</v>
      </c>
      <c r="E1008" s="12" t="str">
        <f>HYPERLINK("https://twitter.com/hassanaseeri8/status/1181679818166984705","1181679818166984705")</f>
        <v>1181679818166984705</v>
      </c>
      <c r="F1008" s="8"/>
      <c r="G1008" s="14" t="s">
        <v>5662</v>
      </c>
      <c r="H1008" s="8"/>
      <c r="I1008" s="15">
        <v>0</v>
      </c>
      <c r="J1008" s="15">
        <v>0</v>
      </c>
      <c r="K1008" s="12" t="str">
        <f>HYPERLINK("http://twitter.com","Twitter Web Client")</f>
        <v>Twitter Web Client</v>
      </c>
      <c r="L1008" s="16">
        <v>2</v>
      </c>
      <c r="M1008" s="16">
        <v>36</v>
      </c>
      <c r="N1008" s="16">
        <v>0</v>
      </c>
      <c r="O1008" s="17"/>
      <c r="P1008" s="18">
        <v>42021.392870370371</v>
      </c>
      <c r="Q1008" s="8"/>
      <c r="R1008" s="8"/>
      <c r="S1008" s="8"/>
      <c r="T1008" s="8"/>
      <c r="U1008" s="19" t="str">
        <f>HYPERLINK("https://pbs.twimg.com/profile_images/556502798825553920/9_Ljdg36.jpeg","View")</f>
        <v>View</v>
      </c>
      <c r="V1008" s="8"/>
      <c r="W1008" s="8"/>
      <c r="X1008" s="8"/>
      <c r="Y1008" s="8"/>
      <c r="Z1008" s="8"/>
    </row>
    <row r="1009" spans="1:26" ht="12.75">
      <c r="A1009" s="11">
        <v>43746.594722222224</v>
      </c>
      <c r="B1009" s="12" t="str">
        <f>HYPERLINK("https://twitter.com/halsomaily","@halsomaily")</f>
        <v>@halsomaily</v>
      </c>
      <c r="C1009" s="13" t="s">
        <v>5665</v>
      </c>
      <c r="D1009" s="13" t="s">
        <v>952</v>
      </c>
      <c r="E1009" s="12" t="str">
        <f>HYPERLINK("https://twitter.com/halsomaily/status/1181679761048735745","1181679761048735745")</f>
        <v>1181679761048735745</v>
      </c>
      <c r="F1009" s="8"/>
      <c r="G1009" s="14" t="s">
        <v>5666</v>
      </c>
      <c r="H1009" s="8"/>
      <c r="I1009" s="15">
        <v>0</v>
      </c>
      <c r="J1009" s="15">
        <v>0</v>
      </c>
      <c r="K1009" s="12" t="str">
        <f>HYPERLINK("https://mobile.twitter.com","Twitter Web App")</f>
        <v>Twitter Web App</v>
      </c>
      <c r="L1009" s="16">
        <v>0</v>
      </c>
      <c r="M1009" s="16">
        <v>2</v>
      </c>
      <c r="N1009" s="16">
        <v>0</v>
      </c>
      <c r="O1009" s="17"/>
      <c r="P1009" s="18">
        <v>43730.679583333331</v>
      </c>
      <c r="Q1009" s="7" t="s">
        <v>4714</v>
      </c>
      <c r="R1009" s="13" t="s">
        <v>1552</v>
      </c>
      <c r="S1009" s="8"/>
      <c r="T1009" s="8"/>
      <c r="U1009" s="19" t="str">
        <f>HYPERLINK("https://pbs.twimg.com/profile_images/1179452115120316416/4FlcJoRZ.jpg","View")</f>
        <v>View</v>
      </c>
      <c r="V1009" s="8"/>
      <c r="W1009" s="8"/>
      <c r="X1009" s="8"/>
      <c r="Y1009" s="8"/>
      <c r="Z1009" s="8"/>
    </row>
    <row r="1010" spans="1:26" ht="12.75">
      <c r="A1010" s="11">
        <v>43746.59412037037</v>
      </c>
      <c r="B1010" s="12" t="str">
        <f>HYPERLINK("https://twitter.com/rayyaanel1","@rayyaanel1")</f>
        <v>@rayyaanel1</v>
      </c>
      <c r="C1010" s="13" t="s">
        <v>5672</v>
      </c>
      <c r="D1010" s="7" t="s">
        <v>1130</v>
      </c>
      <c r="E1010" s="12" t="str">
        <f>HYPERLINK("https://twitter.com/rayyaanel1/status/1181679546031955969","1181679546031955969")</f>
        <v>1181679546031955969</v>
      </c>
      <c r="F1010" s="8"/>
      <c r="G1010" s="14" t="s">
        <v>5673</v>
      </c>
      <c r="H1010" s="8"/>
      <c r="I1010" s="15">
        <v>0</v>
      </c>
      <c r="J1010" s="15">
        <v>1</v>
      </c>
      <c r="K1010" s="12" t="str">
        <f>HYPERLINK("https://mobile.twitter.com","Twitter Web App")</f>
        <v>Twitter Web App</v>
      </c>
      <c r="L1010" s="16">
        <v>0</v>
      </c>
      <c r="M1010" s="16">
        <v>1</v>
      </c>
      <c r="N1010" s="16">
        <v>0</v>
      </c>
      <c r="O1010" s="17"/>
      <c r="P1010" s="18">
        <v>43745.598912037036</v>
      </c>
      <c r="Q1010" s="8" t="s">
        <v>4714</v>
      </c>
      <c r="R1010" s="8" t="s">
        <v>1552</v>
      </c>
      <c r="S1010" s="8"/>
      <c r="T1010" s="8"/>
      <c r="U1010" s="19" t="str">
        <f>HYPERLINK("https://pbs.twimg.com/profile_images/1181333567462236160/IaVZtR4o.jpg","View")</f>
        <v>View</v>
      </c>
      <c r="V1010" s="8"/>
      <c r="W1010" s="8"/>
      <c r="X1010" s="8"/>
      <c r="Y1010" s="8"/>
      <c r="Z1010" s="8"/>
    </row>
    <row r="1011" spans="1:26" ht="12.75">
      <c r="A1011" s="11">
        <v>43746.594085648147</v>
      </c>
      <c r="B1011" s="12" t="str">
        <f>HYPERLINK("https://twitter.com/alsabya3iie_5","@alsabya3iie_5")</f>
        <v>@alsabya3iie_5</v>
      </c>
      <c r="C1011" s="13" t="s">
        <v>5674</v>
      </c>
      <c r="D1011" s="13" t="s">
        <v>728</v>
      </c>
      <c r="E1011" s="12" t="str">
        <f>HYPERLINK("https://twitter.com/alsabya3iie_5/status/1181679529628184579","1181679529628184579")</f>
        <v>1181679529628184579</v>
      </c>
      <c r="F1011" s="8"/>
      <c r="G1011" s="14" t="s">
        <v>5677</v>
      </c>
      <c r="H1011" s="8"/>
      <c r="I1011" s="15">
        <v>0</v>
      </c>
      <c r="J1011" s="15">
        <v>0</v>
      </c>
      <c r="K1011" s="12" t="str">
        <f>HYPERLINK("http://twitter.com","Twitter Web Client")</f>
        <v>Twitter Web Client</v>
      </c>
      <c r="L1011" s="16">
        <v>2</v>
      </c>
      <c r="M1011" s="16">
        <v>35</v>
      </c>
      <c r="N1011" s="16">
        <v>0</v>
      </c>
      <c r="O1011" s="17"/>
      <c r="P1011" s="18">
        <v>42087.468194444446</v>
      </c>
      <c r="Q1011" s="8"/>
      <c r="R1011" s="8"/>
      <c r="S1011" s="8"/>
      <c r="T1011" s="8"/>
      <c r="U1011" s="19" t="str">
        <f>HYPERLINK("https://pbs.twimg.com/profile_images/580432660545310721/cUFNVrvV.jpg","View")</f>
        <v>View</v>
      </c>
      <c r="V1011" s="8"/>
      <c r="W1011" s="8"/>
      <c r="X1011" s="8"/>
      <c r="Y1011" s="8"/>
      <c r="Z1011" s="8"/>
    </row>
    <row r="1012" spans="1:26" ht="12.75">
      <c r="A1012" s="11">
        <v>43746.593541666662</v>
      </c>
      <c r="B1012" s="12" t="str">
        <f>HYPERLINK("https://twitter.com/hamedhamadan","@hamedhamadan")</f>
        <v>@hamedhamadan</v>
      </c>
      <c r="C1012" s="13" t="s">
        <v>5682</v>
      </c>
      <c r="D1012" s="13" t="s">
        <v>1178</v>
      </c>
      <c r="E1012" s="12" t="str">
        <f>HYPERLINK("https://twitter.com/hamedhamadan/status/1181679334135721984","1181679334135721984")</f>
        <v>1181679334135721984</v>
      </c>
      <c r="F1012" s="8"/>
      <c r="G1012" s="14" t="s">
        <v>5683</v>
      </c>
      <c r="H1012" s="8"/>
      <c r="I1012" s="15">
        <v>0</v>
      </c>
      <c r="J1012" s="15">
        <v>0</v>
      </c>
      <c r="K1012" s="12" t="str">
        <f>HYPERLINK("https://mobile.twitter.com","Twitter Web App")</f>
        <v>Twitter Web App</v>
      </c>
      <c r="L1012" s="16">
        <v>0</v>
      </c>
      <c r="M1012" s="16">
        <v>0</v>
      </c>
      <c r="N1012" s="16">
        <v>0</v>
      </c>
      <c r="O1012" s="17"/>
      <c r="P1012" s="18">
        <v>43730.658333333333</v>
      </c>
      <c r="Q1012" s="8" t="s">
        <v>1280</v>
      </c>
      <c r="R1012" s="8" t="s">
        <v>5626</v>
      </c>
      <c r="S1012" s="8"/>
      <c r="T1012" s="8"/>
      <c r="U1012" s="19" t="str">
        <f>HYPERLINK("https://pbs.twimg.com/profile_images/1179130882461822976/JB_i7CK7.jpg","View")</f>
        <v>View</v>
      </c>
      <c r="V1012" s="8"/>
      <c r="W1012" s="8"/>
      <c r="X1012" s="8"/>
      <c r="Y1012" s="8"/>
      <c r="Z1012" s="8"/>
    </row>
    <row r="1013" spans="1:26" ht="12.75">
      <c r="A1013" s="11">
        <v>43746.593530092592</v>
      </c>
      <c r="B1013" s="12" t="str">
        <f>HYPERLINK("https://twitter.com/dhaferabdulrah7","@dhaferabdulrah7")</f>
        <v>@dhaferabdulrah7</v>
      </c>
      <c r="C1013" s="13" t="s">
        <v>5688</v>
      </c>
      <c r="D1013" s="7" t="s">
        <v>5689</v>
      </c>
      <c r="E1013" s="12" t="str">
        <f>HYPERLINK("https://twitter.com/dhaferabdulrah7/status/1181679328737792000","1181679328737792000")</f>
        <v>1181679328737792000</v>
      </c>
      <c r="F1013" s="8"/>
      <c r="G1013" s="14" t="s">
        <v>5690</v>
      </c>
      <c r="H1013" s="8"/>
      <c r="I1013" s="15">
        <v>0</v>
      </c>
      <c r="J1013" s="15">
        <v>0</v>
      </c>
      <c r="K1013" s="12" t="str">
        <f>HYPERLINK("http://twitter.com","Twitter Web Client")</f>
        <v>Twitter Web Client</v>
      </c>
      <c r="L1013" s="16">
        <v>8</v>
      </c>
      <c r="M1013" s="16">
        <v>33</v>
      </c>
      <c r="N1013" s="16">
        <v>0</v>
      </c>
      <c r="O1013" s="17"/>
      <c r="P1013" s="18">
        <v>42065.248240740737</v>
      </c>
      <c r="Q1013" s="8"/>
      <c r="R1013" s="8"/>
      <c r="S1013" s="8"/>
      <c r="T1013" s="8"/>
      <c r="U1013" s="19" t="str">
        <f>HYPERLINK("https://pbs.twimg.com/profile_images/572396061096833024/4eGUiliL.jpeg","View")</f>
        <v>View</v>
      </c>
      <c r="V1013" s="8"/>
      <c r="W1013" s="8"/>
      <c r="X1013" s="8"/>
      <c r="Y1013" s="8"/>
      <c r="Z1013" s="8"/>
    </row>
    <row r="1014" spans="1:26" ht="12.75">
      <c r="A1014" s="11">
        <v>43746.59274305556</v>
      </c>
      <c r="B1014" s="12" t="str">
        <f>HYPERLINK("https://twitter.com/hamdanodha1","@hamdanodha1")</f>
        <v>@hamdanodha1</v>
      </c>
      <c r="C1014" s="13" t="s">
        <v>5682</v>
      </c>
      <c r="D1014" s="13" t="s">
        <v>907</v>
      </c>
      <c r="E1014" s="12" t="str">
        <f>HYPERLINK("https://twitter.com/hamdanodha1/status/1181679046914007040","1181679046914007040")</f>
        <v>1181679046914007040</v>
      </c>
      <c r="F1014" s="8"/>
      <c r="G1014" s="14" t="s">
        <v>5694</v>
      </c>
      <c r="H1014" s="8"/>
      <c r="I1014" s="15">
        <v>0</v>
      </c>
      <c r="J1014" s="15">
        <v>0</v>
      </c>
      <c r="K1014" s="12" t="str">
        <f>HYPERLINK("https://mobile.twitter.com","Twitter Web App")</f>
        <v>Twitter Web App</v>
      </c>
      <c r="L1014" s="16">
        <v>0</v>
      </c>
      <c r="M1014" s="16">
        <v>0</v>
      </c>
      <c r="N1014" s="16">
        <v>0</v>
      </c>
      <c r="O1014" s="17"/>
      <c r="P1014" s="18">
        <v>43730.655960648146</v>
      </c>
      <c r="Q1014" s="8" t="s">
        <v>1288</v>
      </c>
      <c r="R1014" s="8" t="s">
        <v>5586</v>
      </c>
      <c r="S1014" s="8"/>
      <c r="T1014" s="8"/>
      <c r="U1014" s="19" t="str">
        <f>HYPERLINK("https://pbs.twimg.com/profile_images/1176995988419960832/1soa2OOF.png","View")</f>
        <v>View</v>
      </c>
      <c r="V1014" s="8"/>
      <c r="W1014" s="8"/>
      <c r="X1014" s="8"/>
      <c r="Y1014" s="8"/>
      <c r="Z1014" s="8"/>
    </row>
    <row r="1015" spans="1:26" ht="12.75">
      <c r="A1015" s="11">
        <v>43746.591666666667</v>
      </c>
      <c r="B1015" s="12" t="str">
        <f>HYPERLINK("https://twitter.com/shamibiaeuiesa","@shamibiaeuiesa")</f>
        <v>@shamibiaeuiesa</v>
      </c>
      <c r="C1015" s="13" t="s">
        <v>5699</v>
      </c>
      <c r="D1015" s="7" t="s">
        <v>5700</v>
      </c>
      <c r="E1015" s="12" t="str">
        <f>HYPERLINK("https://twitter.com/shamibiaeuiesa/status/1181678655296229379","1181678655296229379")</f>
        <v>1181678655296229379</v>
      </c>
      <c r="F1015" s="8"/>
      <c r="G1015" s="14" t="s">
        <v>5701</v>
      </c>
      <c r="H1015" s="8"/>
      <c r="I1015" s="15">
        <v>0</v>
      </c>
      <c r="J1015" s="15">
        <v>0</v>
      </c>
      <c r="K1015" s="12" t="str">
        <f>HYPERLINK("http://twitter.com","Twitter Web Client")</f>
        <v>Twitter Web Client</v>
      </c>
      <c r="L1015" s="16">
        <v>3</v>
      </c>
      <c r="M1015" s="16">
        <v>33</v>
      </c>
      <c r="N1015" s="16">
        <v>0</v>
      </c>
      <c r="O1015" s="17"/>
      <c r="P1015" s="18">
        <v>41828.508252314816</v>
      </c>
      <c r="Q1015" s="7"/>
      <c r="R1015" s="13"/>
      <c r="S1015" s="8"/>
      <c r="T1015" s="8"/>
      <c r="U1015" s="19" t="str">
        <f>HYPERLINK("https://pbs.twimg.com/profile_images/486588940070039553/_vLCOVDy.jpeg","View")</f>
        <v>View</v>
      </c>
      <c r="V1015" s="8"/>
      <c r="W1015" s="8"/>
      <c r="X1015" s="8"/>
      <c r="Y1015" s="8"/>
      <c r="Z1015" s="8"/>
    </row>
    <row r="1016" spans="1:26" ht="12.75">
      <c r="A1016" s="11">
        <v>43746.591215277775</v>
      </c>
      <c r="B1016" s="12" t="str">
        <f>HYPERLINK("https://twitter.com/mufeedal1","@mufeedal1")</f>
        <v>@mufeedal1</v>
      </c>
      <c r="C1016" s="13" t="s">
        <v>5705</v>
      </c>
      <c r="D1016" s="7" t="s">
        <v>1107</v>
      </c>
      <c r="E1016" s="12" t="str">
        <f>HYPERLINK("https://twitter.com/mufeedal1/status/1181678489247739904","1181678489247739904")</f>
        <v>1181678489247739904</v>
      </c>
      <c r="F1016" s="8"/>
      <c r="G1016" s="14" t="s">
        <v>5708</v>
      </c>
      <c r="H1016" s="8"/>
      <c r="I1016" s="15">
        <v>0</v>
      </c>
      <c r="J1016" s="15">
        <v>0</v>
      </c>
      <c r="K1016" s="12" t="str">
        <f>HYPERLINK("http://twitter.com","Twitter Web Client")</f>
        <v>Twitter Web Client</v>
      </c>
      <c r="L1016" s="16">
        <v>0</v>
      </c>
      <c r="M1016" s="16">
        <v>1</v>
      </c>
      <c r="N1016" s="16">
        <v>0</v>
      </c>
      <c r="O1016" s="17"/>
      <c r="P1016" s="18">
        <v>43745.593298611115</v>
      </c>
      <c r="Q1016" s="8" t="s">
        <v>4714</v>
      </c>
      <c r="R1016" s="8" t="s">
        <v>1110</v>
      </c>
      <c r="S1016" s="8"/>
      <c r="T1016" s="8"/>
      <c r="U1016" s="19" t="str">
        <f>HYPERLINK("https://pbs.twimg.com/profile_images/1181330837377187841/CbBVH3MW.png","View")</f>
        <v>View</v>
      </c>
      <c r="V1016" s="8"/>
      <c r="W1016" s="8"/>
      <c r="X1016" s="8"/>
      <c r="Y1016" s="8"/>
      <c r="Z1016" s="8"/>
    </row>
    <row r="1017" spans="1:26" ht="12.75">
      <c r="A1017" s="11">
        <v>43746.590879629628</v>
      </c>
      <c r="B1017" s="12" t="str">
        <f>HYPERLINK("https://twitter.com/moham3dsalman","@moham3dsalman")</f>
        <v>@moham3dsalman</v>
      </c>
      <c r="C1017" s="13" t="s">
        <v>5712</v>
      </c>
      <c r="D1017" s="13" t="s">
        <v>1236</v>
      </c>
      <c r="E1017" s="12" t="str">
        <f>HYPERLINK("https://twitter.com/moham3dsalman/status/1181678370632765442","1181678370632765442")</f>
        <v>1181678370632765442</v>
      </c>
      <c r="F1017" s="8"/>
      <c r="G1017" s="14" t="s">
        <v>5713</v>
      </c>
      <c r="H1017" s="8"/>
      <c r="I1017" s="15">
        <v>0</v>
      </c>
      <c r="J1017" s="15">
        <v>0</v>
      </c>
      <c r="K1017" s="12" t="str">
        <f>HYPERLINK("https://mobile.twitter.com","Twitter Web App")</f>
        <v>Twitter Web App</v>
      </c>
      <c r="L1017" s="16">
        <v>0</v>
      </c>
      <c r="M1017" s="16">
        <v>1</v>
      </c>
      <c r="N1017" s="16">
        <v>0</v>
      </c>
      <c r="O1017" s="17"/>
      <c r="P1017" s="18">
        <v>43730.653749999998</v>
      </c>
      <c r="Q1017" s="8" t="s">
        <v>1533</v>
      </c>
      <c r="R1017" s="8" t="s">
        <v>2938</v>
      </c>
      <c r="S1017" s="8"/>
      <c r="T1017" s="8"/>
      <c r="U1017" s="19" t="str">
        <f>HYPERLINK("https://pbs.twimg.com/profile_images/1176993948348190725/Y0a1p06s.png","View")</f>
        <v>View</v>
      </c>
      <c r="V1017" s="8"/>
      <c r="W1017" s="8"/>
      <c r="X1017" s="8"/>
      <c r="Y1017" s="8"/>
      <c r="Z1017" s="8"/>
    </row>
    <row r="1018" spans="1:26" ht="12.75">
      <c r="A1018" s="11">
        <v>43746.590624999997</v>
      </c>
      <c r="B1018" s="12" t="str">
        <f>HYPERLINK("https://twitter.com/almonifnaser","@almonifnaser")</f>
        <v>@almonifnaser</v>
      </c>
      <c r="C1018" s="13" t="s">
        <v>5720</v>
      </c>
      <c r="D1018" s="13" t="s">
        <v>5721</v>
      </c>
      <c r="E1018" s="12" t="str">
        <f>HYPERLINK("https://twitter.com/almonifnaser/status/1181678276386922496","1181678276386922496")</f>
        <v>1181678276386922496</v>
      </c>
      <c r="F1018" s="8"/>
      <c r="G1018" s="14" t="s">
        <v>5722</v>
      </c>
      <c r="H1018" s="8"/>
      <c r="I1018" s="15">
        <v>0</v>
      </c>
      <c r="J1018" s="15">
        <v>0</v>
      </c>
      <c r="K1018" s="12" t="str">
        <f>HYPERLINK("http://twitter.com","Twitter Web Client")</f>
        <v>Twitter Web Client</v>
      </c>
      <c r="L1018" s="16">
        <v>1</v>
      </c>
      <c r="M1018" s="16">
        <v>31</v>
      </c>
      <c r="N1018" s="16">
        <v>1</v>
      </c>
      <c r="O1018" s="17"/>
      <c r="P1018" s="18">
        <v>41821.225497685184</v>
      </c>
      <c r="Q1018" s="7"/>
      <c r="R1018" s="13"/>
      <c r="S1018" s="8"/>
      <c r="T1018" s="8"/>
      <c r="U1018" s="19" t="str">
        <f>HYPERLINK("https://pbs.twimg.com/profile_images/483949519940251649/TqfPclnP.jpeg","View")</f>
        <v>View</v>
      </c>
      <c r="V1018" s="8"/>
      <c r="W1018" s="8"/>
      <c r="X1018" s="8"/>
      <c r="Y1018" s="8"/>
      <c r="Z1018" s="8"/>
    </row>
    <row r="1019" spans="1:26" ht="12.75">
      <c r="A1019" s="11">
        <v>43746.590324074074</v>
      </c>
      <c r="B1019" s="12" t="str">
        <f>HYPERLINK("https://twitter.com/zufarel1","@zufarel1")</f>
        <v>@zufarel1</v>
      </c>
      <c r="C1019" s="13" t="s">
        <v>5726</v>
      </c>
      <c r="D1019" s="13" t="s">
        <v>907</v>
      </c>
      <c r="E1019" s="12" t="str">
        <f>HYPERLINK("https://twitter.com/zufarel1/status/1181678166529564672","1181678166529564672")</f>
        <v>1181678166529564672</v>
      </c>
      <c r="F1019" s="8"/>
      <c r="G1019" s="14" t="s">
        <v>5728</v>
      </c>
      <c r="H1019" s="8"/>
      <c r="I1019" s="15">
        <v>0</v>
      </c>
      <c r="J1019" s="15">
        <v>0</v>
      </c>
      <c r="K1019" s="12" t="str">
        <f>HYPERLINK("https://mobile.twitter.com","Twitter Web App")</f>
        <v>Twitter Web App</v>
      </c>
      <c r="L1019" s="16">
        <v>0</v>
      </c>
      <c r="M1019" s="16">
        <v>1</v>
      </c>
      <c r="N1019" s="16">
        <v>0</v>
      </c>
      <c r="O1019" s="17"/>
      <c r="P1019" s="18">
        <v>43745.58694444444</v>
      </c>
      <c r="Q1019" s="8" t="s">
        <v>4714</v>
      </c>
      <c r="R1019" s="8" t="s">
        <v>1258</v>
      </c>
      <c r="S1019" s="8"/>
      <c r="T1019" s="8"/>
      <c r="U1019" s="19" t="str">
        <f>HYPERLINK("https://pbs.twimg.com/profile_images/1181314580829442048/KFgF5d0y.jpg","View")</f>
        <v>View</v>
      </c>
      <c r="V1019" s="8"/>
      <c r="W1019" s="8"/>
      <c r="X1019" s="8"/>
      <c r="Y1019" s="8"/>
      <c r="Z1019" s="8"/>
    </row>
    <row r="1020" spans="1:26" ht="12.75">
      <c r="A1020" s="11">
        <v>43746.589571759258</v>
      </c>
      <c r="B1020" s="12" t="str">
        <f>HYPERLINK("https://twitter.com/ateikalselmey","@ateikalselmey")</f>
        <v>@ateikalselmey</v>
      </c>
      <c r="C1020" s="13" t="s">
        <v>5735</v>
      </c>
      <c r="D1020" s="7" t="s">
        <v>5736</v>
      </c>
      <c r="E1020" s="12" t="str">
        <f>HYPERLINK("https://twitter.com/ateikalselmey/status/1181677896957616129","1181677896957616129")</f>
        <v>1181677896957616129</v>
      </c>
      <c r="F1020" s="8"/>
      <c r="G1020" s="14" t="s">
        <v>5737</v>
      </c>
      <c r="H1020" s="8"/>
      <c r="I1020" s="15">
        <v>0</v>
      </c>
      <c r="J1020" s="15">
        <v>0</v>
      </c>
      <c r="K1020" s="12" t="str">
        <f>HYPERLINK("http://twitter.com","Twitter Web Client")</f>
        <v>Twitter Web Client</v>
      </c>
      <c r="L1020" s="16">
        <v>0</v>
      </c>
      <c r="M1020" s="16">
        <v>36</v>
      </c>
      <c r="N1020" s="16">
        <v>0</v>
      </c>
      <c r="O1020" s="17"/>
      <c r="P1020" s="18">
        <v>42018.411851851852</v>
      </c>
      <c r="Q1020" s="8"/>
      <c r="R1020" s="8"/>
      <c r="S1020" s="8"/>
      <c r="T1020" s="8"/>
      <c r="U1020" s="19" t="str">
        <f>HYPERLINK("https://pbs.twimg.com/profile_images/555422662957080576/TAuXOD6q.jpeg","View")</f>
        <v>View</v>
      </c>
      <c r="V1020" s="8"/>
      <c r="W1020" s="8"/>
      <c r="X1020" s="8"/>
      <c r="Y1020" s="8"/>
      <c r="Z1020" s="8"/>
    </row>
    <row r="1021" spans="1:26" ht="12.75">
      <c r="A1021" s="11">
        <v>43746.588784722218</v>
      </c>
      <c r="B1021" s="12" t="str">
        <f>HYPERLINK("https://twitter.com/eleesa43_55","@eleesa43_55")</f>
        <v>@eleesa43_55</v>
      </c>
      <c r="C1021" s="13" t="s">
        <v>5741</v>
      </c>
      <c r="D1021" s="13" t="s">
        <v>5742</v>
      </c>
      <c r="E1021" s="12" t="str">
        <f>HYPERLINK("https://twitter.com/eleesa43_55/status/1181677609836564482","1181677609836564482")</f>
        <v>1181677609836564482</v>
      </c>
      <c r="F1021" s="8"/>
      <c r="G1021" s="14" t="s">
        <v>5743</v>
      </c>
      <c r="H1021" s="8"/>
      <c r="I1021" s="15">
        <v>0</v>
      </c>
      <c r="J1021" s="15">
        <v>0</v>
      </c>
      <c r="K1021" s="12" t="str">
        <f>HYPERLINK("http://twitter.com","Twitter Web Client")</f>
        <v>Twitter Web Client</v>
      </c>
      <c r="L1021" s="16">
        <v>12</v>
      </c>
      <c r="M1021" s="16">
        <v>54</v>
      </c>
      <c r="N1021" s="16">
        <v>0</v>
      </c>
      <c r="O1021" s="17"/>
      <c r="P1021" s="18">
        <v>42073.662824074076</v>
      </c>
      <c r="Q1021" s="8"/>
      <c r="R1021" s="8"/>
      <c r="S1021" s="8"/>
      <c r="T1021" s="8"/>
      <c r="U1021" s="19" t="str">
        <f>HYPERLINK("https://pbs.twimg.com/profile_images/575429725771821056/lHzX9kTr.jpeg","View")</f>
        <v>View</v>
      </c>
      <c r="V1021" s="8"/>
      <c r="W1021" s="8"/>
      <c r="X1021" s="8"/>
      <c r="Y1021" s="8"/>
      <c r="Z1021" s="8"/>
    </row>
    <row r="1022" spans="1:26" ht="12.75">
      <c r="A1022" s="11">
        <v>43746.588124999995</v>
      </c>
      <c r="B1022" s="12" t="str">
        <f>HYPERLINK("https://twitter.com/al3argani323","@al3argani323")</f>
        <v>@al3argani323</v>
      </c>
      <c r="C1022" s="13" t="s">
        <v>5747</v>
      </c>
      <c r="D1022" s="7" t="s">
        <v>5748</v>
      </c>
      <c r="E1022" s="12" t="str">
        <f>HYPERLINK("https://twitter.com/al3argani323/status/1181677370580881408","1181677370580881408")</f>
        <v>1181677370580881408</v>
      </c>
      <c r="F1022" s="8"/>
      <c r="G1022" s="14" t="s">
        <v>5749</v>
      </c>
      <c r="H1022" s="8"/>
      <c r="I1022" s="15">
        <v>0</v>
      </c>
      <c r="J1022" s="15">
        <v>0</v>
      </c>
      <c r="K1022" s="12" t="str">
        <f>HYPERLINK("http://twitter.com","Twitter Web Client")</f>
        <v>Twitter Web Client</v>
      </c>
      <c r="L1022" s="16">
        <v>13</v>
      </c>
      <c r="M1022" s="16">
        <v>38</v>
      </c>
      <c r="N1022" s="16">
        <v>0</v>
      </c>
      <c r="O1022" s="17"/>
      <c r="P1022" s="18">
        <v>42075.232997685191</v>
      </c>
      <c r="Q1022" s="8"/>
      <c r="R1022" s="8"/>
      <c r="S1022" s="8"/>
      <c r="T1022" s="8"/>
      <c r="U1022" s="19" t="str">
        <f>HYPERLINK("https://pbs.twimg.com/profile_images/575998782325690368/rFE3O0Zx.jpeg","View")</f>
        <v>View</v>
      </c>
      <c r="V1022" s="8"/>
      <c r="W1022" s="8"/>
      <c r="X1022" s="8"/>
      <c r="Y1022" s="8"/>
      <c r="Z1022" s="8"/>
    </row>
    <row r="1023" spans="1:26" ht="12.75">
      <c r="A1023" s="11">
        <v>43746.588101851856</v>
      </c>
      <c r="B1023" s="12" t="str">
        <f>HYPERLINK("https://twitter.com/marzouka16","@marzouka16")</f>
        <v>@marzouka16</v>
      </c>
      <c r="C1023" s="13" t="s">
        <v>5751</v>
      </c>
      <c r="D1023" s="7" t="s">
        <v>28</v>
      </c>
      <c r="E1023" s="12" t="str">
        <f>HYPERLINK("https://twitter.com/marzouka16/status/1181677363815256064","1181677363815256064")</f>
        <v>1181677363815256064</v>
      </c>
      <c r="F1023" s="8"/>
      <c r="G1023" s="14" t="s">
        <v>1267</v>
      </c>
      <c r="H1023" s="8"/>
      <c r="I1023" s="15">
        <v>0</v>
      </c>
      <c r="J1023" s="15">
        <v>0</v>
      </c>
      <c r="K1023" s="12" t="str">
        <f>HYPERLINK("https://mobile.twitter.com","Twitter Web App")</f>
        <v>Twitter Web App</v>
      </c>
      <c r="L1023" s="16">
        <v>1</v>
      </c>
      <c r="M1023" s="16">
        <v>0</v>
      </c>
      <c r="N1023" s="16">
        <v>0</v>
      </c>
      <c r="O1023" s="17"/>
      <c r="P1023" s="18">
        <v>43730.651192129633</v>
      </c>
      <c r="Q1023" s="8" t="s">
        <v>1527</v>
      </c>
      <c r="R1023" s="8" t="s">
        <v>5626</v>
      </c>
      <c r="S1023" s="8"/>
      <c r="T1023" s="8"/>
      <c r="U1023" s="19" t="str">
        <f>HYPERLINK("https://pbs.twimg.com/profile_images/1176991520357904387/dgL-QJ69.jpg","View")</f>
        <v>View</v>
      </c>
      <c r="V1023" s="8"/>
      <c r="W1023" s="8"/>
      <c r="X1023" s="8"/>
      <c r="Y1023" s="8"/>
      <c r="Z1023" s="8"/>
    </row>
    <row r="1024" spans="1:26" ht="12.75">
      <c r="A1024" s="11">
        <v>43746.587673611109</v>
      </c>
      <c r="B1024" s="12" t="str">
        <f>HYPERLINK("https://twitter.com/aqeelel1","@aqeelel1")</f>
        <v>@aqeelel1</v>
      </c>
      <c r="C1024" s="13" t="s">
        <v>5756</v>
      </c>
      <c r="D1024" s="7" t="s">
        <v>923</v>
      </c>
      <c r="E1024" s="12" t="str">
        <f>HYPERLINK("https://twitter.com/aqeelel1/status/1181677207413874688","1181677207413874688")</f>
        <v>1181677207413874688</v>
      </c>
      <c r="F1024" s="8"/>
      <c r="G1024" s="14" t="s">
        <v>5757</v>
      </c>
      <c r="H1024" s="8"/>
      <c r="I1024" s="15">
        <v>0</v>
      </c>
      <c r="J1024" s="15">
        <v>0</v>
      </c>
      <c r="K1024" s="12" t="str">
        <f>HYPERLINK("https://mobile.twitter.com","Twitter Web App")</f>
        <v>Twitter Web App</v>
      </c>
      <c r="L1024" s="16">
        <v>0</v>
      </c>
      <c r="M1024" s="16">
        <v>1</v>
      </c>
      <c r="N1024" s="16">
        <v>0</v>
      </c>
      <c r="O1024" s="17"/>
      <c r="P1024" s="18">
        <v>43745.580104166671</v>
      </c>
      <c r="Q1024" s="8" t="s">
        <v>4714</v>
      </c>
      <c r="R1024" s="8" t="s">
        <v>1277</v>
      </c>
      <c r="S1024" s="8"/>
      <c r="T1024" s="8"/>
      <c r="U1024" s="19" t="str">
        <f>HYPERLINK("https://pbs.twimg.com/profile_images/1181312456368349184/8LhdDH3C.jpg","View")</f>
        <v>View</v>
      </c>
      <c r="V1024" s="8"/>
      <c r="W1024" s="8"/>
      <c r="X1024" s="8"/>
      <c r="Y1024" s="8"/>
      <c r="Z1024" s="8"/>
    </row>
    <row r="1025" spans="1:26" ht="12.75">
      <c r="A1025" s="11">
        <v>43746.586585648147</v>
      </c>
      <c r="B1025" s="12" t="str">
        <f>HYPERLINK("https://twitter.com/hamiiedd32","@hamiiedd32")</f>
        <v>@hamiiedd32</v>
      </c>
      <c r="C1025" s="13" t="s">
        <v>5759</v>
      </c>
      <c r="D1025" s="7" t="s">
        <v>5760</v>
      </c>
      <c r="E1025" s="12" t="str">
        <f>HYPERLINK("https://twitter.com/hamiiedd32/status/1181676813447237632","1181676813447237632")</f>
        <v>1181676813447237632</v>
      </c>
      <c r="F1025" s="8"/>
      <c r="G1025" s="14" t="s">
        <v>5763</v>
      </c>
      <c r="H1025" s="8"/>
      <c r="I1025" s="15">
        <v>0</v>
      </c>
      <c r="J1025" s="15">
        <v>0</v>
      </c>
      <c r="K1025" s="12" t="str">
        <f>HYPERLINK("http://twitter.com","Twitter Web Client")</f>
        <v>Twitter Web Client</v>
      </c>
      <c r="L1025" s="16">
        <v>5</v>
      </c>
      <c r="M1025" s="16">
        <v>46</v>
      </c>
      <c r="N1025" s="16">
        <v>0</v>
      </c>
      <c r="O1025" s="17"/>
      <c r="P1025" s="18">
        <v>42071.311909722222</v>
      </c>
      <c r="Q1025" s="7"/>
      <c r="R1025" s="13"/>
      <c r="S1025" s="8"/>
      <c r="T1025" s="8"/>
      <c r="U1025" s="19" t="str">
        <f>HYPERLINK("https://pbs.twimg.com/profile_images/574577734573129730/Qmaz8Y-w.jpeg","View")</f>
        <v>View</v>
      </c>
      <c r="V1025" s="8"/>
      <c r="W1025" s="8"/>
      <c r="X1025" s="8"/>
      <c r="Y1025" s="8"/>
      <c r="Z1025" s="8"/>
    </row>
    <row r="1026" spans="1:26" ht="12.75">
      <c r="A1026" s="11">
        <v>43746.5862962963</v>
      </c>
      <c r="B1026" s="12" t="str">
        <f>HYPERLINK("https://twitter.com/KhalelMnaaf","@KhalelMnaaf")</f>
        <v>@KhalelMnaaf</v>
      </c>
      <c r="C1026" s="13" t="s">
        <v>5766</v>
      </c>
      <c r="D1026" s="7" t="s">
        <v>5767</v>
      </c>
      <c r="E1026" s="12" t="str">
        <f>HYPERLINK("https://twitter.com/KhalelMnaaf/status/1181676710678401024","1181676710678401024")</f>
        <v>1181676710678401024</v>
      </c>
      <c r="F1026" s="8"/>
      <c r="G1026" s="14" t="s">
        <v>5768</v>
      </c>
      <c r="H1026" s="8"/>
      <c r="I1026" s="15">
        <v>0</v>
      </c>
      <c r="J1026" s="15">
        <v>0</v>
      </c>
      <c r="K1026" s="12" t="str">
        <f>HYPERLINK("http://twitter.com","Twitter Web Client")</f>
        <v>Twitter Web Client</v>
      </c>
      <c r="L1026" s="16">
        <v>2</v>
      </c>
      <c r="M1026" s="16">
        <v>35</v>
      </c>
      <c r="N1026" s="16">
        <v>0</v>
      </c>
      <c r="O1026" s="17"/>
      <c r="P1026" s="18">
        <v>42078.329618055555</v>
      </c>
      <c r="Q1026" s="8"/>
      <c r="R1026" s="8"/>
      <c r="S1026" s="8"/>
      <c r="T1026" s="8"/>
      <c r="U1026" s="19" t="str">
        <f>HYPERLINK("https://pbs.twimg.com/profile_images/577120800546811904/BPqqegXG.jpeg","View")</f>
        <v>View</v>
      </c>
      <c r="V1026" s="8"/>
      <c r="W1026" s="8"/>
      <c r="X1026" s="8"/>
      <c r="Y1026" s="8"/>
      <c r="Z1026" s="8"/>
    </row>
    <row r="1027" spans="1:26" ht="12.75">
      <c r="A1027" s="11">
        <v>43746.586041666669</v>
      </c>
      <c r="B1027" s="12" t="str">
        <f>HYPERLINK("https://twitter.com/salehyami8","@salehyami8")</f>
        <v>@salehyami8</v>
      </c>
      <c r="C1027" s="13" t="s">
        <v>5772</v>
      </c>
      <c r="D1027" s="7" t="s">
        <v>821</v>
      </c>
      <c r="E1027" s="12" t="str">
        <f>HYPERLINK("https://twitter.com/salehyami8/status/1181676616679854080","1181676616679854080")</f>
        <v>1181676616679854080</v>
      </c>
      <c r="F1027" s="8"/>
      <c r="G1027" s="14" t="s">
        <v>5773</v>
      </c>
      <c r="H1027" s="8"/>
      <c r="I1027" s="15">
        <v>0</v>
      </c>
      <c r="J1027" s="15">
        <v>0</v>
      </c>
      <c r="K1027" s="12" t="str">
        <f>HYPERLINK("http://twitter.com","Twitter Web Client")</f>
        <v>Twitter Web Client</v>
      </c>
      <c r="L1027" s="16">
        <v>1</v>
      </c>
      <c r="M1027" s="16">
        <v>36</v>
      </c>
      <c r="N1027" s="16">
        <v>0</v>
      </c>
      <c r="O1027" s="17"/>
      <c r="P1027" s="18">
        <v>42069.183831018519</v>
      </c>
      <c r="Q1027" s="8"/>
      <c r="R1027" s="8"/>
      <c r="S1027" s="8"/>
      <c r="T1027" s="8"/>
      <c r="U1027" s="19" t="str">
        <f>HYPERLINK("https://pbs.twimg.com/profile_images/573821732584230912/XXqYGwlv.jpeg","View")</f>
        <v>View</v>
      </c>
      <c r="V1027" s="8"/>
      <c r="W1027" s="8"/>
      <c r="X1027" s="8"/>
      <c r="Y1027" s="8"/>
      <c r="Z1027" s="8"/>
    </row>
    <row r="1028" spans="1:26" ht="12.75">
      <c r="A1028" s="11">
        <v>43746.58592592593</v>
      </c>
      <c r="B1028" s="12" t="str">
        <f>HYPERLINK("https://twitter.com/husseintaher111","@husseintaher111")</f>
        <v>@husseintaher111</v>
      </c>
      <c r="C1028" s="13" t="s">
        <v>5778</v>
      </c>
      <c r="D1028" s="7" t="s">
        <v>914</v>
      </c>
      <c r="E1028" s="12" t="str">
        <f>HYPERLINK("https://twitter.com/husseintaher111/status/1181676575642681344","1181676575642681344")</f>
        <v>1181676575642681344</v>
      </c>
      <c r="F1028" s="8"/>
      <c r="G1028" s="14" t="s">
        <v>917</v>
      </c>
      <c r="H1028" s="8"/>
      <c r="I1028" s="15">
        <v>0</v>
      </c>
      <c r="J1028" s="15">
        <v>0</v>
      </c>
      <c r="K1028" s="12" t="str">
        <f>HYPERLINK("https://mobile.twitter.com","Twitter Web App")</f>
        <v>Twitter Web App</v>
      </c>
      <c r="L1028" s="16">
        <v>0</v>
      </c>
      <c r="M1028" s="16">
        <v>2</v>
      </c>
      <c r="N1028" s="16">
        <v>0</v>
      </c>
      <c r="O1028" s="17"/>
      <c r="P1028" s="18">
        <v>43730.635937500003</v>
      </c>
      <c r="Q1028" s="8" t="s">
        <v>5781</v>
      </c>
      <c r="R1028" s="8" t="s">
        <v>5782</v>
      </c>
      <c r="S1028" s="8"/>
      <c r="T1028" s="8"/>
      <c r="U1028" s="19" t="str">
        <f>HYPERLINK("https://pbs.twimg.com/profile_images/1175896539639644160/W6gy-YmA.jpg","View")</f>
        <v>View</v>
      </c>
      <c r="V1028" s="8"/>
      <c r="W1028" s="8"/>
      <c r="X1028" s="8"/>
      <c r="Y1028" s="8"/>
      <c r="Z1028" s="8"/>
    </row>
    <row r="1029" spans="1:26" ht="12.75">
      <c r="A1029" s="11">
        <v>43746.585011574076</v>
      </c>
      <c r="B1029" s="12" t="str">
        <f>HYPERLINK("https://twitter.com/YaDhaferal","@YaDhaferal")</f>
        <v>@YaDhaferal</v>
      </c>
      <c r="C1029" s="13" t="s">
        <v>5786</v>
      </c>
      <c r="D1029" s="7" t="s">
        <v>5787</v>
      </c>
      <c r="E1029" s="12" t="str">
        <f>HYPERLINK("https://twitter.com/YaDhaferal/status/1181676241906229250","1181676241906229250")</f>
        <v>1181676241906229250</v>
      </c>
      <c r="F1029" s="8"/>
      <c r="G1029" s="14" t="s">
        <v>5788</v>
      </c>
      <c r="H1029" s="8"/>
      <c r="I1029" s="15">
        <v>0</v>
      </c>
      <c r="J1029" s="15">
        <v>0</v>
      </c>
      <c r="K1029" s="12" t="str">
        <f>HYPERLINK("http://twitter.com","Twitter Web Client")</f>
        <v>Twitter Web Client</v>
      </c>
      <c r="L1029" s="16">
        <v>3</v>
      </c>
      <c r="M1029" s="16">
        <v>22</v>
      </c>
      <c r="N1029" s="16">
        <v>0</v>
      </c>
      <c r="O1029" s="17"/>
      <c r="P1029" s="18">
        <v>41829.185277777782</v>
      </c>
      <c r="Q1029" s="8"/>
      <c r="R1029" s="8"/>
      <c r="S1029" s="8"/>
      <c r="T1029" s="8"/>
      <c r="U1029" s="19" t="str">
        <f>HYPERLINK("https://pbs.twimg.com/profile_images/486834640519311360/7mwGu0lU.jpeg","View")</f>
        <v>View</v>
      </c>
      <c r="V1029" s="8"/>
      <c r="W1029" s="8"/>
      <c r="X1029" s="8"/>
      <c r="Y1029" s="8"/>
      <c r="Z1029" s="8"/>
    </row>
    <row r="1030" spans="1:26" ht="12.75">
      <c r="A1030" s="11">
        <v>43746.584756944445</v>
      </c>
      <c r="B1030" s="12" t="str">
        <f>HYPERLINK("https://twitter.com/fateenal1","@fateenal1")</f>
        <v>@fateenal1</v>
      </c>
      <c r="C1030" s="13" t="s">
        <v>5792</v>
      </c>
      <c r="D1030" s="13" t="s">
        <v>937</v>
      </c>
      <c r="E1030" s="12" t="str">
        <f>HYPERLINK("https://twitter.com/fateenal1/status/1181676149790801921","1181676149790801921")</f>
        <v>1181676149790801921</v>
      </c>
      <c r="F1030" s="8"/>
      <c r="G1030" s="14" t="s">
        <v>5795</v>
      </c>
      <c r="H1030" s="8"/>
      <c r="I1030" s="15">
        <v>0</v>
      </c>
      <c r="J1030" s="15">
        <v>0</v>
      </c>
      <c r="K1030" s="12" t="str">
        <f>HYPERLINK("https://mobile.twitter.com","Twitter Web App")</f>
        <v>Twitter Web App</v>
      </c>
      <c r="L1030" s="16">
        <v>0</v>
      </c>
      <c r="M1030" s="16">
        <v>1</v>
      </c>
      <c r="N1030" s="16">
        <v>0</v>
      </c>
      <c r="O1030" s="17"/>
      <c r="P1030" s="18">
        <v>43745.575671296298</v>
      </c>
      <c r="Q1030" s="8" t="s">
        <v>5797</v>
      </c>
      <c r="R1030" s="8" t="s">
        <v>912</v>
      </c>
      <c r="S1030" s="8"/>
      <c r="T1030" s="8"/>
      <c r="U1030" s="19" t="str">
        <f>HYPERLINK("https://pbs.twimg.com/profile_images/1181310504117002241/7JkSixqp.jpg","View")</f>
        <v>View</v>
      </c>
      <c r="V1030" s="8"/>
      <c r="W1030" s="8"/>
      <c r="X1030" s="8"/>
      <c r="Y1030" s="8"/>
      <c r="Z1030" s="8"/>
    </row>
    <row r="1031" spans="1:26" ht="12.75">
      <c r="A1031" s="11">
        <v>43746.584479166668</v>
      </c>
      <c r="B1031" s="12" t="str">
        <f>HYPERLINK("https://twitter.com/alatyabi_dd","@alatyabi_dd")</f>
        <v>@alatyabi_dd</v>
      </c>
      <c r="C1031" s="13" t="s">
        <v>5798</v>
      </c>
      <c r="D1031" s="7" t="s">
        <v>5799</v>
      </c>
      <c r="E1031" s="12" t="str">
        <f>HYPERLINK("https://twitter.com/alatyabi_dd/status/1181676048162983938","1181676048162983938")</f>
        <v>1181676048162983938</v>
      </c>
      <c r="F1031" s="8"/>
      <c r="G1031" s="14" t="s">
        <v>5800</v>
      </c>
      <c r="H1031" s="8"/>
      <c r="I1031" s="15">
        <v>0</v>
      </c>
      <c r="J1031" s="15">
        <v>0</v>
      </c>
      <c r="K1031" s="12" t="str">
        <f>HYPERLINK("http://twitter.com","Twitter Web Client")</f>
        <v>Twitter Web Client</v>
      </c>
      <c r="L1031" s="16">
        <v>2</v>
      </c>
      <c r="M1031" s="16">
        <v>20</v>
      </c>
      <c r="N1031" s="16">
        <v>0</v>
      </c>
      <c r="O1031" s="17"/>
      <c r="P1031" s="18">
        <v>42088.317210648151</v>
      </c>
      <c r="Q1031" s="8"/>
      <c r="R1031" s="8"/>
      <c r="S1031" s="8"/>
      <c r="T1031" s="8"/>
      <c r="U1031" s="19" t="str">
        <f>HYPERLINK("https://pbs.twimg.com/profile_images/580740226202497024/KDKZFNyk.jpg","View")</f>
        <v>View</v>
      </c>
      <c r="V1031" s="8"/>
      <c r="W1031" s="8"/>
      <c r="X1031" s="8"/>
      <c r="Y1031" s="8"/>
      <c r="Z1031" s="8"/>
    </row>
    <row r="1032" spans="1:26" ht="12.75">
      <c r="A1032" s="11">
        <v>43746.584224537037</v>
      </c>
      <c r="B1032" s="12" t="str">
        <f>HYPERLINK("https://twitter.com/almahadan33","@almahadan33")</f>
        <v>@almahadan33</v>
      </c>
      <c r="C1032" s="13" t="s">
        <v>5801</v>
      </c>
      <c r="D1032" s="13" t="s">
        <v>841</v>
      </c>
      <c r="E1032" s="12" t="str">
        <f>HYPERLINK("https://twitter.com/almahadan33/status/1181675956433571841","1181675956433571841")</f>
        <v>1181675956433571841</v>
      </c>
      <c r="F1032" s="8"/>
      <c r="G1032" s="14" t="s">
        <v>5802</v>
      </c>
      <c r="H1032" s="8"/>
      <c r="I1032" s="15">
        <v>0</v>
      </c>
      <c r="J1032" s="15">
        <v>0</v>
      </c>
      <c r="K1032" s="12" t="str">
        <f>HYPERLINK("http://twitter.com","Twitter Web Client")</f>
        <v>Twitter Web Client</v>
      </c>
      <c r="L1032" s="16">
        <v>6</v>
      </c>
      <c r="M1032" s="16">
        <v>44</v>
      </c>
      <c r="N1032" s="16">
        <v>0</v>
      </c>
      <c r="O1032" s="17"/>
      <c r="P1032" s="18">
        <v>42073.682812500003</v>
      </c>
      <c r="Q1032" s="8"/>
      <c r="R1032" s="8"/>
      <c r="S1032" s="8"/>
      <c r="T1032" s="8"/>
      <c r="U1032" s="19" t="str">
        <f>HYPERLINK("https://pbs.twimg.com/profile_images/575437008337694720/7byLCBni.jpeg","View")</f>
        <v>View</v>
      </c>
      <c r="V1032" s="8"/>
      <c r="W1032" s="8"/>
      <c r="X1032" s="8"/>
      <c r="Y1032" s="8"/>
      <c r="Z1032" s="8"/>
    </row>
    <row r="1033" spans="1:26" ht="12.75">
      <c r="A1033" s="11">
        <v>43746.584027777775</v>
      </c>
      <c r="B1033" s="12" t="str">
        <f>HYPERLINK("https://twitter.com/EurasiaGroup","@EurasiaGroup")</f>
        <v>@EurasiaGroup</v>
      </c>
      <c r="C1033" s="13" t="s">
        <v>5803</v>
      </c>
      <c r="D1033" s="7" t="s">
        <v>5804</v>
      </c>
      <c r="E1033" s="12" t="str">
        <f>HYPERLINK("https://twitter.com/EurasiaGroup/status/1181675885679841281","1181675885679841281")</f>
        <v>1181675885679841281</v>
      </c>
      <c r="F1033" s="14" t="s">
        <v>5805</v>
      </c>
      <c r="G1033" s="15"/>
      <c r="H1033" s="8"/>
      <c r="I1033" s="15">
        <v>1</v>
      </c>
      <c r="J1033" s="15">
        <v>2</v>
      </c>
      <c r="K1033" s="12" t="str">
        <f>HYPERLINK("https://about.twitter.com/products/tweetdeck","TweetDeck")</f>
        <v>TweetDeck</v>
      </c>
      <c r="L1033" s="16">
        <v>98027</v>
      </c>
      <c r="M1033" s="16">
        <v>2262</v>
      </c>
      <c r="N1033" s="16">
        <v>2263</v>
      </c>
      <c r="O1033" s="17" t="s">
        <v>984</v>
      </c>
      <c r="P1033" s="18">
        <v>39968.547962962963</v>
      </c>
      <c r="Q1033" s="8" t="s">
        <v>5806</v>
      </c>
      <c r="R1033" s="8" t="s">
        <v>5807</v>
      </c>
      <c r="S1033" s="14" t="s">
        <v>5808</v>
      </c>
      <c r="T1033" s="8"/>
      <c r="U1033" s="19" t="str">
        <f>HYPERLINK("https://pbs.twimg.com/profile_images/1145654907602685953/JArK5n8L.png","View")</f>
        <v>View</v>
      </c>
      <c r="V1033" s="8"/>
      <c r="W1033" s="8"/>
      <c r="X1033" s="8"/>
      <c r="Y1033" s="8"/>
      <c r="Z1033" s="8"/>
    </row>
    <row r="1034" spans="1:26" ht="12.75">
      <c r="A1034" s="11">
        <v>43746.58384259259</v>
      </c>
      <c r="B1034" s="12" t="str">
        <f>HYPERLINK("https://twitter.com/yahyaalfaififi1","@yahyaalfaififi1")</f>
        <v>@yahyaalfaififi1</v>
      </c>
      <c r="C1034" s="13" t="s">
        <v>5812</v>
      </c>
      <c r="D1034" s="13" t="s">
        <v>5813</v>
      </c>
      <c r="E1034" s="12" t="str">
        <f>HYPERLINK("https://twitter.com/yahyaalfaififi1/status/1181675820248686592","1181675820248686592")</f>
        <v>1181675820248686592</v>
      </c>
      <c r="F1034" s="8"/>
      <c r="G1034" s="14" t="s">
        <v>5814</v>
      </c>
      <c r="H1034" s="8"/>
      <c r="I1034" s="15">
        <v>0</v>
      </c>
      <c r="J1034" s="15">
        <v>0</v>
      </c>
      <c r="K1034" s="12" t="str">
        <f>HYPERLINK("http://twitter.com","Twitter Web Client")</f>
        <v>Twitter Web Client</v>
      </c>
      <c r="L1034" s="16">
        <v>17</v>
      </c>
      <c r="M1034" s="16">
        <v>41</v>
      </c>
      <c r="N1034" s="16">
        <v>0</v>
      </c>
      <c r="O1034" s="17"/>
      <c r="P1034" s="18">
        <v>42074.339467592596</v>
      </c>
      <c r="Q1034" s="8"/>
      <c r="R1034" s="8"/>
      <c r="S1034" s="8"/>
      <c r="T1034" s="8"/>
      <c r="U1034" s="19" t="str">
        <f>HYPERLINK("https://pbs.twimg.com/profile_images/575677134359785472/e-xAvhcy.jpeg","View")</f>
        <v>View</v>
      </c>
      <c r="V1034" s="8"/>
      <c r="W1034" s="8"/>
      <c r="X1034" s="8"/>
      <c r="Y1034" s="8"/>
      <c r="Z1034" s="8"/>
    </row>
    <row r="1035" spans="1:26" ht="12.75">
      <c r="A1035" s="11">
        <v>43746.583310185189</v>
      </c>
      <c r="B1035" s="12" t="str">
        <f>HYPERLINK("https://twitter.com/jafarinherent","@jafarinherent")</f>
        <v>@jafarinherent</v>
      </c>
      <c r="C1035" s="13" t="s">
        <v>5818</v>
      </c>
      <c r="D1035" s="13" t="s">
        <v>5820</v>
      </c>
      <c r="E1035" s="12" t="str">
        <f>HYPERLINK("https://twitter.com/jafarinherent/status/1181675625330958336","1181675625330958336")</f>
        <v>1181675625330958336</v>
      </c>
      <c r="F1035" s="8"/>
      <c r="G1035" s="14" t="s">
        <v>5821</v>
      </c>
      <c r="H1035" s="8"/>
      <c r="I1035" s="15">
        <v>0</v>
      </c>
      <c r="J1035" s="15">
        <v>0</v>
      </c>
      <c r="K1035" s="12" t="str">
        <f>HYPERLINK("http://twitter.com","Twitter Web Client")</f>
        <v>Twitter Web Client</v>
      </c>
      <c r="L1035" s="16">
        <v>6</v>
      </c>
      <c r="M1035" s="16">
        <v>44</v>
      </c>
      <c r="N1035" s="16">
        <v>0</v>
      </c>
      <c r="O1035" s="17"/>
      <c r="P1035" s="18">
        <v>42075.170613425929</v>
      </c>
      <c r="Q1035" s="8"/>
      <c r="R1035" s="8"/>
      <c r="S1035" s="8"/>
      <c r="T1035" s="8"/>
      <c r="U1035" s="19" t="str">
        <f>HYPERLINK("https://pbs.twimg.com/profile_images/575977243085656065/CAERJGuO.jpeg","View")</f>
        <v>View</v>
      </c>
      <c r="V1035" s="8"/>
      <c r="W1035" s="8"/>
      <c r="X1035" s="8"/>
      <c r="Y1035" s="8"/>
      <c r="Z1035" s="8"/>
    </row>
    <row r="1036" spans="1:26" ht="12.75">
      <c r="A1036" s="11">
        <v>43746.583090277782</v>
      </c>
      <c r="B1036" s="12" t="str">
        <f>HYPERLINK("https://twitter.com/zo0tfaj2001","@zo0tfaj2001")</f>
        <v>@zo0tfaj2001</v>
      </c>
      <c r="C1036" s="13" t="s">
        <v>5825</v>
      </c>
      <c r="D1036" s="13" t="s">
        <v>28</v>
      </c>
      <c r="E1036" s="12" t="str">
        <f>HYPERLINK("https://twitter.com/zo0tfaj2001/status/1181675548847689728","1181675548847689728")</f>
        <v>1181675548847689728</v>
      </c>
      <c r="F1036" s="8"/>
      <c r="G1036" s="14" t="s">
        <v>31</v>
      </c>
      <c r="H1036" s="8"/>
      <c r="I1036" s="15">
        <v>0</v>
      </c>
      <c r="J1036" s="15">
        <v>0</v>
      </c>
      <c r="K1036" s="12" t="str">
        <f>HYPERLINK("https://mobile.twitter.com","Twitter Web App")</f>
        <v>Twitter Web App</v>
      </c>
      <c r="L1036" s="16">
        <v>0</v>
      </c>
      <c r="M1036" s="16">
        <v>2</v>
      </c>
      <c r="N1036" s="16">
        <v>0</v>
      </c>
      <c r="O1036" s="17"/>
      <c r="P1036" s="18">
        <v>43730.629050925927</v>
      </c>
      <c r="Q1036" s="8" t="s">
        <v>5781</v>
      </c>
      <c r="R1036" s="8" t="s">
        <v>5782</v>
      </c>
      <c r="S1036" s="8"/>
      <c r="T1036" s="8"/>
      <c r="U1036" s="19" t="str">
        <f>HYPERLINK("https://pbs.twimg.com/profile_images/1175894036575424512/QsQcUm_Q.jpg","View")</f>
        <v>View</v>
      </c>
      <c r="V1036" s="8"/>
      <c r="W1036" s="8"/>
      <c r="X1036" s="8"/>
      <c r="Y1036" s="8"/>
      <c r="Z1036" s="8"/>
    </row>
    <row r="1037" spans="1:26" ht="12.75">
      <c r="A1037" s="11">
        <v>43746.583055555559</v>
      </c>
      <c r="B1037" s="12" t="str">
        <f>HYPERLINK("https://twitter.com/AlsaliehYahya","@AlsaliehYahya")</f>
        <v>@AlsaliehYahya</v>
      </c>
      <c r="C1037" s="13" t="s">
        <v>5829</v>
      </c>
      <c r="D1037" s="7" t="s">
        <v>849</v>
      </c>
      <c r="E1037" s="12" t="str">
        <f>HYPERLINK("https://twitter.com/AlsaliehYahya/status/1181675534012563458","1181675534012563458")</f>
        <v>1181675534012563458</v>
      </c>
      <c r="F1037" s="8"/>
      <c r="G1037" s="14" t="s">
        <v>5830</v>
      </c>
      <c r="H1037" s="8"/>
      <c r="I1037" s="15">
        <v>0</v>
      </c>
      <c r="J1037" s="15">
        <v>0</v>
      </c>
      <c r="K1037" s="12" t="str">
        <f>HYPERLINK("http://twitter.com","Twitter Web Client")</f>
        <v>Twitter Web Client</v>
      </c>
      <c r="L1037" s="16">
        <v>7</v>
      </c>
      <c r="M1037" s="16">
        <v>41</v>
      </c>
      <c r="N1037" s="16">
        <v>0</v>
      </c>
      <c r="O1037" s="17"/>
      <c r="P1037" s="18">
        <v>42071.166817129633</v>
      </c>
      <c r="Q1037" s="7"/>
      <c r="R1037" s="13"/>
      <c r="S1037" s="8"/>
      <c r="T1037" s="8"/>
      <c r="U1037" s="19" t="str">
        <f>HYPERLINK("https://pbs.twimg.com/profile_images/574556208390008832/tyTJzNsw.jpeg","View")</f>
        <v>View</v>
      </c>
      <c r="V1037" s="8"/>
      <c r="W1037" s="8"/>
      <c r="X1037" s="8"/>
      <c r="Y1037" s="8"/>
      <c r="Z1037" s="8"/>
    </row>
    <row r="1038" spans="1:26" ht="12.75">
      <c r="A1038" s="11">
        <v>43746.582372685181</v>
      </c>
      <c r="B1038" s="12" t="str">
        <f>HYPERLINK("https://twitter.com/BishiHaitham","@BishiHaitham")</f>
        <v>@BishiHaitham</v>
      </c>
      <c r="C1038" s="13" t="s">
        <v>5833</v>
      </c>
      <c r="D1038" s="13" t="s">
        <v>1178</v>
      </c>
      <c r="E1038" s="12" t="str">
        <f>HYPERLINK("https://twitter.com/BishiHaitham/status/1181675286649176064","1181675286649176064")</f>
        <v>1181675286649176064</v>
      </c>
      <c r="F1038" s="8"/>
      <c r="G1038" s="14" t="s">
        <v>5834</v>
      </c>
      <c r="H1038" s="8"/>
      <c r="I1038" s="15">
        <v>0</v>
      </c>
      <c r="J1038" s="15">
        <v>0</v>
      </c>
      <c r="K1038" s="12" t="str">
        <f>HYPERLINK("https://mobile.twitter.com","Twitter Web App")</f>
        <v>Twitter Web App</v>
      </c>
      <c r="L1038" s="16">
        <v>0</v>
      </c>
      <c r="M1038" s="16">
        <v>2</v>
      </c>
      <c r="N1038" s="16">
        <v>0</v>
      </c>
      <c r="O1038" s="17"/>
      <c r="P1038" s="18">
        <v>43725.025717592594</v>
      </c>
      <c r="Q1038" s="8" t="s">
        <v>1564</v>
      </c>
      <c r="R1038" s="8" t="s">
        <v>1281</v>
      </c>
      <c r="S1038" s="8"/>
      <c r="T1038" s="8"/>
      <c r="U1038" s="19" t="str">
        <f>HYPERLINK("https://pbs.twimg.com/profile_images/1180415944071340032/YbblqTZ2.jpg","View")</f>
        <v>View</v>
      </c>
      <c r="V1038" s="8"/>
      <c r="W1038" s="8"/>
      <c r="X1038" s="8"/>
      <c r="Y1038" s="8"/>
      <c r="Z1038" s="8"/>
    </row>
    <row r="1039" spans="1:26" ht="12.75">
      <c r="A1039" s="11">
        <v>43746.581111111111</v>
      </c>
      <c r="B1039" s="12" t="str">
        <f>HYPERLINK("https://twitter.com/bnsallee734","@bnsallee734")</f>
        <v>@bnsallee734</v>
      </c>
      <c r="C1039" s="13" t="s">
        <v>5838</v>
      </c>
      <c r="D1039" s="13" t="s">
        <v>5839</v>
      </c>
      <c r="E1039" s="12" t="str">
        <f>HYPERLINK("https://twitter.com/bnsallee734/status/1181674827654017030","1181674827654017030")</f>
        <v>1181674827654017030</v>
      </c>
      <c r="F1039" s="8"/>
      <c r="G1039" s="14" t="s">
        <v>5840</v>
      </c>
      <c r="H1039" s="8"/>
      <c r="I1039" s="15">
        <v>0</v>
      </c>
      <c r="J1039" s="15">
        <v>0</v>
      </c>
      <c r="K1039" s="12" t="str">
        <f>HYPERLINK("http://twitter.com","Twitter Web Client")</f>
        <v>Twitter Web Client</v>
      </c>
      <c r="L1039" s="16">
        <v>4</v>
      </c>
      <c r="M1039" s="16">
        <v>36</v>
      </c>
      <c r="N1039" s="16">
        <v>0</v>
      </c>
      <c r="O1039" s="17"/>
      <c r="P1039" s="18">
        <v>42083.243611111116</v>
      </c>
      <c r="Q1039" s="8"/>
      <c r="R1039" s="8"/>
      <c r="S1039" s="8"/>
      <c r="T1039" s="8"/>
      <c r="U1039" s="19" t="str">
        <f>HYPERLINK("https://pbs.twimg.com/profile_images/578901804961804288/TCJ2rE8J.jpeg","View")</f>
        <v>View</v>
      </c>
      <c r="V1039" s="8"/>
      <c r="W1039" s="8"/>
      <c r="X1039" s="8"/>
      <c r="Y1039" s="8"/>
      <c r="Z1039" s="8"/>
    </row>
    <row r="1040" spans="1:26" ht="12.75">
      <c r="A1040" s="11">
        <v>43746.580023148148</v>
      </c>
      <c r="B1040" s="12" t="str">
        <f>HYPERLINK("https://twitter.com/shaaheenal","@shaaheenal")</f>
        <v>@shaaheenal</v>
      </c>
      <c r="C1040" s="13" t="s">
        <v>5844</v>
      </c>
      <c r="D1040" s="13" t="s">
        <v>952</v>
      </c>
      <c r="E1040" s="12" t="str">
        <f>HYPERLINK("https://twitter.com/shaaheenal/status/1181674434614026240","1181674434614026240")</f>
        <v>1181674434614026240</v>
      </c>
      <c r="F1040" s="8"/>
      <c r="G1040" s="14" t="s">
        <v>5846</v>
      </c>
      <c r="H1040" s="8"/>
      <c r="I1040" s="15">
        <v>0</v>
      </c>
      <c r="J1040" s="15">
        <v>0</v>
      </c>
      <c r="K1040" s="12" t="str">
        <f>HYPERLINK("https://mobile.twitter.com","Twitter Web App")</f>
        <v>Twitter Web App</v>
      </c>
      <c r="L1040" s="16">
        <v>0</v>
      </c>
      <c r="M1040" s="16">
        <v>1</v>
      </c>
      <c r="N1040" s="16">
        <v>0</v>
      </c>
      <c r="O1040" s="17"/>
      <c r="P1040" s="18">
        <v>43745.570856481485</v>
      </c>
      <c r="Q1040" s="8" t="s">
        <v>4714</v>
      </c>
      <c r="R1040" s="8" t="s">
        <v>925</v>
      </c>
      <c r="S1040" s="8"/>
      <c r="T1040" s="8"/>
      <c r="U1040" s="19" t="str">
        <f>HYPERLINK("https://pbs.twimg.com/profile_images/1181308787719716864/ECsCE4nv.jpg","View")</f>
        <v>View</v>
      </c>
      <c r="V1040" s="8"/>
      <c r="W1040" s="8"/>
      <c r="X1040" s="8"/>
      <c r="Y1040" s="8"/>
      <c r="Z1040" s="8"/>
    </row>
    <row r="1041" spans="1:26" ht="12.75">
      <c r="A1041" s="11">
        <v>43746.579340277778</v>
      </c>
      <c r="B1041" s="12" t="str">
        <f>HYPERLINK("https://twitter.com/alshabat555","@alshabat555")</f>
        <v>@alshabat555</v>
      </c>
      <c r="C1041" s="13" t="s">
        <v>5848</v>
      </c>
      <c r="D1041" s="7" t="s">
        <v>875</v>
      </c>
      <c r="E1041" s="12" t="str">
        <f>HYPERLINK("https://twitter.com/alshabat555/status/1181674187628392448","1181674187628392448")</f>
        <v>1181674187628392448</v>
      </c>
      <c r="F1041" s="8"/>
      <c r="G1041" s="14" t="s">
        <v>5849</v>
      </c>
      <c r="H1041" s="8"/>
      <c r="I1041" s="15">
        <v>0</v>
      </c>
      <c r="J1041" s="15">
        <v>0</v>
      </c>
      <c r="K1041" s="12" t="str">
        <f>HYPERLINK("http://twitter.com","Twitter Web Client")</f>
        <v>Twitter Web Client</v>
      </c>
      <c r="L1041" s="16">
        <v>3</v>
      </c>
      <c r="M1041" s="16">
        <v>33</v>
      </c>
      <c r="N1041" s="16">
        <v>0</v>
      </c>
      <c r="O1041" s="17"/>
      <c r="P1041" s="18">
        <v>42082.485115740739</v>
      </c>
      <c r="Q1041" s="7"/>
      <c r="R1041" s="13"/>
      <c r="S1041" s="8"/>
      <c r="T1041" s="8"/>
      <c r="U1041" s="19" t="str">
        <f>HYPERLINK("https://pbs.twimg.com/profile_images/578626801569636352/hCyzjpaH.jpeg","View")</f>
        <v>View</v>
      </c>
      <c r="V1041" s="8"/>
      <c r="W1041" s="8"/>
      <c r="X1041" s="8"/>
      <c r="Y1041" s="8"/>
      <c r="Z1041" s="8"/>
    </row>
    <row r="1042" spans="1:26" ht="12.75">
      <c r="A1042" s="11">
        <v>43746.578587962962</v>
      </c>
      <c r="B1042" s="12" t="str">
        <f>HYPERLINK("https://twitter.com/mazenalyassin","@mazenalyassin")</f>
        <v>@mazenalyassin</v>
      </c>
      <c r="C1042" s="13" t="s">
        <v>5850</v>
      </c>
      <c r="D1042" s="13" t="s">
        <v>968</v>
      </c>
      <c r="E1042" s="12" t="str">
        <f>HYPERLINK("https://twitter.com/mazenalyassin/status/1181673915581485056","1181673915581485056")</f>
        <v>1181673915581485056</v>
      </c>
      <c r="F1042" s="8"/>
      <c r="G1042" s="14" t="s">
        <v>5851</v>
      </c>
      <c r="H1042" s="8"/>
      <c r="I1042" s="15">
        <v>0</v>
      </c>
      <c r="J1042" s="15">
        <v>0</v>
      </c>
      <c r="K1042" s="12" t="str">
        <f>HYPERLINK("https://mobile.twitter.com","Twitter Web App")</f>
        <v>Twitter Web App</v>
      </c>
      <c r="L1042" s="16">
        <v>0</v>
      </c>
      <c r="M1042" s="16">
        <v>2</v>
      </c>
      <c r="N1042" s="16">
        <v>0</v>
      </c>
      <c r="O1042" s="17"/>
      <c r="P1042" s="18">
        <v>43729.68650462963</v>
      </c>
      <c r="Q1042" s="8" t="s">
        <v>5781</v>
      </c>
      <c r="R1042" s="8" t="s">
        <v>5852</v>
      </c>
      <c r="S1042" s="8"/>
      <c r="T1042" s="8"/>
      <c r="U1042" s="19" t="str">
        <f>HYPERLINK("https://pbs.twimg.com/profile_images/1175889702546591744/BjouIpJe.jpg","View")</f>
        <v>View</v>
      </c>
      <c r="V1042" s="8"/>
      <c r="W1042" s="8"/>
      <c r="X1042" s="8"/>
      <c r="Y1042" s="8"/>
      <c r="Z1042" s="8"/>
    </row>
    <row r="1043" spans="1:26" ht="12.75">
      <c r="A1043" s="11">
        <v>43746.578240740739</v>
      </c>
      <c r="B1043" s="12" t="str">
        <f>HYPERLINK("https://twitter.com/elabdally4543","@elabdally4543")</f>
        <v>@elabdally4543</v>
      </c>
      <c r="C1043" s="13" t="s">
        <v>5853</v>
      </c>
      <c r="D1043" s="13" t="s">
        <v>5854</v>
      </c>
      <c r="E1043" s="12" t="str">
        <f>HYPERLINK("https://twitter.com/elabdally4543/status/1181673788821446662","1181673788821446662")</f>
        <v>1181673788821446662</v>
      </c>
      <c r="F1043" s="8"/>
      <c r="G1043" s="14" t="s">
        <v>5855</v>
      </c>
      <c r="H1043" s="8"/>
      <c r="I1043" s="15">
        <v>0</v>
      </c>
      <c r="J1043" s="15">
        <v>0</v>
      </c>
      <c r="K1043" s="12" t="str">
        <f>HYPERLINK("http://twitter.com","Twitter Web Client")</f>
        <v>Twitter Web Client</v>
      </c>
      <c r="L1043" s="16">
        <v>1</v>
      </c>
      <c r="M1043" s="16">
        <v>47</v>
      </c>
      <c r="N1043" s="16">
        <v>0</v>
      </c>
      <c r="O1043" s="17"/>
      <c r="P1043" s="18">
        <v>42073.429722222223</v>
      </c>
      <c r="Q1043" s="8"/>
      <c r="R1043" s="8"/>
      <c r="S1043" s="8"/>
      <c r="T1043" s="8"/>
      <c r="U1043" s="19" t="str">
        <f>HYPERLINK("https://pbs.twimg.com/profile_images/575345201432031232/nRwSbYfZ.jpeg","View")</f>
        <v>View</v>
      </c>
      <c r="V1043" s="8"/>
      <c r="W1043" s="8"/>
      <c r="X1043" s="8"/>
      <c r="Y1043" s="8"/>
      <c r="Z1043" s="8"/>
    </row>
    <row r="1044" spans="1:26" ht="12.75">
      <c r="A1044" s="11">
        <v>43746.577824074076</v>
      </c>
      <c r="B1044" s="12" t="str">
        <f>HYPERLINK("https://twitter.com/elshama_t453","@elshama_t453")</f>
        <v>@elshama_t453</v>
      </c>
      <c r="C1044" s="7" t="s">
        <v>5859</v>
      </c>
      <c r="D1044" s="13" t="s">
        <v>5860</v>
      </c>
      <c r="E1044" s="12" t="str">
        <f>HYPERLINK("https://twitter.com/elshama_t453/status/1181673640179507200","1181673640179507200")</f>
        <v>1181673640179507200</v>
      </c>
      <c r="F1044" s="8"/>
      <c r="G1044" s="14" t="s">
        <v>5862</v>
      </c>
      <c r="H1044" s="8"/>
      <c r="I1044" s="15">
        <v>0</v>
      </c>
      <c r="J1044" s="15">
        <v>0</v>
      </c>
      <c r="K1044" s="12" t="str">
        <f>HYPERLINK("http://twitter.com","Twitter Web Client")</f>
        <v>Twitter Web Client</v>
      </c>
      <c r="L1044" s="16">
        <v>3</v>
      </c>
      <c r="M1044" s="16">
        <v>38</v>
      </c>
      <c r="N1044" s="16">
        <v>0</v>
      </c>
      <c r="O1044" s="17"/>
      <c r="P1044" s="18">
        <v>42075.185462962967</v>
      </c>
      <c r="Q1044" s="7"/>
      <c r="R1044" s="13"/>
      <c r="S1044" s="8"/>
      <c r="T1044" s="8"/>
      <c r="U1044" s="19" t="str">
        <f>HYPERLINK("https://pbs.twimg.com/profile_images/575981452690526208/gHB71Wos.jpeg","View")</f>
        <v>View</v>
      </c>
      <c r="V1044" s="8"/>
      <c r="W1044" s="8"/>
      <c r="X1044" s="8"/>
      <c r="Y1044" s="8"/>
      <c r="Z1044" s="8"/>
    </row>
    <row r="1045" spans="1:26" ht="12.75">
      <c r="A1045" s="11">
        <v>43746.577314814815</v>
      </c>
      <c r="B1045" s="12" t="str">
        <f>HYPERLINK("https://twitter.com/AlMasra2002","@AlMasra2002")</f>
        <v>@AlMasra2002</v>
      </c>
      <c r="C1045" s="7" t="s">
        <v>5866</v>
      </c>
      <c r="D1045" s="13" t="s">
        <v>944</v>
      </c>
      <c r="E1045" s="12" t="str">
        <f>HYPERLINK("https://twitter.com/AlMasra2002/status/1181673452471586816","1181673452471586816")</f>
        <v>1181673452471586816</v>
      </c>
      <c r="F1045" s="8"/>
      <c r="G1045" s="14" t="s">
        <v>5867</v>
      </c>
      <c r="H1045" s="8"/>
      <c r="I1045" s="15">
        <v>0</v>
      </c>
      <c r="J1045" s="15">
        <v>0</v>
      </c>
      <c r="K1045" s="12" t="str">
        <f>HYPERLINK("https://mobile.twitter.com","Twitter Web App")</f>
        <v>Twitter Web App</v>
      </c>
      <c r="L1045" s="16">
        <v>0</v>
      </c>
      <c r="M1045" s="16">
        <v>0</v>
      </c>
      <c r="N1045" s="16">
        <v>0</v>
      </c>
      <c r="O1045" s="17"/>
      <c r="P1045" s="18">
        <v>43729.678761574076</v>
      </c>
      <c r="Q1045" s="7" t="s">
        <v>5781</v>
      </c>
      <c r="R1045" s="13" t="s">
        <v>5626</v>
      </c>
      <c r="S1045" s="8"/>
      <c r="T1045" s="8"/>
      <c r="U1045" s="19" t="str">
        <f>HYPERLINK("https://pbs.twimg.com/profile_images/1175887393871646720/VvpmBP87.png","View")</f>
        <v>View</v>
      </c>
      <c r="V1045" s="8"/>
      <c r="W1045" s="8"/>
      <c r="X1045" s="8"/>
      <c r="Y1045" s="8"/>
      <c r="Z1045" s="8"/>
    </row>
    <row r="1046" spans="1:26" ht="12.75">
      <c r="A1046" s="11">
        <v>43746.576550925922</v>
      </c>
      <c r="B1046" s="12" t="str">
        <f>HYPERLINK("https://twitter.com/hamidhavh","@hamidhavh")</f>
        <v>@hamidhavh</v>
      </c>
      <c r="C1046" s="7" t="s">
        <v>5871</v>
      </c>
      <c r="D1046" s="7" t="s">
        <v>5872</v>
      </c>
      <c r="E1046" s="12" t="str">
        <f>HYPERLINK("https://twitter.com/hamidhavh/status/1181673176012660737","1181673176012660737")</f>
        <v>1181673176012660737</v>
      </c>
      <c r="F1046" s="8"/>
      <c r="G1046" s="14" t="s">
        <v>5874</v>
      </c>
      <c r="H1046" s="8"/>
      <c r="I1046" s="15">
        <v>0</v>
      </c>
      <c r="J1046" s="15">
        <v>0</v>
      </c>
      <c r="K1046" s="12" t="str">
        <f>HYPERLINK("http://twitter.com","Twitter Web Client")</f>
        <v>Twitter Web Client</v>
      </c>
      <c r="L1046" s="16">
        <v>0</v>
      </c>
      <c r="M1046" s="16">
        <v>42</v>
      </c>
      <c r="N1046" s="16">
        <v>0</v>
      </c>
      <c r="O1046" s="17"/>
      <c r="P1046" s="18">
        <v>42071.445810185185</v>
      </c>
      <c r="Q1046" s="7"/>
      <c r="R1046" s="13"/>
      <c r="S1046" s="8"/>
      <c r="T1046" s="8"/>
      <c r="U1046" s="19" t="str">
        <f>HYPERLINK("https://pbs.twimg.com/profile_images/574626392299597825/w8F3RohM.jpeg","View")</f>
        <v>View</v>
      </c>
      <c r="V1046" s="8"/>
      <c r="W1046" s="8"/>
      <c r="X1046" s="8"/>
      <c r="Y1046" s="8"/>
      <c r="Z1046" s="8"/>
    </row>
    <row r="1047" spans="1:26" ht="12.75">
      <c r="A1047" s="11">
        <v>43746.576168981483</v>
      </c>
      <c r="B1047" s="12" t="str">
        <f>HYPERLINK("https://twitter.com/abdaala_mohhsn","@abdaala_mohhsn")</f>
        <v>@abdaala_mohhsn</v>
      </c>
      <c r="C1047" s="13" t="s">
        <v>5876</v>
      </c>
      <c r="D1047" s="13" t="s">
        <v>941</v>
      </c>
      <c r="E1047" s="12" t="str">
        <f>HYPERLINK("https://twitter.com/abdaala_mohhsn/status/1181673036661088263","1181673036661088263")</f>
        <v>1181673036661088263</v>
      </c>
      <c r="F1047" s="8"/>
      <c r="G1047" s="14" t="s">
        <v>5877</v>
      </c>
      <c r="H1047" s="8"/>
      <c r="I1047" s="15">
        <v>0</v>
      </c>
      <c r="J1047" s="15">
        <v>0</v>
      </c>
      <c r="K1047" s="12" t="str">
        <f>HYPERLINK("http://twitter.com","Twitter Web Client")</f>
        <v>Twitter Web Client</v>
      </c>
      <c r="L1047" s="16">
        <v>0</v>
      </c>
      <c r="M1047" s="16">
        <v>35</v>
      </c>
      <c r="N1047" s="16">
        <v>0</v>
      </c>
      <c r="O1047" s="17"/>
      <c r="P1047" s="18">
        <v>41845.641053240739</v>
      </c>
      <c r="Q1047" s="8"/>
      <c r="R1047" s="8"/>
      <c r="S1047" s="8"/>
      <c r="T1047" s="8"/>
      <c r="U1047" s="19" t="str">
        <f>HYPERLINK("https://pbs.twimg.com/profile_images/492797389468467200/bQkizrqb.jpeg","View")</f>
        <v>View</v>
      </c>
      <c r="V1047" s="8"/>
      <c r="W1047" s="8"/>
      <c r="X1047" s="8"/>
      <c r="Y1047" s="8"/>
      <c r="Z1047" s="8"/>
    </row>
    <row r="1048" spans="1:26" ht="12.75">
      <c r="A1048" s="11">
        <v>43746.57603009259</v>
      </c>
      <c r="B1048" s="12" t="str">
        <f>HYPERLINK("https://twitter.com/ahmedmarei12","@ahmedmarei12")</f>
        <v>@ahmedmarei12</v>
      </c>
      <c r="C1048" s="7" t="s">
        <v>5881</v>
      </c>
      <c r="D1048" s="7" t="s">
        <v>5882</v>
      </c>
      <c r="E1048" s="12" t="str">
        <f>HYPERLINK("https://twitter.com/ahmedmarei12/status/1181672989580021760","1181672989580021760")</f>
        <v>1181672989580021760</v>
      </c>
      <c r="F1048" s="8"/>
      <c r="G1048" s="14" t="s">
        <v>5883</v>
      </c>
      <c r="H1048" s="8"/>
      <c r="I1048" s="15">
        <v>0</v>
      </c>
      <c r="J1048" s="15">
        <v>0</v>
      </c>
      <c r="K1048" s="12" t="str">
        <f>HYPERLINK("http://twitter.com","Twitter Web Client")</f>
        <v>Twitter Web Client</v>
      </c>
      <c r="L1048" s="16">
        <v>0</v>
      </c>
      <c r="M1048" s="16">
        <v>42</v>
      </c>
      <c r="N1048" s="16">
        <v>0</v>
      </c>
      <c r="O1048" s="17"/>
      <c r="P1048" s="18">
        <v>42071.542673611111</v>
      </c>
      <c r="Q1048" s="7"/>
      <c r="R1048" s="13"/>
      <c r="S1048" s="8"/>
      <c r="T1048" s="8"/>
      <c r="U1048" s="19" t="str">
        <f>HYPERLINK("https://pbs.twimg.com/profile_images/574661432517615616/oKNajDHD.jpeg","View")</f>
        <v>View</v>
      </c>
      <c r="V1048" s="8"/>
      <c r="W1048" s="8"/>
      <c r="X1048" s="8"/>
      <c r="Y1048" s="8"/>
      <c r="Z1048" s="8"/>
    </row>
    <row r="1049" spans="1:26" ht="12.75">
      <c r="A1049" s="11">
        <v>43746.575902777782</v>
      </c>
      <c r="B1049" s="12" t="str">
        <f>HYPERLINK("https://twitter.com/abrahiiem453","@abrahiiem453")</f>
        <v>@abrahiiem453</v>
      </c>
      <c r="C1049" s="7" t="s">
        <v>5886</v>
      </c>
      <c r="D1049" s="7" t="s">
        <v>5887</v>
      </c>
      <c r="E1049" s="12" t="str">
        <f>HYPERLINK("https://twitter.com/abrahiiem453/status/1181672944218656770","1181672944218656770")</f>
        <v>1181672944218656770</v>
      </c>
      <c r="F1049" s="8"/>
      <c r="G1049" s="14" t="s">
        <v>5889</v>
      </c>
      <c r="H1049" s="8"/>
      <c r="I1049" s="15">
        <v>0</v>
      </c>
      <c r="J1049" s="15">
        <v>0</v>
      </c>
      <c r="K1049" s="12" t="str">
        <f>HYPERLINK("http://twitter.com","Twitter Web Client")</f>
        <v>Twitter Web Client</v>
      </c>
      <c r="L1049" s="16">
        <v>17</v>
      </c>
      <c r="M1049" s="16">
        <v>43</v>
      </c>
      <c r="N1049" s="16">
        <v>0</v>
      </c>
      <c r="O1049" s="17"/>
      <c r="P1049" s="18">
        <v>42073.545370370368</v>
      </c>
      <c r="Q1049" s="7"/>
      <c r="R1049" s="13"/>
      <c r="S1049" s="8"/>
      <c r="T1049" s="8"/>
      <c r="U1049" s="19" t="str">
        <f>HYPERLINK("https://pbs.twimg.com/profile_images/575387203523604480/SUUu_ee3.jpeg","View")</f>
        <v>View</v>
      </c>
      <c r="V1049" s="8"/>
      <c r="W1049" s="8"/>
      <c r="X1049" s="8"/>
      <c r="Y1049" s="8"/>
      <c r="Z1049" s="8"/>
    </row>
    <row r="1050" spans="1:26" ht="12.75">
      <c r="A1050" s="11">
        <v>43746.57503472222</v>
      </c>
      <c r="B1050" s="12" t="str">
        <f>HYPERLINK("https://twitter.com/awfel1","@awfel1")</f>
        <v>@awfel1</v>
      </c>
      <c r="C1050" s="13" t="s">
        <v>5890</v>
      </c>
      <c r="D1050" s="13" t="s">
        <v>1178</v>
      </c>
      <c r="E1050" s="12" t="str">
        <f>HYPERLINK("https://twitter.com/awfel1/status/1181672627623972864","1181672627623972864")</f>
        <v>1181672627623972864</v>
      </c>
      <c r="F1050" s="8"/>
      <c r="G1050" s="14" t="s">
        <v>5891</v>
      </c>
      <c r="H1050" s="8"/>
      <c r="I1050" s="15">
        <v>0</v>
      </c>
      <c r="J1050" s="15">
        <v>0</v>
      </c>
      <c r="K1050" s="12" t="str">
        <f>HYPERLINK("https://mobile.twitter.com","Twitter Web App")</f>
        <v>Twitter Web App</v>
      </c>
      <c r="L1050" s="16">
        <v>0</v>
      </c>
      <c r="M1050" s="16">
        <v>1</v>
      </c>
      <c r="N1050" s="16">
        <v>0</v>
      </c>
      <c r="O1050" s="17"/>
      <c r="P1050" s="18">
        <v>43745.566655092596</v>
      </c>
      <c r="Q1050" s="8" t="s">
        <v>4714</v>
      </c>
      <c r="R1050" s="8" t="s">
        <v>955</v>
      </c>
      <c r="S1050" s="8"/>
      <c r="T1050" s="8"/>
      <c r="U1050" s="19" t="str">
        <f>HYPERLINK("https://pbs.twimg.com/profile_images/1181307251308388352/sDof7f1T.jpg","View")</f>
        <v>View</v>
      </c>
      <c r="V1050" s="8"/>
      <c r="W1050" s="8"/>
      <c r="X1050" s="8"/>
      <c r="Y1050" s="8"/>
      <c r="Z1050" s="8"/>
    </row>
    <row r="1051" spans="1:26" ht="12.75">
      <c r="A1051" s="11">
        <v>43746.574895833328</v>
      </c>
      <c r="B1051" s="12" t="str">
        <f>HYPERLINK("https://twitter.com/abdullahqasim20","@abdullahqasim20")</f>
        <v>@abdullahqasim20</v>
      </c>
      <c r="C1051" s="13" t="s">
        <v>5895</v>
      </c>
      <c r="D1051" s="13" t="s">
        <v>5896</v>
      </c>
      <c r="E1051" s="12" t="str">
        <f>HYPERLINK("https://twitter.com/abdullahqasim20/status/1181672578190135300","1181672578190135300")</f>
        <v>1181672578190135300</v>
      </c>
      <c r="F1051" s="8"/>
      <c r="G1051" s="14" t="s">
        <v>5897</v>
      </c>
      <c r="H1051" s="8"/>
      <c r="I1051" s="15">
        <v>0</v>
      </c>
      <c r="J1051" s="15">
        <v>0</v>
      </c>
      <c r="K1051" s="12" t="str">
        <f>HYPERLINK("http://twitter.com","Twitter Web Client")</f>
        <v>Twitter Web Client</v>
      </c>
      <c r="L1051" s="16">
        <v>2</v>
      </c>
      <c r="M1051" s="16">
        <v>35</v>
      </c>
      <c r="N1051" s="16">
        <v>0</v>
      </c>
      <c r="O1051" s="17"/>
      <c r="P1051" s="18">
        <v>42067.786238425921</v>
      </c>
      <c r="Q1051" s="8"/>
      <c r="R1051" s="8"/>
      <c r="S1051" s="8"/>
      <c r="T1051" s="8"/>
      <c r="U1051" s="19" t="str">
        <f>HYPERLINK("https://pbs.twimg.com/profile_images/573327244556296192/XB4ujAay.jpeg","View")</f>
        <v>View</v>
      </c>
      <c r="V1051" s="8"/>
      <c r="W1051" s="8"/>
      <c r="X1051" s="8"/>
      <c r="Y1051" s="8"/>
      <c r="Z1051" s="8"/>
    </row>
    <row r="1052" spans="1:26" ht="12.75">
      <c r="A1052" s="11">
        <v>43746.573206018518</v>
      </c>
      <c r="B1052" s="12" t="str">
        <f>HYPERLINK("https://twitter.com/malsalhi10","@malsalhi10")</f>
        <v>@malsalhi10</v>
      </c>
      <c r="C1052" s="13" t="s">
        <v>5539</v>
      </c>
      <c r="D1052" s="7" t="s">
        <v>1030</v>
      </c>
      <c r="E1052" s="12" t="str">
        <f>HYPERLINK("https://twitter.com/malsalhi10/status/1181671963598581760","1181671963598581760")</f>
        <v>1181671963598581760</v>
      </c>
      <c r="F1052" s="8"/>
      <c r="G1052" s="14" t="s">
        <v>5905</v>
      </c>
      <c r="H1052" s="8"/>
      <c r="I1052" s="15">
        <v>0</v>
      </c>
      <c r="J1052" s="15">
        <v>0</v>
      </c>
      <c r="K1052" s="12" t="str">
        <f>HYPERLINK("https://mobile.twitter.com","Twitter Web App")</f>
        <v>Twitter Web App</v>
      </c>
      <c r="L1052" s="16">
        <v>0</v>
      </c>
      <c r="M1052" s="16">
        <v>2</v>
      </c>
      <c r="N1052" s="16">
        <v>0</v>
      </c>
      <c r="O1052" s="17"/>
      <c r="P1052" s="18">
        <v>43729.675671296296</v>
      </c>
      <c r="Q1052" s="7" t="s">
        <v>1284</v>
      </c>
      <c r="R1052" s="13" t="s">
        <v>5908</v>
      </c>
      <c r="S1052" s="8"/>
      <c r="T1052" s="8"/>
      <c r="U1052" s="19" t="str">
        <f>HYPERLINK("https://pbs.twimg.com/profile_images/1176202272843264008/Hxp52m50.jpg","View")</f>
        <v>View</v>
      </c>
      <c r="V1052" s="8"/>
      <c r="W1052" s="8"/>
      <c r="X1052" s="8"/>
      <c r="Y1052" s="8"/>
      <c r="Z1052" s="8"/>
    </row>
    <row r="1053" spans="1:26" ht="12.75">
      <c r="A1053" s="11">
        <v>43746.572916666672</v>
      </c>
      <c r="B1053" s="12" t="str">
        <f>HYPERLINK("https://twitter.com/BornObserver","@BornObserver")</f>
        <v>@BornObserver</v>
      </c>
      <c r="C1053" s="7" t="s">
        <v>5912</v>
      </c>
      <c r="D1053" s="13" t="s">
        <v>5913</v>
      </c>
      <c r="E1053" s="12" t="str">
        <f>HYPERLINK("https://twitter.com/BornObserver/status/1181671861786152972","1181671861786152972")</f>
        <v>1181671861786152972</v>
      </c>
      <c r="F1053" s="14" t="s">
        <v>5914</v>
      </c>
      <c r="G1053" s="8"/>
      <c r="H1053" s="8"/>
      <c r="I1053" s="15">
        <v>0</v>
      </c>
      <c r="J1053" s="15">
        <v>0</v>
      </c>
      <c r="K1053" s="12" t="str">
        <f>HYPERLINK("https://mobile.twitter.com","Twitter Web App")</f>
        <v>Twitter Web App</v>
      </c>
      <c r="L1053" s="16">
        <v>5890</v>
      </c>
      <c r="M1053" s="16">
        <v>4775</v>
      </c>
      <c r="N1053" s="16">
        <v>214</v>
      </c>
      <c r="O1053" s="17"/>
      <c r="P1053" s="18">
        <v>39902.722696759258</v>
      </c>
      <c r="Q1053" s="8" t="s">
        <v>5916</v>
      </c>
      <c r="R1053" s="7" t="s">
        <v>5917</v>
      </c>
      <c r="S1053" s="14" t="s">
        <v>5918</v>
      </c>
      <c r="T1053" s="8"/>
      <c r="U1053" s="19" t="str">
        <f>HYPERLINK("https://pbs.twimg.com/profile_images/910677994951331842/ohu3WNds.jpg","View")</f>
        <v>View</v>
      </c>
      <c r="V1053" s="8"/>
      <c r="W1053" s="8"/>
      <c r="X1053" s="8"/>
      <c r="Y1053" s="8"/>
      <c r="Z1053" s="8"/>
    </row>
    <row r="1054" spans="1:26" ht="12.75">
      <c r="A1054" s="11">
        <v>43746.572418981479</v>
      </c>
      <c r="B1054" s="12" t="str">
        <f>HYPERLINK("https://twitter.com/MhmoudSubaihi","@MhmoudSubaihi")</f>
        <v>@MhmoudSubaihi</v>
      </c>
      <c r="C1054" s="13" t="s">
        <v>5919</v>
      </c>
      <c r="D1054" s="7" t="s">
        <v>1023</v>
      </c>
      <c r="E1054" s="12" t="str">
        <f>HYPERLINK("https://twitter.com/MhmoudSubaihi/status/1181671678641950720","1181671678641950720")</f>
        <v>1181671678641950720</v>
      </c>
      <c r="F1054" s="8"/>
      <c r="G1054" s="14" t="s">
        <v>5920</v>
      </c>
      <c r="H1054" s="8"/>
      <c r="I1054" s="15">
        <v>0</v>
      </c>
      <c r="J1054" s="15">
        <v>0</v>
      </c>
      <c r="K1054" s="12" t="str">
        <f>HYPERLINK("http://twitter.com","Twitter Web Client")</f>
        <v>Twitter Web Client</v>
      </c>
      <c r="L1054" s="16">
        <v>8</v>
      </c>
      <c r="M1054" s="16">
        <v>44</v>
      </c>
      <c r="N1054" s="16">
        <v>0</v>
      </c>
      <c r="O1054" s="17"/>
      <c r="P1054" s="18">
        <v>42071.588136574079</v>
      </c>
      <c r="Q1054" s="7"/>
      <c r="R1054" s="13"/>
      <c r="S1054" s="8"/>
      <c r="T1054" s="8"/>
      <c r="U1054" s="19" t="str">
        <f>HYPERLINK("https://pbs.twimg.com/profile_images/574713732074336257/tlLyuvIn.jpeg","View")</f>
        <v>View</v>
      </c>
      <c r="V1054" s="8"/>
      <c r="W1054" s="8"/>
      <c r="X1054" s="8"/>
      <c r="Y1054" s="8"/>
      <c r="Z1054" s="8"/>
    </row>
    <row r="1055" spans="1:26" ht="12.75">
      <c r="A1055" s="11">
        <v>43746.572326388894</v>
      </c>
      <c r="B1055" s="12" t="str">
        <f>HYPERLINK("https://twitter.com/Sabani2001","@Sabani2001")</f>
        <v>@Sabani2001</v>
      </c>
      <c r="C1055" s="7" t="s">
        <v>5921</v>
      </c>
      <c r="D1055" s="7" t="s">
        <v>1130</v>
      </c>
      <c r="E1055" s="12" t="str">
        <f>HYPERLINK("https://twitter.com/Sabani2001/status/1181671644944719872","1181671644944719872")</f>
        <v>1181671644944719872</v>
      </c>
      <c r="F1055" s="8"/>
      <c r="G1055" s="14" t="s">
        <v>5922</v>
      </c>
      <c r="H1055" s="8"/>
      <c r="I1055" s="15">
        <v>0</v>
      </c>
      <c r="J1055" s="15">
        <v>0</v>
      </c>
      <c r="K1055" s="12" t="str">
        <f>HYPERLINK("https://mobile.twitter.com","Twitter Web App")</f>
        <v>Twitter Web App</v>
      </c>
      <c r="L1055" s="16">
        <v>0</v>
      </c>
      <c r="M1055" s="16">
        <v>0</v>
      </c>
      <c r="N1055" s="16">
        <v>0</v>
      </c>
      <c r="O1055" s="17"/>
      <c r="P1055" s="18">
        <v>43729.666446759264</v>
      </c>
      <c r="Q1055" s="7" t="s">
        <v>5781</v>
      </c>
      <c r="R1055" s="13" t="s">
        <v>5626</v>
      </c>
      <c r="S1055" s="8"/>
      <c r="T1055" s="8"/>
      <c r="U1055" s="19" t="str">
        <f>HYPERLINK("https://pbs.twimg.com/profile_images/1175874580121972736/Uah9jqVP.jpg","View")</f>
        <v>View</v>
      </c>
      <c r="V1055" s="8"/>
      <c r="W1055" s="8"/>
      <c r="X1055" s="8"/>
      <c r="Y1055" s="8"/>
      <c r="Z1055" s="8"/>
    </row>
    <row r="1056" spans="1:26" ht="12.75">
      <c r="A1056" s="11">
        <v>43746.572164351848</v>
      </c>
      <c r="B1056" s="12" t="str">
        <f>HYPERLINK("https://twitter.com/marea86632431","@marea86632431")</f>
        <v>@marea86632431</v>
      </c>
      <c r="C1056" s="13" t="s">
        <v>5923</v>
      </c>
      <c r="D1056" s="13" t="s">
        <v>5924</v>
      </c>
      <c r="E1056" s="12" t="str">
        <f>HYPERLINK("https://twitter.com/marea86632431/status/1181671586237239299","1181671586237239299")</f>
        <v>1181671586237239299</v>
      </c>
      <c r="F1056" s="8"/>
      <c r="G1056" s="14" t="s">
        <v>5925</v>
      </c>
      <c r="H1056" s="8"/>
      <c r="I1056" s="15">
        <v>0</v>
      </c>
      <c r="J1056" s="15">
        <v>0</v>
      </c>
      <c r="K1056" s="12" t="str">
        <f>HYPERLINK("http://twitter.com","Twitter Web Client")</f>
        <v>Twitter Web Client</v>
      </c>
      <c r="L1056" s="16">
        <v>2</v>
      </c>
      <c r="M1056" s="16">
        <v>28</v>
      </c>
      <c r="N1056" s="16">
        <v>0</v>
      </c>
      <c r="O1056" s="17"/>
      <c r="P1056" s="18">
        <v>41828.151006944448</v>
      </c>
      <c r="Q1056" s="8"/>
      <c r="R1056" s="8"/>
      <c r="S1056" s="8"/>
      <c r="T1056" s="8"/>
      <c r="U1056" s="19" t="str">
        <f>HYPERLINK("https://pbs.twimg.com/profile_images/486459604369276929/P6IU8bpO.jpeg","View")</f>
        <v>View</v>
      </c>
      <c r="V1056" s="8"/>
      <c r="W1056" s="8"/>
      <c r="X1056" s="8"/>
      <c r="Y1056" s="8"/>
      <c r="Z1056" s="8"/>
    </row>
    <row r="1057" spans="1:26" ht="12.75">
      <c r="A1057" s="11">
        <v>43746.57203703704</v>
      </c>
      <c r="B1057" s="12" t="str">
        <f>HYPERLINK("https://twitter.com/AlbahraniKhlifa","@AlbahraniKhlifa")</f>
        <v>@AlbahraniKhlifa</v>
      </c>
      <c r="C1057" s="7" t="s">
        <v>5930</v>
      </c>
      <c r="D1057" s="7" t="s">
        <v>5931</v>
      </c>
      <c r="E1057" s="12" t="str">
        <f>HYPERLINK("https://twitter.com/AlbahraniKhlifa/status/1181671540812853248","1181671540812853248")</f>
        <v>1181671540812853248</v>
      </c>
      <c r="F1057" s="8"/>
      <c r="G1057" s="14" t="s">
        <v>5932</v>
      </c>
      <c r="H1057" s="8"/>
      <c r="I1057" s="15">
        <v>0</v>
      </c>
      <c r="J1057" s="15">
        <v>0</v>
      </c>
      <c r="K1057" s="12" t="str">
        <f>HYPERLINK("http://twitter.com","Twitter Web Client")</f>
        <v>Twitter Web Client</v>
      </c>
      <c r="L1057" s="16">
        <v>9</v>
      </c>
      <c r="M1057" s="16">
        <v>46</v>
      </c>
      <c r="N1057" s="16">
        <v>0</v>
      </c>
      <c r="O1057" s="17"/>
      <c r="P1057" s="18">
        <v>42071.21393518518</v>
      </c>
      <c r="Q1057" s="7"/>
      <c r="R1057" s="13"/>
      <c r="S1057" s="8"/>
      <c r="T1057" s="8"/>
      <c r="U1057" s="19" t="str">
        <f>HYPERLINK("https://pbs.twimg.com/profile_images/574558730664046593/EPxXn9Bv.jpeg","View")</f>
        <v>View</v>
      </c>
      <c r="V1057" s="8"/>
      <c r="W1057" s="8"/>
      <c r="X1057" s="8"/>
      <c r="Y1057" s="8"/>
      <c r="Z1057" s="8"/>
    </row>
    <row r="1058" spans="1:26" ht="12.75">
      <c r="A1058" s="11">
        <v>43746.571909722217</v>
      </c>
      <c r="B1058" s="12" t="str">
        <f>HYPERLINK("https://twitter.com/elsa3ed_ebrahim","@elsa3ed_ebrahim")</f>
        <v>@elsa3ed_ebrahim</v>
      </c>
      <c r="C1058" s="13" t="s">
        <v>5936</v>
      </c>
      <c r="D1058" s="7" t="s">
        <v>1053</v>
      </c>
      <c r="E1058" s="12" t="str">
        <f>HYPERLINK("https://twitter.com/elsa3ed_ebrahim/status/1181671494721691648","1181671494721691648")</f>
        <v>1181671494721691648</v>
      </c>
      <c r="F1058" s="8"/>
      <c r="G1058" s="14" t="s">
        <v>5938</v>
      </c>
      <c r="H1058" s="8"/>
      <c r="I1058" s="15">
        <v>0</v>
      </c>
      <c r="J1058" s="15">
        <v>0</v>
      </c>
      <c r="K1058" s="12" t="str">
        <f>HYPERLINK("http://twitter.com","Twitter Web Client")</f>
        <v>Twitter Web Client</v>
      </c>
      <c r="L1058" s="16">
        <v>3</v>
      </c>
      <c r="M1058" s="16">
        <v>32</v>
      </c>
      <c r="N1058" s="16">
        <v>0</v>
      </c>
      <c r="O1058" s="17"/>
      <c r="P1058" s="18">
        <v>42027.080266203702</v>
      </c>
      <c r="Q1058" s="7"/>
      <c r="R1058" s="13"/>
      <c r="S1058" s="8"/>
      <c r="T1058" s="8"/>
      <c r="U1058" s="19" t="str">
        <f>HYPERLINK("https://pbs.twimg.com/profile_images/558563858118221825/dIVEynmt.jpeg","View")</f>
        <v>View</v>
      </c>
      <c r="V1058" s="8"/>
      <c r="W1058" s="8"/>
      <c r="X1058" s="8"/>
      <c r="Y1058" s="8"/>
      <c r="Z1058" s="8"/>
    </row>
    <row r="1059" spans="1:26" ht="12.75">
      <c r="A1059" s="11">
        <v>43746.571782407409</v>
      </c>
      <c r="B1059" s="12" t="str">
        <f>HYPERLINK("https://twitter.com/AlabekanHamdan","@AlabekanHamdan")</f>
        <v>@AlabekanHamdan</v>
      </c>
      <c r="C1059" s="7" t="s">
        <v>5940</v>
      </c>
      <c r="D1059" s="7" t="s">
        <v>5941</v>
      </c>
      <c r="E1059" s="12" t="str">
        <f>HYPERLINK("https://twitter.com/AlabekanHamdan/status/1181671447909023750","1181671447909023750")</f>
        <v>1181671447909023750</v>
      </c>
      <c r="F1059" s="8"/>
      <c r="G1059" s="14" t="s">
        <v>5943</v>
      </c>
      <c r="H1059" s="8"/>
      <c r="I1059" s="15">
        <v>0</v>
      </c>
      <c r="J1059" s="15">
        <v>0</v>
      </c>
      <c r="K1059" s="12" t="str">
        <f>HYPERLINK("http://twitter.com","Twitter Web Client")</f>
        <v>Twitter Web Client</v>
      </c>
      <c r="L1059" s="16">
        <v>8</v>
      </c>
      <c r="M1059" s="16">
        <v>39</v>
      </c>
      <c r="N1059" s="16">
        <v>0</v>
      </c>
      <c r="O1059" s="17"/>
      <c r="P1059" s="18">
        <v>42073.239837962959</v>
      </c>
      <c r="Q1059" s="7"/>
      <c r="R1059" s="13"/>
      <c r="S1059" s="8"/>
      <c r="T1059" s="8"/>
      <c r="U1059" s="19" t="str">
        <f>HYPERLINK("https://pbs.twimg.com/profile_images/575293708561600512/XOtqWH3_.jpeg","View")</f>
        <v>View</v>
      </c>
      <c r="V1059" s="8"/>
      <c r="W1059" s="8"/>
      <c r="X1059" s="8"/>
      <c r="Y1059" s="8"/>
      <c r="Z1059" s="8"/>
    </row>
    <row r="1060" spans="1:26" ht="12.75">
      <c r="A1060" s="11">
        <v>43746.57094907407</v>
      </c>
      <c r="B1060" s="12" t="str">
        <f>HYPERLINK("https://twitter.com/fateenaal","@fateenaal")</f>
        <v>@fateenaal</v>
      </c>
      <c r="C1060" s="13" t="s">
        <v>5948</v>
      </c>
      <c r="D1060" s="13" t="s">
        <v>907</v>
      </c>
      <c r="E1060" s="12" t="str">
        <f>HYPERLINK("https://twitter.com/fateenaal/status/1181671146208411650","1181671146208411650")</f>
        <v>1181671146208411650</v>
      </c>
      <c r="F1060" s="8"/>
      <c r="G1060" s="14" t="s">
        <v>5949</v>
      </c>
      <c r="H1060" s="8"/>
      <c r="I1060" s="15">
        <v>0</v>
      </c>
      <c r="J1060" s="15">
        <v>0</v>
      </c>
      <c r="K1060" s="12" t="str">
        <f>HYPERLINK("https://mobile.twitter.com","Twitter Web App")</f>
        <v>Twitter Web App</v>
      </c>
      <c r="L1060" s="16">
        <v>0</v>
      </c>
      <c r="M1060" s="16">
        <v>1</v>
      </c>
      <c r="N1060" s="16">
        <v>0</v>
      </c>
      <c r="O1060" s="17"/>
      <c r="P1060" s="18">
        <v>43745.561550925922</v>
      </c>
      <c r="Q1060" s="8" t="s">
        <v>4714</v>
      </c>
      <c r="R1060" s="8" t="s">
        <v>1135</v>
      </c>
      <c r="S1060" s="8"/>
      <c r="T1060" s="8"/>
      <c r="U1060" s="19" t="str">
        <f>HYPERLINK("https://pbs.twimg.com/profile_images/1181305503034380288/76eS6XFh.jpg","View")</f>
        <v>View</v>
      </c>
      <c r="V1060" s="8"/>
      <c r="W1060" s="8"/>
      <c r="X1060" s="8"/>
      <c r="Y1060" s="8"/>
      <c r="Z1060" s="8"/>
    </row>
    <row r="1061" spans="1:26" ht="12.75">
      <c r="A1061" s="11">
        <v>43746.570347222223</v>
      </c>
      <c r="B1061" s="12" t="str">
        <f>HYPERLINK("https://twitter.com/MohsenOkhalidi","@MohsenOkhalidi")</f>
        <v>@MohsenOkhalidi</v>
      </c>
      <c r="C1061" s="13" t="s">
        <v>5952</v>
      </c>
      <c r="D1061" s="7" t="s">
        <v>5953</v>
      </c>
      <c r="E1061" s="12" t="str">
        <f>HYPERLINK("https://twitter.com/MohsenOkhalidi/status/1181670928792641536","1181670928792641536")</f>
        <v>1181670928792641536</v>
      </c>
      <c r="F1061" s="8"/>
      <c r="G1061" s="14" t="s">
        <v>5957</v>
      </c>
      <c r="H1061" s="8"/>
      <c r="I1061" s="15">
        <v>0</v>
      </c>
      <c r="J1061" s="15">
        <v>0</v>
      </c>
      <c r="K1061" s="12" t="str">
        <f>HYPERLINK("http://twitter.com","Twitter Web Client")</f>
        <v>Twitter Web Client</v>
      </c>
      <c r="L1061" s="16">
        <v>1</v>
      </c>
      <c r="M1061" s="16">
        <v>37</v>
      </c>
      <c r="N1061" s="16">
        <v>0</v>
      </c>
      <c r="O1061" s="17"/>
      <c r="P1061" s="18">
        <v>42080.837037037039</v>
      </c>
      <c r="Q1061" s="7"/>
      <c r="R1061" s="13"/>
      <c r="S1061" s="8"/>
      <c r="T1061" s="8"/>
      <c r="U1061" s="19" t="str">
        <f>HYPERLINK("https://pbs.twimg.com/profile_images/578030427031519233/eif3FbvW.jpeg","View")</f>
        <v>View</v>
      </c>
      <c r="V1061" s="8"/>
      <c r="W1061" s="8"/>
      <c r="X1061" s="8"/>
      <c r="Y1061" s="8"/>
      <c r="Z1061" s="8"/>
    </row>
    <row r="1062" spans="1:26" ht="12.75">
      <c r="A1062" s="11">
        <v>43746.570219907408</v>
      </c>
      <c r="B1062" s="12" t="str">
        <f>HYPERLINK("https://twitter.com/rashidirifai","@rashidirifai")</f>
        <v>@rashidirifai</v>
      </c>
      <c r="C1062" s="7" t="s">
        <v>4730</v>
      </c>
      <c r="D1062" s="7" t="s">
        <v>5961</v>
      </c>
      <c r="E1062" s="12" t="str">
        <f>HYPERLINK("https://twitter.com/rashidirifai/status/1181670883578011648","1181670883578011648")</f>
        <v>1181670883578011648</v>
      </c>
      <c r="F1062" s="8"/>
      <c r="G1062" s="14" t="s">
        <v>5962</v>
      </c>
      <c r="H1062" s="8"/>
      <c r="I1062" s="15">
        <v>0</v>
      </c>
      <c r="J1062" s="15">
        <v>0</v>
      </c>
      <c r="K1062" s="12" t="str">
        <f>HYPERLINK("http://twitter.com","Twitter Web Client")</f>
        <v>Twitter Web Client</v>
      </c>
      <c r="L1062" s="16">
        <v>0</v>
      </c>
      <c r="M1062" s="16">
        <v>39</v>
      </c>
      <c r="N1062" s="16">
        <v>0</v>
      </c>
      <c r="O1062" s="20"/>
      <c r="P1062" s="18">
        <v>42070.767708333333</v>
      </c>
      <c r="Q1062" s="7"/>
      <c r="R1062" s="7"/>
      <c r="S1062" s="15"/>
      <c r="T1062" s="8"/>
      <c r="U1062" s="19" t="str">
        <f>HYPERLINK("https://pbs.twimg.com/profile_images/574396160435093505/Ynq2IngU.jpeg","View")</f>
        <v>View</v>
      </c>
      <c r="V1062" s="8"/>
      <c r="W1062" s="8"/>
      <c r="X1062" s="8"/>
      <c r="Y1062" s="8"/>
      <c r="Z1062" s="8"/>
    </row>
    <row r="1063" spans="1:26" ht="12.75">
      <c r="A1063" s="11">
        <v>43746.570092592592</v>
      </c>
      <c r="B1063" s="12" t="str">
        <f>HYPERLINK("https://twitter.com/eirfoil","@eirfoil")</f>
        <v>@eirfoil</v>
      </c>
      <c r="C1063" s="13" t="s">
        <v>5965</v>
      </c>
      <c r="D1063" s="7" t="s">
        <v>1079</v>
      </c>
      <c r="E1063" s="12" t="str">
        <f>HYPERLINK("https://twitter.com/eirfoil/status/1181670835561680898","1181670835561680898")</f>
        <v>1181670835561680898</v>
      </c>
      <c r="F1063" s="8"/>
      <c r="G1063" s="14" t="s">
        <v>5966</v>
      </c>
      <c r="H1063" s="8"/>
      <c r="I1063" s="15">
        <v>0</v>
      </c>
      <c r="J1063" s="15">
        <v>0</v>
      </c>
      <c r="K1063" s="12" t="str">
        <f>HYPERLINK("http://twitter.com","Twitter Web Client")</f>
        <v>Twitter Web Client</v>
      </c>
      <c r="L1063" s="16">
        <v>0</v>
      </c>
      <c r="M1063" s="16">
        <v>37</v>
      </c>
      <c r="N1063" s="16">
        <v>0</v>
      </c>
      <c r="O1063" s="17"/>
      <c r="P1063" s="18">
        <v>42080.63590277778</v>
      </c>
      <c r="Q1063" s="7"/>
      <c r="R1063" s="13"/>
      <c r="S1063" s="8"/>
      <c r="T1063" s="8"/>
      <c r="U1063" s="19" t="str">
        <f>HYPERLINK("https://pbs.twimg.com/profile_images/577956949787963392/uWoYsj98.jpeg","View")</f>
        <v>View</v>
      </c>
      <c r="V1063" s="8"/>
      <c r="W1063" s="8"/>
      <c r="X1063" s="8"/>
      <c r="Y1063" s="8"/>
      <c r="Z1063" s="8"/>
    </row>
    <row r="1064" spans="1:26" ht="12.75">
      <c r="A1064" s="11">
        <v>43746.569699074069</v>
      </c>
      <c r="B1064" s="12" t="str">
        <f>HYPERLINK("https://twitter.com/hamidharbi3","@hamidharbi3")</f>
        <v>@hamidharbi3</v>
      </c>
      <c r="C1064" s="13" t="s">
        <v>5967</v>
      </c>
      <c r="D1064" s="13" t="s">
        <v>5968</v>
      </c>
      <c r="E1064" s="12" t="str">
        <f>HYPERLINK("https://twitter.com/hamidharbi3/status/1181670692833693704","1181670692833693704")</f>
        <v>1181670692833693704</v>
      </c>
      <c r="F1064" s="8"/>
      <c r="G1064" s="14" t="s">
        <v>5969</v>
      </c>
      <c r="H1064" s="8"/>
      <c r="I1064" s="15">
        <v>0</v>
      </c>
      <c r="J1064" s="15">
        <v>0</v>
      </c>
      <c r="K1064" s="12" t="str">
        <f>HYPERLINK("http://twitter.com","Twitter Web Client")</f>
        <v>Twitter Web Client</v>
      </c>
      <c r="L1064" s="16">
        <v>4</v>
      </c>
      <c r="M1064" s="16">
        <v>34</v>
      </c>
      <c r="N1064" s="16">
        <v>0</v>
      </c>
      <c r="O1064" s="17"/>
      <c r="P1064" s="18">
        <v>42083.261064814811</v>
      </c>
      <c r="Q1064" s="8"/>
      <c r="R1064" s="8"/>
      <c r="S1064" s="8"/>
      <c r="T1064" s="8"/>
      <c r="U1064" s="19" t="str">
        <f>HYPERLINK("https://pbs.twimg.com/profile_images/578910634827448320/7y0uiVPr.jpeg","View")</f>
        <v>View</v>
      </c>
      <c r="V1064" s="8"/>
      <c r="W1064" s="8"/>
      <c r="X1064" s="8"/>
      <c r="Y1064" s="8"/>
      <c r="Z1064" s="8"/>
    </row>
    <row r="1065" spans="1:26" ht="12.75">
      <c r="A1065" s="11">
        <v>43746.569444444445</v>
      </c>
      <c r="B1065" s="12" t="str">
        <f>HYPERLINK("https://twitter.com/FadelElqsomy","@FadelElqsomy")</f>
        <v>@FadelElqsomy</v>
      </c>
      <c r="C1065" s="7" t="s">
        <v>5973</v>
      </c>
      <c r="D1065" s="7" t="s">
        <v>1089</v>
      </c>
      <c r="E1065" s="12" t="str">
        <f>HYPERLINK("https://twitter.com/FadelElqsomy/status/1181670601683095560","1181670601683095560")</f>
        <v>1181670601683095560</v>
      </c>
      <c r="F1065" s="8"/>
      <c r="G1065" s="14" t="s">
        <v>5974</v>
      </c>
      <c r="H1065" s="8"/>
      <c r="I1065" s="15">
        <v>0</v>
      </c>
      <c r="J1065" s="15">
        <v>0</v>
      </c>
      <c r="K1065" s="12" t="str">
        <f>HYPERLINK("http://twitter.com","Twitter Web Client")</f>
        <v>Twitter Web Client</v>
      </c>
      <c r="L1065" s="16">
        <v>1</v>
      </c>
      <c r="M1065" s="16">
        <v>37</v>
      </c>
      <c r="N1065" s="16">
        <v>0</v>
      </c>
      <c r="O1065" s="17"/>
      <c r="P1065" s="18">
        <v>41828.249108796299</v>
      </c>
      <c r="Q1065" s="7"/>
      <c r="R1065" s="13"/>
      <c r="S1065" s="8"/>
      <c r="T1065" s="8"/>
      <c r="U1065" s="19" t="str">
        <f>HYPERLINK("https://pbs.twimg.com/profile_images/486494921562402816/HqdsVMV_.jpeg","View")</f>
        <v>View</v>
      </c>
      <c r="V1065" s="8"/>
      <c r="W1065" s="8"/>
      <c r="X1065" s="8"/>
      <c r="Y1065" s="8"/>
      <c r="Z1065" s="8"/>
    </row>
    <row r="1066" spans="1:26" ht="12.75">
      <c r="A1066" s="11">
        <v>43746.568449074075</v>
      </c>
      <c r="B1066" s="12" t="str">
        <f>HYPERLINK("https://twitter.com/ammaaral4","@ammaaral4")</f>
        <v>@ammaaral4</v>
      </c>
      <c r="C1066" s="13" t="s">
        <v>5978</v>
      </c>
      <c r="D1066" s="13" t="s">
        <v>1236</v>
      </c>
      <c r="E1066" s="12" t="str">
        <f>HYPERLINK("https://twitter.com/ammaaral4/status/1181670240515543040","1181670240515543040")</f>
        <v>1181670240515543040</v>
      </c>
      <c r="F1066" s="8"/>
      <c r="G1066" s="14" t="s">
        <v>5979</v>
      </c>
      <c r="H1066" s="8"/>
      <c r="I1066" s="15">
        <v>0</v>
      </c>
      <c r="J1066" s="15">
        <v>0</v>
      </c>
      <c r="K1066" s="12" t="str">
        <f>HYPERLINK("https://mobile.twitter.com","Twitter Web App")</f>
        <v>Twitter Web App</v>
      </c>
      <c r="L1066" s="16">
        <v>0</v>
      </c>
      <c r="M1066" s="16">
        <v>0</v>
      </c>
      <c r="N1066" s="16">
        <v>0</v>
      </c>
      <c r="O1066" s="17"/>
      <c r="P1066" s="18">
        <v>43744.540706018517</v>
      </c>
      <c r="Q1066" s="8" t="s">
        <v>4714</v>
      </c>
      <c r="R1066" s="8" t="s">
        <v>5983</v>
      </c>
      <c r="S1066" s="8"/>
      <c r="T1066" s="8"/>
      <c r="U1066" s="19" t="str">
        <f>HYPERLINK("https://pbs.twimg.com/profile_images/1180985479946129408/dbqVJ-7a.jpg","View")</f>
        <v>View</v>
      </c>
      <c r="V1066" s="8"/>
      <c r="W1066" s="8"/>
      <c r="X1066" s="8"/>
      <c r="Y1066" s="8"/>
      <c r="Z1066" s="8"/>
    </row>
    <row r="1067" spans="1:26" ht="12.75">
      <c r="A1067" s="11">
        <v>43746.567650462966</v>
      </c>
      <c r="B1067" s="12" t="str">
        <f>HYPERLINK("https://twitter.com/bishihamdan","@bishihamdan")</f>
        <v>@bishihamdan</v>
      </c>
      <c r="C1067" s="13" t="s">
        <v>5989</v>
      </c>
      <c r="D1067" s="13" t="s">
        <v>1107</v>
      </c>
      <c r="E1067" s="12" t="str">
        <f>HYPERLINK("https://twitter.com/bishihamdan/status/1181669950307454976","1181669950307454976")</f>
        <v>1181669950307454976</v>
      </c>
      <c r="F1067" s="8"/>
      <c r="G1067" s="14" t="s">
        <v>5990</v>
      </c>
      <c r="H1067" s="8"/>
      <c r="I1067" s="15">
        <v>0</v>
      </c>
      <c r="J1067" s="15">
        <v>0</v>
      </c>
      <c r="K1067" s="12" t="str">
        <f>HYPERLINK("https://mobile.twitter.com","Twitter Web App")</f>
        <v>Twitter Web App</v>
      </c>
      <c r="L1067" s="16">
        <v>0</v>
      </c>
      <c r="M1067" s="16">
        <v>2</v>
      </c>
      <c r="N1067" s="16">
        <v>0</v>
      </c>
      <c r="O1067" s="17"/>
      <c r="P1067" s="18">
        <v>43729.660879629635</v>
      </c>
      <c r="Q1067" s="8" t="s">
        <v>1271</v>
      </c>
      <c r="R1067" s="8" t="s">
        <v>5782</v>
      </c>
      <c r="S1067" s="8"/>
      <c r="T1067" s="8"/>
      <c r="U1067" s="19" t="str">
        <f>HYPERLINK("https://pbs.twimg.com/profile_images/1176982254754492416/wZFWHKdN.jpg","View")</f>
        <v>View</v>
      </c>
      <c r="V1067" s="8"/>
      <c r="W1067" s="8"/>
      <c r="X1067" s="8"/>
      <c r="Y1067" s="8"/>
      <c r="Z1067" s="8"/>
    </row>
    <row r="1068" spans="1:26" ht="12.75">
      <c r="A1068" s="11">
        <v>43746.566099537042</v>
      </c>
      <c r="B1068" s="12" t="str">
        <f>HYPERLINK("https://twitter.com/nayefalmassari1","@nayefalmassari1")</f>
        <v>@nayefalmassari1</v>
      </c>
      <c r="C1068" s="13" t="s">
        <v>5996</v>
      </c>
      <c r="D1068" s="13" t="s">
        <v>5997</v>
      </c>
      <c r="E1068" s="12" t="str">
        <f>HYPERLINK("https://twitter.com/nayefalmassari1/status/1181669391211143168","1181669391211143168")</f>
        <v>1181669391211143168</v>
      </c>
      <c r="F1068" s="8"/>
      <c r="G1068" s="14" t="s">
        <v>5998</v>
      </c>
      <c r="H1068" s="8"/>
      <c r="I1068" s="15">
        <v>0</v>
      </c>
      <c r="J1068" s="15">
        <v>0</v>
      </c>
      <c r="K1068" s="12" t="str">
        <f>HYPERLINK("http://twitter.com","Twitter Web Client")</f>
        <v>Twitter Web Client</v>
      </c>
      <c r="L1068" s="16">
        <v>4</v>
      </c>
      <c r="M1068" s="16">
        <v>41</v>
      </c>
      <c r="N1068" s="16">
        <v>0</v>
      </c>
      <c r="O1068" s="17"/>
      <c r="P1068" s="18">
        <v>42070.189988425926</v>
      </c>
      <c r="Q1068" s="8"/>
      <c r="R1068" s="8"/>
      <c r="S1068" s="8"/>
      <c r="T1068" s="8"/>
      <c r="U1068" s="19" t="str">
        <f>HYPERLINK("https://pbs.twimg.com/profile_images/574189447673044992/oUuhkzms.jpeg","View")</f>
        <v>View</v>
      </c>
      <c r="V1068" s="8"/>
      <c r="W1068" s="8"/>
      <c r="X1068" s="8"/>
      <c r="Y1068" s="8"/>
      <c r="Z1068" s="8"/>
    </row>
    <row r="1069" spans="1:26" ht="12.75">
      <c r="A1069" s="11">
        <v>43746.566076388888</v>
      </c>
      <c r="B1069" s="12" t="str">
        <f>HYPERLINK("https://twitter.com/mazeedael","@mazeedael")</f>
        <v>@mazeedael</v>
      </c>
      <c r="C1069" s="13" t="s">
        <v>6002</v>
      </c>
      <c r="D1069" s="7" t="s">
        <v>28</v>
      </c>
      <c r="E1069" s="12" t="str">
        <f>HYPERLINK("https://twitter.com/mazeedael/status/1181669381727588352","1181669381727588352")</f>
        <v>1181669381727588352</v>
      </c>
      <c r="F1069" s="8"/>
      <c r="G1069" s="14" t="s">
        <v>1267</v>
      </c>
      <c r="H1069" s="8"/>
      <c r="I1069" s="15">
        <v>0</v>
      </c>
      <c r="J1069" s="15">
        <v>0</v>
      </c>
      <c r="K1069" s="12" t="str">
        <f>HYPERLINK("https://mobile.twitter.com","Twitter Web App")</f>
        <v>Twitter Web App</v>
      </c>
      <c r="L1069" s="16">
        <v>0</v>
      </c>
      <c r="M1069" s="16">
        <v>1</v>
      </c>
      <c r="N1069" s="16">
        <v>0</v>
      </c>
      <c r="O1069" s="17"/>
      <c r="P1069" s="18">
        <v>43744.53869212963</v>
      </c>
      <c r="Q1069" s="7" t="s">
        <v>4714</v>
      </c>
      <c r="R1069" s="13" t="s">
        <v>1281</v>
      </c>
      <c r="S1069" s="8"/>
      <c r="T1069" s="8"/>
      <c r="U1069" s="19" t="str">
        <f>HYPERLINK("https://pbs.twimg.com/profile_images/1181261208390782978/hHUHrkud.jpg","View")</f>
        <v>View</v>
      </c>
      <c r="V1069" s="8"/>
      <c r="W1069" s="8"/>
      <c r="X1069" s="8"/>
      <c r="Y1069" s="8"/>
      <c r="Z1069" s="8"/>
    </row>
    <row r="1070" spans="1:26" ht="12.75">
      <c r="A1070" s="11">
        <v>43746.565983796296</v>
      </c>
      <c r="B1070" s="12" t="str">
        <f>HYPERLINK("https://twitter.com/alanazee744","@alanazee744")</f>
        <v>@alanazee744</v>
      </c>
      <c r="C1070" s="13" t="s">
        <v>6006</v>
      </c>
      <c r="D1070" s="13" t="s">
        <v>1120</v>
      </c>
      <c r="E1070" s="12" t="str">
        <f>HYPERLINK("https://twitter.com/alanazee744/status/1181669346290089984","1181669346290089984")</f>
        <v>1181669346290089984</v>
      </c>
      <c r="F1070" s="8"/>
      <c r="G1070" s="14" t="s">
        <v>6007</v>
      </c>
      <c r="H1070" s="8"/>
      <c r="I1070" s="15">
        <v>0</v>
      </c>
      <c r="J1070" s="15">
        <v>0</v>
      </c>
      <c r="K1070" s="12" t="str">
        <f>HYPERLINK("http://twitter.com","Twitter Web Client")</f>
        <v>Twitter Web Client</v>
      </c>
      <c r="L1070" s="16">
        <v>5</v>
      </c>
      <c r="M1070" s="16">
        <v>35</v>
      </c>
      <c r="N1070" s="16">
        <v>0</v>
      </c>
      <c r="O1070" s="17"/>
      <c r="P1070" s="18">
        <v>42074.616087962961</v>
      </c>
      <c r="Q1070" s="8"/>
      <c r="R1070" s="8"/>
      <c r="S1070" s="8"/>
      <c r="T1070" s="8"/>
      <c r="U1070" s="19" t="str">
        <f>HYPERLINK("https://pbs.twimg.com/profile_images/575775140534820864/AGei9uBE.jpeg","View")</f>
        <v>View</v>
      </c>
      <c r="V1070" s="8"/>
      <c r="W1070" s="8"/>
      <c r="X1070" s="8"/>
      <c r="Y1070" s="8"/>
      <c r="Z1070" s="8"/>
    </row>
    <row r="1071" spans="1:26" ht="12.75">
      <c r="A1071" s="11">
        <v>43746.565729166672</v>
      </c>
      <c r="B1071" s="12" t="str">
        <f>HYPERLINK("https://twitter.com/alzahraniie4453","@alzahraniie4453")</f>
        <v>@alzahraniie4453</v>
      </c>
      <c r="C1071" s="13" t="s">
        <v>6014</v>
      </c>
      <c r="D1071" s="13" t="s">
        <v>6015</v>
      </c>
      <c r="E1071" s="12" t="str">
        <f>HYPERLINK("https://twitter.com/alzahraniie4453/status/1181669253470150657","1181669253470150657")</f>
        <v>1181669253470150657</v>
      </c>
      <c r="F1071" s="8"/>
      <c r="G1071" s="14" t="s">
        <v>6016</v>
      </c>
      <c r="H1071" s="8"/>
      <c r="I1071" s="15">
        <v>0</v>
      </c>
      <c r="J1071" s="15">
        <v>0</v>
      </c>
      <c r="K1071" s="12" t="str">
        <f>HYPERLINK("http://twitter.com","Twitter Web Client")</f>
        <v>Twitter Web Client</v>
      </c>
      <c r="L1071" s="16">
        <v>2</v>
      </c>
      <c r="M1071" s="16">
        <v>36</v>
      </c>
      <c r="N1071" s="16">
        <v>0</v>
      </c>
      <c r="O1071" s="17"/>
      <c r="P1071" s="18">
        <v>42069.477118055554</v>
      </c>
      <c r="Q1071" s="8"/>
      <c r="R1071" s="8"/>
      <c r="S1071" s="8"/>
      <c r="T1071" s="8"/>
      <c r="U1071" s="19" t="str">
        <f>HYPERLINK("https://pbs.twimg.com/profile_images/573928060975628288/HKMRdWwn.jpeg","View")</f>
        <v>View</v>
      </c>
      <c r="V1071" s="8"/>
      <c r="W1071" s="8"/>
      <c r="X1071" s="8"/>
      <c r="Y1071" s="8"/>
      <c r="Z1071" s="8"/>
    </row>
    <row r="1072" spans="1:26" ht="12.75">
      <c r="A1072" s="11">
        <v>43746.564907407403</v>
      </c>
      <c r="B1072" s="12" t="str">
        <f>HYPERLINK("https://twitter.com/khalifa_qrwa3y","@khalifa_qrwa3y")</f>
        <v>@khalifa_qrwa3y</v>
      </c>
      <c r="C1072" s="13" t="s">
        <v>6020</v>
      </c>
      <c r="D1072" s="13" t="s">
        <v>6021</v>
      </c>
      <c r="E1072" s="12" t="str">
        <f>HYPERLINK("https://twitter.com/khalifa_qrwa3y/status/1181668957448740864","1181668957448740864")</f>
        <v>1181668957448740864</v>
      </c>
      <c r="F1072" s="8"/>
      <c r="G1072" s="14" t="s">
        <v>6022</v>
      </c>
      <c r="H1072" s="8"/>
      <c r="I1072" s="15">
        <v>0</v>
      </c>
      <c r="J1072" s="15">
        <v>0</v>
      </c>
      <c r="K1072" s="12" t="str">
        <f>HYPERLINK("http://twitter.com","Twitter Web Client")</f>
        <v>Twitter Web Client</v>
      </c>
      <c r="L1072" s="16">
        <v>0</v>
      </c>
      <c r="M1072" s="16">
        <v>37</v>
      </c>
      <c r="N1072" s="16">
        <v>0</v>
      </c>
      <c r="O1072" s="17"/>
      <c r="P1072" s="18">
        <v>42022.695821759262</v>
      </c>
      <c r="Q1072" s="8"/>
      <c r="R1072" s="8"/>
      <c r="S1072" s="8"/>
      <c r="T1072" s="8"/>
      <c r="U1072" s="19" t="str">
        <f>HYPERLINK("https://pbs.twimg.com/profile_images/556975054748012544/-RM7AknX.jpeg","View")</f>
        <v>View</v>
      </c>
      <c r="V1072" s="8"/>
      <c r="W1072" s="8"/>
      <c r="X1072" s="8"/>
      <c r="Y1072" s="8"/>
      <c r="Z1072" s="8"/>
    </row>
    <row r="1073" spans="1:26" ht="12.75">
      <c r="A1073" s="11">
        <v>43746.564780092594</v>
      </c>
      <c r="B1073" s="12" t="str">
        <f>HYPERLINK("https://twitter.com/hussein5341","@hussein5341")</f>
        <v>@hussein5341</v>
      </c>
      <c r="C1073" s="13" t="s">
        <v>6026</v>
      </c>
      <c r="D1073" s="7" t="s">
        <v>1137</v>
      </c>
      <c r="E1073" s="12" t="str">
        <f>HYPERLINK("https://twitter.com/hussein5341/status/1181668909407248390","1181668909407248390")</f>
        <v>1181668909407248390</v>
      </c>
      <c r="F1073" s="8"/>
      <c r="G1073" s="14" t="s">
        <v>6027</v>
      </c>
      <c r="H1073" s="8"/>
      <c r="I1073" s="15">
        <v>0</v>
      </c>
      <c r="J1073" s="15">
        <v>0</v>
      </c>
      <c r="K1073" s="12" t="str">
        <f>HYPERLINK("http://twitter.com","Twitter Web Client")</f>
        <v>Twitter Web Client</v>
      </c>
      <c r="L1073" s="16">
        <v>9</v>
      </c>
      <c r="M1073" s="16">
        <v>43</v>
      </c>
      <c r="N1073" s="16">
        <v>0</v>
      </c>
      <c r="O1073" s="17"/>
      <c r="P1073" s="18">
        <v>42268.764849537038</v>
      </c>
      <c r="Q1073" s="7"/>
      <c r="R1073" s="13"/>
      <c r="S1073" s="8"/>
      <c r="T1073" s="8"/>
      <c r="U1073" s="19" t="str">
        <f>HYPERLINK("https://pbs.twimg.com/profile_images/646341158898024448/L9shFdUo.jpg","View")</f>
        <v>View</v>
      </c>
      <c r="V1073" s="8"/>
      <c r="W1073" s="8"/>
      <c r="X1073" s="8"/>
      <c r="Y1073" s="8"/>
      <c r="Z1073" s="8"/>
    </row>
    <row r="1074" spans="1:26" ht="12.75">
      <c r="A1074" s="11">
        <v>43746.564247685186</v>
      </c>
      <c r="B1074" s="12" t="str">
        <f>HYPERLINK("https://twitter.com/elmarz_yy","@elmarz_yy")</f>
        <v>@elmarz_yy</v>
      </c>
      <c r="C1074" s="13" t="s">
        <v>6031</v>
      </c>
      <c r="D1074" s="7" t="s">
        <v>6032</v>
      </c>
      <c r="E1074" s="12" t="str">
        <f>HYPERLINK("https://twitter.com/elmarz_yy/status/1181668720588050432","1181668720588050432")</f>
        <v>1181668720588050432</v>
      </c>
      <c r="F1074" s="8"/>
      <c r="G1074" s="14" t="s">
        <v>6033</v>
      </c>
      <c r="H1074" s="8"/>
      <c r="I1074" s="15">
        <v>0</v>
      </c>
      <c r="J1074" s="15">
        <v>0</v>
      </c>
      <c r="K1074" s="12" t="str">
        <f>HYPERLINK("http://twitter.com","Twitter Web Client")</f>
        <v>Twitter Web Client</v>
      </c>
      <c r="L1074" s="16">
        <v>5</v>
      </c>
      <c r="M1074" s="16">
        <v>36</v>
      </c>
      <c r="N1074" s="16">
        <v>0</v>
      </c>
      <c r="O1074" s="17"/>
      <c r="P1074" s="18">
        <v>42075.190208333333</v>
      </c>
      <c r="Q1074" s="7"/>
      <c r="R1074" s="13"/>
      <c r="S1074" s="8"/>
      <c r="T1074" s="8"/>
      <c r="U1074" s="19" t="str">
        <f>HYPERLINK("https://pbs.twimg.com/profile_images/575983274071175170/nOZrg5Z8.jpeg","View")</f>
        <v>View</v>
      </c>
      <c r="V1074" s="8"/>
      <c r="W1074" s="8"/>
      <c r="X1074" s="8"/>
      <c r="Y1074" s="8"/>
      <c r="Z1074" s="8"/>
    </row>
    <row r="1075" spans="1:26" ht="12.75">
      <c r="A1075" s="11">
        <v>43746.564120370371</v>
      </c>
      <c r="B1075" s="12" t="str">
        <f>HYPERLINK("https://twitter.com/husseinilslimy","@husseinilslimy")</f>
        <v>@husseinilslimy</v>
      </c>
      <c r="C1075" s="13" t="s">
        <v>6038</v>
      </c>
      <c r="D1075" s="13" t="s">
        <v>1144</v>
      </c>
      <c r="E1075" s="12" t="str">
        <f>HYPERLINK("https://twitter.com/husseinilslimy/status/1181668674131910656","1181668674131910656")</f>
        <v>1181668674131910656</v>
      </c>
      <c r="F1075" s="8"/>
      <c r="G1075" s="14" t="s">
        <v>6039</v>
      </c>
      <c r="H1075" s="8"/>
      <c r="I1075" s="15">
        <v>0</v>
      </c>
      <c r="J1075" s="15">
        <v>0</v>
      </c>
      <c r="K1075" s="12" t="str">
        <f>HYPERLINK("http://twitter.com","Twitter Web Client")</f>
        <v>Twitter Web Client</v>
      </c>
      <c r="L1075" s="16">
        <v>2</v>
      </c>
      <c r="M1075" s="16">
        <v>34</v>
      </c>
      <c r="N1075" s="16">
        <v>0</v>
      </c>
      <c r="O1075" s="17"/>
      <c r="P1075" s="18">
        <v>42087.222511574073</v>
      </c>
      <c r="Q1075" s="8"/>
      <c r="R1075" s="8"/>
      <c r="S1075" s="8"/>
      <c r="T1075" s="8"/>
      <c r="U1075" s="19" t="str">
        <f>HYPERLINK("https://pbs.twimg.com/profile_images/580348364279033857/ECTVwoGN.jpg","View")</f>
        <v>View</v>
      </c>
      <c r="V1075" s="8"/>
      <c r="W1075" s="8"/>
      <c r="X1075" s="8"/>
      <c r="Y1075" s="8"/>
      <c r="Z1075" s="8"/>
    </row>
    <row r="1076" spans="1:26" ht="12.75">
      <c r="A1076" s="11">
        <v>43746.563657407409</v>
      </c>
      <c r="B1076" s="12" t="str">
        <f>HYPERLINK("https://twitter.com/mohammedsalhi22","@mohammedsalhi22")</f>
        <v>@mohammedsalhi22</v>
      </c>
      <c r="C1076" s="13" t="s">
        <v>5539</v>
      </c>
      <c r="D1076" s="7" t="s">
        <v>907</v>
      </c>
      <c r="E1076" s="12" t="str">
        <f>HYPERLINK("https://twitter.com/mohammedsalhi22/status/1181668503293579264","1181668503293579264")</f>
        <v>1181668503293579264</v>
      </c>
      <c r="F1076" s="8"/>
      <c r="G1076" s="14" t="s">
        <v>6046</v>
      </c>
      <c r="H1076" s="8"/>
      <c r="I1076" s="15">
        <v>0</v>
      </c>
      <c r="J1076" s="15">
        <v>0</v>
      </c>
      <c r="K1076" s="12" t="str">
        <f>HYPERLINK("https://mobile.twitter.com","Twitter Web App")</f>
        <v>Twitter Web App</v>
      </c>
      <c r="L1076" s="16">
        <v>0</v>
      </c>
      <c r="M1076" s="16">
        <v>1</v>
      </c>
      <c r="N1076" s="16">
        <v>0</v>
      </c>
      <c r="O1076" s="17"/>
      <c r="P1076" s="18">
        <v>43729.616400462968</v>
      </c>
      <c r="Q1076" s="7" t="s">
        <v>5781</v>
      </c>
      <c r="R1076" s="13" t="s">
        <v>5908</v>
      </c>
      <c r="S1076" s="8"/>
      <c r="T1076" s="8"/>
      <c r="U1076" s="19" t="str">
        <f>HYPERLINK("https://pbs.twimg.com/profile_images/1175851216791728128/VDi3GX5H.jpg","View")</f>
        <v>View</v>
      </c>
      <c r="V1076" s="8"/>
      <c r="W1076" s="8"/>
      <c r="X1076" s="8"/>
      <c r="Y1076" s="8"/>
      <c r="Z1076" s="8"/>
    </row>
    <row r="1077" spans="1:26" ht="12.75">
      <c r="A1077" s="11">
        <v>43746.563622685186</v>
      </c>
      <c r="B1077" s="12" t="str">
        <f>HYPERLINK("https://twitter.com/mahboobael","@mahboobael")</f>
        <v>@mahboobael</v>
      </c>
      <c r="C1077" s="13" t="s">
        <v>6047</v>
      </c>
      <c r="D1077" s="13" t="s">
        <v>914</v>
      </c>
      <c r="E1077" s="12" t="str">
        <f>HYPERLINK("https://twitter.com/mahboobael/status/1181668490664501248","1181668490664501248")</f>
        <v>1181668490664501248</v>
      </c>
      <c r="F1077" s="8"/>
      <c r="G1077" s="14" t="s">
        <v>917</v>
      </c>
      <c r="H1077" s="8"/>
      <c r="I1077" s="15">
        <v>0</v>
      </c>
      <c r="J1077" s="15">
        <v>0</v>
      </c>
      <c r="K1077" s="12" t="str">
        <f>HYPERLINK("https://mobile.twitter.com","Twitter Web App")</f>
        <v>Twitter Web App</v>
      </c>
      <c r="L1077" s="16">
        <v>0</v>
      </c>
      <c r="M1077" s="16">
        <v>0</v>
      </c>
      <c r="N1077" s="16">
        <v>0</v>
      </c>
      <c r="O1077" s="17"/>
      <c r="P1077" s="18">
        <v>43744.536400462966</v>
      </c>
      <c r="Q1077" s="8" t="s">
        <v>4714</v>
      </c>
      <c r="R1077" s="8" t="s">
        <v>6048</v>
      </c>
      <c r="S1077" s="8"/>
      <c r="T1077" s="8"/>
      <c r="U1077" s="19" t="str">
        <f>HYPERLINK("https://pbs.twimg.com/profile_images/1180984901467697152/6si4R1be.jpg","View")</f>
        <v>View</v>
      </c>
      <c r="V1077" s="8"/>
      <c r="W1077" s="8"/>
      <c r="X1077" s="8"/>
      <c r="Y1077" s="8"/>
      <c r="Z1077" s="8"/>
    </row>
    <row r="1078" spans="1:26" ht="12.75">
      <c r="A1078" s="11">
        <v>43746.563333333332</v>
      </c>
      <c r="B1078" s="12" t="str">
        <f>HYPERLINK("https://twitter.com/3amr_elrba3ee","@3amr_elrba3ee")</f>
        <v>@3amr_elrba3ee</v>
      </c>
      <c r="C1078" s="13" t="s">
        <v>6052</v>
      </c>
      <c r="D1078" s="7" t="s">
        <v>6053</v>
      </c>
      <c r="E1078" s="12" t="str">
        <f>HYPERLINK("https://twitter.com/3amr_elrba3ee/status/1181668386377539584","1181668386377539584")</f>
        <v>1181668386377539584</v>
      </c>
      <c r="F1078" s="8"/>
      <c r="G1078" s="14" t="s">
        <v>6054</v>
      </c>
      <c r="H1078" s="8"/>
      <c r="I1078" s="15">
        <v>0</v>
      </c>
      <c r="J1078" s="15">
        <v>0</v>
      </c>
      <c r="K1078" s="12" t="str">
        <f>HYPERLINK("http://twitter.com","Twitter Web Client")</f>
        <v>Twitter Web Client</v>
      </c>
      <c r="L1078" s="16">
        <v>3</v>
      </c>
      <c r="M1078" s="16">
        <v>28</v>
      </c>
      <c r="N1078" s="16">
        <v>0</v>
      </c>
      <c r="O1078" s="17"/>
      <c r="P1078" s="18">
        <v>41845.34993055556</v>
      </c>
      <c r="Q1078" s="7"/>
      <c r="R1078" s="13"/>
      <c r="S1078" s="8"/>
      <c r="T1078" s="8"/>
      <c r="U1078" s="19" t="str">
        <f>HYPERLINK("https://pbs.twimg.com/profile_images/493446089630969856/P0JHT65D.jpeg","View")</f>
        <v>View</v>
      </c>
      <c r="V1078" s="8"/>
      <c r="W1078" s="8"/>
      <c r="X1078" s="8"/>
      <c r="Y1078" s="8"/>
      <c r="Z1078" s="8"/>
    </row>
    <row r="1079" spans="1:26" ht="12.75">
      <c r="A1079" s="11">
        <v>43746.562951388885</v>
      </c>
      <c r="B1079" s="12" t="str">
        <f>HYPERLINK("https://twitter.com/gasaan434","@gasaan434")</f>
        <v>@gasaan434</v>
      </c>
      <c r="C1079" s="13" t="s">
        <v>6056</v>
      </c>
      <c r="D1079" s="7" t="s">
        <v>1160</v>
      </c>
      <c r="E1079" s="12" t="str">
        <f>HYPERLINK("https://twitter.com/gasaan434/status/1181668247491489792","1181668247491489792")</f>
        <v>1181668247491489792</v>
      </c>
      <c r="F1079" s="8"/>
      <c r="G1079" s="14" t="s">
        <v>6059</v>
      </c>
      <c r="H1079" s="8"/>
      <c r="I1079" s="15">
        <v>0</v>
      </c>
      <c r="J1079" s="15">
        <v>0</v>
      </c>
      <c r="K1079" s="12" t="str">
        <f>HYPERLINK("http://twitter.com","Twitter Web Client")</f>
        <v>Twitter Web Client</v>
      </c>
      <c r="L1079" s="16">
        <v>9</v>
      </c>
      <c r="M1079" s="16">
        <v>31</v>
      </c>
      <c r="N1079" s="16">
        <v>0</v>
      </c>
      <c r="O1079" s="17"/>
      <c r="P1079" s="18">
        <v>42077.299143518518</v>
      </c>
      <c r="Q1079" s="7"/>
      <c r="R1079" s="13"/>
      <c r="S1079" s="8"/>
      <c r="T1079" s="8"/>
      <c r="U1079" s="19" t="str">
        <f>HYPERLINK("https://pbs.twimg.com/profile_images/576747475299491840/Pet-m4wl.jpeg","View")</f>
        <v>View</v>
      </c>
      <c r="V1079" s="8"/>
      <c r="W1079" s="8"/>
      <c r="X1079" s="8"/>
      <c r="Y1079" s="8"/>
      <c r="Z1079" s="8"/>
    </row>
    <row r="1080" spans="1:26" ht="12.75">
      <c r="A1080" s="11">
        <v>43746.561793981484</v>
      </c>
      <c r="B1080" s="12" t="str">
        <f>HYPERLINK("https://twitter.com/rifael26293800","@rifael26293800")</f>
        <v>@rifael26293800</v>
      </c>
      <c r="C1080" s="13" t="s">
        <v>6062</v>
      </c>
      <c r="D1080" s="13" t="s">
        <v>28</v>
      </c>
      <c r="E1080" s="12" t="str">
        <f>HYPERLINK("https://twitter.com/rifael26293800/status/1181667829768060928","1181667829768060928")</f>
        <v>1181667829768060928</v>
      </c>
      <c r="F1080" s="8"/>
      <c r="G1080" s="14" t="s">
        <v>31</v>
      </c>
      <c r="H1080" s="8"/>
      <c r="I1080" s="15">
        <v>0</v>
      </c>
      <c r="J1080" s="15">
        <v>0</v>
      </c>
      <c r="K1080" s="12" t="str">
        <f>HYPERLINK("https://mobile.twitter.com","Twitter Web App")</f>
        <v>Twitter Web App</v>
      </c>
      <c r="L1080" s="16">
        <v>0</v>
      </c>
      <c r="M1080" s="16">
        <v>1</v>
      </c>
      <c r="N1080" s="16">
        <v>0</v>
      </c>
      <c r="O1080" s="17"/>
      <c r="P1080" s="18">
        <v>43744.529837962968</v>
      </c>
      <c r="Q1080" s="8" t="s">
        <v>4714</v>
      </c>
      <c r="R1080" s="8" t="s">
        <v>1495</v>
      </c>
      <c r="S1080" s="8"/>
      <c r="T1080" s="8"/>
      <c r="U1080" s="19" t="str">
        <f>HYPERLINK("https://pbs.twimg.com/profile_images/1180931507193466880/lnCwDTAI.jpg","View")</f>
        <v>View</v>
      </c>
      <c r="V1080" s="8"/>
      <c r="W1080" s="8"/>
      <c r="X1080" s="8"/>
      <c r="Y1080" s="8"/>
      <c r="Z1080" s="8"/>
    </row>
    <row r="1081" spans="1:26" ht="12.75">
      <c r="A1081" s="11">
        <v>43746.561273148152</v>
      </c>
      <c r="B1081" s="12" t="str">
        <f>HYPERLINK("https://twitter.com/alimorshedi5","@alimorshedi5")</f>
        <v>@alimorshedi5</v>
      </c>
      <c r="C1081" s="13" t="s">
        <v>6065</v>
      </c>
      <c r="D1081" s="7" t="s">
        <v>6066</v>
      </c>
      <c r="E1081" s="12" t="str">
        <f>HYPERLINK("https://twitter.com/alimorshedi5/status/1181667639111933952","1181667639111933952")</f>
        <v>1181667639111933952</v>
      </c>
      <c r="F1081" s="8"/>
      <c r="G1081" s="14" t="s">
        <v>6068</v>
      </c>
      <c r="H1081" s="8"/>
      <c r="I1081" s="15">
        <v>0</v>
      </c>
      <c r="J1081" s="15">
        <v>0</v>
      </c>
      <c r="K1081" s="12" t="str">
        <f>HYPERLINK("http://twitter.com","Twitter Web Client")</f>
        <v>Twitter Web Client</v>
      </c>
      <c r="L1081" s="16">
        <v>0</v>
      </c>
      <c r="M1081" s="16">
        <v>36</v>
      </c>
      <c r="N1081" s="16">
        <v>0</v>
      </c>
      <c r="O1081" s="17"/>
      <c r="P1081" s="18">
        <v>42022.588472222225</v>
      </c>
      <c r="Q1081" s="7"/>
      <c r="R1081" s="13"/>
      <c r="S1081" s="8"/>
      <c r="T1081" s="8"/>
      <c r="U1081" s="19" t="str">
        <f>HYPERLINK("https://pbs.twimg.com/profile_images/556936925685088256/mZQ5f5fH.jpeg","View")</f>
        <v>View</v>
      </c>
      <c r="V1081" s="8"/>
      <c r="W1081" s="8"/>
      <c r="X1081" s="8"/>
      <c r="Y1081" s="8"/>
      <c r="Z1081" s="8"/>
    </row>
    <row r="1082" spans="1:26" ht="12.75">
      <c r="A1082" s="11">
        <v>43746.561192129629</v>
      </c>
      <c r="B1082" s="12" t="str">
        <f>HYPERLINK("https://twitter.com/Sabani1Al1997","@Sabani1Al1997")</f>
        <v>@Sabani1Al1997</v>
      </c>
      <c r="C1082" s="13" t="s">
        <v>6070</v>
      </c>
      <c r="D1082" s="7" t="s">
        <v>923</v>
      </c>
      <c r="E1082" s="12" t="str">
        <f>HYPERLINK("https://twitter.com/Sabani1Al1997/status/1181667611219656704","1181667611219656704")</f>
        <v>1181667611219656704</v>
      </c>
      <c r="F1082" s="8"/>
      <c r="G1082" s="14" t="s">
        <v>6073</v>
      </c>
      <c r="H1082" s="8"/>
      <c r="I1082" s="15">
        <v>0</v>
      </c>
      <c r="J1082" s="15">
        <v>0</v>
      </c>
      <c r="K1082" s="12" t="str">
        <f>HYPERLINK("https://mobile.twitter.com","Twitter Web App")</f>
        <v>Twitter Web App</v>
      </c>
      <c r="L1082" s="16">
        <v>1</v>
      </c>
      <c r="M1082" s="16">
        <v>2</v>
      </c>
      <c r="N1082" s="16">
        <v>0</v>
      </c>
      <c r="O1082" s="17"/>
      <c r="P1082" s="18">
        <v>43729.60769675926</v>
      </c>
      <c r="Q1082" s="7" t="s">
        <v>5781</v>
      </c>
      <c r="R1082" s="13" t="s">
        <v>6075</v>
      </c>
      <c r="S1082" s="8"/>
      <c r="T1082" s="8"/>
      <c r="U1082" s="19" t="str">
        <f>HYPERLINK("https://pbs.twimg.com/profile_images/1176981370997891072/Bd6_dV4M.jpg","View")</f>
        <v>View</v>
      </c>
      <c r="V1082" s="8"/>
      <c r="W1082" s="8"/>
      <c r="X1082" s="8"/>
      <c r="Y1082" s="8"/>
      <c r="Z1082" s="8"/>
    </row>
    <row r="1083" spans="1:26" ht="12.75">
      <c r="A1083" s="11">
        <v>43746.560335648144</v>
      </c>
      <c r="B1083" s="12" t="str">
        <f>HYPERLINK("https://twitter.com/fauzfauzansalm1","@fauzfauzansalm1")</f>
        <v>@fauzfauzansalm1</v>
      </c>
      <c r="C1083" s="13" t="s">
        <v>6077</v>
      </c>
      <c r="D1083" s="13" t="s">
        <v>1185</v>
      </c>
      <c r="E1083" s="12" t="str">
        <f>HYPERLINK("https://twitter.com/fauzfauzansalm1/status/1181667299075526656","1181667299075526656")</f>
        <v>1181667299075526656</v>
      </c>
      <c r="F1083" s="8"/>
      <c r="G1083" s="14" t="s">
        <v>6079</v>
      </c>
      <c r="H1083" s="8"/>
      <c r="I1083" s="15">
        <v>0</v>
      </c>
      <c r="J1083" s="15">
        <v>0</v>
      </c>
      <c r="K1083" s="12" t="str">
        <f>HYPERLINK("http://twitter.com","Twitter Web Client")</f>
        <v>Twitter Web Client</v>
      </c>
      <c r="L1083" s="16">
        <v>5</v>
      </c>
      <c r="M1083" s="16">
        <v>34</v>
      </c>
      <c r="N1083" s="16">
        <v>0</v>
      </c>
      <c r="O1083" s="17"/>
      <c r="P1083" s="18">
        <v>42074.26599537037</v>
      </c>
      <c r="Q1083" s="8"/>
      <c r="R1083" s="8"/>
      <c r="S1083" s="8"/>
      <c r="T1083" s="8"/>
      <c r="U1083" s="19" t="str">
        <f>HYPERLINK("https://pbs.twimg.com/profile_images/575648623234449408/6r_AElXy.jpeg","View")</f>
        <v>View</v>
      </c>
      <c r="V1083" s="8"/>
      <c r="W1083" s="8"/>
      <c r="X1083" s="8"/>
      <c r="Y1083" s="8"/>
      <c r="Z1083" s="8"/>
    </row>
    <row r="1084" spans="1:26" ht="12.75">
      <c r="A1084" s="11">
        <v>43746.559918981482</v>
      </c>
      <c r="B1084" s="12" t="str">
        <f>HYPERLINK("https://twitter.com/ahmedha71975926","@ahmedha71975926")</f>
        <v>@ahmedha71975926</v>
      </c>
      <c r="C1084" s="13" t="s">
        <v>6086</v>
      </c>
      <c r="D1084" s="7" t="s">
        <v>6087</v>
      </c>
      <c r="E1084" s="12" t="str">
        <f>HYPERLINK("https://twitter.com/ahmedha71975926/status/1181667151624708099","1181667151624708099")</f>
        <v>1181667151624708099</v>
      </c>
      <c r="F1084" s="8"/>
      <c r="G1084" s="14" t="s">
        <v>6088</v>
      </c>
      <c r="H1084" s="8"/>
      <c r="I1084" s="15">
        <v>0</v>
      </c>
      <c r="J1084" s="15">
        <v>0</v>
      </c>
      <c r="K1084" s="12" t="str">
        <f>HYPERLINK("http://twitter.com","Twitter Web Client")</f>
        <v>Twitter Web Client</v>
      </c>
      <c r="L1084" s="16">
        <v>9</v>
      </c>
      <c r="M1084" s="16">
        <v>43</v>
      </c>
      <c r="N1084" s="16">
        <v>0</v>
      </c>
      <c r="O1084" s="17"/>
      <c r="P1084" s="18">
        <v>42073.159791666665</v>
      </c>
      <c r="Q1084" s="7"/>
      <c r="R1084" s="13"/>
      <c r="S1084" s="8"/>
      <c r="T1084" s="8"/>
      <c r="U1084" s="19" t="str">
        <f>HYPERLINK("https://pbs.twimg.com/profile_images/575247937095122944/AMMYZfbN.jpeg","View")</f>
        <v>View</v>
      </c>
      <c r="V1084" s="8"/>
      <c r="W1084" s="8"/>
      <c r="X1084" s="8"/>
      <c r="Y1084" s="8"/>
      <c r="Z1084" s="8"/>
    </row>
    <row r="1085" spans="1:26" ht="12.75">
      <c r="A1085" s="11">
        <v>43746.559861111113</v>
      </c>
      <c r="B1085" s="12" t="str">
        <f>HYPERLINK("https://twitter.com/Saffar1995","@Saffar1995")</f>
        <v>@Saffar1995</v>
      </c>
      <c r="C1085" s="13" t="s">
        <v>6091</v>
      </c>
      <c r="D1085" s="7" t="s">
        <v>937</v>
      </c>
      <c r="E1085" s="12" t="str">
        <f>HYPERLINK("https://twitter.com/Saffar1995/status/1181667129210228736","1181667129210228736")</f>
        <v>1181667129210228736</v>
      </c>
      <c r="F1085" s="8"/>
      <c r="G1085" s="14" t="s">
        <v>6092</v>
      </c>
      <c r="H1085" s="8"/>
      <c r="I1085" s="15">
        <v>0</v>
      </c>
      <c r="J1085" s="15">
        <v>0</v>
      </c>
      <c r="K1085" s="12" t="str">
        <f>HYPERLINK("https://mobile.twitter.com","Twitter Web App")</f>
        <v>Twitter Web App</v>
      </c>
      <c r="L1085" s="16">
        <v>0</v>
      </c>
      <c r="M1085" s="16">
        <v>2</v>
      </c>
      <c r="N1085" s="16">
        <v>0</v>
      </c>
      <c r="O1085" s="17"/>
      <c r="P1085" s="18">
        <v>43729.590648148151</v>
      </c>
      <c r="Q1085" s="7" t="s">
        <v>5781</v>
      </c>
      <c r="R1085" s="13" t="s">
        <v>5626</v>
      </c>
      <c r="S1085" s="8"/>
      <c r="T1085" s="8"/>
      <c r="U1085" s="19" t="str">
        <f>HYPERLINK("https://pbs.twimg.com/profile_images/1175517793980076032/qnrJnSZ3.jpg","View")</f>
        <v>View</v>
      </c>
      <c r="V1085" s="8"/>
      <c r="W1085" s="8"/>
      <c r="X1085" s="8"/>
      <c r="Y1085" s="8"/>
      <c r="Z1085" s="8"/>
    </row>
    <row r="1086" spans="1:26" ht="12.75">
      <c r="A1086" s="11">
        <v>43746.559791666667</v>
      </c>
      <c r="B1086" s="12" t="str">
        <f>HYPERLINK("https://twitter.com/mosfmosferasma1","@mosfmosferasma1")</f>
        <v>@mosfmosferasma1</v>
      </c>
      <c r="C1086" s="13" t="s">
        <v>6095</v>
      </c>
      <c r="D1086" s="13" t="s">
        <v>1214</v>
      </c>
      <c r="E1086" s="12" t="str">
        <f>HYPERLINK("https://twitter.com/mosfmosferasma1/status/1181667104417812483","1181667104417812483")</f>
        <v>1181667104417812483</v>
      </c>
      <c r="F1086" s="8"/>
      <c r="G1086" s="14" t="s">
        <v>6096</v>
      </c>
      <c r="H1086" s="8"/>
      <c r="I1086" s="15">
        <v>0</v>
      </c>
      <c r="J1086" s="15">
        <v>0</v>
      </c>
      <c r="K1086" s="12" t="str">
        <f>HYPERLINK("http://twitter.com","Twitter Web Client")</f>
        <v>Twitter Web Client</v>
      </c>
      <c r="L1086" s="16">
        <v>2</v>
      </c>
      <c r="M1086" s="16">
        <v>43</v>
      </c>
      <c r="N1086" s="16">
        <v>0</v>
      </c>
      <c r="O1086" s="17"/>
      <c r="P1086" s="18">
        <v>42073.456412037034</v>
      </c>
      <c r="Q1086" s="8"/>
      <c r="R1086" s="8"/>
      <c r="S1086" s="8"/>
      <c r="T1086" s="8"/>
      <c r="U1086" s="19" t="str">
        <f>HYPERLINK("https://pbs.twimg.com/profile_images/575357765029232641/P-qwJrod.jpeg","View")</f>
        <v>View</v>
      </c>
      <c r="V1086" s="8"/>
      <c r="W1086" s="8"/>
      <c r="X1086" s="8"/>
      <c r="Y1086" s="8"/>
      <c r="Z1086" s="8"/>
    </row>
    <row r="1087" spans="1:26" ht="12.75">
      <c r="A1087" s="11">
        <v>43746.559131944443</v>
      </c>
      <c r="B1087" s="12" t="str">
        <f>HYPERLINK("https://twitter.com/ibrahimchaib2","@ibrahimchaib2")</f>
        <v>@ibrahimchaib2</v>
      </c>
      <c r="C1087" s="13" t="s">
        <v>6101</v>
      </c>
      <c r="D1087" s="13" t="s">
        <v>1232</v>
      </c>
      <c r="E1087" s="12" t="str">
        <f>HYPERLINK("https://twitter.com/ibrahimchaib2/status/1181666866521104385","1181666866521104385")</f>
        <v>1181666866521104385</v>
      </c>
      <c r="F1087" s="8"/>
      <c r="G1087" s="14" t="s">
        <v>6102</v>
      </c>
      <c r="H1087" s="8"/>
      <c r="I1087" s="15">
        <v>0</v>
      </c>
      <c r="J1087" s="15">
        <v>0</v>
      </c>
      <c r="K1087" s="12" t="str">
        <f>HYPERLINK("http://twitter.com","Twitter Web Client")</f>
        <v>Twitter Web Client</v>
      </c>
      <c r="L1087" s="16">
        <v>2</v>
      </c>
      <c r="M1087" s="16">
        <v>25</v>
      </c>
      <c r="N1087" s="16">
        <v>0</v>
      </c>
      <c r="O1087" s="17"/>
      <c r="P1087" s="18">
        <v>41827.387488425928</v>
      </c>
      <c r="Q1087" s="8"/>
      <c r="R1087" s="8"/>
      <c r="S1087" s="8"/>
      <c r="T1087" s="8"/>
      <c r="U1087" s="19" t="str">
        <f>HYPERLINK("https://pbs.twimg.com/profile_images/486182809082404865/r1vJ-BKz.jpeg","View")</f>
        <v>View</v>
      </c>
      <c r="V1087" s="8"/>
      <c r="W1087" s="8"/>
      <c r="X1087" s="8"/>
      <c r="Y1087" s="8"/>
      <c r="Z1087" s="8"/>
    </row>
    <row r="1088" spans="1:26" ht="12.75">
      <c r="A1088" s="11">
        <v>43746.558877314819</v>
      </c>
      <c r="B1088" s="12" t="str">
        <f>HYPERLINK("https://twitter.com/Khaiwani3Kndan","@Khaiwani3Kndan")</f>
        <v>@Khaiwani3Kndan</v>
      </c>
      <c r="C1088" s="13" t="s">
        <v>6107</v>
      </c>
      <c r="D1088" s="13" t="s">
        <v>6108</v>
      </c>
      <c r="E1088" s="12" t="str">
        <f>HYPERLINK("https://twitter.com/Khaiwani3Kndan/status/1181666772216434689","1181666772216434689")</f>
        <v>1181666772216434689</v>
      </c>
      <c r="F1088" s="8"/>
      <c r="G1088" s="14" t="s">
        <v>6109</v>
      </c>
      <c r="H1088" s="8"/>
      <c r="I1088" s="15">
        <v>0</v>
      </c>
      <c r="J1088" s="15">
        <v>0</v>
      </c>
      <c r="K1088" s="12" t="str">
        <f>HYPERLINK("http://twitter.com","Twitter Web Client")</f>
        <v>Twitter Web Client</v>
      </c>
      <c r="L1088" s="16">
        <v>2</v>
      </c>
      <c r="M1088" s="16">
        <v>37</v>
      </c>
      <c r="N1088" s="16">
        <v>0</v>
      </c>
      <c r="O1088" s="17"/>
      <c r="P1088" s="18">
        <v>42069.581365740742</v>
      </c>
      <c r="Q1088" s="8"/>
      <c r="R1088" s="8"/>
      <c r="S1088" s="8"/>
      <c r="T1088" s="8"/>
      <c r="U1088" s="19" t="str">
        <f>HYPERLINK("https://pbs.twimg.com/profile_images/573983529777819648/3YI8QIax.jpeg","View")</f>
        <v>View</v>
      </c>
      <c r="V1088" s="8"/>
      <c r="W1088" s="8"/>
      <c r="X1088" s="8"/>
      <c r="Y1088" s="8"/>
      <c r="Z1088" s="8"/>
    </row>
    <row r="1089" spans="1:26" ht="12.75">
      <c r="A1089" s="11">
        <v>43746.558634259258</v>
      </c>
      <c r="B1089" s="12" t="str">
        <f>HYPERLINK("https://twitter.com/NorthbankTalent","@NorthbankTalent")</f>
        <v>@NorthbankTalent</v>
      </c>
      <c r="C1089" s="13" t="s">
        <v>6110</v>
      </c>
      <c r="D1089" s="13" t="s">
        <v>6111</v>
      </c>
      <c r="E1089" s="12" t="str">
        <f>HYPERLINK("https://twitter.com/NorthbankTalent/status/1181666683695616000","1181666683695616000")</f>
        <v>1181666683695616000</v>
      </c>
      <c r="F1089" s="8"/>
      <c r="G1089" s="14" t="s">
        <v>6112</v>
      </c>
      <c r="H1089" s="8"/>
      <c r="I1089" s="15">
        <v>0</v>
      </c>
      <c r="J1089" s="15">
        <v>6</v>
      </c>
      <c r="K1089" s="12" t="str">
        <f>HYPERLINK("http://twitter.com/download/iphone","Twitter for iPhone")</f>
        <v>Twitter for iPhone</v>
      </c>
      <c r="L1089" s="16">
        <v>4196</v>
      </c>
      <c r="M1089" s="16">
        <v>2510</v>
      </c>
      <c r="N1089" s="16">
        <v>138</v>
      </c>
      <c r="O1089" s="17"/>
      <c r="P1089" s="18">
        <v>39988.000416666662</v>
      </c>
      <c r="Q1089" s="7" t="s">
        <v>6115</v>
      </c>
      <c r="R1089" s="13" t="s">
        <v>6116</v>
      </c>
      <c r="S1089" s="14" t="s">
        <v>6117</v>
      </c>
      <c r="T1089" s="8"/>
      <c r="U1089" s="19" t="str">
        <f>HYPERLINK("https://pbs.twimg.com/profile_images/1002064195301625856/UYuQzn9P.jpg","View")</f>
        <v>View</v>
      </c>
      <c r="V1089" s="8"/>
      <c r="W1089" s="8"/>
      <c r="X1089" s="8"/>
      <c r="Y1089" s="8"/>
      <c r="Z1089" s="8"/>
    </row>
    <row r="1090" spans="1:26" ht="12.75">
      <c r="A1090" s="11">
        <v>43746.55768518518</v>
      </c>
      <c r="B1090" s="12" t="str">
        <f>HYPERLINK("https://twitter.com/NesserinQ","@NesserinQ")</f>
        <v>@NesserinQ</v>
      </c>
      <c r="C1090" s="13" t="s">
        <v>6119</v>
      </c>
      <c r="D1090" s="7" t="s">
        <v>6121</v>
      </c>
      <c r="E1090" s="12" t="str">
        <f>HYPERLINK("https://twitter.com/NesserinQ/status/1181666339636830219","1181666339636830219")</f>
        <v>1181666339636830219</v>
      </c>
      <c r="F1090" s="8"/>
      <c r="G1090" s="14" t="s">
        <v>6122</v>
      </c>
      <c r="H1090" s="8"/>
      <c r="I1090" s="15">
        <v>0</v>
      </c>
      <c r="J1090" s="15">
        <v>0</v>
      </c>
      <c r="K1090" s="12" t="str">
        <f>HYPERLINK("http://twitter.com/download/iphone","Twitter for iPhone")</f>
        <v>Twitter for iPhone</v>
      </c>
      <c r="L1090" s="16">
        <v>209</v>
      </c>
      <c r="M1090" s="16">
        <v>27</v>
      </c>
      <c r="N1090" s="16">
        <v>2</v>
      </c>
      <c r="O1090" s="17"/>
      <c r="P1090" s="18">
        <v>43207.720277777778</v>
      </c>
      <c r="Q1090" s="7" t="s">
        <v>6125</v>
      </c>
      <c r="R1090" s="13"/>
      <c r="S1090" s="8"/>
      <c r="T1090" s="8"/>
      <c r="U1090" s="19" t="str">
        <f>HYPERLINK("https://pbs.twimg.com/profile_images/1076151522789085185/fmucGUgo.jpg","View")</f>
        <v>View</v>
      </c>
      <c r="V1090" s="8"/>
      <c r="W1090" s="8"/>
      <c r="X1090" s="8"/>
      <c r="Y1090" s="8"/>
      <c r="Z1090" s="8"/>
    </row>
    <row r="1091" spans="1:26" ht="12.75">
      <c r="A1091" s="11">
        <v>43746.557499999995</v>
      </c>
      <c r="B1091" s="12" t="str">
        <f>HYPERLINK("https://twitter.com/NewKhalij","@NewKhalij")</f>
        <v>@NewKhalij</v>
      </c>
      <c r="C1091" s="13" t="s">
        <v>6127</v>
      </c>
      <c r="D1091" s="13" t="s">
        <v>6128</v>
      </c>
      <c r="E1091" s="12" t="str">
        <f>HYPERLINK("https://twitter.com/NewKhalij/status/1181666275325550592","1181666275325550592")</f>
        <v>1181666275325550592</v>
      </c>
      <c r="F1091" s="14" t="s">
        <v>6129</v>
      </c>
      <c r="G1091" s="15"/>
      <c r="H1091" s="8"/>
      <c r="I1091" s="15">
        <v>3</v>
      </c>
      <c r="J1091" s="15">
        <v>2</v>
      </c>
      <c r="K1091" s="12" t="str">
        <f>HYPERLINK("https://www.hootsuite.com","Hootsuite Inc.")</f>
        <v>Hootsuite Inc.</v>
      </c>
      <c r="L1091" s="16">
        <v>357382</v>
      </c>
      <c r="M1091" s="16">
        <v>3</v>
      </c>
      <c r="N1091" s="16">
        <v>622</v>
      </c>
      <c r="O1091" s="17"/>
      <c r="P1091" s="18">
        <v>40740.307025462964</v>
      </c>
      <c r="Q1091" s="8"/>
      <c r="R1091" s="8" t="s">
        <v>6132</v>
      </c>
      <c r="S1091" s="14" t="s">
        <v>6133</v>
      </c>
      <c r="T1091" s="8"/>
      <c r="U1091" s="19" t="str">
        <f>HYPERLINK("https://pbs.twimg.com/profile_images/1106619857154510849/gLp2VRw3.jpg","View")</f>
        <v>View</v>
      </c>
      <c r="V1091" s="8"/>
      <c r="W1091" s="8"/>
      <c r="X1091" s="8"/>
      <c r="Y1091" s="8"/>
      <c r="Z1091" s="8"/>
    </row>
    <row r="1092" spans="1:26" ht="12.75">
      <c r="A1092" s="11">
        <v>43746.556469907402</v>
      </c>
      <c r="B1092" s="12" t="str">
        <f>HYPERLINK("https://twitter.com/SalemMubarak202","@SalemMubarak202")</f>
        <v>@SalemMubarak202</v>
      </c>
      <c r="C1092" s="13" t="s">
        <v>6138</v>
      </c>
      <c r="D1092" s="13" t="s">
        <v>952</v>
      </c>
      <c r="E1092" s="12" t="str">
        <f>HYPERLINK("https://twitter.com/SalemMubarak202/status/1181665901113823233","1181665901113823233")</f>
        <v>1181665901113823233</v>
      </c>
      <c r="F1092" s="8"/>
      <c r="G1092" s="14" t="s">
        <v>6139</v>
      </c>
      <c r="H1092" s="8"/>
      <c r="I1092" s="15">
        <v>0</v>
      </c>
      <c r="J1092" s="15">
        <v>0</v>
      </c>
      <c r="K1092" s="12" t="str">
        <f>HYPERLINK("https://mobile.twitter.com","Twitter Web App")</f>
        <v>Twitter Web App</v>
      </c>
      <c r="L1092" s="16">
        <v>0</v>
      </c>
      <c r="M1092" s="16">
        <v>2</v>
      </c>
      <c r="N1092" s="16">
        <v>0</v>
      </c>
      <c r="O1092" s="17"/>
      <c r="P1092" s="18">
        <v>43729.587905092594</v>
      </c>
      <c r="Q1092" s="8" t="s">
        <v>1249</v>
      </c>
      <c r="R1092" s="8" t="s">
        <v>6075</v>
      </c>
      <c r="S1092" s="8"/>
      <c r="T1092" s="8"/>
      <c r="U1092" s="19" t="str">
        <f>HYPERLINK("https://pbs.twimg.com/profile_images/1176196768523907074/M3yDDRxP.jpg","View")</f>
        <v>View</v>
      </c>
      <c r="V1092" s="8"/>
      <c r="W1092" s="8"/>
      <c r="X1092" s="8"/>
      <c r="Y1092" s="8"/>
      <c r="Z1092" s="8"/>
    </row>
    <row r="1093" spans="1:26" ht="12.75">
      <c r="A1093" s="11">
        <v>43746.556250000001</v>
      </c>
      <c r="B1093" s="12" t="str">
        <f>HYPERLINK("https://twitter.com/aliyyaal1","@aliyyaal1")</f>
        <v>@aliyyaal1</v>
      </c>
      <c r="C1093" s="13" t="s">
        <v>6143</v>
      </c>
      <c r="D1093" s="13" t="s">
        <v>968</v>
      </c>
      <c r="E1093" s="12" t="str">
        <f>HYPERLINK("https://twitter.com/aliyyaal1/status/1181665821556269056","1181665821556269056")</f>
        <v>1181665821556269056</v>
      </c>
      <c r="F1093" s="8"/>
      <c r="G1093" s="14" t="s">
        <v>6144</v>
      </c>
      <c r="H1093" s="8"/>
      <c r="I1093" s="15">
        <v>0</v>
      </c>
      <c r="J1093" s="15">
        <v>0</v>
      </c>
      <c r="K1093" s="12" t="str">
        <f>HYPERLINK("https://mobile.twitter.com","Twitter Web App")</f>
        <v>Twitter Web App</v>
      </c>
      <c r="L1093" s="16">
        <v>0</v>
      </c>
      <c r="M1093" s="16">
        <v>1</v>
      </c>
      <c r="N1093" s="16">
        <v>0</v>
      </c>
      <c r="O1093" s="17"/>
      <c r="P1093" s="18">
        <v>43744.495104166665</v>
      </c>
      <c r="Q1093" s="8" t="s">
        <v>4714</v>
      </c>
      <c r="R1093" s="8" t="s">
        <v>2512</v>
      </c>
      <c r="S1093" s="8"/>
      <c r="T1093" s="8"/>
      <c r="U1093" s="19" t="str">
        <f>HYPERLINK("https://pbs.twimg.com/profile_images/1180918909530079232/6Wsw4IUE.jpg","View")</f>
        <v>View</v>
      </c>
      <c r="V1093" s="8"/>
      <c r="W1093" s="8"/>
      <c r="X1093" s="8"/>
      <c r="Y1093" s="8"/>
      <c r="Z1093" s="8"/>
    </row>
    <row r="1094" spans="1:26" ht="12.75">
      <c r="A1094" s="11">
        <v>43746.555312500001</v>
      </c>
      <c r="B1094" s="12" t="str">
        <f>HYPERLINK("https://twitter.com/StamNayef","@StamNayef")</f>
        <v>@StamNayef</v>
      </c>
      <c r="C1094" s="13" t="s">
        <v>6148</v>
      </c>
      <c r="D1094" s="13" t="s">
        <v>6149</v>
      </c>
      <c r="E1094" s="12" t="str">
        <f>HYPERLINK("https://twitter.com/StamNayef/status/1181665481092206592","1181665481092206592")</f>
        <v>1181665481092206592</v>
      </c>
      <c r="F1094" s="8"/>
      <c r="G1094" s="14" t="s">
        <v>6150</v>
      </c>
      <c r="H1094" s="8"/>
      <c r="I1094" s="15">
        <v>0</v>
      </c>
      <c r="J1094" s="15">
        <v>0</v>
      </c>
      <c r="K1094" s="12" t="str">
        <f>HYPERLINK("http://twitter.com","Twitter Web Client")</f>
        <v>Twitter Web Client</v>
      </c>
      <c r="L1094" s="16">
        <v>1</v>
      </c>
      <c r="M1094" s="16">
        <v>36</v>
      </c>
      <c r="N1094" s="16">
        <v>0</v>
      </c>
      <c r="O1094" s="17"/>
      <c r="P1094" s="18">
        <v>42022.643564814818</v>
      </c>
      <c r="Q1094" s="7"/>
      <c r="R1094" s="13"/>
      <c r="S1094" s="8"/>
      <c r="T1094" s="8"/>
      <c r="U1094" s="19" t="str">
        <f>HYPERLINK("https://pbs.twimg.com/profile_images/556960001214799872/moCjupp4.jpeg","View")</f>
        <v>View</v>
      </c>
      <c r="V1094" s="8"/>
      <c r="W1094" s="8"/>
      <c r="X1094" s="8"/>
      <c r="Y1094" s="8"/>
      <c r="Z1094" s="8"/>
    </row>
    <row r="1095" spans="1:26" ht="12.75">
      <c r="A1095" s="11">
        <v>43746.554537037038</v>
      </c>
      <c r="B1095" s="12" t="str">
        <f>HYPERLINK("https://twitter.com/HamdanElfada","@HamdanElfada")</f>
        <v>@HamdanElfada</v>
      </c>
      <c r="C1095" s="13" t="s">
        <v>6155</v>
      </c>
      <c r="D1095" s="13" t="s">
        <v>6156</v>
      </c>
      <c r="E1095" s="12" t="str">
        <f>HYPERLINK("https://twitter.com/HamdanElfada/status/1181665200455524352","1181665200455524352")</f>
        <v>1181665200455524352</v>
      </c>
      <c r="F1095" s="8"/>
      <c r="G1095" s="14" t="s">
        <v>6157</v>
      </c>
      <c r="H1095" s="8"/>
      <c r="I1095" s="15">
        <v>0</v>
      </c>
      <c r="J1095" s="15">
        <v>0</v>
      </c>
      <c r="K1095" s="12" t="str">
        <f>HYPERLINK("http://twitter.com","Twitter Web Client")</f>
        <v>Twitter Web Client</v>
      </c>
      <c r="L1095" s="16">
        <v>6</v>
      </c>
      <c r="M1095" s="16">
        <v>49</v>
      </c>
      <c r="N1095" s="16">
        <v>0</v>
      </c>
      <c r="O1095" s="17"/>
      <c r="P1095" s="18">
        <v>41972.84306712963</v>
      </c>
      <c r="Q1095" s="8"/>
      <c r="R1095" s="8"/>
      <c r="S1095" s="8"/>
      <c r="T1095" s="8"/>
      <c r="U1095" s="19" t="str">
        <f>HYPERLINK("https://pbs.twimg.com/profile_images/538908974762831872/OiidDDvn.jpeg","View")</f>
        <v>View</v>
      </c>
      <c r="V1095" s="8"/>
      <c r="W1095" s="8"/>
      <c r="X1095" s="8"/>
      <c r="Y1095" s="8"/>
      <c r="Z1095" s="8"/>
    </row>
    <row r="1096" spans="1:26" ht="12.75">
      <c r="A1096" s="11">
        <v>43746.554259259261</v>
      </c>
      <c r="B1096" s="12" t="str">
        <f>HYPERLINK("https://twitter.com/husseinalbaltsh","@husseinalbaltsh")</f>
        <v>@husseinalbaltsh</v>
      </c>
      <c r="C1096" s="13" t="s">
        <v>6160</v>
      </c>
      <c r="D1096" s="7" t="s">
        <v>1293</v>
      </c>
      <c r="E1096" s="12" t="str">
        <f>HYPERLINK("https://twitter.com/husseinalbaltsh/status/1181665097372094464","1181665097372094464")</f>
        <v>1181665097372094464</v>
      </c>
      <c r="F1096" s="8"/>
      <c r="G1096" s="14" t="s">
        <v>6161</v>
      </c>
      <c r="H1096" s="8"/>
      <c r="I1096" s="15">
        <v>0</v>
      </c>
      <c r="J1096" s="15">
        <v>0</v>
      </c>
      <c r="K1096" s="12" t="str">
        <f>HYPERLINK("http://twitter.com","Twitter Web Client")</f>
        <v>Twitter Web Client</v>
      </c>
      <c r="L1096" s="16">
        <v>0</v>
      </c>
      <c r="M1096" s="16">
        <v>38</v>
      </c>
      <c r="N1096" s="16">
        <v>0</v>
      </c>
      <c r="O1096" s="17"/>
      <c r="P1096" s="18">
        <v>41848.166655092595</v>
      </c>
      <c r="Q1096" s="7"/>
      <c r="R1096" s="13"/>
      <c r="S1096" s="8"/>
      <c r="T1096" s="8"/>
      <c r="U1096" s="19" t="str">
        <f>HYPERLINK("https://pbs.twimg.com/profile_images/493713180124663808/bFCFhH_M.jpeg","View")</f>
        <v>View</v>
      </c>
      <c r="V1096" s="8"/>
      <c r="W1096" s="8"/>
      <c r="X1096" s="8"/>
      <c r="Y1096" s="8"/>
      <c r="Z1096" s="8"/>
    </row>
    <row r="1097" spans="1:26" ht="12.75">
      <c r="A1097" s="11">
        <v>43746.553402777776</v>
      </c>
      <c r="B1097" s="12" t="str">
        <f>HYPERLINK("https://twitter.com/saadshaddad2","@saadshaddad2")</f>
        <v>@saadshaddad2</v>
      </c>
      <c r="C1097" s="13" t="s">
        <v>6166</v>
      </c>
      <c r="D1097" s="7" t="s">
        <v>1178</v>
      </c>
      <c r="E1097" s="12" t="str">
        <f>HYPERLINK("https://twitter.com/saadshaddad2/status/1181664790415962112","1181664790415962112")</f>
        <v>1181664790415962112</v>
      </c>
      <c r="F1097" s="8"/>
      <c r="G1097" s="14" t="s">
        <v>6167</v>
      </c>
      <c r="H1097" s="8"/>
      <c r="I1097" s="15">
        <v>0</v>
      </c>
      <c r="J1097" s="15">
        <v>0</v>
      </c>
      <c r="K1097" s="12" t="str">
        <f>HYPERLINK("https://mobile.twitter.com","Twitter Web App")</f>
        <v>Twitter Web App</v>
      </c>
      <c r="L1097" s="16">
        <v>0</v>
      </c>
      <c r="M1097" s="16">
        <v>2</v>
      </c>
      <c r="N1097" s="16">
        <v>0</v>
      </c>
      <c r="O1097" s="17"/>
      <c r="P1097" s="18">
        <v>43729.5628587963</v>
      </c>
      <c r="Q1097" s="7" t="s">
        <v>1192</v>
      </c>
      <c r="R1097" s="13" t="s">
        <v>5586</v>
      </c>
      <c r="S1097" s="8"/>
      <c r="T1097" s="8"/>
      <c r="U1097" s="19" t="str">
        <f>HYPERLINK("https://pbs.twimg.com/profile_images/1179077691535872000/LrTvIxfX.jpg","View")</f>
        <v>View</v>
      </c>
      <c r="V1097" s="8"/>
      <c r="W1097" s="8"/>
      <c r="X1097" s="8"/>
      <c r="Y1097" s="8"/>
      <c r="Z1097" s="8"/>
    </row>
    <row r="1098" spans="1:26" ht="12.75">
      <c r="A1098" s="11">
        <v>43746.553067129629</v>
      </c>
      <c r="B1098" s="12" t="str">
        <f>HYPERLINK("https://twitter.com/MohammedAli9652","@MohammedAli9652")</f>
        <v>@MohammedAli9652</v>
      </c>
      <c r="C1098" s="13" t="s">
        <v>6171</v>
      </c>
      <c r="D1098" s="13" t="s">
        <v>1304</v>
      </c>
      <c r="E1098" s="12" t="str">
        <f>HYPERLINK("https://twitter.com/MohammedAli9652/status/1181664665497210882","1181664665497210882")</f>
        <v>1181664665497210882</v>
      </c>
      <c r="F1098" s="8"/>
      <c r="G1098" s="14" t="s">
        <v>6172</v>
      </c>
      <c r="H1098" s="8"/>
      <c r="I1098" s="15">
        <v>0</v>
      </c>
      <c r="J1098" s="15">
        <v>0</v>
      </c>
      <c r="K1098" s="12" t="str">
        <f>HYPERLINK("http://twitter.com","Twitter Web Client")</f>
        <v>Twitter Web Client</v>
      </c>
      <c r="L1098" s="16">
        <v>1</v>
      </c>
      <c r="M1098" s="16">
        <v>36</v>
      </c>
      <c r="N1098" s="16">
        <v>0</v>
      </c>
      <c r="O1098" s="17"/>
      <c r="P1098" s="18">
        <v>42268.093993055554</v>
      </c>
      <c r="Q1098" s="8"/>
      <c r="R1098" s="8"/>
      <c r="S1098" s="8"/>
      <c r="T1098" s="8"/>
      <c r="U1098" s="19" t="str">
        <f>HYPERLINK("https://pbs.twimg.com/profile_images/646179469263134720/1qQ3zOLz.jpg","View")</f>
        <v>View</v>
      </c>
      <c r="V1098" s="8"/>
      <c r="W1098" s="8"/>
      <c r="X1098" s="8"/>
      <c r="Y1098" s="8"/>
      <c r="Z1098" s="8"/>
    </row>
    <row r="1099" spans="1:26" ht="12.75">
      <c r="A1099" s="11">
        <v>43746.552939814814</v>
      </c>
      <c r="B1099" s="12" t="str">
        <f>HYPERLINK("https://twitter.com/alkaliliiee45","@alkaliliiee45")</f>
        <v>@alkaliliiee45</v>
      </c>
      <c r="C1099" s="13" t="s">
        <v>6174</v>
      </c>
      <c r="D1099" s="13" t="s">
        <v>6175</v>
      </c>
      <c r="E1099" s="12" t="str">
        <f>HYPERLINK("https://twitter.com/alkaliliiee45/status/1181664620764893186","1181664620764893186")</f>
        <v>1181664620764893186</v>
      </c>
      <c r="F1099" s="8"/>
      <c r="G1099" s="14" t="s">
        <v>6178</v>
      </c>
      <c r="H1099" s="8"/>
      <c r="I1099" s="15">
        <v>0</v>
      </c>
      <c r="J1099" s="15">
        <v>0</v>
      </c>
      <c r="K1099" s="12" t="str">
        <f>HYPERLINK("http://twitter.com","Twitter Web Client")</f>
        <v>Twitter Web Client</v>
      </c>
      <c r="L1099" s="16">
        <v>3</v>
      </c>
      <c r="M1099" s="16">
        <v>38</v>
      </c>
      <c r="N1099" s="16">
        <v>0</v>
      </c>
      <c r="O1099" s="17"/>
      <c r="P1099" s="18">
        <v>42074.51762731481</v>
      </c>
      <c r="Q1099" s="8"/>
      <c r="R1099" s="8"/>
      <c r="S1099" s="8"/>
      <c r="T1099" s="8"/>
      <c r="U1099" s="19" t="str">
        <f>HYPERLINK("https://pbs.twimg.com/profile_images/575739479157157888/uG1zBwBr.jpeg","View")</f>
        <v>View</v>
      </c>
      <c r="V1099" s="8"/>
      <c r="W1099" s="8"/>
      <c r="X1099" s="8"/>
      <c r="Y1099" s="8"/>
      <c r="Z1099" s="8"/>
    </row>
    <row r="1100" spans="1:26" ht="12.75">
      <c r="A1100" s="11">
        <v>43746.552928240737</v>
      </c>
      <c r="B1100" s="12" t="str">
        <f>HYPERLINK("https://twitter.com/AdamAdeel2","@AdamAdeel2")</f>
        <v>@AdamAdeel2</v>
      </c>
      <c r="C1100" s="7" t="s">
        <v>6181</v>
      </c>
      <c r="D1100" s="7" t="s">
        <v>968</v>
      </c>
      <c r="E1100" s="12" t="str">
        <f>HYPERLINK("https://twitter.com/AdamAdeel2/status/1181664618084593664","1181664618084593664")</f>
        <v>1181664618084593664</v>
      </c>
      <c r="F1100" s="15"/>
      <c r="G1100" s="14" t="s">
        <v>6184</v>
      </c>
      <c r="H1100" s="8"/>
      <c r="I1100" s="15">
        <v>0</v>
      </c>
      <c r="J1100" s="15">
        <v>0</v>
      </c>
      <c r="K1100" s="12" t="str">
        <f>HYPERLINK("https://mobile.twitter.com","Twitter Web App")</f>
        <v>Twitter Web App</v>
      </c>
      <c r="L1100" s="16">
        <v>0</v>
      </c>
      <c r="M1100" s="16">
        <v>1</v>
      </c>
      <c r="N1100" s="16">
        <v>0</v>
      </c>
      <c r="O1100" s="20"/>
      <c r="P1100" s="18">
        <v>43730.004189814819</v>
      </c>
      <c r="Q1100" s="7" t="s">
        <v>1379</v>
      </c>
      <c r="R1100" s="7" t="s">
        <v>1110</v>
      </c>
      <c r="S1100" s="15"/>
      <c r="T1100" s="8"/>
      <c r="U1100" s="19" t="str">
        <f>HYPERLINK("https://pbs.twimg.com/profile_images/1175667955205435392/bvxGuUNf.jpg","View")</f>
        <v>View</v>
      </c>
      <c r="V1100" s="8"/>
      <c r="W1100" s="8"/>
      <c r="X1100" s="8"/>
      <c r="Y1100" s="8"/>
      <c r="Z1100" s="8"/>
    </row>
    <row r="1101" spans="1:26" ht="12.75">
      <c r="A1101" s="11">
        <v>43746.552916666667</v>
      </c>
      <c r="B1101" s="12" t="str">
        <f>HYPERLINK("https://twitter.com/khalifasal2","@khalifasal2")</f>
        <v>@khalifasal2</v>
      </c>
      <c r="C1101" s="13" t="s">
        <v>6185</v>
      </c>
      <c r="D1101" s="13" t="s">
        <v>907</v>
      </c>
      <c r="E1101" s="12" t="str">
        <f>HYPERLINK("https://twitter.com/khalifasal2/status/1181664613487669248","1181664613487669248")</f>
        <v>1181664613487669248</v>
      </c>
      <c r="F1101" s="8"/>
      <c r="G1101" s="14" t="s">
        <v>6186</v>
      </c>
      <c r="H1101" s="8"/>
      <c r="I1101" s="15">
        <v>0</v>
      </c>
      <c r="J1101" s="15">
        <v>0</v>
      </c>
      <c r="K1101" s="12" t="str">
        <f>HYPERLINK("https://mobile.twitter.com","Twitter Web App")</f>
        <v>Twitter Web App</v>
      </c>
      <c r="L1101" s="16">
        <v>0</v>
      </c>
      <c r="M1101" s="16">
        <v>2</v>
      </c>
      <c r="N1101" s="16">
        <v>0</v>
      </c>
      <c r="O1101" s="17"/>
      <c r="P1101" s="18">
        <v>43729.553912037038</v>
      </c>
      <c r="Q1101" s="8" t="s">
        <v>5781</v>
      </c>
      <c r="R1101" s="8" t="s">
        <v>5586</v>
      </c>
      <c r="S1101" s="8"/>
      <c r="T1101" s="8"/>
      <c r="U1101" s="19" t="str">
        <f>HYPERLINK("https://pbs.twimg.com/profile_images/1179077612729065472/UfgxJUwV.jpg","View")</f>
        <v>View</v>
      </c>
      <c r="V1101" s="8"/>
      <c r="W1101" s="8"/>
      <c r="X1101" s="8"/>
      <c r="Y1101" s="8"/>
      <c r="Z1101" s="8"/>
    </row>
    <row r="1102" spans="1:26" ht="12.75">
      <c r="A1102" s="11">
        <v>43746.552812499998</v>
      </c>
      <c r="B1102" s="12" t="str">
        <f>HYPERLINK("https://twitter.com/alimous90191668","@alimous90191668")</f>
        <v>@alimous90191668</v>
      </c>
      <c r="C1102" s="13" t="s">
        <v>6187</v>
      </c>
      <c r="D1102" s="13" t="s">
        <v>6188</v>
      </c>
      <c r="E1102" s="12" t="str">
        <f>HYPERLINK("https://twitter.com/alimous90191668/status/1181664573935501319","1181664573935501319")</f>
        <v>1181664573935501319</v>
      </c>
      <c r="F1102" s="8"/>
      <c r="G1102" s="14" t="s">
        <v>6189</v>
      </c>
      <c r="H1102" s="8"/>
      <c r="I1102" s="15">
        <v>0</v>
      </c>
      <c r="J1102" s="15">
        <v>0</v>
      </c>
      <c r="K1102" s="12" t="str">
        <f>HYPERLINK("http://twitter.com","Twitter Web Client")</f>
        <v>Twitter Web Client</v>
      </c>
      <c r="L1102" s="16">
        <v>3</v>
      </c>
      <c r="M1102" s="16">
        <v>42</v>
      </c>
      <c r="N1102" s="16">
        <v>0</v>
      </c>
      <c r="O1102" s="17"/>
      <c r="P1102" s="18">
        <v>42071.23819444445</v>
      </c>
      <c r="Q1102" s="8"/>
      <c r="R1102" s="8"/>
      <c r="S1102" s="8"/>
      <c r="T1102" s="8"/>
      <c r="U1102" s="19" t="str">
        <f>HYPERLINK("https://pbs.twimg.com/profile_images/574551144933945344/tsfX-06s.jpeg","View")</f>
        <v>View</v>
      </c>
      <c r="V1102" s="8"/>
      <c r="W1102" s="8"/>
      <c r="X1102" s="8"/>
      <c r="Y1102" s="8"/>
      <c r="Z1102" s="8"/>
    </row>
    <row r="1103" spans="1:26" ht="12.75">
      <c r="A1103" s="11">
        <v>43746.55268518519</v>
      </c>
      <c r="B1103" s="12" t="str">
        <f>HYPERLINK("https://twitter.com/nassersaaedi","@nassersaaedi")</f>
        <v>@nassersaaedi</v>
      </c>
      <c r="C1103" s="13" t="s">
        <v>6193</v>
      </c>
      <c r="D1103" s="13" t="s">
        <v>6194</v>
      </c>
      <c r="E1103" s="12" t="str">
        <f>HYPERLINK("https://twitter.com/nassersaaedi/status/1181664528553140227","1181664528553140227")</f>
        <v>1181664528553140227</v>
      </c>
      <c r="F1103" s="8"/>
      <c r="G1103" s="14" t="s">
        <v>6196</v>
      </c>
      <c r="H1103" s="8"/>
      <c r="I1103" s="15">
        <v>0</v>
      </c>
      <c r="J1103" s="15">
        <v>0</v>
      </c>
      <c r="K1103" s="12" t="str">
        <f>HYPERLINK("http://twitter.com","Twitter Web Client")</f>
        <v>Twitter Web Client</v>
      </c>
      <c r="L1103" s="16">
        <v>0</v>
      </c>
      <c r="M1103" s="16">
        <v>42</v>
      </c>
      <c r="N1103" s="16">
        <v>0</v>
      </c>
      <c r="O1103" s="17"/>
      <c r="P1103" s="18">
        <v>42075.590879629628</v>
      </c>
      <c r="Q1103" s="7"/>
      <c r="R1103" s="13"/>
      <c r="S1103" s="8"/>
      <c r="T1103" s="8"/>
      <c r="U1103" s="19" t="str">
        <f>HYPERLINK("https://pbs.twimg.com/profile_images/576130816171872258/3oIHouUD.jpeg","View")</f>
        <v>View</v>
      </c>
      <c r="V1103" s="8"/>
      <c r="W1103" s="8"/>
      <c r="X1103" s="8"/>
      <c r="Y1103" s="8"/>
      <c r="Z1103" s="8"/>
    </row>
    <row r="1104" spans="1:26" ht="12.75">
      <c r="A1104" s="11">
        <v>43746.552418981482</v>
      </c>
      <c r="B1104" s="12" t="str">
        <f>HYPERLINK("https://twitter.com/moukhled4","@moukhled4")</f>
        <v>@moukhled4</v>
      </c>
      <c r="C1104" s="13" t="s">
        <v>6201</v>
      </c>
      <c r="D1104" s="13" t="s">
        <v>1236</v>
      </c>
      <c r="E1104" s="12" t="str">
        <f>HYPERLINK("https://twitter.com/moukhled4/status/1181664433799479297","1181664433799479297")</f>
        <v>1181664433799479297</v>
      </c>
      <c r="F1104" s="8"/>
      <c r="G1104" s="14" t="s">
        <v>6202</v>
      </c>
      <c r="H1104" s="8"/>
      <c r="I1104" s="15">
        <v>0</v>
      </c>
      <c r="J1104" s="15">
        <v>0</v>
      </c>
      <c r="K1104" s="12" t="str">
        <f>HYPERLINK("http://twitter.com","Twitter Web Client")</f>
        <v>Twitter Web Client</v>
      </c>
      <c r="L1104" s="16">
        <v>0</v>
      </c>
      <c r="M1104" s="16">
        <v>0</v>
      </c>
      <c r="N1104" s="16">
        <v>0</v>
      </c>
      <c r="O1104" s="17"/>
      <c r="P1104" s="18">
        <v>43729.507407407407</v>
      </c>
      <c r="Q1104" s="8" t="s">
        <v>5781</v>
      </c>
      <c r="R1104" s="8" t="s">
        <v>6206</v>
      </c>
      <c r="S1104" s="8"/>
      <c r="T1104" s="8"/>
      <c r="U1104" s="19" t="str">
        <f>HYPERLINK("https://pbs.twimg.com/profile_images/1175827006962851840/wFv8j7wG.png","View")</f>
        <v>View</v>
      </c>
      <c r="V1104" s="8"/>
      <c r="W1104" s="8"/>
      <c r="X1104" s="8"/>
      <c r="Y1104" s="8"/>
      <c r="Z1104" s="8"/>
    </row>
    <row r="1105" spans="1:26" ht="12.75">
      <c r="A1105" s="11">
        <v>43746.55232638889</v>
      </c>
      <c r="B1105" s="12" t="str">
        <f>HYPERLINK("https://twitter.com/AbulFadl5","@AbulFadl5")</f>
        <v>@AbulFadl5</v>
      </c>
      <c r="C1105" s="13" t="s">
        <v>6207</v>
      </c>
      <c r="D1105" s="7" t="s">
        <v>1030</v>
      </c>
      <c r="E1105" s="12" t="str">
        <f>HYPERLINK("https://twitter.com/AbulFadl5/status/1181664397762019328","1181664397762019328")</f>
        <v>1181664397762019328</v>
      </c>
      <c r="F1105" s="8"/>
      <c r="G1105" s="14" t="s">
        <v>6209</v>
      </c>
      <c r="H1105" s="8"/>
      <c r="I1105" s="15">
        <v>0</v>
      </c>
      <c r="J1105" s="15">
        <v>0</v>
      </c>
      <c r="K1105" s="12" t="str">
        <f>HYPERLINK("https://mobile.twitter.com","Twitter Web App")</f>
        <v>Twitter Web App</v>
      </c>
      <c r="L1105" s="16">
        <v>0</v>
      </c>
      <c r="M1105" s="16">
        <v>1</v>
      </c>
      <c r="N1105" s="16">
        <v>0</v>
      </c>
      <c r="O1105" s="17"/>
      <c r="P1105" s="18">
        <v>43729.999606481477</v>
      </c>
      <c r="Q1105" s="7" t="s">
        <v>972</v>
      </c>
      <c r="R1105" s="13" t="s">
        <v>1075</v>
      </c>
      <c r="S1105" s="8"/>
      <c r="T1105" s="8"/>
      <c r="U1105" s="19" t="str">
        <f>HYPERLINK("https://pbs.twimg.com/profile_images/1178958780614135809/vU8XaO3B.jpg","View")</f>
        <v>View</v>
      </c>
      <c r="V1105" s="8"/>
      <c r="W1105" s="8"/>
      <c r="X1105" s="8"/>
      <c r="Y1105" s="8"/>
      <c r="Z1105" s="8"/>
    </row>
    <row r="1106" spans="1:26" ht="12.75">
      <c r="A1106" s="11">
        <v>43746.552025462966</v>
      </c>
      <c r="B1106" s="12" t="str">
        <f>HYPERLINK("https://twitter.com/al3abede342","@al3abede342")</f>
        <v>@al3abede342</v>
      </c>
      <c r="C1106" s="13" t="s">
        <v>6215</v>
      </c>
      <c r="D1106" s="13" t="s">
        <v>6216</v>
      </c>
      <c r="E1106" s="12" t="str">
        <f>HYPERLINK("https://twitter.com/al3abede342/status/1181664289419091968","1181664289419091968")</f>
        <v>1181664289419091968</v>
      </c>
      <c r="F1106" s="8"/>
      <c r="G1106" s="14" t="s">
        <v>6217</v>
      </c>
      <c r="H1106" s="8"/>
      <c r="I1106" s="15">
        <v>0</v>
      </c>
      <c r="J1106" s="15">
        <v>0</v>
      </c>
      <c r="K1106" s="12" t="str">
        <f>HYPERLINK("http://twitter.com","Twitter Web Client")</f>
        <v>Twitter Web Client</v>
      </c>
      <c r="L1106" s="16">
        <v>6</v>
      </c>
      <c r="M1106" s="16">
        <v>53</v>
      </c>
      <c r="N1106" s="16">
        <v>0</v>
      </c>
      <c r="O1106" s="17"/>
      <c r="P1106" s="18">
        <v>42074.377245370371</v>
      </c>
      <c r="Q1106" s="8"/>
      <c r="R1106" s="8"/>
      <c r="S1106" s="8"/>
      <c r="T1106" s="8"/>
      <c r="U1106" s="19" t="str">
        <f>HYPERLINK("https://pbs.twimg.com/profile_images/575688567730499586/llJty5sz.jpeg","View")</f>
        <v>View</v>
      </c>
      <c r="V1106" s="8"/>
      <c r="W1106" s="8"/>
      <c r="X1106" s="8"/>
      <c r="Y1106" s="8"/>
      <c r="Z1106" s="8"/>
    </row>
    <row r="1107" spans="1:26" ht="12.75">
      <c r="A1107" s="11">
        <v>43746.55195601852</v>
      </c>
      <c r="B1107" s="12" t="str">
        <f>HYPERLINK("https://twitter.com/Nasr1Abu","@Nasr1Abu")</f>
        <v>@Nasr1Abu</v>
      </c>
      <c r="C1107" s="13" t="s">
        <v>6220</v>
      </c>
      <c r="D1107" s="7" t="s">
        <v>1130</v>
      </c>
      <c r="E1107" s="12" t="str">
        <f>HYPERLINK("https://twitter.com/Nasr1Abu/status/1181664262416039936","1181664262416039936")</f>
        <v>1181664262416039936</v>
      </c>
      <c r="F1107" s="8"/>
      <c r="G1107" s="14" t="s">
        <v>6221</v>
      </c>
      <c r="H1107" s="8"/>
      <c r="I1107" s="15">
        <v>0</v>
      </c>
      <c r="J1107" s="15">
        <v>0</v>
      </c>
      <c r="K1107" s="12" t="str">
        <f>HYPERLINK("https://mobile.twitter.com","Twitter Web App")</f>
        <v>Twitter Web App</v>
      </c>
      <c r="L1107" s="16">
        <v>0</v>
      </c>
      <c r="M1107" s="16">
        <v>1</v>
      </c>
      <c r="N1107" s="16">
        <v>0</v>
      </c>
      <c r="O1107" s="17"/>
      <c r="P1107" s="18">
        <v>43729.985486111109</v>
      </c>
      <c r="Q1107" s="7" t="s">
        <v>1533</v>
      </c>
      <c r="R1107" s="13" t="s">
        <v>1258</v>
      </c>
      <c r="S1107" s="8"/>
      <c r="T1107" s="8"/>
      <c r="U1107" s="19" t="str">
        <f>HYPERLINK("https://pbs.twimg.com/profile_images/1175661300296237056/b8ci5jJG.jpg","View")</f>
        <v>View</v>
      </c>
      <c r="V1107" s="8"/>
      <c r="W1107" s="8"/>
      <c r="X1107" s="8"/>
      <c r="Y1107" s="8"/>
      <c r="Z1107" s="8"/>
    </row>
    <row r="1108" spans="1:26" ht="12.75">
      <c r="A1108" s="11">
        <v>43746.551516203705</v>
      </c>
      <c r="B1108" s="12" t="str">
        <f>HYPERLINK("https://twitter.com/mazenalthaqafi1","@mazenalthaqafi1")</f>
        <v>@mazenalthaqafi1</v>
      </c>
      <c r="C1108" s="13" t="s">
        <v>6225</v>
      </c>
      <c r="D1108" s="7" t="s">
        <v>6226</v>
      </c>
      <c r="E1108" s="12" t="str">
        <f>HYPERLINK("https://twitter.com/mazenalthaqafi1/status/1181664103233925120","1181664103233925120")</f>
        <v>1181664103233925120</v>
      </c>
      <c r="F1108" s="8"/>
      <c r="G1108" s="14" t="s">
        <v>6227</v>
      </c>
      <c r="H1108" s="8"/>
      <c r="I1108" s="15">
        <v>0</v>
      </c>
      <c r="J1108" s="15">
        <v>0</v>
      </c>
      <c r="K1108" s="12" t="str">
        <f>HYPERLINK("http://twitter.com","Twitter Web Client")</f>
        <v>Twitter Web Client</v>
      </c>
      <c r="L1108" s="16">
        <v>7</v>
      </c>
      <c r="M1108" s="16">
        <v>41</v>
      </c>
      <c r="N1108" s="16">
        <v>0</v>
      </c>
      <c r="O1108" s="17"/>
      <c r="P1108" s="18">
        <v>42070.421909722223</v>
      </c>
      <c r="Q1108" s="7"/>
      <c r="R1108" s="13"/>
      <c r="S1108" s="8"/>
      <c r="T1108" s="8"/>
      <c r="U1108" s="19" t="str">
        <f>HYPERLINK("https://pbs.twimg.com/profile_images/574271821786165250/vf6_aDiC.jpeg","View")</f>
        <v>View</v>
      </c>
      <c r="V1108" s="8"/>
      <c r="W1108" s="8"/>
      <c r="X1108" s="8"/>
      <c r="Y1108" s="8"/>
      <c r="Z1108" s="8"/>
    </row>
    <row r="1109" spans="1:26" ht="12.75">
      <c r="A1109" s="11">
        <v>43746.551261574074</v>
      </c>
      <c r="B1109" s="12" t="str">
        <f>HYPERLINK("https://twitter.com/aalzamam343","@aalzamam343")</f>
        <v>@aalzamam343</v>
      </c>
      <c r="C1109" s="13" t="s">
        <v>6229</v>
      </c>
      <c r="D1109" s="13" t="s">
        <v>1335</v>
      </c>
      <c r="E1109" s="12" t="str">
        <f>HYPERLINK("https://twitter.com/aalzamam343/status/1181664011185770496","1181664011185770496")</f>
        <v>1181664011185770496</v>
      </c>
      <c r="F1109" s="8"/>
      <c r="G1109" s="14" t="s">
        <v>6230</v>
      </c>
      <c r="H1109" s="8"/>
      <c r="I1109" s="15">
        <v>0</v>
      </c>
      <c r="J1109" s="15">
        <v>0</v>
      </c>
      <c r="K1109" s="12" t="str">
        <f>HYPERLINK("http://twitter.com","Twitter Web Client")</f>
        <v>Twitter Web Client</v>
      </c>
      <c r="L1109" s="16">
        <v>11</v>
      </c>
      <c r="M1109" s="16">
        <v>46</v>
      </c>
      <c r="N1109" s="16">
        <v>0</v>
      </c>
      <c r="O1109" s="17"/>
      <c r="P1109" s="18">
        <v>42073.356817129628</v>
      </c>
      <c r="Q1109" s="8"/>
      <c r="R1109" s="8"/>
      <c r="S1109" s="8"/>
      <c r="T1109" s="8"/>
      <c r="U1109" s="19" t="str">
        <f>HYPERLINK("https://pbs.twimg.com/profile_images/575318773109936128/0GrBGft6.jpeg","View")</f>
        <v>View</v>
      </c>
      <c r="V1109" s="8"/>
      <c r="W1109" s="8"/>
      <c r="X1109" s="8"/>
      <c r="Y1109" s="8"/>
      <c r="Z1109" s="8"/>
    </row>
    <row r="1110" spans="1:26" ht="12.75">
      <c r="A1110" s="11">
        <v>43746.550706018519</v>
      </c>
      <c r="B1110" s="12" t="str">
        <f>HYPERLINK("https://twitter.com/halhamdah","@halhamdah")</f>
        <v>@halhamdah</v>
      </c>
      <c r="C1110" s="13" t="s">
        <v>6236</v>
      </c>
      <c r="D1110" s="7" t="s">
        <v>28</v>
      </c>
      <c r="E1110" s="12" t="str">
        <f>HYPERLINK("https://twitter.com/halhamdah/status/1181663812623036417","1181663812623036417")</f>
        <v>1181663812623036417</v>
      </c>
      <c r="F1110" s="8"/>
      <c r="G1110" s="14" t="s">
        <v>1267</v>
      </c>
      <c r="H1110" s="8"/>
      <c r="I1110" s="15">
        <v>0</v>
      </c>
      <c r="J1110" s="15">
        <v>0</v>
      </c>
      <c r="K1110" s="12" t="str">
        <f>HYPERLINK("https://mobile.twitter.com","Twitter Web App")</f>
        <v>Twitter Web App</v>
      </c>
      <c r="L1110" s="16">
        <v>1</v>
      </c>
      <c r="M1110" s="16">
        <v>0</v>
      </c>
      <c r="N1110" s="16">
        <v>0</v>
      </c>
      <c r="O1110" s="17"/>
      <c r="P1110" s="18">
        <v>43729.458032407405</v>
      </c>
      <c r="Q1110" s="7" t="s">
        <v>5781</v>
      </c>
      <c r="R1110" s="13" t="s">
        <v>5852</v>
      </c>
      <c r="S1110" s="8"/>
      <c r="T1110" s="8"/>
      <c r="U1110" s="19" t="str">
        <f>HYPERLINK("https://pbs.twimg.com/profile_images/1179077485540962304/M2x69_Uw.jpg","View")</f>
        <v>View</v>
      </c>
      <c r="V1110" s="8"/>
      <c r="W1110" s="8"/>
      <c r="X1110" s="8"/>
      <c r="Y1110" s="8"/>
      <c r="Z1110" s="8"/>
    </row>
    <row r="1111" spans="1:26" ht="12.75">
      <c r="A1111" s="11">
        <v>43746.549016203702</v>
      </c>
      <c r="B1111" s="12" t="str">
        <f>HYPERLINK("https://twitter.com/muiofera","@muiofera")</f>
        <v>@muiofera</v>
      </c>
      <c r="C1111" s="13" t="s">
        <v>6263</v>
      </c>
      <c r="D1111" s="13" t="s">
        <v>6264</v>
      </c>
      <c r="E1111" s="12" t="str">
        <f>HYPERLINK("https://twitter.com/muiofera/status/1181663199101440000","1181663199101440000")</f>
        <v>1181663199101440000</v>
      </c>
      <c r="F1111" s="8"/>
      <c r="G1111" s="14" t="s">
        <v>6265</v>
      </c>
      <c r="H1111" s="8"/>
      <c r="I1111" s="15">
        <v>0</v>
      </c>
      <c r="J1111" s="15">
        <v>0</v>
      </c>
      <c r="K1111" s="12" t="str">
        <f>HYPERLINK("http://twitter.com","Twitter Web Client")</f>
        <v>Twitter Web Client</v>
      </c>
      <c r="L1111" s="16">
        <v>10</v>
      </c>
      <c r="M1111" s="16">
        <v>44</v>
      </c>
      <c r="N1111" s="16">
        <v>0</v>
      </c>
      <c r="O1111" s="17"/>
      <c r="P1111" s="18">
        <v>42073.165381944447</v>
      </c>
      <c r="Q1111" s="8"/>
      <c r="R1111" s="8"/>
      <c r="S1111" s="8"/>
      <c r="T1111" s="8"/>
      <c r="U1111" s="19" t="str">
        <f>HYPERLINK("https://pbs.twimg.com/profile_images/575250304981057539/-xZwK9Jj.jpeg","View")</f>
        <v>View</v>
      </c>
      <c r="V1111" s="8"/>
      <c r="W1111" s="8"/>
      <c r="X1111" s="8"/>
      <c r="Y1111" s="8"/>
      <c r="Z1111" s="8"/>
    </row>
    <row r="1112" spans="1:26" ht="12.75">
      <c r="A1112" s="11">
        <v>43746.54850694444</v>
      </c>
      <c r="B1112" s="12" t="str">
        <f>HYPERLINK("https://twitter.com/hakmaiie4545","@hakmaiie4545")</f>
        <v>@hakmaiie4545</v>
      </c>
      <c r="C1112" s="13" t="s">
        <v>6275</v>
      </c>
      <c r="D1112" s="13" t="s">
        <v>1381</v>
      </c>
      <c r="E1112" s="12" t="str">
        <f>HYPERLINK("https://twitter.com/hakmaiie4545/status/1181663013880913920","1181663013880913920")</f>
        <v>1181663013880913920</v>
      </c>
      <c r="F1112" s="8"/>
      <c r="G1112" s="14" t="s">
        <v>6276</v>
      </c>
      <c r="H1112" s="8"/>
      <c r="I1112" s="15">
        <v>0</v>
      </c>
      <c r="J1112" s="15">
        <v>0</v>
      </c>
      <c r="K1112" s="12" t="str">
        <f>HYPERLINK("http://twitter.com","Twitter Web Client")</f>
        <v>Twitter Web Client</v>
      </c>
      <c r="L1112" s="16">
        <v>9</v>
      </c>
      <c r="M1112" s="16">
        <v>42</v>
      </c>
      <c r="N1112" s="16">
        <v>0</v>
      </c>
      <c r="O1112" s="17"/>
      <c r="P1112" s="18">
        <v>42071.5862037037</v>
      </c>
      <c r="Q1112" s="8"/>
      <c r="R1112" s="8"/>
      <c r="S1112" s="8"/>
      <c r="T1112" s="8"/>
      <c r="U1112" s="19" t="str">
        <f>HYPERLINK("https://pbs.twimg.com/profile_images/574677122251259904/0-ZQzMFQ.jpeg","View")</f>
        <v>View</v>
      </c>
      <c r="V1112" s="8"/>
      <c r="W1112" s="8"/>
      <c r="X1112" s="8"/>
      <c r="Y1112" s="8"/>
      <c r="Z1112" s="8"/>
    </row>
    <row r="1113" spans="1:26" ht="12.75">
      <c r="A1113" s="11">
        <v>43746.547083333338</v>
      </c>
      <c r="B1113" s="12" t="str">
        <f>HYPERLINK("https://twitter.com/alihossine34","@alihossine34")</f>
        <v>@alihossine34</v>
      </c>
      <c r="C1113" s="13" t="s">
        <v>6299</v>
      </c>
      <c r="D1113" s="7" t="s">
        <v>6300</v>
      </c>
      <c r="E1113" s="12" t="str">
        <f>HYPERLINK("https://twitter.com/alihossine34/status/1181662496345731080","1181662496345731080")</f>
        <v>1181662496345731080</v>
      </c>
      <c r="F1113" s="8"/>
      <c r="G1113" s="15"/>
      <c r="H1113" s="8"/>
      <c r="I1113" s="15">
        <v>0</v>
      </c>
      <c r="J1113" s="15">
        <v>0</v>
      </c>
      <c r="K1113" s="12" t="str">
        <f>HYPERLINK("https://mobile.twitter.com","Twitter Web App")</f>
        <v>Twitter Web App</v>
      </c>
      <c r="L1113" s="16">
        <v>764</v>
      </c>
      <c r="M1113" s="16">
        <v>1126</v>
      </c>
      <c r="N1113" s="16">
        <v>2</v>
      </c>
      <c r="O1113" s="17"/>
      <c r="P1113" s="18">
        <v>42179.467048611114</v>
      </c>
      <c r="Q1113" s="7" t="s">
        <v>6301</v>
      </c>
      <c r="R1113" s="13" t="s">
        <v>6302</v>
      </c>
      <c r="S1113" s="8"/>
      <c r="T1113" s="8"/>
      <c r="U1113" s="19" t="str">
        <f>HYPERLINK("https://pbs.twimg.com/profile_images/1106996431938879493/xuXSUo4o.png","View")</f>
        <v>View</v>
      </c>
      <c r="V1113" s="8"/>
      <c r="W1113" s="8"/>
      <c r="X1113" s="8"/>
      <c r="Y1113" s="8"/>
      <c r="Z1113" s="8"/>
    </row>
    <row r="1114" spans="1:26" ht="12.75">
      <c r="A1114" s="11">
        <v>43746.546319444446</v>
      </c>
      <c r="B1114" s="12" t="str">
        <f>HYPERLINK("https://twitter.com/algohaniie733","@algohaniie733")</f>
        <v>@algohaniie733</v>
      </c>
      <c r="C1114" s="13" t="s">
        <v>6319</v>
      </c>
      <c r="D1114" s="13" t="s">
        <v>6320</v>
      </c>
      <c r="E1114" s="12" t="str">
        <f>HYPERLINK("https://twitter.com/algohaniie733/status/1181662220788391938","1181662220788391938")</f>
        <v>1181662220788391938</v>
      </c>
      <c r="F1114" s="8"/>
      <c r="G1114" s="14" t="s">
        <v>6321</v>
      </c>
      <c r="H1114" s="8"/>
      <c r="I1114" s="15">
        <v>0</v>
      </c>
      <c r="J1114" s="15">
        <v>0</v>
      </c>
      <c r="K1114" s="12" t="str">
        <f>HYPERLINK("http://twitter.com","Twitter Web Client")</f>
        <v>Twitter Web Client</v>
      </c>
      <c r="L1114" s="16">
        <v>0</v>
      </c>
      <c r="M1114" s="16">
        <v>36</v>
      </c>
      <c r="N1114" s="16">
        <v>0</v>
      </c>
      <c r="O1114" s="17"/>
      <c r="P1114" s="18">
        <v>42073.204606481479</v>
      </c>
      <c r="Q1114" s="8"/>
      <c r="R1114" s="8"/>
      <c r="S1114" s="8"/>
      <c r="T1114" s="8"/>
      <c r="U1114" s="19" t="str">
        <f>HYPERLINK("https://pbs.twimg.com/profile_images/575263610064121856/lQVy5TFy.jpeg","View")</f>
        <v>View</v>
      </c>
      <c r="V1114" s="8"/>
      <c r="W1114" s="8"/>
      <c r="X1114" s="8"/>
      <c r="Y1114" s="8"/>
      <c r="Z1114" s="8"/>
    </row>
    <row r="1115" spans="1:26" ht="12.75">
      <c r="A1115" s="11">
        <v>43746.546064814815</v>
      </c>
      <c r="B1115" s="12" t="str">
        <f>HYPERLINK("https://twitter.com/almashd_alm","@almashd_alm")</f>
        <v>@almashd_alm</v>
      </c>
      <c r="C1115" s="13" t="s">
        <v>6325</v>
      </c>
      <c r="D1115" s="13" t="s">
        <v>6326</v>
      </c>
      <c r="E1115" s="12" t="str">
        <f>HYPERLINK("https://twitter.com/almashd_alm/status/1181662128249421834","1181662128249421834")</f>
        <v>1181662128249421834</v>
      </c>
      <c r="F1115" s="8"/>
      <c r="G1115" s="14" t="s">
        <v>6329</v>
      </c>
      <c r="H1115" s="8"/>
      <c r="I1115" s="15">
        <v>0</v>
      </c>
      <c r="J1115" s="15">
        <v>0</v>
      </c>
      <c r="K1115" s="12" t="str">
        <f>HYPERLINK("http://twitter.com","Twitter Web Client")</f>
        <v>Twitter Web Client</v>
      </c>
      <c r="L1115" s="16">
        <v>3</v>
      </c>
      <c r="M1115" s="16">
        <v>33</v>
      </c>
      <c r="N1115" s="16">
        <v>0</v>
      </c>
      <c r="O1115" s="17"/>
      <c r="P1115" s="18">
        <v>42084.637187500004</v>
      </c>
      <c r="Q1115" s="8"/>
      <c r="R1115" s="8"/>
      <c r="S1115" s="8"/>
      <c r="T1115" s="8"/>
      <c r="U1115" s="19" t="str">
        <f>HYPERLINK("https://pbs.twimg.com/profile_images/579406651439996930/wF0ttwAe.jpg","View")</f>
        <v>View</v>
      </c>
      <c r="V1115" s="8"/>
      <c r="W1115" s="8"/>
      <c r="X1115" s="8"/>
      <c r="Y1115" s="8"/>
      <c r="Z1115" s="8"/>
    </row>
    <row r="1116" spans="1:26" ht="12.75">
      <c r="A1116" s="11">
        <v>43746.543344907404</v>
      </c>
      <c r="B1116" s="12" t="str">
        <f>HYPERLINK("https://twitter.com/AllhebOsama","@AllhebOsama")</f>
        <v>@AllhebOsama</v>
      </c>
      <c r="C1116" s="13" t="s">
        <v>6350</v>
      </c>
      <c r="D1116" s="13" t="s">
        <v>6351</v>
      </c>
      <c r="E1116" s="12" t="str">
        <f>HYPERLINK("https://twitter.com/AllhebOsama/status/1181661142780928001","1181661142780928001")</f>
        <v>1181661142780928001</v>
      </c>
      <c r="F1116" s="8"/>
      <c r="G1116" s="14" t="s">
        <v>6352</v>
      </c>
      <c r="H1116" s="8"/>
      <c r="I1116" s="15">
        <v>0</v>
      </c>
      <c r="J1116" s="15">
        <v>0</v>
      </c>
      <c r="K1116" s="12" t="str">
        <f>HYPERLINK("http://twitter.com","Twitter Web Client")</f>
        <v>Twitter Web Client</v>
      </c>
      <c r="L1116" s="16">
        <v>3</v>
      </c>
      <c r="M1116" s="16">
        <v>41</v>
      </c>
      <c r="N1116" s="16">
        <v>0</v>
      </c>
      <c r="O1116" s="17"/>
      <c r="P1116" s="18">
        <v>42073.253252314811</v>
      </c>
      <c r="Q1116" s="8"/>
      <c r="R1116" s="8"/>
      <c r="S1116" s="8"/>
      <c r="T1116" s="8"/>
      <c r="U1116" s="19" t="str">
        <f>HYPERLINK("https://pbs.twimg.com/profile_images/575294770148327425/X7Ky36SH.jpeg","View")</f>
        <v>View</v>
      </c>
      <c r="V1116" s="8"/>
      <c r="W1116" s="8"/>
      <c r="X1116" s="8"/>
      <c r="Y1116" s="8"/>
      <c r="Z1116" s="8"/>
    </row>
    <row r="1117" spans="1:26" ht="12.75">
      <c r="A1117" s="11">
        <v>43746.542037037041</v>
      </c>
      <c r="B1117" s="12" t="str">
        <f>HYPERLINK("https://twitter.com/solomonhubaish2","@solomonhubaish2")</f>
        <v>@solomonhubaish2</v>
      </c>
      <c r="C1117" s="13" t="s">
        <v>6357</v>
      </c>
      <c r="D1117" s="13" t="s">
        <v>6358</v>
      </c>
      <c r="E1117" s="12" t="str">
        <f>HYPERLINK("https://twitter.com/solomonhubaish2/status/1181660668426104839","1181660668426104839")</f>
        <v>1181660668426104839</v>
      </c>
      <c r="F1117" s="8"/>
      <c r="G1117" s="14" t="s">
        <v>6359</v>
      </c>
      <c r="H1117" s="8"/>
      <c r="I1117" s="15">
        <v>0</v>
      </c>
      <c r="J1117" s="15">
        <v>0</v>
      </c>
      <c r="K1117" s="12" t="str">
        <f>HYPERLINK("http://twitter.com","Twitter Web Client")</f>
        <v>Twitter Web Client</v>
      </c>
      <c r="L1117" s="16">
        <v>0</v>
      </c>
      <c r="M1117" s="16">
        <v>34</v>
      </c>
      <c r="N1117" s="16">
        <v>0</v>
      </c>
      <c r="O1117" s="17"/>
      <c r="P1117" s="18">
        <v>42081.385497685187</v>
      </c>
      <c r="Q1117" s="8"/>
      <c r="R1117" s="8"/>
      <c r="S1117" s="8"/>
      <c r="T1117" s="8"/>
      <c r="U1117" s="19" t="str">
        <f>HYPERLINK("https://pbs.twimg.com/profile_images/578228827240845312/LihfLMj0.jpeg","View")</f>
        <v>View</v>
      </c>
      <c r="V1117" s="8"/>
      <c r="W1117" s="8"/>
      <c r="X1117" s="8"/>
      <c r="Y1117" s="8"/>
      <c r="Z1117" s="8"/>
    </row>
    <row r="1118" spans="1:26" ht="12.75">
      <c r="A1118" s="11">
        <v>43746.541932870372</v>
      </c>
      <c r="B1118" s="12" t="str">
        <f>HYPERLINK("https://twitter.com/rifqaal1","@rifqaal1")</f>
        <v>@rifqaal1</v>
      </c>
      <c r="C1118" s="13" t="s">
        <v>6371</v>
      </c>
      <c r="D1118" s="7" t="s">
        <v>1107</v>
      </c>
      <c r="E1118" s="12" t="str">
        <f>HYPERLINK("https://twitter.com/rifqaal1/status/1181660633319653376","1181660633319653376")</f>
        <v>1181660633319653376</v>
      </c>
      <c r="F1118" s="8"/>
      <c r="G1118" s="14" t="s">
        <v>6372</v>
      </c>
      <c r="H1118" s="8"/>
      <c r="I1118" s="15">
        <v>0</v>
      </c>
      <c r="J1118" s="15">
        <v>0</v>
      </c>
      <c r="K1118" s="12" t="str">
        <f>HYPERLINK("https://mobile.twitter.com","Twitter Web App")</f>
        <v>Twitter Web App</v>
      </c>
      <c r="L1118" s="16">
        <v>0</v>
      </c>
      <c r="M1118" s="16">
        <v>1</v>
      </c>
      <c r="N1118" s="16">
        <v>0</v>
      </c>
      <c r="O1118" s="17"/>
      <c r="P1118" s="18">
        <v>43744.461180555554</v>
      </c>
      <c r="Q1118" s="7" t="s">
        <v>4714</v>
      </c>
      <c r="R1118" s="13" t="s">
        <v>1429</v>
      </c>
      <c r="S1118" s="8"/>
      <c r="T1118" s="8"/>
      <c r="U1118" s="19" t="str">
        <f>HYPERLINK("https://pbs.twimg.com/profile_images/1180906619225296896/YSd3EW4T.jpg","View")</f>
        <v>View</v>
      </c>
      <c r="V1118" s="8"/>
      <c r="W1118" s="8"/>
      <c r="X1118" s="8"/>
      <c r="Y1118" s="8"/>
      <c r="Z1118" s="8"/>
    </row>
    <row r="1119" spans="1:26" ht="12.75">
      <c r="A1119" s="11">
        <v>43746.541655092587</v>
      </c>
      <c r="B1119" s="12" t="str">
        <f>HYPERLINK("https://twitter.com/salematawi2","@salematawi2")</f>
        <v>@salematawi2</v>
      </c>
      <c r="C1119" s="13" t="s">
        <v>6375</v>
      </c>
      <c r="D1119" s="13" t="s">
        <v>6377</v>
      </c>
      <c r="E1119" s="12" t="str">
        <f>HYPERLINK("https://twitter.com/salematawi2/status/1181660529515012097","1181660529515012097")</f>
        <v>1181660529515012097</v>
      </c>
      <c r="F1119" s="8"/>
      <c r="G1119" s="14" t="s">
        <v>6378</v>
      </c>
      <c r="H1119" s="8"/>
      <c r="I1119" s="15">
        <v>0</v>
      </c>
      <c r="J1119" s="15">
        <v>0</v>
      </c>
      <c r="K1119" s="12" t="str">
        <f>HYPERLINK("http://twitter.com","Twitter Web Client")</f>
        <v>Twitter Web Client</v>
      </c>
      <c r="L1119" s="16">
        <v>2</v>
      </c>
      <c r="M1119" s="16">
        <v>42</v>
      </c>
      <c r="N1119" s="16">
        <v>0</v>
      </c>
      <c r="O1119" s="17"/>
      <c r="P1119" s="18">
        <v>42071.414201388892</v>
      </c>
      <c r="Q1119" s="8"/>
      <c r="R1119" s="8"/>
      <c r="S1119" s="8"/>
      <c r="T1119" s="8"/>
      <c r="U1119" s="19" t="str">
        <f>HYPERLINK("https://pbs.twimg.com/profile_images/574615502066057216/_M518cn2.jpeg","View")</f>
        <v>View</v>
      </c>
      <c r="V1119" s="8"/>
      <c r="W1119" s="8"/>
      <c r="X1119" s="8"/>
      <c r="Y1119" s="8"/>
      <c r="Z1119" s="8"/>
    </row>
    <row r="1120" spans="1:26" ht="12.75">
      <c r="A1120" s="11">
        <v>43746.539942129632</v>
      </c>
      <c r="B1120" s="12" t="str">
        <f>HYPERLINK("https://twitter.com/mohmed_asere","@mohmed_asere")</f>
        <v>@mohmed_asere</v>
      </c>
      <c r="C1120" s="7" t="s">
        <v>6381</v>
      </c>
      <c r="D1120" s="7" t="s">
        <v>6383</v>
      </c>
      <c r="E1120" s="12" t="str">
        <f>HYPERLINK("https://twitter.com/mohmed_asere/status/1181659908468613121","1181659908468613121")</f>
        <v>1181659908468613121</v>
      </c>
      <c r="F1120" s="8"/>
      <c r="G1120" s="14" t="s">
        <v>6385</v>
      </c>
      <c r="H1120" s="8"/>
      <c r="I1120" s="15">
        <v>0</v>
      </c>
      <c r="J1120" s="15">
        <v>0</v>
      </c>
      <c r="K1120" s="12" t="str">
        <f>HYPERLINK("http://twitter.com","Twitter Web Client")</f>
        <v>Twitter Web Client</v>
      </c>
      <c r="L1120" s="16">
        <v>1</v>
      </c>
      <c r="M1120" s="16">
        <v>31</v>
      </c>
      <c r="N1120" s="16">
        <v>0</v>
      </c>
      <c r="O1120" s="17"/>
      <c r="P1120" s="18">
        <v>41846.18787037037</v>
      </c>
      <c r="Q1120" s="7"/>
      <c r="R1120" s="13"/>
      <c r="S1120" s="8"/>
      <c r="T1120" s="8"/>
      <c r="U1120" s="19" t="str">
        <f>HYPERLINK("https://pbs.twimg.com/profile_images/492995493459271680/hsovUPqV.jpeg","View")</f>
        <v>View</v>
      </c>
      <c r="V1120" s="8"/>
      <c r="W1120" s="8"/>
      <c r="X1120" s="8"/>
      <c r="Y1120" s="8"/>
      <c r="Z1120" s="8"/>
    </row>
    <row r="1121" spans="1:26" ht="12.75">
      <c r="A1121" s="11">
        <v>43746.539675925931</v>
      </c>
      <c r="B1121" s="12" t="str">
        <f>HYPERLINK("https://twitter.com/Soultan47Raghda","@Soultan47Raghda")</f>
        <v>@Soultan47Raghda</v>
      </c>
      <c r="C1121" s="7" t="s">
        <v>6389</v>
      </c>
      <c r="D1121" s="7" t="s">
        <v>6391</v>
      </c>
      <c r="E1121" s="12" t="str">
        <f>HYPERLINK("https://twitter.com/Soultan47Raghda/status/1181659813815697408","1181659813815697408")</f>
        <v>1181659813815697408</v>
      </c>
      <c r="F1121" s="15"/>
      <c r="G1121" s="14" t="s">
        <v>6392</v>
      </c>
      <c r="H1121" s="8"/>
      <c r="I1121" s="15">
        <v>0</v>
      </c>
      <c r="J1121" s="15">
        <v>0</v>
      </c>
      <c r="K1121" s="12" t="str">
        <f>HYPERLINK("http://twitter.com","Twitter Web Client")</f>
        <v>Twitter Web Client</v>
      </c>
      <c r="L1121" s="16">
        <v>8</v>
      </c>
      <c r="M1121" s="16">
        <v>43</v>
      </c>
      <c r="N1121" s="16">
        <v>0</v>
      </c>
      <c r="O1121" s="17"/>
      <c r="P1121" s="18">
        <v>42529.045798611114</v>
      </c>
      <c r="Q1121" s="7"/>
      <c r="R1121" s="7" t="s">
        <v>6396</v>
      </c>
      <c r="S1121" s="15"/>
      <c r="T1121" s="8"/>
      <c r="U1121" s="19" t="str">
        <f>HYPERLINK("https://pbs.twimg.com/profile_images/740455010299957249/g7dMVsr0.jpg","View")</f>
        <v>View</v>
      </c>
      <c r="V1121" s="8"/>
      <c r="W1121" s="8"/>
      <c r="X1121" s="8"/>
      <c r="Y1121" s="8"/>
      <c r="Z1121" s="8"/>
    </row>
    <row r="1122" spans="1:26" ht="12.75">
      <c r="A1122" s="11">
        <v>43746.538773148146</v>
      </c>
      <c r="B1122" s="12" t="str">
        <f>HYPERLINK("https://twitter.com/bejadoffadel","@bejadoffadel")</f>
        <v>@bejadoffadel</v>
      </c>
      <c r="C1122" s="13" t="s">
        <v>771</v>
      </c>
      <c r="D1122" s="13" t="s">
        <v>1635</v>
      </c>
      <c r="E1122" s="12" t="str">
        <f>HYPERLINK("https://twitter.com/bejadoffadel/status/1181659484932001793","1181659484932001793")</f>
        <v>1181659484932001793</v>
      </c>
      <c r="F1122" s="8"/>
      <c r="G1122" s="14" t="s">
        <v>6397</v>
      </c>
      <c r="H1122" s="8"/>
      <c r="I1122" s="15">
        <v>0</v>
      </c>
      <c r="J1122" s="15">
        <v>0</v>
      </c>
      <c r="K1122" s="12" t="str">
        <f>HYPERLINK("http://twitter.com","Twitter Web Client")</f>
        <v>Twitter Web Client</v>
      </c>
      <c r="L1122" s="16">
        <v>0</v>
      </c>
      <c r="M1122" s="16">
        <v>41</v>
      </c>
      <c r="N1122" s="16">
        <v>0</v>
      </c>
      <c r="O1122" s="17"/>
      <c r="P1122" s="18">
        <v>42073.831527777773</v>
      </c>
      <c r="Q1122" s="8"/>
      <c r="R1122" s="8"/>
      <c r="S1122" s="8"/>
      <c r="T1122" s="8"/>
      <c r="U1122" s="19" t="str">
        <f>HYPERLINK("https://pbs.twimg.com/profile_images/575492273854529538/Nq-48duO.jpeg","View")</f>
        <v>View</v>
      </c>
      <c r="V1122" s="8"/>
      <c r="W1122" s="8"/>
      <c r="X1122" s="8"/>
      <c r="Y1122" s="8"/>
      <c r="Z1122" s="8"/>
    </row>
    <row r="1123" spans="1:26" ht="12.75">
      <c r="A1123" s="11">
        <v>43746.537175925929</v>
      </c>
      <c r="B1123" s="12" t="str">
        <f>HYPERLINK("https://twitter.com/naafooraal","@naafooraal")</f>
        <v>@naafooraal</v>
      </c>
      <c r="C1123" s="13" t="s">
        <v>6401</v>
      </c>
      <c r="D1123" s="7" t="s">
        <v>907</v>
      </c>
      <c r="E1123" s="12" t="str">
        <f>HYPERLINK("https://twitter.com/naafooraal/status/1181658908588298241","1181658908588298241")</f>
        <v>1181658908588298241</v>
      </c>
      <c r="F1123" s="8"/>
      <c r="G1123" s="14" t="s">
        <v>6404</v>
      </c>
      <c r="H1123" s="8"/>
      <c r="I1123" s="15">
        <v>0</v>
      </c>
      <c r="J1123" s="15">
        <v>0</v>
      </c>
      <c r="K1123" s="12" t="str">
        <f>HYPERLINK("https://mobile.twitter.com","Twitter Web App")</f>
        <v>Twitter Web App</v>
      </c>
      <c r="L1123" s="16">
        <v>0</v>
      </c>
      <c r="M1123" s="16">
        <v>1</v>
      </c>
      <c r="N1123" s="16">
        <v>0</v>
      </c>
      <c r="O1123" s="17"/>
      <c r="P1123" s="18">
        <v>43744.452094907407</v>
      </c>
      <c r="Q1123" s="7" t="s">
        <v>4714</v>
      </c>
      <c r="R1123" s="13" t="s">
        <v>2389</v>
      </c>
      <c r="S1123" s="8"/>
      <c r="T1123" s="8"/>
      <c r="U1123" s="19" t="str">
        <f>HYPERLINK("https://pbs.twimg.com/profile_images/1180903331381665794/lI1gkLgJ.jpg","View")</f>
        <v>View</v>
      </c>
      <c r="V1123" s="8"/>
      <c r="W1123" s="8"/>
      <c r="X1123" s="8"/>
      <c r="Y1123" s="8"/>
      <c r="Z1123" s="8"/>
    </row>
    <row r="1124" spans="1:26" ht="12.75">
      <c r="A1124" s="11">
        <v>43746.536458333328</v>
      </c>
      <c r="B1124" s="12" t="str">
        <f>HYPERLINK("https://twitter.com/BurhanalDin4","@BurhanalDin4")</f>
        <v>@BurhanalDin4</v>
      </c>
      <c r="C1124" s="13" t="s">
        <v>6408</v>
      </c>
      <c r="D1124" s="13" t="s">
        <v>907</v>
      </c>
      <c r="E1124" s="12" t="str">
        <f>HYPERLINK("https://twitter.com/BurhanalDin4/status/1181658646834368512","1181658646834368512")</f>
        <v>1181658646834368512</v>
      </c>
      <c r="F1124" s="8"/>
      <c r="G1124" s="14" t="s">
        <v>6409</v>
      </c>
      <c r="H1124" s="8"/>
      <c r="I1124" s="15">
        <v>0</v>
      </c>
      <c r="J1124" s="15">
        <v>0</v>
      </c>
      <c r="K1124" s="12" t="str">
        <f>HYPERLINK("https://mobile.twitter.com","Twitter Web App")</f>
        <v>Twitter Web App</v>
      </c>
      <c r="L1124" s="16">
        <v>0</v>
      </c>
      <c r="M1124" s="16">
        <v>0</v>
      </c>
      <c r="N1124" s="16">
        <v>0</v>
      </c>
      <c r="O1124" s="17"/>
      <c r="P1124" s="18">
        <v>43729.033506944441</v>
      </c>
      <c r="Q1124" s="8" t="s">
        <v>1280</v>
      </c>
      <c r="R1124" s="8" t="s">
        <v>1606</v>
      </c>
      <c r="S1124" s="8"/>
      <c r="T1124" s="8"/>
      <c r="U1124" s="19" t="str">
        <f>HYPERLINK("https://pbs.twimg.com/profile_images/1176455382383779842/xwJ8iKEB.jpg","View")</f>
        <v>View</v>
      </c>
      <c r="V1124" s="8"/>
      <c r="W1124" s="8"/>
      <c r="X1124" s="8"/>
      <c r="Y1124" s="8"/>
      <c r="Z1124" s="8"/>
    </row>
    <row r="1125" spans="1:26" ht="12.75">
      <c r="A1125" s="11">
        <v>43746.534050925926</v>
      </c>
      <c r="B1125" s="12" t="str">
        <f>HYPERLINK("https://twitter.com/rifael63473574","@rifael63473574")</f>
        <v>@rifael63473574</v>
      </c>
      <c r="C1125" s="13" t="s">
        <v>6413</v>
      </c>
      <c r="D1125" s="13" t="s">
        <v>923</v>
      </c>
      <c r="E1125" s="12" t="str">
        <f>HYPERLINK("https://twitter.com/rifael63473574/status/1181657775841013760","1181657775841013760")</f>
        <v>1181657775841013760</v>
      </c>
      <c r="F1125" s="8"/>
      <c r="G1125" s="14" t="s">
        <v>6415</v>
      </c>
      <c r="H1125" s="8"/>
      <c r="I1125" s="15">
        <v>0</v>
      </c>
      <c r="J1125" s="15">
        <v>0</v>
      </c>
      <c r="K1125" s="12" t="str">
        <f>HYPERLINK("https://mobile.twitter.com","Twitter Web App")</f>
        <v>Twitter Web App</v>
      </c>
      <c r="L1125" s="16">
        <v>0</v>
      </c>
      <c r="M1125" s="16">
        <v>1</v>
      </c>
      <c r="N1125" s="16">
        <v>0</v>
      </c>
      <c r="O1125" s="17"/>
      <c r="P1125" s="18">
        <v>43744.443055555559</v>
      </c>
      <c r="Q1125" s="8" t="s">
        <v>4714</v>
      </c>
      <c r="R1125" s="8" t="s">
        <v>1924</v>
      </c>
      <c r="S1125" s="8"/>
      <c r="T1125" s="8"/>
      <c r="U1125" s="19" t="str">
        <f>HYPERLINK("https://pbs.twimg.com/profile_images/1180900065667211264/yz8C7X3D.jpg","View")</f>
        <v>View</v>
      </c>
      <c r="V1125" s="8"/>
      <c r="W1125" s="8"/>
      <c r="X1125" s="8"/>
      <c r="Y1125" s="8"/>
      <c r="Z1125" s="8"/>
    </row>
    <row r="1126" spans="1:26" ht="12.75">
      <c r="A1126" s="11">
        <v>43746.530439814815</v>
      </c>
      <c r="B1126" s="12" t="str">
        <f>HYPERLINK("https://twitter.com/ahmad199904","@ahmad199904")</f>
        <v>@ahmad199904</v>
      </c>
      <c r="C1126" s="13" t="s">
        <v>6422</v>
      </c>
      <c r="D1126" s="13" t="s">
        <v>914</v>
      </c>
      <c r="E1126" s="12" t="str">
        <f>HYPERLINK("https://twitter.com/ahmad199904/status/1181656468837154816","1181656468837154816")</f>
        <v>1181656468837154816</v>
      </c>
      <c r="F1126" s="8"/>
      <c r="G1126" s="14" t="s">
        <v>917</v>
      </c>
      <c r="H1126" s="8"/>
      <c r="I1126" s="15">
        <v>0</v>
      </c>
      <c r="J1126" s="15">
        <v>0</v>
      </c>
      <c r="K1126" s="12" t="str">
        <f>HYPERLINK("https://mobile.twitter.com","Twitter Web App")</f>
        <v>Twitter Web App</v>
      </c>
      <c r="L1126" s="16">
        <v>0</v>
      </c>
      <c r="M1126" s="16">
        <v>1</v>
      </c>
      <c r="N1126" s="16">
        <v>0</v>
      </c>
      <c r="O1126" s="17"/>
      <c r="P1126" s="18">
        <v>43729.447685185187</v>
      </c>
      <c r="Q1126" s="8" t="s">
        <v>5781</v>
      </c>
      <c r="R1126" s="8" t="s">
        <v>5626</v>
      </c>
      <c r="S1126" s="8"/>
      <c r="T1126" s="8"/>
      <c r="U1126" s="19" t="str">
        <f>HYPERLINK("https://pbs.twimg.com/profile_images/1179077392729403392/ZhN3xNtY.jpg","View")</f>
        <v>View</v>
      </c>
      <c r="V1126" s="8"/>
      <c r="W1126" s="8"/>
      <c r="X1126" s="8"/>
      <c r="Y1126" s="8"/>
      <c r="Z1126" s="8"/>
    </row>
    <row r="1127" spans="1:26" ht="12.75">
      <c r="A1127" s="11">
        <v>43746.530289351853</v>
      </c>
      <c r="B1127" s="12" t="str">
        <f>HYPERLINK("https://twitter.com/alsalhimohamme4","@alsalhimohamme4")</f>
        <v>@alsalhimohamme4</v>
      </c>
      <c r="C1127" s="13" t="s">
        <v>5539</v>
      </c>
      <c r="D1127" s="13" t="s">
        <v>28</v>
      </c>
      <c r="E1127" s="12" t="str">
        <f>HYPERLINK("https://twitter.com/alsalhimohamme4/status/1181656413749121024","1181656413749121024")</f>
        <v>1181656413749121024</v>
      </c>
      <c r="F1127" s="8"/>
      <c r="G1127" s="14" t="s">
        <v>31</v>
      </c>
      <c r="H1127" s="8"/>
      <c r="I1127" s="15">
        <v>0</v>
      </c>
      <c r="J1127" s="15">
        <v>0</v>
      </c>
      <c r="K1127" s="12" t="str">
        <f>HYPERLINK("https://mobile.twitter.com","Twitter Web App")</f>
        <v>Twitter Web App</v>
      </c>
      <c r="L1127" s="16">
        <v>0</v>
      </c>
      <c r="M1127" s="16">
        <v>0</v>
      </c>
      <c r="N1127" s="16">
        <v>0</v>
      </c>
      <c r="O1127" s="17"/>
      <c r="P1127" s="18">
        <v>43731.594872685186</v>
      </c>
      <c r="Q1127" s="8" t="s">
        <v>4714</v>
      </c>
      <c r="R1127" s="8" t="s">
        <v>1281</v>
      </c>
      <c r="S1127" s="8"/>
      <c r="T1127" s="8"/>
      <c r="U1127" s="19" t="str">
        <f>HYPERLINK("https://pbs.twimg.com/profile_images/1180525213928189952/zw_N2aNr.jpg","View")</f>
        <v>View</v>
      </c>
      <c r="V1127" s="8"/>
      <c r="W1127" s="8"/>
      <c r="X1127" s="8"/>
      <c r="Y1127" s="8"/>
      <c r="Z1127" s="8"/>
    </row>
    <row r="1128" spans="1:26" ht="12.75">
      <c r="A1128" s="11">
        <v>43746.525231481486</v>
      </c>
      <c r="B1128" s="12" t="str">
        <f>HYPERLINK("https://twitter.com/waailal1","@waailal1")</f>
        <v>@waailal1</v>
      </c>
      <c r="C1128" s="13" t="s">
        <v>6436</v>
      </c>
      <c r="D1128" s="7" t="s">
        <v>952</v>
      </c>
      <c r="E1128" s="12" t="str">
        <f>HYPERLINK("https://twitter.com/waailal1/status/1181654577726115840","1181654577726115840")</f>
        <v>1181654577726115840</v>
      </c>
      <c r="F1128" s="8"/>
      <c r="G1128" s="14" t="s">
        <v>6437</v>
      </c>
      <c r="H1128" s="8"/>
      <c r="I1128" s="15">
        <v>0</v>
      </c>
      <c r="J1128" s="15">
        <v>0</v>
      </c>
      <c r="K1128" s="12" t="str">
        <f>HYPERLINK("https://mobile.twitter.com","Twitter Web App")</f>
        <v>Twitter Web App</v>
      </c>
      <c r="L1128" s="16">
        <v>0</v>
      </c>
      <c r="M1128" s="16">
        <v>1</v>
      </c>
      <c r="N1128" s="16">
        <v>0</v>
      </c>
      <c r="O1128" s="17"/>
      <c r="P1128" s="18">
        <v>43743.669490740736</v>
      </c>
      <c r="Q1128" s="7" t="s">
        <v>4714</v>
      </c>
      <c r="R1128" s="13" t="s">
        <v>1075</v>
      </c>
      <c r="S1128" s="8"/>
      <c r="T1128" s="8"/>
      <c r="U1128" s="19" t="str">
        <f>HYPERLINK("https://pbs.twimg.com/profile_images/1181260775735742470/Cd6i1N0R.jpg","View")</f>
        <v>View</v>
      </c>
      <c r="V1128" s="8"/>
      <c r="W1128" s="8"/>
      <c r="X1128" s="8"/>
      <c r="Y1128" s="8"/>
      <c r="Z1128" s="8"/>
    </row>
    <row r="1129" spans="1:26" ht="12.75">
      <c r="A1129" s="11">
        <v>43746.523043981477</v>
      </c>
      <c r="B1129" s="12" t="str">
        <f>HYPERLINK("https://twitter.com/bishr331","@bishr331")</f>
        <v>@bishr331</v>
      </c>
      <c r="C1129" s="13" t="s">
        <v>6452</v>
      </c>
      <c r="D1129" s="13" t="s">
        <v>944</v>
      </c>
      <c r="E1129" s="12" t="str">
        <f>HYPERLINK("https://twitter.com/bishr331/status/1181653785686376450","1181653785686376450")</f>
        <v>1181653785686376450</v>
      </c>
      <c r="F1129" s="8"/>
      <c r="G1129" s="14" t="s">
        <v>6453</v>
      </c>
      <c r="H1129" s="8"/>
      <c r="I1129" s="15">
        <v>0</v>
      </c>
      <c r="J1129" s="15">
        <v>0</v>
      </c>
      <c r="K1129" s="12" t="str">
        <f>HYPERLINK("https://mobile.twitter.com","Twitter Web App")</f>
        <v>Twitter Web App</v>
      </c>
      <c r="L1129" s="16">
        <v>0</v>
      </c>
      <c r="M1129" s="16">
        <v>2</v>
      </c>
      <c r="N1129" s="16">
        <v>0</v>
      </c>
      <c r="O1129" s="17"/>
      <c r="P1129" s="18">
        <v>43741.608449074076</v>
      </c>
      <c r="Q1129" s="8" t="s">
        <v>4714</v>
      </c>
      <c r="R1129" s="8" t="s">
        <v>1565</v>
      </c>
      <c r="S1129" s="8"/>
      <c r="T1129" s="8"/>
      <c r="U1129" s="19" t="str">
        <f>HYPERLINK("https://pbs.twimg.com/profile_images/1179873249053687809/TN9gJ6Ph.jpg","View")</f>
        <v>View</v>
      </c>
      <c r="V1129" s="8"/>
      <c r="W1129" s="8"/>
      <c r="X1129" s="8"/>
      <c r="Y1129" s="8"/>
      <c r="Z1129" s="8"/>
    </row>
    <row r="1130" spans="1:26" ht="12.75">
      <c r="A1130" s="11">
        <v>43746.522916666669</v>
      </c>
      <c r="B1130" s="12" t="str">
        <f>HYPERLINK("https://twitter.com/jawaadel","@jawaadel")</f>
        <v>@jawaadel</v>
      </c>
      <c r="C1130" s="13" t="s">
        <v>6459</v>
      </c>
      <c r="D1130" s="13" t="s">
        <v>1178</v>
      </c>
      <c r="E1130" s="12" t="str">
        <f>HYPERLINK("https://twitter.com/jawaadel/status/1181653740169777152","1181653740169777152")</f>
        <v>1181653740169777152</v>
      </c>
      <c r="F1130" s="8"/>
      <c r="G1130" s="14" t="s">
        <v>6461</v>
      </c>
      <c r="H1130" s="8"/>
      <c r="I1130" s="15">
        <v>0</v>
      </c>
      <c r="J1130" s="15">
        <v>0</v>
      </c>
      <c r="K1130" s="12" t="str">
        <f>HYPERLINK("https://mobile.twitter.com","Twitter Web App")</f>
        <v>Twitter Web App</v>
      </c>
      <c r="L1130" s="16">
        <v>0</v>
      </c>
      <c r="M1130" s="16">
        <v>1</v>
      </c>
      <c r="N1130" s="16">
        <v>0</v>
      </c>
      <c r="O1130" s="17"/>
      <c r="P1130" s="18">
        <v>43743.666851851856</v>
      </c>
      <c r="Q1130" s="8" t="s">
        <v>4714</v>
      </c>
      <c r="R1130" s="8" t="s">
        <v>1552</v>
      </c>
      <c r="S1130" s="8"/>
      <c r="T1130" s="8"/>
      <c r="U1130" s="19" t="str">
        <f>HYPERLINK("https://pbs.twimg.com/profile_images/1181259751738368000/INZk6p0H.jpg","View")</f>
        <v>View</v>
      </c>
      <c r="V1130" s="8"/>
      <c r="W1130" s="8"/>
      <c r="X1130" s="8"/>
      <c r="Y1130" s="8"/>
      <c r="Z1130" s="8"/>
    </row>
    <row r="1131" spans="1:26" ht="12.75">
      <c r="A1131" s="11">
        <v>43746.522893518515</v>
      </c>
      <c r="B1131" s="12" t="str">
        <f>HYPERLINK("https://twitter.com/waseem1281","@waseem1281")</f>
        <v>@waseem1281</v>
      </c>
      <c r="C1131" s="13" t="s">
        <v>6462</v>
      </c>
      <c r="D1131" s="13" t="s">
        <v>1030</v>
      </c>
      <c r="E1131" s="12" t="str">
        <f>HYPERLINK("https://twitter.com/waseem1281/status/1181653733886742528","1181653733886742528")</f>
        <v>1181653733886742528</v>
      </c>
      <c r="F1131" s="8"/>
      <c r="G1131" s="14" t="s">
        <v>6463</v>
      </c>
      <c r="H1131" s="8"/>
      <c r="I1131" s="15">
        <v>0</v>
      </c>
      <c r="J1131" s="15">
        <v>0</v>
      </c>
      <c r="K1131" s="12" t="str">
        <f>HYPERLINK("https://mobile.twitter.com","Twitter Web App")</f>
        <v>Twitter Web App</v>
      </c>
      <c r="L1131" s="16">
        <v>0</v>
      </c>
      <c r="M1131" s="16">
        <v>2</v>
      </c>
      <c r="N1131" s="16">
        <v>0</v>
      </c>
      <c r="O1131" s="17"/>
      <c r="P1131" s="18">
        <v>43741.598460648151</v>
      </c>
      <c r="Q1131" s="8" t="s">
        <v>6464</v>
      </c>
      <c r="R1131" s="8" t="s">
        <v>3114</v>
      </c>
      <c r="S1131" s="8"/>
      <c r="T1131" s="8"/>
      <c r="U1131" s="19" t="str">
        <f>HYPERLINK("https://pbs.twimg.com/profile_images/1179869593789030400/XwfXqaQ7.jpg","View")</f>
        <v>View</v>
      </c>
      <c r="V1131" s="8"/>
      <c r="W1131" s="8"/>
      <c r="X1131" s="8"/>
      <c r="Y1131" s="8"/>
      <c r="Z1131" s="8"/>
    </row>
    <row r="1132" spans="1:26" ht="12.75">
      <c r="A1132" s="11">
        <v>43746.522731481484</v>
      </c>
      <c r="B1132" s="12" t="str">
        <f>HYPERLINK("https://twitter.com/tawfeeqal3","@tawfeeqal3")</f>
        <v>@tawfeeqal3</v>
      </c>
      <c r="C1132" s="13" t="s">
        <v>6470</v>
      </c>
      <c r="D1132" s="13" t="s">
        <v>1130</v>
      </c>
      <c r="E1132" s="12" t="str">
        <f>HYPERLINK("https://twitter.com/tawfeeqal3/status/1181653673820049408","1181653673820049408")</f>
        <v>1181653673820049408</v>
      </c>
      <c r="F1132" s="8"/>
      <c r="G1132" s="14" t="s">
        <v>6471</v>
      </c>
      <c r="H1132" s="8"/>
      <c r="I1132" s="15">
        <v>0</v>
      </c>
      <c r="J1132" s="15">
        <v>0</v>
      </c>
      <c r="K1132" s="12" t="str">
        <f>HYPERLINK("https://mobile.twitter.com","Twitter Web App")</f>
        <v>Twitter Web App</v>
      </c>
      <c r="L1132" s="16">
        <v>0</v>
      </c>
      <c r="M1132" s="16">
        <v>2</v>
      </c>
      <c r="N1132" s="16">
        <v>0</v>
      </c>
      <c r="O1132" s="17"/>
      <c r="P1132" s="18">
        <v>43741.588530092587</v>
      </c>
      <c r="Q1132" s="7" t="s">
        <v>4714</v>
      </c>
      <c r="R1132" s="13" t="s">
        <v>3198</v>
      </c>
      <c r="S1132" s="8"/>
      <c r="T1132" s="8"/>
      <c r="U1132" s="19" t="str">
        <f>HYPERLINK("https://pbs.twimg.com/profile_images/1179866088428802048/-xosYuyE.jpg","View")</f>
        <v>View</v>
      </c>
      <c r="V1132" s="8"/>
      <c r="W1132" s="8"/>
      <c r="X1132" s="8"/>
      <c r="Y1132" s="8"/>
      <c r="Z1132" s="8"/>
    </row>
    <row r="1133" spans="1:26" ht="12.75">
      <c r="A1133" s="11">
        <v>43746.522592592592</v>
      </c>
      <c r="B1133" s="12" t="str">
        <f>HYPERLINK("https://twitter.com/ebragimal","@ebragimal")</f>
        <v>@ebragimal</v>
      </c>
      <c r="C1133" s="13" t="s">
        <v>6472</v>
      </c>
      <c r="D1133" s="13" t="s">
        <v>1107</v>
      </c>
      <c r="E1133" s="12" t="str">
        <f>HYPERLINK("https://twitter.com/ebragimal/status/1181653621538078720","1181653621538078720")</f>
        <v>1181653621538078720</v>
      </c>
      <c r="F1133" s="8"/>
      <c r="G1133" s="14" t="s">
        <v>6473</v>
      </c>
      <c r="H1133" s="8"/>
      <c r="I1133" s="15">
        <v>0</v>
      </c>
      <c r="J1133" s="15">
        <v>0</v>
      </c>
      <c r="K1133" s="12" t="str">
        <f>HYPERLINK("https://mobile.twitter.com","Twitter Web App")</f>
        <v>Twitter Web App</v>
      </c>
      <c r="L1133" s="16">
        <v>1</v>
      </c>
      <c r="M1133" s="16">
        <v>1</v>
      </c>
      <c r="N1133" s="16">
        <v>0</v>
      </c>
      <c r="O1133" s="17"/>
      <c r="P1133" s="18">
        <v>43741.569849537038</v>
      </c>
      <c r="Q1133" s="8" t="s">
        <v>4714</v>
      </c>
      <c r="R1133" s="8" t="s">
        <v>2443</v>
      </c>
      <c r="S1133" s="8"/>
      <c r="T1133" s="8"/>
      <c r="U1133" s="19" t="str">
        <f>HYPERLINK("https://pbs.twimg.com/profile_images/1179859455631970305/6ZXcXUnC.jpg","View")</f>
        <v>View</v>
      </c>
      <c r="V1133" s="8"/>
      <c r="W1133" s="8"/>
      <c r="X1133" s="8"/>
      <c r="Y1133" s="8"/>
      <c r="Z1133" s="8"/>
    </row>
    <row r="1134" spans="1:26" ht="12.75">
      <c r="A1134" s="11">
        <v>43746.52244212963</v>
      </c>
      <c r="B1134" s="12" t="str">
        <f>HYPERLINK("https://twitter.com/riyaalel","@riyaalel")</f>
        <v>@riyaalel</v>
      </c>
      <c r="C1134" s="13" t="s">
        <v>6477</v>
      </c>
      <c r="D1134" s="13" t="s">
        <v>907</v>
      </c>
      <c r="E1134" s="12" t="str">
        <f>HYPERLINK("https://twitter.com/riyaalel/status/1181653568165531648","1181653568165531648")</f>
        <v>1181653568165531648</v>
      </c>
      <c r="F1134" s="8"/>
      <c r="G1134" s="14" t="s">
        <v>6478</v>
      </c>
      <c r="H1134" s="8"/>
      <c r="I1134" s="15">
        <v>0</v>
      </c>
      <c r="J1134" s="15">
        <v>0</v>
      </c>
      <c r="K1134" s="12" t="str">
        <f>HYPERLINK("https://mobile.twitter.com","Twitter Web App")</f>
        <v>Twitter Web App</v>
      </c>
      <c r="L1134" s="16">
        <v>0</v>
      </c>
      <c r="M1134" s="16">
        <v>2</v>
      </c>
      <c r="N1134" s="16">
        <v>0</v>
      </c>
      <c r="O1134" s="17"/>
      <c r="P1134" s="18">
        <v>43741.564560185187</v>
      </c>
      <c r="Q1134" s="8" t="s">
        <v>4714</v>
      </c>
      <c r="R1134" s="8" t="s">
        <v>1606</v>
      </c>
      <c r="S1134" s="8"/>
      <c r="T1134" s="8"/>
      <c r="U1134" s="19" t="str">
        <f>HYPERLINK("https://pbs.twimg.com/profile_images/1179857253614010368/tOiPQlYV.jpg","View")</f>
        <v>View</v>
      </c>
      <c r="V1134" s="8"/>
      <c r="W1134" s="8"/>
      <c r="X1134" s="8"/>
      <c r="Y1134" s="8"/>
      <c r="Z1134" s="8"/>
    </row>
    <row r="1135" spans="1:26" ht="12.75">
      <c r="A1135" s="11">
        <v>43746.522303240738</v>
      </c>
      <c r="B1135" s="12" t="str">
        <f>HYPERLINK("https://twitter.com/talhaal12","@talhaal12")</f>
        <v>@talhaal12</v>
      </c>
      <c r="C1135" s="13" t="s">
        <v>6480</v>
      </c>
      <c r="D1135" s="7" t="s">
        <v>923</v>
      </c>
      <c r="E1135" s="12" t="str">
        <f>HYPERLINK("https://twitter.com/talhaal12/status/1181653516525268992","1181653516525268992")</f>
        <v>1181653516525268992</v>
      </c>
      <c r="F1135" s="8"/>
      <c r="G1135" s="14" t="s">
        <v>6481</v>
      </c>
      <c r="H1135" s="8"/>
      <c r="I1135" s="15">
        <v>0</v>
      </c>
      <c r="J1135" s="15">
        <v>0</v>
      </c>
      <c r="K1135" s="12" t="str">
        <f>HYPERLINK("https://mobile.twitter.com","Twitter Web App")</f>
        <v>Twitter Web App</v>
      </c>
      <c r="L1135" s="16">
        <v>0</v>
      </c>
      <c r="M1135" s="16">
        <v>2</v>
      </c>
      <c r="N1135" s="16">
        <v>0</v>
      </c>
      <c r="O1135" s="17"/>
      <c r="P1135" s="18">
        <v>43741.554571759261</v>
      </c>
      <c r="Q1135" s="7" t="s">
        <v>4714</v>
      </c>
      <c r="R1135" s="13" t="s">
        <v>1281</v>
      </c>
      <c r="S1135" s="8"/>
      <c r="T1135" s="8"/>
      <c r="U1135" s="19" t="str">
        <f>HYPERLINK("https://pbs.twimg.com/profile_images/1179853791329341440/0EU2poZG.jpg","View")</f>
        <v>View</v>
      </c>
      <c r="V1135" s="8"/>
      <c r="W1135" s="8"/>
      <c r="X1135" s="8"/>
      <c r="Y1135" s="8"/>
      <c r="Z1135" s="8"/>
    </row>
    <row r="1136" spans="1:26" ht="12.75">
      <c r="A1136" s="11">
        <v>43746.52207175926</v>
      </c>
      <c r="B1136" s="12" t="str">
        <f>HYPERLINK("https://twitter.com/AbuNasi1","@AbuNasi1")</f>
        <v>@AbuNasi1</v>
      </c>
      <c r="C1136" s="13" t="s">
        <v>6482</v>
      </c>
      <c r="D1136" s="13" t="s">
        <v>1107</v>
      </c>
      <c r="E1136" s="12" t="str">
        <f>HYPERLINK("https://twitter.com/AbuNasi1/status/1181653435780751360","1181653435780751360")</f>
        <v>1181653435780751360</v>
      </c>
      <c r="F1136" s="8"/>
      <c r="G1136" s="14" t="s">
        <v>6483</v>
      </c>
      <c r="H1136" s="8"/>
      <c r="I1136" s="15">
        <v>0</v>
      </c>
      <c r="J1136" s="15">
        <v>0</v>
      </c>
      <c r="K1136" s="12" t="str">
        <f>HYPERLINK("https://mobile.twitter.com","Twitter Web App")</f>
        <v>Twitter Web App</v>
      </c>
      <c r="L1136" s="16">
        <v>0</v>
      </c>
      <c r="M1136" s="16">
        <v>1</v>
      </c>
      <c r="N1136" s="16">
        <v>0</v>
      </c>
      <c r="O1136" s="17"/>
      <c r="P1136" s="18">
        <v>43729.978819444441</v>
      </c>
      <c r="Q1136" s="7" t="s">
        <v>1133</v>
      </c>
      <c r="R1136" s="13" t="s">
        <v>1277</v>
      </c>
      <c r="S1136" s="8"/>
      <c r="T1136" s="8"/>
      <c r="U1136" s="19" t="str">
        <f>HYPERLINK("https://pbs.twimg.com/profile_images/1175659226535878657/QjM3B0Wg.jpg","View")</f>
        <v>View</v>
      </c>
      <c r="V1136" s="8"/>
      <c r="W1136" s="8"/>
      <c r="X1136" s="8"/>
      <c r="Y1136" s="8"/>
      <c r="Z1136" s="8"/>
    </row>
    <row r="1137" spans="1:26" ht="12.75">
      <c r="A1137" s="11">
        <v>43746.522002314814</v>
      </c>
      <c r="B1137" s="12" t="str">
        <f>HYPERLINK("https://twitter.com/musaddiqal2","@musaddiqal2")</f>
        <v>@musaddiqal2</v>
      </c>
      <c r="C1137" s="7" t="s">
        <v>6490</v>
      </c>
      <c r="D1137" s="7" t="s">
        <v>937</v>
      </c>
      <c r="E1137" s="12" t="str">
        <f>HYPERLINK("https://twitter.com/musaddiqal2/status/1181653410833002496","1181653410833002496")</f>
        <v>1181653410833002496</v>
      </c>
      <c r="F1137" s="8"/>
      <c r="G1137" s="14" t="s">
        <v>6491</v>
      </c>
      <c r="H1137" s="8"/>
      <c r="I1137" s="15">
        <v>0</v>
      </c>
      <c r="J1137" s="15">
        <v>0</v>
      </c>
      <c r="K1137" s="12" t="str">
        <f>HYPERLINK("https://mobile.twitter.com","Twitter Web App")</f>
        <v>Twitter Web App</v>
      </c>
      <c r="L1137" s="16">
        <v>0</v>
      </c>
      <c r="M1137" s="16">
        <v>2</v>
      </c>
      <c r="N1137" s="16">
        <v>0</v>
      </c>
      <c r="O1137" s="17"/>
      <c r="P1137" s="18">
        <v>43741.540497685186</v>
      </c>
      <c r="Q1137" s="7" t="s">
        <v>4714</v>
      </c>
      <c r="R1137" s="13" t="s">
        <v>1075</v>
      </c>
      <c r="S1137" s="8"/>
      <c r="T1137" s="8"/>
      <c r="U1137" s="19" t="str">
        <f>HYPERLINK("https://pbs.twimg.com/profile_images/1179848511786848256/DMn6Syls.jpg","View")</f>
        <v>View</v>
      </c>
      <c r="V1137" s="8"/>
      <c r="W1137" s="8"/>
      <c r="X1137" s="8"/>
      <c r="Y1137" s="8"/>
      <c r="Z1137" s="8"/>
    </row>
    <row r="1138" spans="1:26" ht="12.75">
      <c r="A1138" s="11">
        <v>43746.521828703699</v>
      </c>
      <c r="B1138" s="12" t="str">
        <f>HYPERLINK("https://twitter.com/aatikael2","@aatikael2")</f>
        <v>@aatikael2</v>
      </c>
      <c r="C1138" s="13" t="s">
        <v>6492</v>
      </c>
      <c r="D1138" s="7" t="s">
        <v>952</v>
      </c>
      <c r="E1138" s="12" t="str">
        <f>HYPERLINK("https://twitter.com/aatikael2/status/1181653348140736512","1181653348140736512")</f>
        <v>1181653348140736512</v>
      </c>
      <c r="F1138" s="8"/>
      <c r="G1138" s="14" t="s">
        <v>6493</v>
      </c>
      <c r="H1138" s="8"/>
      <c r="I1138" s="15">
        <v>0</v>
      </c>
      <c r="J1138" s="15">
        <v>0</v>
      </c>
      <c r="K1138" s="12" t="str">
        <f>HYPERLINK("https://mobile.twitter.com","Twitter Web App")</f>
        <v>Twitter Web App</v>
      </c>
      <c r="L1138" s="16">
        <v>0</v>
      </c>
      <c r="M1138" s="16">
        <v>2</v>
      </c>
      <c r="N1138" s="16">
        <v>0</v>
      </c>
      <c r="O1138" s="17"/>
      <c r="P1138" s="18">
        <v>43741.534641203703</v>
      </c>
      <c r="Q1138" s="7" t="s">
        <v>4714</v>
      </c>
      <c r="R1138" s="13" t="s">
        <v>1552</v>
      </c>
      <c r="S1138" s="8"/>
      <c r="T1138" s="8"/>
      <c r="U1138" s="19" t="str">
        <f>HYPERLINK("https://pbs.twimg.com/profile_images/1179846455722332162/fB5zxFvm.jpg","View")</f>
        <v>View</v>
      </c>
      <c r="V1138" s="8"/>
      <c r="W1138" s="8"/>
      <c r="X1138" s="8"/>
      <c r="Y1138" s="8"/>
      <c r="Z1138" s="8"/>
    </row>
    <row r="1139" spans="1:26" ht="12.75">
      <c r="A1139" s="11">
        <v>43746.521585648152</v>
      </c>
      <c r="B1139" s="12" t="str">
        <f>HYPERLINK("https://twitter.com/AbuHamz17","@AbuHamz17")</f>
        <v>@AbuHamz17</v>
      </c>
      <c r="C1139" s="13" t="s">
        <v>6500</v>
      </c>
      <c r="D1139" s="13" t="s">
        <v>907</v>
      </c>
      <c r="E1139" s="12" t="str">
        <f>HYPERLINK("https://twitter.com/AbuHamz17/status/1181653256293900288","1181653256293900288")</f>
        <v>1181653256293900288</v>
      </c>
      <c r="F1139" s="8"/>
      <c r="G1139" s="14" t="s">
        <v>6501</v>
      </c>
      <c r="H1139" s="8"/>
      <c r="I1139" s="15">
        <v>0</v>
      </c>
      <c r="J1139" s="15">
        <v>0</v>
      </c>
      <c r="K1139" s="12" t="str">
        <f>HYPERLINK("https://mobile.twitter.com","Twitter Web App")</f>
        <v>Twitter Web App</v>
      </c>
      <c r="L1139" s="16">
        <v>0</v>
      </c>
      <c r="M1139" s="16">
        <v>3</v>
      </c>
      <c r="N1139" s="16">
        <v>0</v>
      </c>
      <c r="O1139" s="17"/>
      <c r="P1139" s="18">
        <v>43729.968171296292</v>
      </c>
      <c r="Q1139" s="8" t="s">
        <v>2811</v>
      </c>
      <c r="R1139" s="8" t="s">
        <v>925</v>
      </c>
      <c r="S1139" s="8"/>
      <c r="T1139" s="8"/>
      <c r="U1139" s="19" t="str">
        <f>HYPERLINK("https://pbs.twimg.com/profile_images/1178963699005943808/_f6nIcZp.jpg","View")</f>
        <v>View</v>
      </c>
      <c r="V1139" s="8"/>
      <c r="W1139" s="8"/>
      <c r="X1139" s="8"/>
      <c r="Y1139" s="8"/>
      <c r="Z1139" s="8"/>
    </row>
    <row r="1140" spans="1:26" ht="12.75">
      <c r="A1140" s="11">
        <v>43746.520636574074</v>
      </c>
      <c r="B1140" s="12" t="str">
        <f>HYPERLINK("https://twitter.com/AbdullahAbubin","@AbdullahAbubin")</f>
        <v>@AbdullahAbubin</v>
      </c>
      <c r="C1140" s="13" t="s">
        <v>6510</v>
      </c>
      <c r="D1140" s="13" t="s">
        <v>923</v>
      </c>
      <c r="E1140" s="12" t="str">
        <f>HYPERLINK("https://twitter.com/AbdullahAbubin/status/1181652914588110848","1181652914588110848")</f>
        <v>1181652914588110848</v>
      </c>
      <c r="F1140" s="8"/>
      <c r="G1140" s="14" t="s">
        <v>6511</v>
      </c>
      <c r="H1140" s="8"/>
      <c r="I1140" s="15">
        <v>0</v>
      </c>
      <c r="J1140" s="15">
        <v>0</v>
      </c>
      <c r="K1140" s="12" t="str">
        <f>HYPERLINK("https://mobile.twitter.com","Twitter Web App")</f>
        <v>Twitter Web App</v>
      </c>
      <c r="L1140" s="16">
        <v>0</v>
      </c>
      <c r="M1140" s="16">
        <v>1</v>
      </c>
      <c r="N1140" s="16">
        <v>0</v>
      </c>
      <c r="O1140" s="17"/>
      <c r="P1140" s="18">
        <v>43729.955324074079</v>
      </c>
      <c r="Q1140" s="7" t="s">
        <v>1228</v>
      </c>
      <c r="R1140" s="13" t="s">
        <v>2443</v>
      </c>
      <c r="S1140" s="8"/>
      <c r="T1140" s="8"/>
      <c r="U1140" s="19" t="str">
        <f>HYPERLINK("https://pbs.twimg.com/profile_images/1178965539114242049/v6sCzrHN.jpg","View")</f>
        <v>View</v>
      </c>
      <c r="V1140" s="8"/>
      <c r="W1140" s="8"/>
      <c r="X1140" s="8"/>
      <c r="Y1140" s="8"/>
      <c r="Z1140" s="8"/>
    </row>
    <row r="1141" spans="1:26" ht="12.75">
      <c r="A1141" s="11">
        <v>43746.520312499997</v>
      </c>
      <c r="B1141" s="12" t="str">
        <f>HYPERLINK("https://twitter.com/elhoulafy","@elhoulafy")</f>
        <v>@elhoulafy</v>
      </c>
      <c r="C1141" s="13" t="s">
        <v>6517</v>
      </c>
      <c r="D1141" s="13" t="s">
        <v>6519</v>
      </c>
      <c r="E1141" s="12" t="str">
        <f>HYPERLINK("https://twitter.com/elhoulafy/status/1181652798569619458","1181652798569619458")</f>
        <v>1181652798569619458</v>
      </c>
      <c r="F1141" s="8"/>
      <c r="G1141" s="15"/>
      <c r="H1141" s="8"/>
      <c r="I1141" s="15">
        <v>0</v>
      </c>
      <c r="J1141" s="15">
        <v>0</v>
      </c>
      <c r="K1141" s="12" t="str">
        <f>HYPERLINK("http://twitter.com/download/android","Twitter for Android")</f>
        <v>Twitter for Android</v>
      </c>
      <c r="L1141" s="16">
        <v>62</v>
      </c>
      <c r="M1141" s="16">
        <v>770</v>
      </c>
      <c r="N1141" s="16">
        <v>0</v>
      </c>
      <c r="O1141" s="17"/>
      <c r="P1141" s="18">
        <v>41298.187349537038</v>
      </c>
      <c r="Q1141" s="8"/>
      <c r="R1141" s="8"/>
      <c r="S1141" s="8"/>
      <c r="T1141" s="8"/>
      <c r="U1141" s="19" t="str">
        <f>HYPERLINK("https://pbs.twimg.com/profile_images/1176984143114244096/6cH7Wm_X.jpg","View")</f>
        <v>View</v>
      </c>
      <c r="V1141" s="8"/>
      <c r="W1141" s="8"/>
      <c r="X1141" s="8"/>
      <c r="Y1141" s="8"/>
      <c r="Z1141" s="8"/>
    </row>
    <row r="1142" spans="1:26" ht="12.75">
      <c r="A1142" s="11">
        <v>43746.518969907411</v>
      </c>
      <c r="B1142" s="12" t="str">
        <f>HYPERLINK("https://twitter.com/farhael1","@farhael1")</f>
        <v>@farhael1</v>
      </c>
      <c r="C1142" s="13" t="s">
        <v>6522</v>
      </c>
      <c r="D1142" s="13" t="s">
        <v>1178</v>
      </c>
      <c r="E1142" s="12" t="str">
        <f>HYPERLINK("https://twitter.com/farhael1/status/1181652309345890305","1181652309345890305")</f>
        <v>1181652309345890305</v>
      </c>
      <c r="F1142" s="8"/>
      <c r="G1142" s="14" t="s">
        <v>6523</v>
      </c>
      <c r="H1142" s="8"/>
      <c r="I1142" s="15">
        <v>0</v>
      </c>
      <c r="J1142" s="15">
        <v>0</v>
      </c>
      <c r="K1142" s="12" t="str">
        <f>HYPERLINK("https://mobile.twitter.com","Twitter Web App")</f>
        <v>Twitter Web App</v>
      </c>
      <c r="L1142" s="16">
        <v>0</v>
      </c>
      <c r="M1142" s="16">
        <v>2</v>
      </c>
      <c r="N1142" s="16">
        <v>0</v>
      </c>
      <c r="O1142" s="17"/>
      <c r="P1142" s="18">
        <v>43741.52820601852</v>
      </c>
      <c r="Q1142" s="8" t="s">
        <v>4714</v>
      </c>
      <c r="R1142" s="8" t="s">
        <v>1110</v>
      </c>
      <c r="S1142" s="8"/>
      <c r="T1142" s="8"/>
      <c r="U1142" s="19" t="str">
        <f>HYPERLINK("https://pbs.twimg.com/profile_images/1179844178525573122/mooFZc63.jpg","View")</f>
        <v>View</v>
      </c>
      <c r="V1142" s="8"/>
      <c r="W1142" s="8"/>
      <c r="X1142" s="8"/>
      <c r="Y1142" s="8"/>
      <c r="Z1142" s="8"/>
    </row>
    <row r="1143" spans="1:26" ht="12.75">
      <c r="A1143" s="11">
        <v>43746.518576388888</v>
      </c>
      <c r="B1143" s="12" t="str">
        <f>HYPERLINK("https://twitter.com/RajabSabee","@RajabSabee")</f>
        <v>@RajabSabee</v>
      </c>
      <c r="C1143" s="13" t="s">
        <v>6527</v>
      </c>
      <c r="D1143" s="13" t="s">
        <v>952</v>
      </c>
      <c r="E1143" s="12" t="str">
        <f>HYPERLINK("https://twitter.com/RajabSabee/status/1181652166009704448","1181652166009704448")</f>
        <v>1181652166009704448</v>
      </c>
      <c r="F1143" s="8"/>
      <c r="G1143" s="14" t="s">
        <v>6528</v>
      </c>
      <c r="H1143" s="8"/>
      <c r="I1143" s="15">
        <v>0</v>
      </c>
      <c r="J1143" s="15">
        <v>0</v>
      </c>
      <c r="K1143" s="12" t="str">
        <f>HYPERLINK("https://mobile.twitter.com","Twitter Web App")</f>
        <v>Twitter Web App</v>
      </c>
      <c r="L1143" s="16">
        <v>0</v>
      </c>
      <c r="M1143" s="16">
        <v>1</v>
      </c>
      <c r="N1143" s="16">
        <v>0</v>
      </c>
      <c r="O1143" s="17"/>
      <c r="P1143" s="18">
        <v>43728.987303240741</v>
      </c>
      <c r="Q1143" s="8" t="s">
        <v>920</v>
      </c>
      <c r="R1143" s="8" t="s">
        <v>3198</v>
      </c>
      <c r="S1143" s="8"/>
      <c r="T1143" s="8"/>
      <c r="U1143" s="19" t="str">
        <f>HYPERLINK("https://pbs.twimg.com/profile_images/1178966346454859777/a53U0Dgd.jpg","View")</f>
        <v>View</v>
      </c>
      <c r="V1143" s="8"/>
      <c r="W1143" s="8"/>
      <c r="X1143" s="8"/>
      <c r="Y1143" s="8"/>
      <c r="Z1143" s="8"/>
    </row>
    <row r="1144" spans="1:26" ht="12.75">
      <c r="A1144" s="11">
        <v>43746.51829861111</v>
      </c>
      <c r="B1144" s="12" t="str">
        <f>HYPERLINK("https://twitter.com/MarzoukRahmi","@MarzoukRahmi")</f>
        <v>@MarzoukRahmi</v>
      </c>
      <c r="C1144" s="13" t="s">
        <v>6531</v>
      </c>
      <c r="D1144" s="13" t="s">
        <v>1178</v>
      </c>
      <c r="E1144" s="12" t="str">
        <f>HYPERLINK("https://twitter.com/MarzoukRahmi/status/1181652066109816832","1181652066109816832")</f>
        <v>1181652066109816832</v>
      </c>
      <c r="F1144" s="8"/>
      <c r="G1144" s="14" t="s">
        <v>6532</v>
      </c>
      <c r="H1144" s="8"/>
      <c r="I1144" s="15">
        <v>0</v>
      </c>
      <c r="J1144" s="15">
        <v>0</v>
      </c>
      <c r="K1144" s="12" t="str">
        <f>HYPERLINK("https://mobile.twitter.com","Twitter Web App")</f>
        <v>Twitter Web App</v>
      </c>
      <c r="L1144" s="16">
        <v>0</v>
      </c>
      <c r="M1144" s="16">
        <v>1</v>
      </c>
      <c r="N1144" s="16">
        <v>0</v>
      </c>
      <c r="O1144" s="17"/>
      <c r="P1144" s="18">
        <v>43728.982939814814</v>
      </c>
      <c r="Q1144" s="8" t="s">
        <v>949</v>
      </c>
      <c r="R1144" s="8" t="s">
        <v>1110</v>
      </c>
      <c r="S1144" s="8"/>
      <c r="T1144" s="8"/>
      <c r="U1144" s="19" t="str">
        <f>HYPERLINK("https://pbs.twimg.com/profile_images/1178259150838456320/umn6nmys.jpg","View")</f>
        <v>View</v>
      </c>
      <c r="V1144" s="8"/>
      <c r="W1144" s="8"/>
      <c r="X1144" s="8"/>
      <c r="Y1144" s="8"/>
      <c r="Z1144" s="8"/>
    </row>
    <row r="1145" spans="1:26" ht="12.75">
      <c r="A1145" s="11">
        <v>43746.517939814818</v>
      </c>
      <c r="B1145" s="12" t="str">
        <f>HYPERLINK("https://twitter.com/RKhuwalidi","@RKhuwalidi")</f>
        <v>@RKhuwalidi</v>
      </c>
      <c r="C1145" s="13" t="s">
        <v>6536</v>
      </c>
      <c r="D1145" s="13" t="s">
        <v>907</v>
      </c>
      <c r="E1145" s="12" t="str">
        <f>HYPERLINK("https://twitter.com/RKhuwalidi/status/1181651936673550336","1181651936673550336")</f>
        <v>1181651936673550336</v>
      </c>
      <c r="F1145" s="8"/>
      <c r="G1145" s="14" t="s">
        <v>6537</v>
      </c>
      <c r="H1145" s="8"/>
      <c r="I1145" s="15">
        <v>0</v>
      </c>
      <c r="J1145" s="15">
        <v>0</v>
      </c>
      <c r="K1145" s="12" t="str">
        <f>HYPERLINK("https://mobile.twitter.com","Twitter Web App")</f>
        <v>Twitter Web App</v>
      </c>
      <c r="L1145" s="16">
        <v>0</v>
      </c>
      <c r="M1145" s="16">
        <v>1</v>
      </c>
      <c r="N1145" s="16">
        <v>0</v>
      </c>
      <c r="O1145" s="17"/>
      <c r="P1145" s="18">
        <v>43728.980740740742</v>
      </c>
      <c r="Q1145" s="8" t="s">
        <v>949</v>
      </c>
      <c r="R1145" s="8" t="s">
        <v>1258</v>
      </c>
      <c r="S1145" s="8"/>
      <c r="T1145" s="8"/>
      <c r="U1145" s="19" t="str">
        <f>HYPERLINK("https://pbs.twimg.com/profile_images/1178257730248667136/6ivSMVAo.jpg","View")</f>
        <v>View</v>
      </c>
      <c r="V1145" s="8"/>
      <c r="W1145" s="8"/>
      <c r="X1145" s="8"/>
      <c r="Y1145" s="8"/>
      <c r="Z1145" s="8"/>
    </row>
    <row r="1146" spans="1:26" ht="12.75">
      <c r="A1146" s="11">
        <v>43746.517650462964</v>
      </c>
      <c r="B1146" s="12" t="str">
        <f>HYPERLINK("https://twitter.com/Rahmanbinasseg1","@Rahmanbinasseg1")</f>
        <v>@Rahmanbinasseg1</v>
      </c>
      <c r="C1146" s="13" t="s">
        <v>6538</v>
      </c>
      <c r="D1146" s="13" t="s">
        <v>1236</v>
      </c>
      <c r="E1146" s="12" t="str">
        <f>HYPERLINK("https://twitter.com/Rahmanbinasseg1/status/1181651831375593472","1181651831375593472")</f>
        <v>1181651831375593472</v>
      </c>
      <c r="F1146" s="8"/>
      <c r="G1146" s="14" t="s">
        <v>6540</v>
      </c>
      <c r="H1146" s="8"/>
      <c r="I1146" s="15">
        <v>0</v>
      </c>
      <c r="J1146" s="15">
        <v>0</v>
      </c>
      <c r="K1146" s="12" t="str">
        <f>HYPERLINK("https://mobile.twitter.com","Twitter Web App")</f>
        <v>Twitter Web App</v>
      </c>
      <c r="L1146" s="16">
        <v>0</v>
      </c>
      <c r="M1146" s="16">
        <v>1</v>
      </c>
      <c r="N1146" s="16">
        <v>0</v>
      </c>
      <c r="O1146" s="17"/>
      <c r="P1146" s="18">
        <v>43728.977673611109</v>
      </c>
      <c r="Q1146" s="8" t="s">
        <v>920</v>
      </c>
      <c r="R1146" s="8" t="s">
        <v>1277</v>
      </c>
      <c r="S1146" s="8"/>
      <c r="T1146" s="8"/>
      <c r="U1146" s="19" t="str">
        <f>HYPERLINK("https://pbs.twimg.com/profile_images/1178257218233237508/FEhl7Slu.jpg","View")</f>
        <v>View</v>
      </c>
      <c r="V1146" s="8"/>
      <c r="W1146" s="8"/>
      <c r="X1146" s="8"/>
      <c r="Y1146" s="8"/>
      <c r="Z1146" s="8"/>
    </row>
    <row r="1147" spans="1:26" ht="12.75">
      <c r="A1147" s="11">
        <v>43746.517268518517</v>
      </c>
      <c r="B1147" s="12" t="str">
        <f>HYPERLINK("https://twitter.com/RahimSahli","@RahimSahli")</f>
        <v>@RahimSahli</v>
      </c>
      <c r="C1147" s="13" t="s">
        <v>6545</v>
      </c>
      <c r="D1147" s="7" t="s">
        <v>28</v>
      </c>
      <c r="E1147" s="12" t="str">
        <f>HYPERLINK("https://twitter.com/RahimSahli/status/1181651693794021376","1181651693794021376")</f>
        <v>1181651693794021376</v>
      </c>
      <c r="F1147" s="8"/>
      <c r="G1147" s="14" t="s">
        <v>1267</v>
      </c>
      <c r="H1147" s="8"/>
      <c r="I1147" s="15">
        <v>0</v>
      </c>
      <c r="J1147" s="15">
        <v>0</v>
      </c>
      <c r="K1147" s="12" t="str">
        <f>HYPERLINK("https://mobile.twitter.com","Twitter Web App")</f>
        <v>Twitter Web App</v>
      </c>
      <c r="L1147" s="16">
        <v>0</v>
      </c>
      <c r="M1147" s="16">
        <v>1</v>
      </c>
      <c r="N1147" s="16">
        <v>0</v>
      </c>
      <c r="O1147" s="17"/>
      <c r="P1147" s="18">
        <v>43728.975844907407</v>
      </c>
      <c r="Q1147" s="7" t="s">
        <v>1228</v>
      </c>
      <c r="R1147" s="13" t="s">
        <v>912</v>
      </c>
      <c r="S1147" s="8"/>
      <c r="T1147" s="8"/>
      <c r="U1147" s="19" t="str">
        <f>HYPERLINK("https://pbs.twimg.com/profile_images/1178256708935618560/LJDVn9s2.jpg","View")</f>
        <v>View</v>
      </c>
      <c r="V1147" s="8"/>
      <c r="W1147" s="8"/>
      <c r="X1147" s="8"/>
      <c r="Y1147" s="8"/>
      <c r="Z1147" s="8"/>
    </row>
    <row r="1148" spans="1:26" ht="12.75">
      <c r="A1148" s="11">
        <v>43746.51725694444</v>
      </c>
      <c r="B1148" s="12" t="str">
        <f>HYPERLINK("https://twitter.com/ayedbinmohammdd","@ayedbinmohammdd")</f>
        <v>@ayedbinmohammdd</v>
      </c>
      <c r="C1148" s="7" t="s">
        <v>6549</v>
      </c>
      <c r="D1148" s="7" t="s">
        <v>6550</v>
      </c>
      <c r="E1148" s="12" t="str">
        <f>HYPERLINK("https://twitter.com/ayedbinmohammdd/status/1181651689029414912","1181651689029414912")</f>
        <v>1181651689029414912</v>
      </c>
      <c r="F1148" s="8"/>
      <c r="G1148" s="14" t="s">
        <v>6553</v>
      </c>
      <c r="H1148" s="8"/>
      <c r="I1148" s="15">
        <v>0</v>
      </c>
      <c r="J1148" s="15">
        <v>0</v>
      </c>
      <c r="K1148" s="12" t="str">
        <f>HYPERLINK("http://twitter.com","Twitter Web Client")</f>
        <v>Twitter Web Client</v>
      </c>
      <c r="L1148" s="16">
        <v>0</v>
      </c>
      <c r="M1148" s="16">
        <v>31</v>
      </c>
      <c r="N1148" s="16">
        <v>0</v>
      </c>
      <c r="O1148" s="17"/>
      <c r="P1148" s="18">
        <v>41848.217858796299</v>
      </c>
      <c r="Q1148" s="7"/>
      <c r="R1148" s="13"/>
      <c r="S1148" s="8"/>
      <c r="T1148" s="8"/>
      <c r="U1148" s="19" t="str">
        <f>HYPERLINK("https://pbs.twimg.com/profile_images/493731598295003136/TYu8oorK.jpeg","View")</f>
        <v>View</v>
      </c>
      <c r="V1148" s="8"/>
      <c r="W1148" s="8"/>
      <c r="X1148" s="8"/>
      <c r="Y1148" s="8"/>
      <c r="Z1148" s="8"/>
    </row>
    <row r="1149" spans="1:26" ht="12.75">
      <c r="A1149" s="11">
        <v>43746.517002314809</v>
      </c>
      <c r="B1149" s="12" t="str">
        <f>HYPERLINK("https://twitter.com/huosain_tt","@huosain_tt")</f>
        <v>@huosain_tt</v>
      </c>
      <c r="C1149" s="13" t="s">
        <v>6557</v>
      </c>
      <c r="D1149" s="13" t="s">
        <v>1645</v>
      </c>
      <c r="E1149" s="12" t="str">
        <f>HYPERLINK("https://twitter.com/huosain_tt/status/1181651598449299456","1181651598449299456")</f>
        <v>1181651598449299456</v>
      </c>
      <c r="F1149" s="8"/>
      <c r="G1149" s="14" t="s">
        <v>6559</v>
      </c>
      <c r="H1149" s="8"/>
      <c r="I1149" s="15">
        <v>0</v>
      </c>
      <c r="J1149" s="15">
        <v>0</v>
      </c>
      <c r="K1149" s="12" t="str">
        <f>HYPERLINK("http://twitter.com","Twitter Web Client")</f>
        <v>Twitter Web Client</v>
      </c>
      <c r="L1149" s="16">
        <v>12</v>
      </c>
      <c r="M1149" s="16">
        <v>46</v>
      </c>
      <c r="N1149" s="16">
        <v>0</v>
      </c>
      <c r="O1149" s="17"/>
      <c r="P1149" s="18">
        <v>42075.487627314811</v>
      </c>
      <c r="Q1149" s="7"/>
      <c r="R1149" s="13"/>
      <c r="S1149" s="8"/>
      <c r="T1149" s="8"/>
      <c r="U1149" s="19" t="str">
        <f>HYPERLINK("https://pbs.twimg.com/profile_images/576090975585501184/PoyoqvJX.jpeg","View")</f>
        <v>View</v>
      </c>
      <c r="V1149" s="8"/>
      <c r="W1149" s="8"/>
      <c r="X1149" s="8"/>
      <c r="Y1149" s="8"/>
      <c r="Z1149" s="8"/>
    </row>
    <row r="1150" spans="1:26" ht="12.75">
      <c r="A1150" s="11">
        <v>43746.516319444447</v>
      </c>
      <c r="B1150" s="12" t="str">
        <f>HYPERLINK("https://twitter.com/kawagaa33","@kawagaa33")</f>
        <v>@kawagaa33</v>
      </c>
      <c r="C1150" s="13" t="s">
        <v>6560</v>
      </c>
      <c r="D1150" s="13" t="s">
        <v>1656</v>
      </c>
      <c r="E1150" s="12" t="str">
        <f>HYPERLINK("https://twitter.com/kawagaa33/status/1181651351606104064","1181651351606104064")</f>
        <v>1181651351606104064</v>
      </c>
      <c r="F1150" s="8"/>
      <c r="G1150" s="14" t="s">
        <v>6563</v>
      </c>
      <c r="H1150" s="8"/>
      <c r="I1150" s="15">
        <v>0</v>
      </c>
      <c r="J1150" s="15">
        <v>0</v>
      </c>
      <c r="K1150" s="12" t="str">
        <f>HYPERLINK("http://twitter.com","Twitter Web Client")</f>
        <v>Twitter Web Client</v>
      </c>
      <c r="L1150" s="16">
        <v>1</v>
      </c>
      <c r="M1150" s="16">
        <v>34</v>
      </c>
      <c r="N1150" s="16">
        <v>0</v>
      </c>
      <c r="O1150" s="17"/>
      <c r="P1150" s="18">
        <v>42066.142974537041</v>
      </c>
      <c r="Q1150" s="8"/>
      <c r="R1150" s="8"/>
      <c r="S1150" s="8"/>
      <c r="T1150" s="8"/>
      <c r="U1150" s="19" t="str">
        <f>HYPERLINK("https://pbs.twimg.com/profile_images/572719753748152320/VvfJHSxT.jpeg","View")</f>
        <v>View</v>
      </c>
      <c r="V1150" s="8"/>
      <c r="W1150" s="8"/>
      <c r="X1150" s="8"/>
      <c r="Y1150" s="8"/>
      <c r="Z1150" s="8"/>
    </row>
    <row r="1151" spans="1:26" ht="12.75">
      <c r="A1151" s="11">
        <v>43746.516053240739</v>
      </c>
      <c r="B1151" s="12" t="str">
        <f>HYPERLINK("https://twitter.com/yahyalfaifiie","@yahyalfaifiie")</f>
        <v>@yahyalfaifiie</v>
      </c>
      <c r="C1151" s="13" t="s">
        <v>5812</v>
      </c>
      <c r="D1151" s="13" t="s">
        <v>6566</v>
      </c>
      <c r="E1151" s="12" t="str">
        <f>HYPERLINK("https://twitter.com/yahyalfaifiie/status/1181651252603707392","1181651252603707392")</f>
        <v>1181651252603707392</v>
      </c>
      <c r="F1151" s="8"/>
      <c r="G1151" s="14" t="s">
        <v>6567</v>
      </c>
      <c r="H1151" s="8"/>
      <c r="I1151" s="15">
        <v>0</v>
      </c>
      <c r="J1151" s="15">
        <v>0</v>
      </c>
      <c r="K1151" s="12" t="str">
        <f>HYPERLINK("http://twitter.com","Twitter Web Client")</f>
        <v>Twitter Web Client</v>
      </c>
      <c r="L1151" s="16">
        <v>0</v>
      </c>
      <c r="M1151" s="16">
        <v>37</v>
      </c>
      <c r="N1151" s="16">
        <v>0</v>
      </c>
      <c r="O1151" s="17"/>
      <c r="P1151" s="18">
        <v>42075.720081018517</v>
      </c>
      <c r="Q1151" s="8"/>
      <c r="R1151" s="8"/>
      <c r="S1151" s="8"/>
      <c r="T1151" s="8"/>
      <c r="U1151" s="19" t="str">
        <f>HYPERLINK("https://pbs.twimg.com/profile_images/576176521431273473/MerQflOC.jpeg","View")</f>
        <v>View</v>
      </c>
      <c r="V1151" s="8"/>
      <c r="W1151" s="8"/>
      <c r="X1151" s="8"/>
      <c r="Y1151" s="8"/>
      <c r="Z1151" s="8"/>
    </row>
    <row r="1152" spans="1:26" ht="12.75">
      <c r="A1152" s="11">
        <v>43746.515138888892</v>
      </c>
      <c r="B1152" s="12" t="str">
        <f>HYPERLINK("https://twitter.com/BishiRaed","@BishiRaed")</f>
        <v>@BishiRaed</v>
      </c>
      <c r="C1152" s="13" t="s">
        <v>6571</v>
      </c>
      <c r="D1152" s="13" t="s">
        <v>914</v>
      </c>
      <c r="E1152" s="12" t="str">
        <f>HYPERLINK("https://twitter.com/BishiRaed/status/1181650922755088384","1181650922755088384")</f>
        <v>1181650922755088384</v>
      </c>
      <c r="F1152" s="8"/>
      <c r="G1152" s="14" t="s">
        <v>917</v>
      </c>
      <c r="H1152" s="8"/>
      <c r="I1152" s="15">
        <v>0</v>
      </c>
      <c r="J1152" s="15">
        <v>0</v>
      </c>
      <c r="K1152" s="12" t="str">
        <f>HYPERLINK("https://mobile.twitter.com","Twitter Web App")</f>
        <v>Twitter Web App</v>
      </c>
      <c r="L1152" s="16">
        <v>0</v>
      </c>
      <c r="M1152" s="16">
        <v>1</v>
      </c>
      <c r="N1152" s="16">
        <v>0</v>
      </c>
      <c r="O1152" s="17"/>
      <c r="P1152" s="18">
        <v>43728.971712962964</v>
      </c>
      <c r="Q1152" s="7" t="s">
        <v>1454</v>
      </c>
      <c r="R1152" s="13" t="s">
        <v>955</v>
      </c>
      <c r="S1152" s="8"/>
      <c r="T1152" s="8"/>
      <c r="U1152" s="19" t="str">
        <f>HYPERLINK("https://pbs.twimg.com/profile_images/1178255625148456961/0mw26GuV.jpg","View")</f>
        <v>View</v>
      </c>
      <c r="V1152" s="8"/>
      <c r="W1152" s="8"/>
      <c r="X1152" s="8"/>
      <c r="Y1152" s="8"/>
      <c r="Z1152" s="8"/>
    </row>
    <row r="1153" spans="1:26" ht="12.75">
      <c r="A1153" s="11">
        <v>43746.514652777776</v>
      </c>
      <c r="B1153" s="12" t="str">
        <f>HYPERLINK("https://twitter.com/aalkham33","@aalkham33")</f>
        <v>@aalkham33</v>
      </c>
      <c r="C1153" s="13" t="s">
        <v>6575</v>
      </c>
      <c r="D1153" s="13" t="s">
        <v>6576</v>
      </c>
      <c r="E1153" s="12" t="str">
        <f>HYPERLINK("https://twitter.com/aalkham33/status/1181650745835343874","1181650745835343874")</f>
        <v>1181650745835343874</v>
      </c>
      <c r="F1153" s="8"/>
      <c r="G1153" s="14" t="s">
        <v>6577</v>
      </c>
      <c r="H1153" s="8"/>
      <c r="I1153" s="15">
        <v>0</v>
      </c>
      <c r="J1153" s="15">
        <v>0</v>
      </c>
      <c r="K1153" s="12" t="str">
        <f>HYPERLINK("http://twitter.com","Twitter Web Client")</f>
        <v>Twitter Web Client</v>
      </c>
      <c r="L1153" s="16">
        <v>14</v>
      </c>
      <c r="M1153" s="16">
        <v>45</v>
      </c>
      <c r="N1153" s="16">
        <v>0</v>
      </c>
      <c r="O1153" s="17"/>
      <c r="P1153" s="18">
        <v>42073.530219907407</v>
      </c>
      <c r="Q1153" s="8"/>
      <c r="R1153" s="8"/>
      <c r="S1153" s="8"/>
      <c r="T1153" s="8"/>
      <c r="U1153" s="19" t="str">
        <f>HYPERLINK("https://pbs.twimg.com/profile_images/575381634876239872/3OPOjvu6.jpeg","View")</f>
        <v>View</v>
      </c>
      <c r="V1153" s="8"/>
      <c r="W1153" s="8"/>
      <c r="X1153" s="8"/>
      <c r="Y1153" s="8"/>
      <c r="Z1153" s="8"/>
    </row>
    <row r="1154" spans="1:26" ht="12.75">
      <c r="A1154" s="11">
        <v>43746.513333333336</v>
      </c>
      <c r="B1154" s="12" t="str">
        <f>HYPERLINK("https://twitter.com/HammadalYa","@HammadalYa")</f>
        <v>@HammadalYa</v>
      </c>
      <c r="C1154" s="13" t="s">
        <v>6580</v>
      </c>
      <c r="D1154" s="7" t="s">
        <v>6581</v>
      </c>
      <c r="E1154" s="12" t="str">
        <f>HYPERLINK("https://twitter.com/HammadalYa/status/1181650268175441921","1181650268175441921")</f>
        <v>1181650268175441921</v>
      </c>
      <c r="F1154" s="8"/>
      <c r="G1154" s="14" t="s">
        <v>6582</v>
      </c>
      <c r="H1154" s="8"/>
      <c r="I1154" s="15">
        <v>0</v>
      </c>
      <c r="J1154" s="15">
        <v>0</v>
      </c>
      <c r="K1154" s="12" t="str">
        <f>HYPERLINK("http://twitter.com","Twitter Web Client")</f>
        <v>Twitter Web Client</v>
      </c>
      <c r="L1154" s="16">
        <v>4</v>
      </c>
      <c r="M1154" s="16">
        <v>36</v>
      </c>
      <c r="N1154" s="16">
        <v>0</v>
      </c>
      <c r="O1154" s="17"/>
      <c r="P1154" s="18">
        <v>41826.365752314814</v>
      </c>
      <c r="Q1154" s="7"/>
      <c r="R1154" s="13"/>
      <c r="S1154" s="8"/>
      <c r="T1154" s="8"/>
      <c r="U1154" s="19" t="str">
        <f>HYPERLINK("https://pbs.twimg.com/profile_images/485812801932234753/lPoKWh-G.jpeg","View")</f>
        <v>View</v>
      </c>
      <c r="V1154" s="8"/>
      <c r="W1154" s="8"/>
      <c r="X1154" s="8"/>
      <c r="Y1154" s="8"/>
      <c r="Z1154" s="8"/>
    </row>
    <row r="1155" spans="1:26" ht="12.75">
      <c r="A1155" s="11">
        <v>43746.512418981481</v>
      </c>
      <c r="B1155" s="12" t="str">
        <f>HYPERLINK("https://twitter.com/saadals19979894","@saadals19979894")</f>
        <v>@saadals19979894</v>
      </c>
      <c r="C1155" s="13" t="s">
        <v>6586</v>
      </c>
      <c r="D1155" s="13" t="s">
        <v>6587</v>
      </c>
      <c r="E1155" s="12" t="str">
        <f>HYPERLINK("https://twitter.com/saadals19979894/status/1181649934753423360","1181649934753423360")</f>
        <v>1181649934753423360</v>
      </c>
      <c r="F1155" s="8"/>
      <c r="G1155" s="14" t="s">
        <v>6589</v>
      </c>
      <c r="H1155" s="8"/>
      <c r="I1155" s="15">
        <v>0</v>
      </c>
      <c r="J1155" s="15">
        <v>0</v>
      </c>
      <c r="K1155" s="12" t="str">
        <f>HYPERLINK("http://twitter.com","Twitter Web Client")</f>
        <v>Twitter Web Client</v>
      </c>
      <c r="L1155" s="16">
        <v>11</v>
      </c>
      <c r="M1155" s="16">
        <v>44</v>
      </c>
      <c r="N1155" s="16">
        <v>0</v>
      </c>
      <c r="O1155" s="17"/>
      <c r="P1155" s="18">
        <v>42074.292037037041</v>
      </c>
      <c r="Q1155" s="8"/>
      <c r="R1155" s="8"/>
      <c r="S1155" s="8"/>
      <c r="T1155" s="8"/>
      <c r="U1155" s="19" t="str">
        <f>HYPERLINK("https://pbs.twimg.com/profile_images/575657823549267973/FrJyqimt.jpeg","View")</f>
        <v>View</v>
      </c>
      <c r="V1155" s="8"/>
      <c r="W1155" s="8"/>
      <c r="X1155" s="8"/>
      <c r="Y1155" s="8"/>
      <c r="Z1155" s="8"/>
    </row>
    <row r="1156" spans="1:26" ht="12.75">
      <c r="A1156" s="11">
        <v>43746.511620370366</v>
      </c>
      <c r="B1156" s="12" t="str">
        <f>HYPERLINK("https://twitter.com/saidnassir6","@saidnassir6")</f>
        <v>@saidnassir6</v>
      </c>
      <c r="C1156" s="13" t="s">
        <v>6593</v>
      </c>
      <c r="D1156" s="7" t="s">
        <v>6594</v>
      </c>
      <c r="E1156" s="12" t="str">
        <f>HYPERLINK("https://twitter.com/saidnassir6/status/1181649645044453376","1181649645044453376")</f>
        <v>1181649645044453376</v>
      </c>
      <c r="F1156" s="8"/>
      <c r="G1156" s="14" t="s">
        <v>6595</v>
      </c>
      <c r="H1156" s="8"/>
      <c r="I1156" s="15">
        <v>0</v>
      </c>
      <c r="J1156" s="15">
        <v>0</v>
      </c>
      <c r="K1156" s="12" t="str">
        <f>HYPERLINK("http://twitter.com","Twitter Web Client")</f>
        <v>Twitter Web Client</v>
      </c>
      <c r="L1156" s="16">
        <v>5</v>
      </c>
      <c r="M1156" s="16">
        <v>39</v>
      </c>
      <c r="N1156" s="16">
        <v>0</v>
      </c>
      <c r="O1156" s="17"/>
      <c r="P1156" s="18">
        <v>42267.780844907407</v>
      </c>
      <c r="Q1156" s="7"/>
      <c r="R1156" s="13"/>
      <c r="S1156" s="8"/>
      <c r="T1156" s="8"/>
      <c r="U1156" s="19" t="str">
        <f>HYPERLINK("https://pbs.twimg.com/profile_images/645775688553885696/NDpyPpuf.jpg","View")</f>
        <v>View</v>
      </c>
      <c r="V1156" s="8"/>
      <c r="W1156" s="8"/>
      <c r="X1156" s="8"/>
      <c r="Y1156" s="8"/>
      <c r="Z1156" s="8"/>
    </row>
    <row r="1157" spans="1:26" ht="12.75">
      <c r="A1157" s="11">
        <v>43746.511099537034</v>
      </c>
      <c r="B1157" s="12" t="str">
        <f>HYPERLINK("https://twitter.com/Hassan96525Amer","@Hassan96525Amer")</f>
        <v>@Hassan96525Amer</v>
      </c>
      <c r="C1157" s="13" t="s">
        <v>6599</v>
      </c>
      <c r="D1157" s="13" t="s">
        <v>6600</v>
      </c>
      <c r="E1157" s="12" t="str">
        <f>HYPERLINK("https://twitter.com/Hassan96525Amer/status/1181649460016877569","1181649460016877569")</f>
        <v>1181649460016877569</v>
      </c>
      <c r="F1157" s="8"/>
      <c r="G1157" s="14" t="s">
        <v>6601</v>
      </c>
      <c r="H1157" s="8"/>
      <c r="I1157" s="15">
        <v>0</v>
      </c>
      <c r="J1157" s="15">
        <v>0</v>
      </c>
      <c r="K1157" s="12" t="str">
        <f>HYPERLINK("http://twitter.com","Twitter Web Client")</f>
        <v>Twitter Web Client</v>
      </c>
      <c r="L1157" s="16">
        <v>1</v>
      </c>
      <c r="M1157" s="16">
        <v>36</v>
      </c>
      <c r="N1157" s="16">
        <v>0</v>
      </c>
      <c r="O1157" s="17"/>
      <c r="P1157" s="18">
        <v>42269.434583333335</v>
      </c>
      <c r="Q1157" s="8"/>
      <c r="R1157" s="8"/>
      <c r="S1157" s="8"/>
      <c r="T1157" s="8"/>
      <c r="U1157" s="20" t="s">
        <v>354</v>
      </c>
      <c r="V1157" s="8"/>
      <c r="W1157" s="8"/>
      <c r="X1157" s="8"/>
      <c r="Y1157" s="8"/>
      <c r="Z1157" s="8"/>
    </row>
    <row r="1158" spans="1:26" ht="12.75">
      <c r="A1158" s="11">
        <v>43746.509618055556</v>
      </c>
      <c r="B1158" s="12" t="str">
        <f>HYPERLINK("https://twitter.com/rakaaan_543","@rakaaan_543")</f>
        <v>@rakaaan_543</v>
      </c>
      <c r="C1158" s="13" t="s">
        <v>6605</v>
      </c>
      <c r="D1158" s="7" t="s">
        <v>6606</v>
      </c>
      <c r="E1158" s="12" t="str">
        <f>HYPERLINK("https://twitter.com/rakaaan_543/status/1181648921778688001","1181648921778688001")</f>
        <v>1181648921778688001</v>
      </c>
      <c r="F1158" s="8"/>
      <c r="G1158" s="14" t="s">
        <v>6607</v>
      </c>
      <c r="H1158" s="8"/>
      <c r="I1158" s="15">
        <v>0</v>
      </c>
      <c r="J1158" s="15">
        <v>0</v>
      </c>
      <c r="K1158" s="12" t="str">
        <f>HYPERLINK("http://twitter.com","Twitter Web Client")</f>
        <v>Twitter Web Client</v>
      </c>
      <c r="L1158" s="16">
        <v>15</v>
      </c>
      <c r="M1158" s="16">
        <v>46</v>
      </c>
      <c r="N1158" s="16">
        <v>0</v>
      </c>
      <c r="O1158" s="17"/>
      <c r="P1158" s="18">
        <v>42075.512789351851</v>
      </c>
      <c r="Q1158" s="7"/>
      <c r="R1158" s="13"/>
      <c r="S1158" s="8"/>
      <c r="T1158" s="8"/>
      <c r="U1158" s="19" t="str">
        <f>HYPERLINK("https://pbs.twimg.com/profile_images/576100626511187968/l1WdZlBg.jpeg","View")</f>
        <v>View</v>
      </c>
      <c r="V1158" s="8"/>
      <c r="W1158" s="8"/>
      <c r="X1158" s="8"/>
      <c r="Y1158" s="8"/>
      <c r="Z1158" s="8"/>
    </row>
    <row r="1159" spans="1:26" ht="12.75">
      <c r="A1159" s="11">
        <v>43746.508935185186</v>
      </c>
      <c r="B1159" s="12" t="str">
        <f>HYPERLINK("https://twitter.com/hudael12","@hudael12")</f>
        <v>@hudael12</v>
      </c>
      <c r="C1159" s="13" t="s">
        <v>6609</v>
      </c>
      <c r="D1159" s="13" t="s">
        <v>914</v>
      </c>
      <c r="E1159" s="12" t="str">
        <f>HYPERLINK("https://twitter.com/hudael12/status/1181648674423590912","1181648674423590912")</f>
        <v>1181648674423590912</v>
      </c>
      <c r="F1159" s="8"/>
      <c r="G1159" s="14" t="s">
        <v>917</v>
      </c>
      <c r="H1159" s="8"/>
      <c r="I1159" s="15">
        <v>0</v>
      </c>
      <c r="J1159" s="15">
        <v>0</v>
      </c>
      <c r="K1159" s="12" t="str">
        <f>HYPERLINK("https://mobile.twitter.com","Twitter Web App")</f>
        <v>Twitter Web App</v>
      </c>
      <c r="L1159" s="16">
        <v>1</v>
      </c>
      <c r="M1159" s="16">
        <v>2</v>
      </c>
      <c r="N1159" s="16">
        <v>0</v>
      </c>
      <c r="O1159" s="17"/>
      <c r="P1159" s="18">
        <v>43741.472511574073</v>
      </c>
      <c r="Q1159" s="8" t="s">
        <v>4714</v>
      </c>
      <c r="R1159" s="8" t="s">
        <v>1258</v>
      </c>
      <c r="S1159" s="8"/>
      <c r="T1159" s="8"/>
      <c r="U1159" s="19" t="str">
        <f>HYPERLINK("https://pbs.twimg.com/profile_images/1179824258588889088/9L8Ha5Ed.jpg","View")</f>
        <v>View</v>
      </c>
      <c r="V1159" s="8"/>
      <c r="W1159" s="8"/>
      <c r="X1159" s="8"/>
      <c r="Y1159" s="8"/>
      <c r="Z1159" s="8"/>
    </row>
    <row r="1160" spans="1:26" ht="12.75">
      <c r="A1160" s="11">
        <v>43746.50880787037</v>
      </c>
      <c r="B1160" s="12" t="str">
        <f>HYPERLINK("https://twitter.com/osama_al6","@osama_al6")</f>
        <v>@osama_al6</v>
      </c>
      <c r="C1160" s="13" t="s">
        <v>6613</v>
      </c>
      <c r="D1160" s="13" t="s">
        <v>28</v>
      </c>
      <c r="E1160" s="12" t="str">
        <f>HYPERLINK("https://twitter.com/osama_al6/status/1181648628902850560","1181648628902850560")</f>
        <v>1181648628902850560</v>
      </c>
      <c r="F1160" s="8"/>
      <c r="G1160" s="14" t="s">
        <v>31</v>
      </c>
      <c r="H1160" s="8"/>
      <c r="I1160" s="15">
        <v>0</v>
      </c>
      <c r="J1160" s="15">
        <v>0</v>
      </c>
      <c r="K1160" s="12" t="str">
        <f>HYPERLINK("https://mobile.twitter.com","Twitter Web App")</f>
        <v>Twitter Web App</v>
      </c>
      <c r="L1160" s="16">
        <v>0</v>
      </c>
      <c r="M1160" s="16">
        <v>1</v>
      </c>
      <c r="N1160" s="16">
        <v>0</v>
      </c>
      <c r="O1160" s="17"/>
      <c r="P1160" s="18">
        <v>43728.934571759259</v>
      </c>
      <c r="Q1160" s="8" t="s">
        <v>920</v>
      </c>
      <c r="R1160" s="8" t="s">
        <v>2443</v>
      </c>
      <c r="S1160" s="8"/>
      <c r="T1160" s="8"/>
      <c r="U1160" s="19" t="str">
        <f>HYPERLINK("https://pbs.twimg.com/profile_images/1176799844100296704/nRLQpdeo.jpg","View")</f>
        <v>View</v>
      </c>
      <c r="V1160" s="8"/>
      <c r="W1160" s="8"/>
      <c r="X1160" s="8"/>
      <c r="Y1160" s="8"/>
      <c r="Z1160" s="8"/>
    </row>
    <row r="1161" spans="1:26" ht="12.75">
      <c r="A1161" s="11">
        <v>43746.508576388893</v>
      </c>
      <c r="B1161" s="12" t="str">
        <f>HYPERLINK("https://twitter.com/alkataan78_","@alkataan78_")</f>
        <v>@alkataan78_</v>
      </c>
      <c r="C1161" s="13" t="s">
        <v>6616</v>
      </c>
      <c r="D1161" s="13" t="s">
        <v>6617</v>
      </c>
      <c r="E1161" s="12" t="str">
        <f>HYPERLINK("https://twitter.com/alkataan78_/status/1181648543808929794","1181648543808929794")</f>
        <v>1181648543808929794</v>
      </c>
      <c r="F1161" s="8"/>
      <c r="G1161" s="14" t="s">
        <v>6618</v>
      </c>
      <c r="H1161" s="8"/>
      <c r="I1161" s="15">
        <v>0</v>
      </c>
      <c r="J1161" s="15">
        <v>0</v>
      </c>
      <c r="K1161" s="12" t="str">
        <f>HYPERLINK("http://twitter.com","Twitter Web Client")</f>
        <v>Twitter Web Client</v>
      </c>
      <c r="L1161" s="16">
        <v>2</v>
      </c>
      <c r="M1161" s="16">
        <v>35</v>
      </c>
      <c r="N1161" s="16">
        <v>0</v>
      </c>
      <c r="O1161" s="17"/>
      <c r="P1161" s="18">
        <v>42064.289085648154</v>
      </c>
      <c r="Q1161" s="8"/>
      <c r="R1161" s="8"/>
      <c r="S1161" s="8"/>
      <c r="T1161" s="8"/>
      <c r="U1161" s="19" t="str">
        <f>HYPERLINK("https://pbs.twimg.com/profile_images/572047911697915904/BBdZ9zii.jpeg","View")</f>
        <v>View</v>
      </c>
      <c r="V1161" s="8"/>
      <c r="W1161" s="8"/>
      <c r="X1161" s="8"/>
      <c r="Y1161" s="8"/>
      <c r="Z1161" s="8"/>
    </row>
    <row r="1162" spans="1:26" ht="12.75">
      <c r="A1162" s="11">
        <v>43746.50844907407</v>
      </c>
      <c r="B1162" s="12" t="str">
        <f>HYPERLINK("https://twitter.com/misferalasawa2","@misferalasawa2")</f>
        <v>@misferalasawa2</v>
      </c>
      <c r="C1162" s="7" t="s">
        <v>6622</v>
      </c>
      <c r="D1162" s="7" t="s">
        <v>6623</v>
      </c>
      <c r="E1162" s="12" t="str">
        <f>HYPERLINK("https://twitter.com/misferalasawa2/status/1181648499357753344","1181648499357753344")</f>
        <v>1181648499357753344</v>
      </c>
      <c r="F1162" s="8"/>
      <c r="G1162" s="14" t="s">
        <v>6625</v>
      </c>
      <c r="H1162" s="8"/>
      <c r="I1162" s="15">
        <v>0</v>
      </c>
      <c r="J1162" s="15">
        <v>0</v>
      </c>
      <c r="K1162" s="12" t="str">
        <f>HYPERLINK("http://twitter.com","Twitter Web Client")</f>
        <v>Twitter Web Client</v>
      </c>
      <c r="L1162" s="16">
        <v>1</v>
      </c>
      <c r="M1162" s="16">
        <v>26</v>
      </c>
      <c r="N1162" s="16">
        <v>0</v>
      </c>
      <c r="O1162" s="17"/>
      <c r="P1162" s="18">
        <v>41844.332337962966</v>
      </c>
      <c r="Q1162" s="7"/>
      <c r="R1162" s="7"/>
      <c r="S1162" s="15"/>
      <c r="T1162" s="8"/>
      <c r="U1162" s="19" t="str">
        <f>HYPERLINK("https://pbs.twimg.com/profile_images/492323539756666880/3YAkSolh.jpeg","View")</f>
        <v>View</v>
      </c>
      <c r="V1162" s="8"/>
      <c r="W1162" s="8"/>
      <c r="X1162" s="8"/>
      <c r="Y1162" s="8"/>
      <c r="Z1162" s="8"/>
    </row>
    <row r="1163" spans="1:26" ht="12.75">
      <c r="A1163" s="11">
        <v>43746.507789351846</v>
      </c>
      <c r="B1163" s="12" t="str">
        <f>HYPERLINK("https://twitter.com/alaseree4512","@alaseree4512")</f>
        <v>@alaseree4512</v>
      </c>
      <c r="C1163" s="7" t="s">
        <v>6628</v>
      </c>
      <c r="D1163" s="13" t="s">
        <v>6629</v>
      </c>
      <c r="E1163" s="12" t="str">
        <f>HYPERLINK("https://twitter.com/alaseree4512/status/1181648257023451136","1181648257023451136")</f>
        <v>1181648257023451136</v>
      </c>
      <c r="F1163" s="8"/>
      <c r="G1163" s="14" t="s">
        <v>6630</v>
      </c>
      <c r="H1163" s="8"/>
      <c r="I1163" s="15">
        <v>0</v>
      </c>
      <c r="J1163" s="15">
        <v>0</v>
      </c>
      <c r="K1163" s="12" t="str">
        <f>HYPERLINK("http://twitter.com","Twitter Web Client")</f>
        <v>Twitter Web Client</v>
      </c>
      <c r="L1163" s="16">
        <v>17</v>
      </c>
      <c r="M1163" s="16">
        <v>43</v>
      </c>
      <c r="N1163" s="16">
        <v>0</v>
      </c>
      <c r="O1163" s="17"/>
      <c r="P1163" s="18">
        <v>42071.65824074074</v>
      </c>
      <c r="Q1163" s="7"/>
      <c r="R1163" s="8"/>
      <c r="S1163" s="8"/>
      <c r="T1163" s="8"/>
      <c r="U1163" s="19" t="str">
        <f>HYPERLINK("https://pbs.twimg.com/profile_images/574703321581154304/yBqQ79n-.jpeg","View")</f>
        <v>View</v>
      </c>
      <c r="V1163" s="8"/>
      <c r="W1163" s="8"/>
      <c r="X1163" s="8"/>
      <c r="Y1163" s="8"/>
      <c r="Z1163" s="8"/>
    </row>
    <row r="1164" spans="1:26" ht="12.75">
      <c r="A1164" s="11">
        <v>43746.507650462961</v>
      </c>
      <c r="B1164" s="12" t="str">
        <f>HYPERLINK("https://twitter.com/abedoo_alsh33","@abedoo_alsh33")</f>
        <v>@abedoo_alsh33</v>
      </c>
      <c r="C1164" s="13" t="s">
        <v>6634</v>
      </c>
      <c r="D1164" s="13" t="s">
        <v>1783</v>
      </c>
      <c r="E1164" s="12" t="str">
        <f>HYPERLINK("https://twitter.com/abedoo_alsh33/status/1181648209086763015","1181648209086763015")</f>
        <v>1181648209086763015</v>
      </c>
      <c r="F1164" s="15"/>
      <c r="G1164" s="14" t="s">
        <v>6635</v>
      </c>
      <c r="H1164" s="8"/>
      <c r="I1164" s="15">
        <v>0</v>
      </c>
      <c r="J1164" s="15">
        <v>0</v>
      </c>
      <c r="K1164" s="12" t="str">
        <f>HYPERLINK("http://twitter.com","Twitter Web Client")</f>
        <v>Twitter Web Client</v>
      </c>
      <c r="L1164" s="16">
        <v>1</v>
      </c>
      <c r="M1164" s="16">
        <v>36</v>
      </c>
      <c r="N1164" s="16">
        <v>0</v>
      </c>
      <c r="O1164" s="17"/>
      <c r="P1164" s="18">
        <v>42072.185578703706</v>
      </c>
      <c r="Q1164" s="8"/>
      <c r="R1164" s="13"/>
      <c r="S1164" s="15"/>
      <c r="T1164" s="8"/>
      <c r="U1164" s="19" t="str">
        <f>HYPERLINK("https://pbs.twimg.com/profile_images/574894787943227392/BTzLUYQv.jpeg","View")</f>
        <v>View</v>
      </c>
      <c r="V1164" s="8"/>
      <c r="W1164" s="8"/>
      <c r="X1164" s="8"/>
      <c r="Y1164" s="8"/>
      <c r="Z1164" s="8"/>
    </row>
    <row r="1165" spans="1:26" ht="12.75">
      <c r="A1165" s="11">
        <v>43746.507268518515</v>
      </c>
      <c r="B1165" s="12" t="str">
        <f>HYPERLINK("https://twitter.com/alzayaa_84","@alzayaa_84")</f>
        <v>@alzayaa_84</v>
      </c>
      <c r="C1165" s="13" t="s">
        <v>6639</v>
      </c>
      <c r="D1165" s="7" t="s">
        <v>6640</v>
      </c>
      <c r="E1165" s="12" t="str">
        <f>HYPERLINK("https://twitter.com/alzayaa_84/status/1181648071043756033","1181648071043756033")</f>
        <v>1181648071043756033</v>
      </c>
      <c r="F1165" s="8"/>
      <c r="G1165" s="14" t="s">
        <v>6641</v>
      </c>
      <c r="H1165" s="8"/>
      <c r="I1165" s="15">
        <v>0</v>
      </c>
      <c r="J1165" s="15">
        <v>0</v>
      </c>
      <c r="K1165" s="12" t="str">
        <f>HYPERLINK("http://twitter.com","Twitter Web Client")</f>
        <v>Twitter Web Client</v>
      </c>
      <c r="L1165" s="16">
        <v>1</v>
      </c>
      <c r="M1165" s="16">
        <v>34</v>
      </c>
      <c r="N1165" s="16">
        <v>0</v>
      </c>
      <c r="O1165" s="17"/>
      <c r="P1165" s="18">
        <v>41846.329189814816</v>
      </c>
      <c r="Q1165" s="7"/>
      <c r="R1165" s="13"/>
      <c r="S1165" s="8"/>
      <c r="T1165" s="8"/>
      <c r="U1165" s="19" t="str">
        <f>HYPERLINK("https://pbs.twimg.com/profile_images/493046693462421506/IRrHAfIb.jpeg","View")</f>
        <v>View</v>
      </c>
      <c r="V1165" s="8"/>
      <c r="W1165" s="8"/>
      <c r="X1165" s="8"/>
      <c r="Y1165" s="8"/>
      <c r="Z1165" s="8"/>
    </row>
    <row r="1166" spans="1:26" ht="12.75">
      <c r="A1166" s="11">
        <v>43746.507025462968</v>
      </c>
      <c r="B1166" s="12" t="str">
        <f>HYPERLINK("https://twitter.com/jadeedaal1","@jadeedaal1")</f>
        <v>@jadeedaal1</v>
      </c>
      <c r="C1166" s="7" t="s">
        <v>6645</v>
      </c>
      <c r="D1166" s="7" t="s">
        <v>28</v>
      </c>
      <c r="E1166" s="12" t="str">
        <f>HYPERLINK("https://twitter.com/jadeedaal1/status/1181647980429840384","1181647980429840384")</f>
        <v>1181647980429840384</v>
      </c>
      <c r="F1166" s="8"/>
      <c r="G1166" s="14" t="s">
        <v>31</v>
      </c>
      <c r="H1166" s="8"/>
      <c r="I1166" s="15">
        <v>0</v>
      </c>
      <c r="J1166" s="15">
        <v>0</v>
      </c>
      <c r="K1166" s="12" t="str">
        <f>HYPERLINK("https://mobile.twitter.com","Twitter Web App")</f>
        <v>Twitter Web App</v>
      </c>
      <c r="L1166" s="16">
        <v>0</v>
      </c>
      <c r="M1166" s="16">
        <v>2</v>
      </c>
      <c r="N1166" s="16">
        <v>0</v>
      </c>
      <c r="O1166" s="17"/>
      <c r="P1166" s="18">
        <v>43741.464155092588</v>
      </c>
      <c r="Q1166" s="7" t="s">
        <v>4714</v>
      </c>
      <c r="R1166" s="13" t="s">
        <v>1277</v>
      </c>
      <c r="S1166" s="8"/>
      <c r="T1166" s="8"/>
      <c r="U1166" s="19" t="str">
        <f>HYPERLINK("https://pbs.twimg.com/profile_images/1179821078257926144/pQ8pCNtA.jpg","View")</f>
        <v>View</v>
      </c>
      <c r="V1166" s="8"/>
      <c r="W1166" s="8"/>
      <c r="X1166" s="8"/>
      <c r="Y1166" s="8"/>
      <c r="Z1166" s="8"/>
    </row>
    <row r="1167" spans="1:26" ht="12.75">
      <c r="A1167" s="11">
        <v>43746.506064814814</v>
      </c>
      <c r="B1167" s="12" t="str">
        <f>HYPERLINK("https://twitter.com/ad_qutb","@ad_qutb")</f>
        <v>@ad_qutb</v>
      </c>
      <c r="C1167" s="13" t="s">
        <v>6648</v>
      </c>
      <c r="D1167" s="7" t="s">
        <v>968</v>
      </c>
      <c r="E1167" s="12" t="str">
        <f>HYPERLINK("https://twitter.com/ad_qutb/status/1181647634987044865","1181647634987044865")</f>
        <v>1181647634987044865</v>
      </c>
      <c r="F1167" s="8"/>
      <c r="G1167" s="14" t="s">
        <v>6649</v>
      </c>
      <c r="H1167" s="8"/>
      <c r="I1167" s="15">
        <v>0</v>
      </c>
      <c r="J1167" s="15">
        <v>0</v>
      </c>
      <c r="K1167" s="12" t="str">
        <f>HYPERLINK("https://mobile.twitter.com","Twitter Web App")</f>
        <v>Twitter Web App</v>
      </c>
      <c r="L1167" s="16">
        <v>0</v>
      </c>
      <c r="M1167" s="16">
        <v>1</v>
      </c>
      <c r="N1167" s="16">
        <v>0</v>
      </c>
      <c r="O1167" s="17"/>
      <c r="P1167" s="18">
        <v>43728.965231481481</v>
      </c>
      <c r="Q1167" s="7" t="s">
        <v>1276</v>
      </c>
      <c r="R1167" s="13" t="s">
        <v>955</v>
      </c>
      <c r="S1167" s="8"/>
      <c r="T1167" s="8"/>
      <c r="U1167" s="19" t="str">
        <f>HYPERLINK("https://pbs.twimg.com/profile_images/1176785687766396929/ZsMSWhtW.jpg","View")</f>
        <v>View</v>
      </c>
      <c r="V1167" s="8"/>
      <c r="W1167" s="8"/>
      <c r="X1167" s="8"/>
      <c r="Y1167" s="8"/>
      <c r="Z1167" s="8"/>
    </row>
    <row r="1168" spans="1:26" ht="12.75">
      <c r="A1168" s="11">
        <v>43746.505787037036</v>
      </c>
      <c r="B1168" s="12" t="str">
        <f>HYPERLINK("https://twitter.com/gazaan01909","@gazaan01909")</f>
        <v>@gazaan01909</v>
      </c>
      <c r="C1168" s="13" t="s">
        <v>6654</v>
      </c>
      <c r="D1168" s="13" t="s">
        <v>1809</v>
      </c>
      <c r="E1168" s="12" t="str">
        <f>HYPERLINK("https://twitter.com/gazaan01909/status/1181647531635363841","1181647531635363841")</f>
        <v>1181647531635363841</v>
      </c>
      <c r="F1168" s="8"/>
      <c r="G1168" s="14" t="s">
        <v>6655</v>
      </c>
      <c r="H1168" s="8"/>
      <c r="I1168" s="15">
        <v>0</v>
      </c>
      <c r="J1168" s="15">
        <v>0</v>
      </c>
      <c r="K1168" s="12" t="str">
        <f>HYPERLINK("http://twitter.com","Twitter Web Client")</f>
        <v>Twitter Web Client</v>
      </c>
      <c r="L1168" s="16">
        <v>9</v>
      </c>
      <c r="M1168" s="16">
        <v>45</v>
      </c>
      <c r="N1168" s="16">
        <v>0</v>
      </c>
      <c r="O1168" s="17"/>
      <c r="P1168" s="18">
        <v>42071.697280092594</v>
      </c>
      <c r="Q1168" s="8"/>
      <c r="R1168" s="8"/>
      <c r="S1168" s="8"/>
      <c r="T1168" s="8"/>
      <c r="U1168" s="19" t="str">
        <f>HYPERLINK("https://pbs.twimg.com/profile_images/574717571515052032/ROSAh4RF.jpeg","View")</f>
        <v>View</v>
      </c>
      <c r="V1168" s="8"/>
      <c r="W1168" s="8"/>
      <c r="X1168" s="8"/>
      <c r="Y1168" s="8"/>
      <c r="Z1168" s="8"/>
    </row>
    <row r="1169" spans="1:26" ht="12.75">
      <c r="A1169" s="11">
        <v>43746.505150462966</v>
      </c>
      <c r="B1169" s="12" t="str">
        <f>HYPERLINK("https://twitter.com/bnsa33ad433","@bnsa33ad433")</f>
        <v>@bnsa33ad433</v>
      </c>
      <c r="C1169" s="13" t="s">
        <v>6658</v>
      </c>
      <c r="D1169" s="7" t="s">
        <v>1819</v>
      </c>
      <c r="E1169" s="12" t="str">
        <f>HYPERLINK("https://twitter.com/bnsa33ad433/status/1181647302672441347","1181647302672441347")</f>
        <v>1181647302672441347</v>
      </c>
      <c r="F1169" s="8"/>
      <c r="G1169" s="14" t="s">
        <v>6660</v>
      </c>
      <c r="H1169" s="8"/>
      <c r="I1169" s="15">
        <v>0</v>
      </c>
      <c r="J1169" s="15">
        <v>0</v>
      </c>
      <c r="K1169" s="12" t="str">
        <f>HYPERLINK("http://twitter.com","Twitter Web Client")</f>
        <v>Twitter Web Client</v>
      </c>
      <c r="L1169" s="16">
        <v>5</v>
      </c>
      <c r="M1169" s="16">
        <v>35</v>
      </c>
      <c r="N1169" s="16">
        <v>0</v>
      </c>
      <c r="O1169" s="17"/>
      <c r="P1169" s="18">
        <v>42071.398726851854</v>
      </c>
      <c r="Q1169" s="7"/>
      <c r="R1169" s="13"/>
      <c r="S1169" s="8"/>
      <c r="T1169" s="8"/>
      <c r="U1169" s="19" t="str">
        <f>HYPERLINK("https://pbs.twimg.com/profile_images/574609450033532928/by6AzX9K.jpeg","View")</f>
        <v>View</v>
      </c>
      <c r="V1169" s="8"/>
      <c r="W1169" s="8"/>
      <c r="X1169" s="8"/>
      <c r="Y1169" s="8"/>
      <c r="Z1169" s="8"/>
    </row>
    <row r="1170" spans="1:26" ht="12.75">
      <c r="A1170" s="11">
        <v>43746.504895833335</v>
      </c>
      <c r="B1170" s="12" t="str">
        <f>HYPERLINK("https://twitter.com/alsadi_maher","@alsadi_maher")</f>
        <v>@alsadi_maher</v>
      </c>
      <c r="C1170" s="13" t="s">
        <v>6663</v>
      </c>
      <c r="D1170" s="13" t="s">
        <v>6664</v>
      </c>
      <c r="E1170" s="12" t="str">
        <f>HYPERLINK("https://twitter.com/alsadi_maher/status/1181647210146078721","1181647210146078721")</f>
        <v>1181647210146078721</v>
      </c>
      <c r="F1170" s="8"/>
      <c r="G1170" s="14" t="s">
        <v>6665</v>
      </c>
      <c r="H1170" s="8"/>
      <c r="I1170" s="15">
        <v>0</v>
      </c>
      <c r="J1170" s="15">
        <v>0</v>
      </c>
      <c r="K1170" s="12" t="str">
        <f>HYPERLINK("http://twitter.com","Twitter Web Client")</f>
        <v>Twitter Web Client</v>
      </c>
      <c r="L1170" s="16">
        <v>1</v>
      </c>
      <c r="M1170" s="16">
        <v>39</v>
      </c>
      <c r="N1170" s="16">
        <v>0</v>
      </c>
      <c r="O1170" s="17"/>
      <c r="P1170" s="18">
        <v>42073.280474537038</v>
      </c>
      <c r="Q1170" s="8"/>
      <c r="R1170" s="8"/>
      <c r="S1170" s="8"/>
      <c r="T1170" s="8"/>
      <c r="U1170" s="19" t="str">
        <f>HYPERLINK("https://pbs.twimg.com/profile_images/575295817361190912/VY87vA4c.jpeg","View")</f>
        <v>View</v>
      </c>
      <c r="V1170" s="8"/>
      <c r="W1170" s="8"/>
      <c r="X1170" s="8"/>
      <c r="Y1170" s="8"/>
      <c r="Z1170" s="8"/>
    </row>
    <row r="1171" spans="1:26" ht="12.75">
      <c r="A1171" s="11">
        <v>43746.503854166665</v>
      </c>
      <c r="B1171" s="12" t="str">
        <f>HYPERLINK("https://twitter.com/humairael2","@humairael2")</f>
        <v>@humairael2</v>
      </c>
      <c r="C1171" s="13" t="s">
        <v>6667</v>
      </c>
      <c r="D1171" s="13" t="s">
        <v>968</v>
      </c>
      <c r="E1171" s="12" t="str">
        <f>HYPERLINK("https://twitter.com/humairael2/status/1181646833497493505","1181646833497493505")</f>
        <v>1181646833497493505</v>
      </c>
      <c r="F1171" s="8"/>
      <c r="G1171" s="14" t="s">
        <v>6668</v>
      </c>
      <c r="H1171" s="8"/>
      <c r="I1171" s="15">
        <v>0</v>
      </c>
      <c r="J1171" s="15">
        <v>0</v>
      </c>
      <c r="K1171" s="12" t="str">
        <f>HYPERLINK("https://mobile.twitter.com","Twitter Web App")</f>
        <v>Twitter Web App</v>
      </c>
      <c r="L1171" s="16">
        <v>0</v>
      </c>
      <c r="M1171" s="16">
        <v>2</v>
      </c>
      <c r="N1171" s="16">
        <v>0</v>
      </c>
      <c r="O1171" s="17"/>
      <c r="P1171" s="18">
        <v>43741.457858796297</v>
      </c>
      <c r="Q1171" s="8" t="s">
        <v>4714</v>
      </c>
      <c r="R1171" s="8" t="s">
        <v>912</v>
      </c>
      <c r="S1171" s="8"/>
      <c r="T1171" s="8"/>
      <c r="U1171" s="19" t="str">
        <f>HYPERLINK("https://pbs.twimg.com/profile_images/1179818681959768064/ixnsFCnn.jpg","View")</f>
        <v>View</v>
      </c>
      <c r="V1171" s="8"/>
      <c r="W1171" s="8"/>
      <c r="X1171" s="8"/>
      <c r="Y1171" s="8"/>
      <c r="Z1171" s="8"/>
    </row>
    <row r="1172" spans="1:26" ht="12.75">
      <c r="A1172" s="11">
        <v>43746.503842592589</v>
      </c>
      <c r="B1172" s="12" t="str">
        <f>HYPERLINK("https://twitter.com/algohanie0333","@algohanie0333")</f>
        <v>@algohanie0333</v>
      </c>
      <c r="C1172" s="7" t="s">
        <v>6669</v>
      </c>
      <c r="D1172" s="7" t="s">
        <v>6670</v>
      </c>
      <c r="E1172" s="12" t="str">
        <f>HYPERLINK("https://twitter.com/algohanie0333/status/1181646829286563842","1181646829286563842")</f>
        <v>1181646829286563842</v>
      </c>
      <c r="F1172" s="8"/>
      <c r="G1172" s="14" t="s">
        <v>6671</v>
      </c>
      <c r="H1172" s="8"/>
      <c r="I1172" s="15">
        <v>0</v>
      </c>
      <c r="J1172" s="15">
        <v>0</v>
      </c>
      <c r="K1172" s="12" t="str">
        <f>HYPERLINK("http://twitter.com","Twitter Web Client")</f>
        <v>Twitter Web Client</v>
      </c>
      <c r="L1172" s="16">
        <v>1</v>
      </c>
      <c r="M1172" s="16">
        <v>40</v>
      </c>
      <c r="N1172" s="16">
        <v>0</v>
      </c>
      <c r="O1172" s="17"/>
      <c r="P1172" s="18">
        <v>42084.097627314812</v>
      </c>
      <c r="Q1172" s="7"/>
      <c r="R1172" s="13"/>
      <c r="S1172" s="8"/>
      <c r="T1172" s="8"/>
      <c r="U1172" s="19" t="str">
        <f>HYPERLINK("https://pbs.twimg.com/profile_images/579211112530448386/3TkeKjNR.jpg","View")</f>
        <v>View</v>
      </c>
      <c r="V1172" s="8"/>
      <c r="W1172" s="8"/>
      <c r="X1172" s="8"/>
      <c r="Y1172" s="8"/>
      <c r="Z1172" s="8"/>
    </row>
    <row r="1173" spans="1:26" ht="12.75">
      <c r="A1173" s="11">
        <v>43746.50371527778</v>
      </c>
      <c r="B1173" s="12" t="str">
        <f>HYPERLINK("https://twitter.com/muiestera","@muiestera")</f>
        <v>@muiestera</v>
      </c>
      <c r="C1173" s="13" t="s">
        <v>2763</v>
      </c>
      <c r="D1173" s="13" t="s">
        <v>6675</v>
      </c>
      <c r="E1173" s="12" t="str">
        <f>HYPERLINK("https://twitter.com/muiestera/status/1181646782490648580","1181646782490648580")</f>
        <v>1181646782490648580</v>
      </c>
      <c r="F1173" s="8"/>
      <c r="G1173" s="14" t="s">
        <v>6676</v>
      </c>
      <c r="H1173" s="8"/>
      <c r="I1173" s="15">
        <v>0</v>
      </c>
      <c r="J1173" s="15">
        <v>0</v>
      </c>
      <c r="K1173" s="12" t="str">
        <f>HYPERLINK("http://twitter.com","Twitter Web Client")</f>
        <v>Twitter Web Client</v>
      </c>
      <c r="L1173" s="16">
        <v>0</v>
      </c>
      <c r="M1173" s="16">
        <v>28</v>
      </c>
      <c r="N1173" s="16">
        <v>0</v>
      </c>
      <c r="O1173" s="17"/>
      <c r="P1173" s="18">
        <v>42089.230069444442</v>
      </c>
      <c r="Q1173" s="8"/>
      <c r="R1173" s="8"/>
      <c r="S1173" s="8"/>
      <c r="T1173" s="8"/>
      <c r="U1173" s="19" t="str">
        <f>HYPERLINK("https://pbs.twimg.com/profile_images/581073213360230401/vw-gYo6j.jpg","View")</f>
        <v>View</v>
      </c>
      <c r="V1173" s="8"/>
      <c r="W1173" s="8"/>
      <c r="X1173" s="8"/>
      <c r="Y1173" s="8"/>
      <c r="Z1173" s="8"/>
    </row>
    <row r="1174" spans="1:26" ht="12.75">
      <c r="A1174" s="11">
        <v>43746.503171296295</v>
      </c>
      <c r="B1174" s="12" t="str">
        <f>HYPERLINK("https://twitter.com/alkoraniie33","@alkoraniie33")</f>
        <v>@alkoraniie33</v>
      </c>
      <c r="C1174" s="13" t="s">
        <v>6678</v>
      </c>
      <c r="D1174" s="13" t="s">
        <v>6679</v>
      </c>
      <c r="E1174" s="12" t="str">
        <f>HYPERLINK("https://twitter.com/alkoraniie33/status/1181646583458344960","1181646583458344960")</f>
        <v>1181646583458344960</v>
      </c>
      <c r="F1174" s="8"/>
      <c r="G1174" s="14" t="s">
        <v>6680</v>
      </c>
      <c r="H1174" s="8"/>
      <c r="I1174" s="15">
        <v>0</v>
      </c>
      <c r="J1174" s="15">
        <v>0</v>
      </c>
      <c r="K1174" s="12" t="str">
        <f>HYPERLINK("http://twitter.com","Twitter Web Client")</f>
        <v>Twitter Web Client</v>
      </c>
      <c r="L1174" s="16">
        <v>11</v>
      </c>
      <c r="M1174" s="16">
        <v>40</v>
      </c>
      <c r="N1174" s="16">
        <v>0</v>
      </c>
      <c r="O1174" s="17"/>
      <c r="P1174" s="18">
        <v>42072.220289351855</v>
      </c>
      <c r="Q1174" s="8"/>
      <c r="R1174" s="8"/>
      <c r="S1174" s="8"/>
      <c r="T1174" s="8"/>
      <c r="U1174" s="19" t="str">
        <f>HYPERLINK("https://pbs.twimg.com/profile_images/574906905727909888/PVg2zuO0.jpeg","View")</f>
        <v>View</v>
      </c>
      <c r="V1174" s="8"/>
      <c r="W1174" s="8"/>
      <c r="X1174" s="8"/>
      <c r="Y1174" s="8"/>
      <c r="Z1174" s="8"/>
    </row>
    <row r="1175" spans="1:26" ht="12.75">
      <c r="A1175" s="11">
        <v>43746.502314814818</v>
      </c>
      <c r="B1175" s="12" t="str">
        <f>HYPERLINK("https://twitter.com/zuraarael","@zuraarael")</f>
        <v>@zuraarael</v>
      </c>
      <c r="C1175" s="13" t="s">
        <v>6684</v>
      </c>
      <c r="D1175" s="7" t="s">
        <v>944</v>
      </c>
      <c r="E1175" s="12" t="str">
        <f>HYPERLINK("https://twitter.com/zuraarael/status/1181646274543538176","1181646274543538176")</f>
        <v>1181646274543538176</v>
      </c>
      <c r="F1175" s="8"/>
      <c r="G1175" s="14" t="s">
        <v>6685</v>
      </c>
      <c r="H1175" s="8"/>
      <c r="I1175" s="15">
        <v>0</v>
      </c>
      <c r="J1175" s="15">
        <v>0</v>
      </c>
      <c r="K1175" s="12" t="str">
        <f>HYPERLINK("https://mobile.twitter.com","Twitter Web App")</f>
        <v>Twitter Web App</v>
      </c>
      <c r="L1175" s="16">
        <v>0</v>
      </c>
      <c r="M1175" s="16">
        <v>2</v>
      </c>
      <c r="N1175" s="16">
        <v>0</v>
      </c>
      <c r="O1175" s="17"/>
      <c r="P1175" s="18">
        <v>43741.443761574075</v>
      </c>
      <c r="Q1175" s="7" t="s">
        <v>4714</v>
      </c>
      <c r="R1175" s="13" t="s">
        <v>925</v>
      </c>
      <c r="S1175" s="8"/>
      <c r="T1175" s="8"/>
      <c r="U1175" s="19" t="str">
        <f>HYPERLINK("https://pbs.twimg.com/profile_images/1179813595665727489/aOMhaohA.jpg","View")</f>
        <v>View</v>
      </c>
      <c r="V1175" s="8"/>
      <c r="W1175" s="8"/>
      <c r="X1175" s="8"/>
      <c r="Y1175" s="8"/>
      <c r="Z1175" s="8"/>
    </row>
    <row r="1176" spans="1:26" ht="12.75">
      <c r="A1176" s="11">
        <v>43746.501817129625</v>
      </c>
      <c r="B1176" s="12" t="str">
        <f>HYPERLINK("https://twitter.com/sultanalasearis","@sultanalasearis")</f>
        <v>@sultanalasearis</v>
      </c>
      <c r="C1176" s="13" t="s">
        <v>6686</v>
      </c>
      <c r="D1176" s="7" t="s">
        <v>6687</v>
      </c>
      <c r="E1176" s="12" t="str">
        <f>HYPERLINK("https://twitter.com/sultanalasearis/status/1181646093362323456","1181646093362323456")</f>
        <v>1181646093362323456</v>
      </c>
      <c r="F1176" s="8"/>
      <c r="G1176" s="14" t="s">
        <v>6688</v>
      </c>
      <c r="H1176" s="8"/>
      <c r="I1176" s="15">
        <v>0</v>
      </c>
      <c r="J1176" s="15">
        <v>0</v>
      </c>
      <c r="K1176" s="12" t="str">
        <f>HYPERLINK("http://twitter.com","Twitter Web Client")</f>
        <v>Twitter Web Client</v>
      </c>
      <c r="L1176" s="16">
        <v>0</v>
      </c>
      <c r="M1176" s="16">
        <v>26</v>
      </c>
      <c r="N1176" s="16">
        <v>0</v>
      </c>
      <c r="O1176" s="17"/>
      <c r="P1176" s="18">
        <v>41848.197094907409</v>
      </c>
      <c r="Q1176" s="7"/>
      <c r="R1176" s="13"/>
      <c r="S1176" s="8"/>
      <c r="T1176" s="8"/>
      <c r="U1176" s="19" t="str">
        <f>HYPERLINK("https://pbs.twimg.com/profile_images/493723961738276864/uMRMqvRi.jpeg","View")</f>
        <v>View</v>
      </c>
      <c r="V1176" s="8"/>
      <c r="W1176" s="8"/>
      <c r="X1176" s="8"/>
      <c r="Y1176" s="8"/>
      <c r="Z1176" s="8"/>
    </row>
    <row r="1177" spans="1:26" ht="12.75">
      <c r="A1177" s="11">
        <v>43746.500902777778</v>
      </c>
      <c r="B1177" s="12" t="str">
        <f>HYPERLINK("https://twitter.com/hamidmo57179577","@hamidmo57179577")</f>
        <v>@hamidmo57179577</v>
      </c>
      <c r="C1177" s="13" t="s">
        <v>6689</v>
      </c>
      <c r="D1177" s="13" t="s">
        <v>1880</v>
      </c>
      <c r="E1177" s="12" t="str">
        <f>HYPERLINK("https://twitter.com/hamidmo57179577/status/1181645763400671233","1181645763400671233")</f>
        <v>1181645763400671233</v>
      </c>
      <c r="F1177" s="8"/>
      <c r="G1177" s="14" t="s">
        <v>6690</v>
      </c>
      <c r="H1177" s="8"/>
      <c r="I1177" s="15">
        <v>0</v>
      </c>
      <c r="J1177" s="15">
        <v>0</v>
      </c>
      <c r="K1177" s="12" t="str">
        <f>HYPERLINK("http://twitter.com","Twitter Web Client")</f>
        <v>Twitter Web Client</v>
      </c>
      <c r="L1177" s="16">
        <v>2</v>
      </c>
      <c r="M1177" s="16">
        <v>37</v>
      </c>
      <c r="N1177" s="16">
        <v>0</v>
      </c>
      <c r="O1177" s="17"/>
      <c r="P1177" s="18">
        <v>42067.580810185187</v>
      </c>
      <c r="Q1177" s="8"/>
      <c r="R1177" s="8"/>
      <c r="S1177" s="8"/>
      <c r="T1177" s="8"/>
      <c r="U1177" s="19" t="str">
        <f>HYPERLINK("https://pbs.twimg.com/profile_images/573270615752245248/QNDd2ZX0.jpeg","View")</f>
        <v>View</v>
      </c>
      <c r="V1177" s="8"/>
      <c r="W1177" s="8"/>
      <c r="X1177" s="8"/>
      <c r="Y1177" s="8"/>
      <c r="Z1177" s="8"/>
    </row>
    <row r="1178" spans="1:26" ht="12.75">
      <c r="A1178" s="11">
        <v>43746.500775462962</v>
      </c>
      <c r="B1178" s="12" t="str">
        <f>HYPERLINK("https://twitter.com/rashederashed","@rashederashed")</f>
        <v>@rashederashed</v>
      </c>
      <c r="C1178" s="13" t="s">
        <v>6694</v>
      </c>
      <c r="D1178" s="7" t="s">
        <v>6695</v>
      </c>
      <c r="E1178" s="12" t="str">
        <f>HYPERLINK("https://twitter.com/rashederashed/status/1181645717389139969","1181645717389139969")</f>
        <v>1181645717389139969</v>
      </c>
      <c r="F1178" s="8"/>
      <c r="G1178" s="14" t="s">
        <v>6697</v>
      </c>
      <c r="H1178" s="8"/>
      <c r="I1178" s="15">
        <v>0</v>
      </c>
      <c r="J1178" s="15">
        <v>0</v>
      </c>
      <c r="K1178" s="12" t="str">
        <f>HYPERLINK("http://twitter.com","Twitter Web Client")</f>
        <v>Twitter Web Client</v>
      </c>
      <c r="L1178" s="16">
        <v>13</v>
      </c>
      <c r="M1178" s="16">
        <v>37</v>
      </c>
      <c r="N1178" s="16">
        <v>0</v>
      </c>
      <c r="O1178" s="17"/>
      <c r="P1178" s="18">
        <v>42080.68545138889</v>
      </c>
      <c r="Q1178" s="7"/>
      <c r="R1178" s="13"/>
      <c r="S1178" s="8"/>
      <c r="T1178" s="8"/>
      <c r="U1178" s="19" t="str">
        <f>HYPERLINK("https://pbs.twimg.com/profile_images/577977051551920128/npdxHET8.jpeg","View")</f>
        <v>View</v>
      </c>
      <c r="V1178" s="8"/>
      <c r="W1178" s="8"/>
      <c r="X1178" s="8"/>
      <c r="Y1178" s="8"/>
      <c r="Z1178" s="8"/>
    </row>
    <row r="1179" spans="1:26" ht="12.75">
      <c r="A1179" s="11">
        <v>43746.5</v>
      </c>
      <c r="B1179" s="12" t="str">
        <f>HYPERLINK("https://twitter.com/myfairobserver","@myfairobserver")</f>
        <v>@myfairobserver</v>
      </c>
      <c r="C1179" s="13" t="s">
        <v>6701</v>
      </c>
      <c r="D1179" s="13" t="s">
        <v>6703</v>
      </c>
      <c r="E1179" s="12" t="str">
        <f>HYPERLINK("https://twitter.com/myfairobserver/status/1181645434722238465","1181645434722238465")</f>
        <v>1181645434722238465</v>
      </c>
      <c r="F1179" s="14" t="s">
        <v>6704</v>
      </c>
      <c r="G1179" s="15"/>
      <c r="H1179" s="8"/>
      <c r="I1179" s="15">
        <v>1</v>
      </c>
      <c r="J1179" s="15">
        <v>0</v>
      </c>
      <c r="K1179" s="12" t="str">
        <f>HYPERLINK("https://about.twitter.com/products/tweetdeck","TweetDeck")</f>
        <v>TweetDeck</v>
      </c>
      <c r="L1179" s="16">
        <v>13380</v>
      </c>
      <c r="M1179" s="16">
        <v>3071</v>
      </c>
      <c r="N1179" s="16">
        <v>799</v>
      </c>
      <c r="O1179" s="17"/>
      <c r="P1179" s="18">
        <v>40658.557662037041</v>
      </c>
      <c r="Q1179" s="8" t="s">
        <v>6705</v>
      </c>
      <c r="R1179" s="8" t="s">
        <v>6706</v>
      </c>
      <c r="S1179" s="14" t="s">
        <v>6707</v>
      </c>
      <c r="T1179" s="8"/>
      <c r="U1179" s="19" t="str">
        <f>HYPERLINK("https://pbs.twimg.com/profile_images/1149593575211950083/S2_Rvi6R.png","View")</f>
        <v>View</v>
      </c>
      <c r="V1179" s="8"/>
      <c r="W1179" s="8"/>
      <c r="X1179" s="8"/>
      <c r="Y1179" s="8"/>
      <c r="Z1179" s="8"/>
    </row>
    <row r="1180" spans="1:26" ht="12.75">
      <c r="A1180" s="11">
        <v>43746.499861111108</v>
      </c>
      <c r="B1180" s="12" t="str">
        <f>HYPERLINK("https://twitter.com/almashyate_78","@almashyate_78")</f>
        <v>@almashyate_78</v>
      </c>
      <c r="C1180" s="13" t="s">
        <v>6709</v>
      </c>
      <c r="D1180" s="7" t="s">
        <v>6710</v>
      </c>
      <c r="E1180" s="12" t="str">
        <f>HYPERLINK("https://twitter.com/almashyate_78/status/1181645385598672896","1181645385598672896")</f>
        <v>1181645385598672896</v>
      </c>
      <c r="F1180" s="8"/>
      <c r="G1180" s="14" t="s">
        <v>6711</v>
      </c>
      <c r="H1180" s="8"/>
      <c r="I1180" s="15">
        <v>0</v>
      </c>
      <c r="J1180" s="15">
        <v>0</v>
      </c>
      <c r="K1180" s="12" t="str">
        <f>HYPERLINK("http://twitter.com","Twitter Web Client")</f>
        <v>Twitter Web Client</v>
      </c>
      <c r="L1180" s="16">
        <v>3</v>
      </c>
      <c r="M1180" s="16">
        <v>32</v>
      </c>
      <c r="N1180" s="16">
        <v>0</v>
      </c>
      <c r="O1180" s="17"/>
      <c r="P1180" s="18">
        <v>41846.51152777778</v>
      </c>
      <c r="Q1180" s="7"/>
      <c r="R1180" s="13"/>
      <c r="S1180" s="8"/>
      <c r="T1180" s="8"/>
      <c r="U1180" s="19" t="str">
        <f>HYPERLINK("https://pbs.twimg.com/profile_images/493112749459664896/zs1FiHig.jpeg","View")</f>
        <v>View</v>
      </c>
      <c r="V1180" s="8"/>
      <c r="W1180" s="8"/>
      <c r="X1180" s="8"/>
      <c r="Y1180" s="8"/>
      <c r="Z1180" s="8"/>
    </row>
    <row r="1181" spans="1:26" ht="12.75">
      <c r="A1181" s="11">
        <v>43746.499571759261</v>
      </c>
      <c r="B1181" s="12" t="str">
        <f>HYPERLINK("https://twitter.com/bakier_dhlan","@bakier_dhlan")</f>
        <v>@bakier_dhlan</v>
      </c>
      <c r="C1181" s="13" t="s">
        <v>6712</v>
      </c>
      <c r="D1181" s="7" t="s">
        <v>1902</v>
      </c>
      <c r="E1181" s="12" t="str">
        <f>HYPERLINK("https://twitter.com/bakier_dhlan/status/1181645279663030272","1181645279663030272")</f>
        <v>1181645279663030272</v>
      </c>
      <c r="F1181" s="8"/>
      <c r="G1181" s="14" t="s">
        <v>6713</v>
      </c>
      <c r="H1181" s="8"/>
      <c r="I1181" s="15">
        <v>0</v>
      </c>
      <c r="J1181" s="15">
        <v>0</v>
      </c>
      <c r="K1181" s="12" t="str">
        <f>HYPERLINK("http://twitter.com","Twitter Web Client")</f>
        <v>Twitter Web Client</v>
      </c>
      <c r="L1181" s="16">
        <v>2</v>
      </c>
      <c r="M1181" s="16">
        <v>42</v>
      </c>
      <c r="N1181" s="16">
        <v>0</v>
      </c>
      <c r="O1181" s="17"/>
      <c r="P1181" s="18">
        <v>42086.683217592596</v>
      </c>
      <c r="Q1181" s="7"/>
      <c r="R1181" s="13"/>
      <c r="S1181" s="8"/>
      <c r="T1181" s="8"/>
      <c r="U1181" s="19" t="str">
        <f>HYPERLINK("https://pbs.twimg.com/profile_images/580149052248961024/zGgv5GDH.jpg","View")</f>
        <v>View</v>
      </c>
      <c r="V1181" s="8"/>
      <c r="W1181" s="8"/>
      <c r="X1181" s="8"/>
      <c r="Y1181" s="8"/>
      <c r="Z1181" s="8"/>
    </row>
    <row r="1182" spans="1:26" ht="12.75">
      <c r="A1182" s="11">
        <v>43746.499293981484</v>
      </c>
      <c r="B1182" s="12" t="str">
        <f>HYPERLINK("https://twitter.com/mdaad_kheree","@mdaad_kheree")</f>
        <v>@mdaad_kheree</v>
      </c>
      <c r="C1182" s="13" t="s">
        <v>6714</v>
      </c>
      <c r="D1182" s="13" t="s">
        <v>6715</v>
      </c>
      <c r="E1182" s="12" t="str">
        <f>HYPERLINK("https://twitter.com/mdaad_kheree/status/1181645178861432835","1181645178861432835")</f>
        <v>1181645178861432835</v>
      </c>
      <c r="F1182" s="8"/>
      <c r="G1182" s="14" t="s">
        <v>6716</v>
      </c>
      <c r="H1182" s="8"/>
      <c r="I1182" s="15">
        <v>0</v>
      </c>
      <c r="J1182" s="15">
        <v>0</v>
      </c>
      <c r="K1182" s="12" t="str">
        <f>HYPERLINK("http://twitter.com","Twitter Web Client")</f>
        <v>Twitter Web Client</v>
      </c>
      <c r="L1182" s="16">
        <v>2</v>
      </c>
      <c r="M1182" s="16">
        <v>37</v>
      </c>
      <c r="N1182" s="16">
        <v>0</v>
      </c>
      <c r="O1182" s="17"/>
      <c r="P1182" s="18">
        <v>41845.635567129633</v>
      </c>
      <c r="Q1182" s="8"/>
      <c r="R1182" s="8"/>
      <c r="S1182" s="8"/>
      <c r="T1182" s="8"/>
      <c r="U1182" s="19" t="str">
        <f>HYPERLINK("https://pbs.twimg.com/profile_images/492795352680894464/J9GrujKj.jpeg","View")</f>
        <v>View</v>
      </c>
      <c r="V1182" s="8"/>
      <c r="W1182" s="8"/>
      <c r="X1182" s="8"/>
      <c r="Y1182" s="8"/>
      <c r="Z1182" s="8"/>
    </row>
    <row r="1183" spans="1:26" ht="12.75">
      <c r="A1183" s="11">
        <v>43746.499120370368</v>
      </c>
      <c r="B1183" s="12" t="str">
        <f>HYPERLINK("https://twitter.com/AmriQutb","@AmriQutb")</f>
        <v>@AmriQutb</v>
      </c>
      <c r="C1183" s="13" t="s">
        <v>6717</v>
      </c>
      <c r="D1183" s="7" t="s">
        <v>944</v>
      </c>
      <c r="E1183" s="12" t="str">
        <f>HYPERLINK("https://twitter.com/AmriQutb/status/1181645116840169472","1181645116840169472")</f>
        <v>1181645116840169472</v>
      </c>
      <c r="F1183" s="8"/>
      <c r="G1183" s="14" t="s">
        <v>6718</v>
      </c>
      <c r="H1183" s="8"/>
      <c r="I1183" s="15">
        <v>0</v>
      </c>
      <c r="J1183" s="15">
        <v>0</v>
      </c>
      <c r="K1183" s="12" t="str">
        <f>HYPERLINK("https://mobile.twitter.com","Twitter Web App")</f>
        <v>Twitter Web App</v>
      </c>
      <c r="L1183" s="16">
        <v>0</v>
      </c>
      <c r="M1183" s="16">
        <v>1</v>
      </c>
      <c r="N1183" s="16">
        <v>0</v>
      </c>
      <c r="O1183" s="17"/>
      <c r="P1183" s="18">
        <v>43728.96193287037</v>
      </c>
      <c r="Q1183" s="7" t="s">
        <v>1405</v>
      </c>
      <c r="R1183" s="13" t="s">
        <v>925</v>
      </c>
      <c r="S1183" s="8"/>
      <c r="T1183" s="8"/>
      <c r="U1183" s="19" t="str">
        <f>HYPERLINK("https://pbs.twimg.com/profile_images/1176787102484140032/K0O7Fdmy.jpg","View")</f>
        <v>View</v>
      </c>
      <c r="V1183" s="8"/>
      <c r="W1183" s="8"/>
      <c r="X1183" s="8"/>
      <c r="Y1183" s="8"/>
      <c r="Z1183" s="8"/>
    </row>
    <row r="1184" spans="1:26" ht="12.75">
      <c r="A1184" s="11">
        <v>43746.497893518521</v>
      </c>
      <c r="B1184" s="12" t="str">
        <f>HYPERLINK("https://twitter.com/AlQudratullah","@AlQudratullah")</f>
        <v>@AlQudratullah</v>
      </c>
      <c r="C1184" s="13" t="s">
        <v>6724</v>
      </c>
      <c r="D1184" s="13" t="s">
        <v>1030</v>
      </c>
      <c r="E1184" s="12" t="str">
        <f>HYPERLINK("https://twitter.com/AlQudratullah/status/1181644671228887040","1181644671228887040")</f>
        <v>1181644671228887040</v>
      </c>
      <c r="F1184" s="8"/>
      <c r="G1184" s="14" t="s">
        <v>6726</v>
      </c>
      <c r="H1184" s="8"/>
      <c r="I1184" s="15">
        <v>0</v>
      </c>
      <c r="J1184" s="15">
        <v>0</v>
      </c>
      <c r="K1184" s="12" t="str">
        <f>HYPERLINK("https://mobile.twitter.com","Twitter Web App")</f>
        <v>Twitter Web App</v>
      </c>
      <c r="L1184" s="16">
        <v>0</v>
      </c>
      <c r="M1184" s="16">
        <v>1</v>
      </c>
      <c r="N1184" s="16">
        <v>0</v>
      </c>
      <c r="O1184" s="17"/>
      <c r="P1184" s="18">
        <v>43728.954594907409</v>
      </c>
      <c r="Q1184" s="8" t="s">
        <v>1612</v>
      </c>
      <c r="R1184" s="8" t="s">
        <v>1277</v>
      </c>
      <c r="S1184" s="8"/>
      <c r="T1184" s="8"/>
      <c r="U1184" s="19" t="str">
        <f>HYPERLINK("https://pbs.twimg.com/profile_images/1176789816941281280/bkUQ3miB.jpg","View")</f>
        <v>View</v>
      </c>
      <c r="V1184" s="8"/>
      <c r="W1184" s="8"/>
      <c r="X1184" s="8"/>
      <c r="Y1184" s="8"/>
      <c r="Z1184" s="8"/>
    </row>
    <row r="1185" spans="1:26" ht="12.75">
      <c r="A1185" s="11">
        <v>43746.497604166667</v>
      </c>
      <c r="B1185" s="12" t="str">
        <f>HYPERLINK("https://twitter.com/abdullahahtanie","@abdullahahtanie")</f>
        <v>@abdullahahtanie</v>
      </c>
      <c r="C1185" s="13" t="s">
        <v>6729</v>
      </c>
      <c r="D1185" s="13" t="s">
        <v>1928</v>
      </c>
      <c r="E1185" s="12" t="str">
        <f>HYPERLINK("https://twitter.com/abdullahahtanie/status/1181644568770629636","1181644568770629636")</f>
        <v>1181644568770629636</v>
      </c>
      <c r="F1185" s="8"/>
      <c r="G1185" s="14" t="s">
        <v>6730</v>
      </c>
      <c r="H1185" s="8"/>
      <c r="I1185" s="15">
        <v>0</v>
      </c>
      <c r="J1185" s="15">
        <v>0</v>
      </c>
      <c r="K1185" s="12" t="str">
        <f>HYPERLINK("http://twitter.com","Twitter Web Client")</f>
        <v>Twitter Web Client</v>
      </c>
      <c r="L1185" s="16">
        <v>0</v>
      </c>
      <c r="M1185" s="16">
        <v>35</v>
      </c>
      <c r="N1185" s="16">
        <v>0</v>
      </c>
      <c r="O1185" s="17"/>
      <c r="P1185" s="18">
        <v>42080.727164351847</v>
      </c>
      <c r="Q1185" s="8"/>
      <c r="R1185" s="8"/>
      <c r="S1185" s="8"/>
      <c r="T1185" s="8"/>
      <c r="U1185" s="19" t="str">
        <f>HYPERLINK("https://pbs.twimg.com/profile_images/577990004321828864/ADL66U-A.jpeg","View")</f>
        <v>View</v>
      </c>
      <c r="V1185" s="8"/>
      <c r="W1185" s="8"/>
      <c r="X1185" s="8"/>
      <c r="Y1185" s="8"/>
      <c r="Z1185" s="8"/>
    </row>
    <row r="1186" spans="1:26" ht="12.75">
      <c r="A1186" s="11">
        <v>43746.49732638889</v>
      </c>
      <c r="B1186" s="12" t="str">
        <f>HYPERLINK("https://twitter.com/QSomaily","@QSomaily")</f>
        <v>@QSomaily</v>
      </c>
      <c r="C1186" s="13" t="s">
        <v>6734</v>
      </c>
      <c r="D1186" s="7" t="s">
        <v>1130</v>
      </c>
      <c r="E1186" s="12" t="str">
        <f>HYPERLINK("https://twitter.com/QSomaily/status/1181644465124986880","1181644465124986880")</f>
        <v>1181644465124986880</v>
      </c>
      <c r="F1186" s="8"/>
      <c r="G1186" s="14" t="s">
        <v>6735</v>
      </c>
      <c r="H1186" s="8"/>
      <c r="I1186" s="15">
        <v>0</v>
      </c>
      <c r="J1186" s="15">
        <v>0</v>
      </c>
      <c r="K1186" s="12" t="str">
        <f>HYPERLINK("https://mobile.twitter.com","Twitter Web App")</f>
        <v>Twitter Web App</v>
      </c>
      <c r="L1186" s="16">
        <v>0</v>
      </c>
      <c r="M1186" s="16">
        <v>1</v>
      </c>
      <c r="N1186" s="16">
        <v>0</v>
      </c>
      <c r="O1186" s="17"/>
      <c r="P1186" s="18">
        <v>43728.951574074075</v>
      </c>
      <c r="Q1186" s="7" t="s">
        <v>939</v>
      </c>
      <c r="R1186" s="13" t="s">
        <v>1258</v>
      </c>
      <c r="S1186" s="8"/>
      <c r="T1186" s="8"/>
      <c r="U1186" s="19" t="str">
        <f>HYPERLINK("https://pbs.twimg.com/profile_images/1176791323929563136/V2Gu8m23.jpg","View")</f>
        <v>View</v>
      </c>
      <c r="V1186" s="8"/>
      <c r="W1186" s="8"/>
      <c r="X1186" s="8"/>
      <c r="Y1186" s="8"/>
      <c r="Z1186" s="8"/>
    </row>
    <row r="1187" spans="1:26" ht="12.75">
      <c r="A1187" s="11">
        <v>43746.496990740736</v>
      </c>
      <c r="B1187" s="12" t="str">
        <f>HYPERLINK("https://twitter.com/QMoualed","@QMoualed")</f>
        <v>@QMoualed</v>
      </c>
      <c r="C1187" s="13" t="s">
        <v>6738</v>
      </c>
      <c r="D1187" s="13" t="s">
        <v>1107</v>
      </c>
      <c r="E1187" s="12" t="str">
        <f>HYPERLINK("https://twitter.com/QMoualed/status/1181644346048729093","1181644346048729093")</f>
        <v>1181644346048729093</v>
      </c>
      <c r="F1187" s="8"/>
      <c r="G1187" s="14" t="s">
        <v>6739</v>
      </c>
      <c r="H1187" s="8"/>
      <c r="I1187" s="15">
        <v>0</v>
      </c>
      <c r="J1187" s="15">
        <v>0</v>
      </c>
      <c r="K1187" s="12" t="str">
        <f>HYPERLINK("https://mobile.twitter.com","Twitter Web App")</f>
        <v>Twitter Web App</v>
      </c>
      <c r="L1187" s="16">
        <v>0</v>
      </c>
      <c r="M1187" s="16">
        <v>1</v>
      </c>
      <c r="N1187" s="16">
        <v>0</v>
      </c>
      <c r="O1187" s="17"/>
      <c r="P1187" s="18">
        <v>43728.947696759264</v>
      </c>
      <c r="Q1187" s="7" t="s">
        <v>911</v>
      </c>
      <c r="R1187" s="13" t="s">
        <v>1110</v>
      </c>
      <c r="S1187" s="8"/>
      <c r="T1187" s="8"/>
      <c r="U1187" s="19" t="str">
        <f>HYPERLINK("https://pbs.twimg.com/profile_images/1176792511966113798/U5CT-gRW.jpg","View")</f>
        <v>View</v>
      </c>
      <c r="V1187" s="8"/>
      <c r="W1187" s="8"/>
      <c r="X1187" s="8"/>
      <c r="Y1187" s="8"/>
      <c r="Z1187" s="8"/>
    </row>
    <row r="1188" spans="1:26" ht="12.75">
      <c r="A1188" s="11">
        <v>43746.496469907404</v>
      </c>
      <c r="B1188" s="12" t="str">
        <f>HYPERLINK("https://twitter.com/QHamdah","@QHamdah")</f>
        <v>@QHamdah</v>
      </c>
      <c r="C1188" s="7" t="s">
        <v>6743</v>
      </c>
      <c r="D1188" s="7" t="s">
        <v>907</v>
      </c>
      <c r="E1188" s="12" t="str">
        <f>HYPERLINK("https://twitter.com/QHamdah/status/1181644156415791104","1181644156415791104")</f>
        <v>1181644156415791104</v>
      </c>
      <c r="F1188" s="15"/>
      <c r="G1188" s="14" t="s">
        <v>6744</v>
      </c>
      <c r="H1188" s="8"/>
      <c r="I1188" s="15">
        <v>0</v>
      </c>
      <c r="J1188" s="15">
        <v>0</v>
      </c>
      <c r="K1188" s="12" t="str">
        <f>HYPERLINK("https://mobile.twitter.com","Twitter Web App")</f>
        <v>Twitter Web App</v>
      </c>
      <c r="L1188" s="16">
        <v>0</v>
      </c>
      <c r="M1188" s="16">
        <v>0</v>
      </c>
      <c r="N1188" s="16">
        <v>0</v>
      </c>
      <c r="O1188" s="17"/>
      <c r="P1188" s="18">
        <v>43728.942858796298</v>
      </c>
      <c r="Q1188" s="15" t="s">
        <v>1428</v>
      </c>
      <c r="R1188" s="7" t="s">
        <v>1552</v>
      </c>
      <c r="S1188" s="8"/>
      <c r="T1188" s="8"/>
      <c r="U1188" s="19" t="str">
        <f>HYPERLINK("https://pbs.twimg.com/profile_images/1176795855031947264/vKBNZld9.jpg","View")</f>
        <v>View</v>
      </c>
      <c r="V1188" s="8"/>
      <c r="W1188" s="8"/>
      <c r="X1188" s="8"/>
      <c r="Y1188" s="8"/>
      <c r="Z1188" s="8"/>
    </row>
    <row r="1189" spans="1:26" ht="12.75">
      <c r="A1189" s="11">
        <v>43746.49590277778</v>
      </c>
      <c r="B1189" s="12" t="str">
        <f>HYPERLINK("https://twitter.com/MinShammari","@MinShammari")</f>
        <v>@MinShammari</v>
      </c>
      <c r="C1189" s="7" t="s">
        <v>6749</v>
      </c>
      <c r="D1189" s="13" t="s">
        <v>6750</v>
      </c>
      <c r="E1189" s="12" t="str">
        <f>HYPERLINK("https://twitter.com/MinShammari/status/1181643950224023552","1181643950224023552")</f>
        <v>1181643950224023552</v>
      </c>
      <c r="F1189" s="15"/>
      <c r="G1189" s="14" t="s">
        <v>6751</v>
      </c>
      <c r="H1189" s="8"/>
      <c r="I1189" s="15">
        <v>0</v>
      </c>
      <c r="J1189" s="15">
        <v>0</v>
      </c>
      <c r="K1189" s="12" t="str">
        <f>HYPERLINK("http://twitter.com","Twitter Web Client")</f>
        <v>Twitter Web Client</v>
      </c>
      <c r="L1189" s="16">
        <v>4</v>
      </c>
      <c r="M1189" s="16">
        <v>36</v>
      </c>
      <c r="N1189" s="16">
        <v>0</v>
      </c>
      <c r="O1189" s="17"/>
      <c r="P1189" s="18">
        <v>42067.194641203707</v>
      </c>
      <c r="Q1189" s="15"/>
      <c r="R1189" s="7"/>
      <c r="S1189" s="8"/>
      <c r="T1189" s="8"/>
      <c r="U1189" s="19" t="str">
        <f>HYPERLINK("https://pbs.twimg.com/profile_images/573101969847418880/0V4fmsgA.jpeg","View")</f>
        <v>View</v>
      </c>
      <c r="V1189" s="8"/>
      <c r="W1189" s="8"/>
      <c r="X1189" s="8"/>
      <c r="Y1189" s="8"/>
      <c r="Z1189" s="8"/>
    </row>
    <row r="1190" spans="1:26" ht="12.75">
      <c r="A1190" s="11">
        <v>43746.495810185181</v>
      </c>
      <c r="B1190" s="12" t="str">
        <f>HYPERLINK("https://twitter.com/amaanullahal","@amaanullahal")</f>
        <v>@amaanullahal</v>
      </c>
      <c r="C1190" s="7" t="s">
        <v>6757</v>
      </c>
      <c r="D1190" s="13" t="s">
        <v>1130</v>
      </c>
      <c r="E1190" s="12" t="str">
        <f>HYPERLINK("https://twitter.com/amaanullahal/status/1181643916258377728","1181643916258377728")</f>
        <v>1181643916258377728</v>
      </c>
      <c r="F1190" s="15"/>
      <c r="G1190" s="14" t="s">
        <v>6758</v>
      </c>
      <c r="H1190" s="8"/>
      <c r="I1190" s="15">
        <v>0</v>
      </c>
      <c r="J1190" s="15">
        <v>0</v>
      </c>
      <c r="K1190" s="12" t="str">
        <f>HYPERLINK("https://mobile.twitter.com","Twitter Web App")</f>
        <v>Twitter Web App</v>
      </c>
      <c r="L1190" s="16">
        <v>0</v>
      </c>
      <c r="M1190" s="16">
        <v>2</v>
      </c>
      <c r="N1190" s="16">
        <v>0</v>
      </c>
      <c r="O1190" s="17"/>
      <c r="P1190" s="18">
        <v>43741.424583333333</v>
      </c>
      <c r="Q1190" s="15" t="s">
        <v>4714</v>
      </c>
      <c r="R1190" s="7" t="s">
        <v>1135</v>
      </c>
      <c r="S1190" s="8"/>
      <c r="T1190" s="8"/>
      <c r="U1190" s="19" t="str">
        <f>HYPERLINK("https://pbs.twimg.com/profile_images/1179807093123010560/j7e0CnFO.jpg","View")</f>
        <v>View</v>
      </c>
      <c r="V1190" s="8"/>
      <c r="W1190" s="8"/>
      <c r="X1190" s="8"/>
      <c r="Y1190" s="8"/>
      <c r="Z1190" s="8"/>
    </row>
    <row r="1191" spans="1:26" ht="12.75">
      <c r="A1191" s="11">
        <v>43746.495520833334</v>
      </c>
      <c r="B1191" s="12" t="str">
        <f>HYPERLINK("https://twitter.com/almal7em_ee","@almal7em_ee")</f>
        <v>@almal7em_ee</v>
      </c>
      <c r="C1191" s="7" t="s">
        <v>6762</v>
      </c>
      <c r="D1191" s="13" t="s">
        <v>1958</v>
      </c>
      <c r="E1191" s="12" t="str">
        <f>HYPERLINK("https://twitter.com/almal7em_ee/status/1181643813774925824","1181643813774925824")</f>
        <v>1181643813774925824</v>
      </c>
      <c r="F1191" s="15"/>
      <c r="G1191" s="14" t="s">
        <v>6763</v>
      </c>
      <c r="H1191" s="8"/>
      <c r="I1191" s="15">
        <v>0</v>
      </c>
      <c r="J1191" s="15">
        <v>0</v>
      </c>
      <c r="K1191" s="12" t="str">
        <f>HYPERLINK("http://twitter.com","Twitter Web Client")</f>
        <v>Twitter Web Client</v>
      </c>
      <c r="L1191" s="16">
        <v>3</v>
      </c>
      <c r="M1191" s="16">
        <v>38</v>
      </c>
      <c r="N1191" s="16">
        <v>0</v>
      </c>
      <c r="O1191" s="17"/>
      <c r="P1191" s="18">
        <v>42066.360173611116</v>
      </c>
      <c r="Q1191" s="15"/>
      <c r="R1191" s="7"/>
      <c r="S1191" s="8"/>
      <c r="T1191" s="8"/>
      <c r="U1191" s="19" t="str">
        <f>HYPERLINK("https://pbs.twimg.com/profile_images/572798851833016320/EMutl_RE.jpeg","View")</f>
        <v>View</v>
      </c>
      <c r="V1191" s="8"/>
      <c r="W1191" s="8"/>
      <c r="X1191" s="8"/>
      <c r="Y1191" s="8"/>
      <c r="Z1191" s="8"/>
    </row>
    <row r="1192" spans="1:26" ht="12.75">
      <c r="A1192" s="11">
        <v>43746.494988425926</v>
      </c>
      <c r="B1192" s="12" t="str">
        <f>HYPERLINK("https://twitter.com/tiburon1955","@tiburon1955")</f>
        <v>@tiburon1955</v>
      </c>
      <c r="C1192" s="13" t="s">
        <v>6766</v>
      </c>
      <c r="D1192" s="13" t="s">
        <v>6767</v>
      </c>
      <c r="E1192" s="12" t="str">
        <f>HYPERLINK("https://twitter.com/tiburon1955/status/1181643621373595648","1181643621373595648")</f>
        <v>1181643621373595648</v>
      </c>
      <c r="F1192" s="8"/>
      <c r="G1192" s="15"/>
      <c r="H1192" s="8"/>
      <c r="I1192" s="15">
        <v>0</v>
      </c>
      <c r="J1192" s="15">
        <v>0</v>
      </c>
      <c r="K1192" s="12" t="str">
        <f>HYPERLINK("http://twitter.com/download/iphone","Twitter for iPhone")</f>
        <v>Twitter for iPhone</v>
      </c>
      <c r="L1192" s="16">
        <v>7</v>
      </c>
      <c r="M1192" s="16">
        <v>11</v>
      </c>
      <c r="N1192" s="16">
        <v>0</v>
      </c>
      <c r="O1192" s="17"/>
      <c r="P1192" s="18">
        <v>43735.066284722227</v>
      </c>
      <c r="Q1192" s="8"/>
      <c r="R1192" s="8"/>
      <c r="S1192" s="8"/>
      <c r="T1192" s="8"/>
      <c r="U1192" s="20" t="s">
        <v>354</v>
      </c>
      <c r="V1192" s="8"/>
      <c r="W1192" s="8"/>
      <c r="X1192" s="8"/>
      <c r="Y1192" s="8"/>
      <c r="Z1192" s="8"/>
    </row>
    <row r="1193" spans="1:26" ht="12.75">
      <c r="A1193" s="11">
        <v>43746.494502314818</v>
      </c>
      <c r="B1193" s="12" t="str">
        <f>HYPERLINK("https://twitter.com/KhalidElsamly","@KhalidElsamly")</f>
        <v>@KhalidElsamly</v>
      </c>
      <c r="C1193" s="7" t="s">
        <v>6771</v>
      </c>
      <c r="D1193" s="13" t="s">
        <v>6772</v>
      </c>
      <c r="E1193" s="12" t="str">
        <f>HYPERLINK("https://twitter.com/KhalidElsamly/status/1181643442289598465","1181643442289598465")</f>
        <v>1181643442289598465</v>
      </c>
      <c r="F1193" s="15"/>
      <c r="G1193" s="14" t="s">
        <v>6773</v>
      </c>
      <c r="H1193" s="8"/>
      <c r="I1193" s="15">
        <v>0</v>
      </c>
      <c r="J1193" s="15">
        <v>0</v>
      </c>
      <c r="K1193" s="12" t="str">
        <f>HYPERLINK("http://twitter.com","Twitter Web Client")</f>
        <v>Twitter Web Client</v>
      </c>
      <c r="L1193" s="16">
        <v>0</v>
      </c>
      <c r="M1193" s="16">
        <v>34</v>
      </c>
      <c r="N1193" s="16">
        <v>0</v>
      </c>
      <c r="O1193" s="17"/>
      <c r="P1193" s="18">
        <v>41825.298182870371</v>
      </c>
      <c r="Q1193" s="15"/>
      <c r="R1193" s="7"/>
      <c r="S1193" s="8"/>
      <c r="T1193" s="8"/>
      <c r="U1193" s="19" t="str">
        <f>HYPERLINK("https://pbs.twimg.com/profile_images/485425410746773504/cx5SGMOX.jpeg","View")</f>
        <v>View</v>
      </c>
      <c r="V1193" s="8"/>
      <c r="W1193" s="8"/>
      <c r="X1193" s="8"/>
      <c r="Y1193" s="8"/>
      <c r="Z1193" s="8"/>
    </row>
    <row r="1194" spans="1:26" ht="12.75">
      <c r="A1194" s="11">
        <v>43746.494143518517</v>
      </c>
      <c r="B1194" s="12" t="str">
        <f>HYPERLINK("https://twitter.com/mahdiel39086201","@mahdiel39086201")</f>
        <v>@mahdiel39086201</v>
      </c>
      <c r="C1194" s="13" t="s">
        <v>6779</v>
      </c>
      <c r="D1194" s="13" t="s">
        <v>907</v>
      </c>
      <c r="E1194" s="12" t="str">
        <f>HYPERLINK("https://twitter.com/mahdiel39086201/status/1181643312907730944","1181643312907730944")</f>
        <v>1181643312907730944</v>
      </c>
      <c r="F1194" s="8"/>
      <c r="G1194" s="14" t="s">
        <v>6780</v>
      </c>
      <c r="H1194" s="8"/>
      <c r="I1194" s="15">
        <v>0</v>
      </c>
      <c r="J1194" s="15">
        <v>0</v>
      </c>
      <c r="K1194" s="12" t="str">
        <f>HYPERLINK("https://mobile.twitter.com","Twitter Web App")</f>
        <v>Twitter Web App</v>
      </c>
      <c r="L1194" s="16">
        <v>0</v>
      </c>
      <c r="M1194" s="16">
        <v>1</v>
      </c>
      <c r="N1194" s="16">
        <v>0</v>
      </c>
      <c r="O1194" s="17"/>
      <c r="P1194" s="18">
        <v>43743.664085648154</v>
      </c>
      <c r="Q1194" s="8" t="s">
        <v>4714</v>
      </c>
      <c r="R1194" s="8" t="s">
        <v>6784</v>
      </c>
      <c r="S1194" s="8"/>
      <c r="T1194" s="8"/>
      <c r="U1194" s="19" t="str">
        <f>HYPERLINK("https://pbs.twimg.com/profile_images/1180974352038154240/Ne7v_Brn.jpg","View")</f>
        <v>View</v>
      </c>
      <c r="V1194" s="8"/>
      <c r="W1194" s="8"/>
      <c r="X1194" s="8"/>
      <c r="Y1194" s="8"/>
      <c r="Z1194" s="8"/>
    </row>
    <row r="1195" spans="1:26" ht="12.75">
      <c r="A1195" s="11">
        <v>43746.493842592594</v>
      </c>
      <c r="B1195" s="12" t="str">
        <f>HYPERLINK("https://twitter.com/AlsniedyYosif","@AlsniedyYosif")</f>
        <v>@AlsniedyYosif</v>
      </c>
      <c r="C1195" s="13" t="s">
        <v>6785</v>
      </c>
      <c r="D1195" s="7" t="s">
        <v>6787</v>
      </c>
      <c r="E1195" s="12" t="str">
        <f>HYPERLINK("https://twitter.com/AlsniedyYosif/status/1181643205885988865","1181643205885988865")</f>
        <v>1181643205885988865</v>
      </c>
      <c r="F1195" s="8"/>
      <c r="G1195" s="14" t="s">
        <v>6790</v>
      </c>
      <c r="H1195" s="8"/>
      <c r="I1195" s="15">
        <v>0</v>
      </c>
      <c r="J1195" s="15">
        <v>0</v>
      </c>
      <c r="K1195" s="12" t="str">
        <f>HYPERLINK("http://twitter.com","Twitter Web Client")</f>
        <v>Twitter Web Client</v>
      </c>
      <c r="L1195" s="16">
        <v>1</v>
      </c>
      <c r="M1195" s="16">
        <v>43</v>
      </c>
      <c r="N1195" s="16">
        <v>0</v>
      </c>
      <c r="O1195" s="17"/>
      <c r="P1195" s="18">
        <v>42067.160381944443</v>
      </c>
      <c r="Q1195" s="7"/>
      <c r="R1195" s="13"/>
      <c r="S1195" s="8"/>
      <c r="T1195" s="8"/>
      <c r="U1195" s="19" t="str">
        <f>HYPERLINK("https://pbs.twimg.com/profile_images/573269455637106689/5kd3Bf0h.jpeg","View")</f>
        <v>View</v>
      </c>
      <c r="V1195" s="8"/>
      <c r="W1195" s="8"/>
      <c r="X1195" s="8"/>
      <c r="Y1195" s="8"/>
      <c r="Z1195" s="8"/>
    </row>
    <row r="1196" spans="1:26" ht="12.75">
      <c r="A1196" s="11">
        <v>43746.492905092593</v>
      </c>
      <c r="B1196" s="12" t="str">
        <f>HYPERLINK("https://twitter.com/jaasimel","@jaasimel")</f>
        <v>@jaasimel</v>
      </c>
      <c r="C1196" s="7" t="s">
        <v>6794</v>
      </c>
      <c r="D1196" s="7" t="s">
        <v>1107</v>
      </c>
      <c r="E1196" s="12" t="str">
        <f>HYPERLINK("https://twitter.com/jaasimel/status/1181642862984716289","1181642862984716289")</f>
        <v>1181642862984716289</v>
      </c>
      <c r="F1196" s="15"/>
      <c r="G1196" s="14" t="s">
        <v>6795</v>
      </c>
      <c r="H1196" s="8"/>
      <c r="I1196" s="15">
        <v>0</v>
      </c>
      <c r="J1196" s="15">
        <v>0</v>
      </c>
      <c r="K1196" s="12" t="str">
        <f>HYPERLINK("https://mobile.twitter.com","Twitter Web App")</f>
        <v>Twitter Web App</v>
      </c>
      <c r="L1196" s="16">
        <v>0</v>
      </c>
      <c r="M1196" s="16">
        <v>2</v>
      </c>
      <c r="N1196" s="16">
        <v>0</v>
      </c>
      <c r="O1196" s="17"/>
      <c r="P1196" s="18">
        <v>43739.663807870369</v>
      </c>
      <c r="Q1196" s="15" t="s">
        <v>4714</v>
      </c>
      <c r="R1196" s="7" t="s">
        <v>1565</v>
      </c>
      <c r="S1196" s="8"/>
      <c r="T1196" s="8"/>
      <c r="U1196" s="19" t="str">
        <f>HYPERLINK("https://pbs.twimg.com/profile_images/1179171520427376641/yYYanuPi.jpg","View")</f>
        <v>View</v>
      </c>
      <c r="V1196" s="8"/>
      <c r="W1196" s="8"/>
      <c r="X1196" s="8"/>
      <c r="Y1196" s="8"/>
      <c r="Z1196" s="8"/>
    </row>
    <row r="1197" spans="1:26" ht="12.75">
      <c r="A1197" s="11">
        <v>43746.492650462962</v>
      </c>
      <c r="B1197" s="12" t="str">
        <f>HYPERLINK("https://twitter.com/fawwaazel","@fawwaazel")</f>
        <v>@fawwaazel</v>
      </c>
      <c r="C1197" s="7" t="s">
        <v>6798</v>
      </c>
      <c r="D1197" s="13" t="s">
        <v>1107</v>
      </c>
      <c r="E1197" s="12" t="str">
        <f>HYPERLINK("https://twitter.com/fawwaazel/status/1181642772278726656","1181642772278726656")</f>
        <v>1181642772278726656</v>
      </c>
      <c r="F1197" s="15"/>
      <c r="G1197" s="14" t="s">
        <v>6799</v>
      </c>
      <c r="H1197" s="8"/>
      <c r="I1197" s="15">
        <v>0</v>
      </c>
      <c r="J1197" s="15">
        <v>0</v>
      </c>
      <c r="K1197" s="12" t="str">
        <f>HYPERLINK("https://mobile.twitter.com","Twitter Web App")</f>
        <v>Twitter Web App</v>
      </c>
      <c r="L1197" s="16">
        <v>0</v>
      </c>
      <c r="M1197" s="16">
        <v>2</v>
      </c>
      <c r="N1197" s="16">
        <v>0</v>
      </c>
      <c r="O1197" s="17"/>
      <c r="P1197" s="18">
        <v>43739.66375</v>
      </c>
      <c r="Q1197" s="15" t="s">
        <v>4714</v>
      </c>
      <c r="R1197" s="7" t="s">
        <v>3114</v>
      </c>
      <c r="S1197" s="8"/>
      <c r="T1197" s="8"/>
      <c r="U1197" s="19" t="str">
        <f>HYPERLINK("https://pbs.twimg.com/profile_images/1179170100164714496/RTw4HJYe.jpg","View")</f>
        <v>View</v>
      </c>
      <c r="V1197" s="8"/>
      <c r="W1197" s="8"/>
      <c r="X1197" s="8"/>
      <c r="Y1197" s="8"/>
      <c r="Z1197" s="8"/>
    </row>
    <row r="1198" spans="1:26" ht="12.75">
      <c r="A1198" s="11">
        <v>43746.492118055554</v>
      </c>
      <c r="B1198" s="12" t="str">
        <f>HYPERLINK("https://twitter.com/AlhwshanFahmi","@AlhwshanFahmi")</f>
        <v>@AlhwshanFahmi</v>
      </c>
      <c r="C1198" s="7" t="s">
        <v>6804</v>
      </c>
      <c r="D1198" s="13" t="s">
        <v>1986</v>
      </c>
      <c r="E1198" s="12" t="str">
        <f>HYPERLINK("https://twitter.com/AlhwshanFahmi/status/1181642578804039680","1181642578804039680")</f>
        <v>1181642578804039680</v>
      </c>
      <c r="F1198" s="15"/>
      <c r="G1198" s="14" t="s">
        <v>6805</v>
      </c>
      <c r="H1198" s="8"/>
      <c r="I1198" s="15">
        <v>0</v>
      </c>
      <c r="J1198" s="15">
        <v>0</v>
      </c>
      <c r="K1198" s="12" t="str">
        <f>HYPERLINK("http://twitter.com","Twitter Web Client")</f>
        <v>Twitter Web Client</v>
      </c>
      <c r="L1198" s="16">
        <v>4</v>
      </c>
      <c r="M1198" s="16">
        <v>39</v>
      </c>
      <c r="N1198" s="16">
        <v>0</v>
      </c>
      <c r="O1198" s="17"/>
      <c r="P1198" s="18">
        <v>42073.224780092598</v>
      </c>
      <c r="Q1198" s="15"/>
      <c r="R1198" s="7"/>
      <c r="S1198" s="8"/>
      <c r="T1198" s="8"/>
      <c r="U1198" s="19" t="str">
        <f>HYPERLINK("https://pbs.twimg.com/profile_images/575292899941748736/1RgeZCvg.jpeg","View")</f>
        <v>View</v>
      </c>
      <c r="V1198" s="8"/>
      <c r="W1198" s="8"/>
      <c r="X1198" s="8"/>
      <c r="Y1198" s="8"/>
      <c r="Z1198" s="8"/>
    </row>
    <row r="1199" spans="1:26" ht="12.75">
      <c r="A1199" s="11">
        <v>43746.492025462961</v>
      </c>
      <c r="B1199" s="12" t="str">
        <f>HYPERLINK("https://twitter.com/abdulraufel1","@abdulraufel1")</f>
        <v>@abdulraufel1</v>
      </c>
      <c r="C1199" s="7" t="s">
        <v>6810</v>
      </c>
      <c r="D1199" s="13" t="s">
        <v>1236</v>
      </c>
      <c r="E1199" s="12" t="str">
        <f>HYPERLINK("https://twitter.com/abdulraufel1/status/1181642545412968448","1181642545412968448")</f>
        <v>1181642545412968448</v>
      </c>
      <c r="F1199" s="15"/>
      <c r="G1199" s="14" t="s">
        <v>6811</v>
      </c>
      <c r="H1199" s="8"/>
      <c r="I1199" s="15">
        <v>0</v>
      </c>
      <c r="J1199" s="15">
        <v>0</v>
      </c>
      <c r="K1199" s="12" t="str">
        <f>HYPERLINK("https://mobile.twitter.com","Twitter Web App")</f>
        <v>Twitter Web App</v>
      </c>
      <c r="L1199" s="16">
        <v>0</v>
      </c>
      <c r="M1199" s="16">
        <v>1</v>
      </c>
      <c r="N1199" s="16">
        <v>0</v>
      </c>
      <c r="O1199" s="17"/>
      <c r="P1199" s="18">
        <v>43743.646111111113</v>
      </c>
      <c r="Q1199" s="15" t="s">
        <v>4714</v>
      </c>
      <c r="R1199" s="7" t="s">
        <v>2443</v>
      </c>
      <c r="S1199" s="8"/>
      <c r="T1199" s="8"/>
      <c r="U1199" s="19" t="str">
        <f>HYPERLINK("https://pbs.twimg.com/profile_images/1180611252298473472/MIcd0fdl.jpg","View")</f>
        <v>View</v>
      </c>
      <c r="V1199" s="8"/>
      <c r="W1199" s="8"/>
      <c r="X1199" s="8"/>
      <c r="Y1199" s="8"/>
      <c r="Z1199" s="8"/>
    </row>
    <row r="1200" spans="1:26" ht="12.75">
      <c r="A1200" s="11">
        <v>43746.491701388892</v>
      </c>
      <c r="B1200" s="12" t="str">
        <f>HYPERLINK("https://twitter.com/JoudOthman","@JoudOthman")</f>
        <v>@JoudOthman</v>
      </c>
      <c r="C1200" s="7" t="s">
        <v>6818</v>
      </c>
      <c r="D1200" s="13" t="s">
        <v>923</v>
      </c>
      <c r="E1200" s="12" t="str">
        <f>HYPERLINK("https://twitter.com/JoudOthman/status/1181642428714872833","1181642428714872833")</f>
        <v>1181642428714872833</v>
      </c>
      <c r="F1200" s="15"/>
      <c r="G1200" s="14" t="s">
        <v>6821</v>
      </c>
      <c r="H1200" s="8"/>
      <c r="I1200" s="15">
        <v>0</v>
      </c>
      <c r="J1200" s="15">
        <v>0</v>
      </c>
      <c r="K1200" s="12" t="str">
        <f>HYPERLINK("https://mobile.twitter.com","Twitter Web App")</f>
        <v>Twitter Web App</v>
      </c>
      <c r="L1200" s="16">
        <v>0</v>
      </c>
      <c r="M1200" s="16">
        <v>1</v>
      </c>
      <c r="N1200" s="16">
        <v>0</v>
      </c>
      <c r="O1200" s="17"/>
      <c r="P1200" s="18">
        <v>43728.923194444447</v>
      </c>
      <c r="Q1200" s="15" t="s">
        <v>1428</v>
      </c>
      <c r="R1200" s="7" t="s">
        <v>1606</v>
      </c>
      <c r="S1200" s="8"/>
      <c r="T1200" s="8"/>
      <c r="U1200" s="19" t="str">
        <f>HYPERLINK("https://pbs.twimg.com/profile_images/1176798265641095169/25en4g5P.jpg","View")</f>
        <v>View</v>
      </c>
      <c r="V1200" s="8"/>
      <c r="W1200" s="8"/>
      <c r="X1200" s="8"/>
      <c r="Y1200" s="8"/>
      <c r="Z1200" s="8"/>
    </row>
    <row r="1201" spans="1:26" ht="12.75">
      <c r="A1201" s="11">
        <v>43746.491585648153</v>
      </c>
      <c r="B1201" s="12" t="str">
        <f>HYPERLINK("https://twitter.com/lnzi1","@lnzi1")</f>
        <v>@lnzi1</v>
      </c>
      <c r="C1201" s="7" t="s">
        <v>6825</v>
      </c>
      <c r="D1201" s="13" t="s">
        <v>6826</v>
      </c>
      <c r="E1201" s="12" t="str">
        <f>HYPERLINK("https://twitter.com/lnzi1/status/1181642388193890308","1181642388193890308")</f>
        <v>1181642388193890308</v>
      </c>
      <c r="F1201" s="15"/>
      <c r="G1201" s="15"/>
      <c r="H1201" s="8"/>
      <c r="I1201" s="15">
        <v>0</v>
      </c>
      <c r="J1201" s="15">
        <v>1</v>
      </c>
      <c r="K1201" s="12" t="str">
        <f>HYPERLINK("http://twitter.com/download/iphone","Twitter for iPhone")</f>
        <v>Twitter for iPhone</v>
      </c>
      <c r="L1201" s="16">
        <v>289</v>
      </c>
      <c r="M1201" s="16">
        <v>195</v>
      </c>
      <c r="N1201" s="16">
        <v>0</v>
      </c>
      <c r="O1201" s="17"/>
      <c r="P1201" s="18">
        <v>41420.228101851855</v>
      </c>
      <c r="Q1201" s="15"/>
      <c r="R1201" s="7" t="s">
        <v>6827</v>
      </c>
      <c r="S1201" s="8"/>
      <c r="T1201" s="8"/>
      <c r="U1201" s="19" t="str">
        <f>HYPERLINK("https://pbs.twimg.com/profile_images/1055131934349770752/YVl_U-m4.jpg","View")</f>
        <v>View</v>
      </c>
      <c r="V1201" s="8"/>
      <c r="W1201" s="8"/>
      <c r="X1201" s="8"/>
      <c r="Y1201" s="8"/>
      <c r="Z1201" s="8"/>
    </row>
    <row r="1202" spans="1:26" ht="12.75">
      <c r="A1202" s="11">
        <v>43746.491053240738</v>
      </c>
      <c r="B1202" s="12" t="str">
        <f>HYPERLINK("https://twitter.com/rashedalharbir3","@rashedalharbir3")</f>
        <v>@rashedalharbir3</v>
      </c>
      <c r="C1202" s="13" t="s">
        <v>6830</v>
      </c>
      <c r="D1202" s="13" t="s">
        <v>6831</v>
      </c>
      <c r="E1202" s="12" t="str">
        <f>HYPERLINK("https://twitter.com/rashedalharbir3/status/1181642191799758848","1181642191799758848")</f>
        <v>1181642191799758848</v>
      </c>
      <c r="F1202" s="8"/>
      <c r="G1202" s="14" t="s">
        <v>6832</v>
      </c>
      <c r="H1202" s="8"/>
      <c r="I1202" s="15">
        <v>0</v>
      </c>
      <c r="J1202" s="15">
        <v>0</v>
      </c>
      <c r="K1202" s="12" t="str">
        <f>HYPERLINK("http://twitter.com","Twitter Web Client")</f>
        <v>Twitter Web Client</v>
      </c>
      <c r="L1202" s="16">
        <v>0</v>
      </c>
      <c r="M1202" s="16">
        <v>36</v>
      </c>
      <c r="N1202" s="16">
        <v>0</v>
      </c>
      <c r="O1202" s="17"/>
      <c r="P1202" s="18">
        <v>42068.065752314811</v>
      </c>
      <c r="Q1202" s="13"/>
      <c r="R1202" s="13"/>
      <c r="S1202" s="8"/>
      <c r="T1202" s="8"/>
      <c r="U1202" s="19" t="str">
        <f>HYPERLINK("https://pbs.twimg.com/profile_images/573416593482375168/qgy4vrcp.jpeg","View")</f>
        <v>View</v>
      </c>
      <c r="V1202" s="8"/>
      <c r="W1202" s="8"/>
      <c r="X1202" s="8"/>
      <c r="Y1202" s="8"/>
      <c r="Z1202" s="8"/>
    </row>
    <row r="1203" spans="1:26" ht="12.75">
      <c r="A1203" s="11">
        <v>43746.490127314813</v>
      </c>
      <c r="B1203" s="12" t="str">
        <f>HYPERLINK("https://twitter.com/elsalamy_343","@elsalamy_343")</f>
        <v>@elsalamy_343</v>
      </c>
      <c r="C1203" s="7" t="s">
        <v>6840</v>
      </c>
      <c r="D1203" s="7" t="s">
        <v>6841</v>
      </c>
      <c r="E1203" s="12" t="str">
        <f>HYPERLINK("https://twitter.com/elsalamy_343/status/1181641858285486081","1181641858285486081")</f>
        <v>1181641858285486081</v>
      </c>
      <c r="F1203" s="15"/>
      <c r="G1203" s="14" t="s">
        <v>6842</v>
      </c>
      <c r="H1203" s="8"/>
      <c r="I1203" s="15">
        <v>0</v>
      </c>
      <c r="J1203" s="15">
        <v>0</v>
      </c>
      <c r="K1203" s="12" t="str">
        <f>HYPERLINK("http://twitter.com","Twitter Web Client")</f>
        <v>Twitter Web Client</v>
      </c>
      <c r="L1203" s="16">
        <v>7</v>
      </c>
      <c r="M1203" s="16">
        <v>40</v>
      </c>
      <c r="N1203" s="16">
        <v>0</v>
      </c>
      <c r="O1203" s="17"/>
      <c r="P1203" s="18">
        <v>42075.207858796297</v>
      </c>
      <c r="Q1203" s="15"/>
      <c r="R1203" s="7"/>
      <c r="S1203" s="8"/>
      <c r="T1203" s="8"/>
      <c r="U1203" s="19" t="str">
        <f>HYPERLINK("https://pbs.twimg.com/profile_images/575989561710374912/QW2pfdtK.jpeg","View")</f>
        <v>View</v>
      </c>
      <c r="V1203" s="8"/>
      <c r="W1203" s="8"/>
      <c r="X1203" s="8"/>
      <c r="Y1203" s="8"/>
      <c r="Z1203" s="8"/>
    </row>
    <row r="1204" spans="1:26" ht="12.75">
      <c r="A1204" s="11">
        <v>43746.490000000005</v>
      </c>
      <c r="B1204" s="12" t="str">
        <f>HYPERLINK("https://twitter.com/al3omare22","@al3omare22")</f>
        <v>@al3omare22</v>
      </c>
      <c r="C1204" s="7" t="s">
        <v>6845</v>
      </c>
      <c r="D1204" s="13" t="s">
        <v>6846</v>
      </c>
      <c r="E1204" s="12" t="str">
        <f>HYPERLINK("https://twitter.com/al3omare22/status/1181641812097880064","1181641812097880064")</f>
        <v>1181641812097880064</v>
      </c>
      <c r="F1204" s="15"/>
      <c r="G1204" s="14" t="s">
        <v>6847</v>
      </c>
      <c r="H1204" s="8"/>
      <c r="I1204" s="15">
        <v>0</v>
      </c>
      <c r="J1204" s="15">
        <v>0</v>
      </c>
      <c r="K1204" s="12" t="str">
        <f>HYPERLINK("http://twitter.com","Twitter Web Client")</f>
        <v>Twitter Web Client</v>
      </c>
      <c r="L1204" s="16">
        <v>8</v>
      </c>
      <c r="M1204" s="16">
        <v>37</v>
      </c>
      <c r="N1204" s="16">
        <v>0</v>
      </c>
      <c r="O1204" s="17"/>
      <c r="P1204" s="18">
        <v>42077.220925925925</v>
      </c>
      <c r="Q1204" s="15"/>
      <c r="R1204" s="7"/>
      <c r="S1204" s="8"/>
      <c r="T1204" s="8"/>
      <c r="U1204" s="19" t="str">
        <f>HYPERLINK("https://pbs.twimg.com/profile_images/576719100317081600/3G2vbmVH.jpeg","View")</f>
        <v>View</v>
      </c>
      <c r="V1204" s="8"/>
      <c r="W1204" s="8"/>
      <c r="X1204" s="8"/>
      <c r="Y1204" s="8"/>
      <c r="Z1204" s="8"/>
    </row>
    <row r="1205" spans="1:26" ht="12.75">
      <c r="A1205" s="11">
        <v>43746.489872685182</v>
      </c>
      <c r="B1205" s="12" t="str">
        <f>HYPERLINK("https://twitter.com/nmrelshekh34","@nmrelshekh34")</f>
        <v>@nmrelshekh34</v>
      </c>
      <c r="C1205" s="7" t="s">
        <v>6850</v>
      </c>
      <c r="D1205" s="13" t="s">
        <v>6851</v>
      </c>
      <c r="E1205" s="12" t="str">
        <f>HYPERLINK("https://twitter.com/nmrelshekh34/status/1181641767332061185","1181641767332061185")</f>
        <v>1181641767332061185</v>
      </c>
      <c r="F1205" s="15"/>
      <c r="G1205" s="14" t="s">
        <v>6852</v>
      </c>
      <c r="H1205" s="8"/>
      <c r="I1205" s="15">
        <v>0</v>
      </c>
      <c r="J1205" s="15">
        <v>0</v>
      </c>
      <c r="K1205" s="12" t="str">
        <f>HYPERLINK("http://twitter.com","Twitter Web Client")</f>
        <v>Twitter Web Client</v>
      </c>
      <c r="L1205" s="16">
        <v>4</v>
      </c>
      <c r="M1205" s="16">
        <v>38</v>
      </c>
      <c r="N1205" s="16">
        <v>0</v>
      </c>
      <c r="O1205" s="17"/>
      <c r="P1205" s="18">
        <v>42070.204571759255</v>
      </c>
      <c r="Q1205" s="15"/>
      <c r="R1205" s="7"/>
      <c r="S1205" s="8"/>
      <c r="T1205" s="8"/>
      <c r="U1205" s="19" t="str">
        <f>HYPERLINK("https://pbs.twimg.com/profile_images/574191790309269504/Y_WrMhqC.jpeg","View")</f>
        <v>View</v>
      </c>
      <c r="V1205" s="8"/>
      <c r="W1205" s="8"/>
      <c r="X1205" s="8"/>
      <c r="Y1205" s="8"/>
      <c r="Z1205" s="8"/>
    </row>
    <row r="1206" spans="1:26" ht="12.75">
      <c r="A1206" s="11">
        <v>43746.489618055552</v>
      </c>
      <c r="B1206" s="12" t="str">
        <f>HYPERLINK("https://twitter.com/muslimal4","@muslimal4")</f>
        <v>@muslimal4</v>
      </c>
      <c r="C1206" s="13" t="s">
        <v>6854</v>
      </c>
      <c r="D1206" s="13" t="s">
        <v>28</v>
      </c>
      <c r="E1206" s="12" t="str">
        <f>HYPERLINK("https://twitter.com/muslimal4/status/1181641674285412357","1181641674285412357")</f>
        <v>1181641674285412357</v>
      </c>
      <c r="F1206" s="8"/>
      <c r="G1206" s="14" t="s">
        <v>1267</v>
      </c>
      <c r="H1206" s="8"/>
      <c r="I1206" s="15">
        <v>0</v>
      </c>
      <c r="J1206" s="15">
        <v>0</v>
      </c>
      <c r="K1206" s="12" t="str">
        <f>HYPERLINK("https://mobile.twitter.com","Twitter Web App")</f>
        <v>Twitter Web App</v>
      </c>
      <c r="L1206" s="16">
        <v>0</v>
      </c>
      <c r="M1206" s="16">
        <v>1</v>
      </c>
      <c r="N1206" s="16">
        <v>0</v>
      </c>
      <c r="O1206" s="17"/>
      <c r="P1206" s="18">
        <v>43743.641388888893</v>
      </c>
      <c r="Q1206" s="8" t="s">
        <v>4714</v>
      </c>
      <c r="R1206" s="8" t="s">
        <v>1606</v>
      </c>
      <c r="S1206" s="8"/>
      <c r="T1206" s="8"/>
      <c r="U1206" s="19" t="str">
        <f>HYPERLINK("https://pbs.twimg.com/profile_images/1180609536257748992/D5WtUOEX.jpg","View")</f>
        <v>View</v>
      </c>
      <c r="V1206" s="8"/>
      <c r="W1206" s="8"/>
      <c r="X1206" s="8"/>
      <c r="Y1206" s="8"/>
      <c r="Z1206" s="8"/>
    </row>
    <row r="1207" spans="1:26" ht="12.75">
      <c r="A1207" s="11">
        <v>43746.489594907413</v>
      </c>
      <c r="B1207" s="12" t="str">
        <f>HYPERLINK("https://twitter.com/nayefrashed5","@nayefrashed5")</f>
        <v>@nayefrashed5</v>
      </c>
      <c r="C1207" s="13" t="s">
        <v>6859</v>
      </c>
      <c r="D1207" s="13" t="s">
        <v>2040</v>
      </c>
      <c r="E1207" s="12" t="str">
        <f>HYPERLINK("https://twitter.com/nayefrashed5/status/1181641663900536832","1181641663900536832")</f>
        <v>1181641663900536832</v>
      </c>
      <c r="F1207" s="8"/>
      <c r="G1207" s="14" t="s">
        <v>6860</v>
      </c>
      <c r="H1207" s="8"/>
      <c r="I1207" s="15">
        <v>0</v>
      </c>
      <c r="J1207" s="15">
        <v>0</v>
      </c>
      <c r="K1207" s="12" t="str">
        <f>HYPERLINK("http://twitter.com","Twitter Web Client")</f>
        <v>Twitter Web Client</v>
      </c>
      <c r="L1207" s="16">
        <v>0</v>
      </c>
      <c r="M1207" s="16">
        <v>26</v>
      </c>
      <c r="N1207" s="16">
        <v>0</v>
      </c>
      <c r="O1207" s="17"/>
      <c r="P1207" s="18">
        <v>42021.650960648149</v>
      </c>
      <c r="Q1207" s="8"/>
      <c r="R1207" s="8"/>
      <c r="S1207" s="8"/>
      <c r="T1207" s="8"/>
      <c r="U1207" s="19" t="str">
        <f>HYPERLINK("https://pbs.twimg.com/profile_images/556598818976710657/-CYMf_Z6.jpeg","View")</f>
        <v>View</v>
      </c>
      <c r="V1207" s="8"/>
      <c r="W1207" s="8"/>
      <c r="X1207" s="8"/>
      <c r="Y1207" s="8"/>
      <c r="Z1207" s="8"/>
    </row>
    <row r="1208" spans="1:26" ht="12.75">
      <c r="A1208" s="11">
        <v>43746.48945601852</v>
      </c>
      <c r="B1208" s="12" t="str">
        <f>HYPERLINK("https://twitter.com/AlkhamiesManiea","@AlkhamiesManiea")</f>
        <v>@AlkhamiesManiea</v>
      </c>
      <c r="C1208" s="7" t="s">
        <v>6864</v>
      </c>
      <c r="D1208" s="13" t="s">
        <v>6865</v>
      </c>
      <c r="E1208" s="12" t="str">
        <f>HYPERLINK("https://twitter.com/AlkhamiesManiea/status/1181641616085397506","1181641616085397506")</f>
        <v>1181641616085397506</v>
      </c>
      <c r="F1208" s="15"/>
      <c r="G1208" s="14" t="s">
        <v>6866</v>
      </c>
      <c r="H1208" s="8"/>
      <c r="I1208" s="15">
        <v>0</v>
      </c>
      <c r="J1208" s="15">
        <v>0</v>
      </c>
      <c r="K1208" s="12" t="str">
        <f>HYPERLINK("http://twitter.com","Twitter Web Client")</f>
        <v>Twitter Web Client</v>
      </c>
      <c r="L1208" s="16">
        <v>8</v>
      </c>
      <c r="M1208" s="16">
        <v>40</v>
      </c>
      <c r="N1208" s="16">
        <v>0</v>
      </c>
      <c r="O1208" s="17"/>
      <c r="P1208" s="18">
        <v>42074.243668981479</v>
      </c>
      <c r="Q1208" s="15"/>
      <c r="R1208" s="7"/>
      <c r="S1208" s="8"/>
      <c r="T1208" s="8"/>
      <c r="U1208" s="19" t="str">
        <f>HYPERLINK("https://pbs.twimg.com/profile_images/575667020470972416/kkgBMuJ8.jpeg","View")</f>
        <v>View</v>
      </c>
      <c r="V1208" s="8"/>
      <c r="W1208" s="8"/>
      <c r="X1208" s="8"/>
      <c r="Y1208" s="8"/>
      <c r="Z1208" s="8"/>
    </row>
    <row r="1209" spans="1:26" ht="12.75">
      <c r="A1209" s="11">
        <v>43746.48945601852</v>
      </c>
      <c r="B1209" s="12" t="str">
        <f>HYPERLINK("https://twitter.com/OOutaibi","@OOutaibi")</f>
        <v>@OOutaibi</v>
      </c>
      <c r="C1209" s="7" t="s">
        <v>6872</v>
      </c>
      <c r="D1209" s="13" t="s">
        <v>937</v>
      </c>
      <c r="E1209" s="12" t="str">
        <f>HYPERLINK("https://twitter.com/OOutaibi/status/1181641616030752768","1181641616030752768")</f>
        <v>1181641616030752768</v>
      </c>
      <c r="F1209" s="15"/>
      <c r="G1209" s="14" t="s">
        <v>6873</v>
      </c>
      <c r="H1209" s="8"/>
      <c r="I1209" s="15">
        <v>0</v>
      </c>
      <c r="J1209" s="15">
        <v>0</v>
      </c>
      <c r="K1209" s="12" t="str">
        <f>HYPERLINK("https://mobile.twitter.com","Twitter Web App")</f>
        <v>Twitter Web App</v>
      </c>
      <c r="L1209" s="16">
        <v>0</v>
      </c>
      <c r="M1209" s="16">
        <v>1</v>
      </c>
      <c r="N1209" s="16">
        <v>0</v>
      </c>
      <c r="O1209" s="17"/>
      <c r="P1209" s="18">
        <v>43727.072060185186</v>
      </c>
      <c r="Q1209" s="15" t="s">
        <v>949</v>
      </c>
      <c r="R1209" s="7" t="s">
        <v>3198</v>
      </c>
      <c r="S1209" s="8"/>
      <c r="T1209" s="8"/>
      <c r="U1209" s="19" t="str">
        <f>HYPERLINK("https://pbs.twimg.com/profile_images/1176802962397466624/8y4PCsuB.jpg","View")</f>
        <v>View</v>
      </c>
      <c r="V1209" s="8"/>
      <c r="W1209" s="8"/>
      <c r="X1209" s="8"/>
      <c r="Y1209" s="8"/>
      <c r="Z1209" s="8"/>
    </row>
    <row r="1210" spans="1:26" ht="12.75">
      <c r="A1210" s="11">
        <v>43746.488981481481</v>
      </c>
      <c r="B1210" s="12" t="str">
        <f>HYPERLINK("https://twitter.com/NusratQuadri","@NusratQuadri")</f>
        <v>@NusratQuadri</v>
      </c>
      <c r="C1210" s="7" t="s">
        <v>6877</v>
      </c>
      <c r="D1210" s="7" t="s">
        <v>952</v>
      </c>
      <c r="E1210" s="12" t="str">
        <f>HYPERLINK("https://twitter.com/NusratQuadri/status/1181641442571120640","1181641442571120640")</f>
        <v>1181641442571120640</v>
      </c>
      <c r="F1210" s="15"/>
      <c r="G1210" s="14" t="s">
        <v>6879</v>
      </c>
      <c r="H1210" s="8"/>
      <c r="I1210" s="15">
        <v>0</v>
      </c>
      <c r="J1210" s="15">
        <v>0</v>
      </c>
      <c r="K1210" s="12" t="str">
        <f>HYPERLINK("https://mobile.twitter.com","Twitter Web App")</f>
        <v>Twitter Web App</v>
      </c>
      <c r="L1210" s="16">
        <v>0</v>
      </c>
      <c r="M1210" s="16">
        <v>1</v>
      </c>
      <c r="N1210" s="16">
        <v>0</v>
      </c>
      <c r="O1210" s="17"/>
      <c r="P1210" s="18">
        <v>43727.069733796292</v>
      </c>
      <c r="Q1210" s="15" t="s">
        <v>920</v>
      </c>
      <c r="R1210" s="7" t="s">
        <v>1565</v>
      </c>
      <c r="S1210" s="8"/>
      <c r="T1210" s="8"/>
      <c r="U1210" s="19" t="str">
        <f>HYPERLINK("https://pbs.twimg.com/profile_images/1176803561327316992/1qTyvGcG.jpg","View")</f>
        <v>View</v>
      </c>
      <c r="V1210" s="8"/>
      <c r="W1210" s="8"/>
      <c r="X1210" s="8"/>
      <c r="Y1210" s="8"/>
      <c r="Z1210" s="8"/>
    </row>
    <row r="1211" spans="1:26" ht="12.75">
      <c r="A1211" s="11">
        <v>43746.488159722227</v>
      </c>
      <c r="B1211" s="12" t="str">
        <f>HYPERLINK("https://twitter.com/AsmariNuri","@AsmariNuri")</f>
        <v>@AsmariNuri</v>
      </c>
      <c r="C1211" s="7" t="s">
        <v>6886</v>
      </c>
      <c r="D1211" s="7" t="s">
        <v>907</v>
      </c>
      <c r="E1211" s="12" t="str">
        <f>HYPERLINK("https://twitter.com/AsmariNuri/status/1181641143341072384","1181641143341072384")</f>
        <v>1181641143341072384</v>
      </c>
      <c r="F1211" s="15"/>
      <c r="G1211" s="14" t="s">
        <v>6887</v>
      </c>
      <c r="H1211" s="8"/>
      <c r="I1211" s="15">
        <v>0</v>
      </c>
      <c r="J1211" s="15">
        <v>0</v>
      </c>
      <c r="K1211" s="12" t="str">
        <f>HYPERLINK("https://mobile.twitter.com","Twitter Web App")</f>
        <v>Twitter Web App</v>
      </c>
      <c r="L1211" s="16">
        <v>0</v>
      </c>
      <c r="M1211" s="16">
        <v>1</v>
      </c>
      <c r="N1211" s="16">
        <v>0</v>
      </c>
      <c r="O1211" s="17"/>
      <c r="P1211" s="18">
        <v>43726.990925925929</v>
      </c>
      <c r="Q1211" s="15"/>
      <c r="R1211" s="7" t="s">
        <v>925</v>
      </c>
      <c r="S1211" s="8"/>
      <c r="T1211" s="8"/>
      <c r="U1211" s="20" t="s">
        <v>354</v>
      </c>
      <c r="V1211" s="8"/>
      <c r="W1211" s="8"/>
      <c r="X1211" s="8"/>
      <c r="Y1211" s="8"/>
      <c r="Z1211" s="8"/>
    </row>
    <row r="1212" spans="1:26" ht="12.75">
      <c r="A1212" s="11">
        <v>43746.48814814815</v>
      </c>
      <c r="B1212" s="12" t="str">
        <f>HYPERLINK("https://twitter.com/rkarl80","@rkarl80")</f>
        <v>@rkarl80</v>
      </c>
      <c r="C1212" s="7" t="s">
        <v>6889</v>
      </c>
      <c r="D1212" s="7" t="s">
        <v>6890</v>
      </c>
      <c r="E1212" s="12" t="str">
        <f>HYPERLINK("https://twitter.com/rkarl80/status/1181641142837923841","1181641142837923841")</f>
        <v>1181641142837923841</v>
      </c>
      <c r="F1212" s="15"/>
      <c r="G1212" s="14" t="s">
        <v>6892</v>
      </c>
      <c r="H1212" s="8"/>
      <c r="I1212" s="15">
        <v>0</v>
      </c>
      <c r="J1212" s="15">
        <v>1</v>
      </c>
      <c r="K1212" s="12" t="str">
        <f>HYPERLINK("https://mobile.twitter.com","Twitter Web App")</f>
        <v>Twitter Web App</v>
      </c>
      <c r="L1212" s="16">
        <v>3</v>
      </c>
      <c r="M1212" s="16">
        <v>17</v>
      </c>
      <c r="N1212" s="16">
        <v>0</v>
      </c>
      <c r="O1212" s="17"/>
      <c r="P1212" s="18">
        <v>42922.668275462958</v>
      </c>
      <c r="Q1212" s="15"/>
      <c r="R1212" s="7"/>
      <c r="S1212" s="8"/>
      <c r="T1212" s="8"/>
      <c r="U1212" s="20" t="s">
        <v>354</v>
      </c>
      <c r="V1212" s="8"/>
      <c r="W1212" s="8"/>
      <c r="X1212" s="8"/>
      <c r="Y1212" s="8"/>
      <c r="Z1212" s="8"/>
    </row>
    <row r="1213" spans="1:26" ht="12.75">
      <c r="A1213" s="11">
        <v>43746.487083333333</v>
      </c>
      <c r="B1213" s="12" t="str">
        <f>HYPERLINK("https://twitter.com/nawfal291","@nawfal291")</f>
        <v>@nawfal291</v>
      </c>
      <c r="C1213" s="13" t="s">
        <v>6895</v>
      </c>
      <c r="D1213" s="13" t="s">
        <v>907</v>
      </c>
      <c r="E1213" s="12" t="str">
        <f>HYPERLINK("https://twitter.com/nawfal291/status/1181640753069490176","1181640753069490176")</f>
        <v>1181640753069490176</v>
      </c>
      <c r="F1213" s="8"/>
      <c r="G1213" s="14" t="s">
        <v>6898</v>
      </c>
      <c r="H1213" s="8"/>
      <c r="I1213" s="15">
        <v>0</v>
      </c>
      <c r="J1213" s="15">
        <v>0</v>
      </c>
      <c r="K1213" s="12" t="str">
        <f>HYPERLINK("https://mobile.twitter.com","Twitter Web App")</f>
        <v>Twitter Web App</v>
      </c>
      <c r="L1213" s="16">
        <v>0</v>
      </c>
      <c r="M1213" s="16">
        <v>1</v>
      </c>
      <c r="N1213" s="16">
        <v>0</v>
      </c>
      <c r="O1213" s="17"/>
      <c r="P1213" s="18">
        <v>43739.65452546296</v>
      </c>
      <c r="Q1213" s="8" t="s">
        <v>4714</v>
      </c>
      <c r="R1213" s="8" t="s">
        <v>3198</v>
      </c>
      <c r="S1213" s="8"/>
      <c r="T1213" s="8"/>
      <c r="U1213" s="19" t="str">
        <f>HYPERLINK("https://pbs.twimg.com/profile_images/1179165277449154560/h5bPii5O.jpg","View")</f>
        <v>View</v>
      </c>
      <c r="V1213" s="8"/>
      <c r="W1213" s="8"/>
      <c r="X1213" s="8"/>
      <c r="Y1213" s="8"/>
      <c r="Z1213" s="8"/>
    </row>
    <row r="1214" spans="1:26" ht="12.75">
      <c r="A1214" s="11">
        <v>43746.486898148149</v>
      </c>
      <c r="B1214" s="12" t="str">
        <f>HYPERLINK("https://twitter.com/fahmial110","@fahmial110")</f>
        <v>@fahmial110</v>
      </c>
      <c r="C1214" s="13" t="s">
        <v>6902</v>
      </c>
      <c r="D1214" s="13" t="s">
        <v>914</v>
      </c>
      <c r="E1214" s="12" t="str">
        <f>HYPERLINK("https://twitter.com/fahmial110/status/1181640688984682496","1181640688984682496")</f>
        <v>1181640688984682496</v>
      </c>
      <c r="F1214" s="8"/>
      <c r="G1214" s="14" t="s">
        <v>917</v>
      </c>
      <c r="H1214" s="8"/>
      <c r="I1214" s="15">
        <v>0</v>
      </c>
      <c r="J1214" s="15">
        <v>0</v>
      </c>
      <c r="K1214" s="12" t="str">
        <f>HYPERLINK("https://mobile.twitter.com","Twitter Web App")</f>
        <v>Twitter Web App</v>
      </c>
      <c r="L1214" s="16">
        <v>0</v>
      </c>
      <c r="M1214" s="16">
        <v>1</v>
      </c>
      <c r="N1214" s="16">
        <v>0</v>
      </c>
      <c r="O1214" s="17"/>
      <c r="P1214" s="18">
        <v>43743.627187499995</v>
      </c>
      <c r="Q1214" s="8" t="s">
        <v>4714</v>
      </c>
      <c r="R1214" s="8" t="s">
        <v>1281</v>
      </c>
      <c r="S1214" s="8"/>
      <c r="T1214" s="8"/>
      <c r="U1214" s="19" t="str">
        <f>HYPERLINK("https://pbs.twimg.com/profile_images/1180604383819513858/QowirK5m.jpg","View")</f>
        <v>View</v>
      </c>
      <c r="V1214" s="8"/>
      <c r="W1214" s="8"/>
      <c r="X1214" s="8"/>
      <c r="Y1214" s="8"/>
      <c r="Z1214" s="8"/>
    </row>
    <row r="1215" spans="1:26" ht="12.75">
      <c r="A1215" s="11">
        <v>43746.485879629632</v>
      </c>
      <c r="B1215" s="12" t="str">
        <f>HYPERLINK("https://twitter.com/misfarel","@misfarel")</f>
        <v>@misfarel</v>
      </c>
      <c r="C1215" s="13" t="s">
        <v>6906</v>
      </c>
      <c r="D1215" s="7" t="s">
        <v>923</v>
      </c>
      <c r="E1215" s="12" t="str">
        <f>HYPERLINK("https://twitter.com/misfarel/status/1181640319302897664","1181640319302897664")</f>
        <v>1181640319302897664</v>
      </c>
      <c r="F1215" s="8"/>
      <c r="G1215" s="14" t="s">
        <v>6907</v>
      </c>
      <c r="H1215" s="8"/>
      <c r="I1215" s="15">
        <v>0</v>
      </c>
      <c r="J1215" s="15">
        <v>0</v>
      </c>
      <c r="K1215" s="12" t="str">
        <f>HYPERLINK("https://mobile.twitter.com","Twitter Web App")</f>
        <v>Twitter Web App</v>
      </c>
      <c r="L1215" s="16">
        <v>0</v>
      </c>
      <c r="M1215" s="16">
        <v>2</v>
      </c>
      <c r="N1215" s="16">
        <v>0</v>
      </c>
      <c r="O1215" s="17"/>
      <c r="P1215" s="18">
        <v>43739.650659722218</v>
      </c>
      <c r="Q1215" s="7" t="s">
        <v>4714</v>
      </c>
      <c r="R1215" s="13" t="s">
        <v>2443</v>
      </c>
      <c r="S1215" s="8"/>
      <c r="T1215" s="8"/>
      <c r="U1215" s="19" t="str">
        <f>HYPERLINK("https://pbs.twimg.com/profile_images/1179164199030685698/X_DPnZr4.jpg","View")</f>
        <v>View</v>
      </c>
      <c r="V1215" s="8"/>
      <c r="W1215" s="8"/>
      <c r="X1215" s="8"/>
      <c r="Y1215" s="8"/>
      <c r="Z1215" s="8"/>
    </row>
    <row r="1216" spans="1:26" ht="12.75">
      <c r="A1216" s="11">
        <v>43746.485682870371</v>
      </c>
      <c r="B1216" s="12" t="str">
        <f>HYPERLINK("https://twitter.com/matoukemspah","@matoukemspah")</f>
        <v>@matoukemspah</v>
      </c>
      <c r="C1216" s="13" t="s">
        <v>6910</v>
      </c>
      <c r="D1216" s="7" t="s">
        <v>2068</v>
      </c>
      <c r="E1216" s="12" t="str">
        <f>HYPERLINK("https://twitter.com/matoukemspah/status/1181640249438588928","1181640249438588928")</f>
        <v>1181640249438588928</v>
      </c>
      <c r="F1216" s="8"/>
      <c r="G1216" s="14" t="s">
        <v>6911</v>
      </c>
      <c r="H1216" s="8"/>
      <c r="I1216" s="15">
        <v>0</v>
      </c>
      <c r="J1216" s="15">
        <v>0</v>
      </c>
      <c r="K1216" s="12" t="str">
        <f>HYPERLINK("http://twitter.com","Twitter Web Client")</f>
        <v>Twitter Web Client</v>
      </c>
      <c r="L1216" s="16">
        <v>8</v>
      </c>
      <c r="M1216" s="16">
        <v>37</v>
      </c>
      <c r="N1216" s="16">
        <v>0</v>
      </c>
      <c r="O1216" s="17"/>
      <c r="P1216" s="18">
        <v>42080.237222222218</v>
      </c>
      <c r="Q1216" s="7"/>
      <c r="R1216" s="13"/>
      <c r="S1216" s="8"/>
      <c r="T1216" s="8"/>
      <c r="U1216" s="19" t="str">
        <f>HYPERLINK("https://pbs.twimg.com/profile_images/577816426813083649/rCNCEFCo.jpeg","View")</f>
        <v>View</v>
      </c>
      <c r="V1216" s="8"/>
      <c r="W1216" s="8"/>
      <c r="X1216" s="8"/>
      <c r="Y1216" s="8"/>
      <c r="Z1216" s="8"/>
    </row>
    <row r="1217" spans="1:26" ht="12.75">
      <c r="A1217" s="11">
        <v>43746.485127314816</v>
      </c>
      <c r="B1217" s="12" t="str">
        <f>HYPERLINK("https://twitter.com/hurairaal1","@hurairaal1")</f>
        <v>@hurairaal1</v>
      </c>
      <c r="C1217" s="13" t="s">
        <v>6920</v>
      </c>
      <c r="D1217" s="13" t="s">
        <v>28</v>
      </c>
      <c r="E1217" s="12" t="str">
        <f>HYPERLINK("https://twitter.com/hurairaal1/status/1181640044597002241","1181640044597002241")</f>
        <v>1181640044597002241</v>
      </c>
      <c r="F1217" s="8"/>
      <c r="G1217" s="14" t="s">
        <v>31</v>
      </c>
      <c r="H1217" s="8"/>
      <c r="I1217" s="15">
        <v>0</v>
      </c>
      <c r="J1217" s="15">
        <v>0</v>
      </c>
      <c r="K1217" s="12" t="str">
        <f>HYPERLINK("https://mobile.twitter.com","Twitter Web App")</f>
        <v>Twitter Web App</v>
      </c>
      <c r="L1217" s="16">
        <v>0</v>
      </c>
      <c r="M1217" s="16">
        <v>1</v>
      </c>
      <c r="N1217" s="16">
        <v>0</v>
      </c>
      <c r="O1217" s="17"/>
      <c r="P1217" s="18">
        <v>43743.597199074073</v>
      </c>
      <c r="Q1217" s="8" t="s">
        <v>5797</v>
      </c>
      <c r="R1217" s="8" t="s">
        <v>1075</v>
      </c>
      <c r="S1217" s="8"/>
      <c r="T1217" s="8"/>
      <c r="U1217" s="19" t="str">
        <f>HYPERLINK("https://pbs.twimg.com/profile_images/1180593521968857090/b4w85R0e.jpg","View")</f>
        <v>View</v>
      </c>
      <c r="V1217" s="8"/>
      <c r="W1217" s="8"/>
      <c r="X1217" s="8"/>
      <c r="Y1217" s="8"/>
      <c r="Z1217" s="8"/>
    </row>
    <row r="1218" spans="1:26" ht="12.75">
      <c r="A1218" s="11">
        <v>43746.484351851846</v>
      </c>
      <c r="B1218" s="12" t="str">
        <f>HYPERLINK("https://twitter.com/misferalqahta18","@misferalqahta18")</f>
        <v>@misferalqahta18</v>
      </c>
      <c r="C1218" s="13" t="s">
        <v>6937</v>
      </c>
      <c r="D1218" s="13" t="s">
        <v>6938</v>
      </c>
      <c r="E1218" s="12" t="str">
        <f>HYPERLINK("https://twitter.com/misferalqahta18/status/1181639766518964226","1181639766518964226")</f>
        <v>1181639766518964226</v>
      </c>
      <c r="F1218" s="8"/>
      <c r="G1218" s="14" t="s">
        <v>6940</v>
      </c>
      <c r="H1218" s="8"/>
      <c r="I1218" s="15">
        <v>0</v>
      </c>
      <c r="J1218" s="15">
        <v>0</v>
      </c>
      <c r="K1218" s="12" t="str">
        <f>HYPERLINK("http://twitter.com","Twitter Web Client")</f>
        <v>Twitter Web Client</v>
      </c>
      <c r="L1218" s="16">
        <v>10</v>
      </c>
      <c r="M1218" s="16">
        <v>43</v>
      </c>
      <c r="N1218" s="16">
        <v>0</v>
      </c>
      <c r="O1218" s="17"/>
      <c r="P1218" s="18">
        <v>42075.485590277778</v>
      </c>
      <c r="Q1218" s="8"/>
      <c r="R1218" s="8"/>
      <c r="S1218" s="8"/>
      <c r="T1218" s="8"/>
      <c r="U1218" s="19" t="str">
        <f>HYPERLINK("https://pbs.twimg.com/profile_images/576090331961131008/54IsGpxg.jpeg","View")</f>
        <v>View</v>
      </c>
      <c r="V1218" s="8"/>
      <c r="W1218" s="8"/>
      <c r="X1218" s="8"/>
      <c r="Y1218" s="8"/>
      <c r="Z1218" s="8"/>
    </row>
    <row r="1219" spans="1:26" ht="12.75">
      <c r="A1219" s="11">
        <v>43746.483773148153</v>
      </c>
      <c r="B1219" s="12" t="str">
        <f>HYPERLINK("https://twitter.com/el3amar33","@el3amar33")</f>
        <v>@el3amar33</v>
      </c>
      <c r="C1219" s="13" t="s">
        <v>6952</v>
      </c>
      <c r="D1219" s="13" t="s">
        <v>2091</v>
      </c>
      <c r="E1219" s="12" t="str">
        <f>HYPERLINK("https://twitter.com/el3amar33/status/1181639554958278656","1181639554958278656")</f>
        <v>1181639554958278656</v>
      </c>
      <c r="F1219" s="8"/>
      <c r="G1219" s="14" t="s">
        <v>6953</v>
      </c>
      <c r="H1219" s="8"/>
      <c r="I1219" s="15">
        <v>0</v>
      </c>
      <c r="J1219" s="15">
        <v>0</v>
      </c>
      <c r="K1219" s="12" t="str">
        <f>HYPERLINK("http://twitter.com","Twitter Web Client")</f>
        <v>Twitter Web Client</v>
      </c>
      <c r="L1219" s="16">
        <v>8</v>
      </c>
      <c r="M1219" s="16">
        <v>33</v>
      </c>
      <c r="N1219" s="16">
        <v>0</v>
      </c>
      <c r="O1219" s="17"/>
      <c r="P1219" s="18">
        <v>42076.322581018518</v>
      </c>
      <c r="Q1219" s="8"/>
      <c r="R1219" s="13"/>
      <c r="S1219" s="8"/>
      <c r="T1219" s="8"/>
      <c r="U1219" s="19" t="str">
        <f>HYPERLINK("https://pbs.twimg.com/profile_images/576393611773763584/argeo0NF.jpeg","View")</f>
        <v>View</v>
      </c>
      <c r="V1219" s="8"/>
      <c r="W1219" s="8"/>
      <c r="X1219" s="8"/>
      <c r="Y1219" s="8"/>
      <c r="Z1219" s="8"/>
    </row>
    <row r="1220" spans="1:26" ht="12.75">
      <c r="A1220" s="11">
        <v>43746.482592592598</v>
      </c>
      <c r="B1220" s="12" t="str">
        <f>HYPERLINK("https://twitter.com/elmotai33","@elmotai33")</f>
        <v>@elmotai33</v>
      </c>
      <c r="C1220" s="13" t="s">
        <v>6963</v>
      </c>
      <c r="D1220" s="13" t="s">
        <v>2097</v>
      </c>
      <c r="E1220" s="12" t="str">
        <f>HYPERLINK("https://twitter.com/elmotai33/status/1181639126036205568","1181639126036205568")</f>
        <v>1181639126036205568</v>
      </c>
      <c r="F1220" s="8"/>
      <c r="G1220" s="14" t="s">
        <v>6965</v>
      </c>
      <c r="H1220" s="8"/>
      <c r="I1220" s="15">
        <v>0</v>
      </c>
      <c r="J1220" s="15">
        <v>0</v>
      </c>
      <c r="K1220" s="12" t="str">
        <f>HYPERLINK("http://twitter.com","Twitter Web Client")</f>
        <v>Twitter Web Client</v>
      </c>
      <c r="L1220" s="16">
        <v>5</v>
      </c>
      <c r="M1220" s="16">
        <v>34</v>
      </c>
      <c r="N1220" s="16">
        <v>0</v>
      </c>
      <c r="O1220" s="17"/>
      <c r="P1220" s="18">
        <v>42076.329085648147</v>
      </c>
      <c r="Q1220" s="8"/>
      <c r="R1220" s="8"/>
      <c r="S1220" s="8"/>
      <c r="T1220" s="8"/>
      <c r="U1220" s="19" t="str">
        <f>HYPERLINK("https://pbs.twimg.com/profile_images/576395907756756993/h2vLyftp.jpeg","View")</f>
        <v>View</v>
      </c>
      <c r="V1220" s="8"/>
      <c r="W1220" s="8"/>
      <c r="X1220" s="8"/>
      <c r="Y1220" s="8"/>
      <c r="Z1220" s="8"/>
    </row>
    <row r="1221" spans="1:26" ht="12.75">
      <c r="A1221" s="11">
        <v>43746.482453703706</v>
      </c>
      <c r="B1221" s="12" t="str">
        <f>HYPERLINK("https://twitter.com/wajeebal","@wajeebal")</f>
        <v>@wajeebal</v>
      </c>
      <c r="C1221" s="13" t="s">
        <v>6968</v>
      </c>
      <c r="D1221" s="7" t="s">
        <v>952</v>
      </c>
      <c r="E1221" s="12" t="str">
        <f>HYPERLINK("https://twitter.com/wajeebal/status/1181639079298908160","1181639079298908160")</f>
        <v>1181639079298908160</v>
      </c>
      <c r="F1221" s="8"/>
      <c r="G1221" s="14" t="s">
        <v>6969</v>
      </c>
      <c r="H1221" s="8"/>
      <c r="I1221" s="15">
        <v>0</v>
      </c>
      <c r="J1221" s="15">
        <v>0</v>
      </c>
      <c r="K1221" s="12" t="str">
        <f>HYPERLINK("https://mobile.twitter.com","Twitter Web App")</f>
        <v>Twitter Web App</v>
      </c>
      <c r="L1221" s="16">
        <v>0</v>
      </c>
      <c r="M1221" s="16">
        <v>2</v>
      </c>
      <c r="N1221" s="16">
        <v>0</v>
      </c>
      <c r="O1221" s="17"/>
      <c r="P1221" s="18">
        <v>43739.643287037034</v>
      </c>
      <c r="Q1221" s="7" t="s">
        <v>4714</v>
      </c>
      <c r="R1221" s="13" t="s">
        <v>1606</v>
      </c>
      <c r="S1221" s="8"/>
      <c r="T1221" s="8"/>
      <c r="U1221" s="19" t="str">
        <f>HYPERLINK("https://pbs.twimg.com/profile_images/1179164372620304385/4_vF64hp.jpg","View")</f>
        <v>View</v>
      </c>
      <c r="V1221" s="8"/>
      <c r="W1221" s="8"/>
      <c r="X1221" s="8"/>
      <c r="Y1221" s="8"/>
      <c r="Z1221" s="8"/>
    </row>
    <row r="1222" spans="1:26" ht="12.75">
      <c r="A1222" s="11">
        <v>43746.482395833329</v>
      </c>
      <c r="B1222" s="12" t="str">
        <f>HYPERLINK("https://twitter.com/BishiNur","@BishiNur")</f>
        <v>@BishiNur</v>
      </c>
      <c r="C1222" s="13" t="s">
        <v>6973</v>
      </c>
      <c r="D1222" s="7" t="s">
        <v>1236</v>
      </c>
      <c r="E1222" s="12" t="str">
        <f>HYPERLINK("https://twitter.com/BishiNur/status/1181639055290683392","1181639055290683392")</f>
        <v>1181639055290683392</v>
      </c>
      <c r="F1222" s="8"/>
      <c r="G1222" s="14" t="s">
        <v>6976</v>
      </c>
      <c r="H1222" s="8"/>
      <c r="I1222" s="15">
        <v>0</v>
      </c>
      <c r="J1222" s="15">
        <v>0</v>
      </c>
      <c r="K1222" s="12" t="str">
        <f>HYPERLINK("https://mobile.twitter.com","Twitter Web App")</f>
        <v>Twitter Web App</v>
      </c>
      <c r="L1222" s="16">
        <v>0</v>
      </c>
      <c r="M1222" s="16">
        <v>1</v>
      </c>
      <c r="N1222" s="16">
        <v>0</v>
      </c>
      <c r="O1222" s="17"/>
      <c r="P1222" s="18">
        <v>43728.995092592595</v>
      </c>
      <c r="Q1222" s="7" t="s">
        <v>949</v>
      </c>
      <c r="R1222" s="13" t="s">
        <v>1565</v>
      </c>
      <c r="S1222" s="8"/>
      <c r="T1222" s="8"/>
      <c r="U1222" s="19" t="str">
        <f>HYPERLINK("https://pbs.twimg.com/profile_images/1176810348587806720/noyM2BQ8.jpg","View")</f>
        <v>View</v>
      </c>
      <c r="V1222" s="8"/>
      <c r="W1222" s="8"/>
      <c r="X1222" s="8"/>
      <c r="Y1222" s="8"/>
      <c r="Z1222" s="8"/>
    </row>
    <row r="1223" spans="1:26" ht="12.75">
      <c r="A1223" s="11">
        <v>43746.481886574074</v>
      </c>
      <c r="B1223" s="12" t="str">
        <f>HYPERLINK("https://twitter.com/NuSekh","@NuSekh")</f>
        <v>@NuSekh</v>
      </c>
      <c r="C1223" s="13" t="s">
        <v>6980</v>
      </c>
      <c r="D1223" s="7" t="s">
        <v>28</v>
      </c>
      <c r="E1223" s="12" t="str">
        <f>HYPERLINK("https://twitter.com/NuSekh/status/1181638871848587265","1181638871848587265")</f>
        <v>1181638871848587265</v>
      </c>
      <c r="F1223" s="8"/>
      <c r="G1223" s="14" t="s">
        <v>1267</v>
      </c>
      <c r="H1223" s="8"/>
      <c r="I1223" s="15">
        <v>0</v>
      </c>
      <c r="J1223" s="15">
        <v>0</v>
      </c>
      <c r="K1223" s="12" t="str">
        <f>HYPERLINK("https://mobile.twitter.com","Twitter Web App")</f>
        <v>Twitter Web App</v>
      </c>
      <c r="L1223" s="16">
        <v>0</v>
      </c>
      <c r="M1223" s="16">
        <v>1</v>
      </c>
      <c r="N1223" s="16">
        <v>0</v>
      </c>
      <c r="O1223" s="17"/>
      <c r="P1223" s="18">
        <v>43726.937071759261</v>
      </c>
      <c r="Q1223" s="7" t="s">
        <v>1192</v>
      </c>
      <c r="R1223" s="13" t="s">
        <v>912</v>
      </c>
      <c r="S1223" s="8"/>
      <c r="T1223" s="8"/>
      <c r="U1223" s="19" t="str">
        <f>HYPERLINK("https://pbs.twimg.com/profile_images/1176039359373381633/AVi9O_JS.jpg","View")</f>
        <v>View</v>
      </c>
      <c r="V1223" s="8"/>
      <c r="W1223" s="8"/>
      <c r="X1223" s="8"/>
      <c r="Y1223" s="8"/>
      <c r="Z1223" s="8"/>
    </row>
    <row r="1224" spans="1:26" ht="12.75">
      <c r="A1224" s="11">
        <v>43746.48137731482</v>
      </c>
      <c r="B1224" s="12" t="str">
        <f>HYPERLINK("https://twitter.com/faiahaan6343","@faiahaan6343")</f>
        <v>@faiahaan6343</v>
      </c>
      <c r="C1224" s="13" t="s">
        <v>6987</v>
      </c>
      <c r="D1224" s="7" t="s">
        <v>2104</v>
      </c>
      <c r="E1224" s="12" t="str">
        <f>HYPERLINK("https://twitter.com/faiahaan6343/status/1181638687555280899","1181638687555280899")</f>
        <v>1181638687555280899</v>
      </c>
      <c r="F1224" s="8"/>
      <c r="G1224" s="14" t="s">
        <v>6988</v>
      </c>
      <c r="H1224" s="8"/>
      <c r="I1224" s="15">
        <v>0</v>
      </c>
      <c r="J1224" s="15">
        <v>0</v>
      </c>
      <c r="K1224" s="12" t="str">
        <f>HYPERLINK("http://twitter.com","Twitter Web Client")</f>
        <v>Twitter Web Client</v>
      </c>
      <c r="L1224" s="16">
        <v>11</v>
      </c>
      <c r="M1224" s="16">
        <v>44</v>
      </c>
      <c r="N1224" s="16">
        <v>0</v>
      </c>
      <c r="O1224" s="17"/>
      <c r="P1224" s="18">
        <v>42073.388645833329</v>
      </c>
      <c r="Q1224" s="7"/>
      <c r="R1224" s="13"/>
      <c r="S1224" s="8"/>
      <c r="T1224" s="8"/>
      <c r="U1224" s="19" t="str">
        <f>HYPERLINK("https://pbs.twimg.com/profile_images/575330299946532864/wKQpqIUm.jpeg","View")</f>
        <v>View</v>
      </c>
      <c r="V1224" s="8"/>
      <c r="W1224" s="8"/>
      <c r="X1224" s="8"/>
      <c r="Y1224" s="8"/>
      <c r="Z1224" s="8"/>
    </row>
    <row r="1225" spans="1:26" ht="12.75">
      <c r="A1225" s="11">
        <v>43746.479456018518</v>
      </c>
      <c r="B1225" s="12" t="str">
        <f>HYPERLINK("https://twitter.com/motfaba3shn353","@motfaba3shn353")</f>
        <v>@motfaba3shn353</v>
      </c>
      <c r="C1225" s="13" t="s">
        <v>6989</v>
      </c>
      <c r="D1225" s="13" t="s">
        <v>6990</v>
      </c>
      <c r="E1225" s="12" t="str">
        <f>HYPERLINK("https://twitter.com/motfaba3shn353/status/1181637990659100673","1181637990659100673")</f>
        <v>1181637990659100673</v>
      </c>
      <c r="F1225" s="8"/>
      <c r="G1225" s="14" t="s">
        <v>6991</v>
      </c>
      <c r="H1225" s="8"/>
      <c r="I1225" s="15">
        <v>1</v>
      </c>
      <c r="J1225" s="15">
        <v>1</v>
      </c>
      <c r="K1225" s="12" t="str">
        <f>HYPERLINK("http://twitter.com","Twitter Web Client")</f>
        <v>Twitter Web Client</v>
      </c>
      <c r="L1225" s="16">
        <v>0</v>
      </c>
      <c r="M1225" s="16">
        <v>35</v>
      </c>
      <c r="N1225" s="16">
        <v>0</v>
      </c>
      <c r="O1225" s="17"/>
      <c r="P1225" s="18">
        <v>42075.095034722224</v>
      </c>
      <c r="Q1225" s="7"/>
      <c r="R1225" s="13"/>
      <c r="S1225" s="8"/>
      <c r="T1225" s="8"/>
      <c r="U1225" s="19" t="str">
        <f>HYPERLINK("https://pbs.twimg.com/profile_images/575948846687109120/Gj9Rz7uB.jpeg","View")</f>
        <v>View</v>
      </c>
      <c r="V1225" s="8"/>
      <c r="W1225" s="8"/>
      <c r="X1225" s="8"/>
      <c r="Y1225" s="8"/>
      <c r="Z1225" s="8"/>
    </row>
    <row r="1226" spans="1:26" ht="12.75">
      <c r="A1226" s="11">
        <v>43746.478969907403</v>
      </c>
      <c r="B1226" s="12" t="str">
        <f>HYPERLINK("https://twitter.com/haaroonel","@haaroonel")</f>
        <v>@haaroonel</v>
      </c>
      <c r="C1226" s="13" t="s">
        <v>6999</v>
      </c>
      <c r="D1226" s="13" t="s">
        <v>1178</v>
      </c>
      <c r="E1226" s="12" t="str">
        <f>HYPERLINK("https://twitter.com/haaroonel/status/1181637816901492736","1181637816901492736")</f>
        <v>1181637816901492736</v>
      </c>
      <c r="F1226" s="8"/>
      <c r="G1226" s="14" t="s">
        <v>7000</v>
      </c>
      <c r="H1226" s="8"/>
      <c r="I1226" s="15">
        <v>0</v>
      </c>
      <c r="J1226" s="15">
        <v>0</v>
      </c>
      <c r="K1226" s="12" t="str">
        <f>HYPERLINK("https://mobile.twitter.com","Twitter Web App")</f>
        <v>Twitter Web App</v>
      </c>
      <c r="L1226" s="16">
        <v>1</v>
      </c>
      <c r="M1226" s="16">
        <v>2</v>
      </c>
      <c r="N1226" s="16">
        <v>0</v>
      </c>
      <c r="O1226" s="17"/>
      <c r="P1226" s="18">
        <v>43739.465902777782</v>
      </c>
      <c r="Q1226" s="7" t="s">
        <v>7002</v>
      </c>
      <c r="R1226" s="13" t="s">
        <v>1281</v>
      </c>
      <c r="S1226" s="8"/>
      <c r="T1226" s="8"/>
      <c r="U1226" s="19" t="str">
        <f>HYPERLINK("https://pbs.twimg.com/profile_images/1179156141973987328/h6cfVVW7.jpg","View")</f>
        <v>View</v>
      </c>
      <c r="V1226" s="8"/>
      <c r="W1226" s="8"/>
      <c r="X1226" s="8"/>
      <c r="Y1226" s="8"/>
      <c r="Z1226" s="8"/>
    </row>
    <row r="1227" spans="1:26" ht="12.75">
      <c r="A1227" s="11">
        <v>43746.478252314817</v>
      </c>
      <c r="B1227" s="12" t="str">
        <f>HYPERLINK("https://twitter.com/alharabii55","@alharabii55")</f>
        <v>@alharabii55</v>
      </c>
      <c r="C1227" s="7" t="s">
        <v>7011</v>
      </c>
      <c r="D1227" s="13" t="s">
        <v>2126</v>
      </c>
      <c r="E1227" s="12" t="str">
        <f>HYPERLINK("https://twitter.com/alharabii55/status/1181637556103987200","1181637556103987200")</f>
        <v>1181637556103987200</v>
      </c>
      <c r="F1227" s="8"/>
      <c r="G1227" s="14" t="s">
        <v>7013</v>
      </c>
      <c r="H1227" s="8"/>
      <c r="I1227" s="15">
        <v>0</v>
      </c>
      <c r="J1227" s="15">
        <v>0</v>
      </c>
      <c r="K1227" s="12" t="str">
        <f>HYPERLINK("http://twitter.com","Twitter Web Client")</f>
        <v>Twitter Web Client</v>
      </c>
      <c r="L1227" s="16">
        <v>11</v>
      </c>
      <c r="M1227" s="16">
        <v>50</v>
      </c>
      <c r="N1227" s="16">
        <v>0</v>
      </c>
      <c r="O1227" s="17"/>
      <c r="P1227" s="18">
        <v>42074.682083333333</v>
      </c>
      <c r="Q1227" s="7"/>
      <c r="R1227" s="13"/>
      <c r="S1227" s="8"/>
      <c r="T1227" s="8"/>
      <c r="U1227" s="19" t="str">
        <f>HYPERLINK("https://pbs.twimg.com/profile_images/575799145086087168/3I1uR0p8.jpeg","View")</f>
        <v>View</v>
      </c>
      <c r="V1227" s="8"/>
      <c r="W1227" s="8"/>
      <c r="X1227" s="8"/>
      <c r="Y1227" s="8"/>
      <c r="Z1227" s="8"/>
    </row>
    <row r="1228" spans="1:26" ht="12.75">
      <c r="A1228" s="11">
        <v>43746.477002314816</v>
      </c>
      <c r="B1228" s="12" t="str">
        <f>HYPERLINK("https://twitter.com/AlNimatullah","@AlNimatullah")</f>
        <v>@AlNimatullah</v>
      </c>
      <c r="C1228" s="13" t="s">
        <v>7020</v>
      </c>
      <c r="D1228" s="13" t="s">
        <v>914</v>
      </c>
      <c r="E1228" s="12" t="str">
        <f>HYPERLINK("https://twitter.com/AlNimatullah/status/1181637102087225344","1181637102087225344")</f>
        <v>1181637102087225344</v>
      </c>
      <c r="F1228" s="8"/>
      <c r="G1228" s="14" t="s">
        <v>917</v>
      </c>
      <c r="H1228" s="8"/>
      <c r="I1228" s="15">
        <v>0</v>
      </c>
      <c r="J1228" s="15">
        <v>0</v>
      </c>
      <c r="K1228" s="12" t="str">
        <f>HYPERLINK("https://mobile.twitter.com","Twitter Web App")</f>
        <v>Twitter Web App</v>
      </c>
      <c r="L1228" s="16">
        <v>0</v>
      </c>
      <c r="M1228" s="16">
        <v>1</v>
      </c>
      <c r="N1228" s="16">
        <v>0</v>
      </c>
      <c r="O1228" s="17"/>
      <c r="P1228" s="18">
        <v>43726.07439814815</v>
      </c>
      <c r="Q1228" s="7"/>
      <c r="R1228" s="13" t="s">
        <v>1277</v>
      </c>
      <c r="S1228" s="8"/>
      <c r="T1228" s="8"/>
      <c r="U1228" s="19" t="str">
        <f>HYPERLINK("https://pbs.twimg.com/profile_images/1176039120470102016/0phdtAh9.jpg","View")</f>
        <v>View</v>
      </c>
      <c r="V1228" s="8"/>
      <c r="W1228" s="8"/>
      <c r="X1228" s="8"/>
      <c r="Y1228" s="8"/>
      <c r="Z1228" s="8"/>
    </row>
    <row r="1229" spans="1:26" ht="12.75">
      <c r="A1229" s="11">
        <v>43746.476712962962</v>
      </c>
      <c r="B1229" s="12" t="str">
        <f>HYPERLINK("https://twitter.com/IqahtaniSaeed","@IqahtaniSaeed")</f>
        <v>@IqahtaniSaeed</v>
      </c>
      <c r="C1229" s="13" t="s">
        <v>3251</v>
      </c>
      <c r="D1229" s="13" t="s">
        <v>3974</v>
      </c>
      <c r="E1229" s="12" t="str">
        <f>HYPERLINK("https://twitter.com/IqahtaniSaeed/status/1181636996369977344","1181636996369977344")</f>
        <v>1181636996369977344</v>
      </c>
      <c r="F1229" s="8"/>
      <c r="G1229" s="14" t="s">
        <v>7021</v>
      </c>
      <c r="H1229" s="8"/>
      <c r="I1229" s="15">
        <v>0</v>
      </c>
      <c r="J1229" s="15">
        <v>0</v>
      </c>
      <c r="K1229" s="12" t="str">
        <f>HYPERLINK("http://twitter.com","Twitter Web Client")</f>
        <v>Twitter Web Client</v>
      </c>
      <c r="L1229" s="16">
        <v>2</v>
      </c>
      <c r="M1229" s="16">
        <v>41</v>
      </c>
      <c r="N1229" s="16">
        <v>0</v>
      </c>
      <c r="O1229" s="17"/>
      <c r="P1229" s="18">
        <v>42070.70140046296</v>
      </c>
      <c r="Q1229" s="7"/>
      <c r="R1229" s="13"/>
      <c r="S1229" s="8"/>
      <c r="T1229" s="8"/>
      <c r="U1229" s="19" t="str">
        <f>HYPERLINK("https://pbs.twimg.com/profile_images/574380816727343104/gWIzcX_l.jpeg","View")</f>
        <v>View</v>
      </c>
      <c r="V1229" s="8"/>
      <c r="W1229" s="8"/>
      <c r="X1229" s="8"/>
      <c r="Y1229" s="8"/>
      <c r="Z1229" s="8"/>
    </row>
    <row r="1230" spans="1:26" ht="12.75">
      <c r="A1230" s="11">
        <v>43746.476180555561</v>
      </c>
      <c r="B1230" s="12" t="str">
        <f>HYPERLINK("https://twitter.com/YYousifthebar","@YYousifthebar")</f>
        <v>@YYousifthebar</v>
      </c>
      <c r="C1230" s="7" t="s">
        <v>7022</v>
      </c>
      <c r="D1230" s="13" t="s">
        <v>7023</v>
      </c>
      <c r="E1230" s="12" t="str">
        <f>HYPERLINK("https://twitter.com/YYousifthebar/status/1181636803406827522","1181636803406827522")</f>
        <v>1181636803406827522</v>
      </c>
      <c r="F1230" s="15"/>
      <c r="G1230" s="14" t="s">
        <v>7024</v>
      </c>
      <c r="H1230" s="8"/>
      <c r="I1230" s="15">
        <v>0</v>
      </c>
      <c r="J1230" s="15">
        <v>0</v>
      </c>
      <c r="K1230" s="12" t="str">
        <f>HYPERLINK("http://twitter.com","Twitter Web Client")</f>
        <v>Twitter Web Client</v>
      </c>
      <c r="L1230" s="16">
        <v>0</v>
      </c>
      <c r="M1230" s="16">
        <v>37</v>
      </c>
      <c r="N1230" s="16">
        <v>0</v>
      </c>
      <c r="O1230" s="17"/>
      <c r="P1230" s="18">
        <v>41847.605208333334</v>
      </c>
      <c r="Q1230" s="8"/>
      <c r="R1230" s="7"/>
      <c r="S1230" s="8"/>
      <c r="T1230" s="8"/>
      <c r="U1230" s="19" t="str">
        <f>HYPERLINK("https://pbs.twimg.com/profile_images/493509794716610560/pRZqA7Zb.jpeg","View")</f>
        <v>View</v>
      </c>
      <c r="V1230" s="8"/>
      <c r="W1230" s="8"/>
      <c r="X1230" s="8"/>
      <c r="Y1230" s="8"/>
      <c r="Z1230" s="8"/>
    </row>
    <row r="1231" spans="1:26" ht="12.75">
      <c r="A1231" s="11">
        <v>43746.474606481483</v>
      </c>
      <c r="B1231" s="12" t="str">
        <f>HYPERLINK("https://twitter.com/elmatery_5634","@elmatery_5634")</f>
        <v>@elmatery_5634</v>
      </c>
      <c r="C1231" s="13" t="s">
        <v>7033</v>
      </c>
      <c r="D1231" s="7" t="s">
        <v>2194</v>
      </c>
      <c r="E1231" s="12" t="str">
        <f>HYPERLINK("https://twitter.com/elmatery_5634/status/1181636235179237376","1181636235179237376")</f>
        <v>1181636235179237376</v>
      </c>
      <c r="F1231" s="8"/>
      <c r="G1231" s="14" t="s">
        <v>7034</v>
      </c>
      <c r="H1231" s="8"/>
      <c r="I1231" s="15">
        <v>0</v>
      </c>
      <c r="J1231" s="15">
        <v>0</v>
      </c>
      <c r="K1231" s="12" t="str">
        <f>HYPERLINK("http://twitter.com","Twitter Web Client")</f>
        <v>Twitter Web Client</v>
      </c>
      <c r="L1231" s="16">
        <v>14</v>
      </c>
      <c r="M1231" s="16">
        <v>43</v>
      </c>
      <c r="N1231" s="16">
        <v>0</v>
      </c>
      <c r="O1231" s="17"/>
      <c r="P1231" s="18">
        <v>42075.499166666668</v>
      </c>
      <c r="Q1231" s="7"/>
      <c r="R1231" s="13"/>
      <c r="S1231" s="8"/>
      <c r="T1231" s="8"/>
      <c r="U1231" s="19" t="str">
        <f>HYPERLINK("https://pbs.twimg.com/profile_images/576095182241714176/C9bBJuKY.jpeg","View")</f>
        <v>View</v>
      </c>
      <c r="V1231" s="8"/>
      <c r="W1231" s="8"/>
      <c r="X1231" s="8"/>
      <c r="Y1231" s="8"/>
      <c r="Z1231" s="8"/>
    </row>
    <row r="1232" spans="1:26" ht="12.75">
      <c r="A1232" s="11">
        <v>43746.474490740744</v>
      </c>
      <c r="B1232" s="12" t="str">
        <f>HYPERLINK("https://twitter.com/hamadalalharbi","@hamadalalharbi")</f>
        <v>@hamadalalharbi</v>
      </c>
      <c r="C1232" s="7" t="s">
        <v>7035</v>
      </c>
      <c r="D1232" s="13" t="s">
        <v>7036</v>
      </c>
      <c r="E1232" s="12" t="str">
        <f>HYPERLINK("https://twitter.com/hamadalalharbi/status/1181636190493188096","1181636190493188096")</f>
        <v>1181636190493188096</v>
      </c>
      <c r="F1232" s="15"/>
      <c r="G1232" s="14" t="s">
        <v>7037</v>
      </c>
      <c r="H1232" s="8"/>
      <c r="I1232" s="15">
        <v>0</v>
      </c>
      <c r="J1232" s="15">
        <v>0</v>
      </c>
      <c r="K1232" s="12" t="str">
        <f>HYPERLINK("http://twitter.com","Twitter Web Client")</f>
        <v>Twitter Web Client</v>
      </c>
      <c r="L1232" s="16">
        <v>3</v>
      </c>
      <c r="M1232" s="16">
        <v>36</v>
      </c>
      <c r="N1232" s="16">
        <v>0</v>
      </c>
      <c r="O1232" s="17"/>
      <c r="P1232" s="18">
        <v>42077.200138888889</v>
      </c>
      <c r="Q1232" s="8"/>
      <c r="R1232" s="7"/>
      <c r="S1232" s="8"/>
      <c r="T1232" s="8"/>
      <c r="U1232" s="19" t="str">
        <f>HYPERLINK("https://pbs.twimg.com/profile_images/576711663199465472/ziOiUQTx.jpeg","View")</f>
        <v>View</v>
      </c>
      <c r="V1232" s="8"/>
      <c r="W1232" s="8"/>
      <c r="X1232" s="8"/>
      <c r="Y1232" s="8"/>
      <c r="Z1232" s="8"/>
    </row>
    <row r="1233" spans="1:26" ht="12.75">
      <c r="A1233" s="11">
        <v>43746.474398148144</v>
      </c>
      <c r="B1233" s="12" t="str">
        <f>HYPERLINK("https://twitter.com/baasimal","@baasimal")</f>
        <v>@baasimal</v>
      </c>
      <c r="C1233" s="7" t="s">
        <v>7038</v>
      </c>
      <c r="D1233" s="13" t="s">
        <v>968</v>
      </c>
      <c r="E1233" s="12" t="str">
        <f>HYPERLINK("https://twitter.com/baasimal/status/1181636159606145025","1181636159606145025")</f>
        <v>1181636159606145025</v>
      </c>
      <c r="F1233" s="15"/>
      <c r="G1233" s="14" t="s">
        <v>7039</v>
      </c>
      <c r="H1233" s="8"/>
      <c r="I1233" s="15">
        <v>0</v>
      </c>
      <c r="J1233" s="15">
        <v>0</v>
      </c>
      <c r="K1233" s="12" t="str">
        <f>HYPERLINK("https://mobile.twitter.com","Twitter Web App")</f>
        <v>Twitter Web App</v>
      </c>
      <c r="L1233" s="16">
        <v>0</v>
      </c>
      <c r="M1233" s="16">
        <v>1</v>
      </c>
      <c r="N1233" s="16">
        <v>0</v>
      </c>
      <c r="O1233" s="17"/>
      <c r="P1233" s="18">
        <v>43743.567326388889</v>
      </c>
      <c r="Q1233" s="8" t="s">
        <v>4714</v>
      </c>
      <c r="R1233" s="7" t="s">
        <v>1110</v>
      </c>
      <c r="S1233" s="8"/>
      <c r="T1233" s="8"/>
      <c r="U1233" s="19" t="str">
        <f>HYPERLINK("https://pbs.twimg.com/profile_images/1180582694297620481/S3P4m4GY.jpg","View")</f>
        <v>View</v>
      </c>
      <c r="V1233" s="8"/>
      <c r="W1233" s="8"/>
      <c r="X1233" s="8"/>
      <c r="Y1233" s="8"/>
      <c r="Z1233" s="8"/>
    </row>
    <row r="1234" spans="1:26" ht="12.75">
      <c r="A1234" s="11">
        <v>43746.474363425921</v>
      </c>
      <c r="B1234" s="12" t="str">
        <f>HYPERLINK("https://twitter.com/alshmbry","@alshmbry")</f>
        <v>@alshmbry</v>
      </c>
      <c r="C1234" s="7" t="s">
        <v>7040</v>
      </c>
      <c r="D1234" s="13" t="s">
        <v>7041</v>
      </c>
      <c r="E1234" s="12" t="str">
        <f>HYPERLINK("https://twitter.com/alshmbry/status/1181636144297119744","1181636144297119744")</f>
        <v>1181636144297119744</v>
      </c>
      <c r="F1234" s="15"/>
      <c r="G1234" s="14" t="s">
        <v>7042</v>
      </c>
      <c r="H1234" s="8"/>
      <c r="I1234" s="15">
        <v>0</v>
      </c>
      <c r="J1234" s="15">
        <v>0</v>
      </c>
      <c r="K1234" s="12" t="str">
        <f>HYPERLINK("http://twitter.com","Twitter Web Client")</f>
        <v>Twitter Web Client</v>
      </c>
      <c r="L1234" s="16">
        <v>5</v>
      </c>
      <c r="M1234" s="16">
        <v>38</v>
      </c>
      <c r="N1234" s="16">
        <v>0</v>
      </c>
      <c r="O1234" s="17"/>
      <c r="P1234" s="18">
        <v>42070.649351851855</v>
      </c>
      <c r="Q1234" s="8"/>
      <c r="R1234" s="7"/>
      <c r="S1234" s="8"/>
      <c r="T1234" s="8"/>
      <c r="U1234" s="19" t="str">
        <f>HYPERLINK("https://pbs.twimg.com/profile_images/574364453627523072/vuutY3Ug.jpeg","View")</f>
        <v>View</v>
      </c>
      <c r="V1234" s="8"/>
      <c r="W1234" s="8"/>
      <c r="X1234" s="8"/>
      <c r="Y1234" s="8"/>
      <c r="Z1234" s="8"/>
    </row>
    <row r="1235" spans="1:26" ht="12.75">
      <c r="A1235" s="11">
        <v>43746.473692129628</v>
      </c>
      <c r="B1235" s="12" t="str">
        <f>HYPERLINK("https://twitter.com/Ha66Abdul","@Ha66Abdul")</f>
        <v>@Ha66Abdul</v>
      </c>
      <c r="C1235" s="7" t="s">
        <v>1364</v>
      </c>
      <c r="D1235" s="13" t="s">
        <v>28</v>
      </c>
      <c r="E1235" s="12" t="str">
        <f>HYPERLINK("https://twitter.com/Ha66Abdul/status/1181635902839242753","1181635902839242753")</f>
        <v>1181635902839242753</v>
      </c>
      <c r="F1235" s="15"/>
      <c r="G1235" s="14" t="s">
        <v>1267</v>
      </c>
      <c r="H1235" s="8"/>
      <c r="I1235" s="15">
        <v>0</v>
      </c>
      <c r="J1235" s="15">
        <v>0</v>
      </c>
      <c r="K1235" s="12" t="str">
        <f>HYPERLINK("https://mobile.twitter.com","Twitter Web App")</f>
        <v>Twitter Web App</v>
      </c>
      <c r="L1235" s="16">
        <v>0</v>
      </c>
      <c r="M1235" s="16">
        <v>2</v>
      </c>
      <c r="N1235" s="16">
        <v>0</v>
      </c>
      <c r="O1235" s="17"/>
      <c r="P1235" s="18">
        <v>43729.080625000002</v>
      </c>
      <c r="Q1235" s="8" t="s">
        <v>1527</v>
      </c>
      <c r="R1235" s="7" t="s">
        <v>5852</v>
      </c>
      <c r="S1235" s="8"/>
      <c r="T1235" s="8"/>
      <c r="U1235" s="19" t="str">
        <f>HYPERLINK("https://pbs.twimg.com/profile_images/1176377496486330369/eQBTaZeT.jpg","View")</f>
        <v>View</v>
      </c>
      <c r="V1235" s="8"/>
      <c r="W1235" s="8"/>
      <c r="X1235" s="8"/>
      <c r="Y1235" s="8"/>
      <c r="Z1235" s="8"/>
    </row>
    <row r="1236" spans="1:26" ht="12.75">
      <c r="A1236" s="11">
        <v>43746.473506944443</v>
      </c>
      <c r="B1236" s="12" t="str">
        <f>HYPERLINK("https://twitter.com/ashraf_qahtani","@ashraf_qahtani")</f>
        <v>@ashraf_qahtani</v>
      </c>
      <c r="C1236" s="7" t="s">
        <v>7050</v>
      </c>
      <c r="D1236" s="13" t="s">
        <v>968</v>
      </c>
      <c r="E1236" s="12" t="str">
        <f>HYPERLINK("https://twitter.com/ashraf_qahtani/status/1181635835684257792","1181635835684257792")</f>
        <v>1181635835684257792</v>
      </c>
      <c r="F1236" s="15"/>
      <c r="G1236" s="14" t="s">
        <v>7052</v>
      </c>
      <c r="H1236" s="8"/>
      <c r="I1236" s="15">
        <v>0</v>
      </c>
      <c r="J1236" s="15">
        <v>0</v>
      </c>
      <c r="K1236" s="12" t="str">
        <f>HYPERLINK("https://mobile.twitter.com","Twitter Web App")</f>
        <v>Twitter Web App</v>
      </c>
      <c r="L1236" s="16">
        <v>0</v>
      </c>
      <c r="M1236" s="16">
        <v>1</v>
      </c>
      <c r="N1236" s="16">
        <v>0</v>
      </c>
      <c r="O1236" s="17"/>
      <c r="P1236" s="18">
        <v>43725.938530092593</v>
      </c>
      <c r="Q1236" s="8"/>
      <c r="R1236" s="7" t="s">
        <v>1281</v>
      </c>
      <c r="S1236" s="8"/>
      <c r="T1236" s="8"/>
      <c r="U1236" s="19" t="str">
        <f>HYPERLINK("https://pbs.twimg.com/profile_images/1174216233639653376/zOwIrL9D.jpg","View")</f>
        <v>View</v>
      </c>
      <c r="V1236" s="8"/>
      <c r="W1236" s="8"/>
      <c r="X1236" s="8"/>
      <c r="Y1236" s="8"/>
      <c r="Z1236" s="8"/>
    </row>
    <row r="1237" spans="1:26" ht="12.75">
      <c r="A1237" s="11">
        <v>43746.47246527778</v>
      </c>
      <c r="B1237" s="12" t="str">
        <f>HYPERLINK("https://twitter.com/sK2PSgDvaHNNVl9","@sK2PSgDvaHNNVl9")</f>
        <v>@sK2PSgDvaHNNVl9</v>
      </c>
      <c r="C1237" s="13" t="s">
        <v>7056</v>
      </c>
      <c r="D1237" s="7" t="s">
        <v>7057</v>
      </c>
      <c r="E1237" s="12" t="str">
        <f>HYPERLINK("https://twitter.com/sK2PSgDvaHNNVl9/status/1181635456598978560","1181635456598978560")</f>
        <v>1181635456598978560</v>
      </c>
      <c r="F1237" s="8"/>
      <c r="G1237" s="15"/>
      <c r="H1237" s="8"/>
      <c r="I1237" s="15">
        <v>0</v>
      </c>
      <c r="J1237" s="15">
        <v>0</v>
      </c>
      <c r="K1237" s="12" t="str">
        <f>HYPERLINK("http://twitter.com/download/iphone","Twitter for iPhone")</f>
        <v>Twitter for iPhone</v>
      </c>
      <c r="L1237" s="16">
        <v>14</v>
      </c>
      <c r="M1237" s="16">
        <v>70</v>
      </c>
      <c r="N1237" s="16">
        <v>0</v>
      </c>
      <c r="O1237" s="17"/>
      <c r="P1237" s="18">
        <v>43596.321701388893</v>
      </c>
      <c r="Q1237" s="7" t="s">
        <v>7058</v>
      </c>
      <c r="R1237" s="13" t="s">
        <v>7059</v>
      </c>
      <c r="S1237" s="8"/>
      <c r="T1237" s="8"/>
      <c r="U1237" s="19" t="str">
        <f>HYPERLINK("https://pbs.twimg.com/profile_images/1127223167829852162/NDivY7Hi.jpg","View")</f>
        <v>View</v>
      </c>
      <c r="V1237" s="8"/>
      <c r="W1237" s="8"/>
      <c r="X1237" s="8"/>
      <c r="Y1237" s="8"/>
      <c r="Z1237" s="8"/>
    </row>
    <row r="1238" spans="1:26" ht="12.75">
      <c r="A1238" s="11">
        <v>43746.471539351856</v>
      </c>
      <c r="B1238" s="12" t="str">
        <f>HYPERLINK("https://twitter.com/mukhtaaral","@mukhtaaral")</f>
        <v>@mukhtaaral</v>
      </c>
      <c r="C1238" s="7" t="s">
        <v>7060</v>
      </c>
      <c r="D1238" s="7" t="s">
        <v>944</v>
      </c>
      <c r="E1238" s="12" t="str">
        <f>HYPERLINK("https://twitter.com/mukhtaaral/status/1181635122405072897","1181635122405072897")</f>
        <v>1181635122405072897</v>
      </c>
      <c r="F1238" s="8"/>
      <c r="G1238" s="14" t="s">
        <v>7061</v>
      </c>
      <c r="H1238" s="8"/>
      <c r="I1238" s="15">
        <v>0</v>
      </c>
      <c r="J1238" s="15">
        <v>0</v>
      </c>
      <c r="K1238" s="12" t="str">
        <f>HYPERLINK("https://mobile.twitter.com","Twitter Web App")</f>
        <v>Twitter Web App</v>
      </c>
      <c r="L1238" s="16">
        <v>0</v>
      </c>
      <c r="M1238" s="16">
        <v>1</v>
      </c>
      <c r="N1238" s="16">
        <v>0</v>
      </c>
      <c r="O1238" s="17"/>
      <c r="P1238" s="18">
        <v>43743.561967592592</v>
      </c>
      <c r="Q1238" s="7" t="s">
        <v>4714</v>
      </c>
      <c r="R1238" s="7" t="s">
        <v>1258</v>
      </c>
      <c r="S1238" s="8"/>
      <c r="T1238" s="8"/>
      <c r="U1238" s="19" t="str">
        <f>HYPERLINK("https://pbs.twimg.com/profile_images/1180580785641799682/a9uUIxY4.jpg","View")</f>
        <v>View</v>
      </c>
      <c r="V1238" s="8"/>
      <c r="W1238" s="8"/>
      <c r="X1238" s="8"/>
      <c r="Y1238" s="8"/>
      <c r="Z1238" s="8"/>
    </row>
    <row r="1239" spans="1:26" ht="12.75">
      <c r="A1239" s="11">
        <v>43746.471412037034</v>
      </c>
      <c r="B1239" s="12" t="str">
        <f>HYPERLINK("https://twitter.com/AbdulBa83068611","@AbdulBa83068611")</f>
        <v>@AbdulBa83068611</v>
      </c>
      <c r="C1239" s="7" t="s">
        <v>7062</v>
      </c>
      <c r="D1239" s="13" t="s">
        <v>914</v>
      </c>
      <c r="E1239" s="12" t="str">
        <f>HYPERLINK("https://twitter.com/AbdulBa83068611/status/1181635076519387136","1181635076519387136")</f>
        <v>1181635076519387136</v>
      </c>
      <c r="F1239" s="15"/>
      <c r="G1239" s="14" t="s">
        <v>917</v>
      </c>
      <c r="H1239" s="8"/>
      <c r="I1239" s="15">
        <v>0</v>
      </c>
      <c r="J1239" s="15">
        <v>0</v>
      </c>
      <c r="K1239" s="12" t="str">
        <f>HYPERLINK("https://mobile.twitter.com","Twitter Web App")</f>
        <v>Twitter Web App</v>
      </c>
      <c r="L1239" s="16">
        <v>0</v>
      </c>
      <c r="M1239" s="16">
        <v>1</v>
      </c>
      <c r="N1239" s="16">
        <v>0</v>
      </c>
      <c r="O1239" s="17"/>
      <c r="P1239" s="18">
        <v>43725.948275462964</v>
      </c>
      <c r="Q1239" s="8" t="s">
        <v>1533</v>
      </c>
      <c r="R1239" s="7" t="s">
        <v>1110</v>
      </c>
      <c r="S1239" s="8"/>
      <c r="T1239" s="8"/>
      <c r="U1239" s="19" t="str">
        <f>HYPERLINK("https://pbs.twimg.com/profile_images/1176379681274134528/8v-avT5t.png","View")</f>
        <v>View</v>
      </c>
      <c r="V1239" s="8"/>
      <c r="W1239" s="8"/>
      <c r="X1239" s="8"/>
      <c r="Y1239" s="8"/>
      <c r="Z1239" s="8"/>
    </row>
    <row r="1240" spans="1:26" ht="12.75">
      <c r="A1240" s="11">
        <v>43746.471250000002</v>
      </c>
      <c r="B1240" s="12" t="str">
        <f>HYPERLINK("https://twitter.com/AsemDaran","@AsemDaran")</f>
        <v>@AsemDaran</v>
      </c>
      <c r="C1240" s="13" t="s">
        <v>7063</v>
      </c>
      <c r="D1240" s="7" t="s">
        <v>944</v>
      </c>
      <c r="E1240" s="12" t="str">
        <f>HYPERLINK("https://twitter.com/AsemDaran/status/1181635018034053120","1181635018034053120")</f>
        <v>1181635018034053120</v>
      </c>
      <c r="F1240" s="8"/>
      <c r="G1240" s="14" t="s">
        <v>7064</v>
      </c>
      <c r="H1240" s="8"/>
      <c r="I1240" s="15">
        <v>0</v>
      </c>
      <c r="J1240" s="15">
        <v>0</v>
      </c>
      <c r="K1240" s="12" t="str">
        <f>HYPERLINK("https://mobile.twitter.com","Twitter Web App")</f>
        <v>Twitter Web App</v>
      </c>
      <c r="L1240" s="16">
        <v>0</v>
      </c>
      <c r="M1240" s="16">
        <v>2</v>
      </c>
      <c r="N1240" s="16">
        <v>0</v>
      </c>
      <c r="O1240" s="17"/>
      <c r="P1240" s="18">
        <v>43725.008043981477</v>
      </c>
      <c r="Q1240" s="7" t="s">
        <v>949</v>
      </c>
      <c r="R1240" s="13" t="s">
        <v>1606</v>
      </c>
      <c r="S1240" s="8"/>
      <c r="T1240" s="8"/>
      <c r="U1240" s="19" t="str">
        <f>HYPERLINK("https://pbs.twimg.com/profile_images/1174215969012629509/Ugn7c_b1.jpg","View")</f>
        <v>View</v>
      </c>
      <c r="V1240" s="8"/>
      <c r="W1240" s="8"/>
      <c r="X1240" s="8"/>
      <c r="Y1240" s="8"/>
      <c r="Z1240" s="8"/>
    </row>
    <row r="1241" spans="1:26" ht="12.75">
      <c r="A1241" s="11">
        <v>43746.470358796301</v>
      </c>
      <c r="B1241" s="12" t="str">
        <f>HYPERLINK("https://twitter.com/mohamme76563958","@mohamme76563958")</f>
        <v>@mohamme76563958</v>
      </c>
      <c r="C1241" s="13" t="s">
        <v>1650</v>
      </c>
      <c r="D1241" s="7" t="s">
        <v>7067</v>
      </c>
      <c r="E1241" s="12" t="str">
        <f>HYPERLINK("https://twitter.com/mohamme76563958/status/1181634693185376256","1181634693185376256")</f>
        <v>1181634693185376256</v>
      </c>
      <c r="F1241" s="8"/>
      <c r="G1241" s="14" t="s">
        <v>7068</v>
      </c>
      <c r="H1241" s="8"/>
      <c r="I1241" s="15">
        <v>0</v>
      </c>
      <c r="J1241" s="15">
        <v>0</v>
      </c>
      <c r="K1241" s="12" t="str">
        <f>HYPERLINK("http://twitter.com","Twitter Web Client")</f>
        <v>Twitter Web Client</v>
      </c>
      <c r="L1241" s="16">
        <v>1</v>
      </c>
      <c r="M1241" s="16">
        <v>39</v>
      </c>
      <c r="N1241" s="16">
        <v>0</v>
      </c>
      <c r="O1241" s="17"/>
      <c r="P1241" s="18">
        <v>42070.69158564815</v>
      </c>
      <c r="Q1241" s="7"/>
      <c r="R1241" s="13"/>
      <c r="S1241" s="8"/>
      <c r="T1241" s="8"/>
      <c r="U1241" s="19" t="str">
        <f>HYPERLINK("https://pbs.twimg.com/profile_images/574369631315496960/soyqMzU-.jpeg","View")</f>
        <v>View</v>
      </c>
      <c r="V1241" s="8"/>
      <c r="W1241" s="8"/>
      <c r="X1241" s="8"/>
      <c r="Y1241" s="8"/>
      <c r="Z1241" s="8"/>
    </row>
    <row r="1242" spans="1:26" ht="12.75">
      <c r="A1242" s="11">
        <v>43746.470231481479</v>
      </c>
      <c r="B1242" s="12" t="str">
        <f>HYPERLINK("https://twitter.com/muieajnim","@muieajnim")</f>
        <v>@muieajnim</v>
      </c>
      <c r="C1242" s="7" t="s">
        <v>7072</v>
      </c>
      <c r="D1242" s="13" t="s">
        <v>7073</v>
      </c>
      <c r="E1242" s="12" t="str">
        <f>HYPERLINK("https://twitter.com/muieajnim/status/1181634646695665665","1181634646695665665")</f>
        <v>1181634646695665665</v>
      </c>
      <c r="F1242" s="15"/>
      <c r="G1242" s="14" t="s">
        <v>7074</v>
      </c>
      <c r="H1242" s="8"/>
      <c r="I1242" s="15">
        <v>0</v>
      </c>
      <c r="J1242" s="15">
        <v>0</v>
      </c>
      <c r="K1242" s="12" t="str">
        <f>HYPERLINK("http://twitter.com","Twitter Web Client")</f>
        <v>Twitter Web Client</v>
      </c>
      <c r="L1242" s="16">
        <v>3</v>
      </c>
      <c r="M1242" s="16">
        <v>34</v>
      </c>
      <c r="N1242" s="16">
        <v>0</v>
      </c>
      <c r="O1242" s="17"/>
      <c r="P1242" s="18">
        <v>42066.55773148148</v>
      </c>
      <c r="Q1242" s="8"/>
      <c r="R1242" s="7"/>
      <c r="S1242" s="8"/>
      <c r="T1242" s="8"/>
      <c r="U1242" s="19" t="str">
        <f>HYPERLINK("https://pbs.twimg.com/profile_images/572870622787555328/tQl_7abo.jpeg","View")</f>
        <v>View</v>
      </c>
      <c r="V1242" s="8"/>
      <c r="W1242" s="8"/>
      <c r="X1242" s="8"/>
      <c r="Y1242" s="8"/>
      <c r="Z1242" s="8"/>
    </row>
    <row r="1243" spans="1:26" ht="12.75">
      <c r="A1243" s="11">
        <v>43746.47</v>
      </c>
      <c r="B1243" s="12" t="str">
        <f>HYPERLINK("https://twitter.com/zayyaanal","@zayyaanal")</f>
        <v>@zayyaanal</v>
      </c>
      <c r="C1243" s="13" t="s">
        <v>7075</v>
      </c>
      <c r="D1243" s="7" t="s">
        <v>1030</v>
      </c>
      <c r="E1243" s="12" t="str">
        <f>HYPERLINK("https://twitter.com/zayyaanal/status/1181634563476316160","1181634563476316160")</f>
        <v>1181634563476316160</v>
      </c>
      <c r="F1243" s="8"/>
      <c r="G1243" s="14" t="s">
        <v>7076</v>
      </c>
      <c r="H1243" s="8"/>
      <c r="I1243" s="15">
        <v>0</v>
      </c>
      <c r="J1243" s="15">
        <v>0</v>
      </c>
      <c r="K1243" s="12" t="str">
        <f>HYPERLINK("https://mobile.twitter.com","Twitter Web App")</f>
        <v>Twitter Web App</v>
      </c>
      <c r="L1243" s="16">
        <v>0</v>
      </c>
      <c r="M1243" s="16">
        <v>1</v>
      </c>
      <c r="N1243" s="16">
        <v>0</v>
      </c>
      <c r="O1243" s="17"/>
      <c r="P1243" s="18">
        <v>43743.554178240738</v>
      </c>
      <c r="Q1243" s="7"/>
      <c r="R1243" s="13" t="s">
        <v>1277</v>
      </c>
      <c r="S1243" s="8"/>
      <c r="T1243" s="8"/>
      <c r="U1243" s="19" t="str">
        <f>HYPERLINK("https://pbs.twimg.com/profile_images/1180577930197360640/pKr7U3RC.jpg","View")</f>
        <v>View</v>
      </c>
      <c r="V1243" s="8"/>
      <c r="W1243" s="8"/>
      <c r="X1243" s="8"/>
      <c r="Y1243" s="8"/>
      <c r="Z1243" s="8"/>
    </row>
    <row r="1244" spans="1:26" ht="12.75">
      <c r="A1244" s="11">
        <v>43746.468506944446</v>
      </c>
      <c r="B1244" s="12" t="str">
        <f>HYPERLINK("https://twitter.com/salemgodallah","@salemgodallah")</f>
        <v>@salemgodallah</v>
      </c>
      <c r="C1244" s="13" t="s">
        <v>7083</v>
      </c>
      <c r="D1244" s="7" t="s">
        <v>7084</v>
      </c>
      <c r="E1244" s="12" t="str">
        <f>HYPERLINK("https://twitter.com/salemgodallah/status/1181634022134501376","1181634022134501376")</f>
        <v>1181634022134501376</v>
      </c>
      <c r="F1244" s="8"/>
      <c r="G1244" s="14" t="s">
        <v>7088</v>
      </c>
      <c r="H1244" s="8"/>
      <c r="I1244" s="15">
        <v>0</v>
      </c>
      <c r="J1244" s="15">
        <v>0</v>
      </c>
      <c r="K1244" s="12" t="str">
        <f>HYPERLINK("http://twitter.com","Twitter Web Client")</f>
        <v>Twitter Web Client</v>
      </c>
      <c r="L1244" s="16">
        <v>0</v>
      </c>
      <c r="M1244" s="16">
        <v>42</v>
      </c>
      <c r="N1244" s="16">
        <v>0</v>
      </c>
      <c r="O1244" s="17"/>
      <c r="P1244" s="18">
        <v>42070.752534722225</v>
      </c>
      <c r="Q1244" s="7"/>
      <c r="R1244" s="13"/>
      <c r="S1244" s="8"/>
      <c r="T1244" s="8"/>
      <c r="U1244" s="19" t="str">
        <f>HYPERLINK("https://pbs.twimg.com/profile_images/574393811964571648/2i3Ds22f.jpeg","View")</f>
        <v>View</v>
      </c>
      <c r="V1244" s="8"/>
      <c r="W1244" s="8"/>
      <c r="X1244" s="8"/>
      <c r="Y1244" s="8"/>
      <c r="Z1244" s="8"/>
    </row>
    <row r="1245" spans="1:26" ht="12.75">
      <c r="A1245" s="11">
        <v>43746.468402777777</v>
      </c>
      <c r="B1245" s="12" t="str">
        <f>HYPERLINK("https://twitter.com/aubman","@aubman")</f>
        <v>@aubman</v>
      </c>
      <c r="C1245" s="7" t="s">
        <v>7095</v>
      </c>
      <c r="D1245" s="7" t="s">
        <v>7096</v>
      </c>
      <c r="E1245" s="12" t="str">
        <f>HYPERLINK("https://twitter.com/aubman/status/1181633986612862976","1181633986612862976")</f>
        <v>1181633986612862976</v>
      </c>
      <c r="F1245" s="15"/>
      <c r="G1245" s="15"/>
      <c r="H1245" s="8"/>
      <c r="I1245" s="15">
        <v>0</v>
      </c>
      <c r="J1245" s="15">
        <v>2</v>
      </c>
      <c r="K1245" s="12" t="str">
        <f>HYPERLINK("https://mobile.twitter.com","Twitter Web App")</f>
        <v>Twitter Web App</v>
      </c>
      <c r="L1245" s="16">
        <v>250</v>
      </c>
      <c r="M1245" s="16">
        <v>1000</v>
      </c>
      <c r="N1245" s="16">
        <v>22</v>
      </c>
      <c r="O1245" s="17"/>
      <c r="P1245" s="18">
        <v>39749.542118055557</v>
      </c>
      <c r="Q1245" s="8" t="s">
        <v>7097</v>
      </c>
      <c r="R1245" s="7" t="s">
        <v>7098</v>
      </c>
      <c r="S1245" s="8"/>
      <c r="T1245" s="8"/>
      <c r="U1245" s="19" t="str">
        <f>HYPERLINK("https://pbs.twimg.com/profile_images/469044517/stickman.jpg","View")</f>
        <v>View</v>
      </c>
      <c r="V1245" s="8"/>
      <c r="W1245" s="8"/>
      <c r="X1245" s="8"/>
      <c r="Y1245" s="8"/>
      <c r="Z1245" s="8"/>
    </row>
    <row r="1246" spans="1:26" ht="12.75">
      <c r="A1246" s="11">
        <v>43746.468240740738</v>
      </c>
      <c r="B1246" s="12" t="str">
        <f>HYPERLINK("https://twitter.com/AsadullahBishi","@AsadullahBishi")</f>
        <v>@AsadullahBishi</v>
      </c>
      <c r="C1246" s="13" t="s">
        <v>7104</v>
      </c>
      <c r="D1246" s="7" t="s">
        <v>1030</v>
      </c>
      <c r="E1246" s="12" t="str">
        <f>HYPERLINK("https://twitter.com/AsadullahBishi/status/1181633925807951872","1181633925807951872")</f>
        <v>1181633925807951872</v>
      </c>
      <c r="F1246" s="8"/>
      <c r="G1246" s="14" t="s">
        <v>7105</v>
      </c>
      <c r="H1246" s="8"/>
      <c r="I1246" s="15">
        <v>0</v>
      </c>
      <c r="J1246" s="15">
        <v>0</v>
      </c>
      <c r="K1246" s="12" t="str">
        <f>HYPERLINK("https://mobile.twitter.com","Twitter Web App")</f>
        <v>Twitter Web App</v>
      </c>
      <c r="L1246" s="16">
        <v>0</v>
      </c>
      <c r="M1246" s="16">
        <v>1</v>
      </c>
      <c r="N1246" s="16">
        <v>0</v>
      </c>
      <c r="O1246" s="17"/>
      <c r="P1246" s="18">
        <v>43725.007118055553</v>
      </c>
      <c r="Q1246" s="7" t="s">
        <v>972</v>
      </c>
      <c r="R1246" s="13" t="s">
        <v>2443</v>
      </c>
      <c r="S1246" s="8"/>
      <c r="T1246" s="8"/>
      <c r="U1246" s="19" t="str">
        <f>HYPERLINK("https://pbs.twimg.com/profile_images/1174215830269308929/BSq5UUSd.jpg","View")</f>
        <v>View</v>
      </c>
      <c r="V1246" s="8"/>
      <c r="W1246" s="8"/>
      <c r="X1246" s="8"/>
      <c r="Y1246" s="8"/>
      <c r="Z1246" s="8"/>
    </row>
    <row r="1247" spans="1:26" ht="12.75">
      <c r="A1247" s="11">
        <v>43746.468055555553</v>
      </c>
      <c r="B1247" s="12" t="str">
        <f>HYPERLINK("https://twitter.com/AbdulBa79524497","@AbdulBa79524497")</f>
        <v>@AbdulBa79524497</v>
      </c>
      <c r="C1247" s="13" t="s">
        <v>7107</v>
      </c>
      <c r="D1247" s="7" t="s">
        <v>28</v>
      </c>
      <c r="E1247" s="12" t="str">
        <f>HYPERLINK("https://twitter.com/AbdulBa79524497/status/1181633861572153344","1181633861572153344")</f>
        <v>1181633861572153344</v>
      </c>
      <c r="F1247" s="8"/>
      <c r="G1247" s="14" t="s">
        <v>31</v>
      </c>
      <c r="H1247" s="8"/>
      <c r="I1247" s="15">
        <v>0</v>
      </c>
      <c r="J1247" s="15">
        <v>0</v>
      </c>
      <c r="K1247" s="12" t="str">
        <f>HYPERLINK("https://mobile.twitter.com","Twitter Web App")</f>
        <v>Twitter Web App</v>
      </c>
      <c r="L1247" s="16">
        <v>0</v>
      </c>
      <c r="M1247" s="16">
        <v>0</v>
      </c>
      <c r="N1247" s="16">
        <v>0</v>
      </c>
      <c r="O1247" s="17"/>
      <c r="P1247" s="18">
        <v>43729.915335648147</v>
      </c>
      <c r="Q1247" s="7" t="s">
        <v>1288</v>
      </c>
      <c r="R1247" s="13" t="s">
        <v>1552</v>
      </c>
      <c r="S1247" s="8"/>
      <c r="T1247" s="8"/>
      <c r="U1247" s="19" t="str">
        <f>HYPERLINK("https://pbs.twimg.com/profile_images/1176420749629775879/CqhhjyD7.jpg","View")</f>
        <v>View</v>
      </c>
      <c r="V1247" s="8"/>
      <c r="W1247" s="8"/>
      <c r="X1247" s="8"/>
      <c r="Y1247" s="8"/>
      <c r="Z1247" s="8"/>
    </row>
    <row r="1248" spans="1:26" ht="12.75">
      <c r="A1248" s="11">
        <v>43746.46769675926</v>
      </c>
      <c r="B1248" s="12" t="str">
        <f>HYPERLINK("https://twitter.com/alial_huireaa","@alial_huireaa")</f>
        <v>@alial_huireaa</v>
      </c>
      <c r="C1248" s="13" t="s">
        <v>7108</v>
      </c>
      <c r="D1248" s="7" t="s">
        <v>7109</v>
      </c>
      <c r="E1248" s="12" t="str">
        <f>HYPERLINK("https://twitter.com/alial_huireaa/status/1181633727664988163","1181633727664988163")</f>
        <v>1181633727664988163</v>
      </c>
      <c r="F1248" s="8"/>
      <c r="G1248" s="14" t="s">
        <v>7110</v>
      </c>
      <c r="H1248" s="8"/>
      <c r="I1248" s="15">
        <v>0</v>
      </c>
      <c r="J1248" s="15">
        <v>0</v>
      </c>
      <c r="K1248" s="12" t="str">
        <f>HYPERLINK("http://twitter.com","Twitter Web Client")</f>
        <v>Twitter Web Client</v>
      </c>
      <c r="L1248" s="16">
        <v>2</v>
      </c>
      <c r="M1248" s="16">
        <v>24</v>
      </c>
      <c r="N1248" s="16">
        <v>0</v>
      </c>
      <c r="O1248" s="17"/>
      <c r="P1248" s="18">
        <v>41829.220891203702</v>
      </c>
      <c r="Q1248" s="7"/>
      <c r="R1248" s="13"/>
      <c r="S1248" s="8"/>
      <c r="T1248" s="8"/>
      <c r="U1248" s="19" t="str">
        <f>HYPERLINK("https://pbs.twimg.com/profile_images/486846971676614656/lWmD4AiI.jpeg","View")</f>
        <v>View</v>
      </c>
      <c r="V1248" s="8"/>
      <c r="W1248" s="8"/>
      <c r="X1248" s="8"/>
      <c r="Y1248" s="8"/>
      <c r="Z1248" s="8"/>
    </row>
    <row r="1249" spans="1:26" ht="12.75">
      <c r="A1249" s="11">
        <v>43746.467685185184</v>
      </c>
      <c r="B1249" s="12" t="str">
        <f>HYPERLINK("https://twitter.com/faatinel","@faatinel")</f>
        <v>@faatinel</v>
      </c>
      <c r="C1249" s="7" t="s">
        <v>7113</v>
      </c>
      <c r="D1249" s="13" t="s">
        <v>1130</v>
      </c>
      <c r="E1249" s="12" t="str">
        <f>HYPERLINK("https://twitter.com/faatinel/status/1181633724963672064","1181633724963672064")</f>
        <v>1181633724963672064</v>
      </c>
      <c r="F1249" s="15"/>
      <c r="G1249" s="14" t="s">
        <v>7115</v>
      </c>
      <c r="H1249" s="8"/>
      <c r="I1249" s="15">
        <v>0</v>
      </c>
      <c r="J1249" s="15">
        <v>0</v>
      </c>
      <c r="K1249" s="12" t="str">
        <f>HYPERLINK("https://mobile.twitter.com","Twitter Web App")</f>
        <v>Twitter Web App</v>
      </c>
      <c r="L1249" s="16">
        <v>0</v>
      </c>
      <c r="M1249" s="16">
        <v>1</v>
      </c>
      <c r="N1249" s="16">
        <v>0</v>
      </c>
      <c r="O1249" s="17"/>
      <c r="P1249" s="18">
        <v>43743.547476851847</v>
      </c>
      <c r="Q1249" s="8" t="s">
        <v>4714</v>
      </c>
      <c r="R1249" s="7" t="s">
        <v>912</v>
      </c>
      <c r="S1249" s="8"/>
      <c r="T1249" s="8"/>
      <c r="U1249" s="19" t="str">
        <f>HYPERLINK("https://pbs.twimg.com/profile_images/1180575497719140352/Ay_pNFek.jpg","View")</f>
        <v>View</v>
      </c>
      <c r="V1249" s="8"/>
      <c r="W1249" s="8"/>
      <c r="X1249" s="8"/>
      <c r="Y1249" s="8"/>
      <c r="Z1249" s="8"/>
    </row>
    <row r="1250" spans="1:26" ht="12.75">
      <c r="A1250" s="11">
        <v>43746.467569444445</v>
      </c>
      <c r="B1250" s="12" t="str">
        <f>HYPERLINK("https://twitter.com/othmanalbakri1","@othmanalbakri1")</f>
        <v>@othmanalbakri1</v>
      </c>
      <c r="C1250" s="13" t="s">
        <v>7119</v>
      </c>
      <c r="D1250" s="7" t="s">
        <v>4027</v>
      </c>
      <c r="E1250" s="12" t="str">
        <f>HYPERLINK("https://twitter.com/othmanalbakri1/status/1181633682836262914","1181633682836262914")</f>
        <v>1181633682836262914</v>
      </c>
      <c r="F1250" s="8"/>
      <c r="G1250" s="14" t="s">
        <v>7120</v>
      </c>
      <c r="H1250" s="8"/>
      <c r="I1250" s="15">
        <v>0</v>
      </c>
      <c r="J1250" s="15">
        <v>0</v>
      </c>
      <c r="K1250" s="12" t="str">
        <f>HYPERLINK("http://twitter.com","Twitter Web Client")</f>
        <v>Twitter Web Client</v>
      </c>
      <c r="L1250" s="16">
        <v>6</v>
      </c>
      <c r="M1250" s="16">
        <v>34</v>
      </c>
      <c r="N1250" s="16">
        <v>0</v>
      </c>
      <c r="O1250" s="17"/>
      <c r="P1250" s="18">
        <v>42073.247407407413</v>
      </c>
      <c r="Q1250" s="7"/>
      <c r="R1250" s="13"/>
      <c r="S1250" s="8"/>
      <c r="T1250" s="8"/>
      <c r="U1250" s="19" t="str">
        <f>HYPERLINK("https://pbs.twimg.com/profile_images/575280510638776320/H7Cq6kTS.jpeg","View")</f>
        <v>View</v>
      </c>
      <c r="V1250" s="8"/>
      <c r="W1250" s="8"/>
      <c r="X1250" s="8"/>
      <c r="Y1250" s="8"/>
      <c r="Z1250" s="8"/>
    </row>
    <row r="1251" spans="1:26" ht="12.75">
      <c r="A1251" s="11">
        <v>43746.467442129629</v>
      </c>
      <c r="B1251" s="12" t="str">
        <f>HYPERLINK("https://twitter.com/ibrahimalshetdy","@ibrahimalshetdy")</f>
        <v>@ibrahimalshetdy</v>
      </c>
      <c r="C1251" s="13" t="s">
        <v>7122</v>
      </c>
      <c r="D1251" s="7" t="s">
        <v>2310</v>
      </c>
      <c r="E1251" s="12" t="str">
        <f>HYPERLINK("https://twitter.com/ibrahimalshetdy/status/1181633636992466946","1181633636992466946")</f>
        <v>1181633636992466946</v>
      </c>
      <c r="F1251" s="8"/>
      <c r="G1251" s="14" t="s">
        <v>7123</v>
      </c>
      <c r="H1251" s="8"/>
      <c r="I1251" s="15">
        <v>0</v>
      </c>
      <c r="J1251" s="15">
        <v>0</v>
      </c>
      <c r="K1251" s="12" t="str">
        <f>HYPERLINK("http://twitter.com","Twitter Web Client")</f>
        <v>Twitter Web Client</v>
      </c>
      <c r="L1251" s="16">
        <v>0</v>
      </c>
      <c r="M1251" s="16">
        <v>36</v>
      </c>
      <c r="N1251" s="16">
        <v>0</v>
      </c>
      <c r="O1251" s="17"/>
      <c r="P1251" s="18">
        <v>41848.161469907405</v>
      </c>
      <c r="Q1251" s="7"/>
      <c r="R1251" s="13"/>
      <c r="S1251" s="8"/>
      <c r="T1251" s="8"/>
      <c r="U1251" s="19" t="str">
        <f>HYPERLINK("https://pbs.twimg.com/profile_images/493711104304902144/HllF2Acx.jpeg","View")</f>
        <v>View</v>
      </c>
      <c r="V1251" s="8"/>
      <c r="W1251" s="8"/>
      <c r="X1251" s="8"/>
      <c r="Y1251" s="8"/>
      <c r="Z1251" s="8"/>
    </row>
    <row r="1252" spans="1:26" ht="12.75">
      <c r="A1252" s="11">
        <v>43746.467060185183</v>
      </c>
      <c r="B1252" s="12" t="str">
        <f>HYPERLINK("https://twitter.com/hilaalel","@hilaalel")</f>
        <v>@hilaalel</v>
      </c>
      <c r="C1252" s="7" t="s">
        <v>7127</v>
      </c>
      <c r="D1252" s="13" t="s">
        <v>907</v>
      </c>
      <c r="E1252" s="12" t="str">
        <f>HYPERLINK("https://twitter.com/hilaalel/status/1181633498240573440","1181633498240573440")</f>
        <v>1181633498240573440</v>
      </c>
      <c r="F1252" s="15"/>
      <c r="G1252" s="14" t="s">
        <v>7128</v>
      </c>
      <c r="H1252" s="8"/>
      <c r="I1252" s="15">
        <v>0</v>
      </c>
      <c r="J1252" s="15">
        <v>0</v>
      </c>
      <c r="K1252" s="12" t="str">
        <f>HYPERLINK("https://mobile.twitter.com","Twitter Web App")</f>
        <v>Twitter Web App</v>
      </c>
      <c r="L1252" s="16">
        <v>1</v>
      </c>
      <c r="M1252" s="16">
        <v>2</v>
      </c>
      <c r="N1252" s="16">
        <v>0</v>
      </c>
      <c r="O1252" s="17"/>
      <c r="P1252" s="18">
        <v>43739.460416666669</v>
      </c>
      <c r="Q1252" s="8" t="s">
        <v>4714</v>
      </c>
      <c r="R1252" s="7" t="s">
        <v>1075</v>
      </c>
      <c r="S1252" s="8"/>
      <c r="T1252" s="8"/>
      <c r="U1252" s="19" t="str">
        <f>HYPERLINK("https://pbs.twimg.com/profile_images/1179154642904567808/keByy2cY.jpg","View")</f>
        <v>View</v>
      </c>
      <c r="V1252" s="8"/>
      <c r="W1252" s="8"/>
      <c r="X1252" s="8"/>
      <c r="Y1252" s="8"/>
      <c r="Z1252" s="8"/>
    </row>
    <row r="1253" spans="1:26" ht="12.75">
      <c r="A1253" s="11">
        <v>43746.464699074073</v>
      </c>
      <c r="B1253" s="12" t="str">
        <f>HYPERLINK("https://twitter.com/marwanalfaleh1","@marwanalfaleh1")</f>
        <v>@marwanalfaleh1</v>
      </c>
      <c r="C1253" s="13" t="s">
        <v>7132</v>
      </c>
      <c r="D1253" s="7" t="s">
        <v>7133</v>
      </c>
      <c r="E1253" s="12" t="str">
        <f>HYPERLINK("https://twitter.com/marwanalfaleh1/status/1181632643961675776","1181632643961675776")</f>
        <v>1181632643961675776</v>
      </c>
      <c r="F1253" s="8"/>
      <c r="G1253" s="14" t="s">
        <v>7134</v>
      </c>
      <c r="H1253" s="8"/>
      <c r="I1253" s="15">
        <v>0</v>
      </c>
      <c r="J1253" s="15">
        <v>0</v>
      </c>
      <c r="K1253" s="12" t="str">
        <f>HYPERLINK("http://twitter.com","Twitter Web Client")</f>
        <v>Twitter Web Client</v>
      </c>
      <c r="L1253" s="16">
        <v>1</v>
      </c>
      <c r="M1253" s="16">
        <v>35</v>
      </c>
      <c r="N1253" s="16">
        <v>0</v>
      </c>
      <c r="O1253" s="17"/>
      <c r="P1253" s="18">
        <v>42080.146122685182</v>
      </c>
      <c r="Q1253" s="7"/>
      <c r="R1253" s="13"/>
      <c r="S1253" s="8"/>
      <c r="T1253" s="8"/>
      <c r="U1253" s="19" t="str">
        <f>HYPERLINK("https://pbs.twimg.com/profile_images/577779449912934400/ZvhB60uL.jpeg","View")</f>
        <v>View</v>
      </c>
      <c r="V1253" s="8"/>
      <c r="W1253" s="8"/>
      <c r="X1253" s="8"/>
      <c r="Y1253" s="8"/>
      <c r="Z1253" s="8"/>
    </row>
    <row r="1254" spans="1:26" ht="12.75">
      <c r="A1254" s="11">
        <v>43746.464074074072</v>
      </c>
      <c r="B1254" s="12" t="str">
        <f>HYPERLINK("https://twitter.com/AbdulAz37156185","@AbdulAz37156185")</f>
        <v>@AbdulAz37156185</v>
      </c>
      <c r="C1254" s="7" t="s">
        <v>7138</v>
      </c>
      <c r="D1254" s="13" t="s">
        <v>968</v>
      </c>
      <c r="E1254" s="12" t="str">
        <f>HYPERLINK("https://twitter.com/AbdulAz37156185/status/1181632416307281921","1181632416307281921")</f>
        <v>1181632416307281921</v>
      </c>
      <c r="F1254" s="15"/>
      <c r="G1254" s="14" t="s">
        <v>7140</v>
      </c>
      <c r="H1254" s="8"/>
      <c r="I1254" s="15">
        <v>0</v>
      </c>
      <c r="J1254" s="15">
        <v>0</v>
      </c>
      <c r="K1254" s="12" t="str">
        <f>HYPERLINK("https://mobile.twitter.com","Twitter Web App")</f>
        <v>Twitter Web App</v>
      </c>
      <c r="L1254" s="16">
        <v>2</v>
      </c>
      <c r="M1254" s="16">
        <v>3</v>
      </c>
      <c r="N1254" s="16">
        <v>0</v>
      </c>
      <c r="O1254" s="17"/>
      <c r="P1254" s="18">
        <v>43725.179814814815</v>
      </c>
      <c r="Q1254" s="8" t="s">
        <v>1192</v>
      </c>
      <c r="R1254" s="7" t="s">
        <v>1110</v>
      </c>
      <c r="S1254" s="8"/>
      <c r="T1254" s="8"/>
      <c r="U1254" s="19" t="str">
        <f>HYPERLINK("https://pbs.twimg.com/profile_images/1173919292368150529/QltZUqon.jpg","View")</f>
        <v>View</v>
      </c>
      <c r="V1254" s="8"/>
      <c r="W1254" s="8"/>
      <c r="X1254" s="8"/>
      <c r="Y1254" s="8"/>
      <c r="Z1254" s="8"/>
    </row>
    <row r="1255" spans="1:26" ht="12.75">
      <c r="A1255" s="11">
        <v>43746.463969907403</v>
      </c>
      <c r="B1255" s="12" t="str">
        <f>HYPERLINK("https://twitter.com/alisalehalmarri","@alisalehalmarri")</f>
        <v>@alisalehalmarri</v>
      </c>
      <c r="C1255" s="7" t="s">
        <v>7144</v>
      </c>
      <c r="D1255" s="13" t="s">
        <v>7145</v>
      </c>
      <c r="E1255" s="12" t="str">
        <f>HYPERLINK("https://twitter.com/alisalehalmarri/status/1181632377048752130","1181632377048752130")</f>
        <v>1181632377048752130</v>
      </c>
      <c r="F1255" s="15"/>
      <c r="G1255" s="15"/>
      <c r="H1255" s="8"/>
      <c r="I1255" s="15">
        <v>29</v>
      </c>
      <c r="J1255" s="15">
        <v>28</v>
      </c>
      <c r="K1255" s="12" t="str">
        <f>HYPERLINK("http://twitter.com/download/iphone","Twitter for iPhone")</f>
        <v>Twitter for iPhone</v>
      </c>
      <c r="L1255" s="16">
        <v>112639</v>
      </c>
      <c r="M1255" s="16">
        <v>97</v>
      </c>
      <c r="N1255" s="16">
        <v>119</v>
      </c>
      <c r="O1255" s="17"/>
      <c r="P1255" s="18">
        <v>40956.571967592594</v>
      </c>
      <c r="Q1255" s="8" t="s">
        <v>648</v>
      </c>
      <c r="R1255" s="7" t="s">
        <v>7148</v>
      </c>
      <c r="S1255" s="8"/>
      <c r="T1255" s="8"/>
      <c r="U1255" s="19" t="str">
        <f>HYPERLINK("https://pbs.twimg.com/profile_images/854748112161828864/DRCvzT0V.jpg","View")</f>
        <v>View</v>
      </c>
      <c r="V1255" s="8"/>
      <c r="W1255" s="8"/>
      <c r="X1255" s="8"/>
      <c r="Y1255" s="8"/>
      <c r="Z1255" s="8"/>
    </row>
    <row r="1256" spans="1:26" ht="12.75">
      <c r="A1256" s="11">
        <v>43746.463587962964</v>
      </c>
      <c r="B1256" s="12" t="str">
        <f>HYPERLINK("https://twitter.com/AnwaruddinAnwa5","@AnwaruddinAnwa5")</f>
        <v>@AnwaruddinAnwa5</v>
      </c>
      <c r="C1256" s="13" t="s">
        <v>7150</v>
      </c>
      <c r="D1256" s="7" t="s">
        <v>1130</v>
      </c>
      <c r="E1256" s="12" t="str">
        <f>HYPERLINK("https://twitter.com/AnwaruddinAnwa5/status/1181632239693492224","1181632239693492224")</f>
        <v>1181632239693492224</v>
      </c>
      <c r="F1256" s="8"/>
      <c r="G1256" s="14" t="s">
        <v>7151</v>
      </c>
      <c r="H1256" s="8"/>
      <c r="I1256" s="15">
        <v>0</v>
      </c>
      <c r="J1256" s="15">
        <v>0</v>
      </c>
      <c r="K1256" s="12" t="str">
        <f>HYPERLINK("https://mobile.twitter.com","Twitter Web App")</f>
        <v>Twitter Web App</v>
      </c>
      <c r="L1256" s="16">
        <v>0</v>
      </c>
      <c r="M1256" s="16">
        <v>1</v>
      </c>
      <c r="N1256" s="16">
        <v>0</v>
      </c>
      <c r="O1256" s="17"/>
      <c r="P1256" s="18">
        <v>43731.011840277773</v>
      </c>
      <c r="Q1256" s="7" t="s">
        <v>949</v>
      </c>
      <c r="R1256" s="13" t="s">
        <v>3114</v>
      </c>
      <c r="S1256" s="8"/>
      <c r="T1256" s="8"/>
      <c r="U1256" s="19" t="str">
        <f>HYPERLINK("https://pbs.twimg.com/profile_images/1178977838499684357/L_GpoMMu.jpg","View")</f>
        <v>View</v>
      </c>
      <c r="V1256" s="8"/>
      <c r="W1256" s="8"/>
      <c r="X1256" s="8"/>
      <c r="Y1256" s="8"/>
      <c r="Z1256" s="8"/>
    </row>
    <row r="1257" spans="1:26" ht="12.75">
      <c r="A1257" s="11">
        <v>43746.463483796295</v>
      </c>
      <c r="B1257" s="12" t="str">
        <f>HYPERLINK("https://twitter.com/miqdaamel","@miqdaamel")</f>
        <v>@miqdaamel</v>
      </c>
      <c r="C1257" s="7" t="s">
        <v>7155</v>
      </c>
      <c r="D1257" s="13" t="s">
        <v>1107</v>
      </c>
      <c r="E1257" s="12" t="str">
        <f>HYPERLINK("https://twitter.com/miqdaamel/status/1181632204230627328","1181632204230627328")</f>
        <v>1181632204230627328</v>
      </c>
      <c r="F1257" s="15"/>
      <c r="G1257" s="14" t="s">
        <v>7158</v>
      </c>
      <c r="H1257" s="8"/>
      <c r="I1257" s="15">
        <v>0</v>
      </c>
      <c r="J1257" s="15">
        <v>0</v>
      </c>
      <c r="K1257" s="12" t="str">
        <f>HYPERLINK("http://twitter.com","Twitter Web Client")</f>
        <v>Twitter Web Client</v>
      </c>
      <c r="L1257" s="16">
        <v>0</v>
      </c>
      <c r="M1257" s="16">
        <v>0</v>
      </c>
      <c r="N1257" s="16">
        <v>0</v>
      </c>
      <c r="O1257" s="17"/>
      <c r="P1257" s="18">
        <v>43743.540196759262</v>
      </c>
      <c r="Q1257" s="8" t="s">
        <v>4714</v>
      </c>
      <c r="R1257" s="7" t="s">
        <v>925</v>
      </c>
      <c r="S1257" s="8"/>
      <c r="T1257" s="8"/>
      <c r="U1257" s="19" t="str">
        <f>HYPERLINK("https://pbs.twimg.com/profile_images/1180572866590298112/ARNGf5RI.jpg","View")</f>
        <v>View</v>
      </c>
      <c r="V1257" s="8"/>
      <c r="W1257" s="8"/>
      <c r="X1257" s="8"/>
      <c r="Y1257" s="8"/>
      <c r="Z1257" s="8"/>
    </row>
    <row r="1258" spans="1:26" ht="12.75">
      <c r="A1258" s="11">
        <v>43746.463113425925</v>
      </c>
      <c r="B1258" s="12" t="str">
        <f>HYPERLINK("https://twitter.com/abiaisha_66","@abiaisha_66")</f>
        <v>@abiaisha_66</v>
      </c>
      <c r="C1258" s="13" t="s">
        <v>7162</v>
      </c>
      <c r="D1258" s="13" t="s">
        <v>4060</v>
      </c>
      <c r="E1258" s="12" t="str">
        <f>HYPERLINK("https://twitter.com/abiaisha_66/status/1181632067643293697","1181632067643293697")</f>
        <v>1181632067643293697</v>
      </c>
      <c r="F1258" s="8"/>
      <c r="G1258" s="14" t="s">
        <v>7163</v>
      </c>
      <c r="H1258" s="8"/>
      <c r="I1258" s="15">
        <v>0</v>
      </c>
      <c r="J1258" s="15">
        <v>0</v>
      </c>
      <c r="K1258" s="12" t="str">
        <f>HYPERLINK("http://twitter.com","Twitter Web Client")</f>
        <v>Twitter Web Client</v>
      </c>
      <c r="L1258" s="16">
        <v>12</v>
      </c>
      <c r="M1258" s="16">
        <v>40</v>
      </c>
      <c r="N1258" s="16">
        <v>0</v>
      </c>
      <c r="O1258" s="17"/>
      <c r="P1258" s="18">
        <v>42072.376423611116</v>
      </c>
      <c r="Q1258" s="8"/>
      <c r="R1258" s="8"/>
      <c r="S1258" s="8"/>
      <c r="T1258" s="8"/>
      <c r="U1258" s="19" t="str">
        <f>HYPERLINK("https://pbs.twimg.com/profile_images/574963486079328259/6BHt7Alv.jpeg","View")</f>
        <v>View</v>
      </c>
      <c r="V1258" s="8"/>
      <c r="W1258" s="8"/>
      <c r="X1258" s="8"/>
      <c r="Y1258" s="8"/>
      <c r="Z1258" s="8"/>
    </row>
    <row r="1259" spans="1:26" ht="12.75">
      <c r="A1259" s="11">
        <v>43746.46298611111</v>
      </c>
      <c r="B1259" s="12" t="str">
        <f>HYPERLINK("https://twitter.com/alsawayaf32","@alsawayaf32")</f>
        <v>@alsawayaf32</v>
      </c>
      <c r="C1259" s="13" t="s">
        <v>7164</v>
      </c>
      <c r="D1259" s="7" t="s">
        <v>2355</v>
      </c>
      <c r="E1259" s="12" t="str">
        <f>HYPERLINK("https://twitter.com/alsawayaf32/status/1181632022357463040","1181632022357463040")</f>
        <v>1181632022357463040</v>
      </c>
      <c r="F1259" s="8"/>
      <c r="G1259" s="14" t="s">
        <v>7165</v>
      </c>
      <c r="H1259" s="8"/>
      <c r="I1259" s="15">
        <v>0</v>
      </c>
      <c r="J1259" s="15">
        <v>0</v>
      </c>
      <c r="K1259" s="12" t="str">
        <f>HYPERLINK("http://twitter.com","Twitter Web Client")</f>
        <v>Twitter Web Client</v>
      </c>
      <c r="L1259" s="16">
        <v>13</v>
      </c>
      <c r="M1259" s="16">
        <v>50</v>
      </c>
      <c r="N1259" s="16">
        <v>0</v>
      </c>
      <c r="O1259" s="17"/>
      <c r="P1259" s="18">
        <v>42074.37018518518</v>
      </c>
      <c r="Q1259" s="7"/>
      <c r="R1259" s="13"/>
      <c r="S1259" s="8"/>
      <c r="T1259" s="8"/>
      <c r="U1259" s="19" t="str">
        <f>HYPERLINK("https://pbs.twimg.com/profile_images/575686007552544768/2PTLW577.jpeg","View")</f>
        <v>View</v>
      </c>
      <c r="V1259" s="8"/>
      <c r="W1259" s="8"/>
      <c r="X1259" s="8"/>
      <c r="Y1259" s="8"/>
      <c r="Z1259" s="8"/>
    </row>
    <row r="1260" spans="1:26" ht="12.75">
      <c r="A1260" s="11">
        <v>43746.462858796294</v>
      </c>
      <c r="B1260" s="12" t="str">
        <f>HYPERLINK("https://twitter.com/hagaraff555","@hagaraff555")</f>
        <v>@hagaraff555</v>
      </c>
      <c r="C1260" s="13" t="s">
        <v>7169</v>
      </c>
      <c r="D1260" s="7" t="s">
        <v>7170</v>
      </c>
      <c r="E1260" s="12" t="str">
        <f>HYPERLINK("https://twitter.com/hagaraff555/status/1181631976459161600","1181631976459161600")</f>
        <v>1181631976459161600</v>
      </c>
      <c r="F1260" s="8"/>
      <c r="G1260" s="14" t="s">
        <v>7172</v>
      </c>
      <c r="H1260" s="8"/>
      <c r="I1260" s="15">
        <v>0</v>
      </c>
      <c r="J1260" s="15">
        <v>0</v>
      </c>
      <c r="K1260" s="12" t="str">
        <f>HYPERLINK("http://twitter.com","Twitter Web Client")</f>
        <v>Twitter Web Client</v>
      </c>
      <c r="L1260" s="16">
        <v>10</v>
      </c>
      <c r="M1260" s="16">
        <v>37</v>
      </c>
      <c r="N1260" s="16">
        <v>0</v>
      </c>
      <c r="O1260" s="17"/>
      <c r="P1260" s="18">
        <v>42076.649467592593</v>
      </c>
      <c r="Q1260" s="7"/>
      <c r="R1260" s="13"/>
      <c r="S1260" s="8"/>
      <c r="T1260" s="8"/>
      <c r="U1260" s="19" t="str">
        <f>HYPERLINK("https://pbs.twimg.com/profile_images/576512055785590784/klE4RVwR.jpeg","View")</f>
        <v>View</v>
      </c>
      <c r="V1260" s="8"/>
      <c r="W1260" s="8"/>
      <c r="X1260" s="8"/>
      <c r="Y1260" s="8"/>
      <c r="Z1260" s="8"/>
    </row>
    <row r="1261" spans="1:26" ht="12.75">
      <c r="A1261" s="11">
        <v>43746.461689814816</v>
      </c>
      <c r="B1261" s="12" t="str">
        <f>HYPERLINK("https://twitter.com/DDatumharbi","@DDatumharbi")</f>
        <v>@DDatumharbi</v>
      </c>
      <c r="C1261" s="13" t="s">
        <v>7173</v>
      </c>
      <c r="D1261" s="7" t="s">
        <v>7174</v>
      </c>
      <c r="E1261" s="12" t="str">
        <f>HYPERLINK("https://twitter.com/DDatumharbi/status/1181631552301801472","1181631552301801472")</f>
        <v>1181631552301801472</v>
      </c>
      <c r="F1261" s="8"/>
      <c r="G1261" s="14" t="s">
        <v>7175</v>
      </c>
      <c r="H1261" s="8"/>
      <c r="I1261" s="15">
        <v>0</v>
      </c>
      <c r="J1261" s="15">
        <v>0</v>
      </c>
      <c r="K1261" s="12" t="str">
        <f>HYPERLINK("http://twitter.com","Twitter Web Client")</f>
        <v>Twitter Web Client</v>
      </c>
      <c r="L1261" s="16">
        <v>3</v>
      </c>
      <c r="M1261" s="16">
        <v>26</v>
      </c>
      <c r="N1261" s="16">
        <v>0</v>
      </c>
      <c r="O1261" s="17"/>
      <c r="P1261" s="18">
        <v>42069.455509259264</v>
      </c>
      <c r="Q1261" s="7"/>
      <c r="R1261" s="13"/>
      <c r="S1261" s="8"/>
      <c r="T1261" s="8"/>
      <c r="U1261" s="19" t="str">
        <f>HYPERLINK("https://pbs.twimg.com/profile_images/573921343084736512/5xGpzbRf.jpeg","View")</f>
        <v>View</v>
      </c>
      <c r="V1261" s="8"/>
      <c r="W1261" s="8"/>
      <c r="X1261" s="8"/>
      <c r="Y1261" s="8"/>
      <c r="Z1261" s="8"/>
    </row>
    <row r="1262" spans="1:26" ht="12.75">
      <c r="A1262" s="11">
        <v>43746.461354166662</v>
      </c>
      <c r="B1262" s="12" t="str">
        <f>HYPERLINK("https://twitter.com/daamiral","@daamiral")</f>
        <v>@daamiral</v>
      </c>
      <c r="C1262" s="13" t="s">
        <v>7179</v>
      </c>
      <c r="D1262" s="7" t="s">
        <v>1236</v>
      </c>
      <c r="E1262" s="12" t="str">
        <f>HYPERLINK("https://twitter.com/daamiral/status/1181631430712946688","1181631430712946688")</f>
        <v>1181631430712946688</v>
      </c>
      <c r="F1262" s="8"/>
      <c r="G1262" s="14" t="s">
        <v>7180</v>
      </c>
      <c r="H1262" s="8"/>
      <c r="I1262" s="15">
        <v>0</v>
      </c>
      <c r="J1262" s="15">
        <v>0</v>
      </c>
      <c r="K1262" s="12" t="str">
        <f>HYPERLINK("https://mobile.twitter.com","Twitter Web App")</f>
        <v>Twitter Web App</v>
      </c>
      <c r="L1262" s="16">
        <v>1</v>
      </c>
      <c r="M1262" s="16">
        <v>2</v>
      </c>
      <c r="N1262" s="16">
        <v>0</v>
      </c>
      <c r="O1262" s="17"/>
      <c r="P1262" s="18">
        <v>43739.583078703705</v>
      </c>
      <c r="Q1262" s="7" t="s">
        <v>4714</v>
      </c>
      <c r="R1262" s="13" t="s">
        <v>1552</v>
      </c>
      <c r="S1262" s="8"/>
      <c r="T1262" s="8"/>
      <c r="U1262" s="19" t="str">
        <f>HYPERLINK("https://pbs.twimg.com/profile_images/1179153768920698880/ji2Kgv91.jpg","View")</f>
        <v>View</v>
      </c>
      <c r="V1262" s="8"/>
      <c r="W1262" s="8"/>
      <c r="X1262" s="8"/>
      <c r="Y1262" s="8"/>
      <c r="Z1262" s="8"/>
    </row>
    <row r="1263" spans="1:26" ht="12.75">
      <c r="A1263" s="11">
        <v>43746.460891203707</v>
      </c>
      <c r="B1263" s="12" t="str">
        <f>HYPERLINK("https://twitter.com/khalidubarak1","@khalidubarak1")</f>
        <v>@khalidubarak1</v>
      </c>
      <c r="C1263" s="13" t="s">
        <v>7183</v>
      </c>
      <c r="D1263" s="7" t="s">
        <v>7184</v>
      </c>
      <c r="E1263" s="12" t="str">
        <f>HYPERLINK("https://twitter.com/khalidubarak1/status/1181631262441791489","1181631262441791489")</f>
        <v>1181631262441791489</v>
      </c>
      <c r="F1263" s="8"/>
      <c r="G1263" s="14" t="s">
        <v>7187</v>
      </c>
      <c r="H1263" s="8"/>
      <c r="I1263" s="15">
        <v>0</v>
      </c>
      <c r="J1263" s="15">
        <v>0</v>
      </c>
      <c r="K1263" s="12" t="str">
        <f>HYPERLINK("http://twitter.com","Twitter Web Client")</f>
        <v>Twitter Web Client</v>
      </c>
      <c r="L1263" s="16">
        <v>4</v>
      </c>
      <c r="M1263" s="16">
        <v>41</v>
      </c>
      <c r="N1263" s="16">
        <v>0</v>
      </c>
      <c r="O1263" s="17"/>
      <c r="P1263" s="18">
        <v>42072.182835648149</v>
      </c>
      <c r="Q1263" s="7"/>
      <c r="R1263" s="13"/>
      <c r="S1263" s="8"/>
      <c r="T1263" s="8"/>
      <c r="U1263" s="19" t="str">
        <f>HYPERLINK("https://pbs.twimg.com/profile_images/574893767880142850/WOwYPaa6.jpeg","View")</f>
        <v>View</v>
      </c>
      <c r="V1263" s="8"/>
      <c r="W1263" s="8"/>
      <c r="X1263" s="8"/>
      <c r="Y1263" s="8"/>
      <c r="Z1263" s="8"/>
    </row>
    <row r="1264" spans="1:26" ht="12.75">
      <c r="A1264" s="11">
        <v>43746.459988425922</v>
      </c>
      <c r="B1264" s="12" t="str">
        <f>HYPERLINK("https://twitter.com/AmanAli20839119","@AmanAli20839119")</f>
        <v>@AmanAli20839119</v>
      </c>
      <c r="C1264" s="13" t="s">
        <v>7188</v>
      </c>
      <c r="D1264" s="13" t="s">
        <v>923</v>
      </c>
      <c r="E1264" s="12" t="str">
        <f>HYPERLINK("https://twitter.com/AmanAli20839119/status/1181630935801856000","1181630935801856000")</f>
        <v>1181630935801856000</v>
      </c>
      <c r="F1264" s="8"/>
      <c r="G1264" s="14" t="s">
        <v>7189</v>
      </c>
      <c r="H1264" s="8"/>
      <c r="I1264" s="15">
        <v>0</v>
      </c>
      <c r="J1264" s="15">
        <v>0</v>
      </c>
      <c r="K1264" s="12" t="str">
        <f>HYPERLINK("https://mobile.twitter.com","Twitter Web App")</f>
        <v>Twitter Web App</v>
      </c>
      <c r="L1264" s="16">
        <v>1</v>
      </c>
      <c r="M1264" s="16">
        <v>1</v>
      </c>
      <c r="N1264" s="16">
        <v>0</v>
      </c>
      <c r="O1264" s="17"/>
      <c r="P1264" s="18">
        <v>43724.995034722218</v>
      </c>
      <c r="Q1264" s="7"/>
      <c r="R1264" s="13" t="s">
        <v>1924</v>
      </c>
      <c r="S1264" s="8"/>
      <c r="T1264" s="8"/>
      <c r="U1264" s="19" t="str">
        <f>HYPERLINK("https://pbs.twimg.com/profile_images/1174214402557587457/uOrAHm70.jpg","View")</f>
        <v>View</v>
      </c>
      <c r="V1264" s="8"/>
      <c r="W1264" s="8"/>
      <c r="X1264" s="8"/>
      <c r="Y1264" s="8"/>
      <c r="Z1264" s="8"/>
    </row>
    <row r="1265" spans="1:26" ht="12.75">
      <c r="A1265" s="11">
        <v>43746.459594907406</v>
      </c>
      <c r="B1265" s="12" t="str">
        <f>HYPERLINK("https://twitter.com/Al94Alim","@Al94Alim")</f>
        <v>@Al94Alim</v>
      </c>
      <c r="C1265" s="13" t="s">
        <v>7192</v>
      </c>
      <c r="D1265" s="13" t="s">
        <v>944</v>
      </c>
      <c r="E1265" s="12" t="str">
        <f>HYPERLINK("https://twitter.com/Al94Alim/status/1181630795141668864","1181630795141668864")</f>
        <v>1181630795141668864</v>
      </c>
      <c r="F1265" s="8"/>
      <c r="G1265" s="14" t="s">
        <v>7194</v>
      </c>
      <c r="H1265" s="8"/>
      <c r="I1265" s="15">
        <v>0</v>
      </c>
      <c r="J1265" s="15">
        <v>0</v>
      </c>
      <c r="K1265" s="12" t="str">
        <f>HYPERLINK("https://mobile.twitter.com","Twitter Web App")</f>
        <v>Twitter Web App</v>
      </c>
      <c r="L1265" s="16">
        <v>0</v>
      </c>
      <c r="M1265" s="16">
        <v>3</v>
      </c>
      <c r="N1265" s="16">
        <v>0</v>
      </c>
      <c r="O1265" s="17"/>
      <c r="P1265" s="18">
        <v>43725.174733796295</v>
      </c>
      <c r="Q1265" s="8" t="s">
        <v>1422</v>
      </c>
      <c r="R1265" s="8" t="s">
        <v>1277</v>
      </c>
      <c r="S1265" s="8"/>
      <c r="T1265" s="8"/>
      <c r="U1265" s="19" t="str">
        <f>HYPERLINK("https://pbs.twimg.com/profile_images/1173917444513001472/YD2ETc20.jpg","View")</f>
        <v>View</v>
      </c>
      <c r="V1265" s="8"/>
      <c r="W1265" s="8"/>
      <c r="X1265" s="8"/>
      <c r="Y1265" s="8"/>
      <c r="Z1265" s="8"/>
    </row>
    <row r="1266" spans="1:26" ht="12.75">
      <c r="A1266" s="11">
        <v>43746.458761574075</v>
      </c>
      <c r="B1266" s="12" t="str">
        <f>HYPERLINK("https://twitter.com/mudrikal3","@mudrikal3")</f>
        <v>@mudrikal3</v>
      </c>
      <c r="C1266" s="13" t="s">
        <v>7198</v>
      </c>
      <c r="D1266" s="13" t="s">
        <v>914</v>
      </c>
      <c r="E1266" s="12" t="str">
        <f>HYPERLINK("https://twitter.com/mudrikal3/status/1181630491213975552","1181630491213975552")</f>
        <v>1181630491213975552</v>
      </c>
      <c r="F1266" s="8"/>
      <c r="G1266" s="14" t="s">
        <v>917</v>
      </c>
      <c r="H1266" s="8"/>
      <c r="I1266" s="15">
        <v>0</v>
      </c>
      <c r="J1266" s="15">
        <v>0</v>
      </c>
      <c r="K1266" s="12" t="str">
        <f>HYPERLINK("https://mobile.twitter.com","Twitter Web App")</f>
        <v>Twitter Web App</v>
      </c>
      <c r="L1266" s="16">
        <v>0</v>
      </c>
      <c r="M1266" s="16">
        <v>2</v>
      </c>
      <c r="N1266" s="16">
        <v>0</v>
      </c>
      <c r="O1266" s="17"/>
      <c r="P1266" s="18">
        <v>43739.608437499999</v>
      </c>
      <c r="Q1266" s="8" t="s">
        <v>4714</v>
      </c>
      <c r="R1266" s="8" t="s">
        <v>1110</v>
      </c>
      <c r="S1266" s="8"/>
      <c r="T1266" s="8"/>
      <c r="U1266" s="19" t="str">
        <f>HYPERLINK("https://pbs.twimg.com/profile_images/1179148483715985408/7p93EEQT.jpg","View")</f>
        <v>View</v>
      </c>
      <c r="V1266" s="8"/>
      <c r="W1266" s="8"/>
      <c r="X1266" s="8"/>
      <c r="Y1266" s="8"/>
      <c r="Z1266" s="8"/>
    </row>
    <row r="1267" spans="1:26" ht="12.75">
      <c r="A1267" s="11">
        <v>43746.458472222221</v>
      </c>
      <c r="B1267" s="12" t="str">
        <f>HYPERLINK("https://twitter.com/musaaidal","@musaaidal")</f>
        <v>@musaaidal</v>
      </c>
      <c r="C1267" s="13" t="s">
        <v>7201</v>
      </c>
      <c r="D1267" s="13" t="s">
        <v>923</v>
      </c>
      <c r="E1267" s="12" t="str">
        <f>HYPERLINK("https://twitter.com/musaaidal/status/1181630388818464769","1181630388818464769")</f>
        <v>1181630388818464769</v>
      </c>
      <c r="F1267" s="8"/>
      <c r="G1267" s="14" t="s">
        <v>7203</v>
      </c>
      <c r="H1267" s="8"/>
      <c r="I1267" s="15">
        <v>0</v>
      </c>
      <c r="J1267" s="15">
        <v>0</v>
      </c>
      <c r="K1267" s="12" t="str">
        <f>HYPERLINK("https://mobile.twitter.com","Twitter Web App")</f>
        <v>Twitter Web App</v>
      </c>
      <c r="L1267" s="16">
        <v>0</v>
      </c>
      <c r="M1267" s="16">
        <v>1</v>
      </c>
      <c r="N1267" s="16">
        <v>0</v>
      </c>
      <c r="O1267" s="17"/>
      <c r="P1267" s="18">
        <v>43740.541944444441</v>
      </c>
      <c r="Q1267" s="8" t="s">
        <v>4714</v>
      </c>
      <c r="R1267" s="8" t="s">
        <v>1606</v>
      </c>
      <c r="S1267" s="8"/>
      <c r="T1267" s="8"/>
      <c r="U1267" s="19" t="str">
        <f>HYPERLINK("https://pbs.twimg.com/profile_images/1179531333069983744/llDD2OU1.jpg","View")</f>
        <v>View</v>
      </c>
      <c r="V1267" s="8"/>
      <c r="W1267" s="8"/>
      <c r="X1267" s="8"/>
      <c r="Y1267" s="8"/>
      <c r="Z1267" s="8"/>
    </row>
    <row r="1268" spans="1:26" ht="12.75">
      <c r="A1268" s="11">
        <v>43746.457430555558</v>
      </c>
      <c r="B1268" s="12" t="str">
        <f>HYPERLINK("https://twitter.com/ObaidOhujaily","@ObaidOhujaily")</f>
        <v>@ObaidOhujaily</v>
      </c>
      <c r="C1268" s="13" t="s">
        <v>7207</v>
      </c>
      <c r="D1268" s="13" t="s">
        <v>7208</v>
      </c>
      <c r="E1268" s="12" t="str">
        <f>HYPERLINK("https://twitter.com/ObaidOhujaily/status/1181630010014261249","1181630010014261249")</f>
        <v>1181630010014261249</v>
      </c>
      <c r="F1268" s="8"/>
      <c r="G1268" s="14" t="s">
        <v>7209</v>
      </c>
      <c r="H1268" s="8"/>
      <c r="I1268" s="15">
        <v>0</v>
      </c>
      <c r="J1268" s="15">
        <v>0</v>
      </c>
      <c r="K1268" s="12" t="str">
        <f>HYPERLINK("http://twitter.com","Twitter Web Client")</f>
        <v>Twitter Web Client</v>
      </c>
      <c r="L1268" s="16">
        <v>7</v>
      </c>
      <c r="M1268" s="16">
        <v>42</v>
      </c>
      <c r="N1268" s="16">
        <v>0</v>
      </c>
      <c r="O1268" s="17"/>
      <c r="P1268" s="18">
        <v>42072.175196759257</v>
      </c>
      <c r="Q1268" s="8"/>
      <c r="R1268" s="8"/>
      <c r="S1268" s="8"/>
      <c r="T1268" s="8"/>
      <c r="U1268" s="19" t="str">
        <f>HYPERLINK("https://pbs.twimg.com/profile_images/574891900768931841/uoF85oYd.jpeg","View")</f>
        <v>View</v>
      </c>
      <c r="V1268" s="8"/>
      <c r="W1268" s="8"/>
      <c r="X1268" s="8"/>
      <c r="Y1268" s="8"/>
      <c r="Z1268" s="8"/>
    </row>
    <row r="1269" spans="1:26" ht="12.75">
      <c r="A1269" s="11">
        <v>43746.457083333335</v>
      </c>
      <c r="B1269" s="12" t="str">
        <f>HYPERLINK("https://twitter.com/NaqiAli02742462","@NaqiAli02742462")</f>
        <v>@NaqiAli02742462</v>
      </c>
      <c r="C1269" s="13" t="s">
        <v>7215</v>
      </c>
      <c r="D1269" s="13" t="s">
        <v>952</v>
      </c>
      <c r="E1269" s="12" t="str">
        <f>HYPERLINK("https://twitter.com/NaqiAli02742462/status/1181629885313241088","1181629885313241088")</f>
        <v>1181629885313241088</v>
      </c>
      <c r="F1269" s="8"/>
      <c r="G1269" s="14" t="s">
        <v>7216</v>
      </c>
      <c r="H1269" s="8"/>
      <c r="I1269" s="15">
        <v>0</v>
      </c>
      <c r="J1269" s="15">
        <v>0</v>
      </c>
      <c r="K1269" s="12" t="str">
        <f>HYPERLINK("https://mobile.twitter.com","Twitter Web App")</f>
        <v>Twitter Web App</v>
      </c>
      <c r="L1269" s="16">
        <v>0</v>
      </c>
      <c r="M1269" s="16">
        <v>1</v>
      </c>
      <c r="N1269" s="16">
        <v>0</v>
      </c>
      <c r="O1269" s="17"/>
      <c r="P1269" s="18">
        <v>43725.930254629631</v>
      </c>
      <c r="Q1269" s="7"/>
      <c r="R1269" s="13" t="s">
        <v>925</v>
      </c>
      <c r="S1269" s="8"/>
      <c r="T1269" s="8"/>
      <c r="U1269" s="19" t="str">
        <f>HYPERLINK("https://pbs.twimg.com/profile_images/1174214100437676032/--q3yo82.jpg","View")</f>
        <v>View</v>
      </c>
      <c r="V1269" s="8"/>
      <c r="W1269" s="8"/>
      <c r="X1269" s="8"/>
      <c r="Y1269" s="8"/>
      <c r="Z1269" s="8"/>
    </row>
    <row r="1270" spans="1:26" ht="12.75">
      <c r="A1270" s="11">
        <v>43746.45585648148</v>
      </c>
      <c r="B1270" s="12" t="str">
        <f>HYPERLINK("https://twitter.com/mansoorel1","@mansoorel1")</f>
        <v>@mansoorel1</v>
      </c>
      <c r="C1270" s="13" t="s">
        <v>7220</v>
      </c>
      <c r="D1270" s="13" t="s">
        <v>937</v>
      </c>
      <c r="E1270" s="12" t="str">
        <f>HYPERLINK("https://twitter.com/mansoorel1/status/1181629437101498368","1181629437101498368")</f>
        <v>1181629437101498368</v>
      </c>
      <c r="F1270" s="8"/>
      <c r="G1270" s="14" t="s">
        <v>7221</v>
      </c>
      <c r="H1270" s="8"/>
      <c r="I1270" s="15">
        <v>0</v>
      </c>
      <c r="J1270" s="15">
        <v>0</v>
      </c>
      <c r="K1270" s="12" t="str">
        <f>HYPERLINK("https://mobile.twitter.com","Twitter Web App")</f>
        <v>Twitter Web App</v>
      </c>
      <c r="L1270" s="16">
        <v>0</v>
      </c>
      <c r="M1270" s="16">
        <v>1</v>
      </c>
      <c r="N1270" s="16">
        <v>0</v>
      </c>
      <c r="O1270" s="17"/>
      <c r="P1270" s="18">
        <v>43740.537476851852</v>
      </c>
      <c r="Q1270" s="8" t="s">
        <v>4714</v>
      </c>
      <c r="R1270" s="8" t="s">
        <v>1075</v>
      </c>
      <c r="S1270" s="8"/>
      <c r="T1270" s="8"/>
      <c r="U1270" s="19" t="str">
        <f>HYPERLINK("https://pbs.twimg.com/profile_images/1179527395600023553/5u-QekHp.jpg","View")</f>
        <v>View</v>
      </c>
      <c r="V1270" s="8"/>
      <c r="W1270" s="8"/>
      <c r="X1270" s="8"/>
      <c r="Y1270" s="8"/>
      <c r="Z1270" s="8"/>
    </row>
    <row r="1271" spans="1:26" ht="12.75">
      <c r="A1271" s="11">
        <v>43746.455625000002</v>
      </c>
      <c r="B1271" s="12" t="str">
        <f>HYPERLINK("https://twitter.com/elmatar_rr","@elmatar_rr")</f>
        <v>@elmatar_rr</v>
      </c>
      <c r="C1271" s="13" t="s">
        <v>7223</v>
      </c>
      <c r="D1271" s="13" t="s">
        <v>2461</v>
      </c>
      <c r="E1271" s="12" t="str">
        <f>HYPERLINK("https://twitter.com/elmatar_rr/status/1181629356277456896","1181629356277456896")</f>
        <v>1181629356277456896</v>
      </c>
      <c r="F1271" s="8"/>
      <c r="G1271" s="14" t="s">
        <v>7226</v>
      </c>
      <c r="H1271" s="8"/>
      <c r="I1271" s="15">
        <v>0</v>
      </c>
      <c r="J1271" s="15">
        <v>0</v>
      </c>
      <c r="K1271" s="12" t="str">
        <f>HYPERLINK("http://twitter.com","Twitter Web Client")</f>
        <v>Twitter Web Client</v>
      </c>
      <c r="L1271" s="16">
        <v>12</v>
      </c>
      <c r="M1271" s="16">
        <v>38</v>
      </c>
      <c r="N1271" s="16">
        <v>0</v>
      </c>
      <c r="O1271" s="17"/>
      <c r="P1271" s="18">
        <v>42072.286168981482</v>
      </c>
      <c r="Q1271" s="8"/>
      <c r="R1271" s="8"/>
      <c r="S1271" s="8"/>
      <c r="T1271" s="8"/>
      <c r="U1271" s="19" t="str">
        <f>HYPERLINK("https://pbs.twimg.com/profile_images/574930781849583617/_eAEa1SQ.jpeg","View")</f>
        <v>View</v>
      </c>
      <c r="V1271" s="8"/>
      <c r="W1271" s="8"/>
      <c r="X1271" s="8"/>
      <c r="Y1271" s="8"/>
      <c r="Z1271" s="8"/>
    </row>
    <row r="1272" spans="1:26" ht="12.75">
      <c r="A1272" s="11">
        <v>43746.454710648148</v>
      </c>
      <c r="B1272" s="12" t="str">
        <f>HYPERLINK("https://twitter.com/salsabeelzoher","@salsabeelzoher")</f>
        <v>@salsabeelzoher</v>
      </c>
      <c r="C1272" s="13" t="s">
        <v>7229</v>
      </c>
      <c r="D1272" s="13" t="s">
        <v>7230</v>
      </c>
      <c r="E1272" s="12" t="str">
        <f>HYPERLINK("https://twitter.com/salsabeelzoher/status/1181629025397149696","1181629025397149696")</f>
        <v>1181629025397149696</v>
      </c>
      <c r="F1272" s="8"/>
      <c r="G1272" s="14" t="s">
        <v>7231</v>
      </c>
      <c r="H1272" s="8"/>
      <c r="I1272" s="15">
        <v>0</v>
      </c>
      <c r="J1272" s="15">
        <v>0</v>
      </c>
      <c r="K1272" s="12" t="str">
        <f>HYPERLINK("http://twitter.com","Twitter Web Client")</f>
        <v>Twitter Web Client</v>
      </c>
      <c r="L1272" s="16">
        <v>0</v>
      </c>
      <c r="M1272" s="16">
        <v>32</v>
      </c>
      <c r="N1272" s="16">
        <v>0</v>
      </c>
      <c r="O1272" s="17"/>
      <c r="P1272" s="18">
        <v>41823.414629629631</v>
      </c>
      <c r="Q1272" s="8"/>
      <c r="R1272" s="8"/>
      <c r="S1272" s="8"/>
      <c r="T1272" s="8"/>
      <c r="U1272" s="19" t="str">
        <f>HYPERLINK("https://pbs.twimg.com/profile_images/484742839062908931/GHdHGU58.jpeg","View")</f>
        <v>View</v>
      </c>
      <c r="V1272" s="8"/>
      <c r="W1272" s="8"/>
      <c r="X1272" s="8"/>
      <c r="Y1272" s="8"/>
      <c r="Z1272" s="8"/>
    </row>
    <row r="1273" spans="1:26" ht="12.75">
      <c r="A1273" s="11">
        <v>43746.454594907409</v>
      </c>
      <c r="B1273" s="12" t="str">
        <f>HYPERLINK("https://twitter.com/dhareefal","@dhareefal")</f>
        <v>@dhareefal</v>
      </c>
      <c r="C1273" s="13" t="s">
        <v>7237</v>
      </c>
      <c r="D1273" s="13" t="s">
        <v>28</v>
      </c>
      <c r="E1273" s="12" t="str">
        <f>HYPERLINK("https://twitter.com/dhareefal/status/1181628979905564673","1181628979905564673")</f>
        <v>1181628979905564673</v>
      </c>
      <c r="F1273" s="8"/>
      <c r="G1273" s="14" t="s">
        <v>31</v>
      </c>
      <c r="H1273" s="8"/>
      <c r="I1273" s="15">
        <v>0</v>
      </c>
      <c r="J1273" s="15">
        <v>0</v>
      </c>
      <c r="K1273" s="12" t="str">
        <f>HYPERLINK("http://twitter.com","Twitter Web Client")</f>
        <v>Twitter Web Client</v>
      </c>
      <c r="L1273" s="16">
        <v>0</v>
      </c>
      <c r="M1273" s="16">
        <v>2</v>
      </c>
      <c r="N1273" s="16">
        <v>0</v>
      </c>
      <c r="O1273" s="17"/>
      <c r="P1273" s="18">
        <v>43739.587384259255</v>
      </c>
      <c r="Q1273" s="8" t="s">
        <v>4714</v>
      </c>
      <c r="R1273" s="8" t="s">
        <v>1258</v>
      </c>
      <c r="S1273" s="8"/>
      <c r="T1273" s="8"/>
      <c r="U1273" s="19" t="str">
        <f>HYPERLINK("https://pbs.twimg.com/profile_images/1179141097399865344/kEFSJmSf.png","View")</f>
        <v>View</v>
      </c>
      <c r="V1273" s="8"/>
      <c r="W1273" s="8"/>
      <c r="X1273" s="8"/>
      <c r="Y1273" s="8"/>
      <c r="Z1273" s="8"/>
    </row>
    <row r="1274" spans="1:26" ht="12.75">
      <c r="A1274" s="11">
        <v>43746.454583333332</v>
      </c>
      <c r="B1274" s="12" t="str">
        <f>HYPERLINK("https://twitter.com/AlarenyHamoud","@AlarenyHamoud")</f>
        <v>@AlarenyHamoud</v>
      </c>
      <c r="C1274" s="13" t="s">
        <v>7241</v>
      </c>
      <c r="D1274" s="13" t="s">
        <v>4120</v>
      </c>
      <c r="E1274" s="12" t="str">
        <f>HYPERLINK("https://twitter.com/AlarenyHamoud/status/1181628978110615552","1181628978110615552")</f>
        <v>1181628978110615552</v>
      </c>
      <c r="F1274" s="8"/>
      <c r="G1274" s="14" t="s">
        <v>7242</v>
      </c>
      <c r="H1274" s="8"/>
      <c r="I1274" s="15">
        <v>0</v>
      </c>
      <c r="J1274" s="15">
        <v>0</v>
      </c>
      <c r="K1274" s="12" t="str">
        <f>HYPERLINK("http://twitter.com","Twitter Web Client")</f>
        <v>Twitter Web Client</v>
      </c>
      <c r="L1274" s="16">
        <v>6</v>
      </c>
      <c r="M1274" s="16">
        <v>39</v>
      </c>
      <c r="N1274" s="16">
        <v>0</v>
      </c>
      <c r="O1274" s="17"/>
      <c r="P1274" s="18">
        <v>42071.198842592596</v>
      </c>
      <c r="Q1274" s="8"/>
      <c r="R1274" s="8"/>
      <c r="S1274" s="8"/>
      <c r="T1274" s="8"/>
      <c r="U1274" s="19" t="str">
        <f>HYPERLINK("https://pbs.twimg.com/profile_images/574557518375989248/l17vwv_R.jpeg","View")</f>
        <v>View</v>
      </c>
      <c r="V1274" s="8"/>
      <c r="W1274" s="8"/>
      <c r="X1274" s="8"/>
      <c r="Y1274" s="8"/>
      <c r="Z1274" s="8"/>
    </row>
    <row r="1275" spans="1:26" ht="12.75">
      <c r="A1275" s="11">
        <v>43746.454189814816</v>
      </c>
      <c r="B1275" s="12" t="str">
        <f>HYPERLINK("https://twitter.com/mohammedotain","@mohammedotain")</f>
        <v>@mohammedotain</v>
      </c>
      <c r="C1275" s="13" t="s">
        <v>7245</v>
      </c>
      <c r="D1275" s="13" t="s">
        <v>7247</v>
      </c>
      <c r="E1275" s="12" t="str">
        <f>HYPERLINK("https://twitter.com/mohammedotain/status/1181628836884226049","1181628836884226049")</f>
        <v>1181628836884226049</v>
      </c>
      <c r="F1275" s="8"/>
      <c r="G1275" s="14" t="s">
        <v>7248</v>
      </c>
      <c r="H1275" s="8"/>
      <c r="I1275" s="15">
        <v>0</v>
      </c>
      <c r="J1275" s="15">
        <v>0</v>
      </c>
      <c r="K1275" s="12" t="str">
        <f>HYPERLINK("http://twitter.com","Twitter Web Client")</f>
        <v>Twitter Web Client</v>
      </c>
      <c r="L1275" s="16">
        <v>1</v>
      </c>
      <c r="M1275" s="16">
        <v>42</v>
      </c>
      <c r="N1275" s="16">
        <v>0</v>
      </c>
      <c r="O1275" s="17"/>
      <c r="P1275" s="18">
        <v>42071.546331018515</v>
      </c>
      <c r="Q1275" s="8"/>
      <c r="R1275" s="8"/>
      <c r="S1275" s="8"/>
      <c r="T1275" s="8"/>
      <c r="U1275" s="19" t="str">
        <f>HYPERLINK("https://pbs.twimg.com/profile_images/574662765593284608/jgM0jgxn.jpeg","View")</f>
        <v>View</v>
      </c>
      <c r="V1275" s="8"/>
      <c r="W1275" s="8"/>
      <c r="X1275" s="8"/>
      <c r="Y1275" s="8"/>
      <c r="Z1275" s="8"/>
    </row>
    <row r="1276" spans="1:26" ht="12.75">
      <c r="A1276" s="11">
        <v>43746.453657407408</v>
      </c>
      <c r="B1276" s="12" t="str">
        <f>HYPERLINK("https://twitter.com/nasserthunayya3","@nasserthunayya3")</f>
        <v>@nasserthunayya3</v>
      </c>
      <c r="C1276" s="13" t="s">
        <v>7250</v>
      </c>
      <c r="D1276" s="13" t="s">
        <v>7251</v>
      </c>
      <c r="E1276" s="12" t="str">
        <f>HYPERLINK("https://twitter.com/nasserthunayya3/status/1181628640792064002","1181628640792064002")</f>
        <v>1181628640792064002</v>
      </c>
      <c r="F1276" s="8"/>
      <c r="G1276" s="14" t="s">
        <v>7252</v>
      </c>
      <c r="H1276" s="8"/>
      <c r="I1276" s="15">
        <v>0</v>
      </c>
      <c r="J1276" s="15">
        <v>0</v>
      </c>
      <c r="K1276" s="12" t="str">
        <f>HYPERLINK("http://twitter.com","Twitter Web Client")</f>
        <v>Twitter Web Client</v>
      </c>
      <c r="L1276" s="16">
        <v>0</v>
      </c>
      <c r="M1276" s="16">
        <v>40</v>
      </c>
      <c r="N1276" s="16">
        <v>0</v>
      </c>
      <c r="O1276" s="17"/>
      <c r="P1276" s="18">
        <v>42023.133645833332</v>
      </c>
      <c r="Q1276" s="7"/>
      <c r="R1276" s="13"/>
      <c r="S1276" s="8"/>
      <c r="T1276" s="8"/>
      <c r="U1276" s="19" t="str">
        <f>HYPERLINK("https://pbs.twimg.com/profile_images/557134428833447936/TA9s0Y1R.jpeg","View")</f>
        <v>View</v>
      </c>
      <c r="V1276" s="8"/>
      <c r="W1276" s="8"/>
      <c r="X1276" s="8"/>
      <c r="Y1276" s="8"/>
      <c r="Z1276" s="8"/>
    </row>
    <row r="1277" spans="1:26" ht="12.75">
      <c r="A1277" s="11">
        <v>43746.453530092593</v>
      </c>
      <c r="B1277" s="12" t="str">
        <f>HYPERLINK("https://twitter.com/AlharithKhalied","@AlharithKhalied")</f>
        <v>@AlharithKhalied</v>
      </c>
      <c r="C1277" s="13" t="s">
        <v>7256</v>
      </c>
      <c r="D1277" s="13" t="s">
        <v>7258</v>
      </c>
      <c r="E1277" s="12" t="str">
        <f>HYPERLINK("https://twitter.com/AlharithKhalied/status/1181628596055691265","1181628596055691265")</f>
        <v>1181628596055691265</v>
      </c>
      <c r="F1277" s="8"/>
      <c r="G1277" s="14" t="s">
        <v>7261</v>
      </c>
      <c r="H1277" s="8"/>
      <c r="I1277" s="15">
        <v>0</v>
      </c>
      <c r="J1277" s="15">
        <v>0</v>
      </c>
      <c r="K1277" s="12" t="str">
        <f>HYPERLINK("http://twitter.com","Twitter Web Client")</f>
        <v>Twitter Web Client</v>
      </c>
      <c r="L1277" s="16">
        <v>4</v>
      </c>
      <c r="M1277" s="16">
        <v>41</v>
      </c>
      <c r="N1277" s="16">
        <v>0</v>
      </c>
      <c r="O1277" s="17"/>
      <c r="P1277" s="18">
        <v>42074.237511574072</v>
      </c>
      <c r="Q1277" s="7"/>
      <c r="R1277" s="13"/>
      <c r="S1277" s="8"/>
      <c r="T1277" s="8"/>
      <c r="U1277" s="19" t="str">
        <f>HYPERLINK("https://pbs.twimg.com/profile_images/575667307067801601/r7sCwMB9.jpeg","View")</f>
        <v>View</v>
      </c>
      <c r="V1277" s="8"/>
      <c r="W1277" s="8"/>
      <c r="X1277" s="8"/>
      <c r="Y1277" s="8"/>
      <c r="Z1277" s="8"/>
    </row>
    <row r="1278" spans="1:26" ht="12.75">
      <c r="A1278" s="11">
        <v>43746.453252314815</v>
      </c>
      <c r="B1278" s="12" t="str">
        <f>HYPERLINK("https://twitter.com/akifakeem","@akifakeem")</f>
        <v>@akifakeem</v>
      </c>
      <c r="C1278" s="13" t="s">
        <v>7262</v>
      </c>
      <c r="D1278" s="13" t="s">
        <v>1178</v>
      </c>
      <c r="E1278" s="12" t="str">
        <f>HYPERLINK("https://twitter.com/akifakeem/status/1181628493513183232","1181628493513183232")</f>
        <v>1181628493513183232</v>
      </c>
      <c r="F1278" s="8"/>
      <c r="G1278" s="14" t="s">
        <v>7263</v>
      </c>
      <c r="H1278" s="8"/>
      <c r="I1278" s="15">
        <v>0</v>
      </c>
      <c r="J1278" s="15">
        <v>0</v>
      </c>
      <c r="K1278" s="12" t="str">
        <f>HYPERLINK("https://mobile.twitter.com","Twitter Web App")</f>
        <v>Twitter Web App</v>
      </c>
      <c r="L1278" s="16">
        <v>1</v>
      </c>
      <c r="M1278" s="16">
        <v>1</v>
      </c>
      <c r="N1278" s="16">
        <v>0</v>
      </c>
      <c r="O1278" s="17"/>
      <c r="P1278" s="18">
        <v>43725.154965277776</v>
      </c>
      <c r="Q1278" s="8" t="s">
        <v>1379</v>
      </c>
      <c r="R1278" s="8" t="s">
        <v>1455</v>
      </c>
      <c r="S1278" s="8"/>
      <c r="T1278" s="8"/>
      <c r="U1278" s="19" t="str">
        <f>HYPERLINK("https://pbs.twimg.com/profile_images/1174213751270191105/ALmlg9mW.jpg","View")</f>
        <v>View</v>
      </c>
      <c r="V1278" s="8"/>
      <c r="W1278" s="8"/>
      <c r="X1278" s="8"/>
      <c r="Y1278" s="8"/>
      <c r="Z1278" s="8"/>
    </row>
    <row r="1279" spans="1:26" ht="12.75">
      <c r="A1279" s="11">
        <v>43746.453148148154</v>
      </c>
      <c r="B1279" s="12" t="str">
        <f>HYPERLINK("https://twitter.com/AlnahdiKhames","@AlnahdiKhames")</f>
        <v>@AlnahdiKhames</v>
      </c>
      <c r="C1279" s="13" t="s">
        <v>7264</v>
      </c>
      <c r="D1279" s="13" t="s">
        <v>7265</v>
      </c>
      <c r="E1279" s="12" t="str">
        <f>HYPERLINK("https://twitter.com/AlnahdiKhames/status/1181628458662842368","1181628458662842368")</f>
        <v>1181628458662842368</v>
      </c>
      <c r="F1279" s="8"/>
      <c r="G1279" s="14" t="s">
        <v>7268</v>
      </c>
      <c r="H1279" s="8"/>
      <c r="I1279" s="15">
        <v>0</v>
      </c>
      <c r="J1279" s="15">
        <v>0</v>
      </c>
      <c r="K1279" s="12" t="str">
        <f>HYPERLINK("http://twitter.com","Twitter Web Client")</f>
        <v>Twitter Web Client</v>
      </c>
      <c r="L1279" s="16">
        <v>3</v>
      </c>
      <c r="M1279" s="16">
        <v>41</v>
      </c>
      <c r="N1279" s="16">
        <v>0</v>
      </c>
      <c r="O1279" s="17"/>
      <c r="P1279" s="18">
        <v>42074.235347222224</v>
      </c>
      <c r="Q1279" s="8"/>
      <c r="R1279" s="8"/>
      <c r="S1279" s="8"/>
      <c r="T1279" s="8"/>
      <c r="U1279" s="19" t="str">
        <f>HYPERLINK("https://pbs.twimg.com/profile_images/575667486818861056/QrEdXXip.png","View")</f>
        <v>View</v>
      </c>
      <c r="V1279" s="8"/>
      <c r="W1279" s="8"/>
      <c r="X1279" s="8"/>
      <c r="Y1279" s="8"/>
      <c r="Z1279" s="8"/>
    </row>
    <row r="1280" spans="1:26" ht="12.75">
      <c r="A1280" s="11">
        <v>43746.453043981484</v>
      </c>
      <c r="B1280" s="12" t="str">
        <f>HYPERLINK("https://twitter.com/Al27Abdul","@Al27Abdul")</f>
        <v>@Al27Abdul</v>
      </c>
      <c r="C1280" s="13" t="s">
        <v>7270</v>
      </c>
      <c r="D1280" s="13" t="s">
        <v>1030</v>
      </c>
      <c r="E1280" s="12" t="str">
        <f>HYPERLINK("https://twitter.com/Al27Abdul/status/1181628419462713344","1181628419462713344")</f>
        <v>1181628419462713344</v>
      </c>
      <c r="F1280" s="8"/>
      <c r="G1280" s="14" t="s">
        <v>7271</v>
      </c>
      <c r="H1280" s="8"/>
      <c r="I1280" s="15">
        <v>0</v>
      </c>
      <c r="J1280" s="15">
        <v>0</v>
      </c>
      <c r="K1280" s="12" t="str">
        <f>HYPERLINK("https://mobile.twitter.com","Twitter Web App")</f>
        <v>Twitter Web App</v>
      </c>
      <c r="L1280" s="16">
        <v>0</v>
      </c>
      <c r="M1280" s="16">
        <v>1</v>
      </c>
      <c r="N1280" s="16">
        <v>0</v>
      </c>
      <c r="O1280" s="17"/>
      <c r="P1280" s="18">
        <v>43729.012650462959</v>
      </c>
      <c r="Q1280" s="8" t="s">
        <v>1328</v>
      </c>
      <c r="R1280" s="8" t="s">
        <v>955</v>
      </c>
      <c r="S1280" s="8"/>
      <c r="T1280" s="8"/>
      <c r="U1280" s="19" t="str">
        <f>HYPERLINK("https://pbs.twimg.com/profile_images/1176372445747376128/lgjG1N2_.jpg","View")</f>
        <v>View</v>
      </c>
      <c r="V1280" s="8"/>
      <c r="W1280" s="8"/>
      <c r="X1280" s="8"/>
      <c r="Y1280" s="8"/>
      <c r="Z1280" s="8"/>
    </row>
    <row r="1281" spans="1:26" ht="12.75">
      <c r="A1281" s="11">
        <v>43746.452731481477</v>
      </c>
      <c r="B1281" s="12" t="str">
        <f>HYPERLINK("https://twitter.com/AlazmaFalah","@AlazmaFalah")</f>
        <v>@AlazmaFalah</v>
      </c>
      <c r="C1281" s="13" t="s">
        <v>7272</v>
      </c>
      <c r="D1281" s="13" t="s">
        <v>4138</v>
      </c>
      <c r="E1281" s="12" t="str">
        <f>HYPERLINK("https://twitter.com/AlazmaFalah/status/1181628306929721345","1181628306929721345")</f>
        <v>1181628306929721345</v>
      </c>
      <c r="F1281" s="8"/>
      <c r="G1281" s="14" t="s">
        <v>7273</v>
      </c>
      <c r="H1281" s="8"/>
      <c r="I1281" s="15">
        <v>0</v>
      </c>
      <c r="J1281" s="15">
        <v>0</v>
      </c>
      <c r="K1281" s="12" t="str">
        <f>HYPERLINK("http://twitter.com","Twitter Web Client")</f>
        <v>Twitter Web Client</v>
      </c>
      <c r="L1281" s="16">
        <v>4</v>
      </c>
      <c r="M1281" s="16">
        <v>40</v>
      </c>
      <c r="N1281" s="16">
        <v>0</v>
      </c>
      <c r="O1281" s="17"/>
      <c r="P1281" s="18">
        <v>42071.196481481486</v>
      </c>
      <c r="Q1281" s="8"/>
      <c r="R1281" s="8"/>
      <c r="S1281" s="8"/>
      <c r="T1281" s="8"/>
      <c r="U1281" s="19" t="str">
        <f>HYPERLINK("https://pbs.twimg.com/profile_images/574557689818152962/P7BTZ5m5.jpeg","View")</f>
        <v>View</v>
      </c>
      <c r="V1281" s="8"/>
      <c r="W1281" s="8"/>
      <c r="X1281" s="8"/>
      <c r="Y1281" s="8"/>
      <c r="Z1281" s="8"/>
    </row>
    <row r="1282" spans="1:26" ht="12.75">
      <c r="A1282" s="11">
        <v>43746.451817129629</v>
      </c>
      <c r="B1282" s="12" t="str">
        <f>HYPERLINK("https://twitter.com/alialhilali11","@alialhilali11")</f>
        <v>@alialhilali11</v>
      </c>
      <c r="C1282" s="13" t="s">
        <v>7276</v>
      </c>
      <c r="D1282" s="13" t="s">
        <v>7277</v>
      </c>
      <c r="E1282" s="12" t="str">
        <f>HYPERLINK("https://twitter.com/alialhilali11/status/1181627974182981632","1181627974182981632")</f>
        <v>1181627974182981632</v>
      </c>
      <c r="F1282" s="8"/>
      <c r="G1282" s="14" t="s">
        <v>7280</v>
      </c>
      <c r="H1282" s="8"/>
      <c r="I1282" s="15">
        <v>0</v>
      </c>
      <c r="J1282" s="15">
        <v>0</v>
      </c>
      <c r="K1282" s="12" t="str">
        <f>HYPERLINK("http://twitter.com","Twitter Web Client")</f>
        <v>Twitter Web Client</v>
      </c>
      <c r="L1282" s="16">
        <v>1</v>
      </c>
      <c r="M1282" s="16">
        <v>36</v>
      </c>
      <c r="N1282" s="16">
        <v>0</v>
      </c>
      <c r="O1282" s="17"/>
      <c r="P1282" s="18">
        <v>42021.087916666671</v>
      </c>
      <c r="Q1282" s="8"/>
      <c r="R1282" s="8"/>
      <c r="S1282" s="8"/>
      <c r="T1282" s="8"/>
      <c r="U1282" s="19" t="str">
        <f>HYPERLINK("https://pbs.twimg.com/profile_images/556392275928825856/qsEwxqeM.jpeg","View")</f>
        <v>View</v>
      </c>
      <c r="V1282" s="8"/>
      <c r="W1282" s="8"/>
      <c r="X1282" s="8"/>
      <c r="Y1282" s="8"/>
      <c r="Z1282" s="8"/>
    </row>
    <row r="1283" spans="1:26" ht="12.75">
      <c r="A1283" s="11">
        <v>43746.451435185183</v>
      </c>
      <c r="B1283" s="12" t="str">
        <f>HYPERLINK("https://twitter.com/elmakat333","@elmakat333")</f>
        <v>@elmakat333</v>
      </c>
      <c r="C1283" s="13" t="s">
        <v>7282</v>
      </c>
      <c r="D1283" s="13" t="s">
        <v>2527</v>
      </c>
      <c r="E1283" s="12" t="str">
        <f>HYPERLINK("https://twitter.com/elmakat333/status/1181627835779297285","1181627835779297285")</f>
        <v>1181627835779297285</v>
      </c>
      <c r="F1283" s="8"/>
      <c r="G1283" s="14" t="s">
        <v>7284</v>
      </c>
      <c r="H1283" s="8"/>
      <c r="I1283" s="15">
        <v>0</v>
      </c>
      <c r="J1283" s="15">
        <v>0</v>
      </c>
      <c r="K1283" s="12" t="str">
        <f>HYPERLINK("http://twitter.com","Twitter Web Client")</f>
        <v>Twitter Web Client</v>
      </c>
      <c r="L1283" s="16">
        <v>3</v>
      </c>
      <c r="M1283" s="16">
        <v>37</v>
      </c>
      <c r="N1283" s="16">
        <v>0</v>
      </c>
      <c r="O1283" s="17"/>
      <c r="P1283" s="18">
        <v>42076.356631944444</v>
      </c>
      <c r="Q1283" s="7"/>
      <c r="R1283" s="13"/>
      <c r="S1283" s="8"/>
      <c r="T1283" s="8"/>
      <c r="U1283" s="19" t="str">
        <f>HYPERLINK("https://pbs.twimg.com/profile_images/576405897427075072/FRAw8gIP.jpeg","View")</f>
        <v>View</v>
      </c>
      <c r="V1283" s="8"/>
      <c r="W1283" s="8"/>
      <c r="X1283" s="8"/>
      <c r="Y1283" s="8"/>
      <c r="Z1283" s="8"/>
    </row>
    <row r="1284" spans="1:26" ht="12.75">
      <c r="A1284" s="11">
        <v>43746.450787037036</v>
      </c>
      <c r="B1284" s="12" t="str">
        <f>HYPERLINK("https://twitter.com/daifel4","@daifel4")</f>
        <v>@daifel4</v>
      </c>
      <c r="C1284" s="13" t="s">
        <v>7287</v>
      </c>
      <c r="D1284" s="7" t="s">
        <v>952</v>
      </c>
      <c r="E1284" s="12" t="str">
        <f>HYPERLINK("https://twitter.com/daifel4/status/1181627602735222784","1181627602735222784")</f>
        <v>1181627602735222784</v>
      </c>
      <c r="F1284" s="8"/>
      <c r="G1284" s="14" t="s">
        <v>7290</v>
      </c>
      <c r="H1284" s="8"/>
      <c r="I1284" s="15">
        <v>0</v>
      </c>
      <c r="J1284" s="15">
        <v>0</v>
      </c>
      <c r="K1284" s="12" t="str">
        <f>HYPERLINK("https://mobile.twitter.com","Twitter Web App")</f>
        <v>Twitter Web App</v>
      </c>
      <c r="L1284" s="16">
        <v>0</v>
      </c>
      <c r="M1284" s="16">
        <v>1</v>
      </c>
      <c r="N1284" s="16">
        <v>0</v>
      </c>
      <c r="O1284" s="17"/>
      <c r="P1284" s="18">
        <v>43740.533553240741</v>
      </c>
      <c r="Q1284" s="7" t="s">
        <v>4714</v>
      </c>
      <c r="R1284" s="13" t="s">
        <v>1258</v>
      </c>
      <c r="S1284" s="8"/>
      <c r="T1284" s="8"/>
      <c r="U1284" s="19" t="str">
        <f>HYPERLINK("https://pbs.twimg.com/profile_images/1179522290804908032/bRzMCfnv.jpg","View")</f>
        <v>View</v>
      </c>
      <c r="V1284" s="8"/>
      <c r="W1284" s="8"/>
      <c r="X1284" s="8"/>
      <c r="Y1284" s="8"/>
      <c r="Z1284" s="8"/>
    </row>
    <row r="1285" spans="1:26" ht="12.75">
      <c r="A1285" s="11">
        <v>43746.45076388889</v>
      </c>
      <c r="B1285" s="12" t="str">
        <f>HYPERLINK("https://twitter.com/marzouqalshamm5","@marzouqalshamm5")</f>
        <v>@marzouqalshamm5</v>
      </c>
      <c r="C1285" s="13" t="s">
        <v>7294</v>
      </c>
      <c r="D1285" s="13" t="s">
        <v>2536</v>
      </c>
      <c r="E1285" s="12" t="str">
        <f>HYPERLINK("https://twitter.com/marzouqalshamm5/status/1181627594434891776","1181627594434891776")</f>
        <v>1181627594434891776</v>
      </c>
      <c r="F1285" s="8"/>
      <c r="G1285" s="14" t="s">
        <v>7295</v>
      </c>
      <c r="H1285" s="8"/>
      <c r="I1285" s="15">
        <v>0</v>
      </c>
      <c r="J1285" s="15">
        <v>0</v>
      </c>
      <c r="K1285" s="12" t="str">
        <f>HYPERLINK("http://twitter.com","Twitter Web Client")</f>
        <v>Twitter Web Client</v>
      </c>
      <c r="L1285" s="16">
        <v>5</v>
      </c>
      <c r="M1285" s="16">
        <v>42</v>
      </c>
      <c r="N1285" s="16">
        <v>0</v>
      </c>
      <c r="O1285" s="17"/>
      <c r="P1285" s="18">
        <v>42072.08865740741</v>
      </c>
      <c r="Q1285" s="8"/>
      <c r="R1285" s="8"/>
      <c r="S1285" s="8"/>
      <c r="T1285" s="8"/>
      <c r="U1285" s="19" t="str">
        <f>HYPERLINK("https://pbs.twimg.com/profile_images/574859330907828225/cT_fLNS4.jpeg","View")</f>
        <v>View</v>
      </c>
      <c r="V1285" s="8"/>
      <c r="W1285" s="8"/>
      <c r="X1285" s="8"/>
      <c r="Y1285" s="8"/>
      <c r="Z1285" s="8"/>
    </row>
    <row r="1286" spans="1:26" ht="12.75">
      <c r="A1286" s="11">
        <v>43746.449803240743</v>
      </c>
      <c r="B1286" s="12" t="str">
        <f>HYPERLINK("https://twitter.com/ahmedra81768661","@ahmedra81768661")</f>
        <v>@ahmedra81768661</v>
      </c>
      <c r="C1286" s="13" t="s">
        <v>7300</v>
      </c>
      <c r="D1286" s="13" t="s">
        <v>7301</v>
      </c>
      <c r="E1286" s="12" t="str">
        <f>HYPERLINK("https://twitter.com/ahmedra81768661/status/1181627246211153921","1181627246211153921")</f>
        <v>1181627246211153921</v>
      </c>
      <c r="F1286" s="8"/>
      <c r="G1286" s="14" t="s">
        <v>7302</v>
      </c>
      <c r="H1286" s="8"/>
      <c r="I1286" s="15">
        <v>0</v>
      </c>
      <c r="J1286" s="15">
        <v>0</v>
      </c>
      <c r="K1286" s="12" t="str">
        <f>HYPERLINK("http://twitter.com","Twitter Web Client")</f>
        <v>Twitter Web Client</v>
      </c>
      <c r="L1286" s="16">
        <v>11</v>
      </c>
      <c r="M1286" s="16">
        <v>36</v>
      </c>
      <c r="N1286" s="16">
        <v>0</v>
      </c>
      <c r="O1286" s="17"/>
      <c r="P1286" s="18">
        <v>42068.397488425922</v>
      </c>
      <c r="Q1286" s="8"/>
      <c r="R1286" s="8"/>
      <c r="S1286" s="8"/>
      <c r="T1286" s="8"/>
      <c r="U1286" s="19" t="str">
        <f>HYPERLINK("https://pbs.twimg.com/profile_images/573536865745162241/r1GYCPxg.jpeg","View")</f>
        <v>View</v>
      </c>
      <c r="V1286" s="8"/>
      <c r="W1286" s="8"/>
      <c r="X1286" s="8"/>
      <c r="Y1286" s="8"/>
      <c r="Z1286" s="8"/>
    </row>
    <row r="1287" spans="1:26" ht="12.75">
      <c r="A1287" s="11">
        <v>43746.448865740742</v>
      </c>
      <c r="B1287" s="12" t="str">
        <f>HYPERLINK("https://twitter.com/Elmsarwa78Hmoud","@Elmsarwa78Hmoud")</f>
        <v>@Elmsarwa78Hmoud</v>
      </c>
      <c r="C1287" s="13" t="s">
        <v>7304</v>
      </c>
      <c r="D1287" s="13" t="s">
        <v>7305</v>
      </c>
      <c r="E1287" s="12" t="str">
        <f>HYPERLINK("https://twitter.com/Elmsarwa78Hmoud/status/1181626905830838274","1181626905830838274")</f>
        <v>1181626905830838274</v>
      </c>
      <c r="F1287" s="8"/>
      <c r="G1287" s="14" t="s">
        <v>7306</v>
      </c>
      <c r="H1287" s="8"/>
      <c r="I1287" s="15">
        <v>0</v>
      </c>
      <c r="J1287" s="15">
        <v>0</v>
      </c>
      <c r="K1287" s="12" t="str">
        <f>HYPERLINK("http://twitter.com","Twitter Web Client")</f>
        <v>Twitter Web Client</v>
      </c>
      <c r="L1287" s="16">
        <v>0</v>
      </c>
      <c r="M1287" s="16">
        <v>43</v>
      </c>
      <c r="N1287" s="16">
        <v>0</v>
      </c>
      <c r="O1287" s="17"/>
      <c r="P1287" s="18">
        <v>42527.026678240742</v>
      </c>
      <c r="Q1287" s="8"/>
      <c r="R1287" s="8" t="s">
        <v>7307</v>
      </c>
      <c r="S1287" s="8"/>
      <c r="T1287" s="8"/>
      <c r="U1287" s="19" t="str">
        <f>HYPERLINK("https://pbs.twimg.com/profile_images/739723314000715776/JIskQIZe.jpg","View")</f>
        <v>View</v>
      </c>
      <c r="V1287" s="8"/>
      <c r="W1287" s="8"/>
      <c r="X1287" s="8"/>
      <c r="Y1287" s="8"/>
      <c r="Z1287" s="8"/>
    </row>
    <row r="1288" spans="1:26" ht="12.75">
      <c r="A1288" s="11">
        <v>43746.448715277773</v>
      </c>
      <c r="B1288" s="12" t="str">
        <f>HYPERLINK("https://twitter.com/elhafzi977","@elhafzi977")</f>
        <v>@elhafzi977</v>
      </c>
      <c r="C1288" s="13" t="s">
        <v>7308</v>
      </c>
      <c r="D1288" s="7" t="s">
        <v>4166</v>
      </c>
      <c r="E1288" s="12" t="str">
        <f>HYPERLINK("https://twitter.com/elhafzi977/status/1181626852382785537","1181626852382785537")</f>
        <v>1181626852382785537</v>
      </c>
      <c r="F1288" s="8"/>
      <c r="G1288" s="14" t="s">
        <v>7309</v>
      </c>
      <c r="H1288" s="8"/>
      <c r="I1288" s="15">
        <v>0</v>
      </c>
      <c r="J1288" s="15">
        <v>0</v>
      </c>
      <c r="K1288" s="12" t="str">
        <f>HYPERLINK("http://twitter.com","Twitter Web Client")</f>
        <v>Twitter Web Client</v>
      </c>
      <c r="L1288" s="16">
        <v>1</v>
      </c>
      <c r="M1288" s="16">
        <v>28</v>
      </c>
      <c r="N1288" s="16">
        <v>0</v>
      </c>
      <c r="O1288" s="17"/>
      <c r="P1288" s="18">
        <v>41828.213703703703</v>
      </c>
      <c r="Q1288" s="7"/>
      <c r="R1288" s="13"/>
      <c r="S1288" s="8"/>
      <c r="T1288" s="8"/>
      <c r="U1288" s="19" t="str">
        <f>HYPERLINK("https://pbs.twimg.com/profile_images/486482070055567360/X2dEi056.jpeg","View")</f>
        <v>View</v>
      </c>
      <c r="V1288" s="8"/>
      <c r="W1288" s="8"/>
      <c r="X1288" s="8"/>
      <c r="Y1288" s="8"/>
      <c r="Z1288" s="8"/>
    </row>
    <row r="1289" spans="1:26" ht="12.75">
      <c r="A1289" s="11">
        <v>43746.448495370365</v>
      </c>
      <c r="B1289" s="12" t="str">
        <f>HYPERLINK("https://twitter.com/MShahween","@MShahween")</f>
        <v>@MShahween</v>
      </c>
      <c r="C1289" s="13" t="s">
        <v>7311</v>
      </c>
      <c r="D1289" s="13" t="s">
        <v>1130</v>
      </c>
      <c r="E1289" s="12" t="str">
        <f>HYPERLINK("https://twitter.com/MShahween/status/1181626771197714432","1181626771197714432")</f>
        <v>1181626771197714432</v>
      </c>
      <c r="F1289" s="8"/>
      <c r="G1289" s="14" t="s">
        <v>7313</v>
      </c>
      <c r="H1289" s="8"/>
      <c r="I1289" s="15">
        <v>0</v>
      </c>
      <c r="J1289" s="15">
        <v>0</v>
      </c>
      <c r="K1289" s="12" t="str">
        <f>HYPERLINK("http://twitter.com","Twitter Web Client")</f>
        <v>Twitter Web Client</v>
      </c>
      <c r="L1289" s="16">
        <v>0</v>
      </c>
      <c r="M1289" s="16">
        <v>0</v>
      </c>
      <c r="N1289" s="16">
        <v>0</v>
      </c>
      <c r="O1289" s="17"/>
      <c r="P1289" s="18">
        <v>43726.011076388888</v>
      </c>
      <c r="Q1289" s="8"/>
      <c r="R1289" s="8"/>
      <c r="S1289" s="8"/>
      <c r="T1289" s="8"/>
      <c r="U1289" s="20" t="s">
        <v>354</v>
      </c>
      <c r="V1289" s="8"/>
      <c r="W1289" s="8"/>
      <c r="X1289" s="8"/>
      <c r="Y1289" s="8"/>
      <c r="Z1289" s="8"/>
    </row>
    <row r="1290" spans="1:26" ht="12.75">
      <c r="A1290" s="11">
        <v>43746.448194444441</v>
      </c>
      <c r="B1290" s="12" t="str">
        <f>HYPERLINK("https://twitter.com/mubarak70180222","@mubarak70180222")</f>
        <v>@mubarak70180222</v>
      </c>
      <c r="C1290" s="13" t="s">
        <v>7315</v>
      </c>
      <c r="D1290" s="13" t="s">
        <v>4175</v>
      </c>
      <c r="E1290" s="12" t="str">
        <f>HYPERLINK("https://twitter.com/mubarak70180222/status/1181626660707287041","1181626660707287041")</f>
        <v>1181626660707287041</v>
      </c>
      <c r="F1290" s="8"/>
      <c r="G1290" s="14" t="s">
        <v>7318</v>
      </c>
      <c r="H1290" s="8"/>
      <c r="I1290" s="15">
        <v>0</v>
      </c>
      <c r="J1290" s="15">
        <v>0</v>
      </c>
      <c r="K1290" s="12" t="str">
        <f>HYPERLINK("http://twitter.com","Twitter Web Client")</f>
        <v>Twitter Web Client</v>
      </c>
      <c r="L1290" s="16">
        <v>5</v>
      </c>
      <c r="M1290" s="16">
        <v>40</v>
      </c>
      <c r="N1290" s="16">
        <v>0</v>
      </c>
      <c r="O1290" s="17"/>
      <c r="P1290" s="18">
        <v>42072.585763888885</v>
      </c>
      <c r="Q1290" s="8"/>
      <c r="R1290" s="8"/>
      <c r="S1290" s="8"/>
      <c r="T1290" s="8"/>
      <c r="U1290" s="19" t="str">
        <f>HYPERLINK("https://pbs.twimg.com/profile_images/575040133369495552/GkDdqoVW.jpeg","View")</f>
        <v>View</v>
      </c>
      <c r="V1290" s="8"/>
      <c r="W1290" s="8"/>
      <c r="X1290" s="8"/>
      <c r="Y1290" s="8"/>
      <c r="Z1290" s="8"/>
    </row>
    <row r="1291" spans="1:26" ht="12.75">
      <c r="A1291" s="11">
        <v>43746.447905092587</v>
      </c>
      <c r="B1291" s="12" t="str">
        <f>HYPERLINK("https://twitter.com/AllhedanGsan","@AllhedanGsan")</f>
        <v>@AllhedanGsan</v>
      </c>
      <c r="C1291" s="13" t="s">
        <v>7334</v>
      </c>
      <c r="D1291" s="13" t="s">
        <v>2567</v>
      </c>
      <c r="E1291" s="12" t="str">
        <f>HYPERLINK("https://twitter.com/AllhedanGsan/status/1181626556197810176","1181626556197810176")</f>
        <v>1181626556197810176</v>
      </c>
      <c r="F1291" s="8"/>
      <c r="G1291" s="14" t="s">
        <v>7335</v>
      </c>
      <c r="H1291" s="8"/>
      <c r="I1291" s="15">
        <v>0</v>
      </c>
      <c r="J1291" s="15">
        <v>0</v>
      </c>
      <c r="K1291" s="12" t="str">
        <f>HYPERLINK("http://twitter.com","Twitter Web Client")</f>
        <v>Twitter Web Client</v>
      </c>
      <c r="L1291" s="16">
        <v>8</v>
      </c>
      <c r="M1291" s="16">
        <v>41</v>
      </c>
      <c r="N1291" s="16">
        <v>0</v>
      </c>
      <c r="O1291" s="17"/>
      <c r="P1291" s="18">
        <v>42071.638923611114</v>
      </c>
      <c r="Q1291" s="8"/>
      <c r="R1291" s="8"/>
      <c r="S1291" s="8"/>
      <c r="T1291" s="8"/>
      <c r="U1291" s="19" t="str">
        <f>HYPERLINK("https://pbs.twimg.com/profile_images/574711073032433664/OmaAVI5J.jpeg","View")</f>
        <v>View</v>
      </c>
      <c r="V1291" s="8"/>
      <c r="W1291" s="8"/>
      <c r="X1291" s="8"/>
      <c r="Y1291" s="8"/>
      <c r="Z1291" s="8"/>
    </row>
    <row r="1292" spans="1:26" ht="12.75">
      <c r="A1292" s="11">
        <v>43746.447395833333</v>
      </c>
      <c r="B1292" s="12" t="str">
        <f>HYPERLINK("https://twitter.com/SeafuierShiban","@SeafuierShiban")</f>
        <v>@SeafuierShiban</v>
      </c>
      <c r="C1292" s="13" t="s">
        <v>7342</v>
      </c>
      <c r="D1292" s="7" t="s">
        <v>2575</v>
      </c>
      <c r="E1292" s="12" t="str">
        <f>HYPERLINK("https://twitter.com/SeafuierShiban/status/1181626373988896768","1181626373988896768")</f>
        <v>1181626373988896768</v>
      </c>
      <c r="F1292" s="8"/>
      <c r="G1292" s="14" t="s">
        <v>7343</v>
      </c>
      <c r="H1292" s="8"/>
      <c r="I1292" s="15">
        <v>0</v>
      </c>
      <c r="J1292" s="15">
        <v>0</v>
      </c>
      <c r="K1292" s="12" t="str">
        <f>HYPERLINK("http://twitter.com","Twitter Web Client")</f>
        <v>Twitter Web Client</v>
      </c>
      <c r="L1292" s="16">
        <v>0</v>
      </c>
      <c r="M1292" s="16">
        <v>33</v>
      </c>
      <c r="N1292" s="16">
        <v>0</v>
      </c>
      <c r="O1292" s="17"/>
      <c r="P1292" s="18">
        <v>42080.600266203706</v>
      </c>
      <c r="Q1292" s="7"/>
      <c r="R1292" s="13"/>
      <c r="S1292" s="8"/>
      <c r="T1292" s="8"/>
      <c r="U1292" s="19" t="str">
        <f>HYPERLINK("https://pbs.twimg.com/profile_images/577944237267759104/-bmbtB7g.jpeg","View")</f>
        <v>View</v>
      </c>
      <c r="V1292" s="8"/>
      <c r="W1292" s="8"/>
      <c r="X1292" s="8"/>
      <c r="Y1292" s="8"/>
      <c r="Z1292" s="8"/>
    </row>
    <row r="1293" spans="1:26" ht="12.75">
      <c r="A1293" s="11">
        <v>43746.4455787037</v>
      </c>
      <c r="B1293" s="12" t="str">
        <f>HYPERLINK("https://twitter.com/bnma7aiie_x44","@bnma7aiie_x44")</f>
        <v>@bnma7aiie_x44</v>
      </c>
      <c r="C1293" s="13" t="s">
        <v>7344</v>
      </c>
      <c r="D1293" s="13" t="s">
        <v>2598</v>
      </c>
      <c r="E1293" s="12" t="str">
        <f>HYPERLINK("https://twitter.com/bnma7aiie_x44/status/1181625713872388096","1181625713872388096")</f>
        <v>1181625713872388096</v>
      </c>
      <c r="F1293" s="8"/>
      <c r="G1293" s="14" t="s">
        <v>7345</v>
      </c>
      <c r="H1293" s="8"/>
      <c r="I1293" s="15">
        <v>0</v>
      </c>
      <c r="J1293" s="15">
        <v>0</v>
      </c>
      <c r="K1293" s="12" t="str">
        <f>HYPERLINK("http://twitter.com","Twitter Web Client")</f>
        <v>Twitter Web Client</v>
      </c>
      <c r="L1293" s="16">
        <v>5</v>
      </c>
      <c r="M1293" s="16">
        <v>30</v>
      </c>
      <c r="N1293" s="16">
        <v>0</v>
      </c>
      <c r="O1293" s="17"/>
      <c r="P1293" s="18">
        <v>42087.22724537037</v>
      </c>
      <c r="Q1293" s="8"/>
      <c r="R1293" s="8"/>
      <c r="S1293" s="8"/>
      <c r="T1293" s="8"/>
      <c r="U1293" s="19" t="str">
        <f>HYPERLINK("https://pbs.twimg.com/profile_images/580345243624566784/A1jPXC7E.jpg","View")</f>
        <v>View</v>
      </c>
      <c r="V1293" s="8"/>
      <c r="W1293" s="8"/>
      <c r="X1293" s="8"/>
      <c r="Y1293" s="8"/>
      <c r="Z1293" s="8"/>
    </row>
    <row r="1294" spans="1:26" ht="12.75">
      <c r="A1294" s="11">
        <v>43746.445451388892</v>
      </c>
      <c r="B1294" s="12" t="str">
        <f>HYPERLINK("https://twitter.com/awadalla8453","@awadalla8453")</f>
        <v>@awadalla8453</v>
      </c>
      <c r="C1294" s="13" t="s">
        <v>7350</v>
      </c>
      <c r="D1294" s="13" t="s">
        <v>84</v>
      </c>
      <c r="E1294" s="12" t="str">
        <f>HYPERLINK("https://twitter.com/awadalla8453/status/1181625667324141569","1181625667324141569")</f>
        <v>1181625667324141569</v>
      </c>
      <c r="F1294" s="8"/>
      <c r="G1294" s="14" t="s">
        <v>7351</v>
      </c>
      <c r="H1294" s="8"/>
      <c r="I1294" s="15">
        <v>0</v>
      </c>
      <c r="J1294" s="15">
        <v>0</v>
      </c>
      <c r="K1294" s="12" t="str">
        <f>HYPERLINK("http://twitter.com","Twitter Web Client")</f>
        <v>Twitter Web Client</v>
      </c>
      <c r="L1294" s="16">
        <v>2</v>
      </c>
      <c r="M1294" s="16">
        <v>37</v>
      </c>
      <c r="N1294" s="16">
        <v>0</v>
      </c>
      <c r="O1294" s="17"/>
      <c r="P1294" s="18">
        <v>42071.306921296295</v>
      </c>
      <c r="Q1294" s="8"/>
      <c r="R1294" s="8"/>
      <c r="S1294" s="8"/>
      <c r="T1294" s="8"/>
      <c r="U1294" s="19" t="str">
        <f>HYPERLINK("https://pbs.twimg.com/profile_images/574575907945349121/k80pevoY.jpeg","View")</f>
        <v>View</v>
      </c>
      <c r="V1294" s="8"/>
      <c r="W1294" s="8"/>
      <c r="X1294" s="8"/>
      <c r="Y1294" s="8"/>
      <c r="Z1294" s="8"/>
    </row>
    <row r="1295" spans="1:26" ht="12.75">
      <c r="A1295" s="11">
        <v>43746.445393518516</v>
      </c>
      <c r="B1295" s="12" t="str">
        <f>HYPERLINK("https://twitter.com/muaaidel","@muaaidel")</f>
        <v>@muaaidel</v>
      </c>
      <c r="C1295" s="13" t="s">
        <v>7354</v>
      </c>
      <c r="D1295" s="13" t="s">
        <v>1178</v>
      </c>
      <c r="E1295" s="12" t="str">
        <f>HYPERLINK("https://twitter.com/muaaidel/status/1181625648437026816","1181625648437026816")</f>
        <v>1181625648437026816</v>
      </c>
      <c r="F1295" s="8"/>
      <c r="G1295" s="14" t="s">
        <v>7355</v>
      </c>
      <c r="H1295" s="8"/>
      <c r="I1295" s="15">
        <v>0</v>
      </c>
      <c r="J1295" s="15">
        <v>0</v>
      </c>
      <c r="K1295" s="12" t="str">
        <f>HYPERLINK("https://mobile.twitter.com","Twitter Web App")</f>
        <v>Twitter Web App</v>
      </c>
      <c r="L1295" s="16">
        <v>0</v>
      </c>
      <c r="M1295" s="16">
        <v>1</v>
      </c>
      <c r="N1295" s="16">
        <v>0</v>
      </c>
      <c r="O1295" s="17"/>
      <c r="P1295" s="18">
        <v>43740.525648148148</v>
      </c>
      <c r="Q1295" s="8" t="s">
        <v>4714</v>
      </c>
      <c r="R1295" s="8" t="s">
        <v>1281</v>
      </c>
      <c r="S1295" s="8"/>
      <c r="T1295" s="8"/>
      <c r="U1295" s="19" t="str">
        <f>HYPERLINK("https://pbs.twimg.com/profile_images/1179528650682535936/SLggYPtf.jpg","View")</f>
        <v>View</v>
      </c>
      <c r="V1295" s="8"/>
      <c r="W1295" s="8"/>
      <c r="X1295" s="8"/>
      <c r="Y1295" s="8"/>
      <c r="Z1295" s="8"/>
    </row>
    <row r="1296" spans="1:26" ht="12.75">
      <c r="A1296" s="11">
        <v>43746.44532407407</v>
      </c>
      <c r="B1296" s="12" t="str">
        <f>HYPERLINK("https://twitter.com/KhalafalK","@KhalafalK")</f>
        <v>@KhalafalK</v>
      </c>
      <c r="C1296" s="7" t="s">
        <v>7362</v>
      </c>
      <c r="D1296" s="7" t="s">
        <v>7363</v>
      </c>
      <c r="E1296" s="12" t="str">
        <f>HYPERLINK("https://twitter.com/KhalafalK/status/1181625621073580032","1181625621073580032")</f>
        <v>1181625621073580032</v>
      </c>
      <c r="F1296" s="15"/>
      <c r="G1296" s="14" t="s">
        <v>7364</v>
      </c>
      <c r="H1296" s="8"/>
      <c r="I1296" s="15">
        <v>0</v>
      </c>
      <c r="J1296" s="15">
        <v>0</v>
      </c>
      <c r="K1296" s="12" t="str">
        <f>HYPERLINK("http://twitter.com","Twitter Web Client")</f>
        <v>Twitter Web Client</v>
      </c>
      <c r="L1296" s="16">
        <v>2</v>
      </c>
      <c r="M1296" s="16">
        <v>22</v>
      </c>
      <c r="N1296" s="16">
        <v>0</v>
      </c>
      <c r="O1296" s="17"/>
      <c r="P1296" s="18">
        <v>41825.203287037039</v>
      </c>
      <c r="Q1296" s="7"/>
      <c r="R1296" s="7"/>
      <c r="S1296" s="15"/>
      <c r="T1296" s="8"/>
      <c r="U1296" s="19" t="str">
        <f>HYPERLINK("https://pbs.twimg.com/profile_images/485391013842673666/_gvgRlK7.jpeg","View")</f>
        <v>View</v>
      </c>
      <c r="V1296" s="8"/>
      <c r="W1296" s="8"/>
      <c r="X1296" s="8"/>
      <c r="Y1296" s="8"/>
      <c r="Z1296" s="8"/>
    </row>
    <row r="1297" spans="1:26" ht="12.75">
      <c r="A1297" s="11">
        <v>43746.445196759261</v>
      </c>
      <c r="B1297" s="12" t="str">
        <f>HYPERLINK("https://twitter.com/samily7745","@samily7745")</f>
        <v>@samily7745</v>
      </c>
      <c r="C1297" s="13" t="s">
        <v>7369</v>
      </c>
      <c r="D1297" s="13" t="s">
        <v>4206</v>
      </c>
      <c r="E1297" s="12" t="str">
        <f>HYPERLINK("https://twitter.com/samily7745/status/1181625574017703938","1181625574017703938")</f>
        <v>1181625574017703938</v>
      </c>
      <c r="F1297" s="8"/>
      <c r="G1297" s="14" t="s">
        <v>7370</v>
      </c>
      <c r="H1297" s="8"/>
      <c r="I1297" s="15">
        <v>0</v>
      </c>
      <c r="J1297" s="15">
        <v>0</v>
      </c>
      <c r="K1297" s="12" t="str">
        <f>HYPERLINK("http://twitter.com","Twitter Web Client")</f>
        <v>Twitter Web Client</v>
      </c>
      <c r="L1297" s="16">
        <v>2</v>
      </c>
      <c r="M1297" s="16">
        <v>39</v>
      </c>
      <c r="N1297" s="16">
        <v>0</v>
      </c>
      <c r="O1297" s="17"/>
      <c r="P1297" s="18">
        <v>42076.35774305556</v>
      </c>
      <c r="Q1297" s="8"/>
      <c r="R1297" s="8"/>
      <c r="S1297" s="8"/>
      <c r="T1297" s="8"/>
      <c r="U1297" s="19" t="str">
        <f>HYPERLINK("https://pbs.twimg.com/profile_images/576406307625779202/dISsjHIN.jpeg","View")</f>
        <v>View</v>
      </c>
      <c r="V1297" s="8"/>
      <c r="W1297" s="8"/>
      <c r="X1297" s="8"/>
      <c r="Y1297" s="8"/>
      <c r="Z1297" s="8"/>
    </row>
    <row r="1298" spans="1:26" ht="12.75">
      <c r="A1298" s="11">
        <v>43746.445069444446</v>
      </c>
      <c r="B1298" s="12" t="str">
        <f>HYPERLINK("https://twitter.com/AlhmoudyHjrv","@AlhmoudyHjrv")</f>
        <v>@AlhmoudyHjrv</v>
      </c>
      <c r="C1298" s="13" t="s">
        <v>7371</v>
      </c>
      <c r="D1298" s="13" t="s">
        <v>2617</v>
      </c>
      <c r="E1298" s="12" t="str">
        <f>HYPERLINK("https://twitter.com/AlhmoudyHjrv/status/1181625528782065664","1181625528782065664")</f>
        <v>1181625528782065664</v>
      </c>
      <c r="F1298" s="8"/>
      <c r="G1298" s="14" t="s">
        <v>7372</v>
      </c>
      <c r="H1298" s="8"/>
      <c r="I1298" s="15">
        <v>0</v>
      </c>
      <c r="J1298" s="15">
        <v>0</v>
      </c>
      <c r="K1298" s="12" t="str">
        <f>HYPERLINK("http://twitter.com","Twitter Web Client")</f>
        <v>Twitter Web Client</v>
      </c>
      <c r="L1298" s="16">
        <v>11</v>
      </c>
      <c r="M1298" s="16">
        <v>44</v>
      </c>
      <c r="N1298" s="16">
        <v>0</v>
      </c>
      <c r="O1298" s="17"/>
      <c r="P1298" s="18">
        <v>42071.596145833333</v>
      </c>
      <c r="Q1298" s="8"/>
      <c r="R1298" s="8"/>
      <c r="S1298" s="8"/>
      <c r="T1298" s="8"/>
      <c r="U1298" s="19" t="str">
        <f>HYPERLINK("https://pbs.twimg.com/profile_images/574713978095456256/T_kpeG8_.jpeg","View")</f>
        <v>View</v>
      </c>
      <c r="V1298" s="8"/>
      <c r="W1298" s="8"/>
      <c r="X1298" s="8"/>
      <c r="Y1298" s="8"/>
      <c r="Z1298" s="8"/>
    </row>
    <row r="1299" spans="1:26" ht="12.75">
      <c r="A1299" s="11">
        <v>43746.444398148145</v>
      </c>
      <c r="B1299" s="12" t="str">
        <f>HYPERLINK("https://twitter.com/elmater_tt","@elmater_tt")</f>
        <v>@elmater_tt</v>
      </c>
      <c r="C1299" s="13" t="s">
        <v>7376</v>
      </c>
      <c r="D1299" s="13" t="s">
        <v>2627</v>
      </c>
      <c r="E1299" s="12" t="str">
        <f>HYPERLINK("https://twitter.com/elmater_tt/status/1181625287878029313","1181625287878029313")</f>
        <v>1181625287878029313</v>
      </c>
      <c r="F1299" s="8"/>
      <c r="G1299" s="14" t="s">
        <v>7377</v>
      </c>
      <c r="H1299" s="8"/>
      <c r="I1299" s="15">
        <v>0</v>
      </c>
      <c r="J1299" s="15">
        <v>0</v>
      </c>
      <c r="K1299" s="12" t="str">
        <f>HYPERLINK("http://twitter.com","Twitter Web Client")</f>
        <v>Twitter Web Client</v>
      </c>
      <c r="L1299" s="16">
        <v>9</v>
      </c>
      <c r="M1299" s="16">
        <v>43</v>
      </c>
      <c r="N1299" s="16">
        <v>0</v>
      </c>
      <c r="O1299" s="17"/>
      <c r="P1299" s="18">
        <v>42072.341215277775</v>
      </c>
      <c r="Q1299" s="8"/>
      <c r="R1299" s="8"/>
      <c r="S1299" s="8"/>
      <c r="T1299" s="8"/>
      <c r="U1299" s="19" t="str">
        <f>HYPERLINK("https://pbs.twimg.com/profile_images/574950727715397632/k0iLFR5z.jpeg","View")</f>
        <v>View</v>
      </c>
      <c r="V1299" s="8"/>
      <c r="W1299" s="8"/>
      <c r="X1299" s="8"/>
      <c r="Y1299" s="8"/>
      <c r="Z1299" s="8"/>
    </row>
    <row r="1300" spans="1:26" ht="12.75">
      <c r="A1300" s="11">
        <v>43746.444143518514</v>
      </c>
      <c r="B1300" s="12" t="str">
        <f>HYPERLINK("https://twitter.com/alalyaniie44","@alalyaniie44")</f>
        <v>@alalyaniie44</v>
      </c>
      <c r="C1300" s="13" t="s">
        <v>7382</v>
      </c>
      <c r="D1300" s="7" t="s">
        <v>7383</v>
      </c>
      <c r="E1300" s="12" t="str">
        <f>HYPERLINK("https://twitter.com/alalyaniie44/status/1181625194122747906","1181625194122747906")</f>
        <v>1181625194122747906</v>
      </c>
      <c r="F1300" s="8"/>
      <c r="G1300" s="14" t="s">
        <v>7384</v>
      </c>
      <c r="H1300" s="8"/>
      <c r="I1300" s="15">
        <v>0</v>
      </c>
      <c r="J1300" s="15">
        <v>0</v>
      </c>
      <c r="K1300" s="12" t="str">
        <f>HYPERLINK("http://twitter.com","Twitter Web Client")</f>
        <v>Twitter Web Client</v>
      </c>
      <c r="L1300" s="16">
        <v>4</v>
      </c>
      <c r="M1300" s="16">
        <v>35</v>
      </c>
      <c r="N1300" s="16">
        <v>0</v>
      </c>
      <c r="O1300" s="17"/>
      <c r="P1300" s="18">
        <v>42074.267430555556</v>
      </c>
      <c r="Q1300" s="7"/>
      <c r="R1300" s="13"/>
      <c r="S1300" s="8"/>
      <c r="T1300" s="8"/>
      <c r="U1300" s="19" t="str">
        <f>HYPERLINK("https://pbs.twimg.com/profile_images/575648861617659905/HcOXOSjZ.jpeg","View")</f>
        <v>View</v>
      </c>
      <c r="V1300" s="8"/>
      <c r="W1300" s="8"/>
      <c r="X1300" s="8"/>
      <c r="Y1300" s="8"/>
      <c r="Z1300" s="8"/>
    </row>
    <row r="1301" spans="1:26" ht="12.75">
      <c r="A1301" s="11">
        <v>43746.443483796298</v>
      </c>
      <c r="B1301" s="12" t="str">
        <f>HYPERLINK("https://twitter.com/abdullahhtani4","@abdullahhtani4")</f>
        <v>@abdullahhtani4</v>
      </c>
      <c r="C1301" s="13" t="s">
        <v>7387</v>
      </c>
      <c r="D1301" s="7" t="s">
        <v>7388</v>
      </c>
      <c r="E1301" s="12" t="str">
        <f>HYPERLINK("https://twitter.com/abdullahhtani4/status/1181624954997133314","1181624954997133314")</f>
        <v>1181624954997133314</v>
      </c>
      <c r="F1301" s="8"/>
      <c r="G1301" s="14" t="s">
        <v>7390</v>
      </c>
      <c r="H1301" s="8"/>
      <c r="I1301" s="15">
        <v>0</v>
      </c>
      <c r="J1301" s="15">
        <v>0</v>
      </c>
      <c r="K1301" s="12" t="str">
        <f>HYPERLINK("http://twitter.com","Twitter Web Client")</f>
        <v>Twitter Web Client</v>
      </c>
      <c r="L1301" s="16">
        <v>8</v>
      </c>
      <c r="M1301" s="16">
        <v>35</v>
      </c>
      <c r="N1301" s="16">
        <v>0</v>
      </c>
      <c r="O1301" s="17"/>
      <c r="P1301" s="18">
        <v>42068.173391203702</v>
      </c>
      <c r="Q1301" s="7"/>
      <c r="R1301" s="13"/>
      <c r="S1301" s="8"/>
      <c r="T1301" s="8"/>
      <c r="U1301" s="19" t="str">
        <f>HYPERLINK("https://pbs.twimg.com/profile_images/573455957029580801/49hFi8wo.jpeg","View")</f>
        <v>View</v>
      </c>
      <c r="V1301" s="8"/>
      <c r="W1301" s="8"/>
      <c r="X1301" s="8"/>
      <c r="Y1301" s="8"/>
      <c r="Z1301" s="8"/>
    </row>
    <row r="1302" spans="1:26" ht="12.75">
      <c r="A1302" s="11">
        <v>43746.443356481483</v>
      </c>
      <c r="B1302" s="12" t="str">
        <f>HYPERLINK("https://twitter.com/rashideaanziu","@rashideaanziu")</f>
        <v>@rashideaanziu</v>
      </c>
      <c r="C1302" s="13" t="s">
        <v>7391</v>
      </c>
      <c r="D1302" s="7" t="s">
        <v>4222</v>
      </c>
      <c r="E1302" s="12" t="str">
        <f>HYPERLINK("https://twitter.com/rashideaanziu/status/1181624909858054146","1181624909858054146")</f>
        <v>1181624909858054146</v>
      </c>
      <c r="F1302" s="8"/>
      <c r="G1302" s="14" t="s">
        <v>7392</v>
      </c>
      <c r="H1302" s="8"/>
      <c r="I1302" s="15">
        <v>0</v>
      </c>
      <c r="J1302" s="15">
        <v>0</v>
      </c>
      <c r="K1302" s="12" t="str">
        <f>HYPERLINK("http://twitter.com","Twitter Web Client")</f>
        <v>Twitter Web Client</v>
      </c>
      <c r="L1302" s="16">
        <v>0</v>
      </c>
      <c r="M1302" s="16">
        <v>31</v>
      </c>
      <c r="N1302" s="16">
        <v>0</v>
      </c>
      <c r="O1302" s="17"/>
      <c r="P1302" s="18">
        <v>42085.255208333328</v>
      </c>
      <c r="Q1302" s="7"/>
      <c r="R1302" s="13"/>
      <c r="S1302" s="8"/>
      <c r="T1302" s="8"/>
      <c r="U1302" s="20" t="s">
        <v>354</v>
      </c>
      <c r="V1302" s="8"/>
      <c r="W1302" s="8"/>
      <c r="X1302" s="8"/>
      <c r="Y1302" s="8"/>
      <c r="Z1302" s="8"/>
    </row>
    <row r="1303" spans="1:26" ht="12.75">
      <c r="A1303" s="11">
        <v>43746.442824074074</v>
      </c>
      <c r="B1303" s="12" t="str">
        <f>HYPERLINK("https://twitter.com/mohamme70235327","@mohamme70235327")</f>
        <v>@mohamme70235327</v>
      </c>
      <c r="C1303" s="13" t="s">
        <v>7395</v>
      </c>
      <c r="D1303" s="13" t="s">
        <v>7396</v>
      </c>
      <c r="E1303" s="12" t="str">
        <f>HYPERLINK("https://twitter.com/mohamme70235327/status/1181624717536616449","1181624717536616449")</f>
        <v>1181624717536616449</v>
      </c>
      <c r="F1303" s="8"/>
      <c r="G1303" s="14" t="s">
        <v>7397</v>
      </c>
      <c r="H1303" s="8"/>
      <c r="I1303" s="15">
        <v>0</v>
      </c>
      <c r="J1303" s="15">
        <v>0</v>
      </c>
      <c r="K1303" s="12" t="str">
        <f>HYPERLINK("http://twitter.com","Twitter Web Client")</f>
        <v>Twitter Web Client</v>
      </c>
      <c r="L1303" s="16">
        <v>4</v>
      </c>
      <c r="M1303" s="16">
        <v>41</v>
      </c>
      <c r="N1303" s="16">
        <v>0</v>
      </c>
      <c r="O1303" s="17"/>
      <c r="P1303" s="18">
        <v>42265.789942129632</v>
      </c>
      <c r="Q1303" s="8"/>
      <c r="R1303" s="8"/>
      <c r="S1303" s="8"/>
      <c r="T1303" s="8"/>
      <c r="U1303" s="19" t="str">
        <f>HYPERLINK("https://pbs.twimg.com/profile_images/645054251929047040/hEgBN3u-.jpg","View")</f>
        <v>View</v>
      </c>
      <c r="V1303" s="8"/>
      <c r="W1303" s="8"/>
      <c r="X1303" s="8"/>
      <c r="Y1303" s="8"/>
      <c r="Z1303" s="8"/>
    </row>
    <row r="1304" spans="1:26" ht="12.75">
      <c r="A1304" s="11">
        <v>43746.44231481482</v>
      </c>
      <c r="B1304" s="12" t="str">
        <f>HYPERLINK("https://twitter.com/masfirsafar","@masfirsafar")</f>
        <v>@masfirsafar</v>
      </c>
      <c r="C1304" s="13" t="s">
        <v>7399</v>
      </c>
      <c r="D1304" s="7" t="s">
        <v>7400</v>
      </c>
      <c r="E1304" s="12" t="str">
        <f>HYPERLINK("https://twitter.com/masfirsafar/status/1181624530151890945","1181624530151890945")</f>
        <v>1181624530151890945</v>
      </c>
      <c r="F1304" s="8"/>
      <c r="G1304" s="14" t="s">
        <v>7401</v>
      </c>
      <c r="H1304" s="8"/>
      <c r="I1304" s="15">
        <v>0</v>
      </c>
      <c r="J1304" s="15">
        <v>0</v>
      </c>
      <c r="K1304" s="12" t="str">
        <f>HYPERLINK("http://twitter.com","Twitter Web Client")</f>
        <v>Twitter Web Client</v>
      </c>
      <c r="L1304" s="16">
        <v>23</v>
      </c>
      <c r="M1304" s="16">
        <v>126</v>
      </c>
      <c r="N1304" s="16">
        <v>0</v>
      </c>
      <c r="O1304" s="17"/>
      <c r="P1304" s="18">
        <v>41482.361342592594</v>
      </c>
      <c r="Q1304" s="7"/>
      <c r="R1304" s="13" t="s">
        <v>7402</v>
      </c>
      <c r="S1304" s="8"/>
      <c r="T1304" s="8"/>
      <c r="U1304" s="19" t="str">
        <f>HYPERLINK("https://pbs.twimg.com/profile_images/825103666268999680/bJ3qwJpN.jpg","View")</f>
        <v>View</v>
      </c>
      <c r="V1304" s="8"/>
      <c r="W1304" s="8"/>
      <c r="X1304" s="8"/>
      <c r="Y1304" s="8"/>
      <c r="Z1304" s="8"/>
    </row>
    <row r="1305" spans="1:26" ht="12.75">
      <c r="A1305" s="11">
        <v>43746.442245370374</v>
      </c>
      <c r="B1305" s="12" t="str">
        <f>HYPERLINK("https://twitter.com/alawial3","@alawial3")</f>
        <v>@alawial3</v>
      </c>
      <c r="C1305" s="13" t="s">
        <v>7406</v>
      </c>
      <c r="D1305" s="7" t="s">
        <v>907</v>
      </c>
      <c r="E1305" s="12" t="str">
        <f>HYPERLINK("https://twitter.com/alawial3/status/1181624505472450560","1181624505472450560")</f>
        <v>1181624505472450560</v>
      </c>
      <c r="F1305" s="8"/>
      <c r="G1305" s="14" t="s">
        <v>7407</v>
      </c>
      <c r="H1305" s="8"/>
      <c r="I1305" s="15">
        <v>0</v>
      </c>
      <c r="J1305" s="15">
        <v>0</v>
      </c>
      <c r="K1305" s="12" t="str">
        <f>HYPERLINK("https://mobile.twitter.com","Twitter Web App")</f>
        <v>Twitter Web App</v>
      </c>
      <c r="L1305" s="16">
        <v>0</v>
      </c>
      <c r="M1305" s="16">
        <v>1</v>
      </c>
      <c r="N1305" s="16">
        <v>0</v>
      </c>
      <c r="O1305" s="17"/>
      <c r="P1305" s="18">
        <v>43740.5234375</v>
      </c>
      <c r="Q1305" s="7" t="s">
        <v>4714</v>
      </c>
      <c r="R1305" s="13" t="s">
        <v>7409</v>
      </c>
      <c r="S1305" s="8"/>
      <c r="T1305" s="8"/>
      <c r="U1305" s="19" t="str">
        <f>HYPERLINK("https://pbs.twimg.com/profile_images/1179525034773082113/8hJ9aetr.jpg","View")</f>
        <v>View</v>
      </c>
      <c r="V1305" s="8"/>
      <c r="W1305" s="8"/>
      <c r="X1305" s="8"/>
      <c r="Y1305" s="8"/>
      <c r="Z1305" s="8"/>
    </row>
    <row r="1306" spans="1:26" ht="12.75">
      <c r="A1306" s="11">
        <v>43746.44159722222</v>
      </c>
      <c r="B1306" s="12" t="str">
        <f>HYPERLINK("https://twitter.com/ABIIED23","@ABIIED23")</f>
        <v>@ABIIED23</v>
      </c>
      <c r="C1306" s="13" t="s">
        <v>7412</v>
      </c>
      <c r="D1306" s="7" t="s">
        <v>7413</v>
      </c>
      <c r="E1306" s="12" t="str">
        <f>HYPERLINK("https://twitter.com/ABIIED23/status/1181624273280077826","1181624273280077826")</f>
        <v>1181624273280077826</v>
      </c>
      <c r="F1306" s="8"/>
      <c r="G1306" s="14" t="s">
        <v>7414</v>
      </c>
      <c r="H1306" s="8"/>
      <c r="I1306" s="15">
        <v>0</v>
      </c>
      <c r="J1306" s="15">
        <v>0</v>
      </c>
      <c r="K1306" s="12" t="str">
        <f>HYPERLINK("http://twitter.com","Twitter Web Client")</f>
        <v>Twitter Web Client</v>
      </c>
      <c r="L1306" s="16">
        <v>0</v>
      </c>
      <c r="M1306" s="16">
        <v>33</v>
      </c>
      <c r="N1306" s="16">
        <v>0</v>
      </c>
      <c r="O1306" s="17"/>
      <c r="P1306" s="18">
        <v>42080.44153935185</v>
      </c>
      <c r="Q1306" s="7"/>
      <c r="R1306" s="13"/>
      <c r="S1306" s="8"/>
      <c r="T1306" s="8"/>
      <c r="U1306" s="19" t="str">
        <f>HYPERLINK("https://pbs.twimg.com/profile_images/577886249131741184/akzwnwbC.jpeg","View")</f>
        <v>View</v>
      </c>
      <c r="V1306" s="8"/>
      <c r="W1306" s="8"/>
      <c r="X1306" s="8"/>
      <c r="Y1306" s="8"/>
      <c r="Z1306" s="8"/>
    </row>
    <row r="1307" spans="1:26" ht="12.75">
      <c r="A1307" s="11">
        <v>43746.440752314811</v>
      </c>
      <c r="B1307" s="12" t="str">
        <f>HYPERLINK("https://twitter.com/l_adeem","@l_adeem")</f>
        <v>@l_adeem</v>
      </c>
      <c r="C1307" s="13" t="s">
        <v>7418</v>
      </c>
      <c r="D1307" s="7" t="s">
        <v>1236</v>
      </c>
      <c r="E1307" s="12" t="str">
        <f>HYPERLINK("https://twitter.com/l_adeem/status/1181623965967503360","1181623965967503360")</f>
        <v>1181623965967503360</v>
      </c>
      <c r="F1307" s="8"/>
      <c r="G1307" s="14" t="s">
        <v>7419</v>
      </c>
      <c r="H1307" s="8"/>
      <c r="I1307" s="15">
        <v>0</v>
      </c>
      <c r="J1307" s="15">
        <v>0</v>
      </c>
      <c r="K1307" s="12" t="str">
        <f>HYPERLINK("https://mobile.twitter.com","Twitter Web App")</f>
        <v>Twitter Web App</v>
      </c>
      <c r="L1307" s="16">
        <v>1</v>
      </c>
      <c r="M1307" s="16">
        <v>1</v>
      </c>
      <c r="N1307" s="16">
        <v>0</v>
      </c>
      <c r="O1307" s="17"/>
      <c r="P1307" s="18">
        <v>43725.138506944444</v>
      </c>
      <c r="Q1307" s="7" t="s">
        <v>1916</v>
      </c>
      <c r="R1307" s="13" t="s">
        <v>1277</v>
      </c>
      <c r="S1307" s="8"/>
      <c r="T1307" s="8"/>
      <c r="U1307" s="19" t="str">
        <f>HYPERLINK("https://pbs.twimg.com/profile_images/1174212944437153796/k9IB1suK.jpg","View")</f>
        <v>View</v>
      </c>
      <c r="V1307" s="8"/>
      <c r="W1307" s="8"/>
      <c r="X1307" s="8"/>
      <c r="Y1307" s="8"/>
      <c r="Z1307" s="8"/>
    </row>
    <row r="1308" spans="1:26" ht="12.75">
      <c r="A1308" s="11">
        <v>43746.440567129626</v>
      </c>
      <c r="B1308" s="12" t="str">
        <f>HYPERLINK("https://twitter.com/issaaome1","@issaaome1")</f>
        <v>@issaaome1</v>
      </c>
      <c r="C1308" s="13" t="s">
        <v>7423</v>
      </c>
      <c r="D1308" s="13" t="s">
        <v>124</v>
      </c>
      <c r="E1308" s="12" t="str">
        <f>HYPERLINK("https://twitter.com/issaaome1/status/1181623897801809920","1181623897801809920")</f>
        <v>1181623897801809920</v>
      </c>
      <c r="F1308" s="8"/>
      <c r="G1308" s="14" t="s">
        <v>7424</v>
      </c>
      <c r="H1308" s="8"/>
      <c r="I1308" s="15">
        <v>0</v>
      </c>
      <c r="J1308" s="15">
        <v>0</v>
      </c>
      <c r="K1308" s="12" t="str">
        <f>HYPERLINK("http://twitter.com","Twitter Web Client")</f>
        <v>Twitter Web Client</v>
      </c>
      <c r="L1308" s="16">
        <v>6</v>
      </c>
      <c r="M1308" s="16">
        <v>27</v>
      </c>
      <c r="N1308" s="16">
        <v>0</v>
      </c>
      <c r="O1308" s="17"/>
      <c r="P1308" s="18">
        <v>41827.130578703705</v>
      </c>
      <c r="Q1308" s="8"/>
      <c r="R1308" s="8"/>
      <c r="S1308" s="8"/>
      <c r="T1308" s="8"/>
      <c r="U1308" s="19" t="str">
        <f>HYPERLINK("https://pbs.twimg.com/profile_images/486089640533692416/BZGgNr6W.jpeg","View")</f>
        <v>View</v>
      </c>
      <c r="V1308" s="8"/>
      <c r="W1308" s="8"/>
      <c r="X1308" s="8"/>
      <c r="Y1308" s="8"/>
      <c r="Z1308" s="8"/>
    </row>
    <row r="1309" spans="1:26" ht="12.75">
      <c r="A1309" s="11">
        <v>43746.440509259264</v>
      </c>
      <c r="B1309" s="12" t="str">
        <f>HYPERLINK("https://twitter.com/AdamAdeel1","@AdamAdeel1")</f>
        <v>@AdamAdeel1</v>
      </c>
      <c r="C1309" s="13" t="s">
        <v>7428</v>
      </c>
      <c r="D1309" s="7" t="s">
        <v>28</v>
      </c>
      <c r="E1309" s="12" t="str">
        <f>HYPERLINK("https://twitter.com/AdamAdeel1/status/1181623875165020160","1181623875165020160")</f>
        <v>1181623875165020160</v>
      </c>
      <c r="F1309" s="8"/>
      <c r="G1309" s="14" t="s">
        <v>1267</v>
      </c>
      <c r="H1309" s="8"/>
      <c r="I1309" s="15">
        <v>0</v>
      </c>
      <c r="J1309" s="15">
        <v>0</v>
      </c>
      <c r="K1309" s="12" t="str">
        <f>HYPERLINK("https://mobile.twitter.com","Twitter Web App")</f>
        <v>Twitter Web App</v>
      </c>
      <c r="L1309" s="16">
        <v>0</v>
      </c>
      <c r="M1309" s="16">
        <v>1</v>
      </c>
      <c r="N1309" s="16">
        <v>0</v>
      </c>
      <c r="O1309" s="17"/>
      <c r="P1309" s="18">
        <v>43724.925185185188</v>
      </c>
      <c r="Q1309" s="7" t="s">
        <v>1276</v>
      </c>
      <c r="R1309" s="13" t="s">
        <v>1075</v>
      </c>
      <c r="S1309" s="8"/>
      <c r="T1309" s="8"/>
      <c r="U1309" s="19" t="str">
        <f>HYPERLINK("https://pbs.twimg.com/profile_images/1174212689305985027/65ZZPC4G.jpg","View")</f>
        <v>View</v>
      </c>
      <c r="V1309" s="8"/>
      <c r="W1309" s="8"/>
      <c r="X1309" s="8"/>
      <c r="Y1309" s="8"/>
      <c r="Z1309" s="8"/>
    </row>
    <row r="1310" spans="1:26" ht="12.75">
      <c r="A1310" s="11">
        <v>43746.440011574072</v>
      </c>
      <c r="B1310" s="12" t="str">
        <f>HYPERLINK("https://twitter.com/AbuNasr50479861","@AbuNasr50479861")</f>
        <v>@AbuNasr50479861</v>
      </c>
      <c r="C1310" s="13" t="s">
        <v>7432</v>
      </c>
      <c r="D1310" s="13" t="s">
        <v>914</v>
      </c>
      <c r="E1310" s="12" t="str">
        <f>HYPERLINK("https://twitter.com/AbuNasr50479861/status/1181623696588279808","1181623696588279808")</f>
        <v>1181623696588279808</v>
      </c>
      <c r="F1310" s="8"/>
      <c r="G1310" s="14" t="s">
        <v>917</v>
      </c>
      <c r="H1310" s="8"/>
      <c r="I1310" s="15">
        <v>0</v>
      </c>
      <c r="J1310" s="15">
        <v>0</v>
      </c>
      <c r="K1310" s="12" t="str">
        <f>HYPERLINK("https://mobile.twitter.com","Twitter Web App")</f>
        <v>Twitter Web App</v>
      </c>
      <c r="L1310" s="16">
        <v>0</v>
      </c>
      <c r="M1310" s="16">
        <v>2</v>
      </c>
      <c r="N1310" s="16">
        <v>0</v>
      </c>
      <c r="O1310" s="17"/>
      <c r="P1310" s="18">
        <v>43724.090949074074</v>
      </c>
      <c r="Q1310" s="8"/>
      <c r="R1310" s="8" t="s">
        <v>973</v>
      </c>
      <c r="S1310" s="8"/>
      <c r="T1310" s="8"/>
      <c r="U1310" s="19" t="str">
        <f>HYPERLINK("https://pbs.twimg.com/profile_images/1174212460460593152/SmWl8RTJ.jpg","View")</f>
        <v>View</v>
      </c>
      <c r="V1310" s="8"/>
      <c r="W1310" s="8"/>
      <c r="X1310" s="8"/>
      <c r="Y1310" s="8"/>
      <c r="Z1310" s="8"/>
    </row>
    <row r="1311" spans="1:26" ht="12.75">
      <c r="A1311" s="11">
        <v>43746.439895833333</v>
      </c>
      <c r="B1311" s="12" t="str">
        <f>HYPERLINK("https://twitter.com/huosa234","@huosa234")</f>
        <v>@huosa234</v>
      </c>
      <c r="C1311" s="7" t="s">
        <v>7436</v>
      </c>
      <c r="D1311" s="7" t="s">
        <v>158</v>
      </c>
      <c r="E1311" s="12" t="str">
        <f>HYPERLINK("https://twitter.com/huosa234/status/1181623656650362885","1181623656650362885")</f>
        <v>1181623656650362885</v>
      </c>
      <c r="F1311" s="8"/>
      <c r="G1311" s="14" t="s">
        <v>7437</v>
      </c>
      <c r="H1311" s="8"/>
      <c r="I1311" s="15">
        <v>0</v>
      </c>
      <c r="J1311" s="15">
        <v>0</v>
      </c>
      <c r="K1311" s="12" t="str">
        <f>HYPERLINK("http://twitter.com","Twitter Web Client")</f>
        <v>Twitter Web Client</v>
      </c>
      <c r="L1311" s="16">
        <v>15</v>
      </c>
      <c r="M1311" s="16">
        <v>44</v>
      </c>
      <c r="N1311" s="16">
        <v>0</v>
      </c>
      <c r="O1311" s="17"/>
      <c r="P1311" s="18">
        <v>42075.392430555556</v>
      </c>
      <c r="Q1311" s="8"/>
      <c r="R1311" s="8"/>
      <c r="S1311" s="8"/>
      <c r="T1311" s="8"/>
      <c r="U1311" s="19" t="str">
        <f>HYPERLINK("https://pbs.twimg.com/profile_images/576056433973694464/BBc63sFc.jpeg","View")</f>
        <v>View</v>
      </c>
      <c r="V1311" s="8"/>
      <c r="W1311" s="8"/>
      <c r="X1311" s="8"/>
      <c r="Y1311" s="8"/>
      <c r="Z1311" s="8"/>
    </row>
    <row r="1312" spans="1:26" ht="12.75">
      <c r="A1312" s="11">
        <v>43746.439733796295</v>
      </c>
      <c r="B1312" s="12" t="str">
        <f>HYPERLINK("https://twitter.com/AbuNasi58452951","@AbuNasi58452951")</f>
        <v>@AbuNasi58452951</v>
      </c>
      <c r="C1312" s="13" t="s">
        <v>7438</v>
      </c>
      <c r="D1312" s="13" t="s">
        <v>28</v>
      </c>
      <c r="E1312" s="12" t="str">
        <f>HYPERLINK("https://twitter.com/AbuNasi58452951/status/1181623597753753601","1181623597753753601")</f>
        <v>1181623597753753601</v>
      </c>
      <c r="F1312" s="8"/>
      <c r="G1312" s="14" t="s">
        <v>31</v>
      </c>
      <c r="H1312" s="8"/>
      <c r="I1312" s="15">
        <v>0</v>
      </c>
      <c r="J1312" s="15">
        <v>0</v>
      </c>
      <c r="K1312" s="12" t="str">
        <f>HYPERLINK("https://mobile.twitter.com","Twitter Web App")</f>
        <v>Twitter Web App</v>
      </c>
      <c r="L1312" s="16">
        <v>0</v>
      </c>
      <c r="M1312" s="16">
        <v>1</v>
      </c>
      <c r="N1312" s="16">
        <v>0</v>
      </c>
      <c r="O1312" s="17"/>
      <c r="P1312" s="18">
        <v>43724.08592592593</v>
      </c>
      <c r="Q1312" s="8" t="s">
        <v>1276</v>
      </c>
      <c r="R1312" s="8" t="s">
        <v>1110</v>
      </c>
      <c r="S1312" s="8"/>
      <c r="T1312" s="8"/>
      <c r="U1312" s="19" t="str">
        <f>HYPERLINK("https://pbs.twimg.com/profile_images/1174212335004729345/i4rC5ol4.jpg","View")</f>
        <v>View</v>
      </c>
      <c r="V1312" s="8"/>
      <c r="W1312" s="8"/>
      <c r="X1312" s="8"/>
      <c r="Y1312" s="8"/>
      <c r="Z1312" s="8"/>
    </row>
    <row r="1313" spans="1:26" ht="12.75">
      <c r="A1313" s="11">
        <v>43746.438981481479</v>
      </c>
      <c r="B1313" s="12" t="str">
        <f>HYPERLINK("https://twitter.com/AbuHamz18","@AbuHamz18")</f>
        <v>@AbuHamz18</v>
      </c>
      <c r="C1313" s="13" t="s">
        <v>7443</v>
      </c>
      <c r="D1313" s="7" t="s">
        <v>968</v>
      </c>
      <c r="E1313" s="12" t="str">
        <f>HYPERLINK("https://twitter.com/AbuHamz18/status/1181623323563708416","1181623323563708416")</f>
        <v>1181623323563708416</v>
      </c>
      <c r="F1313" s="8"/>
      <c r="G1313" s="14" t="s">
        <v>7445</v>
      </c>
      <c r="H1313" s="8"/>
      <c r="I1313" s="15">
        <v>0</v>
      </c>
      <c r="J1313" s="15">
        <v>0</v>
      </c>
      <c r="K1313" s="12" t="str">
        <f>HYPERLINK("https://mobile.twitter.com","Twitter Web App")</f>
        <v>Twitter Web App</v>
      </c>
      <c r="L1313" s="16">
        <v>0</v>
      </c>
      <c r="M1313" s="16">
        <v>1</v>
      </c>
      <c r="N1313" s="16">
        <v>0</v>
      </c>
      <c r="O1313" s="17"/>
      <c r="P1313" s="18">
        <v>43724.039502314816</v>
      </c>
      <c r="Q1313" s="7" t="s">
        <v>1454</v>
      </c>
      <c r="R1313" s="13" t="s">
        <v>1258</v>
      </c>
      <c r="S1313" s="8"/>
      <c r="T1313" s="8"/>
      <c r="U1313" s="19" t="str">
        <f>HYPERLINK("https://pbs.twimg.com/profile_images/1174212209507033088/e4dcM8gx.jpg","View")</f>
        <v>View</v>
      </c>
      <c r="V1313" s="8"/>
      <c r="W1313" s="8"/>
      <c r="X1313" s="8"/>
      <c r="Y1313" s="8"/>
      <c r="Z1313" s="8"/>
    </row>
    <row r="1314" spans="1:26" ht="12.75">
      <c r="A1314" s="11">
        <v>43746.438483796301</v>
      </c>
      <c r="B1314" s="12" t="str">
        <f>HYPERLINK("https://twitter.com/abdallahasiri2","@abdallahasiri2")</f>
        <v>@abdallahasiri2</v>
      </c>
      <c r="C1314" s="13" t="s">
        <v>7450</v>
      </c>
      <c r="D1314" s="7" t="s">
        <v>7451</v>
      </c>
      <c r="E1314" s="12" t="str">
        <f>HYPERLINK("https://twitter.com/abdallahasiri2/status/1181623142546132992","1181623142546132992")</f>
        <v>1181623142546132992</v>
      </c>
      <c r="F1314" s="8"/>
      <c r="G1314" s="14" t="s">
        <v>7452</v>
      </c>
      <c r="H1314" s="8"/>
      <c r="I1314" s="15">
        <v>0</v>
      </c>
      <c r="J1314" s="15">
        <v>0</v>
      </c>
      <c r="K1314" s="12" t="str">
        <f>HYPERLINK("http://twitter.com","Twitter Web Client")</f>
        <v>Twitter Web Client</v>
      </c>
      <c r="L1314" s="16">
        <v>6</v>
      </c>
      <c r="M1314" s="16">
        <v>36</v>
      </c>
      <c r="N1314" s="16">
        <v>0</v>
      </c>
      <c r="O1314" s="17"/>
      <c r="P1314" s="18">
        <v>42068.230520833335</v>
      </c>
      <c r="Q1314" s="7"/>
      <c r="R1314" s="13"/>
      <c r="S1314" s="8"/>
      <c r="T1314" s="8"/>
      <c r="U1314" s="19" t="str">
        <f>HYPERLINK("https://pbs.twimg.com/profile_images/573476287731273730/JIsqmQo4.jpeg","View")</f>
        <v>View</v>
      </c>
      <c r="V1314" s="8"/>
      <c r="W1314" s="8"/>
      <c r="X1314" s="8"/>
      <c r="Y1314" s="8"/>
      <c r="Z1314" s="8"/>
    </row>
    <row r="1315" spans="1:26" ht="12.75">
      <c r="A1315" s="11">
        <v>43746.438067129631</v>
      </c>
      <c r="B1315" s="12" t="str">
        <f>HYPERLINK("https://twitter.com/abdulazizmberek","@abdulazizmberek")</f>
        <v>@abdulazizmberek</v>
      </c>
      <c r="C1315" s="13" t="s">
        <v>7456</v>
      </c>
      <c r="D1315" s="13" t="s">
        <v>2693</v>
      </c>
      <c r="E1315" s="12" t="str">
        <f>HYPERLINK("https://twitter.com/abdulazizmberek/status/1181622994143207428","1181622994143207428")</f>
        <v>1181622994143207428</v>
      </c>
      <c r="F1315" s="8"/>
      <c r="G1315" s="14" t="s">
        <v>7457</v>
      </c>
      <c r="H1315" s="8"/>
      <c r="I1315" s="15">
        <v>0</v>
      </c>
      <c r="J1315" s="15">
        <v>0</v>
      </c>
      <c r="K1315" s="12" t="str">
        <f>HYPERLINK("http://twitter.com","Twitter Web Client")</f>
        <v>Twitter Web Client</v>
      </c>
      <c r="L1315" s="16">
        <v>4</v>
      </c>
      <c r="M1315" s="16">
        <v>39</v>
      </c>
      <c r="N1315" s="16">
        <v>0</v>
      </c>
      <c r="O1315" s="17"/>
      <c r="P1315" s="18">
        <v>42076.306840277779</v>
      </c>
      <c r="Q1315" s="8"/>
      <c r="R1315" s="8"/>
      <c r="S1315" s="8"/>
      <c r="T1315" s="8"/>
      <c r="U1315" s="19" t="str">
        <f>HYPERLINK("https://pbs.twimg.com/profile_images/576390625781641216/LW0ruGZn.jpeg","View")</f>
        <v>View</v>
      </c>
      <c r="V1315" s="8"/>
      <c r="W1315" s="8"/>
      <c r="X1315" s="8"/>
      <c r="Y1315" s="8"/>
      <c r="Z1315" s="8"/>
    </row>
    <row r="1316" spans="1:26" ht="12.75">
      <c r="A1316" s="11">
        <v>43746.437951388885</v>
      </c>
      <c r="B1316" s="12" t="str">
        <f>HYPERLINK("https://twitter.com/abdalla_alamree","@abdalla_alamree")</f>
        <v>@abdalla_alamree</v>
      </c>
      <c r="C1316" s="13" t="s">
        <v>7461</v>
      </c>
      <c r="D1316" s="7" t="s">
        <v>173</v>
      </c>
      <c r="E1316" s="12" t="str">
        <f>HYPERLINK("https://twitter.com/abdalla_alamree/status/1181622949478047744","1181622949478047744")</f>
        <v>1181622949478047744</v>
      </c>
      <c r="F1316" s="8"/>
      <c r="G1316" s="14" t="s">
        <v>7462</v>
      </c>
      <c r="H1316" s="8"/>
      <c r="I1316" s="15">
        <v>0</v>
      </c>
      <c r="J1316" s="15">
        <v>0</v>
      </c>
      <c r="K1316" s="12" t="str">
        <f>HYPERLINK("http://twitter.com","Twitter Web Client")</f>
        <v>Twitter Web Client</v>
      </c>
      <c r="L1316" s="16">
        <v>1</v>
      </c>
      <c r="M1316" s="16">
        <v>33</v>
      </c>
      <c r="N1316" s="16">
        <v>0</v>
      </c>
      <c r="O1316" s="17"/>
      <c r="P1316" s="18">
        <v>41846.166319444441</v>
      </c>
      <c r="Q1316" s="7"/>
      <c r="R1316" s="13"/>
      <c r="S1316" s="8"/>
      <c r="T1316" s="8"/>
      <c r="U1316" s="19" t="str">
        <f>HYPERLINK("https://pbs.twimg.com/profile_images/494259988999573504/rOIZHWJq.jpeg","View")</f>
        <v>View</v>
      </c>
      <c r="V1316" s="8"/>
      <c r="W1316" s="8"/>
      <c r="X1316" s="8"/>
      <c r="Y1316" s="8"/>
      <c r="Z1316" s="8"/>
    </row>
    <row r="1317" spans="1:26" ht="12.75">
      <c r="A1317" s="11">
        <v>43746.437268518523</v>
      </c>
      <c r="B1317" s="12" t="str">
        <f>HYPERLINK("https://twitter.com/alrawayalii33","@alrawayalii33")</f>
        <v>@alrawayalii33</v>
      </c>
      <c r="C1317" s="13" t="s">
        <v>7466</v>
      </c>
      <c r="D1317" s="7" t="s">
        <v>187</v>
      </c>
      <c r="E1317" s="12" t="str">
        <f>HYPERLINK("https://twitter.com/alrawayalii33/status/1181622704010678272","1181622704010678272")</f>
        <v>1181622704010678272</v>
      </c>
      <c r="F1317" s="8"/>
      <c r="G1317" s="14" t="s">
        <v>7467</v>
      </c>
      <c r="H1317" s="8"/>
      <c r="I1317" s="15">
        <v>0</v>
      </c>
      <c r="J1317" s="15">
        <v>0</v>
      </c>
      <c r="K1317" s="12" t="str">
        <f>HYPERLINK("http://twitter.com","Twitter Web Client")</f>
        <v>Twitter Web Client</v>
      </c>
      <c r="L1317" s="16">
        <v>4</v>
      </c>
      <c r="M1317" s="16">
        <v>35</v>
      </c>
      <c r="N1317" s="16">
        <v>0</v>
      </c>
      <c r="O1317" s="17"/>
      <c r="P1317" s="18">
        <v>42083.442094907412</v>
      </c>
      <c r="Q1317" s="7"/>
      <c r="R1317" s="13"/>
      <c r="S1317" s="8"/>
      <c r="T1317" s="8"/>
      <c r="U1317" s="19" t="str">
        <f>HYPERLINK("https://pbs.twimg.com/profile_images/578973598133526529/awupS_Fd.jpeg","View")</f>
        <v>View</v>
      </c>
      <c r="V1317" s="8"/>
      <c r="W1317" s="8"/>
      <c r="X1317" s="8"/>
      <c r="Y1317" s="8"/>
      <c r="Z1317" s="8"/>
    </row>
    <row r="1318" spans="1:26" ht="12.75">
      <c r="A1318" s="11">
        <v>43746.436643518522</v>
      </c>
      <c r="B1318" s="12" t="str">
        <f>HYPERLINK("https://twitter.com/obaidujaily","@obaidujaily")</f>
        <v>@obaidujaily</v>
      </c>
      <c r="C1318" s="13" t="s">
        <v>7207</v>
      </c>
      <c r="D1318" s="13" t="s">
        <v>7473</v>
      </c>
      <c r="E1318" s="12" t="str">
        <f>HYPERLINK("https://twitter.com/obaidujaily/status/1181622475769225217","1181622475769225217")</f>
        <v>1181622475769225217</v>
      </c>
      <c r="F1318" s="8"/>
      <c r="G1318" s="14" t="s">
        <v>7474</v>
      </c>
      <c r="H1318" s="8"/>
      <c r="I1318" s="15">
        <v>0</v>
      </c>
      <c r="J1318" s="15">
        <v>0</v>
      </c>
      <c r="K1318" s="12" t="str">
        <f>HYPERLINK("http://twitter.com","Twitter Web Client")</f>
        <v>Twitter Web Client</v>
      </c>
      <c r="L1318" s="16">
        <v>0</v>
      </c>
      <c r="M1318" s="16">
        <v>43</v>
      </c>
      <c r="N1318" s="16">
        <v>0</v>
      </c>
      <c r="O1318" s="17"/>
      <c r="P1318" s="18">
        <v>42074.711157407408</v>
      </c>
      <c r="Q1318" s="8"/>
      <c r="R1318" s="8"/>
      <c r="S1318" s="8"/>
      <c r="T1318" s="8"/>
      <c r="U1318" s="19" t="str">
        <f>HYPERLINK("https://pbs.twimg.com/profile_images/575810630046777345/laYuZuD7.jpeg","View")</f>
        <v>View</v>
      </c>
      <c r="V1318" s="8"/>
      <c r="W1318" s="8"/>
      <c r="X1318" s="8"/>
      <c r="Y1318" s="8"/>
      <c r="Z1318" s="8"/>
    </row>
    <row r="1319" spans="1:26" ht="12.75">
      <c r="A1319" s="11">
        <v>43746.436620370368</v>
      </c>
      <c r="B1319" s="12" t="str">
        <f>HYPERLINK("https://twitter.com/Azooz08453483","@Azooz08453483")</f>
        <v>@Azooz08453483</v>
      </c>
      <c r="C1319" s="13" t="s">
        <v>7477</v>
      </c>
      <c r="D1319" s="7" t="s">
        <v>7478</v>
      </c>
      <c r="E1319" s="12" t="str">
        <f>HYPERLINK("https://twitter.com/Azooz08453483/status/1181622467137298433","1181622467137298433")</f>
        <v>1181622467137298433</v>
      </c>
      <c r="F1319" s="8"/>
      <c r="G1319" s="15"/>
      <c r="H1319" s="8"/>
      <c r="I1319" s="15">
        <v>0</v>
      </c>
      <c r="J1319" s="15">
        <v>2</v>
      </c>
      <c r="K1319" s="12" t="str">
        <f>HYPERLINK("http://twitter.com/download/android","Twitter for Android")</f>
        <v>Twitter for Android</v>
      </c>
      <c r="L1319" s="16">
        <v>22</v>
      </c>
      <c r="M1319" s="16">
        <v>178</v>
      </c>
      <c r="N1319" s="16">
        <v>1</v>
      </c>
      <c r="O1319" s="17"/>
      <c r="P1319" s="18">
        <v>43276.539004629631</v>
      </c>
      <c r="Q1319" s="7" t="s">
        <v>7480</v>
      </c>
      <c r="R1319" s="13" t="s">
        <v>7481</v>
      </c>
      <c r="S1319" s="8"/>
      <c r="T1319" s="8"/>
      <c r="U1319" s="19" t="str">
        <f>HYPERLINK("https://pbs.twimg.com/profile_images/1171257895863889921/7PgqpDzX.jpg","View")</f>
        <v>View</v>
      </c>
      <c r="V1319" s="8"/>
      <c r="W1319" s="8"/>
      <c r="X1319" s="8"/>
      <c r="Y1319" s="8"/>
      <c r="Z1319" s="8"/>
    </row>
    <row r="1320" spans="1:26" ht="12.75">
      <c r="A1320" s="11">
        <v>43746.435439814813</v>
      </c>
      <c r="B1320" s="12" t="str">
        <f>HYPERLINK("https://twitter.com/zubairal1","@zubairal1")</f>
        <v>@zubairal1</v>
      </c>
      <c r="C1320" s="13" t="s">
        <v>7483</v>
      </c>
      <c r="D1320" s="7" t="s">
        <v>1236</v>
      </c>
      <c r="E1320" s="12" t="str">
        <f>HYPERLINK("https://twitter.com/zubairal1/status/1181622040840687617","1181622040840687617")</f>
        <v>1181622040840687617</v>
      </c>
      <c r="F1320" s="8"/>
      <c r="G1320" s="14" t="s">
        <v>7484</v>
      </c>
      <c r="H1320" s="8"/>
      <c r="I1320" s="15">
        <v>0</v>
      </c>
      <c r="J1320" s="15">
        <v>0</v>
      </c>
      <c r="K1320" s="12" t="str">
        <f>HYPERLINK("https://mobile.twitter.com","Twitter Web App")</f>
        <v>Twitter Web App</v>
      </c>
      <c r="L1320" s="16">
        <v>0</v>
      </c>
      <c r="M1320" s="16">
        <v>1</v>
      </c>
      <c r="N1320" s="16">
        <v>0</v>
      </c>
      <c r="O1320" s="17"/>
      <c r="P1320" s="18">
        <v>43740.494259259256</v>
      </c>
      <c r="Q1320" s="7" t="s">
        <v>4714</v>
      </c>
      <c r="R1320" s="13" t="s">
        <v>1110</v>
      </c>
      <c r="S1320" s="8"/>
      <c r="T1320" s="8"/>
      <c r="U1320" s="19" t="str">
        <f>HYPERLINK("https://pbs.twimg.com/profile_images/1179523504229601281/rK9J49Pr.jpg","View")</f>
        <v>View</v>
      </c>
      <c r="V1320" s="8"/>
      <c r="W1320" s="8"/>
      <c r="X1320" s="8"/>
      <c r="Y1320" s="8"/>
      <c r="Z1320" s="8"/>
    </row>
    <row r="1321" spans="1:26" ht="12.75">
      <c r="A1321" s="11">
        <v>43746.433900462958</v>
      </c>
      <c r="B1321" s="12" t="str">
        <f>HYPERLINK("https://twitter.com/AmgadOlayman77","@AmgadOlayman77")</f>
        <v>@AmgadOlayman77</v>
      </c>
      <c r="C1321" s="13" t="s">
        <v>7492</v>
      </c>
      <c r="D1321" s="7" t="s">
        <v>2746</v>
      </c>
      <c r="E1321" s="12" t="str">
        <f>HYPERLINK("https://twitter.com/AmgadOlayman77/status/1181621481450672128","1181621481450672128")</f>
        <v>1181621481450672128</v>
      </c>
      <c r="F1321" s="8"/>
      <c r="G1321" s="14" t="s">
        <v>7493</v>
      </c>
      <c r="H1321" s="8"/>
      <c r="I1321" s="15">
        <v>0</v>
      </c>
      <c r="J1321" s="15">
        <v>0</v>
      </c>
      <c r="K1321" s="12" t="str">
        <f>HYPERLINK("http://twitter.com","Twitter Web Client")</f>
        <v>Twitter Web Client</v>
      </c>
      <c r="L1321" s="16">
        <v>0</v>
      </c>
      <c r="M1321" s="16">
        <v>43</v>
      </c>
      <c r="N1321" s="16">
        <v>0</v>
      </c>
      <c r="O1321" s="17"/>
      <c r="P1321" s="18">
        <v>42527.453240740739</v>
      </c>
      <c r="Q1321" s="7"/>
      <c r="R1321" s="13" t="s">
        <v>7495</v>
      </c>
      <c r="S1321" s="8"/>
      <c r="T1321" s="8"/>
      <c r="U1321" s="19" t="str">
        <f>HYPERLINK("https://pbs.twimg.com/profile_images/739877853605580801/pAsKIy6L.jpg","View")</f>
        <v>View</v>
      </c>
      <c r="V1321" s="8"/>
      <c r="W1321" s="8"/>
      <c r="X1321" s="8"/>
      <c r="Y1321" s="8"/>
      <c r="Z1321" s="8"/>
    </row>
    <row r="1322" spans="1:26" ht="12.75">
      <c r="A1322" s="11">
        <v>43746.433368055557</v>
      </c>
      <c r="B1322" s="12" t="str">
        <f>HYPERLINK("https://twitter.com/al55amiia3453","@al55amiia3453")</f>
        <v>@al55amiia3453</v>
      </c>
      <c r="C1322" s="13" t="s">
        <v>7498</v>
      </c>
      <c r="D1322" s="13" t="s">
        <v>4297</v>
      </c>
      <c r="E1322" s="12" t="str">
        <f>HYPERLINK("https://twitter.com/al55amiia3453/status/1181621288349192192","1181621288349192192")</f>
        <v>1181621288349192192</v>
      </c>
      <c r="F1322" s="8"/>
      <c r="G1322" s="14" t="s">
        <v>7499</v>
      </c>
      <c r="H1322" s="8"/>
      <c r="I1322" s="15">
        <v>0</v>
      </c>
      <c r="J1322" s="15">
        <v>0</v>
      </c>
      <c r="K1322" s="12" t="str">
        <f>HYPERLINK("http://twitter.com","Twitter Web Client")</f>
        <v>Twitter Web Client</v>
      </c>
      <c r="L1322" s="16">
        <v>3</v>
      </c>
      <c r="M1322" s="16">
        <v>43</v>
      </c>
      <c r="N1322" s="16">
        <v>0</v>
      </c>
      <c r="O1322" s="17"/>
      <c r="P1322" s="18">
        <v>42074.516238425931</v>
      </c>
      <c r="Q1322" s="8"/>
      <c r="R1322" s="13"/>
      <c r="S1322" s="8"/>
      <c r="T1322" s="8"/>
      <c r="U1322" s="19" t="str">
        <f>HYPERLINK("https://pbs.twimg.com/profile_images/575738995855900673/nbSpXo9K.jpeg","View")</f>
        <v>View</v>
      </c>
      <c r="V1322" s="8"/>
      <c r="W1322" s="8"/>
      <c r="X1322" s="8"/>
      <c r="Y1322" s="8"/>
      <c r="Z1322" s="8"/>
    </row>
    <row r="1323" spans="1:26" ht="12.75">
      <c r="A1323" s="11">
        <v>43746.433240740742</v>
      </c>
      <c r="B1323" s="12" t="str">
        <f>HYPERLINK("https://twitter.com/abdsattaralkas1","@abdsattaralkas1")</f>
        <v>@abdsattaralkas1</v>
      </c>
      <c r="C1323" s="13" t="s">
        <v>7502</v>
      </c>
      <c r="D1323" s="13" t="s">
        <v>2751</v>
      </c>
      <c r="E1323" s="12" t="str">
        <f>HYPERLINK("https://twitter.com/abdsattaralkas1/status/1181621242270494720","1181621242270494720")</f>
        <v>1181621242270494720</v>
      </c>
      <c r="F1323" s="8"/>
      <c r="G1323" s="14" t="s">
        <v>7503</v>
      </c>
      <c r="H1323" s="8"/>
      <c r="I1323" s="15">
        <v>0</v>
      </c>
      <c r="J1323" s="15">
        <v>0</v>
      </c>
      <c r="K1323" s="12" t="str">
        <f>HYPERLINK("http://twitter.com","Twitter Web Client")</f>
        <v>Twitter Web Client</v>
      </c>
      <c r="L1323" s="16">
        <v>10</v>
      </c>
      <c r="M1323" s="16">
        <v>41</v>
      </c>
      <c r="N1323" s="16">
        <v>0</v>
      </c>
      <c r="O1323" s="17"/>
      <c r="P1323" s="18">
        <v>42070.704016203701</v>
      </c>
      <c r="Q1323" s="8"/>
      <c r="R1323" s="8"/>
      <c r="S1323" s="8"/>
      <c r="T1323" s="8"/>
      <c r="U1323" s="19" t="str">
        <f>HYPERLINK("https://pbs.twimg.com/profile_images/574372805208186880/gIwDSvTa.jpeg","View")</f>
        <v>View</v>
      </c>
      <c r="V1323" s="8"/>
      <c r="W1323" s="8"/>
      <c r="X1323" s="8"/>
      <c r="Y1323" s="8"/>
      <c r="Z1323" s="8"/>
    </row>
    <row r="1324" spans="1:26" ht="12.75">
      <c r="A1324" s="11">
        <v>43746.432708333334</v>
      </c>
      <c r="B1324" s="12" t="str">
        <f>HYPERLINK("https://twitter.com/khalidmubaraio","@khalidmubaraio")</f>
        <v>@khalidmubaraio</v>
      </c>
      <c r="C1324" s="13" t="s">
        <v>7183</v>
      </c>
      <c r="D1324" s="13" t="s">
        <v>4310</v>
      </c>
      <c r="E1324" s="12" t="str">
        <f>HYPERLINK("https://twitter.com/khalidmubaraio/status/1181621051219988480","1181621051219988480")</f>
        <v>1181621051219988480</v>
      </c>
      <c r="F1324" s="8"/>
      <c r="G1324" s="14" t="s">
        <v>7507</v>
      </c>
      <c r="H1324" s="8"/>
      <c r="I1324" s="15">
        <v>0</v>
      </c>
      <c r="J1324" s="15">
        <v>0</v>
      </c>
      <c r="K1324" s="12" t="str">
        <f>HYPERLINK("http://twitter.com","Twitter Web Client")</f>
        <v>Twitter Web Client</v>
      </c>
      <c r="L1324" s="16">
        <v>0</v>
      </c>
      <c r="M1324" s="16">
        <v>43</v>
      </c>
      <c r="N1324" s="16">
        <v>0</v>
      </c>
      <c r="O1324" s="17"/>
      <c r="P1324" s="18">
        <v>42074.726516203707</v>
      </c>
      <c r="Q1324" s="8"/>
      <c r="R1324" s="13"/>
      <c r="S1324" s="8"/>
      <c r="T1324" s="8"/>
      <c r="U1324" s="19" t="str">
        <f>HYPERLINK("https://pbs.twimg.com/profile_images/575820085547307008/RvxfYwC-.jpeg","View")</f>
        <v>View</v>
      </c>
      <c r="V1324" s="8"/>
      <c r="W1324" s="8"/>
      <c r="X1324" s="8"/>
      <c r="Y1324" s="8"/>
      <c r="Z1324" s="8"/>
    </row>
    <row r="1325" spans="1:26" ht="12.75">
      <c r="A1325" s="11">
        <v>43746.432523148149</v>
      </c>
      <c r="B1325" s="12" t="str">
        <f>HYPERLINK("https://twitter.com/mishaarielmoha1","@mishaarielmoha1")</f>
        <v>@mishaarielmoha1</v>
      </c>
      <c r="C1325" s="13" t="s">
        <v>7508</v>
      </c>
      <c r="D1325" s="13" t="s">
        <v>28</v>
      </c>
      <c r="E1325" s="12" t="str">
        <f>HYPERLINK("https://twitter.com/mishaarielmoha1/status/1181620981334302720","1181620981334302720")</f>
        <v>1181620981334302720</v>
      </c>
      <c r="F1325" s="8"/>
      <c r="G1325" s="14" t="s">
        <v>1267</v>
      </c>
      <c r="H1325" s="8"/>
      <c r="I1325" s="15">
        <v>0</v>
      </c>
      <c r="J1325" s="15">
        <v>0</v>
      </c>
      <c r="K1325" s="12" t="str">
        <f>HYPERLINK("https://mobile.twitter.com","Twitter Web App")</f>
        <v>Twitter Web App</v>
      </c>
      <c r="L1325" s="16">
        <v>0</v>
      </c>
      <c r="M1325" s="16">
        <v>0</v>
      </c>
      <c r="N1325" s="16">
        <v>0</v>
      </c>
      <c r="O1325" s="17"/>
      <c r="P1325" s="18">
        <v>43740.485219907408</v>
      </c>
      <c r="Q1325" s="8" t="s">
        <v>4714</v>
      </c>
      <c r="R1325" s="8" t="s">
        <v>912</v>
      </c>
      <c r="S1325" s="8"/>
      <c r="T1325" s="8"/>
      <c r="U1325" s="19" t="str">
        <f>HYPERLINK("https://pbs.twimg.com/profile_images/1179513790942990338/T13IUYPx.jpg","View")</f>
        <v>View</v>
      </c>
      <c r="V1325" s="8"/>
      <c r="W1325" s="8"/>
      <c r="X1325" s="8"/>
      <c r="Y1325" s="8"/>
      <c r="Z1325" s="8"/>
    </row>
    <row r="1326" spans="1:26" ht="12.75">
      <c r="A1326" s="11">
        <v>43746.432453703703</v>
      </c>
      <c r="B1326" s="12" t="str">
        <f>HYPERLINK("https://twitter.com/metebahmed3","@metebahmed3")</f>
        <v>@metebahmed3</v>
      </c>
      <c r="C1326" s="13" t="s">
        <v>7509</v>
      </c>
      <c r="D1326" s="13" t="s">
        <v>211</v>
      </c>
      <c r="E1326" s="12" t="str">
        <f>HYPERLINK("https://twitter.com/metebahmed3/status/1181620959150792705","1181620959150792705")</f>
        <v>1181620959150792705</v>
      </c>
      <c r="F1326" s="8"/>
      <c r="G1326" s="14" t="s">
        <v>7512</v>
      </c>
      <c r="H1326" s="8"/>
      <c r="I1326" s="15">
        <v>0</v>
      </c>
      <c r="J1326" s="15">
        <v>0</v>
      </c>
      <c r="K1326" s="12" t="str">
        <f>HYPERLINK("http://twitter.com","Twitter Web Client")</f>
        <v>Twitter Web Client</v>
      </c>
      <c r="L1326" s="16">
        <v>2</v>
      </c>
      <c r="M1326" s="16">
        <v>42</v>
      </c>
      <c r="N1326" s="16">
        <v>0</v>
      </c>
      <c r="O1326" s="17"/>
      <c r="P1326" s="18">
        <v>42071.081203703703</v>
      </c>
      <c r="Q1326" s="8"/>
      <c r="R1326" s="8"/>
      <c r="S1326" s="8"/>
      <c r="T1326" s="8"/>
      <c r="U1326" s="19" t="str">
        <f>HYPERLINK("https://pbs.twimg.com/profile_images/574509318126481409/YCCbXTEA.jpeg","View")</f>
        <v>View</v>
      </c>
      <c r="V1326" s="8"/>
      <c r="W1326" s="8"/>
      <c r="X1326" s="8"/>
      <c r="Y1326" s="8"/>
      <c r="Z1326" s="8"/>
    </row>
    <row r="1327" spans="1:26" ht="12.75">
      <c r="A1327" s="11">
        <v>43746.432210648149</v>
      </c>
      <c r="B1327" s="12" t="str">
        <f>HYPERLINK("https://twitter.com/al3abedeee55","@al3abedeee55")</f>
        <v>@al3abedeee55</v>
      </c>
      <c r="C1327" s="13" t="s">
        <v>7516</v>
      </c>
      <c r="D1327" s="13" t="s">
        <v>4331</v>
      </c>
      <c r="E1327" s="12" t="str">
        <f>HYPERLINK("https://twitter.com/al3abedeee55/status/1181620869212381186","1181620869212381186")</f>
        <v>1181620869212381186</v>
      </c>
      <c r="F1327" s="8"/>
      <c r="G1327" s="14" t="s">
        <v>7517</v>
      </c>
      <c r="H1327" s="8"/>
      <c r="I1327" s="15">
        <v>0</v>
      </c>
      <c r="J1327" s="15">
        <v>0</v>
      </c>
      <c r="K1327" s="12" t="str">
        <f>HYPERLINK("http://twitter.com","Twitter Web Client")</f>
        <v>Twitter Web Client</v>
      </c>
      <c r="L1327" s="16">
        <v>6</v>
      </c>
      <c r="M1327" s="16">
        <v>41</v>
      </c>
      <c r="N1327" s="16">
        <v>0</v>
      </c>
      <c r="O1327" s="17"/>
      <c r="P1327" s="18">
        <v>42074.690243055556</v>
      </c>
      <c r="Q1327" s="8"/>
      <c r="R1327" s="8"/>
      <c r="S1327" s="8"/>
      <c r="T1327" s="8"/>
      <c r="U1327" s="19" t="str">
        <f>HYPERLINK("https://pbs.twimg.com/profile_images/575802004808708096/tMTu0uir.jpeg","View")</f>
        <v>View</v>
      </c>
      <c r="V1327" s="8"/>
      <c r="W1327" s="8"/>
      <c r="X1327" s="8"/>
      <c r="Y1327" s="8"/>
      <c r="Z1327" s="8"/>
    </row>
    <row r="1328" spans="1:26" ht="12.75">
      <c r="A1328" s="11">
        <v>43746.431284722217</v>
      </c>
      <c r="B1328" s="12" t="str">
        <f>HYPERLINK("https://twitter.com/muslehuiomari","@muslehuiomari")</f>
        <v>@muslehuiomari</v>
      </c>
      <c r="C1328" s="13" t="s">
        <v>7518</v>
      </c>
      <c r="D1328" s="13" t="s">
        <v>218</v>
      </c>
      <c r="E1328" s="12" t="str">
        <f>HYPERLINK("https://twitter.com/muslehuiomari/status/1181620535106703361","1181620535106703361")</f>
        <v>1181620535106703361</v>
      </c>
      <c r="F1328" s="8"/>
      <c r="G1328" s="14" t="s">
        <v>7519</v>
      </c>
      <c r="H1328" s="8"/>
      <c r="I1328" s="15">
        <v>0</v>
      </c>
      <c r="J1328" s="15">
        <v>0</v>
      </c>
      <c r="K1328" s="12" t="str">
        <f>HYPERLINK("http://twitter.com","Twitter Web Client")</f>
        <v>Twitter Web Client</v>
      </c>
      <c r="L1328" s="16">
        <v>0</v>
      </c>
      <c r="M1328" s="16">
        <v>43</v>
      </c>
      <c r="N1328" s="16">
        <v>0</v>
      </c>
      <c r="O1328" s="17"/>
      <c r="P1328" s="18">
        <v>42074.820173611108</v>
      </c>
      <c r="Q1328" s="7"/>
      <c r="R1328" s="13"/>
      <c r="S1328" s="8"/>
      <c r="T1328" s="8"/>
      <c r="U1328" s="19" t="str">
        <f>HYPERLINK("https://pbs.twimg.com/profile_images/575849959473315840/atIoSBkr.jpeg","View")</f>
        <v>View</v>
      </c>
      <c r="V1328" s="8"/>
      <c r="W1328" s="8"/>
      <c r="X1328" s="8"/>
      <c r="Y1328" s="8"/>
      <c r="Z1328" s="8"/>
    </row>
    <row r="1329" spans="1:26" ht="12.75">
      <c r="A1329" s="11">
        <v>43746.429884259254</v>
      </c>
      <c r="B1329" s="12" t="str">
        <f>HYPERLINK("https://twitter.com/abu_abdulah26","@abu_abdulah26")</f>
        <v>@abu_abdulah26</v>
      </c>
      <c r="C1329" s="13" t="s">
        <v>7520</v>
      </c>
      <c r="D1329" s="13" t="s">
        <v>1030</v>
      </c>
      <c r="E1329" s="12" t="str">
        <f>HYPERLINK("https://twitter.com/abu_abdulah26/status/1181620027868377088","1181620027868377088")</f>
        <v>1181620027868377088</v>
      </c>
      <c r="F1329" s="8"/>
      <c r="G1329" s="14" t="s">
        <v>7521</v>
      </c>
      <c r="H1329" s="8"/>
      <c r="I1329" s="15">
        <v>0</v>
      </c>
      <c r="J1329" s="15">
        <v>0</v>
      </c>
      <c r="K1329" s="12" t="str">
        <f>HYPERLINK("https://mobile.twitter.com","Twitter Web App")</f>
        <v>Twitter Web App</v>
      </c>
      <c r="L1329" s="16">
        <v>0</v>
      </c>
      <c r="M1329" s="16">
        <v>1</v>
      </c>
      <c r="N1329" s="16">
        <v>0</v>
      </c>
      <c r="O1329" s="17"/>
      <c r="P1329" s="18">
        <v>43723.107071759259</v>
      </c>
      <c r="Q1329" s="8" t="s">
        <v>1133</v>
      </c>
      <c r="R1329" s="8" t="s">
        <v>955</v>
      </c>
      <c r="S1329" s="8"/>
      <c r="T1329" s="8"/>
      <c r="U1329" s="19" t="str">
        <f>HYPERLINK("https://pbs.twimg.com/profile_images/1176457925004447744/WXRLb9gV.jpg","View")</f>
        <v>View</v>
      </c>
      <c r="V1329" s="8"/>
      <c r="W1329" s="8"/>
      <c r="X1329" s="8"/>
      <c r="Y1329" s="8"/>
      <c r="Z1329" s="8"/>
    </row>
    <row r="1330" spans="1:26" ht="12.75">
      <c r="A1330" s="11">
        <v>43746.429386574076</v>
      </c>
      <c r="B1330" s="12" t="str">
        <f>HYPERLINK("https://twitter.com/WalshonMergers","@WalshonMergers")</f>
        <v>@WalshonMergers</v>
      </c>
      <c r="C1330" s="13" t="s">
        <v>7522</v>
      </c>
      <c r="D1330" s="13" t="s">
        <v>7523</v>
      </c>
      <c r="E1330" s="12" t="str">
        <f>HYPERLINK("https://twitter.com/WalshonMergers/status/1181619846418706432","1181619846418706432")</f>
        <v>1181619846418706432</v>
      </c>
      <c r="F1330" s="8"/>
      <c r="G1330" s="15"/>
      <c r="H1330" s="8"/>
      <c r="I1330" s="15">
        <v>0</v>
      </c>
      <c r="J1330" s="15">
        <v>0</v>
      </c>
      <c r="K1330" s="12" t="str">
        <f>HYPERLINK("http://twitter.com/download/android","Twitter for Android")</f>
        <v>Twitter for Android</v>
      </c>
      <c r="L1330" s="16">
        <v>4436</v>
      </c>
      <c r="M1330" s="16">
        <v>3173</v>
      </c>
      <c r="N1330" s="16">
        <v>134</v>
      </c>
      <c r="O1330" s="17"/>
      <c r="P1330" s="18">
        <v>40619.370347222226</v>
      </c>
      <c r="Q1330" s="8" t="s">
        <v>7526</v>
      </c>
      <c r="R1330" s="8" t="s">
        <v>7527</v>
      </c>
      <c r="S1330" s="14" t="s">
        <v>7528</v>
      </c>
      <c r="T1330" s="8"/>
      <c r="U1330" s="19" t="str">
        <f>HYPERLINK("https://pbs.twimg.com/profile_images/940236229139820544/6dVcW2WO.jpg","View")</f>
        <v>View</v>
      </c>
      <c r="V1330" s="8"/>
      <c r="W1330" s="8"/>
      <c r="X1330" s="8"/>
      <c r="Y1330" s="8"/>
      <c r="Z1330" s="8"/>
    </row>
    <row r="1331" spans="1:26" ht="12.75">
      <c r="A1331" s="11">
        <v>43746.428761574076</v>
      </c>
      <c r="B1331" s="12" t="str">
        <f>HYPERLINK("https://twitter.com/IhamraniSaad","@IhamraniSaad")</f>
        <v>@IhamraniSaad</v>
      </c>
      <c r="C1331" s="13" t="s">
        <v>7538</v>
      </c>
      <c r="D1331" s="7" t="s">
        <v>4350</v>
      </c>
      <c r="E1331" s="12" t="str">
        <f>HYPERLINK("https://twitter.com/IhamraniSaad/status/1181619618714177541","1181619618714177541")</f>
        <v>1181619618714177541</v>
      </c>
      <c r="F1331" s="8"/>
      <c r="G1331" s="14" t="s">
        <v>7541</v>
      </c>
      <c r="H1331" s="8"/>
      <c r="I1331" s="15">
        <v>0</v>
      </c>
      <c r="J1331" s="15">
        <v>0</v>
      </c>
      <c r="K1331" s="12" t="str">
        <f>HYPERLINK("http://twitter.com","Twitter Web Client")</f>
        <v>Twitter Web Client</v>
      </c>
      <c r="L1331" s="16">
        <v>0</v>
      </c>
      <c r="M1331" s="16">
        <v>36</v>
      </c>
      <c r="N1331" s="16">
        <v>0</v>
      </c>
      <c r="O1331" s="17"/>
      <c r="P1331" s="18">
        <v>42066.738333333335</v>
      </c>
      <c r="Q1331" s="7"/>
      <c r="R1331" s="13"/>
      <c r="S1331" s="8"/>
      <c r="T1331" s="8"/>
      <c r="U1331" s="19" t="str">
        <f>HYPERLINK("https://pbs.twimg.com/profile_images/572937114577170432/DW-qm8I3.jpeg","View")</f>
        <v>View</v>
      </c>
      <c r="V1331" s="8"/>
      <c r="W1331" s="8"/>
      <c r="X1331" s="8"/>
      <c r="Y1331" s="8"/>
      <c r="Z1331" s="8"/>
    </row>
    <row r="1332" spans="1:26" ht="12.75">
      <c r="A1332" s="11">
        <v>43746.427858796298</v>
      </c>
      <c r="B1332" s="12" t="str">
        <f>HYPERLINK("https://twitter.com/AlrizkMousa","@AlrizkMousa")</f>
        <v>@AlrizkMousa</v>
      </c>
      <c r="C1332" s="13" t="s">
        <v>7545</v>
      </c>
      <c r="D1332" s="7" t="s">
        <v>239</v>
      </c>
      <c r="E1332" s="12" t="str">
        <f>HYPERLINK("https://twitter.com/AlrizkMousa/status/1181619291566813184","1181619291566813184")</f>
        <v>1181619291566813184</v>
      </c>
      <c r="F1332" s="8"/>
      <c r="G1332" s="14" t="s">
        <v>7546</v>
      </c>
      <c r="H1332" s="8"/>
      <c r="I1332" s="15">
        <v>0</v>
      </c>
      <c r="J1332" s="15">
        <v>0</v>
      </c>
      <c r="K1332" s="12" t="str">
        <f>HYPERLINK("http://twitter.com","Twitter Web Client")</f>
        <v>Twitter Web Client</v>
      </c>
      <c r="L1332" s="16">
        <v>6</v>
      </c>
      <c r="M1332" s="16">
        <v>42</v>
      </c>
      <c r="N1332" s="16">
        <v>0</v>
      </c>
      <c r="O1332" s="17"/>
      <c r="P1332" s="18">
        <v>42074.271793981483</v>
      </c>
      <c r="Q1332" s="7"/>
      <c r="R1332" s="13"/>
      <c r="S1332" s="8"/>
      <c r="T1332" s="8"/>
      <c r="U1332" s="19" t="str">
        <f>HYPERLINK("https://pbs.twimg.com/profile_images/575668232545177600/OYLFHhsY.jpeg","View")</f>
        <v>View</v>
      </c>
      <c r="V1332" s="8"/>
      <c r="W1332" s="8"/>
      <c r="X1332" s="8"/>
      <c r="Y1332" s="8"/>
      <c r="Z1332" s="8"/>
    </row>
    <row r="1333" spans="1:26" ht="12.75">
      <c r="A1333" s="11">
        <v>43746.425763888888</v>
      </c>
      <c r="B1333" s="12" t="str">
        <f>HYPERLINK("https://twitter.com/hasaann323","@hasaann323")</f>
        <v>@hasaann323</v>
      </c>
      <c r="C1333" s="13" t="s">
        <v>7549</v>
      </c>
      <c r="D1333" s="7" t="s">
        <v>4394</v>
      </c>
      <c r="E1333" s="12" t="str">
        <f>HYPERLINK("https://twitter.com/hasaann323/status/1181618535782596608","1181618535782596608")</f>
        <v>1181618535782596608</v>
      </c>
      <c r="F1333" s="8"/>
      <c r="G1333" s="14" t="s">
        <v>7550</v>
      </c>
      <c r="H1333" s="8"/>
      <c r="I1333" s="15">
        <v>0</v>
      </c>
      <c r="J1333" s="15">
        <v>0</v>
      </c>
      <c r="K1333" s="12" t="str">
        <f>HYPERLINK("http://twitter.com","Twitter Web Client")</f>
        <v>Twitter Web Client</v>
      </c>
      <c r="L1333" s="16">
        <v>14</v>
      </c>
      <c r="M1333" s="16">
        <v>53</v>
      </c>
      <c r="N1333" s="16">
        <v>0</v>
      </c>
      <c r="O1333" s="17"/>
      <c r="P1333" s="18">
        <v>42073.671064814815</v>
      </c>
      <c r="Q1333" s="7"/>
      <c r="R1333" s="13"/>
      <c r="S1333" s="8"/>
      <c r="T1333" s="8"/>
      <c r="U1333" s="19" t="str">
        <f>HYPERLINK("https://pbs.twimg.com/profile_images/575432711919132672/SQH1d0dr.jpeg","View")</f>
        <v>View</v>
      </c>
      <c r="V1333" s="8"/>
      <c r="W1333" s="8"/>
      <c r="X1333" s="8"/>
      <c r="Y1333" s="8"/>
      <c r="Z1333" s="8"/>
    </row>
    <row r="1334" spans="1:26" ht="12.75">
      <c r="A1334" s="11">
        <v>43746.425509259258</v>
      </c>
      <c r="B1334" s="12" t="str">
        <f>HYPERLINK("https://twitter.com/kathynwk","@kathynwk")</f>
        <v>@kathynwk</v>
      </c>
      <c r="C1334" s="13" t="s">
        <v>7555</v>
      </c>
      <c r="D1334" s="7" t="s">
        <v>7556</v>
      </c>
      <c r="E1334" s="12" t="str">
        <f>HYPERLINK("https://twitter.com/kathynwk/status/1181618440152535040","1181618440152535040")</f>
        <v>1181618440152535040</v>
      </c>
      <c r="F1334" s="8"/>
      <c r="G1334" s="15"/>
      <c r="H1334" s="8"/>
      <c r="I1334" s="15">
        <v>0</v>
      </c>
      <c r="J1334" s="15">
        <v>0</v>
      </c>
      <c r="K1334" s="12" t="str">
        <f>HYPERLINK("https://mobile.twitter.com","Twitter Web App")</f>
        <v>Twitter Web App</v>
      </c>
      <c r="L1334" s="16">
        <v>125</v>
      </c>
      <c r="M1334" s="16">
        <v>351</v>
      </c>
      <c r="N1334" s="16">
        <v>0</v>
      </c>
      <c r="O1334" s="17"/>
      <c r="P1334" s="18">
        <v>39982.613935185189</v>
      </c>
      <c r="Q1334" s="8"/>
      <c r="R1334" s="13"/>
      <c r="S1334" s="8"/>
      <c r="T1334" s="8"/>
      <c r="U1334" s="19" t="str">
        <f>HYPERLINK("https://pbs.twimg.com/profile_images/1039197386160189443/2u23YwFI.jpg","View")</f>
        <v>View</v>
      </c>
      <c r="V1334" s="8"/>
      <c r="W1334" s="8"/>
      <c r="X1334" s="8"/>
      <c r="Y1334" s="8"/>
      <c r="Z1334" s="8"/>
    </row>
    <row r="1335" spans="1:26" ht="12.75">
      <c r="A1335" s="11">
        <v>43746.424444444448</v>
      </c>
      <c r="B1335" s="12" t="str">
        <f>HYPERLINK("https://twitter.com/uimorshedi","@uimorshedi")</f>
        <v>@uimorshedi</v>
      </c>
      <c r="C1335" s="7" t="s">
        <v>7561</v>
      </c>
      <c r="D1335" s="7" t="s">
        <v>4429</v>
      </c>
      <c r="E1335" s="12" t="str">
        <f>HYPERLINK("https://twitter.com/uimorshedi/status/1181618056440758273","1181618056440758273")</f>
        <v>1181618056440758273</v>
      </c>
      <c r="F1335" s="8"/>
      <c r="G1335" s="14" t="s">
        <v>7562</v>
      </c>
      <c r="H1335" s="8"/>
      <c r="I1335" s="15">
        <v>0</v>
      </c>
      <c r="J1335" s="15">
        <v>0</v>
      </c>
      <c r="K1335" s="12" t="str">
        <f>HYPERLINK("http://twitter.com","Twitter Web Client")</f>
        <v>Twitter Web Client</v>
      </c>
      <c r="L1335" s="16">
        <v>0</v>
      </c>
      <c r="M1335" s="16">
        <v>34</v>
      </c>
      <c r="N1335" s="16">
        <v>0</v>
      </c>
      <c r="O1335" s="17"/>
      <c r="P1335" s="18">
        <v>42085.166747685187</v>
      </c>
      <c r="Q1335" s="8"/>
      <c r="R1335" s="8"/>
      <c r="S1335" s="8"/>
      <c r="T1335" s="8"/>
      <c r="U1335" s="19" t="str">
        <f>HYPERLINK("https://pbs.twimg.com/profile_images/579599183046414336/TRBNb4OB.jpg","View")</f>
        <v>View</v>
      </c>
      <c r="V1335" s="8"/>
      <c r="W1335" s="8"/>
      <c r="X1335" s="8"/>
      <c r="Y1335" s="8"/>
      <c r="Z1335" s="8"/>
    </row>
    <row r="1336" spans="1:26" ht="12.75">
      <c r="A1336" s="11">
        <v>43746.424004629633</v>
      </c>
      <c r="B1336" s="12" t="str">
        <f>HYPERLINK("https://twitter.com/ammaaral2","@ammaaral2")</f>
        <v>@ammaaral2</v>
      </c>
      <c r="C1336" s="13" t="s">
        <v>7566</v>
      </c>
      <c r="D1336" s="7" t="s">
        <v>968</v>
      </c>
      <c r="E1336" s="12" t="str">
        <f>HYPERLINK("https://twitter.com/ammaaral2/status/1181617894808883200","1181617894808883200")</f>
        <v>1181617894808883200</v>
      </c>
      <c r="F1336" s="8"/>
      <c r="G1336" s="14" t="s">
        <v>7567</v>
      </c>
      <c r="H1336" s="8"/>
      <c r="I1336" s="15">
        <v>0</v>
      </c>
      <c r="J1336" s="15">
        <v>0</v>
      </c>
      <c r="K1336" s="12" t="str">
        <f>HYPERLINK("https://mobile.twitter.com","Twitter Web App")</f>
        <v>Twitter Web App</v>
      </c>
      <c r="L1336" s="16">
        <v>0</v>
      </c>
      <c r="M1336" s="16">
        <v>0</v>
      </c>
      <c r="N1336" s="16">
        <v>0</v>
      </c>
      <c r="O1336" s="17"/>
      <c r="P1336" s="18">
        <v>43740.479039351849</v>
      </c>
      <c r="Q1336" s="7" t="s">
        <v>4714</v>
      </c>
      <c r="R1336" s="13" t="s">
        <v>925</v>
      </c>
      <c r="S1336" s="8"/>
      <c r="T1336" s="8"/>
      <c r="U1336" s="19" t="str">
        <f>HYPERLINK("https://pbs.twimg.com/profile_images/1179511139358535680/iBPHFTVq.jpg","View")</f>
        <v>View</v>
      </c>
      <c r="V1336" s="8"/>
      <c r="W1336" s="8"/>
      <c r="X1336" s="8"/>
      <c r="Y1336" s="8"/>
      <c r="Z1336" s="8"/>
    </row>
    <row r="1337" spans="1:26" ht="12.75">
      <c r="A1337" s="11">
        <v>43746.423657407402</v>
      </c>
      <c r="B1337" s="12" t="str">
        <f>HYPERLINK("https://twitter.com/obaidohammadi","@obaidohammadi")</f>
        <v>@obaidohammadi</v>
      </c>
      <c r="C1337" s="13" t="s">
        <v>7568</v>
      </c>
      <c r="D1337" s="13" t="s">
        <v>2864</v>
      </c>
      <c r="E1337" s="12" t="str">
        <f>HYPERLINK("https://twitter.com/obaidohammadi/status/1181617768971591680","1181617768971591680")</f>
        <v>1181617768971591680</v>
      </c>
      <c r="F1337" s="8"/>
      <c r="G1337" s="14" t="s">
        <v>7569</v>
      </c>
      <c r="H1337" s="8"/>
      <c r="I1337" s="15">
        <v>0</v>
      </c>
      <c r="J1337" s="15">
        <v>0</v>
      </c>
      <c r="K1337" s="12" t="str">
        <f>HYPERLINK("http://twitter.com","Twitter Web Client")</f>
        <v>Twitter Web Client</v>
      </c>
      <c r="L1337" s="16">
        <v>9</v>
      </c>
      <c r="M1337" s="16">
        <v>41</v>
      </c>
      <c r="N1337" s="16">
        <v>0</v>
      </c>
      <c r="O1337" s="17"/>
      <c r="P1337" s="18">
        <v>42072.1487962963</v>
      </c>
      <c r="Q1337" s="7"/>
      <c r="R1337" s="13"/>
      <c r="S1337" s="8"/>
      <c r="T1337" s="8"/>
      <c r="U1337" s="19" t="str">
        <f>HYPERLINK("https://pbs.twimg.com/profile_images/574881831343910912/sYVm3khV.jpeg","View")</f>
        <v>View</v>
      </c>
      <c r="V1337" s="8"/>
      <c r="W1337" s="8"/>
      <c r="X1337" s="8"/>
      <c r="Y1337" s="8"/>
      <c r="Z1337" s="8"/>
    </row>
    <row r="1338" spans="1:26" ht="12.75">
      <c r="A1338" s="11">
        <v>43746.423391203702</v>
      </c>
      <c r="B1338" s="12" t="str">
        <f>HYPERLINK("https://twitter.com/farg_elsa3dee","@farg_elsa3dee")</f>
        <v>@farg_elsa3dee</v>
      </c>
      <c r="C1338" s="13" t="s">
        <v>7572</v>
      </c>
      <c r="D1338" s="7" t="s">
        <v>7573</v>
      </c>
      <c r="E1338" s="12" t="str">
        <f>HYPERLINK("https://twitter.com/farg_elsa3dee/status/1181617675543437315","1181617675543437315")</f>
        <v>1181617675543437315</v>
      </c>
      <c r="F1338" s="8"/>
      <c r="G1338" s="14" t="s">
        <v>7574</v>
      </c>
      <c r="H1338" s="8"/>
      <c r="I1338" s="15">
        <v>0</v>
      </c>
      <c r="J1338" s="15">
        <v>0</v>
      </c>
      <c r="K1338" s="12" t="str">
        <f>HYPERLINK("http://twitter.com","Twitter Web Client")</f>
        <v>Twitter Web Client</v>
      </c>
      <c r="L1338" s="16">
        <v>0</v>
      </c>
      <c r="M1338" s="16">
        <v>33</v>
      </c>
      <c r="N1338" s="16">
        <v>0</v>
      </c>
      <c r="O1338" s="17"/>
      <c r="P1338" s="18">
        <v>41845.283194444448</v>
      </c>
      <c r="Q1338" s="7"/>
      <c r="R1338" s="13"/>
      <c r="S1338" s="8"/>
      <c r="T1338" s="8"/>
      <c r="U1338" s="19" t="str">
        <f>HYPERLINK("https://pbs.twimg.com/profile_images/493436535140675584/tAUat7dv.jpeg","View")</f>
        <v>View</v>
      </c>
      <c r="V1338" s="8"/>
      <c r="W1338" s="8"/>
      <c r="X1338" s="8"/>
      <c r="Y1338" s="8"/>
      <c r="Z1338" s="8"/>
    </row>
    <row r="1339" spans="1:26" ht="12.75">
      <c r="A1339" s="11">
        <v>43746.423136574071</v>
      </c>
      <c r="B1339" s="12" t="str">
        <f>HYPERLINK("https://twitter.com/mofaraae33","@mofaraae33")</f>
        <v>@mofaraae33</v>
      </c>
      <c r="C1339" s="13" t="s">
        <v>7579</v>
      </c>
      <c r="D1339" s="13" t="s">
        <v>2873</v>
      </c>
      <c r="E1339" s="12" t="str">
        <f>HYPERLINK("https://twitter.com/mofaraae33/status/1181617581691752448","1181617581691752448")</f>
        <v>1181617581691752448</v>
      </c>
      <c r="F1339" s="8"/>
      <c r="G1339" s="14" t="s">
        <v>7581</v>
      </c>
      <c r="H1339" s="8"/>
      <c r="I1339" s="15">
        <v>0</v>
      </c>
      <c r="J1339" s="15">
        <v>0</v>
      </c>
      <c r="K1339" s="12" t="str">
        <f>HYPERLINK("http://twitter.com","Twitter Web Client")</f>
        <v>Twitter Web Client</v>
      </c>
      <c r="L1339" s="16">
        <v>3</v>
      </c>
      <c r="M1339" s="16">
        <v>37</v>
      </c>
      <c r="N1339" s="16">
        <v>0</v>
      </c>
      <c r="O1339" s="17"/>
      <c r="P1339" s="18">
        <v>42077.519479166665</v>
      </c>
      <c r="Q1339" s="8"/>
      <c r="R1339" s="8"/>
      <c r="S1339" s="8"/>
      <c r="T1339" s="8"/>
      <c r="U1339" s="19" t="str">
        <f>HYPERLINK("https://pbs.twimg.com/profile_images/576827297606467584/hd571602.jpeg","View")</f>
        <v>View</v>
      </c>
      <c r="V1339" s="8"/>
      <c r="W1339" s="8"/>
      <c r="X1339" s="8"/>
      <c r="Y1339" s="8"/>
      <c r="Z1339" s="8"/>
    </row>
    <row r="1340" spans="1:26" ht="12.75">
      <c r="A1340" s="11">
        <v>43746.422395833331</v>
      </c>
      <c r="B1340" s="12" t="str">
        <f>HYPERLINK("https://twitter.com/abdulazizalkhu7","@abdulazizalkhu7")</f>
        <v>@abdulazizalkhu7</v>
      </c>
      <c r="C1340" s="7" t="s">
        <v>7584</v>
      </c>
      <c r="D1340" s="7" t="s">
        <v>2879</v>
      </c>
      <c r="E1340" s="12" t="str">
        <f>HYPERLINK("https://twitter.com/abdulazizalkhu7/status/1181617314665570306","1181617314665570306")</f>
        <v>1181617314665570306</v>
      </c>
      <c r="F1340" s="15"/>
      <c r="G1340" s="14" t="s">
        <v>7585</v>
      </c>
      <c r="H1340" s="8"/>
      <c r="I1340" s="15">
        <v>0</v>
      </c>
      <c r="J1340" s="15">
        <v>0</v>
      </c>
      <c r="K1340" s="12" t="str">
        <f>HYPERLINK("http://twitter.com","Twitter Web Client")</f>
        <v>Twitter Web Client</v>
      </c>
      <c r="L1340" s="16">
        <v>1</v>
      </c>
      <c r="M1340" s="16">
        <v>34</v>
      </c>
      <c r="N1340" s="16">
        <v>0</v>
      </c>
      <c r="O1340" s="17"/>
      <c r="P1340" s="18">
        <v>42084.811712962968</v>
      </c>
      <c r="Q1340" s="8"/>
      <c r="R1340" s="7"/>
      <c r="S1340" s="8"/>
      <c r="T1340" s="8"/>
      <c r="U1340" s="19" t="str">
        <f>HYPERLINK("https://pbs.twimg.com/profile_images/579471996758560768/-2ED_idA.jpg","View")</f>
        <v>View</v>
      </c>
      <c r="V1340" s="8"/>
      <c r="W1340" s="8"/>
      <c r="X1340" s="8"/>
      <c r="Y1340" s="8"/>
      <c r="Z1340" s="8"/>
    </row>
    <row r="1341" spans="1:26" ht="12.75">
      <c r="A1341" s="11">
        <v>43746.421712962961</v>
      </c>
      <c r="B1341" s="12" t="str">
        <f>HYPERLINK("https://twitter.com/mohamme74129950","@mohamme74129950")</f>
        <v>@mohamme74129950</v>
      </c>
      <c r="C1341" s="7" t="s">
        <v>7591</v>
      </c>
      <c r="D1341" s="7" t="s">
        <v>2887</v>
      </c>
      <c r="E1341" s="12" t="str">
        <f>HYPERLINK("https://twitter.com/mohamme74129950/status/1181617067721728002","1181617067721728002")</f>
        <v>1181617067721728002</v>
      </c>
      <c r="F1341" s="15"/>
      <c r="G1341" s="14" t="s">
        <v>7592</v>
      </c>
      <c r="H1341" s="8"/>
      <c r="I1341" s="15">
        <v>0</v>
      </c>
      <c r="J1341" s="15">
        <v>0</v>
      </c>
      <c r="K1341" s="12" t="str">
        <f>HYPERLINK("http://twitter.com","Twitter Web Client")</f>
        <v>Twitter Web Client</v>
      </c>
      <c r="L1341" s="16">
        <v>0</v>
      </c>
      <c r="M1341" s="16">
        <v>37</v>
      </c>
      <c r="N1341" s="16">
        <v>0</v>
      </c>
      <c r="O1341" s="17"/>
      <c r="P1341" s="18">
        <v>42023.158784722225</v>
      </c>
      <c r="Q1341" s="8"/>
      <c r="R1341" s="7"/>
      <c r="S1341" s="8"/>
      <c r="T1341" s="8"/>
      <c r="U1341" s="19" t="str">
        <f>HYPERLINK("https://pbs.twimg.com/profile_images/557143378853236736/GlleB9uf.jpeg","View")</f>
        <v>View</v>
      </c>
      <c r="V1341" s="8"/>
      <c r="W1341" s="8"/>
      <c r="X1341" s="8"/>
      <c r="Y1341" s="8"/>
      <c r="Z1341" s="8"/>
    </row>
    <row r="1342" spans="1:26" ht="12.75">
      <c r="A1342" s="11">
        <v>43746.421597222223</v>
      </c>
      <c r="B1342" s="12" t="str">
        <f>HYPERLINK("https://twitter.com/3awaag_yy","@3awaag_yy")</f>
        <v>@3awaag_yy</v>
      </c>
      <c r="C1342" s="13" t="s">
        <v>7596</v>
      </c>
      <c r="D1342" s="13" t="s">
        <v>300</v>
      </c>
      <c r="E1342" s="12" t="str">
        <f>HYPERLINK("https://twitter.com/3awaag_yy/status/1181617023534718977","1181617023534718977")</f>
        <v>1181617023534718977</v>
      </c>
      <c r="F1342" s="8"/>
      <c r="G1342" s="14" t="s">
        <v>7597</v>
      </c>
      <c r="H1342" s="8"/>
      <c r="I1342" s="15">
        <v>0</v>
      </c>
      <c r="J1342" s="15">
        <v>0</v>
      </c>
      <c r="K1342" s="12" t="str">
        <f>HYPERLINK("http://twitter.com","Twitter Web Client")</f>
        <v>Twitter Web Client</v>
      </c>
      <c r="L1342" s="16">
        <v>2</v>
      </c>
      <c r="M1342" s="16">
        <v>39</v>
      </c>
      <c r="N1342" s="16">
        <v>0</v>
      </c>
      <c r="O1342" s="17"/>
      <c r="P1342" s="18">
        <v>42076.228171296301</v>
      </c>
      <c r="Q1342" s="7"/>
      <c r="R1342" s="13"/>
      <c r="S1342" s="8"/>
      <c r="T1342" s="8"/>
      <c r="U1342" s="19" t="str">
        <f>HYPERLINK("https://pbs.twimg.com/profile_images/576359407174295552/7gF63DX4.jpeg","View")</f>
        <v>View</v>
      </c>
      <c r="V1342" s="8"/>
      <c r="W1342" s="8"/>
      <c r="X1342" s="8"/>
      <c r="Y1342" s="8"/>
      <c r="Z1342" s="8"/>
    </row>
    <row r="1343" spans="1:26" ht="12.75">
      <c r="A1343" s="11">
        <v>43746.418530092589</v>
      </c>
      <c r="B1343" s="12" t="str">
        <f>HYPERLINK("https://twitter.com/saoodel1","@saoodel1")</f>
        <v>@saoodel1</v>
      </c>
      <c r="C1343" s="7" t="s">
        <v>7617</v>
      </c>
      <c r="D1343" s="13" t="s">
        <v>944</v>
      </c>
      <c r="E1343" s="12" t="str">
        <f>HYPERLINK("https://twitter.com/saoodel1/status/1181615912450809856","1181615912450809856")</f>
        <v>1181615912450809856</v>
      </c>
      <c r="F1343" s="15"/>
      <c r="G1343" s="14" t="s">
        <v>7618</v>
      </c>
      <c r="H1343" s="8"/>
      <c r="I1343" s="15">
        <v>0</v>
      </c>
      <c r="J1343" s="15">
        <v>0</v>
      </c>
      <c r="K1343" s="12" t="str">
        <f>HYPERLINK("https://mobile.twitter.com","Twitter Web App")</f>
        <v>Twitter Web App</v>
      </c>
      <c r="L1343" s="16">
        <v>0</v>
      </c>
      <c r="M1343" s="16">
        <v>1</v>
      </c>
      <c r="N1343" s="16">
        <v>0</v>
      </c>
      <c r="O1343" s="17"/>
      <c r="P1343" s="18">
        <v>43743.412986111114</v>
      </c>
      <c r="Q1343" s="8" t="s">
        <v>4714</v>
      </c>
      <c r="R1343" s="7" t="s">
        <v>1135</v>
      </c>
      <c r="S1343" s="8"/>
      <c r="T1343" s="8"/>
      <c r="U1343" s="19" t="str">
        <f>HYPERLINK("https://pbs.twimg.com/profile_images/1180526859395596288/KASaNJQb.jpg","View")</f>
        <v>View</v>
      </c>
      <c r="V1343" s="8"/>
      <c r="W1343" s="8"/>
      <c r="X1343" s="8"/>
      <c r="Y1343" s="8"/>
      <c r="Z1343" s="8"/>
    </row>
    <row r="1344" spans="1:26" ht="12.75">
      <c r="A1344" s="11">
        <v>43746.417442129634</v>
      </c>
      <c r="B1344" s="12" t="str">
        <f>HYPERLINK("https://twitter.com/elsa3ady533","@elsa3ady533")</f>
        <v>@elsa3ady533</v>
      </c>
      <c r="C1344" s="7" t="s">
        <v>7625</v>
      </c>
      <c r="D1344" s="13" t="s">
        <v>324</v>
      </c>
      <c r="E1344" s="12" t="str">
        <f>HYPERLINK("https://twitter.com/elsa3ady533/status/1181615516277981192","1181615516277981192")</f>
        <v>1181615516277981192</v>
      </c>
      <c r="F1344" s="15"/>
      <c r="G1344" s="14" t="s">
        <v>7627</v>
      </c>
      <c r="H1344" s="8"/>
      <c r="I1344" s="15">
        <v>0</v>
      </c>
      <c r="J1344" s="15">
        <v>0</v>
      </c>
      <c r="K1344" s="12" t="str">
        <f>HYPERLINK("http://twitter.com","Twitter Web Client")</f>
        <v>Twitter Web Client</v>
      </c>
      <c r="L1344" s="16">
        <v>10</v>
      </c>
      <c r="M1344" s="16">
        <v>33</v>
      </c>
      <c r="N1344" s="16">
        <v>0</v>
      </c>
      <c r="O1344" s="17"/>
      <c r="P1344" s="18">
        <v>42073.257696759261</v>
      </c>
      <c r="Q1344" s="8"/>
      <c r="R1344" s="7"/>
      <c r="S1344" s="8"/>
      <c r="T1344" s="8"/>
      <c r="U1344" s="19" t="str">
        <f>HYPERLINK("https://pbs.twimg.com/profile_images/575282882224107520/cAY48SQE.jpeg","View")</f>
        <v>View</v>
      </c>
      <c r="V1344" s="8"/>
      <c r="W1344" s="8"/>
      <c r="X1344" s="8"/>
      <c r="Y1344" s="8"/>
      <c r="Z1344" s="8"/>
    </row>
    <row r="1345" spans="1:26" ht="12.75">
      <c r="A1345" s="11">
        <v>43746.415856481486</v>
      </c>
      <c r="B1345" s="12" t="str">
        <f>HYPERLINK("https://twitter.com/rrrrrr343","@rrrrrr343")</f>
        <v>@rrrrrr343</v>
      </c>
      <c r="C1345" s="7" t="s">
        <v>7631</v>
      </c>
      <c r="D1345" s="7" t="s">
        <v>334</v>
      </c>
      <c r="E1345" s="12" t="str">
        <f>HYPERLINK("https://twitter.com/rrrrrr343/status/1181614942627270657","1181614942627270657")</f>
        <v>1181614942627270657</v>
      </c>
      <c r="F1345" s="15"/>
      <c r="G1345" s="14" t="s">
        <v>7632</v>
      </c>
      <c r="H1345" s="8"/>
      <c r="I1345" s="15">
        <v>0</v>
      </c>
      <c r="J1345" s="15">
        <v>0</v>
      </c>
      <c r="K1345" s="12" t="str">
        <f>HYPERLINK("http://twitter.com","Twitter Web Client")</f>
        <v>Twitter Web Client</v>
      </c>
      <c r="L1345" s="16">
        <v>6</v>
      </c>
      <c r="M1345" s="16">
        <v>41</v>
      </c>
      <c r="N1345" s="16">
        <v>0</v>
      </c>
      <c r="O1345" s="17"/>
      <c r="P1345" s="18">
        <v>42077.230914351851</v>
      </c>
      <c r="Q1345" s="8"/>
      <c r="R1345" s="7"/>
      <c r="S1345" s="8"/>
      <c r="T1345" s="8"/>
      <c r="U1345" s="19" t="str">
        <f>HYPERLINK("https://pbs.twimg.com/profile_images/576724146345766912/wTMLUVJM.jpeg","View")</f>
        <v>View</v>
      </c>
      <c r="V1345" s="8"/>
      <c r="W1345" s="8"/>
      <c r="X1345" s="8"/>
      <c r="Y1345" s="8"/>
      <c r="Z1345" s="8"/>
    </row>
    <row r="1346" spans="1:26" ht="12.75">
      <c r="A1346" s="11">
        <v>43746.415729166663</v>
      </c>
      <c r="B1346" s="12" t="str">
        <f>HYPERLINK("https://twitter.com/ibrahimiuqeeli","@ibrahimiuqeeli")</f>
        <v>@ibrahimiuqeeli</v>
      </c>
      <c r="C1346" s="13" t="s">
        <v>7636</v>
      </c>
      <c r="D1346" s="13" t="s">
        <v>7637</v>
      </c>
      <c r="E1346" s="12" t="str">
        <f>HYPERLINK("https://twitter.com/ibrahimiuqeeli/status/1181614896020168705","1181614896020168705")</f>
        <v>1181614896020168705</v>
      </c>
      <c r="F1346" s="8"/>
      <c r="G1346" s="14" t="s">
        <v>7638</v>
      </c>
      <c r="H1346" s="8"/>
      <c r="I1346" s="15">
        <v>0</v>
      </c>
      <c r="J1346" s="15">
        <v>0</v>
      </c>
      <c r="K1346" s="12" t="str">
        <f>HYPERLINK("http://twitter.com","Twitter Web Client")</f>
        <v>Twitter Web Client</v>
      </c>
      <c r="L1346" s="16">
        <v>1</v>
      </c>
      <c r="M1346" s="16">
        <v>30</v>
      </c>
      <c r="N1346" s="16">
        <v>0</v>
      </c>
      <c r="O1346" s="17"/>
      <c r="P1346" s="18">
        <v>42084.374143518522</v>
      </c>
      <c r="Q1346" s="8"/>
      <c r="R1346" s="8"/>
      <c r="S1346" s="8"/>
      <c r="T1346" s="8"/>
      <c r="U1346" s="19" t="str">
        <f>HYPERLINK("https://pbs.twimg.com/profile_images/579314378345877504/k2Esd03A.jpg","View")</f>
        <v>View</v>
      </c>
      <c r="V1346" s="8"/>
      <c r="W1346" s="8"/>
      <c r="X1346" s="8"/>
      <c r="Y1346" s="8"/>
      <c r="Z1346" s="8"/>
    </row>
    <row r="1347" spans="1:26" ht="12.75">
      <c r="A1347" s="11">
        <v>43746.414525462962</v>
      </c>
      <c r="B1347" s="12" t="str">
        <f>HYPERLINK("https://twitter.com/mohammed11518","@mohammed11518")</f>
        <v>@mohammed11518</v>
      </c>
      <c r="C1347" s="7" t="s">
        <v>7644</v>
      </c>
      <c r="D1347" s="7" t="s">
        <v>2918</v>
      </c>
      <c r="E1347" s="12" t="str">
        <f>HYPERLINK("https://twitter.com/mohammed11518/status/1181614462337519616","1181614462337519616")</f>
        <v>1181614462337519616</v>
      </c>
      <c r="F1347" s="15"/>
      <c r="G1347" s="14" t="s">
        <v>7645</v>
      </c>
      <c r="H1347" s="8"/>
      <c r="I1347" s="15">
        <v>0</v>
      </c>
      <c r="J1347" s="15">
        <v>0</v>
      </c>
      <c r="K1347" s="12" t="str">
        <f>HYPERLINK("http://twitter.com","Twitter Web Client")</f>
        <v>Twitter Web Client</v>
      </c>
      <c r="L1347" s="16">
        <v>1</v>
      </c>
      <c r="M1347" s="16">
        <v>42</v>
      </c>
      <c r="N1347" s="16">
        <v>0</v>
      </c>
      <c r="O1347" s="17"/>
      <c r="P1347" s="18">
        <v>42268.773356481484</v>
      </c>
      <c r="Q1347" s="8"/>
      <c r="R1347" s="7"/>
      <c r="S1347" s="8"/>
      <c r="T1347" s="8"/>
      <c r="U1347" s="19" t="str">
        <f>HYPERLINK("https://pbs.twimg.com/profile_images/646344858953609216/LX9gNGPD.jpg","View")</f>
        <v>View</v>
      </c>
      <c r="V1347" s="8"/>
      <c r="W1347" s="8"/>
      <c r="X1347" s="8"/>
      <c r="Y1347" s="8"/>
      <c r="Z1347" s="8"/>
    </row>
    <row r="1348" spans="1:26" ht="12.75">
      <c r="A1348" s="11">
        <v>43746.413194444445</v>
      </c>
      <c r="B1348" s="12" t="str">
        <f>HYPERLINK("https://twitter.com/Alsahli2Fahd","@Alsahli2Fahd")</f>
        <v>@Alsahli2Fahd</v>
      </c>
      <c r="C1348" s="7" t="s">
        <v>7649</v>
      </c>
      <c r="D1348" s="13" t="s">
        <v>2940</v>
      </c>
      <c r="E1348" s="12" t="str">
        <f>HYPERLINK("https://twitter.com/Alsahli2Fahd/status/1181613979497578496","1181613979497578496")</f>
        <v>1181613979497578496</v>
      </c>
      <c r="F1348" s="15"/>
      <c r="G1348" s="14" t="s">
        <v>7650</v>
      </c>
      <c r="H1348" s="8"/>
      <c r="I1348" s="15">
        <v>0</v>
      </c>
      <c r="J1348" s="15">
        <v>0</v>
      </c>
      <c r="K1348" s="12" t="str">
        <f>HYPERLINK("http://twitter.com","Twitter Web Client")</f>
        <v>Twitter Web Client</v>
      </c>
      <c r="L1348" s="16">
        <v>259</v>
      </c>
      <c r="M1348" s="16">
        <v>45</v>
      </c>
      <c r="N1348" s="16">
        <v>0</v>
      </c>
      <c r="O1348" s="17"/>
      <c r="P1348" s="18">
        <v>42071.14638888889</v>
      </c>
      <c r="Q1348" s="8"/>
      <c r="R1348" s="7"/>
      <c r="S1348" s="8"/>
      <c r="T1348" s="8"/>
      <c r="U1348" s="19" t="str">
        <f>HYPERLINK("https://pbs.twimg.com/profile_images/574555126662197248/7eBT6DFf.jpeg","View")</f>
        <v>View</v>
      </c>
      <c r="V1348" s="8"/>
      <c r="W1348" s="8"/>
      <c r="X1348" s="8"/>
      <c r="Y1348" s="8"/>
      <c r="Z1348" s="8"/>
    </row>
    <row r="1349" spans="1:26" ht="12.75">
      <c r="A1349" s="11">
        <v>43746.41269675926</v>
      </c>
      <c r="B1349" s="12" t="str">
        <f>HYPERLINK("https://twitter.com/abdealmag33","@abdealmag33")</f>
        <v>@abdealmag33</v>
      </c>
      <c r="C1349" s="7" t="s">
        <v>7653</v>
      </c>
      <c r="D1349" s="7" t="s">
        <v>2957</v>
      </c>
      <c r="E1349" s="12" t="str">
        <f>HYPERLINK("https://twitter.com/abdealmag33/status/1181613797573877761","1181613797573877761")</f>
        <v>1181613797573877761</v>
      </c>
      <c r="F1349" s="15"/>
      <c r="G1349" s="14" t="s">
        <v>7654</v>
      </c>
      <c r="H1349" s="8"/>
      <c r="I1349" s="15">
        <v>0</v>
      </c>
      <c r="J1349" s="15">
        <v>0</v>
      </c>
      <c r="K1349" s="12" t="str">
        <f>HYPERLINK("http://twitter.com","Twitter Web Client")</f>
        <v>Twitter Web Client</v>
      </c>
      <c r="L1349" s="16">
        <v>7</v>
      </c>
      <c r="M1349" s="16">
        <v>49</v>
      </c>
      <c r="N1349" s="16">
        <v>0</v>
      </c>
      <c r="O1349" s="17"/>
      <c r="P1349" s="18">
        <v>42072.230428240742</v>
      </c>
      <c r="Q1349" s="8"/>
      <c r="R1349" s="7"/>
      <c r="S1349" s="8"/>
      <c r="T1349" s="8"/>
      <c r="U1349" s="19" t="str">
        <f>HYPERLINK("https://pbs.twimg.com/profile_images/574910569741856768/DFraxesS.jpeg","View")</f>
        <v>View</v>
      </c>
      <c r="V1349" s="8"/>
      <c r="W1349" s="8"/>
      <c r="X1349" s="8"/>
      <c r="Y1349" s="8"/>
      <c r="Z1349" s="8"/>
    </row>
    <row r="1350" spans="1:26" ht="12.75">
      <c r="A1350" s="11">
        <v>43746.412280092598</v>
      </c>
      <c r="B1350" s="12" t="str">
        <f>HYPERLINK("https://twitter.com/AlwalanHilal","@AlwalanHilal")</f>
        <v>@AlwalanHilal</v>
      </c>
      <c r="C1350" s="13" t="s">
        <v>7659</v>
      </c>
      <c r="D1350" s="13" t="s">
        <v>7660</v>
      </c>
      <c r="E1350" s="12" t="str">
        <f>HYPERLINK("https://twitter.com/AlwalanHilal/status/1181613646838996992","1181613646838996992")</f>
        <v>1181613646838996992</v>
      </c>
      <c r="F1350" s="8"/>
      <c r="G1350" s="14" t="s">
        <v>7661</v>
      </c>
      <c r="H1350" s="8"/>
      <c r="I1350" s="15">
        <v>0</v>
      </c>
      <c r="J1350" s="15">
        <v>0</v>
      </c>
      <c r="K1350" s="12" t="str">
        <f>HYPERLINK("http://twitter.com","Twitter Web Client")</f>
        <v>Twitter Web Client</v>
      </c>
      <c r="L1350" s="16">
        <v>5</v>
      </c>
      <c r="M1350" s="16">
        <v>40</v>
      </c>
      <c r="N1350" s="16">
        <v>0</v>
      </c>
      <c r="O1350" s="17"/>
      <c r="P1350" s="18">
        <v>42068.649861111116</v>
      </c>
      <c r="Q1350" s="8"/>
      <c r="R1350" s="8"/>
      <c r="S1350" s="8"/>
      <c r="T1350" s="8"/>
      <c r="U1350" s="19" t="str">
        <f>HYPERLINK("https://pbs.twimg.com/profile_images/573818744281022464/WA2wDYOD.jpeg","View")</f>
        <v>View</v>
      </c>
      <c r="V1350" s="8"/>
      <c r="W1350" s="8"/>
      <c r="X1350" s="8"/>
      <c r="Y1350" s="8"/>
      <c r="Z1350" s="8"/>
    </row>
    <row r="1351" spans="1:26" ht="12.75">
      <c r="A1351" s="11">
        <v>43746.412152777775</v>
      </c>
      <c r="B1351" s="12" t="str">
        <f>HYPERLINK("https://twitter.com/omarseptennial2","@omarseptennial2")</f>
        <v>@omarseptennial2</v>
      </c>
      <c r="C1351" s="13" t="s">
        <v>7666</v>
      </c>
      <c r="D1351" s="7" t="s">
        <v>4492</v>
      </c>
      <c r="E1351" s="12" t="str">
        <f>HYPERLINK("https://twitter.com/omarseptennial2/status/1181613601603371008","1181613601603371008")</f>
        <v>1181613601603371008</v>
      </c>
      <c r="F1351" s="8"/>
      <c r="G1351" s="14" t="s">
        <v>7668</v>
      </c>
      <c r="H1351" s="8"/>
      <c r="I1351" s="15">
        <v>0</v>
      </c>
      <c r="J1351" s="15">
        <v>0</v>
      </c>
      <c r="K1351" s="12" t="str">
        <f>HYPERLINK("http://twitter.com","Twitter Web Client")</f>
        <v>Twitter Web Client</v>
      </c>
      <c r="L1351" s="16">
        <v>1</v>
      </c>
      <c r="M1351" s="16">
        <v>39</v>
      </c>
      <c r="N1351" s="16">
        <v>0</v>
      </c>
      <c r="O1351" s="17"/>
      <c r="P1351" s="18">
        <v>41848.179710648146</v>
      </c>
      <c r="Q1351" s="7"/>
      <c r="R1351" s="13"/>
      <c r="S1351" s="8"/>
      <c r="T1351" s="8"/>
      <c r="U1351" s="19" t="str">
        <f>HYPERLINK("https://pbs.twimg.com/profile_images/493717414710767616/Yyax7HDm.jpeg","View")</f>
        <v>View</v>
      </c>
      <c r="V1351" s="8"/>
      <c r="W1351" s="8"/>
      <c r="X1351" s="8"/>
      <c r="Y1351" s="8"/>
      <c r="Z1351" s="8"/>
    </row>
    <row r="1352" spans="1:26" ht="12.75">
      <c r="A1352" s="11">
        <v>43746.412025462967</v>
      </c>
      <c r="B1352" s="12" t="str">
        <f>HYPERLINK("https://twitter.com/shaaeex_gf","@shaaeex_gf")</f>
        <v>@shaaeex_gf</v>
      </c>
      <c r="C1352" s="7" t="s">
        <v>7670</v>
      </c>
      <c r="D1352" s="13" t="s">
        <v>2970</v>
      </c>
      <c r="E1352" s="12" t="str">
        <f>HYPERLINK("https://twitter.com/shaaeex_gf/status/1181613555310878721","1181613555310878721")</f>
        <v>1181613555310878721</v>
      </c>
      <c r="F1352" s="15"/>
      <c r="G1352" s="14" t="s">
        <v>7671</v>
      </c>
      <c r="H1352" s="8"/>
      <c r="I1352" s="15">
        <v>0</v>
      </c>
      <c r="J1352" s="15">
        <v>0</v>
      </c>
      <c r="K1352" s="12" t="str">
        <f>HYPERLINK("http://twitter.com","Twitter Web Client")</f>
        <v>Twitter Web Client</v>
      </c>
      <c r="L1352" s="16">
        <v>17</v>
      </c>
      <c r="M1352" s="16">
        <v>40</v>
      </c>
      <c r="N1352" s="16">
        <v>0</v>
      </c>
      <c r="O1352" s="17"/>
      <c r="P1352" s="18">
        <v>42074.657233796301</v>
      </c>
      <c r="Q1352" s="8"/>
      <c r="R1352" s="7"/>
      <c r="S1352" s="8"/>
      <c r="T1352" s="8"/>
      <c r="U1352" s="19" t="str">
        <f>HYPERLINK("https://pbs.twimg.com/profile_images/575790184668626944/6mzy30PQ.jpeg","View")</f>
        <v>View</v>
      </c>
      <c r="V1352" s="8"/>
      <c r="W1352" s="8"/>
      <c r="X1352" s="8"/>
      <c r="Y1352" s="8"/>
      <c r="Z1352" s="8"/>
    </row>
    <row r="1353" spans="1:26" ht="12.75">
      <c r="A1353" s="11">
        <v>43746.411770833336</v>
      </c>
      <c r="B1353" s="12" t="str">
        <f>HYPERLINK("https://twitter.com/IshibanMahdi","@IshibanMahdi")</f>
        <v>@IshibanMahdi</v>
      </c>
      <c r="C1353" s="7" t="s">
        <v>7674</v>
      </c>
      <c r="D1353" s="7" t="s">
        <v>7675</v>
      </c>
      <c r="E1353" s="12" t="str">
        <f>HYPERLINK("https://twitter.com/IshibanMahdi/status/1181613463774334977","1181613463774334977")</f>
        <v>1181613463774334977</v>
      </c>
      <c r="F1353" s="15"/>
      <c r="G1353" s="14" t="s">
        <v>7677</v>
      </c>
      <c r="H1353" s="8"/>
      <c r="I1353" s="15">
        <v>0</v>
      </c>
      <c r="J1353" s="15">
        <v>0</v>
      </c>
      <c r="K1353" s="12" t="str">
        <f>HYPERLINK("http://twitter.com","Twitter Web Client")</f>
        <v>Twitter Web Client</v>
      </c>
      <c r="L1353" s="16">
        <v>0</v>
      </c>
      <c r="M1353" s="16">
        <v>35</v>
      </c>
      <c r="N1353" s="16">
        <v>0</v>
      </c>
      <c r="O1353" s="17"/>
      <c r="P1353" s="18">
        <v>42020.323634259257</v>
      </c>
      <c r="Q1353" s="8"/>
      <c r="R1353" s="7"/>
      <c r="S1353" s="8"/>
      <c r="T1353" s="8"/>
      <c r="U1353" s="19" t="str">
        <f>HYPERLINK("https://pbs.twimg.com/profile_images/556116036412379137/npgCkj_d.jpeg","View")</f>
        <v>View</v>
      </c>
      <c r="V1353" s="8"/>
      <c r="W1353" s="8"/>
      <c r="X1353" s="8"/>
      <c r="Y1353" s="8"/>
      <c r="Z1353" s="8"/>
    </row>
    <row r="1354" spans="1:26" ht="12.75">
      <c r="A1354" s="11">
        <v>43746.410856481481</v>
      </c>
      <c r="B1354" s="12" t="str">
        <f>HYPERLINK("https://twitter.com/alnaya_yy","@alnaya_yy")</f>
        <v>@alnaya_yy</v>
      </c>
      <c r="C1354" s="13" t="s">
        <v>7681</v>
      </c>
      <c r="D1354" s="13" t="s">
        <v>2985</v>
      </c>
      <c r="E1354" s="12" t="str">
        <f>HYPERLINK("https://twitter.com/alnaya_yy/status/1181613131988119555","1181613131988119555")</f>
        <v>1181613131988119555</v>
      </c>
      <c r="F1354" s="8"/>
      <c r="G1354" s="14" t="s">
        <v>7683</v>
      </c>
      <c r="H1354" s="8"/>
      <c r="I1354" s="15">
        <v>0</v>
      </c>
      <c r="J1354" s="15">
        <v>0</v>
      </c>
      <c r="K1354" s="12" t="str">
        <f>HYPERLINK("http://twitter.com","Twitter Web Client")</f>
        <v>Twitter Web Client</v>
      </c>
      <c r="L1354" s="16">
        <v>18</v>
      </c>
      <c r="M1354" s="16">
        <v>47</v>
      </c>
      <c r="N1354" s="16">
        <v>0</v>
      </c>
      <c r="O1354" s="17"/>
      <c r="P1354" s="18">
        <v>42074.661643518513</v>
      </c>
      <c r="Q1354" s="8"/>
      <c r="R1354" s="8"/>
      <c r="S1354" s="8"/>
      <c r="T1354" s="8"/>
      <c r="U1354" s="19" t="str">
        <f>HYPERLINK("https://pbs.twimg.com/profile_images/575791695419191296/39rNHuA7.jpeg","View")</f>
        <v>View</v>
      </c>
      <c r="V1354" s="8"/>
      <c r="W1354" s="8"/>
      <c r="X1354" s="8"/>
      <c r="Y1354" s="8"/>
      <c r="Z1354" s="8"/>
    </row>
    <row r="1355" spans="1:26" ht="12.75">
      <c r="A1355" s="11">
        <v>43746.410567129627</v>
      </c>
      <c r="B1355" s="12" t="str">
        <f>HYPERLINK("https://twitter.com/ahmedhaddadi9","@ahmedhaddadi9")</f>
        <v>@ahmedhaddadi9</v>
      </c>
      <c r="C1355" s="13" t="s">
        <v>7687</v>
      </c>
      <c r="D1355" s="7" t="s">
        <v>356</v>
      </c>
      <c r="E1355" s="12" t="str">
        <f>HYPERLINK("https://twitter.com/ahmedhaddadi9/status/1181613028653125634","1181613028653125634")</f>
        <v>1181613028653125634</v>
      </c>
      <c r="F1355" s="8"/>
      <c r="G1355" s="14" t="s">
        <v>7688</v>
      </c>
      <c r="H1355" s="8"/>
      <c r="I1355" s="15">
        <v>0</v>
      </c>
      <c r="J1355" s="15">
        <v>0</v>
      </c>
      <c r="K1355" s="12" t="str">
        <f>HYPERLINK("http://twitter.com","Twitter Web Client")</f>
        <v>Twitter Web Client</v>
      </c>
      <c r="L1355" s="16">
        <v>1</v>
      </c>
      <c r="M1355" s="16">
        <v>44</v>
      </c>
      <c r="N1355" s="16">
        <v>0</v>
      </c>
      <c r="O1355" s="17"/>
      <c r="P1355" s="18">
        <v>42073.224259259259</v>
      </c>
      <c r="Q1355" s="7"/>
      <c r="R1355" s="13"/>
      <c r="S1355" s="8"/>
      <c r="T1355" s="8"/>
      <c r="U1355" s="19" t="str">
        <f>HYPERLINK("https://pbs.twimg.com/profile_images/575270906722824193/YosupMne.jpeg","View")</f>
        <v>View</v>
      </c>
      <c r="V1355" s="8"/>
      <c r="W1355" s="8"/>
      <c r="X1355" s="8"/>
      <c r="Y1355" s="8"/>
      <c r="Z1355" s="8"/>
    </row>
    <row r="1356" spans="1:26" ht="12.75">
      <c r="A1356" s="11">
        <v>43746.409918981481</v>
      </c>
      <c r="B1356" s="12" t="str">
        <f>HYPERLINK("https://twitter.com/alzahraniie444","@alzahraniie444")</f>
        <v>@alzahraniie444</v>
      </c>
      <c r="C1356" s="13" t="s">
        <v>7691</v>
      </c>
      <c r="D1356" s="7" t="s">
        <v>7692</v>
      </c>
      <c r="E1356" s="12" t="str">
        <f>HYPERLINK("https://twitter.com/alzahraniie444/status/1181612793533014021","1181612793533014021")</f>
        <v>1181612793533014021</v>
      </c>
      <c r="F1356" s="8"/>
      <c r="G1356" s="14" t="s">
        <v>7694</v>
      </c>
      <c r="H1356" s="8"/>
      <c r="I1356" s="15">
        <v>0</v>
      </c>
      <c r="J1356" s="15">
        <v>0</v>
      </c>
      <c r="K1356" s="12" t="str">
        <f>HYPERLINK("http://twitter.com","Twitter Web Client")</f>
        <v>Twitter Web Client</v>
      </c>
      <c r="L1356" s="16">
        <v>2</v>
      </c>
      <c r="M1356" s="16">
        <v>38</v>
      </c>
      <c r="N1356" s="16">
        <v>0</v>
      </c>
      <c r="O1356" s="17"/>
      <c r="P1356" s="18">
        <v>42065.330960648149</v>
      </c>
      <c r="Q1356" s="7"/>
      <c r="R1356" s="13"/>
      <c r="S1356" s="8"/>
      <c r="T1356" s="8"/>
      <c r="U1356" s="19" t="str">
        <f>HYPERLINK("https://pbs.twimg.com/profile_images/572425474735755264/3exokbGw.jpeg","View")</f>
        <v>View</v>
      </c>
      <c r="V1356" s="8"/>
      <c r="W1356" s="8"/>
      <c r="X1356" s="8"/>
      <c r="Y1356" s="8"/>
      <c r="Z1356" s="8"/>
    </row>
    <row r="1357" spans="1:26" ht="12.75">
      <c r="A1357" s="11">
        <v>43746.409849537042</v>
      </c>
      <c r="B1357" s="12" t="str">
        <f>HYPERLINK("https://twitter.com/Radwa273","@Radwa273")</f>
        <v>@Radwa273</v>
      </c>
      <c r="C1357" s="13" t="s">
        <v>7697</v>
      </c>
      <c r="D1357" s="13" t="s">
        <v>952</v>
      </c>
      <c r="E1357" s="12" t="str">
        <f>HYPERLINK("https://twitter.com/Radwa273/status/1181612766425018369","1181612766425018369")</f>
        <v>1181612766425018369</v>
      </c>
      <c r="F1357" s="8"/>
      <c r="G1357" s="14" t="s">
        <v>7698</v>
      </c>
      <c r="H1357" s="8"/>
      <c r="I1357" s="15">
        <v>0</v>
      </c>
      <c r="J1357" s="15">
        <v>0</v>
      </c>
      <c r="K1357" s="12" t="str">
        <f>HYPERLINK("https://mobile.twitter.com","Twitter Web App")</f>
        <v>Twitter Web App</v>
      </c>
      <c r="L1357" s="16">
        <v>1</v>
      </c>
      <c r="M1357" s="16">
        <v>2</v>
      </c>
      <c r="N1357" s="16">
        <v>0</v>
      </c>
      <c r="O1357" s="17"/>
      <c r="P1357" s="18">
        <v>43739.57576388889</v>
      </c>
      <c r="Q1357" s="7" t="s">
        <v>4714</v>
      </c>
      <c r="R1357" s="13" t="s">
        <v>1277</v>
      </c>
      <c r="S1357" s="8"/>
      <c r="T1357" s="8"/>
      <c r="U1357" s="19" t="str">
        <f>HYPERLINK("https://pbs.twimg.com/profile_images/1179136935425527808/DuP8t5wv.jpg","View")</f>
        <v>View</v>
      </c>
      <c r="V1357" s="8"/>
      <c r="W1357" s="8"/>
      <c r="X1357" s="8"/>
      <c r="Y1357" s="8"/>
      <c r="Z1357" s="8"/>
    </row>
    <row r="1358" spans="1:26" ht="12.75">
      <c r="A1358" s="11">
        <v>43746.409513888888</v>
      </c>
      <c r="B1358" s="12" t="str">
        <f>HYPERLINK("https://twitter.com/AlkrwyYahya","@AlkrwyYahya")</f>
        <v>@AlkrwyYahya</v>
      </c>
      <c r="C1358" s="13" t="s">
        <v>7702</v>
      </c>
      <c r="D1358" s="7" t="s">
        <v>2988</v>
      </c>
      <c r="E1358" s="12" t="str">
        <f>HYPERLINK("https://twitter.com/AlkrwyYahya/status/1181612645499232257","1181612645499232257")</f>
        <v>1181612645499232257</v>
      </c>
      <c r="F1358" s="8"/>
      <c r="G1358" s="14" t="s">
        <v>7703</v>
      </c>
      <c r="H1358" s="8"/>
      <c r="I1358" s="15">
        <v>0</v>
      </c>
      <c r="J1358" s="15">
        <v>0</v>
      </c>
      <c r="K1358" s="12" t="str">
        <f>HYPERLINK("http://twitter.com","Twitter Web Client")</f>
        <v>Twitter Web Client</v>
      </c>
      <c r="L1358" s="16">
        <v>9</v>
      </c>
      <c r="M1358" s="16">
        <v>41</v>
      </c>
      <c r="N1358" s="16">
        <v>0</v>
      </c>
      <c r="O1358" s="17"/>
      <c r="P1358" s="18">
        <v>42071.631493055553</v>
      </c>
      <c r="Q1358" s="7"/>
      <c r="R1358" s="13"/>
      <c r="S1358" s="8"/>
      <c r="T1358" s="8"/>
      <c r="U1358" s="19" t="str">
        <f>HYPERLINK("https://pbs.twimg.com/profile_images/574710896443809792/dyFn1FH1.jpeg","View")</f>
        <v>View</v>
      </c>
      <c r="V1358" s="8"/>
      <c r="W1358" s="8"/>
      <c r="X1358" s="8"/>
      <c r="Y1358" s="8"/>
      <c r="Z1358" s="8"/>
    </row>
    <row r="1359" spans="1:26" ht="12.75">
      <c r="A1359" s="11">
        <v>43746.408842592587</v>
      </c>
      <c r="B1359" s="12" t="str">
        <f>HYPERLINK("https://twitter.com/khaalidaal","@khaalidaal")</f>
        <v>@khaalidaal</v>
      </c>
      <c r="C1359" s="13" t="s">
        <v>7707</v>
      </c>
      <c r="D1359" s="13" t="s">
        <v>1178</v>
      </c>
      <c r="E1359" s="12" t="str">
        <f>HYPERLINK("https://twitter.com/khaalidaal/status/1181612400975302657","1181612400975302657")</f>
        <v>1181612400975302657</v>
      </c>
      <c r="F1359" s="8"/>
      <c r="G1359" s="14" t="s">
        <v>7708</v>
      </c>
      <c r="H1359" s="8"/>
      <c r="I1359" s="15">
        <v>0</v>
      </c>
      <c r="J1359" s="15">
        <v>0</v>
      </c>
      <c r="K1359" s="12" t="str">
        <f>HYPERLINK("https://mobile.twitter.com","Twitter Web App")</f>
        <v>Twitter Web App</v>
      </c>
      <c r="L1359" s="16">
        <v>1</v>
      </c>
      <c r="M1359" s="16">
        <v>3</v>
      </c>
      <c r="N1359" s="16">
        <v>0</v>
      </c>
      <c r="O1359" s="17"/>
      <c r="P1359" s="18">
        <v>43739.573726851857</v>
      </c>
      <c r="Q1359" s="8" t="s">
        <v>4714</v>
      </c>
      <c r="R1359" s="8" t="s">
        <v>912</v>
      </c>
      <c r="S1359" s="8"/>
      <c r="T1359" s="8"/>
      <c r="U1359" s="19" t="str">
        <f>HYPERLINK("https://pbs.twimg.com/profile_images/1179169393999151104/N3px03Y2.jpg","View")</f>
        <v>View</v>
      </c>
      <c r="V1359" s="8"/>
      <c r="W1359" s="8"/>
      <c r="X1359" s="8"/>
      <c r="Y1359" s="8"/>
      <c r="Z1359" s="8"/>
    </row>
    <row r="1360" spans="1:26" ht="12.75">
      <c r="A1360" s="11">
        <v>43746.408310185187</v>
      </c>
      <c r="B1360" s="12" t="str">
        <f>HYPERLINK("https://twitter.com/mohamed78262688","@mohamed78262688")</f>
        <v>@mohamed78262688</v>
      </c>
      <c r="C1360" s="7" t="s">
        <v>7712</v>
      </c>
      <c r="D1360" s="7" t="s">
        <v>7713</v>
      </c>
      <c r="E1360" s="12" t="str">
        <f>HYPERLINK("https://twitter.com/mohamed78262688/status/1181612210575024130","1181612210575024130")</f>
        <v>1181612210575024130</v>
      </c>
      <c r="F1360" s="15"/>
      <c r="G1360" s="14" t="s">
        <v>7714</v>
      </c>
      <c r="H1360" s="8"/>
      <c r="I1360" s="15">
        <v>0</v>
      </c>
      <c r="J1360" s="15">
        <v>0</v>
      </c>
      <c r="K1360" s="12" t="str">
        <f>HYPERLINK("http://twitter.com","Twitter Web Client")</f>
        <v>Twitter Web Client</v>
      </c>
      <c r="L1360" s="16">
        <v>7</v>
      </c>
      <c r="M1360" s="16">
        <v>36</v>
      </c>
      <c r="N1360" s="16">
        <v>0</v>
      </c>
      <c r="O1360" s="17"/>
      <c r="P1360" s="18">
        <v>42068.307708333334</v>
      </c>
      <c r="Q1360" s="8"/>
      <c r="R1360" s="7"/>
      <c r="S1360" s="8"/>
      <c r="T1360" s="8"/>
      <c r="U1360" s="19" t="str">
        <f>HYPERLINK("https://pbs.twimg.com/profile_images/573504270105866241/_x75urdR.jpeg","View")</f>
        <v>View</v>
      </c>
      <c r="V1360" s="8"/>
      <c r="W1360" s="8"/>
      <c r="X1360" s="8"/>
      <c r="Y1360" s="8"/>
      <c r="Z1360" s="8"/>
    </row>
    <row r="1361" spans="1:26" ht="12.75">
      <c r="A1361" s="11">
        <v>43746.407731481479</v>
      </c>
      <c r="B1361" s="12" t="str">
        <f>HYPERLINK("https://twitter.com/salh_ysh","@salh_ysh")</f>
        <v>@salh_ysh</v>
      </c>
      <c r="C1361" s="7" t="s">
        <v>7720</v>
      </c>
      <c r="D1361" s="7" t="s">
        <v>7722</v>
      </c>
      <c r="E1361" s="12" t="str">
        <f>HYPERLINK("https://twitter.com/salh_ysh/status/1181612000809541632","1181612000809541632")</f>
        <v>1181612000809541632</v>
      </c>
      <c r="F1361" s="15"/>
      <c r="G1361" s="15"/>
      <c r="H1361" s="8"/>
      <c r="I1361" s="15">
        <v>0</v>
      </c>
      <c r="J1361" s="15">
        <v>1</v>
      </c>
      <c r="K1361" s="12" t="str">
        <f>HYPERLINK("http://twitter.com/download/iphone","Twitter for iPhone")</f>
        <v>Twitter for iPhone</v>
      </c>
      <c r="L1361" s="16">
        <v>306</v>
      </c>
      <c r="M1361" s="16">
        <v>764</v>
      </c>
      <c r="N1361" s="16">
        <v>2</v>
      </c>
      <c r="O1361" s="17"/>
      <c r="P1361" s="18">
        <v>42439.72347222222</v>
      </c>
      <c r="Q1361" s="8" t="s">
        <v>7725</v>
      </c>
      <c r="R1361" s="7" t="s">
        <v>7726</v>
      </c>
      <c r="S1361" s="8"/>
      <c r="T1361" s="8"/>
      <c r="U1361" s="19" t="str">
        <f>HYPERLINK("https://pbs.twimg.com/profile_images/1180552080689438720/OHIGIlSA.jpg","View")</f>
        <v>View</v>
      </c>
      <c r="V1361" s="8"/>
      <c r="W1361" s="8"/>
      <c r="X1361" s="8"/>
      <c r="Y1361" s="8"/>
      <c r="Z1361" s="8"/>
    </row>
    <row r="1362" spans="1:26" ht="12.75">
      <c r="A1362" s="11">
        <v>43746.407118055555</v>
      </c>
      <c r="B1362" s="12" t="str">
        <f>HYPERLINK("https://twitter.com/jaasiralrashed","@jaasiralrashed")</f>
        <v>@jaasiralrashed</v>
      </c>
      <c r="C1362" s="13" t="s">
        <v>7728</v>
      </c>
      <c r="D1362" s="13" t="s">
        <v>1030</v>
      </c>
      <c r="E1362" s="12" t="str">
        <f>HYPERLINK("https://twitter.com/jaasiralrashed/status/1181611775491330049","1181611775491330049")</f>
        <v>1181611775491330049</v>
      </c>
      <c r="F1362" s="8"/>
      <c r="G1362" s="14" t="s">
        <v>7729</v>
      </c>
      <c r="H1362" s="8"/>
      <c r="I1362" s="15">
        <v>0</v>
      </c>
      <c r="J1362" s="15">
        <v>0</v>
      </c>
      <c r="K1362" s="12" t="str">
        <f>HYPERLINK("https://mobile.twitter.com","Twitter Web App")</f>
        <v>Twitter Web App</v>
      </c>
      <c r="L1362" s="16">
        <v>0</v>
      </c>
      <c r="M1362" s="16">
        <v>1</v>
      </c>
      <c r="N1362" s="16">
        <v>0</v>
      </c>
      <c r="O1362" s="17"/>
      <c r="P1362" s="18">
        <v>43740.434953703705</v>
      </c>
      <c r="Q1362" s="8" t="s">
        <v>4714</v>
      </c>
      <c r="R1362" s="8" t="s">
        <v>1135</v>
      </c>
      <c r="S1362" s="8"/>
      <c r="T1362" s="8"/>
      <c r="U1362" s="19" t="str">
        <f>HYPERLINK("https://pbs.twimg.com/profile_images/1179503489090637825/olvwnrtr.jpg","View")</f>
        <v>View</v>
      </c>
      <c r="V1362" s="8"/>
      <c r="W1362" s="8"/>
      <c r="X1362" s="8"/>
      <c r="Y1362" s="8"/>
      <c r="Z1362" s="8"/>
    </row>
    <row r="1363" spans="1:26" ht="12.75">
      <c r="A1363" s="11">
        <v>43746.40697916667</v>
      </c>
      <c r="B1363" s="12" t="str">
        <f>HYPERLINK("https://twitter.com/tameemal1","@tameemal1")</f>
        <v>@tameemal1</v>
      </c>
      <c r="C1363" s="7" t="s">
        <v>7732</v>
      </c>
      <c r="D1363" s="13" t="s">
        <v>907</v>
      </c>
      <c r="E1363" s="12" t="str">
        <f>HYPERLINK("https://twitter.com/tameemal1/status/1181611726665482240","1181611726665482240")</f>
        <v>1181611726665482240</v>
      </c>
      <c r="F1363" s="15"/>
      <c r="G1363" s="14" t="s">
        <v>7735</v>
      </c>
      <c r="H1363" s="8"/>
      <c r="I1363" s="15">
        <v>0</v>
      </c>
      <c r="J1363" s="15">
        <v>0</v>
      </c>
      <c r="K1363" s="12" t="str">
        <f>HYPERLINK("https://mobile.twitter.com","Twitter Web App")</f>
        <v>Twitter Web App</v>
      </c>
      <c r="L1363" s="16">
        <v>1</v>
      </c>
      <c r="M1363" s="16">
        <v>2</v>
      </c>
      <c r="N1363" s="16">
        <v>0</v>
      </c>
      <c r="O1363" s="17"/>
      <c r="P1363" s="18">
        <v>43739.439467592594</v>
      </c>
      <c r="Q1363" s="8" t="s">
        <v>4714</v>
      </c>
      <c r="R1363" s="7" t="s">
        <v>925</v>
      </c>
      <c r="S1363" s="8"/>
      <c r="T1363" s="8"/>
      <c r="U1363" s="19" t="str">
        <f>HYPERLINK("https://pbs.twimg.com/profile_images/1179130640760918016/Q01Dyp3m.jpg","View")</f>
        <v>View</v>
      </c>
      <c r="V1363" s="8"/>
      <c r="W1363" s="8"/>
      <c r="X1363" s="8"/>
      <c r="Y1363" s="8"/>
      <c r="Z1363" s="8"/>
    </row>
    <row r="1364" spans="1:26" ht="12.75">
      <c r="A1364" s="11">
        <v>43746.406469907408</v>
      </c>
      <c r="B1364" s="12" t="str">
        <f>HYPERLINK("https://twitter.com/bandr_elmalkee","@bandr_elmalkee")</f>
        <v>@bandr_elmalkee</v>
      </c>
      <c r="C1364" s="13" t="s">
        <v>7736</v>
      </c>
      <c r="D1364" s="7" t="s">
        <v>7737</v>
      </c>
      <c r="E1364" s="12" t="str">
        <f>HYPERLINK("https://twitter.com/bandr_elmalkee/status/1181611539750629376","1181611539750629376")</f>
        <v>1181611539750629376</v>
      </c>
      <c r="F1364" s="8"/>
      <c r="G1364" s="14" t="s">
        <v>7738</v>
      </c>
      <c r="H1364" s="8"/>
      <c r="I1364" s="15">
        <v>0</v>
      </c>
      <c r="J1364" s="15">
        <v>0</v>
      </c>
      <c r="K1364" s="12" t="str">
        <f>HYPERLINK("http://twitter.com","Twitter Web Client")</f>
        <v>Twitter Web Client</v>
      </c>
      <c r="L1364" s="16">
        <v>4</v>
      </c>
      <c r="M1364" s="16">
        <v>33</v>
      </c>
      <c r="N1364" s="16">
        <v>0</v>
      </c>
      <c r="O1364" s="17"/>
      <c r="P1364" s="18">
        <v>41845.345254629632</v>
      </c>
      <c r="Q1364" s="7"/>
      <c r="R1364" s="13"/>
      <c r="S1364" s="8"/>
      <c r="T1364" s="8"/>
      <c r="U1364" s="19" t="str">
        <f>HYPERLINK("https://pbs.twimg.com/profile_images/492690193439133696/IMwqkADi.jpeg","View")</f>
        <v>View</v>
      </c>
      <c r="V1364" s="8"/>
      <c r="W1364" s="8"/>
      <c r="X1364" s="8"/>
      <c r="Y1364" s="8"/>
      <c r="Z1364" s="8"/>
    </row>
    <row r="1365" spans="1:26" ht="12.75">
      <c r="A1365" s="11">
        <v>43746.405543981484</v>
      </c>
      <c r="B1365" s="12" t="str">
        <f>HYPERLINK("https://twitter.com/niavsohail1","@niavsohail1")</f>
        <v>@niavsohail1</v>
      </c>
      <c r="C1365" s="13" t="s">
        <v>7742</v>
      </c>
      <c r="D1365" s="7" t="s">
        <v>3032</v>
      </c>
      <c r="E1365" s="12" t="str">
        <f>HYPERLINK("https://twitter.com/niavsohail1/status/1181611206978805761","1181611206978805761")</f>
        <v>1181611206978805761</v>
      </c>
      <c r="F1365" s="8"/>
      <c r="G1365" s="14" t="s">
        <v>7743</v>
      </c>
      <c r="H1365" s="8"/>
      <c r="I1365" s="15">
        <v>0</v>
      </c>
      <c r="J1365" s="15">
        <v>0</v>
      </c>
      <c r="K1365" s="12" t="str">
        <f>HYPERLINK("http://twitter.com","Twitter Web Client")</f>
        <v>Twitter Web Client</v>
      </c>
      <c r="L1365" s="16">
        <v>0</v>
      </c>
      <c r="M1365" s="16">
        <v>41</v>
      </c>
      <c r="N1365" s="16">
        <v>0</v>
      </c>
      <c r="O1365" s="17"/>
      <c r="P1365" s="18">
        <v>42023.144479166665</v>
      </c>
      <c r="Q1365" s="7"/>
      <c r="R1365" s="13"/>
      <c r="S1365" s="8"/>
      <c r="T1365" s="8"/>
      <c r="U1365" s="19" t="str">
        <f>HYPERLINK("https://pbs.twimg.com/profile_images/557138018050387968/Iox97476.jpeg","View")</f>
        <v>View</v>
      </c>
      <c r="V1365" s="8"/>
      <c r="W1365" s="8"/>
      <c r="X1365" s="8"/>
      <c r="Y1365" s="8"/>
      <c r="Z1365" s="8"/>
    </row>
    <row r="1366" spans="1:26" ht="12.75">
      <c r="A1366" s="11">
        <v>43746.405138888891</v>
      </c>
      <c r="B1366" s="12" t="str">
        <f>HYPERLINK("https://twitter.com/MarzokRabe3","@MarzokRabe3")</f>
        <v>@MarzokRabe3</v>
      </c>
      <c r="C1366" s="7" t="s">
        <v>7749</v>
      </c>
      <c r="D1366" s="7" t="s">
        <v>7750</v>
      </c>
      <c r="E1366" s="12" t="str">
        <f>HYPERLINK("https://twitter.com/MarzokRabe3/status/1181611060211671040","1181611060211671040")</f>
        <v>1181611060211671040</v>
      </c>
      <c r="F1366" s="15"/>
      <c r="G1366" s="14" t="s">
        <v>7751</v>
      </c>
      <c r="H1366" s="8"/>
      <c r="I1366" s="15">
        <v>0</v>
      </c>
      <c r="J1366" s="15">
        <v>0</v>
      </c>
      <c r="K1366" s="12" t="str">
        <f>HYPERLINK("http://twitter.com","Twitter Web Client")</f>
        <v>Twitter Web Client</v>
      </c>
      <c r="L1366" s="16">
        <v>0</v>
      </c>
      <c r="M1366" s="16">
        <v>30</v>
      </c>
      <c r="N1366" s="16">
        <v>0</v>
      </c>
      <c r="O1366" s="17"/>
      <c r="P1366" s="18">
        <v>41823.402824074074</v>
      </c>
      <c r="Q1366" s="8"/>
      <c r="R1366" s="7"/>
      <c r="S1366" s="8"/>
      <c r="T1366" s="8"/>
      <c r="U1366" s="19" t="str">
        <f>HYPERLINK("https://pbs.twimg.com/profile_images/484738533127499776/6MCEB8bm.jpeg","View")</f>
        <v>View</v>
      </c>
      <c r="V1366" s="8"/>
      <c r="W1366" s="8"/>
      <c r="X1366" s="8"/>
      <c r="Y1366" s="8"/>
      <c r="Z1366" s="8"/>
    </row>
    <row r="1367" spans="1:26" ht="12.75">
      <c r="A1367" s="11">
        <v>43746.403726851851</v>
      </c>
      <c r="B1367" s="12" t="str">
        <f>HYPERLINK("https://twitter.com/alyaiie1_78","@alyaiie1_78")</f>
        <v>@alyaiie1_78</v>
      </c>
      <c r="C1367" s="7" t="s">
        <v>7756</v>
      </c>
      <c r="D1367" s="13" t="s">
        <v>3075</v>
      </c>
      <c r="E1367" s="12" t="str">
        <f>HYPERLINK("https://twitter.com/alyaiie1_78/status/1181610547768377346","1181610547768377346")</f>
        <v>1181610547768377346</v>
      </c>
      <c r="F1367" s="15"/>
      <c r="G1367" s="14" t="s">
        <v>7757</v>
      </c>
      <c r="H1367" s="8"/>
      <c r="I1367" s="15">
        <v>0</v>
      </c>
      <c r="J1367" s="15">
        <v>0</v>
      </c>
      <c r="K1367" s="12" t="str">
        <f>HYPERLINK("http://twitter.com","Twitter Web Client")</f>
        <v>Twitter Web Client</v>
      </c>
      <c r="L1367" s="16">
        <v>12</v>
      </c>
      <c r="M1367" s="16">
        <v>38</v>
      </c>
      <c r="N1367" s="16">
        <v>0</v>
      </c>
      <c r="O1367" s="17"/>
      <c r="P1367" s="18">
        <v>42075.231562500005</v>
      </c>
      <c r="Q1367" s="8"/>
      <c r="R1367" s="7"/>
      <c r="S1367" s="8"/>
      <c r="T1367" s="8"/>
      <c r="U1367" s="19" t="str">
        <f>HYPERLINK("https://pbs.twimg.com/profile_images/575998185178419200/MS5YEOXU.jpeg","View")</f>
        <v>View</v>
      </c>
      <c r="V1367" s="8"/>
      <c r="W1367" s="8"/>
      <c r="X1367" s="8"/>
      <c r="Y1367" s="8"/>
      <c r="Z1367" s="8"/>
    </row>
    <row r="1368" spans="1:26" ht="12.75">
      <c r="A1368" s="11">
        <v>43746.40289351852</v>
      </c>
      <c r="B1368" s="12" t="str">
        <f>HYPERLINK("https://twitter.com/alkawziie033","@alkawziie033")</f>
        <v>@alkawziie033</v>
      </c>
      <c r="C1368" s="13" t="s">
        <v>7767</v>
      </c>
      <c r="D1368" s="13" t="s">
        <v>391</v>
      </c>
      <c r="E1368" s="12" t="str">
        <f>HYPERLINK("https://twitter.com/alkawziie033/status/1181610247192010752","1181610247192010752")</f>
        <v>1181610247192010752</v>
      </c>
      <c r="F1368" s="8"/>
      <c r="G1368" s="14" t="s">
        <v>7768</v>
      </c>
      <c r="H1368" s="8"/>
      <c r="I1368" s="15">
        <v>0</v>
      </c>
      <c r="J1368" s="15">
        <v>0</v>
      </c>
      <c r="K1368" s="12" t="str">
        <f>HYPERLINK("http://twitter.com","Twitter Web Client")</f>
        <v>Twitter Web Client</v>
      </c>
      <c r="L1368" s="16">
        <v>3</v>
      </c>
      <c r="M1368" s="16">
        <v>35</v>
      </c>
      <c r="N1368" s="16">
        <v>0</v>
      </c>
      <c r="O1368" s="17"/>
      <c r="P1368" s="18">
        <v>42083.686099537037</v>
      </c>
      <c r="Q1368" s="8"/>
      <c r="R1368" s="8"/>
      <c r="S1368" s="8"/>
      <c r="T1368" s="8"/>
      <c r="U1368" s="19" t="str">
        <f>HYPERLINK("https://pbs.twimg.com/profile_images/579062014179442688/TQHVYF2C.jpg","View")</f>
        <v>View</v>
      </c>
      <c r="V1368" s="8"/>
      <c r="W1368" s="8"/>
      <c r="X1368" s="8"/>
      <c r="Y1368" s="8"/>
      <c r="Z1368" s="8"/>
    </row>
    <row r="1369" spans="1:26" ht="12.75">
      <c r="A1369" s="11">
        <v>43746.402731481481</v>
      </c>
      <c r="B1369" s="12" t="str">
        <f>HYPERLINK("https://twitter.com/mujahid622","@mujahid622")</f>
        <v>@mujahid622</v>
      </c>
      <c r="C1369" s="7" t="s">
        <v>7770</v>
      </c>
      <c r="D1369" s="7" t="s">
        <v>1236</v>
      </c>
      <c r="E1369" s="12" t="str">
        <f>HYPERLINK("https://twitter.com/mujahid622/status/1181610185183252481","1181610185183252481")</f>
        <v>1181610185183252481</v>
      </c>
      <c r="F1369" s="15"/>
      <c r="G1369" s="14" t="s">
        <v>7772</v>
      </c>
      <c r="H1369" s="8"/>
      <c r="I1369" s="15">
        <v>0</v>
      </c>
      <c r="J1369" s="15">
        <v>0</v>
      </c>
      <c r="K1369" s="12" t="str">
        <f>HYPERLINK("https://mobile.twitter.com","Twitter Web App")</f>
        <v>Twitter Web App</v>
      </c>
      <c r="L1369" s="16">
        <v>1</v>
      </c>
      <c r="M1369" s="16">
        <v>2</v>
      </c>
      <c r="N1369" s="16">
        <v>0</v>
      </c>
      <c r="O1369" s="17"/>
      <c r="P1369" s="18">
        <v>43739.437256944446</v>
      </c>
      <c r="Q1369" s="8" t="s">
        <v>7774</v>
      </c>
      <c r="R1369" s="7" t="s">
        <v>955</v>
      </c>
      <c r="S1369" s="8"/>
      <c r="T1369" s="8"/>
      <c r="U1369" s="19" t="str">
        <f>HYPERLINK("https://pbs.twimg.com/profile_images/1179128266952568832/5SafRkhv.jpg","View")</f>
        <v>View</v>
      </c>
      <c r="V1369" s="8"/>
      <c r="W1369" s="8"/>
      <c r="X1369" s="8"/>
      <c r="Y1369" s="8"/>
      <c r="Z1369" s="8"/>
    </row>
    <row r="1370" spans="1:26" ht="12.75">
      <c r="A1370" s="11">
        <v>43746.402638888889</v>
      </c>
      <c r="B1370" s="12" t="str">
        <f>HYPERLINK("https://twitter.com/885522661","@885522661")</f>
        <v>@885522661</v>
      </c>
      <c r="C1370" s="13" t="s">
        <v>7777</v>
      </c>
      <c r="D1370" s="13" t="s">
        <v>7778</v>
      </c>
      <c r="E1370" s="12" t="str">
        <f>HYPERLINK("https://twitter.com/885522661/status/1181610151746387970","1181610151746387970")</f>
        <v>1181610151746387970</v>
      </c>
      <c r="F1370" s="8"/>
      <c r="G1370" s="15"/>
      <c r="H1370" s="8"/>
      <c r="I1370" s="15">
        <v>0</v>
      </c>
      <c r="J1370" s="15">
        <v>0</v>
      </c>
      <c r="K1370" s="12" t="str">
        <f>HYPERLINK("http://twitter.com/download/iphone","Twitter for iPhone")</f>
        <v>Twitter for iPhone</v>
      </c>
      <c r="L1370" s="16">
        <v>32367</v>
      </c>
      <c r="M1370" s="16">
        <v>776</v>
      </c>
      <c r="N1370" s="16">
        <v>21</v>
      </c>
      <c r="O1370" s="17"/>
      <c r="P1370" s="18">
        <v>41753.668564814812</v>
      </c>
      <c r="Q1370" s="8" t="s">
        <v>7779</v>
      </c>
      <c r="R1370" s="13" t="s">
        <v>7780</v>
      </c>
      <c r="S1370" s="8"/>
      <c r="T1370" s="8"/>
      <c r="U1370" s="19" t="str">
        <f>HYPERLINK("https://pbs.twimg.com/profile_images/1177784206602182658/G-jCP3vt.jpg","View")</f>
        <v>View</v>
      </c>
      <c r="V1370" s="8"/>
      <c r="W1370" s="8"/>
      <c r="X1370" s="8"/>
      <c r="Y1370" s="8"/>
      <c r="Z1370" s="8"/>
    </row>
    <row r="1371" spans="1:26" ht="12.75">
      <c r="A1371" s="11">
        <v>43746.399756944447</v>
      </c>
      <c r="B1371" s="12" t="str">
        <f>HYPERLINK("https://twitter.com/rhamanabdur1","@rhamanabdur1")</f>
        <v>@rhamanabdur1</v>
      </c>
      <c r="C1371" s="13" t="s">
        <v>7783</v>
      </c>
      <c r="D1371" s="13" t="s">
        <v>28</v>
      </c>
      <c r="E1371" s="12" t="str">
        <f>HYPERLINK("https://twitter.com/rhamanabdur1/status/1181609107838517248","1181609107838517248")</f>
        <v>1181609107838517248</v>
      </c>
      <c r="F1371" s="8"/>
      <c r="G1371" s="14" t="s">
        <v>1267</v>
      </c>
      <c r="H1371" s="8"/>
      <c r="I1371" s="15">
        <v>0</v>
      </c>
      <c r="J1371" s="15">
        <v>0</v>
      </c>
      <c r="K1371" s="12" t="str">
        <f>HYPERLINK("https://mobile.twitter.com","Twitter Web App")</f>
        <v>Twitter Web App</v>
      </c>
      <c r="L1371" s="16">
        <v>0</v>
      </c>
      <c r="M1371" s="16">
        <v>2</v>
      </c>
      <c r="N1371" s="16">
        <v>0</v>
      </c>
      <c r="O1371" s="17"/>
      <c r="P1371" s="18">
        <v>43739.434675925921</v>
      </c>
      <c r="Q1371" s="8" t="s">
        <v>4714</v>
      </c>
      <c r="R1371" s="8" t="s">
        <v>1135</v>
      </c>
      <c r="S1371" s="8"/>
      <c r="T1371" s="8"/>
      <c r="U1371" s="19" t="str">
        <f>HYPERLINK("https://pbs.twimg.com/profile_images/1179114615352905728/_X1Cq4Tw.jpg","View")</f>
        <v>View</v>
      </c>
      <c r="V1371" s="8"/>
      <c r="W1371" s="8"/>
      <c r="X1371" s="8"/>
      <c r="Y1371" s="8"/>
      <c r="Z1371" s="8"/>
    </row>
    <row r="1372" spans="1:26" ht="12.75">
      <c r="A1372" s="11">
        <v>43746.398738425924</v>
      </c>
      <c r="B1372" s="12" t="str">
        <f>HYPERLINK("https://twitter.com/albaysshie444","@albaysshie444")</f>
        <v>@albaysshie444</v>
      </c>
      <c r="C1372" s="13" t="s">
        <v>7785</v>
      </c>
      <c r="D1372" s="13" t="s">
        <v>7786</v>
      </c>
      <c r="E1372" s="12" t="str">
        <f>HYPERLINK("https://twitter.com/albaysshie444/status/1181608741118136331","1181608741118136331")</f>
        <v>1181608741118136331</v>
      </c>
      <c r="F1372" s="8"/>
      <c r="G1372" s="14" t="s">
        <v>7787</v>
      </c>
      <c r="H1372" s="8"/>
      <c r="I1372" s="15">
        <v>0</v>
      </c>
      <c r="J1372" s="15">
        <v>0</v>
      </c>
      <c r="K1372" s="12" t="str">
        <f>HYPERLINK("http://twitter.com","Twitter Web Client")</f>
        <v>Twitter Web Client</v>
      </c>
      <c r="L1372" s="16">
        <v>4</v>
      </c>
      <c r="M1372" s="16">
        <v>37</v>
      </c>
      <c r="N1372" s="16">
        <v>0</v>
      </c>
      <c r="O1372" s="17"/>
      <c r="P1372" s="18">
        <v>42084.142291666663</v>
      </c>
      <c r="Q1372" s="8"/>
      <c r="R1372" s="8"/>
      <c r="S1372" s="8"/>
      <c r="T1372" s="8"/>
      <c r="U1372" s="19" t="str">
        <f>HYPERLINK("https://pbs.twimg.com/profile_images/579227296193732609/HK4otTC7.jpg","View")</f>
        <v>View</v>
      </c>
      <c r="V1372" s="8"/>
      <c r="W1372" s="8"/>
      <c r="X1372" s="8"/>
      <c r="Y1372" s="8"/>
      <c r="Z1372" s="8"/>
    </row>
    <row r="1373" spans="1:26" ht="12.75">
      <c r="A1373" s="11">
        <v>43746.397453703699</v>
      </c>
      <c r="B1373" s="12" t="str">
        <f>HYPERLINK("https://twitter.com/ma77aya33","@ma77aya33")</f>
        <v>@ma77aya33</v>
      </c>
      <c r="C1373" s="13" t="s">
        <v>7791</v>
      </c>
      <c r="D1373" s="7" t="s">
        <v>7792</v>
      </c>
      <c r="E1373" s="12" t="str">
        <f>HYPERLINK("https://twitter.com/ma77aya33/status/1181608276477251584","1181608276477251584")</f>
        <v>1181608276477251584</v>
      </c>
      <c r="F1373" s="8"/>
      <c r="G1373" s="14" t="s">
        <v>7793</v>
      </c>
      <c r="H1373" s="8"/>
      <c r="I1373" s="15">
        <v>0</v>
      </c>
      <c r="J1373" s="15">
        <v>0</v>
      </c>
      <c r="K1373" s="12" t="str">
        <f>HYPERLINK("http://twitter.com","Twitter Web Client")</f>
        <v>Twitter Web Client</v>
      </c>
      <c r="L1373" s="16">
        <v>3</v>
      </c>
      <c r="M1373" s="16">
        <v>33</v>
      </c>
      <c r="N1373" s="16">
        <v>0</v>
      </c>
      <c r="O1373" s="17"/>
      <c r="P1373" s="18">
        <v>42080.502372685187</v>
      </c>
      <c r="Q1373" s="7"/>
      <c r="R1373" s="13"/>
      <c r="S1373" s="8"/>
      <c r="T1373" s="8"/>
      <c r="U1373" s="19" t="str">
        <f>HYPERLINK("https://pbs.twimg.com/profile_images/577908253738213376/aezgGGt9.jpeg","View")</f>
        <v>View</v>
      </c>
      <c r="V1373" s="8"/>
      <c r="W1373" s="8"/>
      <c r="X1373" s="8"/>
      <c r="Y1373" s="8"/>
      <c r="Z1373" s="8"/>
    </row>
    <row r="1374" spans="1:26" ht="12.75">
      <c r="A1374" s="11">
        <v>43746.39708333333</v>
      </c>
      <c r="B1374" s="12" t="str">
        <f>HYPERLINK("https://twitter.com/alatyabi_748","@alatyabi_748")</f>
        <v>@alatyabi_748</v>
      </c>
      <c r="C1374" s="13" t="s">
        <v>7798</v>
      </c>
      <c r="D1374" s="13" t="s">
        <v>417</v>
      </c>
      <c r="E1374" s="12" t="str">
        <f>HYPERLINK("https://twitter.com/alatyabi_748/status/1181608139055083521","1181608139055083521")</f>
        <v>1181608139055083521</v>
      </c>
      <c r="F1374" s="8"/>
      <c r="G1374" s="14" t="s">
        <v>7799</v>
      </c>
      <c r="H1374" s="8"/>
      <c r="I1374" s="15">
        <v>0</v>
      </c>
      <c r="J1374" s="15">
        <v>0</v>
      </c>
      <c r="K1374" s="12" t="str">
        <f>HYPERLINK("http://twitter.com","Twitter Web Client")</f>
        <v>Twitter Web Client</v>
      </c>
      <c r="L1374" s="16">
        <v>2</v>
      </c>
      <c r="M1374" s="16">
        <v>31</v>
      </c>
      <c r="N1374" s="16">
        <v>0</v>
      </c>
      <c r="O1374" s="17"/>
      <c r="P1374" s="18">
        <v>41846.284780092596</v>
      </c>
      <c r="Q1374" s="8"/>
      <c r="R1374" s="8"/>
      <c r="S1374" s="8"/>
      <c r="T1374" s="8"/>
      <c r="U1374" s="19" t="str">
        <f>HYPERLINK("https://pbs.twimg.com/profile_images/493030563536572416/QGEMWEt2.jpeg","View")</f>
        <v>View</v>
      </c>
      <c r="V1374" s="8"/>
      <c r="W1374" s="8"/>
      <c r="X1374" s="8"/>
      <c r="Y1374" s="8"/>
      <c r="Z1374" s="8"/>
    </row>
    <row r="1375" spans="1:26" ht="12.75">
      <c r="A1375" s="11">
        <v>43746.396539351852</v>
      </c>
      <c r="B1375" s="12" t="str">
        <f>HYPERLINK("https://twitter.com/ziadasiriziada8","@ziadasiriziada8")</f>
        <v>@ziadasiriziada8</v>
      </c>
      <c r="C1375" s="13" t="s">
        <v>7802</v>
      </c>
      <c r="D1375" s="13" t="s">
        <v>3144</v>
      </c>
      <c r="E1375" s="12" t="str">
        <f>HYPERLINK("https://twitter.com/ziadasiriziada8/status/1181607942577102849","1181607942577102849")</f>
        <v>1181607942577102849</v>
      </c>
      <c r="F1375" s="8"/>
      <c r="G1375" s="14" t="s">
        <v>7803</v>
      </c>
      <c r="H1375" s="8"/>
      <c r="I1375" s="15">
        <v>0</v>
      </c>
      <c r="J1375" s="15">
        <v>0</v>
      </c>
      <c r="K1375" s="12" t="str">
        <f>HYPERLINK("http://twitter.com","Twitter Web Client")</f>
        <v>Twitter Web Client</v>
      </c>
      <c r="L1375" s="16">
        <v>1</v>
      </c>
      <c r="M1375" s="16">
        <v>39</v>
      </c>
      <c r="N1375" s="16">
        <v>0</v>
      </c>
      <c r="O1375" s="17"/>
      <c r="P1375" s="18">
        <v>42089.459374999999</v>
      </c>
      <c r="Q1375" s="8"/>
      <c r="R1375" s="8"/>
      <c r="S1375" s="8"/>
      <c r="T1375" s="8"/>
      <c r="U1375" s="20" t="s">
        <v>354</v>
      </c>
      <c r="V1375" s="8"/>
      <c r="W1375" s="8"/>
      <c r="X1375" s="8"/>
      <c r="Y1375" s="8"/>
      <c r="Z1375" s="8"/>
    </row>
    <row r="1376" spans="1:26" ht="12.75">
      <c r="A1376" s="11">
        <v>43746.393101851849</v>
      </c>
      <c r="B1376" s="12" t="str">
        <f>HYPERLINK("https://twitter.com/muieajeri","@muieajeri")</f>
        <v>@muieajeri</v>
      </c>
      <c r="C1376" s="13" t="s">
        <v>7810</v>
      </c>
      <c r="D1376" s="7" t="s">
        <v>7811</v>
      </c>
      <c r="E1376" s="12" t="str">
        <f>HYPERLINK("https://twitter.com/muieajeri/status/1181606697489580033","1181606697489580033")</f>
        <v>1181606697489580033</v>
      </c>
      <c r="F1376" s="8"/>
      <c r="G1376" s="14" t="s">
        <v>7812</v>
      </c>
      <c r="H1376" s="8"/>
      <c r="I1376" s="15">
        <v>0</v>
      </c>
      <c r="J1376" s="15">
        <v>0</v>
      </c>
      <c r="K1376" s="12" t="str">
        <f>HYPERLINK("http://twitter.com","Twitter Web Client")</f>
        <v>Twitter Web Client</v>
      </c>
      <c r="L1376" s="16">
        <v>11</v>
      </c>
      <c r="M1376" s="16">
        <v>43</v>
      </c>
      <c r="N1376" s="16">
        <v>0</v>
      </c>
      <c r="O1376" s="17"/>
      <c r="P1376" s="18">
        <v>42073.531782407408</v>
      </c>
      <c r="Q1376" s="7"/>
      <c r="R1376" s="13"/>
      <c r="S1376" s="8"/>
      <c r="T1376" s="8"/>
      <c r="U1376" s="19" t="str">
        <f>HYPERLINK("https://pbs.twimg.com/profile_images/575391414101499904/bASMUxwa.jpeg","View")</f>
        <v>View</v>
      </c>
      <c r="V1376" s="8"/>
      <c r="W1376" s="8"/>
      <c r="X1376" s="8"/>
      <c r="Y1376" s="8"/>
      <c r="Z1376" s="8"/>
    </row>
    <row r="1377" spans="1:26" ht="12.75">
      <c r="A1377" s="11">
        <v>43746.392847222218</v>
      </c>
      <c r="B1377" s="12" t="str">
        <f>HYPERLINK("https://twitter.com/farhanmarzouk1","@farhanmarzouk1")</f>
        <v>@farhanmarzouk1</v>
      </c>
      <c r="C1377" s="13" t="s">
        <v>7816</v>
      </c>
      <c r="D1377" s="13" t="s">
        <v>3177</v>
      </c>
      <c r="E1377" s="12" t="str">
        <f>HYPERLINK("https://twitter.com/farhanmarzouk1/status/1181606606624165894","1181606606624165894")</f>
        <v>1181606606624165894</v>
      </c>
      <c r="F1377" s="8"/>
      <c r="G1377" s="14" t="s">
        <v>7819</v>
      </c>
      <c r="H1377" s="8"/>
      <c r="I1377" s="15">
        <v>0</v>
      </c>
      <c r="J1377" s="15">
        <v>0</v>
      </c>
      <c r="K1377" s="12" t="str">
        <f>HYPERLINK("http://twitter.com","Twitter Web Client")</f>
        <v>Twitter Web Client</v>
      </c>
      <c r="L1377" s="16">
        <v>1</v>
      </c>
      <c r="M1377" s="16">
        <v>34</v>
      </c>
      <c r="N1377" s="16">
        <v>0</v>
      </c>
      <c r="O1377" s="17"/>
      <c r="P1377" s="18">
        <v>42023.600231481483</v>
      </c>
      <c r="Q1377" s="8"/>
      <c r="R1377" s="8"/>
      <c r="S1377" s="8"/>
      <c r="T1377" s="8"/>
      <c r="U1377" s="19" t="str">
        <f>HYPERLINK("https://pbs.twimg.com/profile_images/557303897270661120/7BNSnSC5.jpeg","View")</f>
        <v>View</v>
      </c>
      <c r="V1377" s="8"/>
      <c r="W1377" s="8"/>
      <c r="X1377" s="8"/>
      <c r="Y1377" s="8"/>
      <c r="Z1377" s="8"/>
    </row>
    <row r="1378" spans="1:26" ht="12.75">
      <c r="A1378" s="11">
        <v>43746.392592592594</v>
      </c>
      <c r="B1378" s="12" t="str">
        <f>HYPERLINK("https://twitter.com/AlftayMofreh","@AlftayMofreh")</f>
        <v>@AlftayMofreh</v>
      </c>
      <c r="C1378" s="13" t="s">
        <v>7823</v>
      </c>
      <c r="D1378" s="13" t="s">
        <v>7824</v>
      </c>
      <c r="E1378" s="12" t="str">
        <f>HYPERLINK("https://twitter.com/AlftayMofreh/status/1181606513636511744","1181606513636511744")</f>
        <v>1181606513636511744</v>
      </c>
      <c r="F1378" s="8"/>
      <c r="G1378" s="14" t="s">
        <v>7825</v>
      </c>
      <c r="H1378" s="8"/>
      <c r="I1378" s="15">
        <v>0</v>
      </c>
      <c r="J1378" s="15">
        <v>0</v>
      </c>
      <c r="K1378" s="12" t="str">
        <f>HYPERLINK("http://twitter.com","Twitter Web Client")</f>
        <v>Twitter Web Client</v>
      </c>
      <c r="L1378" s="16">
        <v>0</v>
      </c>
      <c r="M1378" s="16">
        <v>37</v>
      </c>
      <c r="N1378" s="16">
        <v>0</v>
      </c>
      <c r="O1378" s="17"/>
      <c r="P1378" s="18">
        <v>42068.140115740738</v>
      </c>
      <c r="Q1378" s="7"/>
      <c r="R1378" s="13"/>
      <c r="S1378" s="8"/>
      <c r="T1378" s="8"/>
      <c r="U1378" s="19" t="str">
        <f>HYPERLINK("https://pbs.twimg.com/profile_images/573464812706902016/bU9GDw2E.jpeg","View")</f>
        <v>View</v>
      </c>
      <c r="V1378" s="8"/>
      <c r="W1378" s="8"/>
      <c r="X1378" s="8"/>
      <c r="Y1378" s="8"/>
      <c r="Z1378" s="8"/>
    </row>
    <row r="1379" spans="1:26" ht="12.75">
      <c r="A1379" s="11">
        <v>43746.392465277779</v>
      </c>
      <c r="B1379" s="12" t="str">
        <f>HYPERLINK("https://twitter.com/najraniaide","@najraniaide")</f>
        <v>@najraniaide</v>
      </c>
      <c r="C1379" s="13" t="s">
        <v>7827</v>
      </c>
      <c r="D1379" s="7" t="s">
        <v>7828</v>
      </c>
      <c r="E1379" s="12" t="str">
        <f>HYPERLINK("https://twitter.com/najraniaide/status/1181606466899329025","1181606466899329025")</f>
        <v>1181606466899329025</v>
      </c>
      <c r="F1379" s="8"/>
      <c r="G1379" s="14" t="s">
        <v>7829</v>
      </c>
      <c r="H1379" s="8"/>
      <c r="I1379" s="15">
        <v>0</v>
      </c>
      <c r="J1379" s="15">
        <v>0</v>
      </c>
      <c r="K1379" s="12" t="str">
        <f>HYPERLINK("http://twitter.com","Twitter Web Client")</f>
        <v>Twitter Web Client</v>
      </c>
      <c r="L1379" s="16">
        <v>4</v>
      </c>
      <c r="M1379" s="16">
        <v>36</v>
      </c>
      <c r="N1379" s="16">
        <v>0</v>
      </c>
      <c r="O1379" s="17"/>
      <c r="P1379" s="18">
        <v>42022.670729166668</v>
      </c>
      <c r="Q1379" s="8"/>
      <c r="R1379" s="13"/>
      <c r="S1379" s="8"/>
      <c r="T1379" s="8"/>
      <c r="U1379" s="19" t="str">
        <f>HYPERLINK("https://pbs.twimg.com/profile_images/556966727708196864/RD-gPe2S.jpeg","View")</f>
        <v>View</v>
      </c>
      <c r="V1379" s="8"/>
      <c r="W1379" s="8"/>
      <c r="X1379" s="8"/>
      <c r="Y1379" s="8"/>
      <c r="Z1379" s="8"/>
    </row>
    <row r="1380" spans="1:26" ht="12.75">
      <c r="A1380" s="11">
        <v>43746.391956018517</v>
      </c>
      <c r="B1380" s="12" t="str">
        <f>HYPERLINK("https://twitter.com/abdelmage3453","@abdelmage3453")</f>
        <v>@abdelmage3453</v>
      </c>
      <c r="C1380" s="13" t="s">
        <v>7830</v>
      </c>
      <c r="D1380" s="13" t="s">
        <v>7831</v>
      </c>
      <c r="E1380" s="12" t="str">
        <f>HYPERLINK("https://twitter.com/abdelmage3453/status/1181606280500273152","1181606280500273152")</f>
        <v>1181606280500273152</v>
      </c>
      <c r="F1380" s="8"/>
      <c r="G1380" s="14" t="s">
        <v>7832</v>
      </c>
      <c r="H1380" s="8"/>
      <c r="I1380" s="15">
        <v>0</v>
      </c>
      <c r="J1380" s="15">
        <v>0</v>
      </c>
      <c r="K1380" s="12" t="str">
        <f>HYPERLINK("http://twitter.com","Twitter Web Client")</f>
        <v>Twitter Web Client</v>
      </c>
      <c r="L1380" s="16">
        <v>11</v>
      </c>
      <c r="M1380" s="16">
        <v>58</v>
      </c>
      <c r="N1380" s="16">
        <v>0</v>
      </c>
      <c r="O1380" s="17"/>
      <c r="P1380" s="18">
        <v>42075.425312499996</v>
      </c>
      <c r="Q1380" s="7"/>
      <c r="R1380" s="7"/>
      <c r="S1380" s="8"/>
      <c r="T1380" s="8"/>
      <c r="U1380" s="19" t="str">
        <f>HYPERLINK("https://pbs.twimg.com/profile_images/576068513132986369/yKVRUqR_.jpeg","View")</f>
        <v>View</v>
      </c>
      <c r="V1380" s="8"/>
      <c r="W1380" s="8"/>
      <c r="X1380" s="8"/>
      <c r="Y1380" s="8"/>
      <c r="Z1380" s="8"/>
    </row>
    <row r="1381" spans="1:26" ht="12.75">
      <c r="A1381" s="11">
        <v>43746.390902777777</v>
      </c>
      <c r="B1381" s="12" t="str">
        <f>HYPERLINK("https://twitter.com/YaAbdullahal","@YaAbdullahal")</f>
        <v>@YaAbdullahal</v>
      </c>
      <c r="C1381" s="13" t="s">
        <v>7837</v>
      </c>
      <c r="D1381" s="7" t="s">
        <v>479</v>
      </c>
      <c r="E1381" s="12" t="str">
        <f>HYPERLINK("https://twitter.com/YaAbdullahal/status/1181605899120631813","1181605899120631813")</f>
        <v>1181605899120631813</v>
      </c>
      <c r="F1381" s="8"/>
      <c r="G1381" s="14" t="s">
        <v>7839</v>
      </c>
      <c r="H1381" s="8"/>
      <c r="I1381" s="15">
        <v>0</v>
      </c>
      <c r="J1381" s="15">
        <v>0</v>
      </c>
      <c r="K1381" s="12" t="str">
        <f>HYPERLINK("http://twitter.com","Twitter Web Client")</f>
        <v>Twitter Web Client</v>
      </c>
      <c r="L1381" s="16">
        <v>1</v>
      </c>
      <c r="M1381" s="16">
        <v>32</v>
      </c>
      <c r="N1381" s="16">
        <v>0</v>
      </c>
      <c r="O1381" s="17"/>
      <c r="P1381" s="18">
        <v>41844.28733796296</v>
      </c>
      <c r="Q1381" s="7"/>
      <c r="R1381" s="13"/>
      <c r="S1381" s="8"/>
      <c r="T1381" s="8"/>
      <c r="U1381" s="19" t="str">
        <f>HYPERLINK("https://pbs.twimg.com/profile_images/492307005323743232/wEi-xDG_.jpeg","View")</f>
        <v>View</v>
      </c>
      <c r="V1381" s="8"/>
      <c r="W1381" s="8"/>
      <c r="X1381" s="8"/>
      <c r="Y1381" s="8"/>
      <c r="Z1381" s="8"/>
    </row>
    <row r="1382" spans="1:26" ht="12.75">
      <c r="A1382" s="11">
        <v>43746.38998842593</v>
      </c>
      <c r="B1382" s="12" t="str">
        <f>HYPERLINK("https://twitter.com/mahdieshiban1","@mahdieshiban1")</f>
        <v>@mahdieshiban1</v>
      </c>
      <c r="C1382" s="13" t="s">
        <v>7841</v>
      </c>
      <c r="D1382" s="13" t="s">
        <v>7842</v>
      </c>
      <c r="E1382" s="12" t="str">
        <f>HYPERLINK("https://twitter.com/mahdieshiban1/status/1181605571109298178","1181605571109298178")</f>
        <v>1181605571109298178</v>
      </c>
      <c r="F1382" s="8"/>
      <c r="G1382" s="14" t="s">
        <v>7844</v>
      </c>
      <c r="H1382" s="8"/>
      <c r="I1382" s="15">
        <v>0</v>
      </c>
      <c r="J1382" s="15">
        <v>0</v>
      </c>
      <c r="K1382" s="12" t="str">
        <f>HYPERLINK("http://twitter.com","Twitter Web Client")</f>
        <v>Twitter Web Client</v>
      </c>
      <c r="L1382" s="16">
        <v>7</v>
      </c>
      <c r="M1382" s="16">
        <v>43</v>
      </c>
      <c r="N1382" s="16">
        <v>0</v>
      </c>
      <c r="O1382" s="17"/>
      <c r="P1382" s="18">
        <v>42076.666122685187</v>
      </c>
      <c r="Q1382" s="7"/>
      <c r="R1382" s="13"/>
      <c r="S1382" s="8"/>
      <c r="T1382" s="8"/>
      <c r="U1382" s="19" t="str">
        <f>HYPERLINK("https://pbs.twimg.com/profile_images/576518707028983808/qwhqWsC2.jpeg","View")</f>
        <v>View</v>
      </c>
      <c r="V1382" s="8"/>
      <c r="W1382" s="8"/>
      <c r="X1382" s="8"/>
      <c r="Y1382" s="8"/>
      <c r="Z1382" s="8"/>
    </row>
    <row r="1383" spans="1:26" ht="12.75">
      <c r="A1383" s="11">
        <v>43746.389872685184</v>
      </c>
      <c r="B1383" s="12" t="str">
        <f>HYPERLINK("https://twitter.com/yakhaliuinzy","@yakhaliuinzy")</f>
        <v>@yakhaliuinzy</v>
      </c>
      <c r="C1383" s="13" t="s">
        <v>7847</v>
      </c>
      <c r="D1383" s="7" t="s">
        <v>3229</v>
      </c>
      <c r="E1383" s="12" t="str">
        <f>HYPERLINK("https://twitter.com/yakhaliuinzy/status/1181605525504561152","1181605525504561152")</f>
        <v>1181605525504561152</v>
      </c>
      <c r="F1383" s="8"/>
      <c r="G1383" s="14" t="s">
        <v>7849</v>
      </c>
      <c r="H1383" s="8"/>
      <c r="I1383" s="15">
        <v>0</v>
      </c>
      <c r="J1383" s="15">
        <v>0</v>
      </c>
      <c r="K1383" s="12" t="str">
        <f>HYPERLINK("http://twitter.com","Twitter Web Client")</f>
        <v>Twitter Web Client</v>
      </c>
      <c r="L1383" s="16">
        <v>0</v>
      </c>
      <c r="M1383" s="16">
        <v>28</v>
      </c>
      <c r="N1383" s="16">
        <v>0</v>
      </c>
      <c r="O1383" s="17"/>
      <c r="P1383" s="18">
        <v>41827.088750000003</v>
      </c>
      <c r="Q1383" s="7"/>
      <c r="R1383" s="13"/>
      <c r="S1383" s="8"/>
      <c r="T1383" s="8"/>
      <c r="U1383" s="19" t="str">
        <f>HYPERLINK("https://pbs.twimg.com/profile_images/486074941570166784/9027eJ4P.jpeg","View")</f>
        <v>View</v>
      </c>
      <c r="V1383" s="8"/>
      <c r="W1383" s="8"/>
      <c r="X1383" s="8"/>
      <c r="Y1383" s="8"/>
      <c r="Z1383" s="8"/>
    </row>
    <row r="1384" spans="1:26" ht="12.75">
      <c r="A1384" s="11">
        <v>43746.389328703706</v>
      </c>
      <c r="B1384" s="12" t="str">
        <f>HYPERLINK("https://twitter.com/MuietabSedahan","@MuietabSedahan")</f>
        <v>@MuietabSedahan</v>
      </c>
      <c r="C1384" s="13" t="s">
        <v>7852</v>
      </c>
      <c r="D1384" s="13" t="s">
        <v>7853</v>
      </c>
      <c r="E1384" s="12" t="str">
        <f>HYPERLINK("https://twitter.com/MuietabSedahan/status/1181605328439435266","1181605328439435266")</f>
        <v>1181605328439435266</v>
      </c>
      <c r="F1384" s="8"/>
      <c r="G1384" s="14" t="s">
        <v>7855</v>
      </c>
      <c r="H1384" s="8"/>
      <c r="I1384" s="15">
        <v>0</v>
      </c>
      <c r="J1384" s="15">
        <v>0</v>
      </c>
      <c r="K1384" s="12" t="str">
        <f>HYPERLINK("http://twitter.com","Twitter Web Client")</f>
        <v>Twitter Web Client</v>
      </c>
      <c r="L1384" s="16">
        <v>2</v>
      </c>
      <c r="M1384" s="16">
        <v>40</v>
      </c>
      <c r="N1384" s="16">
        <v>0</v>
      </c>
      <c r="O1384" s="17"/>
      <c r="P1384" s="18">
        <v>42073.188900462963</v>
      </c>
      <c r="Q1384" s="8"/>
      <c r="R1384" s="8"/>
      <c r="S1384" s="8"/>
      <c r="T1384" s="8"/>
      <c r="U1384" s="19" t="str">
        <f>HYPERLINK("https://pbs.twimg.com/profile_images/575258568468774913/Aeq0-GPG.jpeg","View")</f>
        <v>View</v>
      </c>
      <c r="V1384" s="8"/>
      <c r="W1384" s="8"/>
      <c r="X1384" s="8"/>
      <c r="Y1384" s="8"/>
      <c r="Z1384" s="8"/>
    </row>
    <row r="1385" spans="1:26" ht="12.75">
      <c r="A1385" s="11">
        <v>43746.38853009259</v>
      </c>
      <c r="B1385" s="12" t="str">
        <f>HYPERLINK("https://twitter.com/MaterOasir","@MaterOasir")</f>
        <v>@MaterOasir</v>
      </c>
      <c r="C1385" s="13" t="s">
        <v>7858</v>
      </c>
      <c r="D1385" s="13" t="s">
        <v>3240</v>
      </c>
      <c r="E1385" s="12" t="str">
        <f>HYPERLINK("https://twitter.com/MaterOasir/status/1181605041813299200","1181605041813299200")</f>
        <v>1181605041813299200</v>
      </c>
      <c r="F1385" s="8"/>
      <c r="G1385" s="14" t="s">
        <v>7860</v>
      </c>
      <c r="H1385" s="8"/>
      <c r="I1385" s="15">
        <v>0</v>
      </c>
      <c r="J1385" s="15">
        <v>0</v>
      </c>
      <c r="K1385" s="12" t="str">
        <f>HYPERLINK("http://twitter.com","Twitter Web Client")</f>
        <v>Twitter Web Client</v>
      </c>
      <c r="L1385" s="16">
        <v>1</v>
      </c>
      <c r="M1385" s="16">
        <v>43</v>
      </c>
      <c r="N1385" s="16">
        <v>0</v>
      </c>
      <c r="O1385" s="17"/>
      <c r="P1385" s="18">
        <v>42073.734247685185</v>
      </c>
      <c r="Q1385" s="8"/>
      <c r="R1385" s="8"/>
      <c r="S1385" s="8"/>
      <c r="T1385" s="8"/>
      <c r="U1385" s="19" t="str">
        <f>HYPERLINK("https://pbs.twimg.com/profile_images/575456773248671745/T1Y7h-1Y.jpeg","View")</f>
        <v>View</v>
      </c>
      <c r="V1385" s="8"/>
      <c r="W1385" s="8"/>
      <c r="X1385" s="8"/>
      <c r="Y1385" s="8"/>
      <c r="Z1385" s="8"/>
    </row>
    <row r="1386" spans="1:26" ht="12.75">
      <c r="A1386" s="11">
        <v>43746.388402777782</v>
      </c>
      <c r="B1386" s="12" t="str">
        <f>HYPERLINK("https://twitter.com/omransaaedi1","@omransaaedi1")</f>
        <v>@omransaaedi1</v>
      </c>
      <c r="C1386" s="13" t="s">
        <v>990</v>
      </c>
      <c r="D1386" s="7" t="s">
        <v>501</v>
      </c>
      <c r="E1386" s="12" t="str">
        <f>HYPERLINK("https://twitter.com/omransaaedi1/status/1181604995902443521","1181604995902443521")</f>
        <v>1181604995902443521</v>
      </c>
      <c r="F1386" s="8"/>
      <c r="G1386" s="14" t="s">
        <v>7864</v>
      </c>
      <c r="H1386" s="8"/>
      <c r="I1386" s="15">
        <v>0</v>
      </c>
      <c r="J1386" s="15">
        <v>0</v>
      </c>
      <c r="K1386" s="12" t="str">
        <f>HYPERLINK("http://twitter.com","Twitter Web Client")</f>
        <v>Twitter Web Client</v>
      </c>
      <c r="L1386" s="16">
        <v>1</v>
      </c>
      <c r="M1386" s="16">
        <v>44</v>
      </c>
      <c r="N1386" s="16">
        <v>0</v>
      </c>
      <c r="O1386" s="17"/>
      <c r="P1386" s="18">
        <v>42074.452361111107</v>
      </c>
      <c r="Q1386" s="8"/>
      <c r="R1386" s="13"/>
      <c r="S1386" s="8"/>
      <c r="T1386" s="8"/>
      <c r="U1386" s="19" t="str">
        <f>HYPERLINK("https://pbs.twimg.com/profile_images/575717473061769216/QM-plkC5.jpeg","View")</f>
        <v>View</v>
      </c>
      <c r="V1386" s="8"/>
      <c r="W1386" s="8"/>
      <c r="X1386" s="8"/>
      <c r="Y1386" s="8"/>
      <c r="Z1386" s="8"/>
    </row>
    <row r="1387" spans="1:26" ht="12.75">
      <c r="A1387" s="11">
        <v>43746.388275462959</v>
      </c>
      <c r="B1387" s="12" t="str">
        <f>HYPERLINK("https://twitter.com/muieagaenm","@muieagaenm")</f>
        <v>@muieagaenm</v>
      </c>
      <c r="C1387" s="7" t="s">
        <v>7868</v>
      </c>
      <c r="D1387" s="7" t="s">
        <v>7869</v>
      </c>
      <c r="E1387" s="12" t="str">
        <f>HYPERLINK("https://twitter.com/muieagaenm/status/1181604948808736768","1181604948808736768")</f>
        <v>1181604948808736768</v>
      </c>
      <c r="F1387" s="8"/>
      <c r="G1387" s="14" t="s">
        <v>7870</v>
      </c>
      <c r="H1387" s="8"/>
      <c r="I1387" s="15">
        <v>0</v>
      </c>
      <c r="J1387" s="15">
        <v>0</v>
      </c>
      <c r="K1387" s="12" t="str">
        <f>HYPERLINK("http://twitter.com","Twitter Web Client")</f>
        <v>Twitter Web Client</v>
      </c>
      <c r="L1387" s="16">
        <v>0</v>
      </c>
      <c r="M1387" s="16">
        <v>43</v>
      </c>
      <c r="N1387" s="16">
        <v>0</v>
      </c>
      <c r="O1387" s="17"/>
      <c r="P1387" s="18">
        <v>42073.755324074074</v>
      </c>
      <c r="Q1387" s="15"/>
      <c r="R1387" s="7"/>
      <c r="S1387" s="8"/>
      <c r="T1387" s="8"/>
      <c r="U1387" s="19" t="str">
        <f>HYPERLINK("https://pbs.twimg.com/profile_images/575463648912543745/0T93Egfl.jpeg","View")</f>
        <v>View</v>
      </c>
      <c r="V1387" s="8"/>
      <c r="W1387" s="8"/>
      <c r="X1387" s="8"/>
      <c r="Y1387" s="8"/>
      <c r="Z1387" s="8"/>
    </row>
    <row r="1388" spans="1:26" ht="12.75">
      <c r="A1388" s="11">
        <v>43746.387349537035</v>
      </c>
      <c r="B1388" s="12" t="str">
        <f>HYPERLINK("https://twitter.com/fahdbinsalem1","@fahdbinsalem1")</f>
        <v>@fahdbinsalem1</v>
      </c>
      <c r="C1388" s="13" t="s">
        <v>7873</v>
      </c>
      <c r="D1388" s="13" t="s">
        <v>7874</v>
      </c>
      <c r="E1388" s="12" t="str">
        <f>HYPERLINK("https://twitter.com/fahdbinsalem1/status/1181604613134442502","1181604613134442502")</f>
        <v>1181604613134442502</v>
      </c>
      <c r="F1388" s="8"/>
      <c r="G1388" s="14" t="s">
        <v>7875</v>
      </c>
      <c r="H1388" s="8"/>
      <c r="I1388" s="15">
        <v>0</v>
      </c>
      <c r="J1388" s="15">
        <v>0</v>
      </c>
      <c r="K1388" s="12" t="str">
        <f>HYPERLINK("http://twitter.com","Twitter Web Client")</f>
        <v>Twitter Web Client</v>
      </c>
      <c r="L1388" s="16">
        <v>0</v>
      </c>
      <c r="M1388" s="16">
        <v>35</v>
      </c>
      <c r="N1388" s="16">
        <v>0</v>
      </c>
      <c r="O1388" s="17"/>
      <c r="P1388" s="18">
        <v>42081.323495370365</v>
      </c>
      <c r="Q1388" s="8"/>
      <c r="R1388" s="8"/>
      <c r="S1388" s="8"/>
      <c r="T1388" s="8"/>
      <c r="U1388" s="19" t="str">
        <f>HYPERLINK("https://pbs.twimg.com/profile_images/578206973201498113/YXTvlw8I.jpeg","View")</f>
        <v>View</v>
      </c>
      <c r="V1388" s="8"/>
      <c r="W1388" s="8"/>
      <c r="X1388" s="8"/>
      <c r="Y1388" s="8"/>
      <c r="Z1388" s="8"/>
    </row>
    <row r="1389" spans="1:26" ht="12.75">
      <c r="A1389" s="11">
        <v>43746.385405092587</v>
      </c>
      <c r="B1389" s="12" t="str">
        <f>HYPERLINK("https://twitter.com/almaradee434","@almaradee434")</f>
        <v>@almaradee434</v>
      </c>
      <c r="C1389" s="7" t="s">
        <v>7876</v>
      </c>
      <c r="D1389" s="7" t="s">
        <v>7877</v>
      </c>
      <c r="E1389" s="12" t="str">
        <f>HYPERLINK("https://twitter.com/almaradee434/status/1181603906180325376","1181603906180325376")</f>
        <v>1181603906180325376</v>
      </c>
      <c r="F1389" s="8"/>
      <c r="G1389" s="14" t="s">
        <v>7878</v>
      </c>
      <c r="H1389" s="8"/>
      <c r="I1389" s="15">
        <v>0</v>
      </c>
      <c r="J1389" s="15">
        <v>0</v>
      </c>
      <c r="K1389" s="12" t="str">
        <f>HYPERLINK("http://twitter.com","Twitter Web Client")</f>
        <v>Twitter Web Client</v>
      </c>
      <c r="L1389" s="16">
        <v>5</v>
      </c>
      <c r="M1389" s="16">
        <v>37</v>
      </c>
      <c r="N1389" s="16">
        <v>0</v>
      </c>
      <c r="O1389" s="17"/>
      <c r="P1389" s="18">
        <v>42074.265798611115</v>
      </c>
      <c r="Q1389" s="15"/>
      <c r="R1389" s="7"/>
      <c r="S1389" s="8"/>
      <c r="T1389" s="8"/>
      <c r="U1389" s="19" t="str">
        <f>HYPERLINK("https://pbs.twimg.com/profile_images/575648385220243456/oT8ABN7k.jpeg","View")</f>
        <v>View</v>
      </c>
      <c r="V1389" s="8"/>
      <c r="W1389" s="8"/>
      <c r="X1389" s="8"/>
      <c r="Y1389" s="8"/>
      <c r="Z1389" s="8"/>
    </row>
    <row r="1390" spans="1:26" ht="12.75">
      <c r="A1390" s="11">
        <v>43746.384351851855</v>
      </c>
      <c r="B1390" s="12" t="str">
        <f>HYPERLINK("https://twitter.com/JuhaniMassad","@JuhaniMassad")</f>
        <v>@JuhaniMassad</v>
      </c>
      <c r="C1390" s="7" t="s">
        <v>7881</v>
      </c>
      <c r="D1390" s="7" t="s">
        <v>524</v>
      </c>
      <c r="E1390" s="12" t="str">
        <f>HYPERLINK("https://twitter.com/JuhaniMassad/status/1181603528269275139","1181603528269275139")</f>
        <v>1181603528269275139</v>
      </c>
      <c r="F1390" s="8"/>
      <c r="G1390" s="14" t="s">
        <v>7882</v>
      </c>
      <c r="H1390" s="8"/>
      <c r="I1390" s="15">
        <v>0</v>
      </c>
      <c r="J1390" s="15">
        <v>0</v>
      </c>
      <c r="K1390" s="12" t="str">
        <f>HYPERLINK("http://twitter.com","Twitter Web Client")</f>
        <v>Twitter Web Client</v>
      </c>
      <c r="L1390" s="16">
        <v>3</v>
      </c>
      <c r="M1390" s="16">
        <v>28</v>
      </c>
      <c r="N1390" s="16">
        <v>0</v>
      </c>
      <c r="O1390" s="17"/>
      <c r="P1390" s="18">
        <v>42022.187754629631</v>
      </c>
      <c r="Q1390" s="7"/>
      <c r="R1390" s="7"/>
      <c r="S1390" s="8"/>
      <c r="T1390" s="8"/>
      <c r="U1390" s="19" t="str">
        <f>HYPERLINK("https://pbs.twimg.com/profile_images/556791215509614594/DvA3rhDK.jpeg","View")</f>
        <v>View</v>
      </c>
      <c r="V1390" s="8"/>
      <c r="W1390" s="8"/>
      <c r="X1390" s="8"/>
      <c r="Y1390" s="8"/>
      <c r="Z1390" s="8"/>
    </row>
    <row r="1391" spans="1:26" ht="12.75">
      <c r="A1391" s="11">
        <v>43746.383333333331</v>
      </c>
      <c r="B1391" s="12" t="str">
        <f>HYPERLINK("https://twitter.com/alii_ereny","@alii_ereny")</f>
        <v>@alii_ereny</v>
      </c>
      <c r="C1391" s="7" t="s">
        <v>7891</v>
      </c>
      <c r="D1391" s="7" t="s">
        <v>3285</v>
      </c>
      <c r="E1391" s="12" t="str">
        <f>HYPERLINK("https://twitter.com/alii_ereny/status/1181603155957735424","1181603155957735424")</f>
        <v>1181603155957735424</v>
      </c>
      <c r="F1391" s="8"/>
      <c r="G1391" s="14" t="s">
        <v>7892</v>
      </c>
      <c r="H1391" s="8"/>
      <c r="I1391" s="15">
        <v>0</v>
      </c>
      <c r="J1391" s="15">
        <v>0</v>
      </c>
      <c r="K1391" s="12" t="str">
        <f>HYPERLINK("http://twitter.com","Twitter Web Client")</f>
        <v>Twitter Web Client</v>
      </c>
      <c r="L1391" s="16">
        <v>2</v>
      </c>
      <c r="M1391" s="16">
        <v>30</v>
      </c>
      <c r="N1391" s="16">
        <v>0</v>
      </c>
      <c r="O1391" s="17"/>
      <c r="P1391" s="18">
        <v>41845.474999999999</v>
      </c>
      <c r="Q1391" s="15"/>
      <c r="R1391" s="7"/>
      <c r="S1391" s="8"/>
      <c r="T1391" s="8"/>
      <c r="U1391" s="19" t="str">
        <f>HYPERLINK("https://pbs.twimg.com/profile_images/494194649288830976/vsx9hGHG.jpeg","View")</f>
        <v>View</v>
      </c>
      <c r="V1391" s="8"/>
      <c r="W1391" s="8"/>
      <c r="X1391" s="8"/>
      <c r="Y1391" s="8"/>
      <c r="Z1391" s="8"/>
    </row>
    <row r="1392" spans="1:26" ht="12.75">
      <c r="A1392" s="11">
        <v>43746.381041666667</v>
      </c>
      <c r="B1392" s="12" t="str">
        <f>HYPERLINK("https://twitter.com/suleimanalrash4","@suleimanalrash4")</f>
        <v>@suleimanalrash4</v>
      </c>
      <c r="C1392" s="13" t="s">
        <v>7898</v>
      </c>
      <c r="D1392" s="7" t="s">
        <v>7899</v>
      </c>
      <c r="E1392" s="12" t="str">
        <f>HYPERLINK("https://twitter.com/suleimanalrash4/status/1181602325300961282","1181602325300961282")</f>
        <v>1181602325300961282</v>
      </c>
      <c r="F1392" s="8"/>
      <c r="G1392" s="14" t="s">
        <v>7900</v>
      </c>
      <c r="H1392" s="8"/>
      <c r="I1392" s="15">
        <v>0</v>
      </c>
      <c r="J1392" s="15">
        <v>0</v>
      </c>
      <c r="K1392" s="12" t="str">
        <f>HYPERLINK("http://twitter.com","Twitter Web Client")</f>
        <v>Twitter Web Client</v>
      </c>
      <c r="L1392" s="16">
        <v>7</v>
      </c>
      <c r="M1392" s="16">
        <v>42</v>
      </c>
      <c r="N1392" s="16">
        <v>0</v>
      </c>
      <c r="O1392" s="17"/>
      <c r="P1392" s="18">
        <v>42072.129062499997</v>
      </c>
      <c r="Q1392" s="7"/>
      <c r="R1392" s="13"/>
      <c r="S1392" s="8"/>
      <c r="T1392" s="8"/>
      <c r="U1392" s="19" t="str">
        <f>HYPERLINK("https://pbs.twimg.com/profile_images/574873981699801088/f8KUJq0g.jpeg","View")</f>
        <v>View</v>
      </c>
      <c r="V1392" s="8"/>
      <c r="W1392" s="8"/>
      <c r="X1392" s="8"/>
      <c r="Y1392" s="8"/>
      <c r="Z1392" s="8"/>
    </row>
    <row r="1393" spans="1:26" ht="12.75">
      <c r="A1393" s="11">
        <v>43746.380914351852</v>
      </c>
      <c r="B1393" s="12" t="str">
        <f>HYPERLINK("https://twitter.com/bandarleiman","@bandarleiman")</f>
        <v>@bandarleiman</v>
      </c>
      <c r="C1393" s="13" t="s">
        <v>7908</v>
      </c>
      <c r="D1393" s="13" t="s">
        <v>7909</v>
      </c>
      <c r="E1393" s="12" t="str">
        <f>HYPERLINK("https://twitter.com/bandarleiman/status/1181602280551981056","1181602280551981056")</f>
        <v>1181602280551981056</v>
      </c>
      <c r="F1393" s="8"/>
      <c r="G1393" s="14" t="s">
        <v>7910</v>
      </c>
      <c r="H1393" s="8"/>
      <c r="I1393" s="15">
        <v>0</v>
      </c>
      <c r="J1393" s="15">
        <v>0</v>
      </c>
      <c r="K1393" s="12" t="str">
        <f>HYPERLINK("http://twitter.com","Twitter Web Client")</f>
        <v>Twitter Web Client</v>
      </c>
      <c r="L1393" s="16">
        <v>1</v>
      </c>
      <c r="M1393" s="16">
        <v>41</v>
      </c>
      <c r="N1393" s="16">
        <v>0</v>
      </c>
      <c r="O1393" s="17"/>
      <c r="P1393" s="18">
        <v>42072.755324074074</v>
      </c>
      <c r="Q1393" s="7"/>
      <c r="R1393" s="13"/>
      <c r="S1393" s="8"/>
      <c r="T1393" s="8"/>
      <c r="U1393" s="19" t="str">
        <f>HYPERLINK("https://pbs.twimg.com/profile_images/575101247012786177/UbbIfqCv.jpeg","View")</f>
        <v>View</v>
      </c>
      <c r="V1393" s="8"/>
      <c r="W1393" s="8"/>
      <c r="X1393" s="8"/>
      <c r="Y1393" s="8"/>
      <c r="Z1393" s="8"/>
    </row>
    <row r="1394" spans="1:26" ht="12.75">
      <c r="A1394" s="11">
        <v>43746.380659722221</v>
      </c>
      <c r="B1394" s="12" t="str">
        <f>HYPERLINK("https://twitter.com/elahmary923","@elahmary923")</f>
        <v>@elahmary923</v>
      </c>
      <c r="C1394" s="13" t="s">
        <v>7914</v>
      </c>
      <c r="D1394" s="13" t="s">
        <v>563</v>
      </c>
      <c r="E1394" s="12" t="str">
        <f>HYPERLINK("https://twitter.com/elahmary923/status/1181602189703356417","1181602189703356417")</f>
        <v>1181602189703356417</v>
      </c>
      <c r="F1394" s="8"/>
      <c r="G1394" s="14" t="s">
        <v>7915</v>
      </c>
      <c r="H1394" s="8"/>
      <c r="I1394" s="15">
        <v>0</v>
      </c>
      <c r="J1394" s="15">
        <v>0</v>
      </c>
      <c r="K1394" s="12" t="str">
        <f>HYPERLINK("http://twitter.com","Twitter Web Client")</f>
        <v>Twitter Web Client</v>
      </c>
      <c r="L1394" s="16">
        <v>15</v>
      </c>
      <c r="M1394" s="16">
        <v>46</v>
      </c>
      <c r="N1394" s="16">
        <v>0</v>
      </c>
      <c r="O1394" s="17"/>
      <c r="P1394" s="18">
        <v>42072.290983796294</v>
      </c>
      <c r="Q1394" s="8"/>
      <c r="R1394" s="8"/>
      <c r="S1394" s="8"/>
      <c r="T1394" s="8"/>
      <c r="U1394" s="19" t="str">
        <f>HYPERLINK("https://pbs.twimg.com/profile_images/574932982462484481/J0dQna5p.jpeg","View")</f>
        <v>View</v>
      </c>
      <c r="V1394" s="8"/>
      <c r="W1394" s="8"/>
      <c r="X1394" s="8"/>
      <c r="Y1394" s="8"/>
      <c r="Z1394" s="8"/>
    </row>
    <row r="1395" spans="1:26" ht="12.75">
      <c r="A1395" s="11">
        <v>43746.378287037034</v>
      </c>
      <c r="B1395" s="12" t="str">
        <f>HYPERLINK("https://twitter.com/boualihussein","@boualihussein")</f>
        <v>@boualihussein</v>
      </c>
      <c r="C1395" s="13" t="s">
        <v>7919</v>
      </c>
      <c r="D1395" s="7" t="s">
        <v>3314</v>
      </c>
      <c r="E1395" s="12" t="str">
        <f>HYPERLINK("https://twitter.com/boualihussein/status/1181601326876299265","1181601326876299265")</f>
        <v>1181601326876299265</v>
      </c>
      <c r="F1395" s="8"/>
      <c r="G1395" s="14" t="s">
        <v>7920</v>
      </c>
      <c r="H1395" s="8"/>
      <c r="I1395" s="15">
        <v>0</v>
      </c>
      <c r="J1395" s="15">
        <v>0</v>
      </c>
      <c r="K1395" s="12" t="str">
        <f>HYPERLINK("http://twitter.com","Twitter Web Client")</f>
        <v>Twitter Web Client</v>
      </c>
      <c r="L1395" s="16">
        <v>1</v>
      </c>
      <c r="M1395" s="16">
        <v>42</v>
      </c>
      <c r="N1395" s="16">
        <v>0</v>
      </c>
      <c r="O1395" s="17"/>
      <c r="P1395" s="18">
        <v>42071.07131944444</v>
      </c>
      <c r="Q1395" s="7"/>
      <c r="R1395" s="13"/>
      <c r="S1395" s="8"/>
      <c r="T1395" s="8"/>
      <c r="U1395" s="19" t="str">
        <f>HYPERLINK("https://pbs.twimg.com/profile_images/574505760048082946/tkyNNolS.jpeg","View")</f>
        <v>View</v>
      </c>
      <c r="V1395" s="8"/>
      <c r="W1395" s="8"/>
      <c r="X1395" s="8"/>
      <c r="Y1395" s="8"/>
      <c r="Z1395" s="8"/>
    </row>
    <row r="1396" spans="1:26" ht="12.75">
      <c r="A1396" s="11">
        <v>43746.377928240741</v>
      </c>
      <c r="B1396" s="12" t="str">
        <f>HYPERLINK("https://twitter.com/Bahrain20113","@Bahrain20113")</f>
        <v>@Bahrain20113</v>
      </c>
      <c r="C1396" s="13" t="s">
        <v>7923</v>
      </c>
      <c r="D1396" s="13" t="s">
        <v>7924</v>
      </c>
      <c r="E1396" s="12" t="str">
        <f>HYPERLINK("https://twitter.com/Bahrain20113/status/1181601200506101763","1181601200506101763")</f>
        <v>1181601200506101763</v>
      </c>
      <c r="F1396" s="8"/>
      <c r="G1396" s="14" t="s">
        <v>7925</v>
      </c>
      <c r="H1396" s="8"/>
      <c r="I1396" s="15">
        <v>1</v>
      </c>
      <c r="J1396" s="15">
        <v>0</v>
      </c>
      <c r="K1396" s="12" t="str">
        <f>HYPERLINK("http://twitter.com/download/android","Twitter for Android")</f>
        <v>Twitter for Android</v>
      </c>
      <c r="L1396" s="16">
        <v>85</v>
      </c>
      <c r="M1396" s="16">
        <v>759</v>
      </c>
      <c r="N1396" s="16">
        <v>0</v>
      </c>
      <c r="O1396" s="17"/>
      <c r="P1396" s="18">
        <v>43655.187685185185</v>
      </c>
      <c r="Q1396" s="8"/>
      <c r="R1396" s="8"/>
      <c r="S1396" s="8"/>
      <c r="T1396" s="8"/>
      <c r="U1396" s="19" t="str">
        <f>HYPERLINK("https://pbs.twimg.com/profile_images/1155204255478951938/h1BoPjmN.jpg","View")</f>
        <v>View</v>
      </c>
      <c r="V1396" s="8"/>
      <c r="W1396" s="8"/>
      <c r="X1396" s="8"/>
      <c r="Y1396" s="8"/>
      <c r="Z1396" s="8"/>
    </row>
    <row r="1397" spans="1:26" ht="12.75">
      <c r="A1397" s="11">
        <v>43746.377222222218</v>
      </c>
      <c r="B1397" s="12" t="str">
        <f>HYPERLINK("https://twitter.com/rashidalirash14","@rashidalirash14")</f>
        <v>@rashidalirash14</v>
      </c>
      <c r="C1397" s="13" t="s">
        <v>7926</v>
      </c>
      <c r="D1397" s="13" t="s">
        <v>7927</v>
      </c>
      <c r="E1397" s="12" t="str">
        <f>HYPERLINK("https://twitter.com/rashidalirash14/status/1181600941952454656","1181600941952454656")</f>
        <v>1181600941952454656</v>
      </c>
      <c r="F1397" s="8"/>
      <c r="G1397" s="14" t="s">
        <v>7928</v>
      </c>
      <c r="H1397" s="8"/>
      <c r="I1397" s="15">
        <v>0</v>
      </c>
      <c r="J1397" s="15">
        <v>0</v>
      </c>
      <c r="K1397" s="12" t="str">
        <f>HYPERLINK("http://twitter.com","Twitter Web Client")</f>
        <v>Twitter Web Client</v>
      </c>
      <c r="L1397" s="16">
        <v>3</v>
      </c>
      <c r="M1397" s="16">
        <v>36</v>
      </c>
      <c r="N1397" s="16">
        <v>0</v>
      </c>
      <c r="O1397" s="17"/>
      <c r="P1397" s="18">
        <v>42069.072789351849</v>
      </c>
      <c r="Q1397" s="8"/>
      <c r="R1397" s="8"/>
      <c r="S1397" s="8"/>
      <c r="T1397" s="8"/>
      <c r="U1397" s="19" t="str">
        <f>HYPERLINK("https://pbs.twimg.com/profile_images/573781493362769921/se2JkWjx.jpeg","View")</f>
        <v>View</v>
      </c>
      <c r="V1397" s="8"/>
      <c r="W1397" s="8"/>
      <c r="X1397" s="8"/>
      <c r="Y1397" s="8"/>
      <c r="Z1397" s="8"/>
    </row>
    <row r="1398" spans="1:26" ht="12.75">
      <c r="A1398" s="11">
        <v>43746.376273148147</v>
      </c>
      <c r="B1398" s="12" t="str">
        <f>HYPERLINK("https://twitter.com/HassalQahtani","@HassalQahtani")</f>
        <v>@HassalQahtani</v>
      </c>
      <c r="C1398" s="13" t="s">
        <v>7938</v>
      </c>
      <c r="D1398" s="7" t="s">
        <v>619</v>
      </c>
      <c r="E1398" s="12" t="str">
        <f>HYPERLINK("https://twitter.com/HassalQahtani/status/1181600599625945089","1181600599625945089")</f>
        <v>1181600599625945089</v>
      </c>
      <c r="F1398" s="8"/>
      <c r="G1398" s="14" t="s">
        <v>7939</v>
      </c>
      <c r="H1398" s="8"/>
      <c r="I1398" s="15">
        <v>0</v>
      </c>
      <c r="J1398" s="15">
        <v>0</v>
      </c>
      <c r="K1398" s="12" t="str">
        <f>HYPERLINK("http://twitter.com","Twitter Web Client")</f>
        <v>Twitter Web Client</v>
      </c>
      <c r="L1398" s="16">
        <v>1</v>
      </c>
      <c r="M1398" s="16">
        <v>37</v>
      </c>
      <c r="N1398" s="16">
        <v>0</v>
      </c>
      <c r="O1398" s="17"/>
      <c r="P1398" s="18">
        <v>42081.347060185188</v>
      </c>
      <c r="Q1398" s="7"/>
      <c r="R1398" s="13"/>
      <c r="S1398" s="8"/>
      <c r="T1398" s="8"/>
      <c r="U1398" s="19" t="str">
        <f>HYPERLINK("https://pbs.twimg.com/profile_images/578214876411129857/8CwCa66R.jpeg","View")</f>
        <v>View</v>
      </c>
      <c r="V1398" s="8"/>
      <c r="W1398" s="8"/>
      <c r="X1398" s="8"/>
      <c r="Y1398" s="8"/>
      <c r="Z1398" s="8"/>
    </row>
    <row r="1399" spans="1:26" ht="12.75">
      <c r="A1399" s="11">
        <v>43746.370740740742</v>
      </c>
      <c r="B1399" s="12" t="str">
        <f>HYPERLINK("https://twitter.com/alieaahma","@alieaahma")</f>
        <v>@alieaahma</v>
      </c>
      <c r="C1399" s="13" t="s">
        <v>7943</v>
      </c>
      <c r="D1399" s="13" t="s">
        <v>7944</v>
      </c>
      <c r="E1399" s="12" t="str">
        <f>HYPERLINK("https://twitter.com/alieaahma/status/1181598593762971656","1181598593762971656")</f>
        <v>1181598593762971656</v>
      </c>
      <c r="F1399" s="8"/>
      <c r="G1399" s="14" t="s">
        <v>7947</v>
      </c>
      <c r="H1399" s="8"/>
      <c r="I1399" s="15">
        <v>0</v>
      </c>
      <c r="J1399" s="15">
        <v>0</v>
      </c>
      <c r="K1399" s="12" t="str">
        <f>HYPERLINK("http://twitter.com","Twitter Web Client")</f>
        <v>Twitter Web Client</v>
      </c>
      <c r="L1399" s="16">
        <v>1</v>
      </c>
      <c r="M1399" s="16">
        <v>34</v>
      </c>
      <c r="N1399" s="16">
        <v>0</v>
      </c>
      <c r="O1399" s="17"/>
      <c r="P1399" s="18">
        <v>42075.615937499999</v>
      </c>
      <c r="Q1399" s="8"/>
      <c r="R1399" s="8"/>
      <c r="S1399" s="8"/>
      <c r="T1399" s="8"/>
      <c r="U1399" s="19" t="str">
        <f>HYPERLINK("https://pbs.twimg.com/profile_images/576137940553728001/S9AkYV8x.jpeg","View")</f>
        <v>View</v>
      </c>
      <c r="V1399" s="8"/>
      <c r="W1399" s="8"/>
      <c r="X1399" s="8"/>
      <c r="Y1399" s="8"/>
      <c r="Z1399" s="8"/>
    </row>
    <row r="1400" spans="1:26" ht="12.75">
      <c r="A1400" s="11">
        <v>43746.367442129631</v>
      </c>
      <c r="B1400" s="12" t="str">
        <f>HYPERLINK("https://twitter.com/MhmdEkhwan","@MhmdEkhwan")</f>
        <v>@MhmdEkhwan</v>
      </c>
      <c r="C1400" s="13" t="s">
        <v>7950</v>
      </c>
      <c r="D1400" s="7" t="s">
        <v>3352</v>
      </c>
      <c r="E1400" s="12" t="str">
        <f>HYPERLINK("https://twitter.com/MhmdEkhwan/status/1181597399652995072","1181597399652995072")</f>
        <v>1181597399652995072</v>
      </c>
      <c r="F1400" s="8"/>
      <c r="G1400" s="14" t="s">
        <v>7951</v>
      </c>
      <c r="H1400" s="8"/>
      <c r="I1400" s="15">
        <v>0</v>
      </c>
      <c r="J1400" s="15">
        <v>0</v>
      </c>
      <c r="K1400" s="12" t="str">
        <f>HYPERLINK("http://twitter.com","Twitter Web Client")</f>
        <v>Twitter Web Client</v>
      </c>
      <c r="L1400" s="16">
        <v>0</v>
      </c>
      <c r="M1400" s="16">
        <v>30</v>
      </c>
      <c r="N1400" s="16">
        <v>0</v>
      </c>
      <c r="O1400" s="17"/>
      <c r="P1400" s="18">
        <v>41823.349282407406</v>
      </c>
      <c r="Q1400" s="7"/>
      <c r="R1400" s="13"/>
      <c r="S1400" s="8"/>
      <c r="T1400" s="8"/>
      <c r="U1400" s="19" t="str">
        <f>HYPERLINK("https://pbs.twimg.com/profile_images/484719137017442305/gJZ1snog.jpeg","View")</f>
        <v>View</v>
      </c>
      <c r="V1400" s="8"/>
      <c r="W1400" s="8"/>
      <c r="X1400" s="8"/>
      <c r="Y1400" s="8"/>
      <c r="Z1400" s="8"/>
    </row>
    <row r="1401" spans="1:26" ht="12.75">
      <c r="A1401" s="11">
        <v>43746.366331018522</v>
      </c>
      <c r="B1401" s="12" t="str">
        <f>HYPERLINK("https://twitter.com/AlgbrenRiad","@AlgbrenRiad")</f>
        <v>@AlgbrenRiad</v>
      </c>
      <c r="C1401" s="13" t="s">
        <v>7954</v>
      </c>
      <c r="D1401" s="13" t="s">
        <v>112</v>
      </c>
      <c r="E1401" s="12" t="str">
        <f>HYPERLINK("https://twitter.com/AlgbrenRiad/status/1181596996316155911","1181596996316155911")</f>
        <v>1181596996316155911</v>
      </c>
      <c r="F1401" s="8"/>
      <c r="G1401" s="14" t="s">
        <v>7955</v>
      </c>
      <c r="H1401" s="8"/>
      <c r="I1401" s="15">
        <v>0</v>
      </c>
      <c r="J1401" s="15">
        <v>0</v>
      </c>
      <c r="K1401" s="12" t="str">
        <f>HYPERLINK("http://twitter.com","Twitter Web Client")</f>
        <v>Twitter Web Client</v>
      </c>
      <c r="L1401" s="16">
        <v>5</v>
      </c>
      <c r="M1401" s="16">
        <v>40</v>
      </c>
      <c r="N1401" s="16">
        <v>0</v>
      </c>
      <c r="O1401" s="17"/>
      <c r="P1401" s="18">
        <v>42073.22388888889</v>
      </c>
      <c r="Q1401" s="13"/>
      <c r="R1401" s="13"/>
      <c r="S1401" s="8"/>
      <c r="T1401" s="8"/>
      <c r="U1401" s="19" t="str">
        <f>HYPERLINK("https://pbs.twimg.com/profile_images/575292985425817601/l_aEaQRZ.jpeg","View")</f>
        <v>View</v>
      </c>
      <c r="V1401" s="8"/>
      <c r="W1401" s="8"/>
      <c r="X1401" s="8"/>
      <c r="Y1401" s="8"/>
      <c r="Z1401" s="8"/>
    </row>
    <row r="1402" spans="1:26" ht="12.75">
      <c r="A1402" s="11">
        <v>43746.361747685187</v>
      </c>
      <c r="B1402" s="12" t="str">
        <f>HYPERLINK("https://twitter.com/mohmmedalqahta6","@mohmmedalqahta6")</f>
        <v>@mohmmedalqahta6</v>
      </c>
      <c r="C1402" s="13" t="s">
        <v>7960</v>
      </c>
      <c r="D1402" s="7" t="s">
        <v>7961</v>
      </c>
      <c r="E1402" s="12" t="str">
        <f>HYPERLINK("https://twitter.com/mohmmedalqahta6/status/1181595334272847873","1181595334272847873")</f>
        <v>1181595334272847873</v>
      </c>
      <c r="F1402" s="8"/>
      <c r="G1402" s="14" t="s">
        <v>7962</v>
      </c>
      <c r="H1402" s="8"/>
      <c r="I1402" s="15">
        <v>0</v>
      </c>
      <c r="J1402" s="15">
        <v>0</v>
      </c>
      <c r="K1402" s="12" t="str">
        <f>HYPERLINK("http://twitter.com","Twitter Web Client")</f>
        <v>Twitter Web Client</v>
      </c>
      <c r="L1402" s="16">
        <v>10</v>
      </c>
      <c r="M1402" s="16">
        <v>42</v>
      </c>
      <c r="N1402" s="16">
        <v>0</v>
      </c>
      <c r="O1402" s="17"/>
      <c r="P1402" s="18">
        <v>42072.160775462966</v>
      </c>
      <c r="Q1402" s="7"/>
      <c r="R1402" s="13"/>
      <c r="S1402" s="8"/>
      <c r="T1402" s="8"/>
      <c r="U1402" s="19" t="str">
        <f>HYPERLINK("https://pbs.twimg.com/profile_images/574885480161898497/fJy_2eAb.jpeg","View")</f>
        <v>View</v>
      </c>
      <c r="V1402" s="8"/>
      <c r="W1402" s="8"/>
      <c r="X1402" s="8"/>
      <c r="Y1402" s="8"/>
      <c r="Z1402" s="8"/>
    </row>
    <row r="1403" spans="1:26" ht="12.75">
      <c r="A1403" s="11">
        <v>43746.36109953704</v>
      </c>
      <c r="B1403" s="12" t="str">
        <f>HYPERLINK("https://twitter.com/elhily44_rr","@elhily44_rr")</f>
        <v>@elhily44_rr</v>
      </c>
      <c r="C1403" s="13" t="s">
        <v>7967</v>
      </c>
      <c r="D1403" s="7" t="s">
        <v>130</v>
      </c>
      <c r="E1403" s="12" t="str">
        <f>HYPERLINK("https://twitter.com/elhily44_rr/status/1181595099790217217","1181595099790217217")</f>
        <v>1181595099790217217</v>
      </c>
      <c r="F1403" s="8"/>
      <c r="G1403" s="14" t="s">
        <v>7968</v>
      </c>
      <c r="H1403" s="8"/>
      <c r="I1403" s="15">
        <v>0</v>
      </c>
      <c r="J1403" s="15">
        <v>0</v>
      </c>
      <c r="K1403" s="12" t="str">
        <f>HYPERLINK("http://twitter.com","Twitter Web Client")</f>
        <v>Twitter Web Client</v>
      </c>
      <c r="L1403" s="16">
        <v>11</v>
      </c>
      <c r="M1403" s="16">
        <v>47</v>
      </c>
      <c r="N1403" s="16">
        <v>0</v>
      </c>
      <c r="O1403" s="17"/>
      <c r="P1403" s="18">
        <v>42072.66741898148</v>
      </c>
      <c r="Q1403" s="7"/>
      <c r="R1403" s="13"/>
      <c r="S1403" s="8"/>
      <c r="T1403" s="8"/>
      <c r="U1403" s="19" t="str">
        <f>HYPERLINK("https://pbs.twimg.com/profile_images/575068977564532737/Wl5U_UeE.jpeg","View")</f>
        <v>View</v>
      </c>
      <c r="V1403" s="8"/>
      <c r="W1403" s="8"/>
      <c r="X1403" s="8"/>
      <c r="Y1403" s="8"/>
      <c r="Z1403" s="8"/>
    </row>
    <row r="1404" spans="1:26" ht="12.75">
      <c r="A1404" s="11">
        <v>43746.360925925925</v>
      </c>
      <c r="B1404" s="12" t="str">
        <f>HYPERLINK("https://twitter.com/AbdullahAlabedy","@AbdullahAlabedy")</f>
        <v>@AbdullahAlabedy</v>
      </c>
      <c r="C1404" s="13" t="s">
        <v>7970</v>
      </c>
      <c r="D1404" s="13" t="s">
        <v>7971</v>
      </c>
      <c r="E1404" s="12" t="str">
        <f>HYPERLINK("https://twitter.com/AbdullahAlabedy/status/1181595036812812288","1181595036812812288")</f>
        <v>1181595036812812288</v>
      </c>
      <c r="F1404" s="8"/>
      <c r="G1404" s="14" t="s">
        <v>7972</v>
      </c>
      <c r="H1404" s="8"/>
      <c r="I1404" s="15">
        <v>0</v>
      </c>
      <c r="J1404" s="15">
        <v>0</v>
      </c>
      <c r="K1404" s="12" t="str">
        <f>HYPERLINK("http://twitter.com","Twitter Web Client")</f>
        <v>Twitter Web Client</v>
      </c>
      <c r="L1404" s="16">
        <v>10</v>
      </c>
      <c r="M1404" s="16">
        <v>41</v>
      </c>
      <c r="N1404" s="16">
        <v>0</v>
      </c>
      <c r="O1404" s="17"/>
      <c r="P1404" s="18">
        <v>42071.652847222227</v>
      </c>
      <c r="Q1404" s="8"/>
      <c r="R1404" s="8"/>
      <c r="S1404" s="8"/>
      <c r="T1404" s="8"/>
      <c r="U1404" s="19" t="str">
        <f>HYPERLINK("https://pbs.twimg.com/profile_images/574711632984592384/bqSlnE_w.jpeg","View")</f>
        <v>View</v>
      </c>
      <c r="V1404" s="8"/>
      <c r="W1404" s="8"/>
      <c r="X1404" s="8"/>
      <c r="Y1404" s="8"/>
      <c r="Z1404" s="8"/>
    </row>
    <row r="1405" spans="1:26" ht="12.75">
      <c r="A1405" s="11">
        <v>43746.359305555554</v>
      </c>
      <c r="B1405" s="12" t="str">
        <f>HYPERLINK("https://twitter.com/eldahak_654","@eldahak_654")</f>
        <v>@eldahak_654</v>
      </c>
      <c r="C1405" s="13" t="s">
        <v>7979</v>
      </c>
      <c r="D1405" s="13" t="s">
        <v>3371</v>
      </c>
      <c r="E1405" s="12" t="str">
        <f>HYPERLINK("https://twitter.com/eldahak_654/status/1181594450738470912","1181594450738470912")</f>
        <v>1181594450738470912</v>
      </c>
      <c r="F1405" s="8"/>
      <c r="G1405" s="14" t="s">
        <v>7980</v>
      </c>
      <c r="H1405" s="8"/>
      <c r="I1405" s="15">
        <v>0</v>
      </c>
      <c r="J1405" s="15">
        <v>0</v>
      </c>
      <c r="K1405" s="12" t="str">
        <f>HYPERLINK("http://twitter.com","Twitter Web Client")</f>
        <v>Twitter Web Client</v>
      </c>
      <c r="L1405" s="16">
        <v>9</v>
      </c>
      <c r="M1405" s="16">
        <v>40</v>
      </c>
      <c r="N1405" s="16">
        <v>0</v>
      </c>
      <c r="O1405" s="17"/>
      <c r="P1405" s="18">
        <v>42075.183148148149</v>
      </c>
      <c r="Q1405" s="8"/>
      <c r="R1405" s="8"/>
      <c r="S1405" s="8"/>
      <c r="T1405" s="8"/>
      <c r="U1405" s="19" t="str">
        <f>HYPERLINK("https://pbs.twimg.com/profile_images/575980616820211712/lvLwUERt.jpeg","View")</f>
        <v>View</v>
      </c>
      <c r="V1405" s="8"/>
      <c r="W1405" s="8"/>
      <c r="X1405" s="8"/>
      <c r="Y1405" s="8"/>
      <c r="Z1405" s="8"/>
    </row>
    <row r="1406" spans="1:26" ht="12.75">
      <c r="A1406" s="11">
        <v>43746.358831018515</v>
      </c>
      <c r="B1406" s="12" t="str">
        <f>HYPERLINK("https://twitter.com/awadaa333","@awadaa333")</f>
        <v>@awadaa333</v>
      </c>
      <c r="C1406" s="13" t="s">
        <v>7983</v>
      </c>
      <c r="D1406" s="13" t="s">
        <v>168</v>
      </c>
      <c r="E1406" s="12" t="str">
        <f>HYPERLINK("https://twitter.com/awadaa333/status/1181594276985221123","1181594276985221123")</f>
        <v>1181594276985221123</v>
      </c>
      <c r="F1406" s="8"/>
      <c r="G1406" s="14" t="s">
        <v>7984</v>
      </c>
      <c r="H1406" s="8"/>
      <c r="I1406" s="15">
        <v>0</v>
      </c>
      <c r="J1406" s="15">
        <v>0</v>
      </c>
      <c r="K1406" s="12" t="str">
        <f>HYPERLINK("http://twitter.com","Twitter Web Client")</f>
        <v>Twitter Web Client</v>
      </c>
      <c r="L1406" s="16">
        <v>1</v>
      </c>
      <c r="M1406" s="16">
        <v>34</v>
      </c>
      <c r="N1406" s="16">
        <v>0</v>
      </c>
      <c r="O1406" s="17"/>
      <c r="P1406" s="18">
        <v>42078.271840277783</v>
      </c>
      <c r="Q1406" s="8"/>
      <c r="R1406" s="8"/>
      <c r="S1406" s="8"/>
      <c r="T1406" s="8"/>
      <c r="U1406" s="19" t="str">
        <f>HYPERLINK("https://pbs.twimg.com/profile_images/577100015895625728/QEIhcqO9.jpeg","View")</f>
        <v>View</v>
      </c>
      <c r="V1406" s="8"/>
      <c r="W1406" s="8"/>
      <c r="X1406" s="8"/>
      <c r="Y1406" s="8"/>
      <c r="Z1406" s="8"/>
    </row>
    <row r="1407" spans="1:26" ht="12.75">
      <c r="A1407" s="11">
        <v>43746.352939814809</v>
      </c>
      <c r="B1407" s="12" t="str">
        <f>HYPERLINK("https://twitter.com/misferalotaibi5","@misferalotaibi5")</f>
        <v>@misferalotaibi5</v>
      </c>
      <c r="C1407" s="13" t="s">
        <v>7985</v>
      </c>
      <c r="D1407" s="13" t="s">
        <v>758</v>
      </c>
      <c r="E1407" s="12" t="str">
        <f>HYPERLINK("https://twitter.com/misferalotaibi5/status/1181592141300224001","1181592141300224001")</f>
        <v>1181592141300224001</v>
      </c>
      <c r="F1407" s="8"/>
      <c r="G1407" s="14" t="s">
        <v>7988</v>
      </c>
      <c r="H1407" s="8"/>
      <c r="I1407" s="15">
        <v>0</v>
      </c>
      <c r="J1407" s="15">
        <v>0</v>
      </c>
      <c r="K1407" s="12" t="str">
        <f>HYPERLINK("http://twitter.com","Twitter Web Client")</f>
        <v>Twitter Web Client</v>
      </c>
      <c r="L1407" s="16">
        <v>2</v>
      </c>
      <c r="M1407" s="16">
        <v>38</v>
      </c>
      <c r="N1407" s="16">
        <v>0</v>
      </c>
      <c r="O1407" s="17"/>
      <c r="P1407" s="18">
        <v>42080.457858796297</v>
      </c>
      <c r="Q1407" s="8"/>
      <c r="R1407" s="8"/>
      <c r="S1407" s="8"/>
      <c r="T1407" s="8"/>
      <c r="U1407" s="19" t="str">
        <f>HYPERLINK("https://pbs.twimg.com/profile_images/577892208356945921/JcBubKAh.jpeg","View")</f>
        <v>View</v>
      </c>
      <c r="V1407" s="8"/>
      <c r="W1407" s="8"/>
      <c r="X1407" s="8"/>
      <c r="Y1407" s="8"/>
      <c r="Z1407" s="8"/>
    </row>
    <row r="1408" spans="1:26" ht="12.75">
      <c r="A1408" s="11">
        <v>43746.351284722223</v>
      </c>
      <c r="B1408" s="12" t="str">
        <f>HYPERLINK("https://twitter.com/saadshamranisa1","@saadshamranisa1")</f>
        <v>@saadshamranisa1</v>
      </c>
      <c r="C1408" s="13" t="s">
        <v>7990</v>
      </c>
      <c r="D1408" s="7" t="s">
        <v>764</v>
      </c>
      <c r="E1408" s="12" t="str">
        <f>HYPERLINK("https://twitter.com/saadshamranisa1/status/1181591543037284352","1181591543037284352")</f>
        <v>1181591543037284352</v>
      </c>
      <c r="F1408" s="8"/>
      <c r="G1408" s="14" t="s">
        <v>7991</v>
      </c>
      <c r="H1408" s="8"/>
      <c r="I1408" s="15">
        <v>0</v>
      </c>
      <c r="J1408" s="15">
        <v>0</v>
      </c>
      <c r="K1408" s="12" t="str">
        <f>HYPERLINK("http://twitter.com","Twitter Web Client")</f>
        <v>Twitter Web Client</v>
      </c>
      <c r="L1408" s="16">
        <v>1</v>
      </c>
      <c r="M1408" s="16">
        <v>44</v>
      </c>
      <c r="N1408" s="16">
        <v>0</v>
      </c>
      <c r="O1408" s="17"/>
      <c r="P1408" s="18">
        <v>42074.210358796292</v>
      </c>
      <c r="Q1408" s="7"/>
      <c r="R1408" s="13"/>
      <c r="S1408" s="8"/>
      <c r="T1408" s="8"/>
      <c r="U1408" s="19" t="str">
        <f>HYPERLINK("https://pbs.twimg.com/profile_images/575628195686313984/_6dud5qc.jpeg","View")</f>
        <v>View</v>
      </c>
      <c r="V1408" s="8"/>
      <c r="W1408" s="8"/>
      <c r="X1408" s="8"/>
      <c r="Y1408" s="8"/>
      <c r="Z1408" s="8"/>
    </row>
    <row r="1409" spans="1:26" ht="12.75">
      <c r="A1409" s="11">
        <v>43746.350659722222</v>
      </c>
      <c r="B1409" s="12" t="str">
        <f>HYPERLINK("https://twitter.com/4everResist","@4everResist")</f>
        <v>@4everResist</v>
      </c>
      <c r="C1409" s="13" t="s">
        <v>7993</v>
      </c>
      <c r="D1409" s="13" t="s">
        <v>7994</v>
      </c>
      <c r="E1409" s="12" t="str">
        <f>HYPERLINK("https://twitter.com/4everResist/status/1181591318562164736","1181591318562164736")</f>
        <v>1181591318562164736</v>
      </c>
      <c r="F1409" s="8"/>
      <c r="G1409" s="15"/>
      <c r="H1409" s="8"/>
      <c r="I1409" s="15">
        <v>0</v>
      </c>
      <c r="J1409" s="15">
        <v>0</v>
      </c>
      <c r="K1409" s="12" t="str">
        <f>HYPERLINK("http://twitter.com/#!/download/ipad","Twitter for iPad")</f>
        <v>Twitter for iPad</v>
      </c>
      <c r="L1409" s="16">
        <v>9410</v>
      </c>
      <c r="M1409" s="16">
        <v>9154</v>
      </c>
      <c r="N1409" s="16">
        <v>11</v>
      </c>
      <c r="O1409" s="17"/>
      <c r="P1409" s="18">
        <v>42709.343900462962</v>
      </c>
      <c r="Q1409" s="8" t="s">
        <v>7995</v>
      </c>
      <c r="R1409" s="8" t="s">
        <v>7996</v>
      </c>
      <c r="S1409" s="8"/>
      <c r="T1409" s="8"/>
      <c r="U1409" s="19" t="str">
        <f>HYPERLINK("https://pbs.twimg.com/profile_images/1096827565765885953/VcE9vExs.png","View")</f>
        <v>View</v>
      </c>
      <c r="V1409" s="8"/>
      <c r="W1409" s="8"/>
      <c r="X1409" s="8"/>
      <c r="Y1409" s="8"/>
      <c r="Z1409" s="8"/>
    </row>
    <row r="1410" spans="1:26" ht="12.75">
      <c r="A1410" s="11">
        <v>43746.34884259259</v>
      </c>
      <c r="B1410" s="12" t="str">
        <f>HYPERLINK("https://twitter.com/ahmed55713","@ahmed55713")</f>
        <v>@ahmed55713</v>
      </c>
      <c r="C1410" s="13" t="s">
        <v>8004</v>
      </c>
      <c r="D1410" s="7" t="s">
        <v>224</v>
      </c>
      <c r="E1410" s="12" t="str">
        <f>HYPERLINK("https://twitter.com/ahmed55713/status/1181590657540018178","1181590657540018178")</f>
        <v>1181590657540018178</v>
      </c>
      <c r="F1410" s="8"/>
      <c r="G1410" s="14" t="s">
        <v>8005</v>
      </c>
      <c r="H1410" s="8"/>
      <c r="I1410" s="15">
        <v>0</v>
      </c>
      <c r="J1410" s="15">
        <v>0</v>
      </c>
      <c r="K1410" s="12" t="str">
        <f>HYPERLINK("http://twitter.com","Twitter Web Client")</f>
        <v>Twitter Web Client</v>
      </c>
      <c r="L1410" s="16">
        <v>8</v>
      </c>
      <c r="M1410" s="16">
        <v>41</v>
      </c>
      <c r="N1410" s="16">
        <v>0</v>
      </c>
      <c r="O1410" s="17"/>
      <c r="P1410" s="18">
        <v>42268.765219907407</v>
      </c>
      <c r="Q1410" s="8"/>
      <c r="R1410" s="13"/>
      <c r="S1410" s="8"/>
      <c r="T1410" s="8"/>
      <c r="U1410" s="19" t="str">
        <f>HYPERLINK("https://pbs.twimg.com/profile_images/646341561442136066/f0JCYwg-.jpg","View")</f>
        <v>View</v>
      </c>
      <c r="V1410" s="8"/>
      <c r="W1410" s="8"/>
      <c r="X1410" s="8"/>
      <c r="Y1410" s="8"/>
      <c r="Z1410" s="8"/>
    </row>
    <row r="1411" spans="1:26" ht="12.75">
      <c r="A1411" s="11">
        <v>43746.343854166669</v>
      </c>
      <c r="B1411" s="12" t="str">
        <f>HYPERLINK("https://twitter.com/almodallg","@almodallg")</f>
        <v>@almodallg</v>
      </c>
      <c r="C1411" s="13" t="s">
        <v>8014</v>
      </c>
      <c r="D1411" s="7" t="s">
        <v>835</v>
      </c>
      <c r="E1411" s="12" t="str">
        <f>HYPERLINK("https://twitter.com/almodallg/status/1181588851984388106","1181588851984388106")</f>
        <v>1181588851984388106</v>
      </c>
      <c r="F1411" s="8"/>
      <c r="G1411" s="14" t="s">
        <v>8015</v>
      </c>
      <c r="H1411" s="8"/>
      <c r="I1411" s="15">
        <v>0</v>
      </c>
      <c r="J1411" s="15">
        <v>0</v>
      </c>
      <c r="K1411" s="12" t="str">
        <f>HYPERLINK("http://twitter.com","Twitter Web Client")</f>
        <v>Twitter Web Client</v>
      </c>
      <c r="L1411" s="16">
        <v>0</v>
      </c>
      <c r="M1411" s="16">
        <v>36</v>
      </c>
      <c r="N1411" s="16">
        <v>0</v>
      </c>
      <c r="O1411" s="17"/>
      <c r="P1411" s="18">
        <v>42014.300474537042</v>
      </c>
      <c r="Q1411" s="7"/>
      <c r="R1411" s="13"/>
      <c r="S1411" s="8"/>
      <c r="T1411" s="8"/>
      <c r="U1411" s="19" t="str">
        <f>HYPERLINK("https://pbs.twimg.com/profile_images/554251822911602688/olLxvNy8.jpeg","View")</f>
        <v>View</v>
      </c>
      <c r="V1411" s="8"/>
      <c r="W1411" s="8"/>
      <c r="X1411" s="8"/>
      <c r="Y1411" s="8"/>
      <c r="Z1411" s="8"/>
    </row>
    <row r="1412" spans="1:26" ht="12.75">
      <c r="A1412" s="11">
        <v>43746.343043981484</v>
      </c>
      <c r="B1412" s="12" t="str">
        <f>HYPERLINK("https://twitter.com/abodi_malk34","@abodi_malk34")</f>
        <v>@abodi_malk34</v>
      </c>
      <c r="C1412" s="13" t="s">
        <v>8019</v>
      </c>
      <c r="D1412" s="13" t="s">
        <v>844</v>
      </c>
      <c r="E1412" s="12" t="str">
        <f>HYPERLINK("https://twitter.com/abodi_malk34/status/1181588558357962757","1181588558357962757")</f>
        <v>1181588558357962757</v>
      </c>
      <c r="F1412" s="8"/>
      <c r="G1412" s="14" t="s">
        <v>8020</v>
      </c>
      <c r="H1412" s="8"/>
      <c r="I1412" s="15">
        <v>0</v>
      </c>
      <c r="J1412" s="15">
        <v>0</v>
      </c>
      <c r="K1412" s="12" t="str">
        <f>HYPERLINK("http://twitter.com","Twitter Web Client")</f>
        <v>Twitter Web Client</v>
      </c>
      <c r="L1412" s="16">
        <v>10</v>
      </c>
      <c r="M1412" s="16">
        <v>56</v>
      </c>
      <c r="N1412" s="16">
        <v>0</v>
      </c>
      <c r="O1412" s="17"/>
      <c r="P1412" s="18">
        <v>41483.564664351856</v>
      </c>
      <c r="Q1412" s="7"/>
      <c r="R1412" s="13" t="s">
        <v>8022</v>
      </c>
      <c r="S1412" s="8"/>
      <c r="T1412" s="8"/>
      <c r="U1412" s="19" t="str">
        <f>HYPERLINK("https://pbs.twimg.com/profile_images/824988915031490560/tEWe1a6L.jpg","View")</f>
        <v>View</v>
      </c>
      <c r="V1412" s="8"/>
      <c r="W1412" s="8"/>
      <c r="X1412" s="8"/>
      <c r="Y1412" s="8"/>
      <c r="Z1412" s="8"/>
    </row>
    <row r="1413" spans="1:26" ht="12.75">
      <c r="A1413" s="11">
        <v>43746.34239583333</v>
      </c>
      <c r="B1413" s="12" t="str">
        <f>HYPERLINK("https://twitter.com/shahrani24","@shahrani24")</f>
        <v>@shahrani24</v>
      </c>
      <c r="C1413" s="13" t="s">
        <v>8025</v>
      </c>
      <c r="D1413" s="7" t="s">
        <v>3477</v>
      </c>
      <c r="E1413" s="12" t="str">
        <f>HYPERLINK("https://twitter.com/shahrani24/status/1181588321019006976","1181588321019006976")</f>
        <v>1181588321019006976</v>
      </c>
      <c r="F1413" s="8"/>
      <c r="G1413" s="14" t="s">
        <v>8026</v>
      </c>
      <c r="H1413" s="8"/>
      <c r="I1413" s="15">
        <v>0</v>
      </c>
      <c r="J1413" s="15">
        <v>0</v>
      </c>
      <c r="K1413" s="12" t="str">
        <f>HYPERLINK("http://twitter.com","Twitter Web Client")</f>
        <v>Twitter Web Client</v>
      </c>
      <c r="L1413" s="16">
        <v>6</v>
      </c>
      <c r="M1413" s="16">
        <v>39</v>
      </c>
      <c r="N1413" s="16">
        <v>0</v>
      </c>
      <c r="O1413" s="17"/>
      <c r="P1413" s="18">
        <v>42268.732465277775</v>
      </c>
      <c r="Q1413" s="7"/>
      <c r="R1413" s="13"/>
      <c r="S1413" s="8"/>
      <c r="T1413" s="8"/>
      <c r="U1413" s="19" t="str">
        <f>HYPERLINK("https://pbs.twimg.com/profile_images/646329614218891264/zYM2jv8m.jpg","View")</f>
        <v>View</v>
      </c>
      <c r="V1413" s="8"/>
      <c r="W1413" s="8"/>
      <c r="X1413" s="8"/>
      <c r="Y1413" s="8"/>
      <c r="Z1413" s="8"/>
    </row>
    <row r="1414" spans="1:26" ht="12.75">
      <c r="A1414" s="11">
        <v>43746.341724537036</v>
      </c>
      <c r="B1414" s="12" t="str">
        <f>HYPERLINK("https://twitter.com/dawa555345","@dawa555345")</f>
        <v>@dawa555345</v>
      </c>
      <c r="C1414" s="13" t="s">
        <v>8030</v>
      </c>
      <c r="D1414" s="13" t="s">
        <v>3480</v>
      </c>
      <c r="E1414" s="12" t="str">
        <f>HYPERLINK("https://twitter.com/dawa555345/status/1181588080819625985","1181588080819625985")</f>
        <v>1181588080819625985</v>
      </c>
      <c r="F1414" s="8"/>
      <c r="G1414" s="14" t="s">
        <v>8032</v>
      </c>
      <c r="H1414" s="8"/>
      <c r="I1414" s="15">
        <v>0</v>
      </c>
      <c r="J1414" s="15">
        <v>0</v>
      </c>
      <c r="K1414" s="12" t="str">
        <f>HYPERLINK("http://twitter.com","Twitter Web Client")</f>
        <v>Twitter Web Client</v>
      </c>
      <c r="L1414" s="16">
        <v>5</v>
      </c>
      <c r="M1414" s="16">
        <v>32</v>
      </c>
      <c r="N1414" s="16">
        <v>0</v>
      </c>
      <c r="O1414" s="17"/>
      <c r="P1414" s="18">
        <v>42074.509733796294</v>
      </c>
      <c r="Q1414" s="8"/>
      <c r="R1414" s="8"/>
      <c r="S1414" s="8"/>
      <c r="T1414" s="8"/>
      <c r="U1414" s="19" t="str">
        <f>HYPERLINK("https://pbs.twimg.com/profile_images/575736600581181440/oN38tOqn.jpeg","View")</f>
        <v>View</v>
      </c>
      <c r="V1414" s="8"/>
      <c r="W1414" s="8"/>
      <c r="X1414" s="8"/>
      <c r="Y1414" s="8"/>
      <c r="Z1414" s="8"/>
    </row>
    <row r="1415" spans="1:26" ht="12.75">
      <c r="A1415" s="11">
        <v>43746.340763888889</v>
      </c>
      <c r="B1415" s="12" t="str">
        <f>HYPERLINK("https://twitter.com/ellageem44","@ellageem44")</f>
        <v>@ellageem44</v>
      </c>
      <c r="C1415" s="13" t="s">
        <v>8034</v>
      </c>
      <c r="D1415" s="7" t="s">
        <v>855</v>
      </c>
      <c r="E1415" s="12" t="str">
        <f>HYPERLINK("https://twitter.com/ellageem44/status/1181587730041593859","1181587730041593859")</f>
        <v>1181587730041593859</v>
      </c>
      <c r="F1415" s="8"/>
      <c r="G1415" s="14" t="s">
        <v>8035</v>
      </c>
      <c r="H1415" s="8"/>
      <c r="I1415" s="15">
        <v>0</v>
      </c>
      <c r="J1415" s="15">
        <v>0</v>
      </c>
      <c r="K1415" s="12" t="str">
        <f>HYPERLINK("http://twitter.com","Twitter Web Client")</f>
        <v>Twitter Web Client</v>
      </c>
      <c r="L1415" s="16">
        <v>12</v>
      </c>
      <c r="M1415" s="16">
        <v>38</v>
      </c>
      <c r="N1415" s="16">
        <v>0</v>
      </c>
      <c r="O1415" s="17"/>
      <c r="P1415" s="18">
        <v>42076.647986111115</v>
      </c>
      <c r="Q1415" s="8"/>
      <c r="R1415" s="13"/>
      <c r="S1415" s="8"/>
      <c r="T1415" s="8"/>
      <c r="U1415" s="19" t="str">
        <f>HYPERLINK("https://pbs.twimg.com/profile_images/576511576145956864/6ZQGyt86.jpeg","View")</f>
        <v>View</v>
      </c>
      <c r="V1415" s="8"/>
      <c r="W1415" s="8"/>
      <c r="X1415" s="8"/>
      <c r="Y1415" s="8"/>
      <c r="Z1415" s="8"/>
    </row>
    <row r="1416" spans="1:26" ht="12.75">
      <c r="A1416" s="11">
        <v>43746.339780092589</v>
      </c>
      <c r="B1416" s="12" t="str">
        <f>HYPERLINK("https://twitter.com/husseinbinseat1","@husseinbinseat1")</f>
        <v>@husseinbinseat1</v>
      </c>
      <c r="C1416" s="13" t="s">
        <v>8038</v>
      </c>
      <c r="D1416" s="7" t="s">
        <v>270</v>
      </c>
      <c r="E1416" s="12" t="str">
        <f>HYPERLINK("https://twitter.com/husseinbinseat1/status/1181587373337038849","1181587373337038849")</f>
        <v>1181587373337038849</v>
      </c>
      <c r="F1416" s="8"/>
      <c r="G1416" s="14" t="s">
        <v>8039</v>
      </c>
      <c r="H1416" s="8"/>
      <c r="I1416" s="15">
        <v>0</v>
      </c>
      <c r="J1416" s="15">
        <v>3</v>
      </c>
      <c r="K1416" s="12" t="str">
        <f>HYPERLINK("http://twitter.com","Twitter Web Client")</f>
        <v>Twitter Web Client</v>
      </c>
      <c r="L1416" s="16">
        <v>0</v>
      </c>
      <c r="M1416" s="16">
        <v>36</v>
      </c>
      <c r="N1416" s="16">
        <v>0</v>
      </c>
      <c r="O1416" s="17"/>
      <c r="P1416" s="18">
        <v>42027.665243055555</v>
      </c>
      <c r="Q1416" s="7"/>
      <c r="R1416" s="13"/>
      <c r="S1416" s="8"/>
      <c r="T1416" s="8"/>
      <c r="U1416" s="19" t="str">
        <f>HYPERLINK("https://pbs.twimg.com/profile_images/558777834034839554/uVvFV2ts.jpeg","View")</f>
        <v>View</v>
      </c>
      <c r="V1416" s="8"/>
      <c r="W1416" s="8"/>
      <c r="X1416" s="8"/>
      <c r="Y1416" s="8"/>
      <c r="Z1416" s="8"/>
    </row>
    <row r="1417" spans="1:26" ht="12.75">
      <c r="A1417" s="11">
        <v>43746.338333333333</v>
      </c>
      <c r="B1417" s="12" t="str">
        <f>HYPERLINK("https://twitter.com/elsakfy6666","@elsakfy6666")</f>
        <v>@elsakfy6666</v>
      </c>
      <c r="C1417" s="13" t="s">
        <v>8048</v>
      </c>
      <c r="D1417" s="13" t="s">
        <v>280</v>
      </c>
      <c r="E1417" s="12" t="str">
        <f>HYPERLINK("https://twitter.com/elsakfy6666/status/1181586848163991552","1181586848163991552")</f>
        <v>1181586848163991552</v>
      </c>
      <c r="F1417" s="8"/>
      <c r="G1417" s="14" t="s">
        <v>8049</v>
      </c>
      <c r="H1417" s="8"/>
      <c r="I1417" s="15">
        <v>0</v>
      </c>
      <c r="J1417" s="15">
        <v>0</v>
      </c>
      <c r="K1417" s="12" t="str">
        <f>HYPERLINK("http://twitter.com","Twitter Web Client")</f>
        <v>Twitter Web Client</v>
      </c>
      <c r="L1417" s="16">
        <v>12</v>
      </c>
      <c r="M1417" s="16">
        <v>56</v>
      </c>
      <c r="N1417" s="16">
        <v>0</v>
      </c>
      <c r="O1417" s="17"/>
      <c r="P1417" s="18">
        <v>42073.655231481476</v>
      </c>
      <c r="Q1417" s="8"/>
      <c r="R1417" s="8"/>
      <c r="S1417" s="8"/>
      <c r="T1417" s="8"/>
      <c r="U1417" s="19" t="str">
        <f>HYPERLINK("https://pbs.twimg.com/profile_images/575426949939527680/ePJQ3Yo3.jpeg","View")</f>
        <v>View</v>
      </c>
      <c r="V1417" s="8"/>
      <c r="W1417" s="8"/>
      <c r="X1417" s="8"/>
      <c r="Y1417" s="8"/>
      <c r="Z1417" s="8"/>
    </row>
    <row r="1418" spans="1:26" ht="12.75">
      <c r="A1418" s="11">
        <v>43746.33756944444</v>
      </c>
      <c r="B1418" s="12" t="str">
        <f>HYPERLINK("https://twitter.com/southofcloud9","@southofcloud9")</f>
        <v>@southofcloud9</v>
      </c>
      <c r="C1418" s="13" t="s">
        <v>8054</v>
      </c>
      <c r="D1418" s="13" t="s">
        <v>8055</v>
      </c>
      <c r="E1418" s="12" t="str">
        <f>HYPERLINK("https://twitter.com/southofcloud9/status/1181586573986369537","1181586573986369537")</f>
        <v>1181586573986369537</v>
      </c>
      <c r="F1418" s="8"/>
      <c r="G1418" s="15"/>
      <c r="H1418" s="8"/>
      <c r="I1418" s="15">
        <v>0</v>
      </c>
      <c r="J1418" s="15">
        <v>0</v>
      </c>
      <c r="K1418" s="12" t="str">
        <f>HYPERLINK("http://twitter.com/download/iphone","Twitter for iPhone")</f>
        <v>Twitter for iPhone</v>
      </c>
      <c r="L1418" s="16">
        <v>542</v>
      </c>
      <c r="M1418" s="16">
        <v>618</v>
      </c>
      <c r="N1418" s="16">
        <v>15</v>
      </c>
      <c r="O1418" s="17"/>
      <c r="P1418" s="18">
        <v>39912.804259259261</v>
      </c>
      <c r="Q1418" s="8" t="s">
        <v>8056</v>
      </c>
      <c r="R1418" s="8" t="s">
        <v>8057</v>
      </c>
      <c r="S1418" s="8"/>
      <c r="T1418" s="8"/>
      <c r="U1418" s="19" t="str">
        <f>HYPERLINK("https://pbs.twimg.com/profile_images/1129522929765535745/_gbWsyzS.jpg","View")</f>
        <v>View</v>
      </c>
      <c r="V1418" s="8"/>
      <c r="W1418" s="8"/>
      <c r="X1418" s="8"/>
      <c r="Y1418" s="8"/>
      <c r="Z1418" s="8"/>
    </row>
    <row r="1419" spans="1:26" ht="12.75">
      <c r="A1419" s="11">
        <v>43746.336053240739</v>
      </c>
      <c r="B1419" s="12" t="str">
        <f>HYPERLINK("https://twitter.com/sulesuleimanalh","@sulesuleimanalh")</f>
        <v>@sulesuleimanalh</v>
      </c>
      <c r="C1419" s="13" t="s">
        <v>8065</v>
      </c>
      <c r="D1419" s="13" t="s">
        <v>306</v>
      </c>
      <c r="E1419" s="12" t="str">
        <f>HYPERLINK("https://twitter.com/sulesuleimanalh/status/1181586023593197568","1181586023593197568")</f>
        <v>1181586023593197568</v>
      </c>
      <c r="F1419" s="8"/>
      <c r="G1419" s="14" t="s">
        <v>8067</v>
      </c>
      <c r="H1419" s="8"/>
      <c r="I1419" s="15">
        <v>0</v>
      </c>
      <c r="J1419" s="15">
        <v>0</v>
      </c>
      <c r="K1419" s="12" t="str">
        <f>HYPERLINK("http://twitter.com","Twitter Web Client")</f>
        <v>Twitter Web Client</v>
      </c>
      <c r="L1419" s="16">
        <v>0</v>
      </c>
      <c r="M1419" s="16">
        <v>31</v>
      </c>
      <c r="N1419" s="16">
        <v>0</v>
      </c>
      <c r="O1419" s="17"/>
      <c r="P1419" s="18">
        <v>41848.230694444443</v>
      </c>
      <c r="Q1419" s="7"/>
      <c r="R1419" s="13"/>
      <c r="S1419" s="8"/>
      <c r="T1419" s="8"/>
      <c r="U1419" s="19" t="str">
        <f>HYPERLINK("https://pbs.twimg.com/profile_images/493736770148630530/blocOma_.jpeg","View")</f>
        <v>View</v>
      </c>
      <c r="V1419" s="8"/>
      <c r="W1419" s="8"/>
      <c r="X1419" s="8"/>
      <c r="Y1419" s="8"/>
      <c r="Z1419" s="8"/>
    </row>
    <row r="1420" spans="1:26" ht="12.75">
      <c r="A1420" s="11">
        <v>43746.33556712963</v>
      </c>
      <c r="B1420" s="12" t="str">
        <f>HYPERLINK("https://twitter.com/3aliRagaa","@3aliRagaa")</f>
        <v>@3aliRagaa</v>
      </c>
      <c r="C1420" s="13" t="s">
        <v>8069</v>
      </c>
      <c r="D1420" s="13" t="s">
        <v>3529</v>
      </c>
      <c r="E1420" s="12" t="str">
        <f>HYPERLINK("https://twitter.com/3aliRagaa/status/1181585847906381824","1181585847906381824")</f>
        <v>1181585847906381824</v>
      </c>
      <c r="F1420" s="8"/>
      <c r="G1420" s="14" t="s">
        <v>8071</v>
      </c>
      <c r="H1420" s="8"/>
      <c r="I1420" s="15">
        <v>0</v>
      </c>
      <c r="J1420" s="15">
        <v>0</v>
      </c>
      <c r="K1420" s="12" t="str">
        <f>HYPERLINK("http://twitter.com","Twitter Web Client")</f>
        <v>Twitter Web Client</v>
      </c>
      <c r="L1420" s="16">
        <v>143</v>
      </c>
      <c r="M1420" s="16">
        <v>31</v>
      </c>
      <c r="N1420" s="16">
        <v>0</v>
      </c>
      <c r="O1420" s="17"/>
      <c r="P1420" s="18">
        <v>42080.590787037036</v>
      </c>
      <c r="Q1420" s="8"/>
      <c r="R1420" s="8"/>
      <c r="S1420" s="8"/>
      <c r="T1420" s="8"/>
      <c r="U1420" s="19" t="str">
        <f>HYPERLINK("https://pbs.twimg.com/profile_images/577940316818251778/HOygzyWN.jpeg","View")</f>
        <v>View</v>
      </c>
      <c r="V1420" s="8"/>
      <c r="W1420" s="8"/>
      <c r="X1420" s="8"/>
      <c r="Y1420" s="8"/>
      <c r="Z1420" s="8"/>
    </row>
    <row r="1421" spans="1:26" ht="12.75">
      <c r="A1421" s="11">
        <v>43746.333819444444</v>
      </c>
      <c r="B1421" s="12" t="str">
        <f>HYPERLINK("https://twitter.com/AlqahtaniGhazey","@AlqahtaniGhazey")</f>
        <v>@AlqahtaniGhazey</v>
      </c>
      <c r="C1421" s="13" t="s">
        <v>8075</v>
      </c>
      <c r="D1421" s="13" t="s">
        <v>330</v>
      </c>
      <c r="E1421" s="12" t="str">
        <f>HYPERLINK("https://twitter.com/AlqahtaniGhazey/status/1181585215401148418","1181585215401148418")</f>
        <v>1181585215401148418</v>
      </c>
      <c r="F1421" s="8"/>
      <c r="G1421" s="14" t="s">
        <v>8077</v>
      </c>
      <c r="H1421" s="8"/>
      <c r="I1421" s="15">
        <v>0</v>
      </c>
      <c r="J1421" s="15">
        <v>0</v>
      </c>
      <c r="K1421" s="12" t="str">
        <f>HYPERLINK("http://twitter.com","Twitter Web Client")</f>
        <v>Twitter Web Client</v>
      </c>
      <c r="L1421" s="16">
        <v>9</v>
      </c>
      <c r="M1421" s="16">
        <v>40</v>
      </c>
      <c r="N1421" s="16">
        <v>0</v>
      </c>
      <c r="O1421" s="17"/>
      <c r="P1421" s="18">
        <v>42073.719768518524</v>
      </c>
      <c r="Q1421" s="8"/>
      <c r="R1421" s="8"/>
      <c r="S1421" s="8"/>
      <c r="T1421" s="8"/>
      <c r="U1421" s="19" t="str">
        <f>HYPERLINK("https://pbs.twimg.com/profile_images/575454075409432579/Q26sTokm.jpeg","View")</f>
        <v>View</v>
      </c>
      <c r="V1421" s="8"/>
      <c r="W1421" s="8"/>
      <c r="X1421" s="8"/>
      <c r="Y1421" s="8"/>
      <c r="Z1421" s="8"/>
    </row>
    <row r="1422" spans="1:26" ht="12.75">
      <c r="A1422" s="11">
        <v>43746.333009259259</v>
      </c>
      <c r="B1422" s="12" t="str">
        <f>HYPERLINK("https://twitter.com/sahaal233","@sahaal233")</f>
        <v>@sahaal233</v>
      </c>
      <c r="C1422" s="13" t="s">
        <v>8080</v>
      </c>
      <c r="D1422" s="13" t="s">
        <v>337</v>
      </c>
      <c r="E1422" s="12" t="str">
        <f>HYPERLINK("https://twitter.com/sahaal233/status/1181584922370347009","1181584922370347009")</f>
        <v>1181584922370347009</v>
      </c>
      <c r="F1422" s="8"/>
      <c r="G1422" s="14" t="s">
        <v>8082</v>
      </c>
      <c r="H1422" s="8"/>
      <c r="I1422" s="15">
        <v>0</v>
      </c>
      <c r="J1422" s="15">
        <v>0</v>
      </c>
      <c r="K1422" s="12" t="str">
        <f>HYPERLINK("http://twitter.com","Twitter Web Client")</f>
        <v>Twitter Web Client</v>
      </c>
      <c r="L1422" s="16">
        <v>6</v>
      </c>
      <c r="M1422" s="16">
        <v>30</v>
      </c>
      <c r="N1422" s="16">
        <v>0</v>
      </c>
      <c r="O1422" s="17"/>
      <c r="P1422" s="18">
        <v>42077.529421296298</v>
      </c>
      <c r="Q1422" s="8"/>
      <c r="R1422" s="8"/>
      <c r="S1422" s="8"/>
      <c r="T1422" s="8"/>
      <c r="U1422" s="19" t="str">
        <f>HYPERLINK("https://pbs.twimg.com/profile_images/576830901746675712/Y2gNBgad.jpeg","View")</f>
        <v>View</v>
      </c>
      <c r="V1422" s="8"/>
      <c r="W1422" s="8"/>
      <c r="X1422" s="8"/>
      <c r="Y1422" s="8"/>
      <c r="Z1422" s="8"/>
    </row>
    <row r="1423" spans="1:26" ht="12.75">
      <c r="A1423" s="11">
        <v>43746.332523148143</v>
      </c>
      <c r="B1423" s="12" t="str">
        <f>HYPERLINK("https://twitter.com/saidahmarisaid4","@saidahmarisaid4")</f>
        <v>@saidahmarisaid4</v>
      </c>
      <c r="C1423" s="13" t="s">
        <v>8086</v>
      </c>
      <c r="D1423" s="13" t="s">
        <v>977</v>
      </c>
      <c r="E1423" s="12" t="str">
        <f>HYPERLINK("https://twitter.com/saidahmarisaid4/status/1181584745479753732","1181584745479753732")</f>
        <v>1181584745479753732</v>
      </c>
      <c r="F1423" s="8"/>
      <c r="G1423" s="14" t="s">
        <v>8087</v>
      </c>
      <c r="H1423" s="8"/>
      <c r="I1423" s="15">
        <v>0</v>
      </c>
      <c r="J1423" s="15">
        <v>0</v>
      </c>
      <c r="K1423" s="12" t="str">
        <f>HYPERLINK("http://twitter.com","Twitter Web Client")</f>
        <v>Twitter Web Client</v>
      </c>
      <c r="L1423" s="16">
        <v>1</v>
      </c>
      <c r="M1423" s="16">
        <v>41</v>
      </c>
      <c r="N1423" s="16">
        <v>0</v>
      </c>
      <c r="O1423" s="17"/>
      <c r="P1423" s="18">
        <v>42082.772696759261</v>
      </c>
      <c r="Q1423" s="8"/>
      <c r="R1423" s="8"/>
      <c r="S1423" s="8"/>
      <c r="T1423" s="8"/>
      <c r="U1423" s="19" t="str">
        <f>HYPERLINK("https://pbs.twimg.com/profile_images/983299713939230722/A4neA9DZ.jpg","View")</f>
        <v>View</v>
      </c>
      <c r="V1423" s="8"/>
      <c r="W1423" s="8"/>
      <c r="X1423" s="8"/>
      <c r="Y1423" s="8"/>
      <c r="Z1423" s="8"/>
    </row>
    <row r="1424" spans="1:26" ht="12.75">
      <c r="A1424" s="11">
        <v>43746.329791666663</v>
      </c>
      <c r="B1424" s="12" t="str">
        <f>HYPERLINK("https://twitter.com/bassambinhamma3","@bassambinhamma3")</f>
        <v>@bassambinhamma3</v>
      </c>
      <c r="C1424" s="13" t="s">
        <v>8095</v>
      </c>
      <c r="D1424" s="7" t="s">
        <v>8096</v>
      </c>
      <c r="E1424" s="12" t="str">
        <f>HYPERLINK("https://twitter.com/bassambinhamma3/status/1181583755850506248","1181583755850506248")</f>
        <v>1181583755850506248</v>
      </c>
      <c r="F1424" s="8"/>
      <c r="G1424" s="14" t="s">
        <v>8097</v>
      </c>
      <c r="H1424" s="8"/>
      <c r="I1424" s="15">
        <v>0</v>
      </c>
      <c r="J1424" s="15">
        <v>0</v>
      </c>
      <c r="K1424" s="12" t="str">
        <f>HYPERLINK("http://twitter.com","Twitter Web Client")</f>
        <v>Twitter Web Client</v>
      </c>
      <c r="L1424" s="16">
        <v>2</v>
      </c>
      <c r="M1424" s="16">
        <v>34</v>
      </c>
      <c r="N1424" s="16">
        <v>0</v>
      </c>
      <c r="O1424" s="17"/>
      <c r="P1424" s="18">
        <v>42073.726307870369</v>
      </c>
      <c r="Q1424" s="7"/>
      <c r="R1424" s="13"/>
      <c r="S1424" s="8"/>
      <c r="T1424" s="8"/>
      <c r="U1424" s="19" t="str">
        <f>HYPERLINK("https://pbs.twimg.com/profile_images/575453914058780673/WAsoTiKb.jpeg","View")</f>
        <v>View</v>
      </c>
      <c r="V1424" s="8"/>
      <c r="W1424" s="8"/>
      <c r="X1424" s="8"/>
      <c r="Y1424" s="8"/>
      <c r="Z1424" s="8"/>
    </row>
    <row r="1425" spans="1:26" ht="12.75">
      <c r="A1425" s="11">
        <v>43746.327326388884</v>
      </c>
      <c r="B1425" s="12" t="str">
        <f>HYPERLINK("https://twitter.com/zahirmohammadi1","@zahirmohammadi1")</f>
        <v>@zahirmohammadi1</v>
      </c>
      <c r="C1425" s="13" t="s">
        <v>8100</v>
      </c>
      <c r="D1425" s="13" t="s">
        <v>1059</v>
      </c>
      <c r="E1425" s="12" t="str">
        <f>HYPERLINK("https://twitter.com/zahirmohammadi1/status/1181582860643438592","1181582860643438592")</f>
        <v>1181582860643438592</v>
      </c>
      <c r="F1425" s="8"/>
      <c r="G1425" s="14" t="s">
        <v>8101</v>
      </c>
      <c r="H1425" s="8"/>
      <c r="I1425" s="15">
        <v>0</v>
      </c>
      <c r="J1425" s="15">
        <v>0</v>
      </c>
      <c r="K1425" s="12" t="str">
        <f>HYPERLINK("http://twitter.com","Twitter Web Client")</f>
        <v>Twitter Web Client</v>
      </c>
      <c r="L1425" s="16">
        <v>2</v>
      </c>
      <c r="M1425" s="16">
        <v>37</v>
      </c>
      <c r="N1425" s="16">
        <v>0</v>
      </c>
      <c r="O1425" s="17"/>
      <c r="P1425" s="18">
        <v>42081.652187500003</v>
      </c>
      <c r="Q1425" s="8"/>
      <c r="R1425" s="8"/>
      <c r="S1425" s="8"/>
      <c r="T1425" s="8"/>
      <c r="U1425" s="19" t="str">
        <f>HYPERLINK("https://pbs.twimg.com/profile_images/578326566075265025/TQRPN2ty.jpeg","View")</f>
        <v>View</v>
      </c>
      <c r="V1425" s="8"/>
      <c r="W1425" s="8"/>
      <c r="X1425" s="8"/>
      <c r="Y1425" s="8"/>
      <c r="Z1425" s="8"/>
    </row>
    <row r="1426" spans="1:26" ht="12.75">
      <c r="A1426" s="11">
        <v>43746.327152777776</v>
      </c>
      <c r="B1426" s="12" t="str">
        <f>HYPERLINK("https://twitter.com/hamdanalrashid3","@hamdanalrashid3")</f>
        <v>@hamdanalrashid3</v>
      </c>
      <c r="C1426" s="13" t="s">
        <v>8102</v>
      </c>
      <c r="D1426" s="7" t="s">
        <v>364</v>
      </c>
      <c r="E1426" s="12" t="str">
        <f>HYPERLINK("https://twitter.com/hamdanalrashid3/status/1181582799091974144","1181582799091974144")</f>
        <v>1181582799091974144</v>
      </c>
      <c r="F1426" s="8"/>
      <c r="G1426" s="14" t="s">
        <v>8103</v>
      </c>
      <c r="H1426" s="8"/>
      <c r="I1426" s="15">
        <v>0</v>
      </c>
      <c r="J1426" s="15">
        <v>0</v>
      </c>
      <c r="K1426" s="12" t="str">
        <f>HYPERLINK("http://twitter.com","Twitter Web Client")</f>
        <v>Twitter Web Client</v>
      </c>
      <c r="L1426" s="16">
        <v>6</v>
      </c>
      <c r="M1426" s="16">
        <v>36</v>
      </c>
      <c r="N1426" s="16">
        <v>0</v>
      </c>
      <c r="O1426" s="17"/>
      <c r="P1426" s="18">
        <v>42068.239594907413</v>
      </c>
      <c r="Q1426" s="7"/>
      <c r="R1426" s="13"/>
      <c r="S1426" s="8"/>
      <c r="T1426" s="8"/>
      <c r="U1426" s="19" t="str">
        <f>HYPERLINK("https://pbs.twimg.com/profile_images/573479566494146560/7dWM2KXn.jpeg","View")</f>
        <v>View</v>
      </c>
      <c r="V1426" s="8"/>
      <c r="W1426" s="8"/>
      <c r="X1426" s="8"/>
      <c r="Y1426" s="8"/>
      <c r="Z1426" s="8"/>
    </row>
    <row r="1427" spans="1:26" ht="12.75">
      <c r="A1427" s="11">
        <v>43746.325115740736</v>
      </c>
      <c r="B1427" s="12" t="str">
        <f>HYPERLINK("https://twitter.com/alnasharee7545","@alnasharee7545")</f>
        <v>@alnasharee7545</v>
      </c>
      <c r="C1427" s="13" t="s">
        <v>5655</v>
      </c>
      <c r="D1427" s="13" t="s">
        <v>3602</v>
      </c>
      <c r="E1427" s="12" t="str">
        <f>HYPERLINK("https://twitter.com/alnasharee7545/status/1181582060584087552","1181582060584087552")</f>
        <v>1181582060584087552</v>
      </c>
      <c r="F1427" s="8"/>
      <c r="G1427" s="14" t="s">
        <v>8112</v>
      </c>
      <c r="H1427" s="8"/>
      <c r="I1427" s="15">
        <v>0</v>
      </c>
      <c r="J1427" s="15">
        <v>0</v>
      </c>
      <c r="K1427" s="12" t="str">
        <f>HYPERLINK("http://twitter.com","Twitter Web Client")</f>
        <v>Twitter Web Client</v>
      </c>
      <c r="L1427" s="16">
        <v>7</v>
      </c>
      <c r="M1427" s="16">
        <v>37</v>
      </c>
      <c r="N1427" s="16">
        <v>0</v>
      </c>
      <c r="O1427" s="17"/>
      <c r="P1427" s="18">
        <v>42069.35628472222</v>
      </c>
      <c r="Q1427" s="8"/>
      <c r="R1427" s="8"/>
      <c r="S1427" s="8"/>
      <c r="T1427" s="8"/>
      <c r="U1427" s="19" t="str">
        <f>HYPERLINK("https://pbs.twimg.com/profile_images/573884237033549824/aq7cWCaq.jpeg","View")</f>
        <v>View</v>
      </c>
      <c r="V1427" s="8"/>
      <c r="W1427" s="8"/>
      <c r="X1427" s="8"/>
      <c r="Y1427" s="8"/>
      <c r="Z1427" s="8"/>
    </row>
    <row r="1428" spans="1:26" ht="12.75">
      <c r="A1428" s="11">
        <v>43746.324652777781</v>
      </c>
      <c r="B1428" s="12" t="str">
        <f>HYPERLINK("https://twitter.com/bnzzawaye33","@bnzzawaye33")</f>
        <v>@bnzzawaye33</v>
      </c>
      <c r="C1428" s="13" t="s">
        <v>8116</v>
      </c>
      <c r="D1428" s="13" t="s">
        <v>373</v>
      </c>
      <c r="E1428" s="12" t="str">
        <f>HYPERLINK("https://twitter.com/bnzzawaye33/status/1181581890479894530","1181581890479894530")</f>
        <v>1181581890479894530</v>
      </c>
      <c r="F1428" s="8"/>
      <c r="G1428" s="14" t="s">
        <v>8117</v>
      </c>
      <c r="H1428" s="8"/>
      <c r="I1428" s="15">
        <v>0</v>
      </c>
      <c r="J1428" s="15">
        <v>0</v>
      </c>
      <c r="K1428" s="12" t="str">
        <f>HYPERLINK("http://twitter.com","Twitter Web Client")</f>
        <v>Twitter Web Client</v>
      </c>
      <c r="L1428" s="16">
        <v>6</v>
      </c>
      <c r="M1428" s="16">
        <v>42</v>
      </c>
      <c r="N1428" s="16">
        <v>0</v>
      </c>
      <c r="O1428" s="17"/>
      <c r="P1428" s="18">
        <v>42074.42696759259</v>
      </c>
      <c r="Q1428" s="8"/>
      <c r="R1428" s="8"/>
      <c r="S1428" s="8"/>
      <c r="T1428" s="8"/>
      <c r="U1428" s="19" t="str">
        <f>HYPERLINK("https://pbs.twimg.com/profile_images/575709047090884608/4D3EIJHw.jpeg","View")</f>
        <v>View</v>
      </c>
      <c r="V1428" s="8"/>
      <c r="W1428" s="8"/>
      <c r="X1428" s="8"/>
      <c r="Y1428" s="8"/>
      <c r="Z1428" s="8"/>
    </row>
    <row r="1429" spans="1:26" ht="12.75">
      <c r="A1429" s="11">
        <v>43746.323935185181</v>
      </c>
      <c r="B1429" s="12" t="str">
        <f>HYPERLINK("https://twitter.com/ahmedhzaa71","@ahmedhzaa71")</f>
        <v>@ahmedhzaa71</v>
      </c>
      <c r="C1429" s="13" t="s">
        <v>8131</v>
      </c>
      <c r="D1429" s="13" t="s">
        <v>8132</v>
      </c>
      <c r="E1429" s="12" t="str">
        <f>HYPERLINK("https://twitter.com/ahmedhzaa71/status/1181581633079697408","1181581633079697408")</f>
        <v>1181581633079697408</v>
      </c>
      <c r="F1429" s="8"/>
      <c r="G1429" s="15"/>
      <c r="H1429" s="8"/>
      <c r="I1429" s="15">
        <v>0</v>
      </c>
      <c r="J1429" s="15">
        <v>9</v>
      </c>
      <c r="K1429" s="12" t="str">
        <f>HYPERLINK("http://twitter.com/download/android","Twitter for Android")</f>
        <v>Twitter for Android</v>
      </c>
      <c r="L1429" s="16">
        <v>30406</v>
      </c>
      <c r="M1429" s="16">
        <v>1136</v>
      </c>
      <c r="N1429" s="16">
        <v>28</v>
      </c>
      <c r="O1429" s="17"/>
      <c r="P1429" s="18">
        <v>41929.2575</v>
      </c>
      <c r="Q1429" s="8" t="s">
        <v>8133</v>
      </c>
      <c r="R1429" s="8" t="s">
        <v>8134</v>
      </c>
      <c r="S1429" s="14" t="s">
        <v>8135</v>
      </c>
      <c r="T1429" s="8"/>
      <c r="U1429" s="19" t="str">
        <f>HYPERLINK("https://pbs.twimg.com/profile_images/1167527969226731521/KmXmwD-J.jpg","View")</f>
        <v>View</v>
      </c>
      <c r="V1429" s="8"/>
      <c r="W1429" s="8"/>
      <c r="X1429" s="8"/>
      <c r="Y1429" s="8"/>
      <c r="Z1429" s="8"/>
    </row>
    <row r="1430" spans="1:26" ht="12.75">
      <c r="A1430" s="11">
        <v>43746.322858796295</v>
      </c>
      <c r="B1430" s="12" t="str">
        <f>HYPERLINK("https://twitter.com/yaerajahsinanie","@yaerajahsinanie")</f>
        <v>@yaerajahsinanie</v>
      </c>
      <c r="C1430" s="13" t="s">
        <v>8138</v>
      </c>
      <c r="D1430" s="7" t="s">
        <v>3611</v>
      </c>
      <c r="E1430" s="12" t="str">
        <f>HYPERLINK("https://twitter.com/yaerajahsinanie/status/1181581242027917313","1181581242027917313")</f>
        <v>1181581242027917313</v>
      </c>
      <c r="F1430" s="8"/>
      <c r="G1430" s="14" t="s">
        <v>8141</v>
      </c>
      <c r="H1430" s="8"/>
      <c r="I1430" s="15">
        <v>0</v>
      </c>
      <c r="J1430" s="15">
        <v>0</v>
      </c>
      <c r="K1430" s="12" t="str">
        <f>HYPERLINK("http://twitter.com","Twitter Web Client")</f>
        <v>Twitter Web Client</v>
      </c>
      <c r="L1430" s="16">
        <v>1</v>
      </c>
      <c r="M1430" s="16">
        <v>28</v>
      </c>
      <c r="N1430" s="16">
        <v>0</v>
      </c>
      <c r="O1430" s="17"/>
      <c r="P1430" s="18">
        <v>41847.63921296296</v>
      </c>
      <c r="Q1430" s="7"/>
      <c r="R1430" s="13"/>
      <c r="S1430" s="8"/>
      <c r="T1430" s="8"/>
      <c r="U1430" s="19" t="str">
        <f>HYPERLINK("https://pbs.twimg.com/profile_images/493521788903518208/pOuJCL8L.jpeg","View")</f>
        <v>View</v>
      </c>
      <c r="V1430" s="8"/>
      <c r="W1430" s="8"/>
      <c r="X1430" s="8"/>
      <c r="Y1430" s="8"/>
      <c r="Z1430" s="8"/>
    </row>
    <row r="1431" spans="1:26" ht="12.75">
      <c r="A1431" s="11">
        <v>43746.322210648148</v>
      </c>
      <c r="B1431" s="12" t="str">
        <f>HYPERLINK("https://twitter.com/aliahme09909719","@aliahme09909719")</f>
        <v>@aliahme09909719</v>
      </c>
      <c r="C1431" s="13" t="s">
        <v>8144</v>
      </c>
      <c r="D1431" s="13" t="s">
        <v>8145</v>
      </c>
      <c r="E1431" s="12" t="str">
        <f>HYPERLINK("https://twitter.com/aliahme09909719/status/1181581008870821889","1181581008870821889")</f>
        <v>1181581008870821889</v>
      </c>
      <c r="F1431" s="8"/>
      <c r="G1431" s="14" t="s">
        <v>8146</v>
      </c>
      <c r="H1431" s="8"/>
      <c r="I1431" s="15">
        <v>0</v>
      </c>
      <c r="J1431" s="15">
        <v>0</v>
      </c>
      <c r="K1431" s="12" t="str">
        <f>HYPERLINK("http://twitter.com","Twitter Web Client")</f>
        <v>Twitter Web Client</v>
      </c>
      <c r="L1431" s="16">
        <v>8</v>
      </c>
      <c r="M1431" s="16">
        <v>43</v>
      </c>
      <c r="N1431" s="16">
        <v>0</v>
      </c>
      <c r="O1431" s="17"/>
      <c r="P1431" s="18">
        <v>42075.217372685191</v>
      </c>
      <c r="Q1431" s="8"/>
      <c r="R1431" s="8"/>
      <c r="S1431" s="8"/>
      <c r="T1431" s="8"/>
      <c r="U1431" s="19" t="str">
        <f>HYPERLINK("https://pbs.twimg.com/profile_images/575993232649162752/g6qqkFg_.jpeg","View")</f>
        <v>View</v>
      </c>
      <c r="V1431" s="8"/>
      <c r="W1431" s="8"/>
      <c r="X1431" s="8"/>
      <c r="Y1431" s="8"/>
      <c r="Z1431" s="8"/>
    </row>
    <row r="1432" spans="1:26" ht="12.75">
      <c r="A1432" s="11">
        <v>43746.321412037039</v>
      </c>
      <c r="B1432" s="12" t="str">
        <f>HYPERLINK("https://twitter.com/elharas_44","@elharas_44")</f>
        <v>@elharas_44</v>
      </c>
      <c r="C1432" s="13" t="s">
        <v>8149</v>
      </c>
      <c r="D1432" s="13" t="s">
        <v>8150</v>
      </c>
      <c r="E1432" s="12" t="str">
        <f>HYPERLINK("https://twitter.com/elharas_44/status/1181580716037029890","1181580716037029890")</f>
        <v>1181580716037029890</v>
      </c>
      <c r="F1432" s="8"/>
      <c r="G1432" s="14" t="s">
        <v>8153</v>
      </c>
      <c r="H1432" s="8"/>
      <c r="I1432" s="15">
        <v>0</v>
      </c>
      <c r="J1432" s="15">
        <v>0</v>
      </c>
      <c r="K1432" s="12" t="str">
        <f>HYPERLINK("http://twitter.com","Twitter Web Client")</f>
        <v>Twitter Web Client</v>
      </c>
      <c r="L1432" s="16">
        <v>12</v>
      </c>
      <c r="M1432" s="16">
        <v>32</v>
      </c>
      <c r="N1432" s="16">
        <v>0</v>
      </c>
      <c r="O1432" s="17"/>
      <c r="P1432" s="18">
        <v>42076.576898148152</v>
      </c>
      <c r="Q1432" s="8"/>
      <c r="R1432" s="8"/>
      <c r="S1432" s="8"/>
      <c r="T1432" s="8"/>
      <c r="U1432" s="19" t="str">
        <f>HYPERLINK("https://pbs.twimg.com/profile_images/576485823677214720/wE2-6-7H.jpeg","View")</f>
        <v>View</v>
      </c>
      <c r="V1432" s="8"/>
      <c r="W1432" s="8"/>
      <c r="X1432" s="8"/>
      <c r="Y1432" s="8"/>
      <c r="Z1432" s="8"/>
    </row>
    <row r="1433" spans="1:26" ht="12.75">
      <c r="A1433" s="11">
        <v>43746.320601851854</v>
      </c>
      <c r="B1433" s="12" t="str">
        <f>HYPERLINK("https://twitter.com/AlftarHamad","@AlftarHamad")</f>
        <v>@AlftarHamad</v>
      </c>
      <c r="C1433" s="13" t="s">
        <v>8155</v>
      </c>
      <c r="D1433" s="13" t="s">
        <v>3634</v>
      </c>
      <c r="E1433" s="12" t="str">
        <f>HYPERLINK("https://twitter.com/AlftarHamad/status/1181580426051235840","1181580426051235840")</f>
        <v>1181580426051235840</v>
      </c>
      <c r="F1433" s="8"/>
      <c r="G1433" s="14" t="s">
        <v>8158</v>
      </c>
      <c r="H1433" s="8"/>
      <c r="I1433" s="15">
        <v>0</v>
      </c>
      <c r="J1433" s="15">
        <v>0</v>
      </c>
      <c r="K1433" s="12" t="str">
        <f>HYPERLINK("http://twitter.com","Twitter Web Client")</f>
        <v>Twitter Web Client</v>
      </c>
      <c r="L1433" s="16">
        <v>11</v>
      </c>
      <c r="M1433" s="16">
        <v>45</v>
      </c>
      <c r="N1433" s="16">
        <v>0</v>
      </c>
      <c r="O1433" s="17"/>
      <c r="P1433" s="18">
        <v>42071.226840277777</v>
      </c>
      <c r="Q1433" s="8"/>
      <c r="R1433" s="13"/>
      <c r="S1433" s="8"/>
      <c r="T1433" s="8"/>
      <c r="U1433" s="19" t="str">
        <f>HYPERLINK("https://pbs.twimg.com/profile_images/574558809999343616/oEs2POUH.jpeg","View")</f>
        <v>View</v>
      </c>
      <c r="V1433" s="8"/>
      <c r="W1433" s="8"/>
      <c r="X1433" s="8"/>
      <c r="Y1433" s="8"/>
      <c r="Z1433" s="8"/>
    </row>
    <row r="1434" spans="1:26" ht="12.75">
      <c r="A1434" s="11">
        <v>43746.317905092597</v>
      </c>
      <c r="B1434" s="12" t="str">
        <f>HYPERLINK("https://twitter.com/abdulazizaldul2","@abdulazizaldul2")</f>
        <v>@abdulazizaldul2</v>
      </c>
      <c r="C1434" s="13" t="s">
        <v>8162</v>
      </c>
      <c r="D1434" s="13" t="s">
        <v>397</v>
      </c>
      <c r="E1434" s="12" t="str">
        <f>HYPERLINK("https://twitter.com/abdulazizaldul2/status/1181579445687242752","1181579445687242752")</f>
        <v>1181579445687242752</v>
      </c>
      <c r="F1434" s="8"/>
      <c r="G1434" s="14" t="s">
        <v>8164</v>
      </c>
      <c r="H1434" s="8"/>
      <c r="I1434" s="15">
        <v>0</v>
      </c>
      <c r="J1434" s="15">
        <v>0</v>
      </c>
      <c r="K1434" s="12" t="str">
        <f>HYPERLINK("http://twitter.com","Twitter Web Client")</f>
        <v>Twitter Web Client</v>
      </c>
      <c r="L1434" s="16">
        <v>1</v>
      </c>
      <c r="M1434" s="16">
        <v>36</v>
      </c>
      <c r="N1434" s="16">
        <v>0</v>
      </c>
      <c r="O1434" s="17"/>
      <c r="P1434" s="18">
        <v>42022.697499999995</v>
      </c>
      <c r="Q1434" s="8"/>
      <c r="R1434" s="8"/>
      <c r="S1434" s="8"/>
      <c r="T1434" s="8"/>
      <c r="U1434" s="19" t="str">
        <f>HYPERLINK("https://pbs.twimg.com/profile_images/556976074974720001/V7NMMScm.jpeg","View")</f>
        <v>View</v>
      </c>
      <c r="V1434" s="8"/>
      <c r="W1434" s="8"/>
      <c r="X1434" s="8"/>
      <c r="Y1434" s="8"/>
      <c r="Z1434" s="8"/>
    </row>
    <row r="1435" spans="1:26" ht="12.75">
      <c r="A1435" s="11">
        <v>43746.314930555556</v>
      </c>
      <c r="B1435" s="12" t="str">
        <f>HYPERLINK("https://twitter.com/abdulazizdepar1","@abdulazizdepar1")</f>
        <v>@abdulazizdepar1</v>
      </c>
      <c r="C1435" s="7" t="s">
        <v>8170</v>
      </c>
      <c r="D1435" s="7" t="s">
        <v>411</v>
      </c>
      <c r="E1435" s="12" t="str">
        <f>HYPERLINK("https://twitter.com/abdulazizdepar1/status/1181578368027942912","1181578368027942912")</f>
        <v>1181578368027942912</v>
      </c>
      <c r="F1435" s="8"/>
      <c r="G1435" s="14" t="s">
        <v>8171</v>
      </c>
      <c r="H1435" s="8"/>
      <c r="I1435" s="15">
        <v>0</v>
      </c>
      <c r="J1435" s="15">
        <v>0</v>
      </c>
      <c r="K1435" s="12" t="str">
        <f>HYPERLINK("http://twitter.com","Twitter Web Client")</f>
        <v>Twitter Web Client</v>
      </c>
      <c r="L1435" s="16">
        <v>1</v>
      </c>
      <c r="M1435" s="16">
        <v>39</v>
      </c>
      <c r="N1435" s="16">
        <v>0</v>
      </c>
      <c r="O1435" s="17"/>
      <c r="P1435" s="18">
        <v>42071.234699074077</v>
      </c>
      <c r="Q1435" s="8"/>
      <c r="R1435" s="8"/>
      <c r="S1435" s="8"/>
      <c r="T1435" s="8"/>
      <c r="U1435" s="19" t="str">
        <f>HYPERLINK("https://pbs.twimg.com/profile_images/574550846823780352/dfcQ7tw3.jpeg","View")</f>
        <v>View</v>
      </c>
      <c r="V1435" s="8"/>
      <c r="W1435" s="8"/>
      <c r="X1435" s="8"/>
      <c r="Y1435" s="8"/>
      <c r="Z1435" s="8"/>
    </row>
    <row r="1436" spans="1:26" ht="12.75">
      <c r="A1436" s="11">
        <v>43746.313287037032</v>
      </c>
      <c r="B1436" s="12" t="str">
        <f>HYPERLINK("https://twitter.com/mohsenilerdadi","@mohsenilerdadi")</f>
        <v>@mohsenilerdadi</v>
      </c>
      <c r="C1436" s="13" t="s">
        <v>8174</v>
      </c>
      <c r="D1436" s="13" t="s">
        <v>3682</v>
      </c>
      <c r="E1436" s="12" t="str">
        <f>HYPERLINK("https://twitter.com/mohsenilerdadi/status/1181577773485297665","1181577773485297665")</f>
        <v>1181577773485297665</v>
      </c>
      <c r="F1436" s="8"/>
      <c r="G1436" s="14" t="s">
        <v>8176</v>
      </c>
      <c r="H1436" s="8"/>
      <c r="I1436" s="15">
        <v>0</v>
      </c>
      <c r="J1436" s="15">
        <v>0</v>
      </c>
      <c r="K1436" s="12" t="str">
        <f>HYPERLINK("http://twitter.com","Twitter Web Client")</f>
        <v>Twitter Web Client</v>
      </c>
      <c r="L1436" s="16">
        <v>9</v>
      </c>
      <c r="M1436" s="16">
        <v>43</v>
      </c>
      <c r="N1436" s="16">
        <v>0</v>
      </c>
      <c r="O1436" s="17"/>
      <c r="P1436" s="18">
        <v>42073.419571759259</v>
      </c>
      <c r="Q1436" s="8"/>
      <c r="R1436" s="8"/>
      <c r="S1436" s="8"/>
      <c r="T1436" s="8"/>
      <c r="U1436" s="19" t="str">
        <f>HYPERLINK("https://pbs.twimg.com/profile_images/575342193071681536/AtFjuNfv.jpeg","View")</f>
        <v>View</v>
      </c>
      <c r="V1436" s="8"/>
      <c r="W1436" s="8"/>
      <c r="X1436" s="8"/>
      <c r="Y1436" s="8"/>
      <c r="Z1436" s="8"/>
    </row>
    <row r="1437" spans="1:26" ht="12.75">
      <c r="A1437" s="11">
        <v>43746.313113425931</v>
      </c>
      <c r="B1437" s="12" t="str">
        <f>HYPERLINK("https://twitter.com/alkarefee0_yy","@alkarefee0_yy")</f>
        <v>@alkarefee0_yy</v>
      </c>
      <c r="C1437" s="13" t="s">
        <v>8180</v>
      </c>
      <c r="D1437" s="7" t="s">
        <v>1195</v>
      </c>
      <c r="E1437" s="12" t="str">
        <f>HYPERLINK("https://twitter.com/alkarefee0_yy/status/1181577710398836736","1181577710398836736")</f>
        <v>1181577710398836736</v>
      </c>
      <c r="F1437" s="8"/>
      <c r="G1437" s="14" t="s">
        <v>8181</v>
      </c>
      <c r="H1437" s="8"/>
      <c r="I1437" s="15">
        <v>0</v>
      </c>
      <c r="J1437" s="15">
        <v>0</v>
      </c>
      <c r="K1437" s="12" t="str">
        <f>HYPERLINK("http://twitter.com","Twitter Web Client")</f>
        <v>Twitter Web Client</v>
      </c>
      <c r="L1437" s="16">
        <v>6</v>
      </c>
      <c r="M1437" s="16">
        <v>41</v>
      </c>
      <c r="N1437" s="16">
        <v>0</v>
      </c>
      <c r="O1437" s="17"/>
      <c r="P1437" s="18">
        <v>42074.633888888886</v>
      </c>
      <c r="Q1437" s="8"/>
      <c r="R1437" s="8"/>
      <c r="S1437" s="8"/>
      <c r="T1437" s="8"/>
      <c r="U1437" s="19" t="str">
        <f>HYPERLINK("https://pbs.twimg.com/profile_images/575781637725650944/xH7TH4mr.jpeg","View")</f>
        <v>View</v>
      </c>
      <c r="V1437" s="8"/>
      <c r="W1437" s="8"/>
      <c r="X1437" s="8"/>
      <c r="Y1437" s="8"/>
      <c r="Z1437" s="8"/>
    </row>
    <row r="1438" spans="1:26" ht="12.75">
      <c r="A1438" s="11">
        <v>43746.312152777777</v>
      </c>
      <c r="B1438" s="12" t="str">
        <f>HYPERLINK("https://twitter.com/jazeratalarab1","@jazeratalarab1")</f>
        <v>@jazeratalarab1</v>
      </c>
      <c r="C1438" s="13" t="s">
        <v>8185</v>
      </c>
      <c r="D1438" s="7" t="s">
        <v>8186</v>
      </c>
      <c r="E1438" s="12" t="str">
        <f>HYPERLINK("https://twitter.com/jazeratalarab1/status/1181577364431687682","1181577364431687682")</f>
        <v>1181577364431687682</v>
      </c>
      <c r="F1438" s="14" t="s">
        <v>8188</v>
      </c>
      <c r="G1438" s="14" t="s">
        <v>8189</v>
      </c>
      <c r="H1438" s="8"/>
      <c r="I1438" s="15">
        <v>1</v>
      </c>
      <c r="J1438" s="15">
        <v>1</v>
      </c>
      <c r="K1438" s="12" t="str">
        <f>HYPERLINK("https://mobile.twitter.com","Twitter Web App")</f>
        <v>Twitter Web App</v>
      </c>
      <c r="L1438" s="16">
        <v>945</v>
      </c>
      <c r="M1438" s="16">
        <v>23</v>
      </c>
      <c r="N1438" s="16">
        <v>6</v>
      </c>
      <c r="O1438" s="17"/>
      <c r="P1438" s="18">
        <v>43705.583703703705</v>
      </c>
      <c r="Q1438" s="8" t="s">
        <v>6115</v>
      </c>
      <c r="R1438" s="8" t="s">
        <v>8190</v>
      </c>
      <c r="S1438" s="14" t="s">
        <v>8191</v>
      </c>
      <c r="T1438" s="8"/>
      <c r="U1438" s="19" t="str">
        <f>HYPERLINK("https://pbs.twimg.com/profile_images/1166818379505836035/_NcYWrxB.jpg","View")</f>
        <v>View</v>
      </c>
      <c r="V1438" s="8"/>
      <c r="W1438" s="8"/>
      <c r="X1438" s="8"/>
      <c r="Y1438" s="8"/>
      <c r="Z1438" s="8"/>
    </row>
    <row r="1439" spans="1:26" ht="12.75">
      <c r="A1439" s="11">
        <v>43746.306585648148</v>
      </c>
      <c r="B1439" s="12" t="str">
        <f>HYPERLINK("https://twitter.com/ilyaas_al","@ilyaas_al")</f>
        <v>@ilyaas_al</v>
      </c>
      <c r="C1439" s="13" t="s">
        <v>8197</v>
      </c>
      <c r="D1439" s="7" t="s">
        <v>914</v>
      </c>
      <c r="E1439" s="12" t="str">
        <f>HYPERLINK("https://twitter.com/ilyaas_al/status/1181575343997669378","1181575343997669378")</f>
        <v>1181575343997669378</v>
      </c>
      <c r="F1439" s="8"/>
      <c r="G1439" s="14" t="s">
        <v>917</v>
      </c>
      <c r="H1439" s="8"/>
      <c r="I1439" s="15">
        <v>0</v>
      </c>
      <c r="J1439" s="15">
        <v>0</v>
      </c>
      <c r="K1439" s="12" t="str">
        <f>HYPERLINK("https://mobile.twitter.com","Twitter Web App")</f>
        <v>Twitter Web App</v>
      </c>
      <c r="L1439" s="16">
        <v>0</v>
      </c>
      <c r="M1439" s="16">
        <v>0</v>
      </c>
      <c r="N1439" s="16">
        <v>0</v>
      </c>
      <c r="O1439" s="17"/>
      <c r="P1439" s="18">
        <v>43744.215671296297</v>
      </c>
      <c r="Q1439" s="8"/>
      <c r="R1439" s="8"/>
      <c r="S1439" s="8"/>
      <c r="T1439" s="8"/>
      <c r="U1439" s="19" t="str">
        <f>HYPERLINK("https://pbs.twimg.com/profile_images/1181571983336710145/4bP051cV.jpg","View")</f>
        <v>View</v>
      </c>
      <c r="V1439" s="8"/>
      <c r="W1439" s="8"/>
      <c r="X1439" s="8"/>
      <c r="Y1439" s="8"/>
      <c r="Z1439" s="8"/>
    </row>
    <row r="1440" spans="1:26" ht="12.75">
      <c r="A1440" s="11">
        <v>43746.302974537037</v>
      </c>
      <c r="B1440" s="12" t="str">
        <f>HYPERLINK("https://twitter.com/ElShawqi","@ElShawqi")</f>
        <v>@ElShawqi</v>
      </c>
      <c r="C1440" s="13" t="s">
        <v>8225</v>
      </c>
      <c r="D1440" s="7" t="s">
        <v>968</v>
      </c>
      <c r="E1440" s="12" t="str">
        <f>HYPERLINK("https://twitter.com/ElShawqi/status/1181574037648089088","1181574037648089088")</f>
        <v>1181574037648089088</v>
      </c>
      <c r="F1440" s="8"/>
      <c r="G1440" s="14" t="s">
        <v>8227</v>
      </c>
      <c r="H1440" s="8"/>
      <c r="I1440" s="15">
        <v>0</v>
      </c>
      <c r="J1440" s="15">
        <v>0</v>
      </c>
      <c r="K1440" s="12" t="str">
        <f>HYPERLINK("https://mobile.twitter.com","Twitter Web App")</f>
        <v>Twitter Web App</v>
      </c>
      <c r="L1440" s="16">
        <v>0</v>
      </c>
      <c r="M1440" s="16">
        <v>0</v>
      </c>
      <c r="N1440" s="16">
        <v>0</v>
      </c>
      <c r="O1440" s="17"/>
      <c r="P1440" s="18">
        <v>43744.210844907408</v>
      </c>
      <c r="Q1440" s="8"/>
      <c r="R1440" s="8"/>
      <c r="S1440" s="8"/>
      <c r="T1440" s="8"/>
      <c r="U1440" s="19" t="str">
        <f>HYPERLINK("https://pbs.twimg.com/profile_images/1181571974188949504/NAx5AGhl.jpg","View")</f>
        <v>View</v>
      </c>
      <c r="V1440" s="8"/>
      <c r="W1440" s="8"/>
      <c r="X1440" s="8"/>
      <c r="Y1440" s="8"/>
      <c r="Z1440" s="8"/>
    </row>
    <row r="1441" spans="1:26" ht="12.75">
      <c r="A1441" s="11">
        <v>43746.292465277773</v>
      </c>
      <c r="B1441" s="12" t="str">
        <f>HYPERLINK("https://twitter.com/al_uqbah","@al_uqbah")</f>
        <v>@al_uqbah</v>
      </c>
      <c r="C1441" s="13" t="s">
        <v>8290</v>
      </c>
      <c r="D1441" s="13" t="s">
        <v>907</v>
      </c>
      <c r="E1441" s="12" t="str">
        <f>HYPERLINK("https://twitter.com/al_uqbah/status/1181570227966025734","1181570227966025734")</f>
        <v>1181570227966025734</v>
      </c>
      <c r="F1441" s="8"/>
      <c r="G1441" s="14" t="s">
        <v>8291</v>
      </c>
      <c r="H1441" s="8"/>
      <c r="I1441" s="15">
        <v>0</v>
      </c>
      <c r="J1441" s="15">
        <v>0</v>
      </c>
      <c r="K1441" s="12" t="str">
        <f>HYPERLINK("https://mobile.twitter.com","Twitter Web App")</f>
        <v>Twitter Web App</v>
      </c>
      <c r="L1441" s="16">
        <v>0</v>
      </c>
      <c r="M1441" s="16">
        <v>0</v>
      </c>
      <c r="N1441" s="16">
        <v>0</v>
      </c>
      <c r="O1441" s="17"/>
      <c r="P1441" s="18">
        <v>43744.207650462966</v>
      </c>
      <c r="Q1441" s="8"/>
      <c r="R1441" s="8"/>
      <c r="S1441" s="8"/>
      <c r="T1441" s="8"/>
      <c r="U1441" s="19" t="str">
        <f>HYPERLINK("https://pbs.twimg.com/profile_images/1181569561952505856/bHVNwVwh.jpg","View")</f>
        <v>View</v>
      </c>
      <c r="V1441" s="8"/>
      <c r="W1441" s="8"/>
      <c r="X1441" s="8"/>
      <c r="Y1441" s="8"/>
      <c r="Z1441" s="8"/>
    </row>
    <row r="1442" spans="1:26" ht="12.75">
      <c r="A1442" s="11">
        <v>43746.292395833334</v>
      </c>
      <c r="B1442" s="12" t="str">
        <f>HYPERLINK("https://twitter.com/UsaamaAl","@UsaamaAl")</f>
        <v>@UsaamaAl</v>
      </c>
      <c r="C1442" s="13" t="s">
        <v>8294</v>
      </c>
      <c r="D1442" s="7" t="s">
        <v>1236</v>
      </c>
      <c r="E1442" s="12" t="str">
        <f>HYPERLINK("https://twitter.com/UsaamaAl/status/1181570201307013122","1181570201307013122")</f>
        <v>1181570201307013122</v>
      </c>
      <c r="F1442" s="8"/>
      <c r="G1442" s="14" t="s">
        <v>8295</v>
      </c>
      <c r="H1442" s="8"/>
      <c r="I1442" s="15">
        <v>0</v>
      </c>
      <c r="J1442" s="15">
        <v>0</v>
      </c>
      <c r="K1442" s="12" t="str">
        <f>HYPERLINK("https://mobile.twitter.com","Twitter Web App")</f>
        <v>Twitter Web App</v>
      </c>
      <c r="L1442" s="16">
        <v>0</v>
      </c>
      <c r="M1442" s="16">
        <v>0</v>
      </c>
      <c r="N1442" s="16">
        <v>0</v>
      </c>
      <c r="O1442" s="17"/>
      <c r="P1442" s="18">
        <v>43744.20585648148</v>
      </c>
      <c r="Q1442" s="8"/>
      <c r="R1442" s="8"/>
      <c r="S1442" s="8"/>
      <c r="T1442" s="8"/>
      <c r="U1442" s="19" t="str">
        <f>HYPERLINK("https://pbs.twimg.com/profile_images/1181569557787492355/ND5GYBSj.jpg","View")</f>
        <v>View</v>
      </c>
      <c r="V1442" s="8"/>
      <c r="W1442" s="8"/>
      <c r="X1442" s="8"/>
      <c r="Y1442" s="8"/>
      <c r="Z1442" s="8"/>
    </row>
    <row r="1443" spans="1:26" ht="12.75">
      <c r="A1443" s="11">
        <v>43746.291134259256</v>
      </c>
      <c r="B1443" s="12" t="str">
        <f>HYPERLINK("https://twitter.com/US_Latino","@US_Latino")</f>
        <v>@US_Latino</v>
      </c>
      <c r="C1443" s="13" t="s">
        <v>8300</v>
      </c>
      <c r="D1443" s="7" t="s">
        <v>8301</v>
      </c>
      <c r="E1443" s="12" t="str">
        <f>HYPERLINK("https://twitter.com/US_Latino/status/1181569743578230784","1181569743578230784")</f>
        <v>1181569743578230784</v>
      </c>
      <c r="F1443" s="8"/>
      <c r="G1443" s="15"/>
      <c r="H1443" s="8"/>
      <c r="I1443" s="15">
        <v>0</v>
      </c>
      <c r="J1443" s="15">
        <v>3</v>
      </c>
      <c r="K1443" s="12" t="str">
        <f>HYPERLINK("http://twitter.com/download/iphone","Twitter for iPhone")</f>
        <v>Twitter for iPhone</v>
      </c>
      <c r="L1443" s="16">
        <v>1906</v>
      </c>
      <c r="M1443" s="16">
        <v>2638</v>
      </c>
      <c r="N1443" s="16">
        <v>31</v>
      </c>
      <c r="O1443" s="17"/>
      <c r="P1443" s="18">
        <v>42276.038368055553</v>
      </c>
      <c r="Q1443" s="8" t="s">
        <v>1804</v>
      </c>
      <c r="R1443" s="8"/>
      <c r="S1443" s="8"/>
      <c r="T1443" s="8"/>
      <c r="U1443" s="19" t="str">
        <f>HYPERLINK("https://pbs.twimg.com/profile_images/797597205829849088/Q1oNagmw.jpg","View")</f>
        <v>View</v>
      </c>
      <c r="V1443" s="8"/>
      <c r="W1443" s="8"/>
      <c r="X1443" s="8"/>
      <c r="Y1443" s="8"/>
      <c r="Z1443" s="8"/>
    </row>
    <row r="1444" spans="1:26" ht="12.75">
      <c r="A1444" s="11">
        <v>43746.288483796292</v>
      </c>
      <c r="B1444" s="12" t="str">
        <f>HYPERLINK("https://twitter.com/Berlin_5","@Berlin_5")</f>
        <v>@Berlin_5</v>
      </c>
      <c r="C1444" s="13" t="s">
        <v>8302</v>
      </c>
      <c r="D1444" s="13" t="s">
        <v>8303</v>
      </c>
      <c r="E1444" s="12" t="str">
        <f>HYPERLINK("https://twitter.com/Berlin_5/status/1181568785708453889","1181568785708453889")</f>
        <v>1181568785708453889</v>
      </c>
      <c r="F1444" s="8"/>
      <c r="G1444" s="14" t="s">
        <v>8304</v>
      </c>
      <c r="H1444" s="8"/>
      <c r="I1444" s="15">
        <v>2</v>
      </c>
      <c r="J1444" s="15">
        <v>2</v>
      </c>
      <c r="K1444" s="12" t="str">
        <f>HYPERLINK("http://twitter.com/download/iphone","Twitter for iPhone")</f>
        <v>Twitter for iPhone</v>
      </c>
      <c r="L1444" s="16">
        <v>185112</v>
      </c>
      <c r="M1444" s="16">
        <v>47479</v>
      </c>
      <c r="N1444" s="16">
        <v>132</v>
      </c>
      <c r="O1444" s="17"/>
      <c r="P1444" s="18">
        <v>40977.164965277778</v>
      </c>
      <c r="Q1444" s="8" t="s">
        <v>8305</v>
      </c>
      <c r="R1444" s="8" t="s">
        <v>8306</v>
      </c>
      <c r="S1444" s="8"/>
      <c r="T1444" s="8"/>
      <c r="U1444" s="19" t="str">
        <f>HYPERLINK("https://pbs.twimg.com/profile_images/739736362778304512/Ogb5jjf3.jpg","View")</f>
        <v>View</v>
      </c>
      <c r="V1444" s="8"/>
      <c r="W1444" s="8"/>
      <c r="X1444" s="8"/>
      <c r="Y1444" s="8"/>
      <c r="Z1444" s="8"/>
    </row>
    <row r="1445" spans="1:26" ht="12.75">
      <c r="A1445" s="11">
        <v>43746.286678240736</v>
      </c>
      <c r="B1445" s="12" t="str">
        <f>HYPERLINK("https://twitter.com/Amusedrice","@Amusedrice")</f>
        <v>@Amusedrice</v>
      </c>
      <c r="C1445" s="13" t="s">
        <v>8307</v>
      </c>
      <c r="D1445" s="13" t="s">
        <v>8308</v>
      </c>
      <c r="E1445" s="12" t="str">
        <f>HYPERLINK("https://twitter.com/Amusedrice/status/1181568132655304704","1181568132655304704")</f>
        <v>1181568132655304704</v>
      </c>
      <c r="F1445" s="8"/>
      <c r="G1445" s="15"/>
      <c r="H1445" s="8"/>
      <c r="I1445" s="15">
        <v>0</v>
      </c>
      <c r="J1445" s="15">
        <v>0</v>
      </c>
      <c r="K1445" s="12" t="str">
        <f>HYPERLINK("https://mobile.twitter.com","Twitter Web App")</f>
        <v>Twitter Web App</v>
      </c>
      <c r="L1445" s="16">
        <v>704</v>
      </c>
      <c r="M1445" s="16">
        <v>981</v>
      </c>
      <c r="N1445" s="16">
        <v>16</v>
      </c>
      <c r="O1445" s="17"/>
      <c r="P1445" s="18">
        <v>41026.310694444444</v>
      </c>
      <c r="Q1445" s="8" t="s">
        <v>8309</v>
      </c>
      <c r="R1445" s="8" t="s">
        <v>8310</v>
      </c>
      <c r="S1445" s="8"/>
      <c r="T1445" s="8"/>
      <c r="U1445" s="19" t="str">
        <f>HYPERLINK("https://pbs.twimg.com/profile_images/723923423441752064/i0P4gafs.jpg","View")</f>
        <v>View</v>
      </c>
      <c r="V1445" s="8"/>
      <c r="W1445" s="8"/>
      <c r="X1445" s="8"/>
      <c r="Y1445" s="8"/>
      <c r="Z1445" s="8"/>
    </row>
    <row r="1446" spans="1:26" ht="12.75">
      <c r="A1446" s="11">
        <v>43746.285868055551</v>
      </c>
      <c r="B1446" s="12" t="str">
        <f>HYPERLINK("https://twitter.com/brahimjasim1","@brahimjasim1")</f>
        <v>@brahimjasim1</v>
      </c>
      <c r="C1446" s="13" t="s">
        <v>8311</v>
      </c>
      <c r="D1446" s="13" t="s">
        <v>8312</v>
      </c>
      <c r="E1446" s="12" t="str">
        <f>HYPERLINK("https://twitter.com/brahimjasim1/status/1181567837237891078","1181567837237891078")</f>
        <v>1181567837237891078</v>
      </c>
      <c r="F1446" s="8"/>
      <c r="G1446" s="15"/>
      <c r="H1446" s="8"/>
      <c r="I1446" s="15">
        <v>0</v>
      </c>
      <c r="J1446" s="15">
        <v>0</v>
      </c>
      <c r="K1446" s="12" t="str">
        <f>HYPERLINK("https://about.twitter.com/products/tweetdeck","TweetDeck")</f>
        <v>TweetDeck</v>
      </c>
      <c r="L1446" s="16">
        <v>136</v>
      </c>
      <c r="M1446" s="16">
        <v>50</v>
      </c>
      <c r="N1446" s="16">
        <v>0</v>
      </c>
      <c r="O1446" s="17"/>
      <c r="P1446" s="18">
        <v>43391.018657407403</v>
      </c>
      <c r="Q1446" s="8" t="s">
        <v>8313</v>
      </c>
      <c r="R1446" s="8" t="s">
        <v>8314</v>
      </c>
      <c r="S1446" s="8"/>
      <c r="T1446" s="8"/>
      <c r="U1446" s="19" t="str">
        <f>HYPERLINK("https://pbs.twimg.com/profile_images/1097149028612128768/pUp9j4wS.jpg","View")</f>
        <v>View</v>
      </c>
      <c r="V1446" s="8"/>
      <c r="W1446" s="8"/>
      <c r="X1446" s="8"/>
      <c r="Y1446" s="8"/>
      <c r="Z1446" s="8"/>
    </row>
    <row r="1447" spans="1:26" ht="12.75">
      <c r="A1447" s="11">
        <v>43746.284398148149</v>
      </c>
      <c r="B1447" s="12" t="str">
        <f>HYPERLINK("https://twitter.com/BandarbinAbdu17","@BandarbinAbdu17")</f>
        <v>@BandarbinAbdu17</v>
      </c>
      <c r="C1447" s="13" t="s">
        <v>8317</v>
      </c>
      <c r="D1447" s="7" t="s">
        <v>937</v>
      </c>
      <c r="E1447" s="12" t="str">
        <f>HYPERLINK("https://twitter.com/BandarbinAbdu17/status/1181567303676153856","1181567303676153856")</f>
        <v>1181567303676153856</v>
      </c>
      <c r="F1447" s="8"/>
      <c r="G1447" s="14" t="s">
        <v>8318</v>
      </c>
      <c r="H1447" s="8"/>
      <c r="I1447" s="15">
        <v>0</v>
      </c>
      <c r="J1447" s="15">
        <v>0</v>
      </c>
      <c r="K1447" s="12" t="str">
        <f>HYPERLINK("https://mobile.twitter.com","Twitter Web App")</f>
        <v>Twitter Web App</v>
      </c>
      <c r="L1447" s="16">
        <v>0</v>
      </c>
      <c r="M1447" s="16">
        <v>3</v>
      </c>
      <c r="N1447" s="16">
        <v>0</v>
      </c>
      <c r="O1447" s="17"/>
      <c r="P1447" s="18">
        <v>43738.150891203702</v>
      </c>
      <c r="Q1447" s="7" t="s">
        <v>1428</v>
      </c>
      <c r="R1447" s="13" t="s">
        <v>1506</v>
      </c>
      <c r="S1447" s="8"/>
      <c r="T1447" s="8"/>
      <c r="U1447" s="19" t="str">
        <f>HYPERLINK("https://pbs.twimg.com/profile_images/1178671326996811777/-QdSU9-n.jpg","View")</f>
        <v>View</v>
      </c>
      <c r="V1447" s="8"/>
      <c r="W1447" s="8"/>
      <c r="X1447" s="8"/>
      <c r="Y1447" s="8"/>
      <c r="Z1447" s="8"/>
    </row>
    <row r="1448" spans="1:26" ht="12.75">
      <c r="A1448" s="11">
        <v>43746.284004629633</v>
      </c>
      <c r="B1448" s="12" t="str">
        <f>HYPERLINK("https://twitter.com/NayefbinAbdulA5","@NayefbinAbdulA5")</f>
        <v>@NayefbinAbdulA5</v>
      </c>
      <c r="C1448" s="13" t="s">
        <v>8328</v>
      </c>
      <c r="D1448" s="13" t="s">
        <v>907</v>
      </c>
      <c r="E1448" s="12" t="str">
        <f>HYPERLINK("https://twitter.com/NayefbinAbdulA5/status/1181567161342386177","1181567161342386177")</f>
        <v>1181567161342386177</v>
      </c>
      <c r="F1448" s="8"/>
      <c r="G1448" s="14" t="s">
        <v>8329</v>
      </c>
      <c r="H1448" s="8"/>
      <c r="I1448" s="15">
        <v>0</v>
      </c>
      <c r="J1448" s="15">
        <v>0</v>
      </c>
      <c r="K1448" s="12" t="str">
        <f>HYPERLINK("https://mobile.twitter.com","Twitter Web App")</f>
        <v>Twitter Web App</v>
      </c>
      <c r="L1448" s="16">
        <v>0</v>
      </c>
      <c r="M1448" s="16">
        <v>2</v>
      </c>
      <c r="N1448" s="16">
        <v>0</v>
      </c>
      <c r="O1448" s="17"/>
      <c r="P1448" s="18">
        <v>43738.154664351852</v>
      </c>
      <c r="Q1448" s="8" t="s">
        <v>911</v>
      </c>
      <c r="R1448" s="8" t="s">
        <v>8333</v>
      </c>
      <c r="S1448" s="8"/>
      <c r="T1448" s="8"/>
      <c r="U1448" s="19" t="str">
        <f>HYPERLINK("https://pbs.twimg.com/profile_images/1178671330566082560/CsoT7O32.jpg","View")</f>
        <v>View</v>
      </c>
      <c r="V1448" s="8"/>
      <c r="W1448" s="8"/>
      <c r="X1448" s="8"/>
      <c r="Y1448" s="8"/>
      <c r="Z1448" s="8"/>
    </row>
    <row r="1449" spans="1:26" ht="12.75">
      <c r="A1449" s="11">
        <v>43746.271909722222</v>
      </c>
      <c r="B1449" s="12" t="str">
        <f>HYPERLINK("https://twitter.com/rolla_karime","@rolla_karime")</f>
        <v>@rolla_karime</v>
      </c>
      <c r="C1449" s="13" t="s">
        <v>8361</v>
      </c>
      <c r="D1449" s="13" t="s">
        <v>8362</v>
      </c>
      <c r="E1449" s="12" t="str">
        <f>HYPERLINK("https://twitter.com/rolla_karime/status/1181562779779702784","1181562779779702784")</f>
        <v>1181562779779702784</v>
      </c>
      <c r="F1449" s="8"/>
      <c r="G1449" s="15"/>
      <c r="H1449" s="8"/>
      <c r="I1449" s="15">
        <v>0</v>
      </c>
      <c r="J1449" s="15">
        <v>0</v>
      </c>
      <c r="K1449" s="12" t="str">
        <f>HYPERLINK("http://twitter.com/download/android","Twitter for Android")</f>
        <v>Twitter for Android</v>
      </c>
      <c r="L1449" s="16">
        <v>547</v>
      </c>
      <c r="M1449" s="16">
        <v>705</v>
      </c>
      <c r="N1449" s="16">
        <v>0</v>
      </c>
      <c r="O1449" s="17"/>
      <c r="P1449" s="18">
        <v>42123.724733796298</v>
      </c>
      <c r="Q1449" s="8"/>
      <c r="R1449" s="8"/>
      <c r="S1449" s="8"/>
      <c r="T1449" s="8"/>
      <c r="U1449" s="19" t="str">
        <f>HYPERLINK("https://pbs.twimg.com/profile_images/1180077225145765889/c9y69n5_.jpg","View")</f>
        <v>View</v>
      </c>
      <c r="V1449" s="8"/>
      <c r="W1449" s="8"/>
      <c r="X1449" s="8"/>
      <c r="Y1449" s="8"/>
      <c r="Z1449" s="8"/>
    </row>
    <row r="1450" spans="1:26" ht="12.75">
      <c r="A1450" s="11">
        <v>43746.26761574074</v>
      </c>
      <c r="B1450" s="12" t="str">
        <f>HYPERLINK("https://twitter.com/hassnelqshqeri2","@hassnelqshqeri2")</f>
        <v>@hassnelqshqeri2</v>
      </c>
      <c r="C1450" s="13" t="s">
        <v>8366</v>
      </c>
      <c r="D1450" s="13" t="s">
        <v>3685</v>
      </c>
      <c r="E1450" s="12" t="str">
        <f>HYPERLINK("https://twitter.com/hassnelqshqeri2/status/1181561224397496321","1181561224397496321")</f>
        <v>1181561224397496321</v>
      </c>
      <c r="F1450" s="8"/>
      <c r="G1450" s="14" t="s">
        <v>8367</v>
      </c>
      <c r="H1450" s="8"/>
      <c r="I1450" s="15">
        <v>0</v>
      </c>
      <c r="J1450" s="15">
        <v>0</v>
      </c>
      <c r="K1450" s="12" t="str">
        <f>HYPERLINK("http://twitter.com","Twitter Web Client")</f>
        <v>Twitter Web Client</v>
      </c>
      <c r="L1450" s="16">
        <v>4</v>
      </c>
      <c r="M1450" s="16">
        <v>31</v>
      </c>
      <c r="N1450" s="16">
        <v>0</v>
      </c>
      <c r="O1450" s="17"/>
      <c r="P1450" s="18">
        <v>42076.24019675926</v>
      </c>
      <c r="Q1450" s="8"/>
      <c r="R1450" s="8"/>
      <c r="S1450" s="8"/>
      <c r="T1450" s="8"/>
      <c r="U1450" s="19" t="str">
        <f>HYPERLINK("https://pbs.twimg.com/profile_images/576364152538566656/fdnux9aU.jpeg","View")</f>
        <v>View</v>
      </c>
      <c r="V1450" s="8"/>
      <c r="W1450" s="8"/>
      <c r="X1450" s="8"/>
      <c r="Y1450" s="8"/>
      <c r="Z1450" s="8"/>
    </row>
    <row r="1451" spans="1:26" ht="12.75">
      <c r="A1451" s="11">
        <v>43746.26599537037</v>
      </c>
      <c r="B1451" s="12" t="str">
        <f>HYPERLINK("https://twitter.com/saadmohammedsa8","@saadmohammedsa8")</f>
        <v>@saadmohammedsa8</v>
      </c>
      <c r="C1451" s="13" t="s">
        <v>8370</v>
      </c>
      <c r="D1451" s="13" t="s">
        <v>3690</v>
      </c>
      <c r="E1451" s="12" t="str">
        <f>HYPERLINK("https://twitter.com/saadmohammedsa8/status/1181560633940234242","1181560633940234242")</f>
        <v>1181560633940234242</v>
      </c>
      <c r="F1451" s="8"/>
      <c r="G1451" s="14" t="s">
        <v>8371</v>
      </c>
      <c r="H1451" s="8"/>
      <c r="I1451" s="15">
        <v>0</v>
      </c>
      <c r="J1451" s="15">
        <v>0</v>
      </c>
      <c r="K1451" s="12" t="str">
        <f>HYPERLINK("http://twitter.com","Twitter Web Client")</f>
        <v>Twitter Web Client</v>
      </c>
      <c r="L1451" s="16">
        <v>0</v>
      </c>
      <c r="M1451" s="16">
        <v>38</v>
      </c>
      <c r="N1451" s="16">
        <v>0</v>
      </c>
      <c r="O1451" s="17"/>
      <c r="P1451" s="18">
        <v>42081.087141203709</v>
      </c>
      <c r="Q1451" s="8"/>
      <c r="R1451" s="8"/>
      <c r="S1451" s="8"/>
      <c r="T1451" s="8"/>
      <c r="U1451" s="19" t="str">
        <f>HYPERLINK("https://pbs.twimg.com/profile_images/578120251478388736/t_pJ3ksD.jpeg","View")</f>
        <v>View</v>
      </c>
      <c r="V1451" s="8"/>
      <c r="W1451" s="8"/>
      <c r="X1451" s="8"/>
      <c r="Y1451" s="8"/>
      <c r="Z1451" s="8"/>
    </row>
    <row r="1452" spans="1:26" ht="12.75">
      <c r="A1452" s="11">
        <v>43746.265497685185</v>
      </c>
      <c r="B1452" s="12" t="str">
        <f>HYPERLINK("https://twitter.com/AlbhraniMohamed","@AlbhraniMohamed")</f>
        <v>@AlbhraniMohamed</v>
      </c>
      <c r="C1452" s="13" t="s">
        <v>8389</v>
      </c>
      <c r="D1452" s="7" t="s">
        <v>8390</v>
      </c>
      <c r="E1452" s="12" t="str">
        <f>HYPERLINK("https://twitter.com/AlbhraniMohamed/status/1181560456563105792","1181560456563105792")</f>
        <v>1181560456563105792</v>
      </c>
      <c r="F1452" s="8"/>
      <c r="G1452" s="14" t="s">
        <v>8392</v>
      </c>
      <c r="H1452" s="8"/>
      <c r="I1452" s="15">
        <v>0</v>
      </c>
      <c r="J1452" s="15">
        <v>0</v>
      </c>
      <c r="K1452" s="12" t="str">
        <f>HYPERLINK("http://twitter.com","Twitter Web Client")</f>
        <v>Twitter Web Client</v>
      </c>
      <c r="L1452" s="16">
        <v>1</v>
      </c>
      <c r="M1452" s="16">
        <v>37</v>
      </c>
      <c r="N1452" s="16">
        <v>0</v>
      </c>
      <c r="O1452" s="17"/>
      <c r="P1452" s="18">
        <v>42023.610659722224</v>
      </c>
      <c r="Q1452" s="7"/>
      <c r="R1452" s="13"/>
      <c r="S1452" s="8"/>
      <c r="T1452" s="8"/>
      <c r="U1452" s="19" t="str">
        <f>HYPERLINK("https://pbs.twimg.com/profile_images/557514038570020865/0_yx8BQT.jpeg","View")</f>
        <v>View</v>
      </c>
      <c r="V1452" s="8"/>
      <c r="W1452" s="8"/>
      <c r="X1452" s="8"/>
      <c r="Y1452" s="8"/>
      <c r="Z1452" s="8"/>
    </row>
    <row r="1453" spans="1:26" ht="12.75">
      <c r="A1453" s="11">
        <v>43746.264548611114</v>
      </c>
      <c r="B1453" s="12" t="str">
        <f>HYPERLINK("https://twitter.com/awadalthbyta2","@awadalthbyta2")</f>
        <v>@awadalthbyta2</v>
      </c>
      <c r="C1453" s="13" t="s">
        <v>8401</v>
      </c>
      <c r="D1453" s="13" t="s">
        <v>3698</v>
      </c>
      <c r="E1453" s="12" t="str">
        <f>HYPERLINK("https://twitter.com/awadalthbyta2/status/1181560109463412736","1181560109463412736")</f>
        <v>1181560109463412736</v>
      </c>
      <c r="F1453" s="8"/>
      <c r="G1453" s="14" t="s">
        <v>8404</v>
      </c>
      <c r="H1453" s="8"/>
      <c r="I1453" s="15">
        <v>0</v>
      </c>
      <c r="J1453" s="15">
        <v>0</v>
      </c>
      <c r="K1453" s="12" t="str">
        <f>HYPERLINK("http://twitter.com","Twitter Web Client")</f>
        <v>Twitter Web Client</v>
      </c>
      <c r="L1453" s="16">
        <v>0</v>
      </c>
      <c r="M1453" s="16">
        <v>36</v>
      </c>
      <c r="N1453" s="16">
        <v>0</v>
      </c>
      <c r="O1453" s="17"/>
      <c r="P1453" s="18">
        <v>42018.235393518524</v>
      </c>
      <c r="Q1453" s="8"/>
      <c r="R1453" s="8"/>
      <c r="S1453" s="8"/>
      <c r="T1453" s="8"/>
      <c r="U1453" s="19" t="str">
        <f>HYPERLINK("https://pbs.twimg.com/profile_images/555358580082081793/CLSXYW0t.jpeg","View")</f>
        <v>View</v>
      </c>
      <c r="V1453" s="8"/>
      <c r="W1453" s="8"/>
      <c r="X1453" s="8"/>
      <c r="Y1453" s="8"/>
      <c r="Z1453" s="8"/>
    </row>
    <row r="1454" spans="1:26" ht="12.75">
      <c r="A1454" s="11">
        <v>43746.264224537037</v>
      </c>
      <c r="B1454" s="12" t="str">
        <f>HYPERLINK("https://twitter.com/aliyamialiyami1","@aliyamialiyami1")</f>
        <v>@aliyamialiyami1</v>
      </c>
      <c r="C1454" s="13" t="s">
        <v>8422</v>
      </c>
      <c r="D1454" s="13" t="s">
        <v>450</v>
      </c>
      <c r="E1454" s="12" t="str">
        <f>HYPERLINK("https://twitter.com/aliyamialiyami1/status/1181559993423794177","1181559993423794177")</f>
        <v>1181559993423794177</v>
      </c>
      <c r="F1454" s="8"/>
      <c r="G1454" s="14" t="s">
        <v>8426</v>
      </c>
      <c r="H1454" s="8"/>
      <c r="I1454" s="15">
        <v>0</v>
      </c>
      <c r="J1454" s="15">
        <v>0</v>
      </c>
      <c r="K1454" s="12" t="str">
        <f>HYPERLINK("http://twitter.com","Twitter Web Client")</f>
        <v>Twitter Web Client</v>
      </c>
      <c r="L1454" s="16">
        <v>4</v>
      </c>
      <c r="M1454" s="16">
        <v>32</v>
      </c>
      <c r="N1454" s="16">
        <v>0</v>
      </c>
      <c r="O1454" s="17"/>
      <c r="P1454" s="18">
        <v>42071.405671296292</v>
      </c>
      <c r="Q1454" s="8"/>
      <c r="R1454" s="8"/>
      <c r="S1454" s="8"/>
      <c r="T1454" s="8"/>
      <c r="U1454" s="19" t="str">
        <f>HYPERLINK("https://pbs.twimg.com/profile_images/574612089588707329/pWr3EY2W.jpeg","View")</f>
        <v>View</v>
      </c>
      <c r="V1454" s="8"/>
      <c r="W1454" s="8"/>
      <c r="X1454" s="8"/>
      <c r="Y1454" s="8"/>
      <c r="Z1454" s="8"/>
    </row>
    <row r="1455" spans="1:26" ht="12.75">
      <c r="A1455" s="11">
        <v>43746.261608796296</v>
      </c>
      <c r="B1455" s="12" t="str">
        <f>HYPERLINK("https://twitter.com/elshahiitan32","@elshahiitan32")</f>
        <v>@elshahiitan32</v>
      </c>
      <c r="C1455" s="13" t="s">
        <v>8466</v>
      </c>
      <c r="D1455" s="13" t="s">
        <v>8467</v>
      </c>
      <c r="E1455" s="12" t="str">
        <f>HYPERLINK("https://twitter.com/elshahiitan32/status/1181559047209832449","1181559047209832449")</f>
        <v>1181559047209832449</v>
      </c>
      <c r="F1455" s="8"/>
      <c r="G1455" s="14" t="s">
        <v>8468</v>
      </c>
      <c r="H1455" s="8"/>
      <c r="I1455" s="15">
        <v>0</v>
      </c>
      <c r="J1455" s="15">
        <v>0</v>
      </c>
      <c r="K1455" s="12" t="str">
        <f>HYPERLINK("http://twitter.com","Twitter Web Client")</f>
        <v>Twitter Web Client</v>
      </c>
      <c r="L1455" s="16">
        <v>9</v>
      </c>
      <c r="M1455" s="16">
        <v>43</v>
      </c>
      <c r="N1455" s="16">
        <v>0</v>
      </c>
      <c r="O1455" s="17"/>
      <c r="P1455" s="18">
        <v>42072.684988425928</v>
      </c>
      <c r="Q1455" s="8"/>
      <c r="R1455" s="8"/>
      <c r="S1455" s="8"/>
      <c r="T1455" s="8"/>
      <c r="U1455" s="19" t="str">
        <f>HYPERLINK("https://pbs.twimg.com/profile_images/575075406207832066/YhvGsHhI.jpeg","View")</f>
        <v>View</v>
      </c>
      <c r="V1455" s="8"/>
      <c r="W1455" s="8"/>
      <c r="X1455" s="8"/>
      <c r="Y1455" s="8"/>
      <c r="Z1455" s="8"/>
    </row>
    <row r="1456" spans="1:26" ht="12.75">
      <c r="A1456" s="11">
        <v>43746.261446759258</v>
      </c>
      <c r="B1456" s="12" t="str">
        <f>HYPERLINK("https://twitter.com/meshaalsolomon5","@meshaalsolomon5")</f>
        <v>@meshaalsolomon5</v>
      </c>
      <c r="C1456" s="13" t="s">
        <v>8472</v>
      </c>
      <c r="D1456" s="13" t="s">
        <v>3717</v>
      </c>
      <c r="E1456" s="12" t="str">
        <f>HYPERLINK("https://twitter.com/meshaalsolomon5/status/1181558989030662149","1181558989030662149")</f>
        <v>1181558989030662149</v>
      </c>
      <c r="F1456" s="8"/>
      <c r="G1456" s="14" t="s">
        <v>8473</v>
      </c>
      <c r="H1456" s="8"/>
      <c r="I1456" s="15">
        <v>0</v>
      </c>
      <c r="J1456" s="15">
        <v>0</v>
      </c>
      <c r="K1456" s="12" t="str">
        <f>HYPERLINK("http://twitter.com","Twitter Web Client")</f>
        <v>Twitter Web Client</v>
      </c>
      <c r="L1456" s="16">
        <v>1</v>
      </c>
      <c r="M1456" s="16">
        <v>26</v>
      </c>
      <c r="N1456" s="16">
        <v>0</v>
      </c>
      <c r="O1456" s="17"/>
      <c r="P1456" s="18">
        <v>42078.416006944448</v>
      </c>
      <c r="Q1456" s="8"/>
      <c r="R1456" s="8"/>
      <c r="S1456" s="8"/>
      <c r="T1456" s="8"/>
      <c r="U1456" s="19" t="str">
        <f>HYPERLINK("https://pbs.twimg.com/profile_images/577152634571726849/j_qCnlq2.jpeg","View")</f>
        <v>View</v>
      </c>
      <c r="V1456" s="8"/>
      <c r="W1456" s="8"/>
      <c r="X1456" s="8"/>
      <c r="Y1456" s="8"/>
      <c r="Z1456" s="8"/>
    </row>
    <row r="1457" spans="1:26" ht="12.75">
      <c r="A1457" s="11">
        <v>43746.259432870371</v>
      </c>
      <c r="B1457" s="12" t="str">
        <f>HYPERLINK("https://twitter.com/jassimabbad","@jassimabbad")</f>
        <v>@jassimabbad</v>
      </c>
      <c r="C1457" s="13" t="s">
        <v>8476</v>
      </c>
      <c r="D1457" s="13" t="s">
        <v>485</v>
      </c>
      <c r="E1457" s="12" t="str">
        <f>HYPERLINK("https://twitter.com/jassimabbad/status/1181558256579354624","1181558256579354624")</f>
        <v>1181558256579354624</v>
      </c>
      <c r="F1457" s="8"/>
      <c r="G1457" s="14" t="s">
        <v>8479</v>
      </c>
      <c r="H1457" s="8"/>
      <c r="I1457" s="15">
        <v>0</v>
      </c>
      <c r="J1457" s="15">
        <v>0</v>
      </c>
      <c r="K1457" s="12" t="str">
        <f>HYPERLINK("http://twitter.com","Twitter Web Client")</f>
        <v>Twitter Web Client</v>
      </c>
      <c r="L1457" s="16">
        <v>2</v>
      </c>
      <c r="M1457" s="16">
        <v>41</v>
      </c>
      <c r="N1457" s="16">
        <v>0</v>
      </c>
      <c r="O1457" s="17"/>
      <c r="P1457" s="18">
        <v>42071.222719907411</v>
      </c>
      <c r="Q1457" s="8"/>
      <c r="R1457" s="13"/>
      <c r="S1457" s="8"/>
      <c r="T1457" s="8"/>
      <c r="U1457" s="19" t="str">
        <f>HYPERLINK("https://pbs.twimg.com/profile_images/574547191441661952/4C7XZdCO.jpeg","View")</f>
        <v>View</v>
      </c>
      <c r="V1457" s="8"/>
      <c r="W1457" s="8"/>
      <c r="X1457" s="8"/>
      <c r="Y1457" s="8"/>
      <c r="Z1457" s="8"/>
    </row>
    <row r="1458" spans="1:26" ht="12.75">
      <c r="A1458" s="11">
        <v>43746.259270833332</v>
      </c>
      <c r="B1458" s="12" t="str">
        <f>HYPERLINK("https://twitter.com/elmadar66","@elmadar66")</f>
        <v>@elmadar66</v>
      </c>
      <c r="C1458" s="13" t="s">
        <v>8484</v>
      </c>
      <c r="D1458" s="7" t="s">
        <v>8485</v>
      </c>
      <c r="E1458" s="12" t="str">
        <f>HYPERLINK("https://twitter.com/elmadar66/status/1181558196814655488","1181558196814655488")</f>
        <v>1181558196814655488</v>
      </c>
      <c r="F1458" s="8"/>
      <c r="G1458" s="14" t="s">
        <v>8486</v>
      </c>
      <c r="H1458" s="8"/>
      <c r="I1458" s="15">
        <v>0</v>
      </c>
      <c r="J1458" s="15">
        <v>0</v>
      </c>
      <c r="K1458" s="12" t="str">
        <f>HYPERLINK("http://twitter.com","Twitter Web Client")</f>
        <v>Twitter Web Client</v>
      </c>
      <c r="L1458" s="16">
        <v>5</v>
      </c>
      <c r="M1458" s="16">
        <v>35</v>
      </c>
      <c r="N1458" s="16">
        <v>0</v>
      </c>
      <c r="O1458" s="17"/>
      <c r="P1458" s="18">
        <v>42076.217962962968</v>
      </c>
      <c r="Q1458" s="7"/>
      <c r="R1458" s="13"/>
      <c r="S1458" s="8"/>
      <c r="T1458" s="8"/>
      <c r="U1458" s="19" t="str">
        <f>HYPERLINK("https://pbs.twimg.com/profile_images/576355887209586688/MPL7F4TM.jpeg","View")</f>
        <v>View</v>
      </c>
      <c r="V1458" s="8"/>
      <c r="W1458" s="8"/>
      <c r="X1458" s="8"/>
      <c r="Y1458" s="8"/>
      <c r="Z1458" s="8"/>
    </row>
    <row r="1459" spans="1:26" ht="12.75">
      <c r="A1459" s="11">
        <v>43746.258194444439</v>
      </c>
      <c r="B1459" s="12" t="str">
        <f>HYPERLINK("https://twitter.com/fahadaljuhani6","@fahadaljuhani6")</f>
        <v>@fahadaljuhani6</v>
      </c>
      <c r="C1459" s="13" t="s">
        <v>8490</v>
      </c>
      <c r="D1459" s="13" t="s">
        <v>3726</v>
      </c>
      <c r="E1459" s="12" t="str">
        <f>HYPERLINK("https://twitter.com/fahadaljuhani6/status/1181557809219080193","1181557809219080193")</f>
        <v>1181557809219080193</v>
      </c>
      <c r="F1459" s="8"/>
      <c r="G1459" s="14" t="s">
        <v>8491</v>
      </c>
      <c r="H1459" s="8"/>
      <c r="I1459" s="15">
        <v>0</v>
      </c>
      <c r="J1459" s="15">
        <v>0</v>
      </c>
      <c r="K1459" s="12" t="str">
        <f>HYPERLINK("http://twitter.com","Twitter Web Client")</f>
        <v>Twitter Web Client</v>
      </c>
      <c r="L1459" s="16">
        <v>1</v>
      </c>
      <c r="M1459" s="16">
        <v>41</v>
      </c>
      <c r="N1459" s="16">
        <v>0</v>
      </c>
      <c r="O1459" s="17"/>
      <c r="P1459" s="18">
        <v>42070.679768518516</v>
      </c>
      <c r="Q1459" s="8"/>
      <c r="R1459" s="8"/>
      <c r="S1459" s="8"/>
      <c r="T1459" s="8"/>
      <c r="U1459" s="19" t="str">
        <f>HYPERLINK("https://pbs.twimg.com/profile_images/574365181729378305/gsZ2TlrP.jpeg","View")</f>
        <v>View</v>
      </c>
      <c r="V1459" s="8"/>
      <c r="W1459" s="8"/>
      <c r="X1459" s="8"/>
      <c r="Y1459" s="8"/>
      <c r="Z1459" s="8"/>
    </row>
    <row r="1460" spans="1:26" ht="12.75">
      <c r="A1460" s="11">
        <v>43746.257870370369</v>
      </c>
      <c r="B1460" s="12" t="str">
        <f>HYPERLINK("https://twitter.com/awadaljmiei1","@awadaljmiei1")</f>
        <v>@awadaljmiei1</v>
      </c>
      <c r="C1460" s="13" t="s">
        <v>8495</v>
      </c>
      <c r="D1460" s="7" t="s">
        <v>1341</v>
      </c>
      <c r="E1460" s="12" t="str">
        <f>HYPERLINK("https://twitter.com/awadaljmiei1/status/1181557692499972098","1181557692499972098")</f>
        <v>1181557692499972098</v>
      </c>
      <c r="F1460" s="8"/>
      <c r="G1460" s="14" t="s">
        <v>8496</v>
      </c>
      <c r="H1460" s="8"/>
      <c r="I1460" s="15">
        <v>0</v>
      </c>
      <c r="J1460" s="15">
        <v>0</v>
      </c>
      <c r="K1460" s="12" t="str">
        <f>HYPERLINK("http://twitter.com","Twitter Web Client")</f>
        <v>Twitter Web Client</v>
      </c>
      <c r="L1460" s="16">
        <v>1</v>
      </c>
      <c r="M1460" s="16">
        <v>32</v>
      </c>
      <c r="N1460" s="16">
        <v>0</v>
      </c>
      <c r="O1460" s="17"/>
      <c r="P1460" s="18">
        <v>42071.494479166664</v>
      </c>
      <c r="Q1460" s="7"/>
      <c r="R1460" s="13"/>
      <c r="S1460" s="8"/>
      <c r="T1460" s="8"/>
      <c r="U1460" s="19" t="str">
        <f>HYPERLINK("https://pbs.twimg.com/profile_images/574645725176295424/VcHH4Ull.jpeg","View")</f>
        <v>View</v>
      </c>
      <c r="V1460" s="8"/>
      <c r="W1460" s="8"/>
      <c r="X1460" s="8"/>
      <c r="Y1460" s="8"/>
      <c r="Z1460" s="8"/>
    </row>
    <row r="1461" spans="1:26" ht="12.75">
      <c r="A1461" s="11">
        <v>43746.257222222222</v>
      </c>
      <c r="B1461" s="12" t="str">
        <f>HYPERLINK("https://twitter.com/abdelrahm333","@abdelrahm333")</f>
        <v>@abdelrahm333</v>
      </c>
      <c r="C1461" s="13" t="s">
        <v>8500</v>
      </c>
      <c r="D1461" s="13" t="s">
        <v>1358</v>
      </c>
      <c r="E1461" s="12" t="str">
        <f>HYPERLINK("https://twitter.com/abdelrahm333/status/1181557454267715584","1181557454267715584")</f>
        <v>1181557454267715584</v>
      </c>
      <c r="F1461" s="8"/>
      <c r="G1461" s="14" t="s">
        <v>8501</v>
      </c>
      <c r="H1461" s="8"/>
      <c r="I1461" s="15">
        <v>0</v>
      </c>
      <c r="J1461" s="15">
        <v>0</v>
      </c>
      <c r="K1461" s="12" t="str">
        <f>HYPERLINK("http://twitter.com","Twitter Web Client")</f>
        <v>Twitter Web Client</v>
      </c>
      <c r="L1461" s="16">
        <v>0</v>
      </c>
      <c r="M1461" s="16">
        <v>48</v>
      </c>
      <c r="N1461" s="16">
        <v>0</v>
      </c>
      <c r="O1461" s="17"/>
      <c r="P1461" s="18">
        <v>42072.412893518514</v>
      </c>
      <c r="Q1461" s="8"/>
      <c r="R1461" s="8"/>
      <c r="S1461" s="8"/>
      <c r="T1461" s="8"/>
      <c r="U1461" s="19" t="str">
        <f>HYPERLINK("https://pbs.twimg.com/profile_images/574976787832172545/wi2YMJEh.jpeg","View")</f>
        <v>View</v>
      </c>
      <c r="V1461" s="8"/>
      <c r="W1461" s="8"/>
      <c r="X1461" s="8"/>
      <c r="Y1461" s="8"/>
      <c r="Z1461" s="8"/>
    </row>
    <row r="1462" spans="1:26" ht="12.75">
      <c r="A1462" s="11">
        <v>43746.257048611107</v>
      </c>
      <c r="B1462" s="12" t="str">
        <f>HYPERLINK("https://twitter.com/saadalaide2","@saadalaide2")</f>
        <v>@saadalaide2</v>
      </c>
      <c r="C1462" s="13" t="s">
        <v>8504</v>
      </c>
      <c r="D1462" s="13" t="s">
        <v>494</v>
      </c>
      <c r="E1462" s="12" t="str">
        <f>HYPERLINK("https://twitter.com/saadalaide2/status/1181557395237015555","1181557395237015555")</f>
        <v>1181557395237015555</v>
      </c>
      <c r="F1462" s="8"/>
      <c r="G1462" s="14" t="s">
        <v>8505</v>
      </c>
      <c r="H1462" s="8"/>
      <c r="I1462" s="15">
        <v>0</v>
      </c>
      <c r="J1462" s="15">
        <v>0</v>
      </c>
      <c r="K1462" s="12" t="str">
        <f>HYPERLINK("http://twitter.com","Twitter Web Client")</f>
        <v>Twitter Web Client</v>
      </c>
      <c r="L1462" s="16">
        <v>8</v>
      </c>
      <c r="M1462" s="16">
        <v>42</v>
      </c>
      <c r="N1462" s="16">
        <v>0</v>
      </c>
      <c r="O1462" s="17"/>
      <c r="P1462" s="18">
        <v>42076.666631944448</v>
      </c>
      <c r="Q1462" s="7"/>
      <c r="R1462" s="13"/>
      <c r="S1462" s="8"/>
      <c r="T1462" s="8"/>
      <c r="U1462" s="19" t="str">
        <f>HYPERLINK("https://pbs.twimg.com/profile_images/576521293329080320/Z7V3VV9R.jpeg","View")</f>
        <v>View</v>
      </c>
      <c r="V1462" s="8"/>
      <c r="W1462" s="8"/>
      <c r="X1462" s="8"/>
      <c r="Y1462" s="8"/>
      <c r="Z1462" s="8"/>
    </row>
    <row r="1463" spans="1:26" ht="12.75">
      <c r="A1463" s="11">
        <v>43746.255601851852</v>
      </c>
      <c r="B1463" s="12" t="str">
        <f>HYPERLINK("https://twitter.com/eissaalharbi2","@eissaalharbi2")</f>
        <v>@eissaalharbi2</v>
      </c>
      <c r="C1463" s="13" t="s">
        <v>854</v>
      </c>
      <c r="D1463" s="13" t="s">
        <v>1384</v>
      </c>
      <c r="E1463" s="12" t="str">
        <f>HYPERLINK("https://twitter.com/eissaalharbi2/status/1181556867820068864","1181556867820068864")</f>
        <v>1181556867820068864</v>
      </c>
      <c r="F1463" s="8"/>
      <c r="G1463" s="14" t="s">
        <v>8520</v>
      </c>
      <c r="H1463" s="8"/>
      <c r="I1463" s="15">
        <v>0</v>
      </c>
      <c r="J1463" s="15">
        <v>0</v>
      </c>
      <c r="K1463" s="12" t="str">
        <f>HYPERLINK("http://twitter.com","Twitter Web Client")</f>
        <v>Twitter Web Client</v>
      </c>
      <c r="L1463" s="16">
        <v>1</v>
      </c>
      <c r="M1463" s="16">
        <v>36</v>
      </c>
      <c r="N1463" s="16">
        <v>0</v>
      </c>
      <c r="O1463" s="17"/>
      <c r="P1463" s="18">
        <v>42077.105567129634</v>
      </c>
      <c r="Q1463" s="8"/>
      <c r="R1463" s="13"/>
      <c r="S1463" s="8"/>
      <c r="T1463" s="8"/>
      <c r="U1463" s="19" t="str">
        <f>HYPERLINK("https://pbs.twimg.com/profile_images/576677435359424512/Vu2j5RCS.jpeg","View")</f>
        <v>View</v>
      </c>
      <c r="V1463" s="8"/>
      <c r="W1463" s="8"/>
      <c r="X1463" s="8"/>
      <c r="Y1463" s="8"/>
      <c r="Z1463" s="8"/>
    </row>
    <row r="1464" spans="1:26" ht="12.75">
      <c r="A1464" s="11">
        <v>43746.254328703704</v>
      </c>
      <c r="B1464" s="12" t="str">
        <f>HYPERLINK("https://twitter.com/abedalla734","@abedalla734")</f>
        <v>@abedalla734</v>
      </c>
      <c r="C1464" s="13" t="s">
        <v>8532</v>
      </c>
      <c r="D1464" s="13" t="s">
        <v>3746</v>
      </c>
      <c r="E1464" s="12" t="str">
        <f>HYPERLINK("https://twitter.com/abedalla734/status/1181556408342532097","1181556408342532097")</f>
        <v>1181556408342532097</v>
      </c>
      <c r="F1464" s="8"/>
      <c r="G1464" s="14" t="s">
        <v>8533</v>
      </c>
      <c r="H1464" s="8"/>
      <c r="I1464" s="15">
        <v>0</v>
      </c>
      <c r="J1464" s="15">
        <v>0</v>
      </c>
      <c r="K1464" s="12" t="str">
        <f>HYPERLINK("http://twitter.com","Twitter Web Client")</f>
        <v>Twitter Web Client</v>
      </c>
      <c r="L1464" s="16">
        <v>2</v>
      </c>
      <c r="M1464" s="16">
        <v>44</v>
      </c>
      <c r="N1464" s="16">
        <v>0</v>
      </c>
      <c r="O1464" s="17"/>
      <c r="P1464" s="18">
        <v>42075.54859953704</v>
      </c>
      <c r="Q1464" s="8"/>
      <c r="R1464" s="8"/>
      <c r="S1464" s="8"/>
      <c r="T1464" s="8"/>
      <c r="U1464" s="19" t="str">
        <f>HYPERLINK("https://pbs.twimg.com/profile_images/576113082239336448/GIHKUHdD.jpeg","View")</f>
        <v>View</v>
      </c>
      <c r="V1464" s="8"/>
      <c r="W1464" s="8"/>
      <c r="X1464" s="8"/>
      <c r="Y1464" s="8"/>
      <c r="Z1464" s="8"/>
    </row>
    <row r="1465" spans="1:26" ht="12.75">
      <c r="A1465" s="11">
        <v>43746.251956018517</v>
      </c>
      <c r="B1465" s="12" t="str">
        <f>HYPERLINK("https://twitter.com/AbdusAman","@AbdusAman")</f>
        <v>@AbdusAman</v>
      </c>
      <c r="C1465" s="13" t="s">
        <v>8545</v>
      </c>
      <c r="D1465" s="13" t="s">
        <v>952</v>
      </c>
      <c r="E1465" s="12" t="str">
        <f>HYPERLINK("https://twitter.com/AbdusAman/status/1181555546115076099","1181555546115076099")</f>
        <v>1181555546115076099</v>
      </c>
      <c r="F1465" s="8"/>
      <c r="G1465" s="14" t="s">
        <v>8546</v>
      </c>
      <c r="H1465" s="8"/>
      <c r="I1465" s="15">
        <v>0</v>
      </c>
      <c r="J1465" s="15">
        <v>0</v>
      </c>
      <c r="K1465" s="12" t="str">
        <f>HYPERLINK("https://mobile.twitter.com","Twitter Web App")</f>
        <v>Twitter Web App</v>
      </c>
      <c r="L1465" s="16">
        <v>0</v>
      </c>
      <c r="M1465" s="16">
        <v>3</v>
      </c>
      <c r="N1465" s="16">
        <v>0</v>
      </c>
      <c r="O1465" s="17"/>
      <c r="P1465" s="18">
        <v>43742.995995370366</v>
      </c>
      <c r="Q1465" s="7" t="s">
        <v>1396</v>
      </c>
      <c r="R1465" s="13" t="s">
        <v>8547</v>
      </c>
      <c r="S1465" s="8"/>
      <c r="T1465" s="8"/>
      <c r="U1465" s="19" t="str">
        <f>HYPERLINK("https://pbs.twimg.com/profile_images/1180831993954627584/cT0CKPjQ.jpg","View")</f>
        <v>View</v>
      </c>
      <c r="V1465" s="8"/>
      <c r="W1465" s="8"/>
      <c r="X1465" s="8"/>
      <c r="Y1465" s="8"/>
      <c r="Z1465" s="8"/>
    </row>
    <row r="1466" spans="1:26" ht="12.75">
      <c r="A1466" s="11">
        <v>43746.251215277778</v>
      </c>
      <c r="B1466" s="12" t="str">
        <f>HYPERLINK("https://twitter.com/aldaws_021","@aldaws_021")</f>
        <v>@aldaws_021</v>
      </c>
      <c r="C1466" s="13" t="s">
        <v>3313</v>
      </c>
      <c r="D1466" s="7" t="s">
        <v>3763</v>
      </c>
      <c r="E1466" s="12" t="str">
        <f>HYPERLINK("https://twitter.com/aldaws_021/status/1181555279739150338","1181555279739150338")</f>
        <v>1181555279739150338</v>
      </c>
      <c r="F1466" s="8"/>
      <c r="G1466" s="14" t="s">
        <v>8548</v>
      </c>
      <c r="H1466" s="8"/>
      <c r="I1466" s="15">
        <v>0</v>
      </c>
      <c r="J1466" s="15">
        <v>0</v>
      </c>
      <c r="K1466" s="12" t="str">
        <f>HYPERLINK("http://twitter.com","Twitter Web Client")</f>
        <v>Twitter Web Client</v>
      </c>
      <c r="L1466" s="16">
        <v>1</v>
      </c>
      <c r="M1466" s="16">
        <v>31</v>
      </c>
      <c r="N1466" s="16">
        <v>0</v>
      </c>
      <c r="O1466" s="17"/>
      <c r="P1466" s="18">
        <v>41846.353425925925</v>
      </c>
      <c r="Q1466" s="7"/>
      <c r="R1466" s="13"/>
      <c r="S1466" s="8"/>
      <c r="T1466" s="8"/>
      <c r="U1466" s="19" t="str">
        <f>HYPERLINK("https://pbs.twimg.com/profile_images/493055476737650688/Wv17WUNX.jpeg","View")</f>
        <v>View</v>
      </c>
      <c r="V1466" s="8"/>
      <c r="W1466" s="8"/>
      <c r="X1466" s="8"/>
      <c r="Y1466" s="8"/>
      <c r="Z1466" s="8"/>
    </row>
    <row r="1467" spans="1:26" ht="12.75">
      <c r="A1467" s="11">
        <v>43746.250902777778</v>
      </c>
      <c r="B1467" s="12" t="str">
        <f>HYPERLINK("https://twitter.com/alialabdali7","@alialabdali7")</f>
        <v>@alialabdali7</v>
      </c>
      <c r="C1467" s="13" t="s">
        <v>8551</v>
      </c>
      <c r="D1467" s="7" t="s">
        <v>512</v>
      </c>
      <c r="E1467" s="12" t="str">
        <f>HYPERLINK("https://twitter.com/alialabdali7/status/1181555164618076160","1181555164618076160")</f>
        <v>1181555164618076160</v>
      </c>
      <c r="F1467" s="8"/>
      <c r="G1467" s="14" t="s">
        <v>8553</v>
      </c>
      <c r="H1467" s="8"/>
      <c r="I1467" s="15">
        <v>0</v>
      </c>
      <c r="J1467" s="15">
        <v>0</v>
      </c>
      <c r="K1467" s="12" t="str">
        <f>HYPERLINK("http://twitter.com","Twitter Web Client")</f>
        <v>Twitter Web Client</v>
      </c>
      <c r="L1467" s="16">
        <v>0</v>
      </c>
      <c r="M1467" s="16">
        <v>34</v>
      </c>
      <c r="N1467" s="16">
        <v>0</v>
      </c>
      <c r="O1467" s="17"/>
      <c r="P1467" s="18">
        <v>42079.28162037037</v>
      </c>
      <c r="Q1467" s="7"/>
      <c r="R1467" s="13"/>
      <c r="S1467" s="8"/>
      <c r="T1467" s="8"/>
      <c r="U1467" s="19" t="str">
        <f>HYPERLINK("https://pbs.twimg.com/profile_images/577467314469105664/7Z5hDrY7.jpeg","View")</f>
        <v>View</v>
      </c>
      <c r="V1467" s="8"/>
      <c r="W1467" s="8"/>
      <c r="X1467" s="8"/>
      <c r="Y1467" s="8"/>
      <c r="Z1467" s="8"/>
    </row>
    <row r="1468" spans="1:26" ht="12.75">
      <c r="A1468" s="11">
        <v>43746.24927083333</v>
      </c>
      <c r="B1468" s="12" t="str">
        <f>HYPERLINK("https://twitter.com/almtroudy","@almtroudy")</f>
        <v>@almtroudy</v>
      </c>
      <c r="C1468" s="13" t="s">
        <v>8558</v>
      </c>
      <c r="D1468" s="13" t="s">
        <v>8559</v>
      </c>
      <c r="E1468" s="12" t="str">
        <f>HYPERLINK("https://twitter.com/almtroudy/status/1181554575993688065","1181554575993688065")</f>
        <v>1181554575993688065</v>
      </c>
      <c r="F1468" s="8"/>
      <c r="G1468" s="14" t="s">
        <v>8560</v>
      </c>
      <c r="H1468" s="8"/>
      <c r="I1468" s="15">
        <v>0</v>
      </c>
      <c r="J1468" s="15">
        <v>0</v>
      </c>
      <c r="K1468" s="12" t="str">
        <f>HYPERLINK("http://twitter.com","Twitter Web Client")</f>
        <v>Twitter Web Client</v>
      </c>
      <c r="L1468" s="16">
        <v>1</v>
      </c>
      <c r="M1468" s="16">
        <v>37</v>
      </c>
      <c r="N1468" s="16">
        <v>0</v>
      </c>
      <c r="O1468" s="17"/>
      <c r="P1468" s="18">
        <v>42079.169687500005</v>
      </c>
      <c r="Q1468" s="8"/>
      <c r="R1468" s="8"/>
      <c r="S1468" s="8"/>
      <c r="T1468" s="8"/>
      <c r="U1468" s="19" t="str">
        <f>HYPERLINK("https://pbs.twimg.com/profile_images/577449097679933440/gFlqWuer.jpeg","View")</f>
        <v>View</v>
      </c>
      <c r="V1468" s="8"/>
      <c r="W1468" s="8"/>
      <c r="X1468" s="8"/>
      <c r="Y1468" s="8"/>
      <c r="Z1468" s="8"/>
    </row>
    <row r="1469" spans="1:26" ht="12.75">
      <c r="A1469" s="11">
        <v>43746.248923611114</v>
      </c>
      <c r="B1469" s="12" t="str">
        <f>HYPERLINK("https://twitter.com/QATAR_x1x","@QATAR_x1x")</f>
        <v>@QATAR_x1x</v>
      </c>
      <c r="C1469" s="13" t="s">
        <v>8561</v>
      </c>
      <c r="D1469" s="13" t="s">
        <v>8562</v>
      </c>
      <c r="E1469" s="12" t="str">
        <f>HYPERLINK("https://twitter.com/QATAR_x1x/status/1181554448654581761","1181554448654581761")</f>
        <v>1181554448654581761</v>
      </c>
      <c r="F1469" s="8"/>
      <c r="G1469" s="14" t="s">
        <v>8563</v>
      </c>
      <c r="H1469" s="8"/>
      <c r="I1469" s="15">
        <v>7</v>
      </c>
      <c r="J1469" s="15">
        <v>4</v>
      </c>
      <c r="K1469" s="12" t="str">
        <f>HYPERLINK("http://twitter.com/download/iphone","Twitter for iPhone")</f>
        <v>Twitter for iPhone</v>
      </c>
      <c r="L1469" s="16">
        <v>226</v>
      </c>
      <c r="M1469" s="16">
        <v>625</v>
      </c>
      <c r="N1469" s="16">
        <v>0</v>
      </c>
      <c r="O1469" s="17"/>
      <c r="P1469" s="18">
        <v>43628.490370370375</v>
      </c>
      <c r="Q1469" s="8" t="s">
        <v>8567</v>
      </c>
      <c r="R1469" s="8" t="s">
        <v>8568</v>
      </c>
      <c r="S1469" s="8"/>
      <c r="T1469" s="8"/>
      <c r="U1469" s="19" t="str">
        <f>HYPERLINK("https://pbs.twimg.com/profile_images/1138880426234322944/DPSJwA4G.jpg","View")</f>
        <v>View</v>
      </c>
      <c r="V1469" s="8"/>
      <c r="W1469" s="8"/>
      <c r="X1469" s="8"/>
      <c r="Y1469" s="8"/>
      <c r="Z1469" s="8"/>
    </row>
    <row r="1470" spans="1:26" ht="12.75">
      <c r="A1470" s="11">
        <v>43746.246527777781</v>
      </c>
      <c r="B1470" s="12" t="str">
        <f>HYPERLINK("https://twitter.com/bptcrypto","@bptcrypto")</f>
        <v>@bptcrypto</v>
      </c>
      <c r="C1470" s="13" t="s">
        <v>8571</v>
      </c>
      <c r="D1470" s="13" t="s">
        <v>8572</v>
      </c>
      <c r="E1470" s="12" t="str">
        <f>HYPERLINK("https://twitter.com/bptcrypto/status/1181553579376726017","1181553579376726017")</f>
        <v>1181553579376726017</v>
      </c>
      <c r="F1470" s="8"/>
      <c r="G1470" s="15"/>
      <c r="H1470" s="8"/>
      <c r="I1470" s="15">
        <v>0</v>
      </c>
      <c r="J1470" s="15">
        <v>0</v>
      </c>
      <c r="K1470" s="12" t="str">
        <f>HYPERLINK("https://mobile.twitter.com","Twitter Web App")</f>
        <v>Twitter Web App</v>
      </c>
      <c r="L1470" s="16">
        <v>1222</v>
      </c>
      <c r="M1470" s="16">
        <v>2289</v>
      </c>
      <c r="N1470" s="16">
        <v>17</v>
      </c>
      <c r="O1470" s="17"/>
      <c r="P1470" s="18">
        <v>42973.595601851848</v>
      </c>
      <c r="Q1470" s="8" t="s">
        <v>8573</v>
      </c>
      <c r="R1470" s="8" t="s">
        <v>8575</v>
      </c>
      <c r="S1470" s="14" t="s">
        <v>8577</v>
      </c>
      <c r="T1470" s="8"/>
      <c r="U1470" s="19" t="str">
        <f>HYPERLINK("https://pbs.twimg.com/profile_images/1092235830733819906/QbFNFkks.jpg","View")</f>
        <v>View</v>
      </c>
      <c r="V1470" s="8"/>
      <c r="W1470" s="8"/>
      <c r="X1470" s="8"/>
      <c r="Y1470" s="8"/>
      <c r="Z1470" s="8"/>
    </row>
    <row r="1471" spans="1:26" ht="12.75">
      <c r="A1471" s="11">
        <v>43746.244930555556</v>
      </c>
      <c r="B1471" s="12" t="str">
        <f>HYPERLINK("https://twitter.com/alialmeili1","@alialmeili1")</f>
        <v>@alialmeili1</v>
      </c>
      <c r="C1471" s="13" t="s">
        <v>8579</v>
      </c>
      <c r="D1471" s="13" t="s">
        <v>569</v>
      </c>
      <c r="E1471" s="12" t="str">
        <f>HYPERLINK("https://twitter.com/alialmeili1/status/1181553003247099905","1181553003247099905")</f>
        <v>1181553003247099905</v>
      </c>
      <c r="F1471" s="8"/>
      <c r="G1471" s="14" t="s">
        <v>8580</v>
      </c>
      <c r="H1471" s="8"/>
      <c r="I1471" s="15">
        <v>0</v>
      </c>
      <c r="J1471" s="15">
        <v>0</v>
      </c>
      <c r="K1471" s="12" t="str">
        <f>HYPERLINK("http://twitter.com","Twitter Web Client")</f>
        <v>Twitter Web Client</v>
      </c>
      <c r="L1471" s="16">
        <v>1</v>
      </c>
      <c r="M1471" s="16">
        <v>43</v>
      </c>
      <c r="N1471" s="16">
        <v>0</v>
      </c>
      <c r="O1471" s="17"/>
      <c r="P1471" s="18">
        <v>42073.220092592594</v>
      </c>
      <c r="Q1471" s="8"/>
      <c r="R1471" s="8"/>
      <c r="S1471" s="8"/>
      <c r="T1471" s="8"/>
      <c r="U1471" s="19" t="str">
        <f>HYPERLINK("https://pbs.twimg.com/profile_images/575269936878120960/W9MZuD-E.jpeg","View")</f>
        <v>View</v>
      </c>
      <c r="V1471" s="8"/>
      <c r="W1471" s="8"/>
      <c r="X1471" s="8"/>
      <c r="Y1471" s="8"/>
      <c r="Z1471" s="8"/>
    </row>
    <row r="1472" spans="1:26" ht="12.75">
      <c r="A1472" s="11">
        <v>43746.243831018517</v>
      </c>
      <c r="B1472" s="12" t="str">
        <f>HYPERLINK("https://twitter.com/ragabmohamd201","@ragabmohamd201")</f>
        <v>@ragabmohamd201</v>
      </c>
      <c r="C1472" s="13" t="s">
        <v>8584</v>
      </c>
      <c r="D1472" s="13" t="s">
        <v>3811</v>
      </c>
      <c r="E1472" s="12" t="str">
        <f>HYPERLINK("https://twitter.com/ragabmohamd201/status/1181552601726427136","1181552601726427136")</f>
        <v>1181552601726427136</v>
      </c>
      <c r="F1472" s="8"/>
      <c r="G1472" s="14" t="s">
        <v>8586</v>
      </c>
      <c r="H1472" s="8"/>
      <c r="I1472" s="15">
        <v>0</v>
      </c>
      <c r="J1472" s="15">
        <v>0</v>
      </c>
      <c r="K1472" s="12" t="str">
        <f>HYPERLINK("http://twitter.com","Twitter Web Client")</f>
        <v>Twitter Web Client</v>
      </c>
      <c r="L1472" s="16">
        <v>3</v>
      </c>
      <c r="M1472" s="16">
        <v>26</v>
      </c>
      <c r="N1472" s="16">
        <v>0</v>
      </c>
      <c r="O1472" s="17"/>
      <c r="P1472" s="18">
        <v>41828.370451388888</v>
      </c>
      <c r="Q1472" s="8"/>
      <c r="R1472" s="8"/>
      <c r="S1472" s="8"/>
      <c r="T1472" s="8"/>
      <c r="U1472" s="19" t="str">
        <f>HYPERLINK("https://pbs.twimg.com/profile_images/486538772062818304/AQ8qOFuP.jpeg","View")</f>
        <v>View</v>
      </c>
      <c r="V1472" s="8"/>
      <c r="W1472" s="8"/>
      <c r="X1472" s="8"/>
      <c r="Y1472" s="8"/>
      <c r="Z1472" s="8"/>
    </row>
    <row r="1473" spans="1:26" ht="12.75">
      <c r="A1473" s="11">
        <v>43746.242071759261</v>
      </c>
      <c r="B1473" s="12" t="str">
        <f>HYPERLINK("https://twitter.com/fahadab75592115","@fahadab75592115")</f>
        <v>@fahadab75592115</v>
      </c>
      <c r="C1473" s="7" t="s">
        <v>8589</v>
      </c>
      <c r="D1473" s="13" t="s">
        <v>1625</v>
      </c>
      <c r="E1473" s="12" t="str">
        <f>HYPERLINK("https://twitter.com/fahadab75592115/status/1181551967765762048","1181551967765762048")</f>
        <v>1181551967765762048</v>
      </c>
      <c r="F1473" s="8"/>
      <c r="G1473" s="14" t="s">
        <v>8590</v>
      </c>
      <c r="H1473" s="8"/>
      <c r="I1473" s="15">
        <v>0</v>
      </c>
      <c r="J1473" s="15">
        <v>0</v>
      </c>
      <c r="K1473" s="12" t="str">
        <f>HYPERLINK("http://twitter.com","Twitter Web Client")</f>
        <v>Twitter Web Client</v>
      </c>
      <c r="L1473" s="16">
        <v>1</v>
      </c>
      <c r="M1473" s="16">
        <v>42</v>
      </c>
      <c r="N1473" s="16">
        <v>0</v>
      </c>
      <c r="O1473" s="17"/>
      <c r="P1473" s="18">
        <v>42071.173842592594</v>
      </c>
      <c r="Q1473" s="7"/>
      <c r="R1473" s="13"/>
      <c r="S1473" s="8"/>
      <c r="T1473" s="8"/>
      <c r="U1473" s="19" t="str">
        <f>HYPERLINK("https://pbs.twimg.com/profile_images/574527832744833026/htZdqnG8.jpeg","View")</f>
        <v>View</v>
      </c>
      <c r="V1473" s="8"/>
      <c r="W1473" s="8"/>
      <c r="X1473" s="8"/>
      <c r="Y1473" s="8"/>
      <c r="Z1473" s="8"/>
    </row>
    <row r="1474" spans="1:26" ht="12.75">
      <c r="A1474" s="11">
        <v>43746.241597222222</v>
      </c>
      <c r="B1474" s="12" t="str">
        <f>HYPERLINK("https://twitter.com/elfahiid433","@elfahiid433")</f>
        <v>@elfahiid433</v>
      </c>
      <c r="C1474" s="13" t="s">
        <v>8591</v>
      </c>
      <c r="D1474" s="7" t="s">
        <v>3830</v>
      </c>
      <c r="E1474" s="12" t="str">
        <f>HYPERLINK("https://twitter.com/elfahiid433/status/1181551791869235201","1181551791869235201")</f>
        <v>1181551791869235201</v>
      </c>
      <c r="F1474" s="8"/>
      <c r="G1474" s="14" t="s">
        <v>8592</v>
      </c>
      <c r="H1474" s="8"/>
      <c r="I1474" s="15">
        <v>0</v>
      </c>
      <c r="J1474" s="15">
        <v>0</v>
      </c>
      <c r="K1474" s="12" t="str">
        <f>HYPERLINK("http://twitter.com","Twitter Web Client")</f>
        <v>Twitter Web Client</v>
      </c>
      <c r="L1474" s="16">
        <v>10</v>
      </c>
      <c r="M1474" s="16">
        <v>42</v>
      </c>
      <c r="N1474" s="16">
        <v>0</v>
      </c>
      <c r="O1474" s="17"/>
      <c r="P1474" s="18">
        <v>42073.523206018523</v>
      </c>
      <c r="Q1474" s="7"/>
      <c r="R1474" s="13"/>
      <c r="S1474" s="8"/>
      <c r="T1474" s="8"/>
      <c r="U1474" s="19" t="str">
        <f>HYPERLINK("https://pbs.twimg.com/profile_images/575379071917383680/5WRXnami.jpeg","View")</f>
        <v>View</v>
      </c>
      <c r="V1474" s="8"/>
      <c r="W1474" s="8"/>
      <c r="X1474" s="8"/>
      <c r="Y1474" s="8"/>
      <c r="Z1474" s="8"/>
    </row>
    <row r="1475" spans="1:26" ht="12.75">
      <c r="A1475" s="11">
        <v>43746.240949074076</v>
      </c>
      <c r="B1475" s="12" t="str">
        <f>HYPERLINK("https://twitter.com/alyahiy4534","@alyahiy4534")</f>
        <v>@alyahiy4534</v>
      </c>
      <c r="C1475" s="13" t="s">
        <v>8596</v>
      </c>
      <c r="D1475" s="7" t="s">
        <v>38</v>
      </c>
      <c r="E1475" s="12" t="str">
        <f>HYPERLINK("https://twitter.com/alyahiy4534/status/1181551559433474048","1181551559433474048")</f>
        <v>1181551559433474048</v>
      </c>
      <c r="F1475" s="8"/>
      <c r="G1475" s="14" t="s">
        <v>8597</v>
      </c>
      <c r="H1475" s="8"/>
      <c r="I1475" s="15">
        <v>0</v>
      </c>
      <c r="J1475" s="15">
        <v>0</v>
      </c>
      <c r="K1475" s="12" t="str">
        <f>HYPERLINK("http://twitter.com","Twitter Web Client")</f>
        <v>Twitter Web Client</v>
      </c>
      <c r="L1475" s="16">
        <v>14</v>
      </c>
      <c r="M1475" s="16">
        <v>30</v>
      </c>
      <c r="N1475" s="16">
        <v>0</v>
      </c>
      <c r="O1475" s="17"/>
      <c r="P1475" s="18">
        <v>42073.516400462962</v>
      </c>
      <c r="Q1475" s="7"/>
      <c r="R1475" s="13"/>
      <c r="S1475" s="8"/>
      <c r="T1475" s="8"/>
      <c r="U1475" s="19" t="str">
        <f>HYPERLINK("https://pbs.twimg.com/profile_images/575376716631158785/Huuw4vlB.jpeg","View")</f>
        <v>View</v>
      </c>
      <c r="V1475" s="8"/>
      <c r="W1475" s="8"/>
      <c r="X1475" s="8"/>
      <c r="Y1475" s="8"/>
      <c r="Z1475" s="8"/>
    </row>
    <row r="1476" spans="1:26" ht="12.75">
      <c r="A1476" s="11">
        <v>43746.240624999999</v>
      </c>
      <c r="B1476" s="12" t="str">
        <f>HYPERLINK("https://twitter.com/abdallahalmali3","@abdallahalmali3")</f>
        <v>@abdallahalmali3</v>
      </c>
      <c r="C1476" s="13" t="s">
        <v>8602</v>
      </c>
      <c r="D1476" s="7" t="s">
        <v>1651</v>
      </c>
      <c r="E1476" s="12" t="str">
        <f>HYPERLINK("https://twitter.com/abdallahalmali3/status/1181551440151617536","1181551440151617536")</f>
        <v>1181551440151617536</v>
      </c>
      <c r="F1476" s="8"/>
      <c r="G1476" s="14" t="s">
        <v>8603</v>
      </c>
      <c r="H1476" s="8"/>
      <c r="I1476" s="15">
        <v>0</v>
      </c>
      <c r="J1476" s="15">
        <v>0</v>
      </c>
      <c r="K1476" s="12" t="str">
        <f>HYPERLINK("http://twitter.com","Twitter Web Client")</f>
        <v>Twitter Web Client</v>
      </c>
      <c r="L1476" s="16">
        <v>2</v>
      </c>
      <c r="M1476" s="16">
        <v>42</v>
      </c>
      <c r="N1476" s="16">
        <v>0</v>
      </c>
      <c r="O1476" s="17"/>
      <c r="P1476" s="18">
        <v>42071.141203703708</v>
      </c>
      <c r="Q1476" s="7"/>
      <c r="R1476" s="13"/>
      <c r="S1476" s="8"/>
      <c r="T1476" s="8"/>
      <c r="U1476" s="19" t="str">
        <f>HYPERLINK("https://pbs.twimg.com/profile_images/574516065985658880/TOBfAFT-.jpeg","View")</f>
        <v>View</v>
      </c>
      <c r="V1476" s="8"/>
      <c r="W1476" s="8"/>
      <c r="X1476" s="8"/>
      <c r="Y1476" s="8"/>
      <c r="Z1476" s="8"/>
    </row>
    <row r="1477" spans="1:26" ht="12.75">
      <c r="A1477" s="11">
        <v>43746.24046296296</v>
      </c>
      <c r="B1477" s="12" t="str">
        <f>HYPERLINK("https://twitter.com/fifyelzbedy","@fifyelzbedy")</f>
        <v>@fifyelzbedy</v>
      </c>
      <c r="C1477" s="13" t="s">
        <v>8607</v>
      </c>
      <c r="D1477" s="13" t="s">
        <v>612</v>
      </c>
      <c r="E1477" s="12" t="str">
        <f>HYPERLINK("https://twitter.com/fifyelzbedy/status/1181551380873584640","1181551380873584640")</f>
        <v>1181551380873584640</v>
      </c>
      <c r="F1477" s="8"/>
      <c r="G1477" s="14" t="s">
        <v>8608</v>
      </c>
      <c r="H1477" s="8"/>
      <c r="I1477" s="15">
        <v>0</v>
      </c>
      <c r="J1477" s="15">
        <v>0</v>
      </c>
      <c r="K1477" s="12" t="str">
        <f>HYPERLINK("http://twitter.com","Twitter Web Client")</f>
        <v>Twitter Web Client</v>
      </c>
      <c r="L1477" s="16">
        <v>0</v>
      </c>
      <c r="M1477" s="16">
        <v>30</v>
      </c>
      <c r="N1477" s="16">
        <v>0</v>
      </c>
      <c r="O1477" s="17"/>
      <c r="P1477" s="18">
        <v>41823.406921296293</v>
      </c>
      <c r="Q1477" s="8"/>
      <c r="R1477" s="13"/>
      <c r="S1477" s="8"/>
      <c r="T1477" s="8"/>
      <c r="U1477" s="19" t="str">
        <f>HYPERLINK("https://pbs.twimg.com/profile_images/484740056783933441/RYB9JX08.jpeg","View")</f>
        <v>View</v>
      </c>
      <c r="V1477" s="8"/>
      <c r="W1477" s="8"/>
      <c r="X1477" s="8"/>
      <c r="Y1477" s="8"/>
      <c r="Z1477" s="8"/>
    </row>
    <row r="1478" spans="1:26" ht="12.75">
      <c r="A1478" s="11">
        <v>43746.239988425921</v>
      </c>
      <c r="B1478" s="12" t="str">
        <f>HYPERLINK("https://twitter.com/alirash38576838","@alirash38576838")</f>
        <v>@alirash38576838</v>
      </c>
      <c r="C1478" s="13" t="s">
        <v>8609</v>
      </c>
      <c r="D1478" s="13" t="s">
        <v>3840</v>
      </c>
      <c r="E1478" s="12" t="str">
        <f>HYPERLINK("https://twitter.com/alirash38576838/status/1181551212098969600","1181551212098969600")</f>
        <v>1181551212098969600</v>
      </c>
      <c r="F1478" s="8"/>
      <c r="G1478" s="14" t="s">
        <v>8610</v>
      </c>
      <c r="H1478" s="8"/>
      <c r="I1478" s="15">
        <v>0</v>
      </c>
      <c r="J1478" s="15">
        <v>0</v>
      </c>
      <c r="K1478" s="12" t="str">
        <f>HYPERLINK("http://twitter.com","Twitter Web Client")</f>
        <v>Twitter Web Client</v>
      </c>
      <c r="L1478" s="16">
        <v>1</v>
      </c>
      <c r="M1478" s="16">
        <v>36</v>
      </c>
      <c r="N1478" s="16">
        <v>0</v>
      </c>
      <c r="O1478" s="17"/>
      <c r="P1478" s="18">
        <v>42069.150555555556</v>
      </c>
      <c r="Q1478" s="8"/>
      <c r="R1478" s="8"/>
      <c r="S1478" s="8"/>
      <c r="T1478" s="8"/>
      <c r="U1478" s="19" t="str">
        <f>HYPERLINK("https://pbs.twimg.com/profile_images/573809677324058625/GIXomHFq.jpeg","View")</f>
        <v>View</v>
      </c>
      <c r="V1478" s="8"/>
      <c r="W1478" s="8"/>
      <c r="X1478" s="8"/>
      <c r="Y1478" s="8"/>
      <c r="Z1478" s="8"/>
    </row>
    <row r="1479" spans="1:26" ht="12.75">
      <c r="A1479" s="11">
        <v>43746.238877314812</v>
      </c>
      <c r="B1479" s="12" t="str">
        <f>HYPERLINK("https://twitter.com/khalidarfag2016","@khalidarfag2016")</f>
        <v>@khalidarfag2016</v>
      </c>
      <c r="C1479" s="13" t="s">
        <v>299</v>
      </c>
      <c r="D1479" s="13" t="s">
        <v>633</v>
      </c>
      <c r="E1479" s="12" t="str">
        <f>HYPERLINK("https://twitter.com/khalidarfag2016/status/1181550809194127360","1181550809194127360")</f>
        <v>1181550809194127360</v>
      </c>
      <c r="F1479" s="8"/>
      <c r="G1479" s="14" t="s">
        <v>8613</v>
      </c>
      <c r="H1479" s="8"/>
      <c r="I1479" s="15">
        <v>0</v>
      </c>
      <c r="J1479" s="15">
        <v>0</v>
      </c>
      <c r="K1479" s="12" t="str">
        <f>HYPERLINK("http://twitter.com","Twitter Web Client")</f>
        <v>Twitter Web Client</v>
      </c>
      <c r="L1479" s="16">
        <v>1</v>
      </c>
      <c r="M1479" s="16">
        <v>37</v>
      </c>
      <c r="N1479" s="16">
        <v>0</v>
      </c>
      <c r="O1479" s="17"/>
      <c r="P1479" s="18">
        <v>42079.819525462968</v>
      </c>
      <c r="Q1479" s="8"/>
      <c r="R1479" s="8"/>
      <c r="S1479" s="8"/>
      <c r="T1479" s="8"/>
      <c r="U1479" s="19" t="str">
        <f>HYPERLINK("https://pbs.twimg.com/profile_images/577661271543136257/lQd54QEB.jpeg","View")</f>
        <v>View</v>
      </c>
      <c r="V1479" s="8"/>
      <c r="W1479" s="8"/>
      <c r="X1479" s="8"/>
      <c r="Y1479" s="8"/>
      <c r="Z1479" s="8"/>
    </row>
    <row r="1480" spans="1:26" ht="12.75">
      <c r="A1480" s="11">
        <v>43746.238391203704</v>
      </c>
      <c r="B1480" s="12" t="str">
        <f>HYPERLINK("https://twitter.com/grammzahrani","@grammzahrani")</f>
        <v>@grammzahrani</v>
      </c>
      <c r="C1480" s="13" t="s">
        <v>8616</v>
      </c>
      <c r="D1480" s="13" t="s">
        <v>1680</v>
      </c>
      <c r="E1480" s="12" t="str">
        <f>HYPERLINK("https://twitter.com/grammzahrani/status/1181550632710344704","1181550632710344704")</f>
        <v>1181550632710344704</v>
      </c>
      <c r="F1480" s="8"/>
      <c r="G1480" s="14" t="s">
        <v>8617</v>
      </c>
      <c r="H1480" s="8"/>
      <c r="I1480" s="15">
        <v>0</v>
      </c>
      <c r="J1480" s="15">
        <v>0</v>
      </c>
      <c r="K1480" s="12" t="str">
        <f>HYPERLINK("http://twitter.com","Twitter Web Client")</f>
        <v>Twitter Web Client</v>
      </c>
      <c r="L1480" s="16">
        <v>0</v>
      </c>
      <c r="M1480" s="16">
        <v>37</v>
      </c>
      <c r="N1480" s="16">
        <v>0</v>
      </c>
      <c r="O1480" s="17"/>
      <c r="P1480" s="18">
        <v>42079.473391203705</v>
      </c>
      <c r="Q1480" s="8"/>
      <c r="R1480" s="8"/>
      <c r="S1480" s="8"/>
      <c r="T1480" s="8"/>
      <c r="U1480" s="19" t="str">
        <f>HYPERLINK("https://pbs.twimg.com/profile_images/577535467484119040/GL_5cTZ3.jpeg","View")</f>
        <v>View</v>
      </c>
      <c r="V1480" s="8"/>
      <c r="W1480" s="8"/>
      <c r="X1480" s="8"/>
      <c r="Y1480" s="8"/>
      <c r="Z1480" s="8"/>
    </row>
    <row r="1481" spans="1:26" ht="12.75">
      <c r="A1481" s="11">
        <v>43746.238298611112</v>
      </c>
      <c r="B1481" s="12" t="str">
        <f>HYPERLINK("https://twitter.com/MuRabbani","@MuRabbani")</f>
        <v>@MuRabbani</v>
      </c>
      <c r="C1481" s="13" t="s">
        <v>8621</v>
      </c>
      <c r="D1481" s="13" t="s">
        <v>28</v>
      </c>
      <c r="E1481" s="12" t="str">
        <f>HYPERLINK("https://twitter.com/MuRabbani/status/1181550596710486016","1181550596710486016")</f>
        <v>1181550596710486016</v>
      </c>
      <c r="F1481" s="8"/>
      <c r="G1481" s="14" t="s">
        <v>31</v>
      </c>
      <c r="H1481" s="8"/>
      <c r="I1481" s="15">
        <v>0</v>
      </c>
      <c r="J1481" s="15">
        <v>0</v>
      </c>
      <c r="K1481" s="12" t="str">
        <f>HYPERLINK("https://mobile.twitter.com","Twitter Web App")</f>
        <v>Twitter Web App</v>
      </c>
      <c r="L1481" s="16">
        <v>0</v>
      </c>
      <c r="M1481" s="16">
        <v>2</v>
      </c>
      <c r="N1481" s="16">
        <v>0</v>
      </c>
      <c r="O1481" s="17"/>
      <c r="P1481" s="18">
        <v>43744.193113425921</v>
      </c>
      <c r="Q1481" s="7" t="s">
        <v>1328</v>
      </c>
      <c r="R1481" s="13" t="s">
        <v>8625</v>
      </c>
      <c r="S1481" s="8"/>
      <c r="T1481" s="8"/>
      <c r="U1481" s="19" t="str">
        <f>HYPERLINK("https://pbs.twimg.com/profile_images/1180831998157320192/n9P_2ycL.jpg","View")</f>
        <v>View</v>
      </c>
      <c r="V1481" s="8"/>
      <c r="W1481" s="8"/>
      <c r="X1481" s="8"/>
      <c r="Y1481" s="8"/>
      <c r="Z1481" s="8"/>
    </row>
    <row r="1482" spans="1:26" ht="12.75">
      <c r="A1482" s="11">
        <v>43746.237291666665</v>
      </c>
      <c r="B1482" s="12" t="str">
        <f>HYPERLINK("https://twitter.com/greavespg","@greavespg")</f>
        <v>@greavespg</v>
      </c>
      <c r="C1482" s="13" t="s">
        <v>8627</v>
      </c>
      <c r="D1482" s="13" t="s">
        <v>8628</v>
      </c>
      <c r="E1482" s="12" t="str">
        <f>HYPERLINK("https://twitter.com/greavespg/status/1181550233202970625","1181550233202970625")</f>
        <v>1181550233202970625</v>
      </c>
      <c r="F1482" s="8" t="s">
        <v>8629</v>
      </c>
      <c r="G1482" s="14" t="s">
        <v>8630</v>
      </c>
      <c r="H1482" s="8"/>
      <c r="I1482" s="15">
        <v>0</v>
      </c>
      <c r="J1482" s="15">
        <v>2</v>
      </c>
      <c r="K1482" s="12" t="str">
        <f>HYPERLINK("https://about.twitter.com/products/tweetdeck","TweetDeck")</f>
        <v>TweetDeck</v>
      </c>
      <c r="L1482" s="16">
        <v>953</v>
      </c>
      <c r="M1482" s="16">
        <v>1182</v>
      </c>
      <c r="N1482" s="16">
        <v>49</v>
      </c>
      <c r="O1482" s="17"/>
      <c r="P1482" s="18">
        <v>40754.676550925928</v>
      </c>
      <c r="Q1482" s="8" t="s">
        <v>8633</v>
      </c>
      <c r="R1482" s="8" t="s">
        <v>8634</v>
      </c>
      <c r="S1482" s="8"/>
      <c r="T1482" s="8"/>
      <c r="U1482" s="19" t="str">
        <f>HYPERLINK("https://pbs.twimg.com/profile_images/1167533299113349122/fsf6TDAx.jpg","View")</f>
        <v>View</v>
      </c>
      <c r="V1482" s="8"/>
      <c r="W1482" s="8"/>
      <c r="X1482" s="8"/>
      <c r="Y1482" s="8"/>
      <c r="Z1482" s="8"/>
    </row>
    <row r="1483" spans="1:26" ht="12.75">
      <c r="A1483" s="11">
        <v>43746.23636574074</v>
      </c>
      <c r="B1483" s="12" t="str">
        <f>HYPERLINK("https://twitter.com/liberte1787","@liberte1787")</f>
        <v>@liberte1787</v>
      </c>
      <c r="C1483" s="13" t="s">
        <v>8636</v>
      </c>
      <c r="D1483" s="13" t="s">
        <v>8637</v>
      </c>
      <c r="E1483" s="12" t="str">
        <f>HYPERLINK("https://twitter.com/liberte1787/status/1181549899864793089","1181549899864793089")</f>
        <v>1181549899864793089</v>
      </c>
      <c r="F1483" s="14" t="s">
        <v>8638</v>
      </c>
      <c r="G1483" s="15"/>
      <c r="H1483" s="8"/>
      <c r="I1483" s="15">
        <v>0</v>
      </c>
      <c r="J1483" s="15">
        <v>1</v>
      </c>
      <c r="K1483" s="12" t="str">
        <f>HYPERLINK("http://twitter.com/download/android","Twitter for Android")</f>
        <v>Twitter for Android</v>
      </c>
      <c r="L1483" s="16">
        <v>175</v>
      </c>
      <c r="M1483" s="16">
        <v>871</v>
      </c>
      <c r="N1483" s="16">
        <v>5</v>
      </c>
      <c r="O1483" s="17"/>
      <c r="P1483" s="18">
        <v>43328.309664351851</v>
      </c>
      <c r="Q1483" s="8" t="s">
        <v>8642</v>
      </c>
      <c r="R1483" s="8"/>
      <c r="S1483" s="8"/>
      <c r="T1483" s="8"/>
      <c r="U1483" s="19" t="str">
        <f>HYPERLINK("https://pbs.twimg.com/profile_images/1161126598822780935/qBhTXdeH.jpg","View")</f>
        <v>View</v>
      </c>
      <c r="V1483" s="8"/>
      <c r="W1483" s="8"/>
      <c r="X1483" s="8"/>
      <c r="Y1483" s="8"/>
      <c r="Z1483" s="8"/>
    </row>
    <row r="1484" spans="1:26" ht="12.75">
      <c r="A1484" s="11">
        <v>43746.233553240745</v>
      </c>
      <c r="B1484" s="12" t="str">
        <f>HYPERLINK("https://twitter.com/alshded_fayez","@alshded_fayez")</f>
        <v>@alshded_fayez</v>
      </c>
      <c r="C1484" s="13" t="s">
        <v>8646</v>
      </c>
      <c r="D1484" s="7" t="s">
        <v>1740</v>
      </c>
      <c r="E1484" s="12" t="str">
        <f>HYPERLINK("https://twitter.com/alshded_fayez/status/1181548877465493505","1181548877465493505")</f>
        <v>1181548877465493505</v>
      </c>
      <c r="F1484" s="8"/>
      <c r="G1484" s="14" t="s">
        <v>8647</v>
      </c>
      <c r="H1484" s="8"/>
      <c r="I1484" s="15">
        <v>0</v>
      </c>
      <c r="J1484" s="15">
        <v>0</v>
      </c>
      <c r="K1484" s="12" t="str">
        <f>HYPERLINK("http://twitter.com","Twitter Web Client")</f>
        <v>Twitter Web Client</v>
      </c>
      <c r="L1484" s="16">
        <v>0</v>
      </c>
      <c r="M1484" s="16">
        <v>38</v>
      </c>
      <c r="N1484" s="16">
        <v>0</v>
      </c>
      <c r="O1484" s="17"/>
      <c r="P1484" s="18">
        <v>42073.305949074071</v>
      </c>
      <c r="Q1484" s="7"/>
      <c r="R1484" s="13"/>
      <c r="S1484" s="8"/>
      <c r="T1484" s="8"/>
      <c r="U1484" s="19" t="str">
        <f>HYPERLINK("https://pbs.twimg.com/profile_images/576004661729099776/-gr23vCH.jpeg","View")</f>
        <v>View</v>
      </c>
      <c r="V1484" s="8"/>
      <c r="W1484" s="8"/>
      <c r="X1484" s="8"/>
      <c r="Y1484" s="8"/>
      <c r="Z1484" s="8"/>
    </row>
    <row r="1485" spans="1:26" ht="12.75">
      <c r="A1485" s="11">
        <v>43746.231157407412</v>
      </c>
      <c r="B1485" s="12" t="str">
        <f>HYPERLINK("https://twitter.com/abedalrahma33","@abedalrahma33")</f>
        <v>@abedalrahma33</v>
      </c>
      <c r="C1485" s="13" t="s">
        <v>8657</v>
      </c>
      <c r="D1485" s="13" t="s">
        <v>689</v>
      </c>
      <c r="E1485" s="12" t="str">
        <f>HYPERLINK("https://twitter.com/abedalrahma33/status/1181548011433934856","1181548011433934856")</f>
        <v>1181548011433934856</v>
      </c>
      <c r="F1485" s="8"/>
      <c r="G1485" s="14" t="s">
        <v>8658</v>
      </c>
      <c r="H1485" s="8"/>
      <c r="I1485" s="15">
        <v>0</v>
      </c>
      <c r="J1485" s="15">
        <v>0</v>
      </c>
      <c r="K1485" s="12" t="str">
        <f>HYPERLINK("http://twitter.com","Twitter Web Client")</f>
        <v>Twitter Web Client</v>
      </c>
      <c r="L1485" s="16">
        <v>15</v>
      </c>
      <c r="M1485" s="16">
        <v>55</v>
      </c>
      <c r="N1485" s="16">
        <v>0</v>
      </c>
      <c r="O1485" s="17"/>
      <c r="P1485" s="18">
        <v>42071.679606481484</v>
      </c>
      <c r="Q1485" s="8"/>
      <c r="R1485" s="8"/>
      <c r="S1485" s="8"/>
      <c r="T1485" s="8"/>
      <c r="U1485" s="19" t="str">
        <f>HYPERLINK("https://pbs.twimg.com/profile_images/574711050450272256/jSceHdpE.jpeg","View")</f>
        <v>View</v>
      </c>
      <c r="V1485" s="8"/>
      <c r="W1485" s="8"/>
      <c r="X1485" s="8"/>
      <c r="Y1485" s="8"/>
      <c r="Z1485" s="8"/>
    </row>
    <row r="1486" spans="1:26" ht="12.75">
      <c r="A1486" s="11">
        <v>43746.230671296296</v>
      </c>
      <c r="B1486" s="12" t="str">
        <f>HYPERLINK("https://twitter.com/thamerahmed2015","@thamerahmed2015")</f>
        <v>@thamerahmed2015</v>
      </c>
      <c r="C1486" s="13" t="s">
        <v>8660</v>
      </c>
      <c r="D1486" s="7" t="s">
        <v>1764</v>
      </c>
      <c r="E1486" s="12" t="str">
        <f>HYPERLINK("https://twitter.com/thamerahmed2015/status/1181547834342027264","1181547834342027264")</f>
        <v>1181547834342027264</v>
      </c>
      <c r="F1486" s="8"/>
      <c r="G1486" s="14" t="s">
        <v>8663</v>
      </c>
      <c r="H1486" s="8"/>
      <c r="I1486" s="15">
        <v>0</v>
      </c>
      <c r="J1486" s="15">
        <v>0</v>
      </c>
      <c r="K1486" s="12" t="str">
        <f>HYPERLINK("http://twitter.com","Twitter Web Client")</f>
        <v>Twitter Web Client</v>
      </c>
      <c r="L1486" s="16">
        <v>0</v>
      </c>
      <c r="M1486" s="16">
        <v>35</v>
      </c>
      <c r="N1486" s="16">
        <v>0</v>
      </c>
      <c r="O1486" s="17"/>
      <c r="P1486" s="18">
        <v>41845.205185185187</v>
      </c>
      <c r="Q1486" s="7"/>
      <c r="R1486" s="13"/>
      <c r="S1486" s="8"/>
      <c r="T1486" s="8"/>
      <c r="U1486" s="19" t="str">
        <f>HYPERLINK("https://pbs.twimg.com/profile_images/492639692899119104/NeRqjc85.jpeg","View")</f>
        <v>View</v>
      </c>
      <c r="V1486" s="8"/>
      <c r="W1486" s="8"/>
      <c r="X1486" s="8"/>
      <c r="Y1486" s="8"/>
      <c r="Z1486" s="8"/>
    </row>
    <row r="1487" spans="1:26" ht="12.75">
      <c r="A1487" s="11">
        <v>43746.230462962965</v>
      </c>
      <c r="B1487" s="12" t="str">
        <f>HYPERLINK("https://twitter.com/mccarrennews","@mccarrennews")</f>
        <v>@mccarrennews</v>
      </c>
      <c r="C1487" s="7" t="s">
        <v>8667</v>
      </c>
      <c r="D1487" s="7" t="s">
        <v>8668</v>
      </c>
      <c r="E1487" s="12" t="str">
        <f>HYPERLINK("https://twitter.com/mccarrennews/status/1181547758894948353","1181547758894948353")</f>
        <v>1181547758894948353</v>
      </c>
      <c r="F1487" s="8"/>
      <c r="G1487" s="14" t="s">
        <v>8669</v>
      </c>
      <c r="H1487" s="8"/>
      <c r="I1487" s="15">
        <v>2</v>
      </c>
      <c r="J1487" s="15">
        <v>24</v>
      </c>
      <c r="K1487" s="12" t="str">
        <f>HYPERLINK("http://twitter.com/download/iphone","Twitter for iPhone")</f>
        <v>Twitter for iPhone</v>
      </c>
      <c r="L1487" s="16">
        <v>1969</v>
      </c>
      <c r="M1487" s="16">
        <v>1648</v>
      </c>
      <c r="N1487" s="16">
        <v>36</v>
      </c>
      <c r="O1487" s="17"/>
      <c r="P1487" s="18">
        <v>40597.279398148152</v>
      </c>
      <c r="Q1487" s="7" t="s">
        <v>8642</v>
      </c>
      <c r="R1487" s="7" t="s">
        <v>8672</v>
      </c>
      <c r="S1487" s="14" t="s">
        <v>8673</v>
      </c>
      <c r="T1487" s="8"/>
      <c r="U1487" s="19" t="str">
        <f>HYPERLINK("https://pbs.twimg.com/profile_images/683707501305573376/LBOlrA8e.png","View")</f>
        <v>View</v>
      </c>
      <c r="V1487" s="8"/>
      <c r="W1487" s="8"/>
      <c r="X1487" s="8"/>
      <c r="Y1487" s="8"/>
      <c r="Z1487" s="8"/>
    </row>
    <row r="1488" spans="1:26" ht="12.75">
      <c r="A1488" s="11">
        <v>43746.230196759258</v>
      </c>
      <c r="B1488" s="12" t="str">
        <f>HYPERLINK("https://twitter.com/elbatiaan33","@elbatiaan33")</f>
        <v>@elbatiaan33</v>
      </c>
      <c r="C1488" s="13" t="s">
        <v>8675</v>
      </c>
      <c r="D1488" s="7" t="s">
        <v>145</v>
      </c>
      <c r="E1488" s="12" t="str">
        <f>HYPERLINK("https://twitter.com/elbatiaan33/status/1181547661876432896","1181547661876432896")</f>
        <v>1181547661876432896</v>
      </c>
      <c r="F1488" s="8"/>
      <c r="G1488" s="14" t="s">
        <v>8678</v>
      </c>
      <c r="H1488" s="8"/>
      <c r="I1488" s="15">
        <v>0</v>
      </c>
      <c r="J1488" s="15">
        <v>0</v>
      </c>
      <c r="K1488" s="12" t="str">
        <f>HYPERLINK("http://twitter.com","Twitter Web Client")</f>
        <v>Twitter Web Client</v>
      </c>
      <c r="L1488" s="16">
        <v>1</v>
      </c>
      <c r="M1488" s="16">
        <v>44</v>
      </c>
      <c r="N1488" s="16">
        <v>0</v>
      </c>
      <c r="O1488" s="17"/>
      <c r="P1488" s="18">
        <v>42072.622881944444</v>
      </c>
      <c r="Q1488" s="7"/>
      <c r="R1488" s="13"/>
      <c r="S1488" s="8"/>
      <c r="T1488" s="8"/>
      <c r="U1488" s="19" t="str">
        <f>HYPERLINK("https://pbs.twimg.com/profile_images/575052990618333184/J-fhCaq4.jpeg","View")</f>
        <v>View</v>
      </c>
      <c r="V1488" s="8"/>
      <c r="W1488" s="8"/>
      <c r="X1488" s="8"/>
      <c r="Y1488" s="8"/>
      <c r="Z1488" s="8"/>
    </row>
    <row r="1489" spans="1:26" ht="12.75">
      <c r="A1489" s="11">
        <v>43746.228900462964</v>
      </c>
      <c r="B1489" s="12" t="str">
        <f>HYPERLINK("https://twitter.com/hhusseinhachm","@hhusseinhachm")</f>
        <v>@hhusseinhachm</v>
      </c>
      <c r="C1489" s="13" t="s">
        <v>8684</v>
      </c>
      <c r="D1489" s="7" t="s">
        <v>716</v>
      </c>
      <c r="E1489" s="12" t="str">
        <f>HYPERLINK("https://twitter.com/hhusseinhachm/status/1181547192215097345","1181547192215097345")</f>
        <v>1181547192215097345</v>
      </c>
      <c r="F1489" s="8"/>
      <c r="G1489" s="14" t="s">
        <v>8685</v>
      </c>
      <c r="H1489" s="8"/>
      <c r="I1489" s="15">
        <v>0</v>
      </c>
      <c r="J1489" s="15">
        <v>0</v>
      </c>
      <c r="K1489" s="12" t="str">
        <f>HYPERLINK("http://twitter.com","Twitter Web Client")</f>
        <v>Twitter Web Client</v>
      </c>
      <c r="L1489" s="16">
        <v>0</v>
      </c>
      <c r="M1489" s="16">
        <v>34</v>
      </c>
      <c r="N1489" s="16">
        <v>0</v>
      </c>
      <c r="O1489" s="17"/>
      <c r="P1489" s="18">
        <v>41843.537268518521</v>
      </c>
      <c r="Q1489" s="8"/>
      <c r="R1489" s="8"/>
      <c r="S1489" s="8"/>
      <c r="T1489" s="8"/>
      <c r="U1489" s="19" t="str">
        <f>HYPERLINK("https://pbs.twimg.com/profile_images/492035082517884928/4yYCMEDB.jpeg","View")</f>
        <v>View</v>
      </c>
      <c r="V1489" s="8"/>
      <c r="W1489" s="8"/>
      <c r="X1489" s="8"/>
      <c r="Y1489" s="8"/>
      <c r="Z1489" s="8"/>
    </row>
    <row r="1490" spans="1:26" ht="12.75">
      <c r="A1490" s="11">
        <v>43746.228252314817</v>
      </c>
      <c r="B1490" s="12" t="str">
        <f>HYPERLINK("https://twitter.com/alialdosaria1","@alialdosaria1")</f>
        <v>@alialdosaria1</v>
      </c>
      <c r="C1490" s="13" t="s">
        <v>8688</v>
      </c>
      <c r="D1490" s="13" t="s">
        <v>722</v>
      </c>
      <c r="E1490" s="12" t="str">
        <f>HYPERLINK("https://twitter.com/alialdosaria1/status/1181546958848233472","1181546958848233472")</f>
        <v>1181546958848233472</v>
      </c>
      <c r="F1490" s="8"/>
      <c r="G1490" s="14" t="s">
        <v>8689</v>
      </c>
      <c r="H1490" s="8"/>
      <c r="I1490" s="15">
        <v>0</v>
      </c>
      <c r="J1490" s="15">
        <v>0</v>
      </c>
      <c r="K1490" s="12" t="str">
        <f>HYPERLINK("http://twitter.com","Twitter Web Client")</f>
        <v>Twitter Web Client</v>
      </c>
      <c r="L1490" s="16">
        <v>2</v>
      </c>
      <c r="M1490" s="16">
        <v>35</v>
      </c>
      <c r="N1490" s="16">
        <v>0</v>
      </c>
      <c r="O1490" s="17"/>
      <c r="P1490" s="18">
        <v>41827.265439814815</v>
      </c>
      <c r="Q1490" s="8"/>
      <c r="R1490" s="8"/>
      <c r="S1490" s="8"/>
      <c r="T1490" s="8"/>
      <c r="U1490" s="19" t="str">
        <f>HYPERLINK("https://pbs.twimg.com/profile_images/486141092610314241/CPmExrGz.jpeg","View")</f>
        <v>View</v>
      </c>
      <c r="V1490" s="8"/>
      <c r="W1490" s="8"/>
      <c r="X1490" s="8"/>
      <c r="Y1490" s="8"/>
      <c r="Z1490" s="8"/>
    </row>
    <row r="1491" spans="1:26" ht="12.75">
      <c r="A1491" s="11">
        <v>43746.225543981476</v>
      </c>
      <c r="B1491" s="12" t="str">
        <f>HYPERLINK("https://twitter.com/alma7m89789","@alma7m89789")</f>
        <v>@alma7m89789</v>
      </c>
      <c r="C1491" s="13" t="s">
        <v>8695</v>
      </c>
      <c r="D1491" s="13" t="s">
        <v>3938</v>
      </c>
      <c r="E1491" s="12" t="str">
        <f>HYPERLINK("https://twitter.com/alma7m89789/status/1181545978517696513","1181545978517696513")</f>
        <v>1181545978517696513</v>
      </c>
      <c r="F1491" s="8"/>
      <c r="G1491" s="14" t="s">
        <v>8698</v>
      </c>
      <c r="H1491" s="8"/>
      <c r="I1491" s="15">
        <v>0</v>
      </c>
      <c r="J1491" s="15">
        <v>0</v>
      </c>
      <c r="K1491" s="12" t="str">
        <f>HYPERLINK("http://twitter.com","Twitter Web Client")</f>
        <v>Twitter Web Client</v>
      </c>
      <c r="L1491" s="16">
        <v>2</v>
      </c>
      <c r="M1491" s="16">
        <v>40</v>
      </c>
      <c r="N1491" s="16">
        <v>0</v>
      </c>
      <c r="O1491" s="17"/>
      <c r="P1491" s="18">
        <v>42082.41814814815</v>
      </c>
      <c r="Q1491" s="8"/>
      <c r="R1491" s="8"/>
      <c r="S1491" s="8"/>
      <c r="T1491" s="8"/>
      <c r="U1491" s="19" t="str">
        <f>HYPERLINK("https://pbs.twimg.com/profile_images/578602613786091520/L7fipZSJ.jpeg","View")</f>
        <v>View</v>
      </c>
      <c r="V1491" s="8"/>
      <c r="W1491" s="8"/>
      <c r="X1491" s="8"/>
      <c r="Y1491" s="8"/>
      <c r="Z1491" s="8"/>
    </row>
    <row r="1492" spans="1:26" ht="12.75">
      <c r="A1492" s="11">
        <v>43746.222256944442</v>
      </c>
      <c r="B1492" s="12" t="str">
        <f>HYPERLINK("https://twitter.com/CAllstadt","@CAllstadt")</f>
        <v>@CAllstadt</v>
      </c>
      <c r="C1492" s="13" t="s">
        <v>8702</v>
      </c>
      <c r="D1492" s="13" t="s">
        <v>8703</v>
      </c>
      <c r="E1492" s="12" t="str">
        <f>HYPERLINK("https://twitter.com/CAllstadt/status/1181544784218988546","1181544784218988546")</f>
        <v>1181544784218988546</v>
      </c>
      <c r="F1492" s="14" t="s">
        <v>8704</v>
      </c>
      <c r="G1492" s="15"/>
      <c r="H1492" s="8"/>
      <c r="I1492" s="15">
        <v>0</v>
      </c>
      <c r="J1492" s="15">
        <v>1</v>
      </c>
      <c r="K1492" s="12" t="str">
        <f>HYPERLINK("http://twitter.com/download/iphone","Twitter for iPhone")</f>
        <v>Twitter for iPhone</v>
      </c>
      <c r="L1492" s="16">
        <v>54284</v>
      </c>
      <c r="M1492" s="16">
        <v>48267</v>
      </c>
      <c r="N1492" s="16">
        <v>2337</v>
      </c>
      <c r="O1492" s="17"/>
      <c r="P1492" s="18">
        <v>40997.142268518517</v>
      </c>
      <c r="Q1492" s="8" t="s">
        <v>5074</v>
      </c>
      <c r="R1492" s="8" t="s">
        <v>8705</v>
      </c>
      <c r="S1492" s="8"/>
      <c r="T1492" s="8"/>
      <c r="U1492" s="19" t="str">
        <f>HYPERLINK("https://pbs.twimg.com/profile_images/1167161206035177472/eJ6nCeAq.jpg","View")</f>
        <v>View</v>
      </c>
      <c r="V1492" s="8"/>
      <c r="W1492" s="8"/>
      <c r="X1492" s="8"/>
      <c r="Y1492" s="8"/>
      <c r="Z1492" s="8"/>
    </row>
    <row r="1493" spans="1:26" ht="12.75">
      <c r="A1493" s="11">
        <v>43746.216562500005</v>
      </c>
      <c r="B1493" s="12" t="str">
        <f>HYPERLINK("https://twitter.com/ghalialsh","@ghalialsh")</f>
        <v>@ghalialsh</v>
      </c>
      <c r="C1493" s="13" t="s">
        <v>8706</v>
      </c>
      <c r="D1493" s="13" t="s">
        <v>203</v>
      </c>
      <c r="E1493" s="12" t="str">
        <f>HYPERLINK("https://twitter.com/ghalialsh/status/1181542720868929536","1181542720868929536")</f>
        <v>1181542720868929536</v>
      </c>
      <c r="F1493" s="8"/>
      <c r="G1493" s="14" t="s">
        <v>8707</v>
      </c>
      <c r="H1493" s="8"/>
      <c r="I1493" s="15">
        <v>0</v>
      </c>
      <c r="J1493" s="15">
        <v>1</v>
      </c>
      <c r="K1493" s="12" t="str">
        <f>HYPERLINK("http://twitter.com","Twitter Web Client")</f>
        <v>Twitter Web Client</v>
      </c>
      <c r="L1493" s="16">
        <v>8</v>
      </c>
      <c r="M1493" s="16">
        <v>36</v>
      </c>
      <c r="N1493" s="16">
        <v>0</v>
      </c>
      <c r="O1493" s="17"/>
      <c r="P1493" s="18">
        <v>42022.183634259258</v>
      </c>
      <c r="Q1493" s="8"/>
      <c r="R1493" s="8"/>
      <c r="S1493" s="8"/>
      <c r="T1493" s="8"/>
      <c r="U1493" s="19" t="str">
        <f>HYPERLINK("https://pbs.twimg.com/profile_images/556789369487388674/pMCWLekd.jpeg","View")</f>
        <v>View</v>
      </c>
      <c r="V1493" s="8"/>
      <c r="W1493" s="8"/>
      <c r="X1493" s="8"/>
      <c r="Y1493" s="8"/>
      <c r="Z1493" s="8"/>
    </row>
    <row r="1494" spans="1:26" ht="12.75">
      <c r="A1494" s="11">
        <v>43746.21503472222</v>
      </c>
      <c r="B1494" s="12" t="str">
        <f>HYPERLINK("https://twitter.com/alshbaiy","@alshbaiy")</f>
        <v>@alshbaiy</v>
      </c>
      <c r="C1494" s="13" t="s">
        <v>8711</v>
      </c>
      <c r="D1494" s="13" t="s">
        <v>8712</v>
      </c>
      <c r="E1494" s="12" t="str">
        <f>HYPERLINK("https://twitter.com/alshbaiy/status/1181542167581515776","1181542167581515776")</f>
        <v>1181542167581515776</v>
      </c>
      <c r="F1494" s="8"/>
      <c r="G1494" s="14" t="s">
        <v>8713</v>
      </c>
      <c r="H1494" s="8"/>
      <c r="I1494" s="15">
        <v>0</v>
      </c>
      <c r="J1494" s="15">
        <v>0</v>
      </c>
      <c r="K1494" s="12" t="str">
        <f>HYPERLINK("http://twitter.com","Twitter Web Client")</f>
        <v>Twitter Web Client</v>
      </c>
      <c r="L1494" s="16">
        <v>3</v>
      </c>
      <c r="M1494" s="16">
        <v>37</v>
      </c>
      <c r="N1494" s="16">
        <v>0</v>
      </c>
      <c r="O1494" s="17"/>
      <c r="P1494" s="18">
        <v>42073.272951388892</v>
      </c>
      <c r="Q1494" s="7"/>
      <c r="R1494" s="13"/>
      <c r="S1494" s="8"/>
      <c r="T1494" s="8"/>
      <c r="U1494" s="19" t="str">
        <f>HYPERLINK("https://pbs.twimg.com/profile_images/575433959221293057/uTP-ubhW.jpeg","View")</f>
        <v>View</v>
      </c>
      <c r="V1494" s="8"/>
      <c r="W1494" s="8"/>
      <c r="X1494" s="8"/>
      <c r="Y1494" s="8"/>
      <c r="Z1494" s="8"/>
    </row>
    <row r="1495" spans="1:26" ht="12.75">
      <c r="A1495" s="11">
        <v>43746.213090277779</v>
      </c>
      <c r="B1495" s="12" t="str">
        <f>HYPERLINK("https://twitter.com/eltariry9_xx","@eltariry9_xx")</f>
        <v>@eltariry9_xx</v>
      </c>
      <c r="C1495" s="13" t="s">
        <v>8721</v>
      </c>
      <c r="D1495" s="13" t="s">
        <v>8722</v>
      </c>
      <c r="E1495" s="12" t="str">
        <f>HYPERLINK("https://twitter.com/eltariry9_xx/status/1181541461428449280","1181541461428449280")</f>
        <v>1181541461428449280</v>
      </c>
      <c r="F1495" s="8"/>
      <c r="G1495" s="14" t="s">
        <v>8724</v>
      </c>
      <c r="H1495" s="8"/>
      <c r="I1495" s="15">
        <v>0</v>
      </c>
      <c r="J1495" s="15">
        <v>0</v>
      </c>
      <c r="K1495" s="12" t="str">
        <f>HYPERLINK("http://twitter.com","Twitter Web Client")</f>
        <v>Twitter Web Client</v>
      </c>
      <c r="L1495" s="16">
        <v>6</v>
      </c>
      <c r="M1495" s="16">
        <v>40</v>
      </c>
      <c r="N1495" s="16">
        <v>0</v>
      </c>
      <c r="O1495" s="17"/>
      <c r="P1495" s="18">
        <v>42075.18649305556</v>
      </c>
      <c r="Q1495" s="8"/>
      <c r="R1495" s="8"/>
      <c r="S1495" s="8"/>
      <c r="T1495" s="8"/>
      <c r="U1495" s="19" t="str">
        <f>HYPERLINK("https://pbs.twimg.com/profile_images/575981800910016512/VmUFL9Bg.jpeg","View")</f>
        <v>View</v>
      </c>
      <c r="V1495" s="8"/>
      <c r="W1495" s="8"/>
      <c r="X1495" s="8"/>
      <c r="Y1495" s="8"/>
      <c r="Z1495" s="8"/>
    </row>
    <row r="1496" spans="1:26" ht="12.75">
      <c r="A1496" s="11">
        <v>43746.21199074074</v>
      </c>
      <c r="B1496" s="12" t="str">
        <f>HYPERLINK("https://twitter.com/abdulla41654795","@abdulla41654795")</f>
        <v>@abdulla41654795</v>
      </c>
      <c r="C1496" s="7" t="s">
        <v>8727</v>
      </c>
      <c r="D1496" s="7" t="s">
        <v>806</v>
      </c>
      <c r="E1496" s="12" t="str">
        <f>HYPERLINK("https://twitter.com/abdulla41654795/status/1181541066618671105","1181541066618671105")</f>
        <v>1181541066618671105</v>
      </c>
      <c r="F1496" s="8"/>
      <c r="G1496" s="14" t="s">
        <v>8729</v>
      </c>
      <c r="H1496" s="8"/>
      <c r="I1496" s="15">
        <v>0</v>
      </c>
      <c r="J1496" s="15">
        <v>0</v>
      </c>
      <c r="K1496" s="12" t="str">
        <f>HYPERLINK("http://twitter.com","Twitter Web Client")</f>
        <v>Twitter Web Client</v>
      </c>
      <c r="L1496" s="16">
        <v>4</v>
      </c>
      <c r="M1496" s="16">
        <v>36</v>
      </c>
      <c r="N1496" s="16">
        <v>0</v>
      </c>
      <c r="O1496" s="17"/>
      <c r="P1496" s="18">
        <v>42068.213634259257</v>
      </c>
      <c r="Q1496" s="8"/>
      <c r="R1496" s="8"/>
      <c r="S1496" s="8"/>
      <c r="T1496" s="8"/>
      <c r="U1496" s="19" t="str">
        <f>HYPERLINK("https://pbs.twimg.com/profile_images/573470149715435520/KxEJg8qJ.jpeg","View")</f>
        <v>View</v>
      </c>
      <c r="V1496" s="8"/>
      <c r="W1496" s="8"/>
      <c r="X1496" s="8"/>
      <c r="Y1496" s="8"/>
      <c r="Z1496" s="8"/>
    </row>
    <row r="1497" spans="1:26" ht="12.75">
      <c r="A1497" s="11">
        <v>43746.211516203708</v>
      </c>
      <c r="B1497" s="12" t="str">
        <f>HYPERLINK("https://twitter.com/aboaliie456","@aboaliie456")</f>
        <v>@aboaliie456</v>
      </c>
      <c r="C1497" s="13" t="s">
        <v>8733</v>
      </c>
      <c r="D1497" s="13" t="s">
        <v>1907</v>
      </c>
      <c r="E1497" s="12" t="str">
        <f>HYPERLINK("https://twitter.com/aboaliie456/status/1181540892001341441","1181540892001341441")</f>
        <v>1181540892001341441</v>
      </c>
      <c r="F1497" s="8"/>
      <c r="G1497" s="14" t="s">
        <v>8735</v>
      </c>
      <c r="H1497" s="8"/>
      <c r="I1497" s="15">
        <v>0</v>
      </c>
      <c r="J1497" s="15">
        <v>0</v>
      </c>
      <c r="K1497" s="12" t="str">
        <f>HYPERLINK("http://twitter.com","Twitter Web Client")</f>
        <v>Twitter Web Client</v>
      </c>
      <c r="L1497" s="16">
        <v>4</v>
      </c>
      <c r="M1497" s="16">
        <v>45</v>
      </c>
      <c r="N1497" s="16">
        <v>0</v>
      </c>
      <c r="O1497" s="17"/>
      <c r="P1497" s="18">
        <v>42070.212060185186</v>
      </c>
      <c r="Q1497" s="8"/>
      <c r="R1497" s="8"/>
      <c r="S1497" s="8"/>
      <c r="T1497" s="8"/>
      <c r="U1497" s="19" t="str">
        <f>HYPERLINK("https://pbs.twimg.com/profile_images/574194238176391169/Tj8vi-eD.jpeg","View")</f>
        <v>View</v>
      </c>
      <c r="V1497" s="8"/>
      <c r="W1497" s="8"/>
      <c r="X1497" s="8"/>
      <c r="Y1497" s="8"/>
      <c r="Z1497" s="8"/>
    </row>
    <row r="1498" spans="1:26" ht="12.75">
      <c r="A1498" s="11">
        <v>43746.2028125</v>
      </c>
      <c r="B1498" s="12" t="str">
        <f>HYPERLINK("https://twitter.com/yahyalfaifiea","@yahyalfaifiea")</f>
        <v>@yahyalfaifiea</v>
      </c>
      <c r="C1498" s="13" t="s">
        <v>8812</v>
      </c>
      <c r="D1498" s="7" t="s">
        <v>255</v>
      </c>
      <c r="E1498" s="12" t="str">
        <f>HYPERLINK("https://twitter.com/yahyalfaifiea/status/1181537737381425153","1181537737381425153")</f>
        <v>1181537737381425153</v>
      </c>
      <c r="F1498" s="8"/>
      <c r="G1498" s="14" t="s">
        <v>8813</v>
      </c>
      <c r="H1498" s="8"/>
      <c r="I1498" s="15">
        <v>0</v>
      </c>
      <c r="J1498" s="15">
        <v>0</v>
      </c>
      <c r="K1498" s="12" t="str">
        <f>HYPERLINK("http://twitter.com","Twitter Web Client")</f>
        <v>Twitter Web Client</v>
      </c>
      <c r="L1498" s="16">
        <v>0</v>
      </c>
      <c r="M1498" s="16">
        <v>37</v>
      </c>
      <c r="N1498" s="16">
        <v>0</v>
      </c>
      <c r="O1498" s="17"/>
      <c r="P1498" s="18">
        <v>42078.457418981481</v>
      </c>
      <c r="Q1498" s="7"/>
      <c r="R1498" s="13"/>
      <c r="S1498" s="8"/>
      <c r="T1498" s="8"/>
      <c r="U1498" s="19" t="str">
        <f>HYPERLINK("https://pbs.twimg.com/profile_images/577168477942722561/oRc8jtok.jpeg","View")</f>
        <v>View</v>
      </c>
      <c r="V1498" s="8"/>
      <c r="W1498" s="8"/>
      <c r="X1498" s="8"/>
      <c r="Y1498" s="8"/>
      <c r="Z1498" s="8"/>
    </row>
    <row r="1499" spans="1:26" ht="12.75">
      <c r="A1499" s="11">
        <v>43746.199606481481</v>
      </c>
      <c r="B1499" s="12" t="str">
        <f>HYPERLINK("https://twitter.com/ohiblan","@ohiblan")</f>
        <v>@ohiblan</v>
      </c>
      <c r="C1499" s="13" t="s">
        <v>8815</v>
      </c>
      <c r="D1499" s="7" t="s">
        <v>8816</v>
      </c>
      <c r="E1499" s="12" t="str">
        <f>HYPERLINK("https://twitter.com/ohiblan/status/1181536578818265089","1181536578818265089")</f>
        <v>1181536578818265089</v>
      </c>
      <c r="F1499" s="8"/>
      <c r="G1499" s="14" t="s">
        <v>8817</v>
      </c>
      <c r="H1499" s="8"/>
      <c r="I1499" s="15">
        <v>0</v>
      </c>
      <c r="J1499" s="15">
        <v>0</v>
      </c>
      <c r="K1499" s="12" t="str">
        <f>HYPERLINK("http://twitter.com","Twitter Web Client")</f>
        <v>Twitter Web Client</v>
      </c>
      <c r="L1499" s="16">
        <v>362</v>
      </c>
      <c r="M1499" s="16">
        <v>35</v>
      </c>
      <c r="N1499" s="16">
        <v>0</v>
      </c>
      <c r="O1499" s="17"/>
      <c r="P1499" s="18">
        <v>42069.740173611106</v>
      </c>
      <c r="Q1499" s="7"/>
      <c r="R1499" s="13"/>
      <c r="S1499" s="8"/>
      <c r="T1499" s="8"/>
      <c r="U1499" s="19" t="str">
        <f>HYPERLINK("https://pbs.twimg.com/profile_images/574023539289800704/rVrCtSe9.jpeg","View")</f>
        <v>View</v>
      </c>
      <c r="V1499" s="8"/>
      <c r="W1499" s="8"/>
      <c r="X1499" s="8"/>
      <c r="Y1499" s="8"/>
      <c r="Z1499" s="8"/>
    </row>
    <row r="1500" spans="1:26" ht="12.75">
      <c r="A1500" s="11">
        <v>43746.199467592596</v>
      </c>
      <c r="B1500" s="12" t="str">
        <f>HYPERLINK("https://twitter.com/ahmedaw32111243","@ahmedaw32111243")</f>
        <v>@ahmedaw32111243</v>
      </c>
      <c r="C1500" s="13" t="s">
        <v>8818</v>
      </c>
      <c r="D1500" s="13" t="s">
        <v>1998</v>
      </c>
      <c r="E1500" s="12" t="str">
        <f>HYPERLINK("https://twitter.com/ahmedaw32111243/status/1181536526410407936","1181536526410407936")</f>
        <v>1181536526410407936</v>
      </c>
      <c r="F1500" s="8"/>
      <c r="G1500" s="14" t="s">
        <v>8819</v>
      </c>
      <c r="H1500" s="8"/>
      <c r="I1500" s="15">
        <v>0</v>
      </c>
      <c r="J1500" s="15">
        <v>0</v>
      </c>
      <c r="K1500" s="12" t="str">
        <f>HYPERLINK("http://twitter.com","Twitter Web Client")</f>
        <v>Twitter Web Client</v>
      </c>
      <c r="L1500" s="16">
        <v>0</v>
      </c>
      <c r="M1500" s="16">
        <v>42</v>
      </c>
      <c r="N1500" s="16">
        <v>0</v>
      </c>
      <c r="O1500" s="17"/>
      <c r="P1500" s="18">
        <v>42071.055995370371</v>
      </c>
      <c r="Q1500" s="8"/>
      <c r="R1500" s="8"/>
      <c r="S1500" s="8"/>
      <c r="T1500" s="8"/>
      <c r="U1500" s="19" t="str">
        <f>HYPERLINK("https://pbs.twimg.com/profile_images/574500455268511745/laaDmWzc.jpeg","View")</f>
        <v>View</v>
      </c>
      <c r="V1500" s="8"/>
      <c r="W1500" s="8"/>
      <c r="X1500" s="8"/>
      <c r="Y1500" s="8"/>
      <c r="Z1500" s="8"/>
    </row>
    <row r="1501" spans="1:26" ht="12.75">
      <c r="A1501" s="11">
        <v>43746.198287037041</v>
      </c>
      <c r="B1501" s="12" t="str">
        <f>HYPERLINK("https://twitter.com/Mohammed55415","@Mohammed55415")</f>
        <v>@Mohammed55415</v>
      </c>
      <c r="C1501" s="13" t="s">
        <v>8823</v>
      </c>
      <c r="D1501" s="13" t="s">
        <v>284</v>
      </c>
      <c r="E1501" s="12" t="str">
        <f>HYPERLINK("https://twitter.com/Mohammed55415/status/1181536099677724677","1181536099677724677")</f>
        <v>1181536099677724677</v>
      </c>
      <c r="F1501" s="8"/>
      <c r="G1501" s="14" t="s">
        <v>8824</v>
      </c>
      <c r="H1501" s="8"/>
      <c r="I1501" s="15">
        <v>0</v>
      </c>
      <c r="J1501" s="15">
        <v>0</v>
      </c>
      <c r="K1501" s="12" t="str">
        <f>HYPERLINK("http://twitter.com","Twitter Web Client")</f>
        <v>Twitter Web Client</v>
      </c>
      <c r="L1501" s="16">
        <v>3</v>
      </c>
      <c r="M1501" s="16">
        <v>36</v>
      </c>
      <c r="N1501" s="16">
        <v>0</v>
      </c>
      <c r="O1501" s="17"/>
      <c r="P1501" s="18">
        <v>42009.615173611106</v>
      </c>
      <c r="Q1501" s="8"/>
      <c r="R1501" s="8"/>
      <c r="S1501" s="8"/>
      <c r="T1501" s="8"/>
      <c r="U1501" s="19" t="str">
        <f>HYPERLINK("https://pbs.twimg.com/profile_images/552234610893938688/sicRualo.jpeg","View")</f>
        <v>View</v>
      </c>
      <c r="V1501" s="8"/>
      <c r="W1501" s="8"/>
      <c r="X1501" s="8"/>
      <c r="Y1501" s="8"/>
      <c r="Z1501" s="8"/>
    </row>
    <row r="1502" spans="1:26" ht="12.75">
      <c r="A1502" s="11">
        <v>43746.197280092594</v>
      </c>
      <c r="B1502" s="12" t="str">
        <f>HYPERLINK("https://twitter.com/abdulla94590826","@abdulla94590826")</f>
        <v>@abdulla94590826</v>
      </c>
      <c r="C1502" s="13" t="s">
        <v>8828</v>
      </c>
      <c r="D1502" s="13" t="s">
        <v>8829</v>
      </c>
      <c r="E1502" s="12" t="str">
        <f>HYPERLINK("https://twitter.com/abdulla94590826/status/1181535732533534727","1181535732533534727")</f>
        <v>1181535732533534727</v>
      </c>
      <c r="F1502" s="8"/>
      <c r="G1502" s="14" t="s">
        <v>8831</v>
      </c>
      <c r="H1502" s="8"/>
      <c r="I1502" s="15">
        <v>0</v>
      </c>
      <c r="J1502" s="15">
        <v>0</v>
      </c>
      <c r="K1502" s="12" t="str">
        <f>HYPERLINK("http://twitter.com","Twitter Web Client")</f>
        <v>Twitter Web Client</v>
      </c>
      <c r="L1502" s="16">
        <v>11</v>
      </c>
      <c r="M1502" s="16">
        <v>41</v>
      </c>
      <c r="N1502" s="16">
        <v>0</v>
      </c>
      <c r="O1502" s="17"/>
      <c r="P1502" s="18">
        <v>42268.745694444442</v>
      </c>
      <c r="Q1502" s="8"/>
      <c r="R1502" s="8"/>
      <c r="S1502" s="8"/>
      <c r="T1502" s="8"/>
      <c r="U1502" s="19" t="str">
        <f>HYPERLINK("https://pbs.twimg.com/profile_images/646332656020361217/c0GQUoX4.jpg","View")</f>
        <v>View</v>
      </c>
      <c r="V1502" s="8"/>
      <c r="W1502" s="8"/>
      <c r="X1502" s="8"/>
      <c r="Y1502" s="8"/>
      <c r="Z1502" s="8"/>
    </row>
    <row r="1503" spans="1:26" ht="12.75">
      <c r="A1503" s="11">
        <v>43746.196863425925</v>
      </c>
      <c r="B1503" s="12" t="str">
        <f>HYPERLINK("https://twitter.com/reahaile","@reahaile")</f>
        <v>@reahaile</v>
      </c>
      <c r="C1503" s="13" t="s">
        <v>8836</v>
      </c>
      <c r="D1503" s="13" t="s">
        <v>880</v>
      </c>
      <c r="E1503" s="12" t="str">
        <f>HYPERLINK("https://twitter.com/reahaile/status/1181535582251622400","1181535582251622400")</f>
        <v>1181535582251622400</v>
      </c>
      <c r="F1503" s="8"/>
      <c r="G1503" s="14" t="s">
        <v>8837</v>
      </c>
      <c r="H1503" s="8"/>
      <c r="I1503" s="15">
        <v>0</v>
      </c>
      <c r="J1503" s="15">
        <v>0</v>
      </c>
      <c r="K1503" s="12" t="str">
        <f>HYPERLINK("http://twitter.com","Twitter Web Client")</f>
        <v>Twitter Web Client</v>
      </c>
      <c r="L1503" s="16">
        <v>2</v>
      </c>
      <c r="M1503" s="16">
        <v>35</v>
      </c>
      <c r="N1503" s="16">
        <v>0</v>
      </c>
      <c r="O1503" s="17"/>
      <c r="P1503" s="18">
        <v>42077.330578703702</v>
      </c>
      <c r="Q1503" s="8"/>
      <c r="R1503" s="8"/>
      <c r="S1503" s="8"/>
      <c r="T1503" s="8"/>
      <c r="U1503" s="19" t="str">
        <f>HYPERLINK("https://pbs.twimg.com/profile_images/576760615282212865/osfg3N5r.jpeg","View")</f>
        <v>View</v>
      </c>
      <c r="V1503" s="8"/>
      <c r="W1503" s="8"/>
      <c r="X1503" s="8"/>
      <c r="Y1503" s="8"/>
      <c r="Z1503" s="8"/>
    </row>
    <row r="1504" spans="1:26" ht="12.75">
      <c r="A1504" s="11">
        <v>43746.196122685185</v>
      </c>
      <c r="B1504" s="12" t="str">
        <f>HYPERLINK("https://twitter.com/ideguem","@ideguem")</f>
        <v>@ideguem</v>
      </c>
      <c r="C1504" s="13" t="s">
        <v>8838</v>
      </c>
      <c r="D1504" s="7" t="s">
        <v>312</v>
      </c>
      <c r="E1504" s="12" t="str">
        <f>HYPERLINK("https://twitter.com/ideguem/status/1181535313551863808","1181535313551863808")</f>
        <v>1181535313551863808</v>
      </c>
      <c r="F1504" s="8"/>
      <c r="G1504" s="14" t="s">
        <v>8839</v>
      </c>
      <c r="H1504" s="8"/>
      <c r="I1504" s="15">
        <v>0</v>
      </c>
      <c r="J1504" s="15">
        <v>0</v>
      </c>
      <c r="K1504" s="12" t="str">
        <f>HYPERLINK("http://twitter.com","Twitter Web Client")</f>
        <v>Twitter Web Client</v>
      </c>
      <c r="L1504" s="16">
        <v>6</v>
      </c>
      <c r="M1504" s="16">
        <v>36</v>
      </c>
      <c r="N1504" s="16">
        <v>0</v>
      </c>
      <c r="O1504" s="17"/>
      <c r="P1504" s="18">
        <v>42070.209409722222</v>
      </c>
      <c r="Q1504" s="7"/>
      <c r="R1504" s="13"/>
      <c r="S1504" s="8"/>
      <c r="T1504" s="8"/>
      <c r="U1504" s="19" t="str">
        <f>HYPERLINK("https://pbs.twimg.com/profile_images/574194215686549504/Bk9fNa4A.jpeg","View")</f>
        <v>View</v>
      </c>
      <c r="V1504" s="8"/>
      <c r="W1504" s="8"/>
      <c r="X1504" s="8"/>
      <c r="Y1504" s="8"/>
      <c r="Z1504" s="8"/>
    </row>
    <row r="1505" spans="1:26" ht="12.75">
      <c r="A1505" s="11">
        <v>43746.195706018523</v>
      </c>
      <c r="B1505" s="12" t="str">
        <f>HYPERLINK("https://twitter.com/solomoneaolt","@solomoneaolt")</f>
        <v>@solomoneaolt</v>
      </c>
      <c r="C1505" s="13" t="s">
        <v>8840</v>
      </c>
      <c r="D1505" s="13" t="s">
        <v>2046</v>
      </c>
      <c r="E1505" s="12" t="str">
        <f>HYPERLINK("https://twitter.com/solomoneaolt/status/1181535164792524801","1181535164792524801")</f>
        <v>1181535164792524801</v>
      </c>
      <c r="F1505" s="8"/>
      <c r="G1505" s="14" t="s">
        <v>8841</v>
      </c>
      <c r="H1505" s="8"/>
      <c r="I1505" s="15">
        <v>0</v>
      </c>
      <c r="J1505" s="15">
        <v>0</v>
      </c>
      <c r="K1505" s="12" t="str">
        <f>HYPERLINK("http://twitter.com","Twitter Web Client")</f>
        <v>Twitter Web Client</v>
      </c>
      <c r="L1505" s="16">
        <v>1</v>
      </c>
      <c r="M1505" s="16">
        <v>32</v>
      </c>
      <c r="N1505" s="16">
        <v>0</v>
      </c>
      <c r="O1505" s="17"/>
      <c r="P1505" s="18">
        <v>42084.660115740742</v>
      </c>
      <c r="Q1505" s="8"/>
      <c r="R1505" s="8"/>
      <c r="S1505" s="8"/>
      <c r="T1505" s="8"/>
      <c r="U1505" s="19" t="str">
        <f>HYPERLINK("https://pbs.twimg.com/profile_images/579415490554130433/XjEsNSq8.jpg","View")</f>
        <v>View</v>
      </c>
      <c r="V1505" s="8"/>
      <c r="W1505" s="8"/>
      <c r="X1505" s="8"/>
      <c r="Y1505" s="8"/>
      <c r="Z1505" s="8"/>
    </row>
    <row r="1506" spans="1:26" ht="12.75">
      <c r="A1506" s="11">
        <v>43746.19430555556</v>
      </c>
      <c r="B1506" s="12" t="str">
        <f>HYPERLINK("https://twitter.com/alsa3alabiie342","@alsa3alabiie342")</f>
        <v>@alsa3alabiie342</v>
      </c>
      <c r="C1506" s="13" t="s">
        <v>8842</v>
      </c>
      <c r="D1506" s="13" t="s">
        <v>932</v>
      </c>
      <c r="E1506" s="12" t="str">
        <f>HYPERLINK("https://twitter.com/alsa3alabiie342/status/1181534657692815360","1181534657692815360")</f>
        <v>1181534657692815360</v>
      </c>
      <c r="F1506" s="8"/>
      <c r="G1506" s="14" t="s">
        <v>8843</v>
      </c>
      <c r="H1506" s="8"/>
      <c r="I1506" s="15">
        <v>0</v>
      </c>
      <c r="J1506" s="15">
        <v>0</v>
      </c>
      <c r="K1506" s="12" t="str">
        <f>HYPERLINK("http://twitter.com","Twitter Web Client")</f>
        <v>Twitter Web Client</v>
      </c>
      <c r="L1506" s="16">
        <v>6</v>
      </c>
      <c r="M1506" s="16">
        <v>36</v>
      </c>
      <c r="N1506" s="16">
        <v>0</v>
      </c>
      <c r="O1506" s="17"/>
      <c r="P1506" s="18">
        <v>42073.198946759258</v>
      </c>
      <c r="Q1506" s="8"/>
      <c r="R1506" s="8"/>
      <c r="S1506" s="8"/>
      <c r="T1506" s="8"/>
      <c r="U1506" s="19" t="str">
        <f>HYPERLINK("https://pbs.twimg.com/profile_images/575261620009463808/_spHXrtW.jpeg","View")</f>
        <v>View</v>
      </c>
      <c r="V1506" s="8"/>
      <c r="W1506" s="8"/>
      <c r="X1506" s="8"/>
      <c r="Y1506" s="8"/>
      <c r="Z1506" s="8"/>
    </row>
    <row r="1507" spans="1:26" ht="12.75">
      <c r="A1507" s="11">
        <v>43746.193749999999</v>
      </c>
      <c r="B1507" s="12" t="str">
        <f>HYPERLINK("https://twitter.com/moshbabalmorsh2","@moshbabalmorsh2")</f>
        <v>@moshbabalmorsh2</v>
      </c>
      <c r="C1507" s="13" t="s">
        <v>8844</v>
      </c>
      <c r="D1507" s="7" t="s">
        <v>2053</v>
      </c>
      <c r="E1507" s="12" t="str">
        <f>HYPERLINK("https://twitter.com/moshbabalmorsh2/status/1181534454793342976","1181534454793342976")</f>
        <v>1181534454793342976</v>
      </c>
      <c r="F1507" s="8"/>
      <c r="G1507" s="14" t="s">
        <v>8846</v>
      </c>
      <c r="H1507" s="8"/>
      <c r="I1507" s="15">
        <v>0</v>
      </c>
      <c r="J1507" s="15">
        <v>0</v>
      </c>
      <c r="K1507" s="12" t="str">
        <f>HYPERLINK("http://twitter.com","Twitter Web Client")</f>
        <v>Twitter Web Client</v>
      </c>
      <c r="L1507" s="16">
        <v>10</v>
      </c>
      <c r="M1507" s="16">
        <v>36</v>
      </c>
      <c r="N1507" s="16">
        <v>0</v>
      </c>
      <c r="O1507" s="17"/>
      <c r="P1507" s="18">
        <v>42071.620798611111</v>
      </c>
      <c r="Q1507" s="8"/>
      <c r="R1507" s="8"/>
      <c r="S1507" s="8"/>
      <c r="T1507" s="8"/>
      <c r="U1507" s="19" t="str">
        <f>HYPERLINK("https://pbs.twimg.com/profile_images/574710537675612160/2YNUULHC.jpeg","View")</f>
        <v>View</v>
      </c>
      <c r="V1507" s="8"/>
      <c r="W1507" s="8"/>
      <c r="X1507" s="8"/>
      <c r="Y1507" s="8"/>
      <c r="Z1507" s="8"/>
    </row>
    <row r="1508" spans="1:26" ht="12.75">
      <c r="A1508" s="11">
        <v>43746.192615740743</v>
      </c>
      <c r="B1508" s="12" t="str">
        <f>HYPERLINK("https://twitter.com/MBY1965","@MBY1965")</f>
        <v>@MBY1965</v>
      </c>
      <c r="C1508" s="13" t="s">
        <v>8849</v>
      </c>
      <c r="D1508" s="7" t="s">
        <v>8850</v>
      </c>
      <c r="E1508" s="12" t="str">
        <f>HYPERLINK("https://twitter.com/MBY1965/status/1181534044443553793","1181534044443553793")</f>
        <v>1181534044443553793</v>
      </c>
      <c r="F1508" s="8"/>
      <c r="G1508" s="15"/>
      <c r="H1508" s="8"/>
      <c r="I1508" s="15">
        <v>0</v>
      </c>
      <c r="J1508" s="15">
        <v>1</v>
      </c>
      <c r="K1508" s="12" t="str">
        <f>HYPERLINK("https://mobile.twitter.com","Twitter Web App")</f>
        <v>Twitter Web App</v>
      </c>
      <c r="L1508" s="16">
        <v>135</v>
      </c>
      <c r="M1508" s="16">
        <v>104</v>
      </c>
      <c r="N1508" s="16">
        <v>0</v>
      </c>
      <c r="O1508" s="17"/>
      <c r="P1508" s="18">
        <v>43691.487974537042</v>
      </c>
      <c r="Q1508" s="8"/>
      <c r="R1508" s="8"/>
      <c r="S1508" s="8"/>
      <c r="T1508" s="8"/>
      <c r="U1508" s="19" t="str">
        <f>HYPERLINK("https://pbs.twimg.com/profile_images/1170771691456421895/EdZPXoQu.jpg","View")</f>
        <v>View</v>
      </c>
      <c r="V1508" s="8"/>
      <c r="W1508" s="8"/>
      <c r="X1508" s="8"/>
      <c r="Y1508" s="8"/>
      <c r="Z1508" s="8"/>
    </row>
    <row r="1509" spans="1:26" ht="12.75">
      <c r="A1509" s="11">
        <v>43746.191620370373</v>
      </c>
      <c r="B1509" s="12" t="str">
        <f>HYPERLINK("https://twitter.com/OtebiySalem","@OtebiySalem")</f>
        <v>@OtebiySalem</v>
      </c>
      <c r="C1509" s="13" t="s">
        <v>8853</v>
      </c>
      <c r="D1509" s="7" t="s">
        <v>1003</v>
      </c>
      <c r="E1509" s="12" t="str">
        <f>HYPERLINK("https://twitter.com/OtebiySalem/status/1181533682936565760","1181533682936565760")</f>
        <v>1181533682936565760</v>
      </c>
      <c r="F1509" s="8"/>
      <c r="G1509" s="14" t="s">
        <v>8854</v>
      </c>
      <c r="H1509" s="8"/>
      <c r="I1509" s="15">
        <v>0</v>
      </c>
      <c r="J1509" s="15">
        <v>0</v>
      </c>
      <c r="K1509" s="12" t="str">
        <f>HYPERLINK("http://twitter.com","Twitter Web Client")</f>
        <v>Twitter Web Client</v>
      </c>
      <c r="L1509" s="16">
        <v>3</v>
      </c>
      <c r="M1509" s="16">
        <v>38</v>
      </c>
      <c r="N1509" s="16">
        <v>0</v>
      </c>
      <c r="O1509" s="17"/>
      <c r="P1509" s="18">
        <v>42081.639675925922</v>
      </c>
      <c r="Q1509" s="8"/>
      <c r="R1509" s="8"/>
      <c r="S1509" s="8"/>
      <c r="T1509" s="8"/>
      <c r="U1509" s="19" t="str">
        <f>HYPERLINK("https://pbs.twimg.com/profile_images/578332335172632578/aU1o-EMc.jpeg","View")</f>
        <v>View</v>
      </c>
      <c r="V1509" s="8"/>
      <c r="W1509" s="8"/>
      <c r="X1509" s="8"/>
      <c r="Y1509" s="8"/>
      <c r="Z1509" s="8"/>
    </row>
    <row r="1510" spans="1:26" ht="12.75">
      <c r="A1510" s="11">
        <v>43746.189583333333</v>
      </c>
      <c r="B1510" s="12" t="str">
        <f>HYPERLINK("https://twitter.com/AlmieanYahya","@AlmieanYahya")</f>
        <v>@AlmieanYahya</v>
      </c>
      <c r="C1510" s="13" t="s">
        <v>8855</v>
      </c>
      <c r="D1510" s="7" t="s">
        <v>1036</v>
      </c>
      <c r="E1510" s="12" t="str">
        <f>HYPERLINK("https://twitter.com/AlmieanYahya/status/1181532943887605760","1181532943887605760")</f>
        <v>1181532943887605760</v>
      </c>
      <c r="F1510" s="8"/>
      <c r="G1510" s="14" t="s">
        <v>8856</v>
      </c>
      <c r="H1510" s="8"/>
      <c r="I1510" s="15">
        <v>0</v>
      </c>
      <c r="J1510" s="15">
        <v>0</v>
      </c>
      <c r="K1510" s="12" t="str">
        <f>HYPERLINK("http://twitter.com","Twitter Web Client")</f>
        <v>Twitter Web Client</v>
      </c>
      <c r="L1510" s="16">
        <v>2</v>
      </c>
      <c r="M1510" s="16">
        <v>36</v>
      </c>
      <c r="N1510" s="16">
        <v>0</v>
      </c>
      <c r="O1510" s="17"/>
      <c r="P1510" s="18">
        <v>42078.612511574072</v>
      </c>
      <c r="Q1510" s="8"/>
      <c r="R1510" s="8"/>
      <c r="S1510" s="8"/>
      <c r="T1510" s="8"/>
      <c r="U1510" s="19" t="str">
        <f>HYPERLINK("https://pbs.twimg.com/profile_images/577260066568417280/dc8_N2aW.jpeg","View")</f>
        <v>View</v>
      </c>
      <c r="V1510" s="8"/>
      <c r="W1510" s="8"/>
      <c r="X1510" s="8"/>
      <c r="Y1510" s="8"/>
      <c r="Z1510" s="8"/>
    </row>
    <row r="1511" spans="1:26" ht="12.75">
      <c r="A1511" s="11">
        <v>43746.189432870371</v>
      </c>
      <c r="B1511" s="12" t="str">
        <f>HYPERLINK("https://twitter.com/AlzkreyFayek","@AlzkreyFayek")</f>
        <v>@AlzkreyFayek</v>
      </c>
      <c r="C1511" s="13" t="s">
        <v>8860</v>
      </c>
      <c r="D1511" s="7" t="s">
        <v>349</v>
      </c>
      <c r="E1511" s="12" t="str">
        <f>HYPERLINK("https://twitter.com/AlzkreyFayek/status/1181532891442040833","1181532891442040833")</f>
        <v>1181532891442040833</v>
      </c>
      <c r="F1511" s="8"/>
      <c r="G1511" s="14" t="s">
        <v>8861</v>
      </c>
      <c r="H1511" s="8"/>
      <c r="I1511" s="15">
        <v>0</v>
      </c>
      <c r="J1511" s="15">
        <v>0</v>
      </c>
      <c r="K1511" s="12" t="str">
        <f>HYPERLINK("http://twitter.com","Twitter Web Client")</f>
        <v>Twitter Web Client</v>
      </c>
      <c r="L1511" s="16">
        <v>7</v>
      </c>
      <c r="M1511" s="16">
        <v>39</v>
      </c>
      <c r="N1511" s="16">
        <v>0</v>
      </c>
      <c r="O1511" s="17"/>
      <c r="P1511" s="18">
        <v>42073.255115740743</v>
      </c>
      <c r="Q1511" s="8"/>
      <c r="R1511" s="8"/>
      <c r="S1511" s="8"/>
      <c r="T1511" s="8"/>
      <c r="U1511" s="19" t="str">
        <f>HYPERLINK("https://pbs.twimg.com/profile_images/575294610643120128/yumgI_rU.jpeg","View")</f>
        <v>View</v>
      </c>
      <c r="V1511" s="8"/>
      <c r="W1511" s="8"/>
      <c r="X1511" s="8"/>
      <c r="Y1511" s="8"/>
      <c r="Z1511" s="8"/>
    </row>
    <row r="1512" spans="1:26" ht="12.75">
      <c r="A1512" s="11">
        <v>43746.188888888893</v>
      </c>
      <c r="B1512" s="12" t="str">
        <f>HYPERLINK("https://twitter.com/mokaobel33","@mokaobel33")</f>
        <v>@mokaobel33</v>
      </c>
      <c r="C1512" s="13" t="s">
        <v>8864</v>
      </c>
      <c r="D1512" s="7" t="s">
        <v>1065</v>
      </c>
      <c r="E1512" s="12" t="str">
        <f>HYPERLINK("https://twitter.com/mokaobel33/status/1181532692803997696","1181532692803997696")</f>
        <v>1181532692803997696</v>
      </c>
      <c r="F1512" s="8"/>
      <c r="G1512" s="14" t="s">
        <v>8865</v>
      </c>
      <c r="H1512" s="8"/>
      <c r="I1512" s="15">
        <v>0</v>
      </c>
      <c r="J1512" s="15">
        <v>0</v>
      </c>
      <c r="K1512" s="12" t="str">
        <f>HYPERLINK("http://twitter.com","Twitter Web Client")</f>
        <v>Twitter Web Client</v>
      </c>
      <c r="L1512" s="16">
        <v>3</v>
      </c>
      <c r="M1512" s="16">
        <v>41</v>
      </c>
      <c r="N1512" s="16">
        <v>0</v>
      </c>
      <c r="O1512" s="17"/>
      <c r="P1512" s="18">
        <v>42073.179583333331</v>
      </c>
      <c r="Q1512" s="7"/>
      <c r="R1512" s="13"/>
      <c r="S1512" s="8"/>
      <c r="T1512" s="8"/>
      <c r="U1512" s="19" t="str">
        <f>HYPERLINK("https://pbs.twimg.com/profile_images/575254601315692545/a8e3ys6w.jpeg","View")</f>
        <v>View</v>
      </c>
      <c r="V1512" s="8"/>
      <c r="W1512" s="8"/>
      <c r="X1512" s="8"/>
      <c r="Y1512" s="8"/>
      <c r="Z1512" s="8"/>
    </row>
    <row r="1513" spans="1:26" ht="12.75">
      <c r="A1513" s="11">
        <v>43746.187256944446</v>
      </c>
      <c r="B1513" s="12" t="str">
        <f>HYPERLINK("https://twitter.com/rahimintruderg1","@rahimintruderg1")</f>
        <v>@rahimintruderg1</v>
      </c>
      <c r="C1513" s="13" t="s">
        <v>8867</v>
      </c>
      <c r="D1513" s="13" t="s">
        <v>8868</v>
      </c>
      <c r="E1513" s="12" t="str">
        <f>HYPERLINK("https://twitter.com/rahimintruderg1/status/1181532101130240001","1181532101130240001")</f>
        <v>1181532101130240001</v>
      </c>
      <c r="F1513" s="8"/>
      <c r="G1513" s="14" t="s">
        <v>8869</v>
      </c>
      <c r="H1513" s="8"/>
      <c r="I1513" s="15">
        <v>0</v>
      </c>
      <c r="J1513" s="15">
        <v>0</v>
      </c>
      <c r="K1513" s="12" t="str">
        <f>HYPERLINK("http://twitter.com","Twitter Web Client")</f>
        <v>Twitter Web Client</v>
      </c>
      <c r="L1513" s="16">
        <v>17</v>
      </c>
      <c r="M1513" s="16">
        <v>42</v>
      </c>
      <c r="N1513" s="16">
        <v>0</v>
      </c>
      <c r="O1513" s="17"/>
      <c r="P1513" s="18">
        <v>42071.593796296293</v>
      </c>
      <c r="Q1513" s="7"/>
      <c r="R1513" s="13"/>
      <c r="S1513" s="8"/>
      <c r="T1513" s="8"/>
      <c r="U1513" s="19" t="str">
        <f>HYPERLINK("https://pbs.twimg.com/profile_images/574683281553125376/jW_71NJT.jpeg","View")</f>
        <v>View</v>
      </c>
      <c r="V1513" s="8"/>
      <c r="W1513" s="8"/>
      <c r="X1513" s="8"/>
      <c r="Y1513" s="8"/>
      <c r="Z1513" s="8"/>
    </row>
    <row r="1514" spans="1:26" ht="12.75">
      <c r="A1514" s="11">
        <v>43746.18450231482</v>
      </c>
      <c r="B1514" s="12" t="str">
        <f>HYPERLINK("https://twitter.com/Karma_Incarnate","@Karma_Incarnate")</f>
        <v>@Karma_Incarnate</v>
      </c>
      <c r="C1514" s="13" t="s">
        <v>8870</v>
      </c>
      <c r="D1514" s="13" t="s">
        <v>8871</v>
      </c>
      <c r="E1514" s="12" t="str">
        <f>HYPERLINK("https://twitter.com/Karma_Incarnate/status/1181531104290979840","1181531104290979840")</f>
        <v>1181531104290979840</v>
      </c>
      <c r="F1514" s="8"/>
      <c r="G1514" s="15"/>
      <c r="H1514" s="8"/>
      <c r="I1514" s="15">
        <v>1</v>
      </c>
      <c r="J1514" s="15">
        <v>2</v>
      </c>
      <c r="K1514" s="12" t="str">
        <f>HYPERLINK("http://twitter.com/download/android","Twitter for Android")</f>
        <v>Twitter for Android</v>
      </c>
      <c r="L1514" s="16">
        <v>1458</v>
      </c>
      <c r="M1514" s="16">
        <v>1089</v>
      </c>
      <c r="N1514" s="16">
        <v>4</v>
      </c>
      <c r="O1514" s="17"/>
      <c r="P1514" s="18">
        <v>39605.285590277781</v>
      </c>
      <c r="Q1514" s="8"/>
      <c r="R1514" s="8" t="s">
        <v>8873</v>
      </c>
      <c r="S1514" s="8"/>
      <c r="T1514" s="8"/>
      <c r="U1514" s="19" t="str">
        <f>HYPERLINK("https://pbs.twimg.com/profile_images/1081992981463347202/RRDVXgge.jpg","View")</f>
        <v>View</v>
      </c>
      <c r="V1514" s="8"/>
      <c r="W1514" s="8"/>
      <c r="X1514" s="8"/>
      <c r="Y1514" s="8"/>
      <c r="Z1514" s="8"/>
    </row>
    <row r="1515" spans="1:26" ht="12.75">
      <c r="A1515" s="11">
        <v>43746.184479166666</v>
      </c>
      <c r="B1515" s="12" t="str">
        <f>HYPERLINK("https://twitter.com/elmate_uu","@elmate_uu")</f>
        <v>@elmate_uu</v>
      </c>
      <c r="C1515" s="13" t="s">
        <v>8874</v>
      </c>
      <c r="D1515" s="13" t="s">
        <v>376</v>
      </c>
      <c r="E1515" s="12" t="str">
        <f>HYPERLINK("https://twitter.com/elmate_uu/status/1181531094681825280","1181531094681825280")</f>
        <v>1181531094681825280</v>
      </c>
      <c r="F1515" s="8"/>
      <c r="G1515" s="14" t="s">
        <v>8877</v>
      </c>
      <c r="H1515" s="8"/>
      <c r="I1515" s="15">
        <v>0</v>
      </c>
      <c r="J1515" s="15">
        <v>0</v>
      </c>
      <c r="K1515" s="12" t="str">
        <f>HYPERLINK("http://twitter.com","Twitter Web Client")</f>
        <v>Twitter Web Client</v>
      </c>
      <c r="L1515" s="16">
        <v>14</v>
      </c>
      <c r="M1515" s="16">
        <v>42</v>
      </c>
      <c r="N1515" s="16">
        <v>0</v>
      </c>
      <c r="O1515" s="17"/>
      <c r="P1515" s="18">
        <v>42075.488738425927</v>
      </c>
      <c r="Q1515" s="8"/>
      <c r="R1515" s="8"/>
      <c r="S1515" s="8"/>
      <c r="T1515" s="8"/>
      <c r="U1515" s="19" t="str">
        <f>HYPERLINK("https://pbs.twimg.com/profile_images/576091397574410240/xHl-fLMz.jpeg","View")</f>
        <v>View</v>
      </c>
      <c r="V1515" s="8"/>
      <c r="W1515" s="8"/>
      <c r="X1515" s="8"/>
      <c r="Y1515" s="8"/>
      <c r="Z1515" s="8"/>
    </row>
    <row r="1516" spans="1:26" ht="12.75">
      <c r="A1516" s="11">
        <v>43746.183321759258</v>
      </c>
      <c r="B1516" s="12" t="str">
        <f>HYPERLINK("https://twitter.com/hawa_quadri","@hawa_quadri")</f>
        <v>@hawa_quadri</v>
      </c>
      <c r="C1516" s="13" t="s">
        <v>8879</v>
      </c>
      <c r="D1516" s="13" t="s">
        <v>952</v>
      </c>
      <c r="E1516" s="12" t="str">
        <f>HYPERLINK("https://twitter.com/hawa_quadri/status/1181530676052365313","1181530676052365313")</f>
        <v>1181530676052365313</v>
      </c>
      <c r="F1516" s="8"/>
      <c r="G1516" s="14" t="s">
        <v>8880</v>
      </c>
      <c r="H1516" s="8"/>
      <c r="I1516" s="15">
        <v>0</v>
      </c>
      <c r="J1516" s="15">
        <v>0</v>
      </c>
      <c r="K1516" s="12" t="str">
        <f>HYPERLINK("https://mobile.twitter.com","Twitter Web App")</f>
        <v>Twitter Web App</v>
      </c>
      <c r="L1516" s="16">
        <v>0</v>
      </c>
      <c r="M1516" s="16">
        <v>1</v>
      </c>
      <c r="N1516" s="16">
        <v>0</v>
      </c>
      <c r="O1516" s="17"/>
      <c r="P1516" s="18">
        <v>43732.145983796298</v>
      </c>
      <c r="Q1516" s="8" t="s">
        <v>1271</v>
      </c>
      <c r="R1516" s="8" t="s">
        <v>912</v>
      </c>
      <c r="S1516" s="8"/>
      <c r="T1516" s="8"/>
      <c r="U1516" s="19" t="str">
        <f>HYPERLINK("https://pbs.twimg.com/profile_images/1179674077511872512/FSAWdubY.jpg","View")</f>
        <v>View</v>
      </c>
      <c r="V1516" s="8"/>
      <c r="W1516" s="8"/>
      <c r="X1516" s="8"/>
      <c r="Y1516" s="8"/>
      <c r="Z1516" s="8"/>
    </row>
    <row r="1517" spans="1:26" ht="12.75">
      <c r="A1517" s="11">
        <v>43746.181759259256</v>
      </c>
      <c r="B1517" s="12" t="str">
        <f>HYPERLINK("https://twitter.com/AlrbeaanFahd","@AlrbeaanFahd")</f>
        <v>@AlrbeaanFahd</v>
      </c>
      <c r="C1517" s="13" t="s">
        <v>8882</v>
      </c>
      <c r="D1517" s="13" t="s">
        <v>1115</v>
      </c>
      <c r="E1517" s="12" t="str">
        <f>HYPERLINK("https://twitter.com/AlrbeaanFahd/status/1181530107791495169","1181530107791495169")</f>
        <v>1181530107791495169</v>
      </c>
      <c r="F1517" s="8"/>
      <c r="G1517" s="14" t="s">
        <v>8883</v>
      </c>
      <c r="H1517" s="8"/>
      <c r="I1517" s="15">
        <v>0</v>
      </c>
      <c r="J1517" s="15">
        <v>0</v>
      </c>
      <c r="K1517" s="12" t="str">
        <f>HYPERLINK("http://twitter.com","Twitter Web Client")</f>
        <v>Twitter Web Client</v>
      </c>
      <c r="L1517" s="16">
        <v>6</v>
      </c>
      <c r="M1517" s="16">
        <v>44</v>
      </c>
      <c r="N1517" s="16">
        <v>0</v>
      </c>
      <c r="O1517" s="17"/>
      <c r="P1517" s="18">
        <v>42071.670358796298</v>
      </c>
      <c r="Q1517" s="8"/>
      <c r="R1517" s="8"/>
      <c r="S1517" s="8"/>
      <c r="T1517" s="8"/>
      <c r="U1517" s="19" t="str">
        <f>HYPERLINK("https://pbs.twimg.com/profile_images/574713289847914496/YEaY1T5L.jpeg","View")</f>
        <v>View</v>
      </c>
      <c r="V1517" s="8"/>
      <c r="W1517" s="8"/>
      <c r="X1517" s="8"/>
      <c r="Y1517" s="8"/>
      <c r="Z1517" s="8"/>
    </row>
    <row r="1518" spans="1:26" ht="12.75">
      <c r="A1518" s="11">
        <v>43746.181481481486</v>
      </c>
      <c r="B1518" s="12" t="str">
        <f>HYPERLINK("https://twitter.com/MusheerNaderi","@MusheerNaderi")</f>
        <v>@MusheerNaderi</v>
      </c>
      <c r="C1518" s="13" t="s">
        <v>8887</v>
      </c>
      <c r="D1518" s="13" t="s">
        <v>907</v>
      </c>
      <c r="E1518" s="12" t="str">
        <f>HYPERLINK("https://twitter.com/MusheerNaderi/status/1181530010634448896","1181530010634448896")</f>
        <v>1181530010634448896</v>
      </c>
      <c r="F1518" s="8"/>
      <c r="G1518" s="14" t="s">
        <v>8888</v>
      </c>
      <c r="H1518" s="8"/>
      <c r="I1518" s="15">
        <v>0</v>
      </c>
      <c r="J1518" s="15">
        <v>0</v>
      </c>
      <c r="K1518" s="12" t="str">
        <f>HYPERLINK("https://mobile.twitter.com","Twitter Web App")</f>
        <v>Twitter Web App</v>
      </c>
      <c r="L1518" s="16">
        <v>0</v>
      </c>
      <c r="M1518" s="16">
        <v>0</v>
      </c>
      <c r="N1518" s="16">
        <v>0</v>
      </c>
      <c r="O1518" s="17"/>
      <c r="P1518" s="18">
        <v>43745.945381944446</v>
      </c>
      <c r="Q1518" s="8" t="s">
        <v>1228</v>
      </c>
      <c r="R1518" s="8" t="s">
        <v>925</v>
      </c>
      <c r="S1518" s="8"/>
      <c r="T1518" s="8"/>
      <c r="U1518" s="19" t="str">
        <f>HYPERLINK("https://pbs.twimg.com/profile_images/1181529732770193409/BKc0Fiw3.jpg","View")</f>
        <v>View</v>
      </c>
      <c r="V1518" s="8"/>
      <c r="W1518" s="8"/>
      <c r="X1518" s="8"/>
      <c r="Y1518" s="8"/>
      <c r="Z1518" s="8"/>
    </row>
    <row r="1519" spans="1:26" ht="12.75">
      <c r="A1519" s="11">
        <v>43746.180659722224</v>
      </c>
      <c r="B1519" s="12" t="str">
        <f>HYPERLINK("https://twitter.com/almodefa","@almodefa")</f>
        <v>@almodefa</v>
      </c>
      <c r="C1519" s="13" t="s">
        <v>8889</v>
      </c>
      <c r="D1519" s="13" t="s">
        <v>2159</v>
      </c>
      <c r="E1519" s="12" t="str">
        <f>HYPERLINK("https://twitter.com/almodefa/status/1181529710196658178","1181529710196658178")</f>
        <v>1181529710196658178</v>
      </c>
      <c r="F1519" s="8"/>
      <c r="G1519" s="14" t="s">
        <v>8890</v>
      </c>
      <c r="H1519" s="8"/>
      <c r="I1519" s="15">
        <v>0</v>
      </c>
      <c r="J1519" s="15">
        <v>0</v>
      </c>
      <c r="K1519" s="12" t="str">
        <f>HYPERLINK("http://twitter.com","Twitter Web Client")</f>
        <v>Twitter Web Client</v>
      </c>
      <c r="L1519" s="16">
        <v>1</v>
      </c>
      <c r="M1519" s="16">
        <v>45</v>
      </c>
      <c r="N1519" s="16">
        <v>0</v>
      </c>
      <c r="O1519" s="17"/>
      <c r="P1519" s="18">
        <v>42071.621793981481</v>
      </c>
      <c r="Q1519" s="8"/>
      <c r="R1519" s="8"/>
      <c r="S1519" s="8"/>
      <c r="T1519" s="8"/>
      <c r="U1519" s="19" t="str">
        <f>HYPERLINK("https://pbs.twimg.com/profile_images/574710443555450881/xTARNC1Y.jpeg","View")</f>
        <v>View</v>
      </c>
      <c r="V1519" s="8"/>
      <c r="W1519" s="8"/>
      <c r="X1519" s="8"/>
      <c r="Y1519" s="8"/>
      <c r="Z1519" s="8"/>
    </row>
    <row r="1520" spans="1:26" ht="12.75">
      <c r="A1520" s="11">
        <v>43746.180231481485</v>
      </c>
      <c r="B1520" s="12" t="str">
        <f>HYPERLINK("https://twitter.com/abedalla5344","@abedalla5344")</f>
        <v>@abedalla5344</v>
      </c>
      <c r="C1520" s="13" t="s">
        <v>3462</v>
      </c>
      <c r="D1520" s="13" t="s">
        <v>8895</v>
      </c>
      <c r="E1520" s="12" t="str">
        <f>HYPERLINK("https://twitter.com/abedalla5344/status/1181529557016469505","1181529557016469505")</f>
        <v>1181529557016469505</v>
      </c>
      <c r="F1520" s="8"/>
      <c r="G1520" s="14" t="s">
        <v>8896</v>
      </c>
      <c r="H1520" s="8"/>
      <c r="I1520" s="15">
        <v>0</v>
      </c>
      <c r="J1520" s="15">
        <v>0</v>
      </c>
      <c r="K1520" s="12" t="str">
        <f>HYPERLINK("http://twitter.com","Twitter Web Client")</f>
        <v>Twitter Web Client</v>
      </c>
      <c r="L1520" s="16">
        <v>7</v>
      </c>
      <c r="M1520" s="16">
        <v>35</v>
      </c>
      <c r="N1520" s="16">
        <v>0</v>
      </c>
      <c r="O1520" s="17"/>
      <c r="P1520" s="18">
        <v>42073.151273148149</v>
      </c>
      <c r="Q1520" s="8"/>
      <c r="R1520" s="8"/>
      <c r="S1520" s="8"/>
      <c r="T1520" s="8"/>
      <c r="U1520" s="19" t="str">
        <f>HYPERLINK("https://pbs.twimg.com/profile_images/575244404509708289/vvvc4KGL.jpeg","View")</f>
        <v>View</v>
      </c>
      <c r="V1520" s="8"/>
      <c r="W1520" s="8"/>
      <c r="X1520" s="8"/>
      <c r="Y1520" s="8"/>
      <c r="Z1520" s="8"/>
    </row>
    <row r="1521" spans="1:26" ht="12.75">
      <c r="A1521" s="11">
        <v>43746.179224537038</v>
      </c>
      <c r="B1521" s="12" t="str">
        <f>HYPERLINK("https://twitter.com/elbakam33","@elbakam33")</f>
        <v>@elbakam33</v>
      </c>
      <c r="C1521" s="13" t="s">
        <v>8900</v>
      </c>
      <c r="D1521" s="13" t="s">
        <v>1151</v>
      </c>
      <c r="E1521" s="12" t="str">
        <f>HYPERLINK("https://twitter.com/elbakam33/status/1181529190753017856","1181529190753017856")</f>
        <v>1181529190753017856</v>
      </c>
      <c r="F1521" s="8"/>
      <c r="G1521" s="14" t="s">
        <v>8901</v>
      </c>
      <c r="H1521" s="8"/>
      <c r="I1521" s="15">
        <v>0</v>
      </c>
      <c r="J1521" s="15">
        <v>0</v>
      </c>
      <c r="K1521" s="12" t="str">
        <f>HYPERLINK("http://twitter.com","Twitter Web Client")</f>
        <v>Twitter Web Client</v>
      </c>
      <c r="L1521" s="16">
        <v>2</v>
      </c>
      <c r="M1521" s="16">
        <v>41</v>
      </c>
      <c r="N1521" s="16">
        <v>0</v>
      </c>
      <c r="O1521" s="17"/>
      <c r="P1521" s="18">
        <v>42076.552118055552</v>
      </c>
      <c r="Q1521" s="8"/>
      <c r="R1521" s="8"/>
      <c r="S1521" s="8"/>
      <c r="T1521" s="8"/>
      <c r="U1521" s="19" t="str">
        <f>HYPERLINK("https://pbs.twimg.com/profile_images/576476918687477760/UHqNBMpj.jpeg","View")</f>
        <v>View</v>
      </c>
      <c r="V1521" s="8"/>
      <c r="W1521" s="8"/>
      <c r="X1521" s="8"/>
      <c r="Y1521" s="8"/>
      <c r="Z1521" s="8"/>
    </row>
    <row r="1522" spans="1:26" ht="12.75">
      <c r="A1522" s="11">
        <v>43746.178113425922</v>
      </c>
      <c r="B1522" s="12" t="str">
        <f>HYPERLINK("https://twitter.com/ramimohammedra","@ramimohammedra")</f>
        <v>@ramimohammedra</v>
      </c>
      <c r="C1522" s="13" t="s">
        <v>8919</v>
      </c>
      <c r="D1522" s="13" t="s">
        <v>2200</v>
      </c>
      <c r="E1522" s="12" t="str">
        <f>HYPERLINK("https://twitter.com/ramimohammedra/status/1181528790205390849","1181528790205390849")</f>
        <v>1181528790205390849</v>
      </c>
      <c r="F1522" s="8"/>
      <c r="G1522" s="14" t="s">
        <v>8921</v>
      </c>
      <c r="H1522" s="8"/>
      <c r="I1522" s="15">
        <v>0</v>
      </c>
      <c r="J1522" s="15">
        <v>0</v>
      </c>
      <c r="K1522" s="12" t="str">
        <f>HYPERLINK("http://twitter.com","Twitter Web Client")</f>
        <v>Twitter Web Client</v>
      </c>
      <c r="L1522" s="16">
        <v>0</v>
      </c>
      <c r="M1522" s="16">
        <v>36</v>
      </c>
      <c r="N1522" s="16">
        <v>0</v>
      </c>
      <c r="O1522" s="17"/>
      <c r="P1522" s="18">
        <v>42021.24381944444</v>
      </c>
      <c r="Q1522" s="8"/>
      <c r="R1522" s="8"/>
      <c r="S1522" s="8"/>
      <c r="T1522" s="8"/>
      <c r="U1522" s="19" t="str">
        <f>HYPERLINK("https://pbs.twimg.com/profile_images/556448755549876225/IYkHQgZ4.jpeg","View")</f>
        <v>View</v>
      </c>
      <c r="V1522" s="8"/>
      <c r="W1522" s="8"/>
      <c r="X1522" s="8"/>
      <c r="Y1522" s="8"/>
      <c r="Z1522" s="8"/>
    </row>
    <row r="1523" spans="1:26" ht="12.75">
      <c r="A1523" s="11">
        <v>43746.177824074075</v>
      </c>
      <c r="B1523" s="12" t="str">
        <f>HYPERLINK("https://twitter.com/bandarmefreh1","@bandarmefreh1")</f>
        <v>@bandarmefreh1</v>
      </c>
      <c r="C1523" s="13" t="s">
        <v>8925</v>
      </c>
      <c r="D1523" s="13" t="s">
        <v>1168</v>
      </c>
      <c r="E1523" s="12" t="str">
        <f>HYPERLINK("https://twitter.com/bandarmefreh1/status/1181528682273394688","1181528682273394688")</f>
        <v>1181528682273394688</v>
      </c>
      <c r="F1523" s="8"/>
      <c r="G1523" s="14" t="s">
        <v>8926</v>
      </c>
      <c r="H1523" s="8"/>
      <c r="I1523" s="15">
        <v>0</v>
      </c>
      <c r="J1523" s="15">
        <v>0</v>
      </c>
      <c r="K1523" s="12" t="str">
        <f>HYPERLINK("http://twitter.com","Twitter Web Client")</f>
        <v>Twitter Web Client</v>
      </c>
      <c r="L1523" s="16">
        <v>2</v>
      </c>
      <c r="M1523" s="16">
        <v>34</v>
      </c>
      <c r="N1523" s="16">
        <v>0</v>
      </c>
      <c r="O1523" s="17"/>
      <c r="P1523" s="18">
        <v>42075.601527777777</v>
      </c>
      <c r="Q1523" s="8"/>
      <c r="R1523" s="8"/>
      <c r="S1523" s="8"/>
      <c r="T1523" s="8"/>
      <c r="U1523" s="19" t="str">
        <f>HYPERLINK("https://pbs.twimg.com/profile_images/576133987812282368/lDtomr6g.jpeg","View")</f>
        <v>View</v>
      </c>
      <c r="V1523" s="8"/>
      <c r="W1523" s="8"/>
      <c r="X1523" s="8"/>
      <c r="Y1523" s="8"/>
      <c r="Z1523" s="8"/>
    </row>
    <row r="1524" spans="1:26" ht="12.75">
      <c r="A1524" s="11">
        <v>43746.177314814813</v>
      </c>
      <c r="B1524" s="12" t="str">
        <f>HYPERLINK("https://twitter.com/UzzaTala","@UzzaTala")</f>
        <v>@UzzaTala</v>
      </c>
      <c r="C1524" s="13" t="s">
        <v>8935</v>
      </c>
      <c r="D1524" s="13" t="s">
        <v>1178</v>
      </c>
      <c r="E1524" s="12" t="str">
        <f>HYPERLINK("https://twitter.com/UzzaTala/status/1181528499598684161","1181528499598684161")</f>
        <v>1181528499598684161</v>
      </c>
      <c r="F1524" s="8"/>
      <c r="G1524" s="14" t="s">
        <v>8938</v>
      </c>
      <c r="H1524" s="8"/>
      <c r="I1524" s="15">
        <v>0</v>
      </c>
      <c r="J1524" s="15">
        <v>0</v>
      </c>
      <c r="K1524" s="12" t="str">
        <f>HYPERLINK("https://mobile.twitter.com","Twitter Web App")</f>
        <v>Twitter Web App</v>
      </c>
      <c r="L1524" s="16">
        <v>0</v>
      </c>
      <c r="M1524" s="16">
        <v>0</v>
      </c>
      <c r="N1524" s="16">
        <v>0</v>
      </c>
      <c r="O1524" s="17"/>
      <c r="P1524" s="18">
        <v>43733.106412037036</v>
      </c>
      <c r="Q1524" s="7" t="s">
        <v>949</v>
      </c>
      <c r="R1524" s="13" t="s">
        <v>1277</v>
      </c>
      <c r="S1524" s="8"/>
      <c r="T1524" s="8"/>
      <c r="U1524" s="19" t="str">
        <f>HYPERLINK("https://pbs.twimg.com/profile_images/1180781479774699520/0fHELcjQ.jpg","View")</f>
        <v>View</v>
      </c>
      <c r="V1524" s="8"/>
      <c r="W1524" s="8"/>
      <c r="X1524" s="8"/>
      <c r="Y1524" s="8"/>
      <c r="Z1524" s="8"/>
    </row>
    <row r="1525" spans="1:26" ht="12.75">
      <c r="A1525" s="11">
        <v>43746.177141203705</v>
      </c>
      <c r="B1525" s="12" t="str">
        <f>HYPERLINK("https://twitter.com/AlzwimalJawad","@AlzwimalJawad")</f>
        <v>@AlzwimalJawad</v>
      </c>
      <c r="C1525" s="13" t="s">
        <v>8940</v>
      </c>
      <c r="D1525" s="13" t="s">
        <v>408</v>
      </c>
      <c r="E1525" s="12" t="str">
        <f>HYPERLINK("https://twitter.com/AlzwimalJawad/status/1181528434725572608","1181528434725572608")</f>
        <v>1181528434725572608</v>
      </c>
      <c r="F1525" s="8"/>
      <c r="G1525" s="14" t="s">
        <v>8942</v>
      </c>
      <c r="H1525" s="8"/>
      <c r="I1525" s="15">
        <v>0</v>
      </c>
      <c r="J1525" s="15">
        <v>0</v>
      </c>
      <c r="K1525" s="12" t="str">
        <f>HYPERLINK("http://twitter.com","Twitter Web Client")</f>
        <v>Twitter Web Client</v>
      </c>
      <c r="L1525" s="16">
        <v>3</v>
      </c>
      <c r="M1525" s="16">
        <v>40</v>
      </c>
      <c r="N1525" s="16">
        <v>0</v>
      </c>
      <c r="O1525" s="17"/>
      <c r="P1525" s="18">
        <v>42073.266782407409</v>
      </c>
      <c r="Q1525" s="8"/>
      <c r="R1525" s="8"/>
      <c r="S1525" s="8"/>
      <c r="T1525" s="8"/>
      <c r="U1525" s="19" t="str">
        <f>HYPERLINK("https://pbs.twimg.com/profile_images/575295501924364290/7Kakriz1.jpeg","View")</f>
        <v>View</v>
      </c>
      <c r="V1525" s="8"/>
      <c r="W1525" s="8"/>
      <c r="X1525" s="8"/>
      <c r="Y1525" s="8"/>
      <c r="Z1525" s="8"/>
    </row>
    <row r="1526" spans="1:26" ht="12.75">
      <c r="A1526" s="11">
        <v>43746.176736111112</v>
      </c>
      <c r="B1526" s="12" t="str">
        <f>HYPERLINK("https://twitter.com/fayezsnaidi","@fayezsnaidi")</f>
        <v>@fayezsnaidi</v>
      </c>
      <c r="C1526" s="13" t="s">
        <v>8945</v>
      </c>
      <c r="D1526" s="13" t="s">
        <v>2240</v>
      </c>
      <c r="E1526" s="12" t="str">
        <f>HYPERLINK("https://twitter.com/fayezsnaidi/status/1181528288914804736","1181528288914804736")</f>
        <v>1181528288914804736</v>
      </c>
      <c r="F1526" s="8"/>
      <c r="G1526" s="14" t="s">
        <v>8946</v>
      </c>
      <c r="H1526" s="8"/>
      <c r="I1526" s="15">
        <v>0</v>
      </c>
      <c r="J1526" s="15">
        <v>0</v>
      </c>
      <c r="K1526" s="12" t="str">
        <f>HYPERLINK("http://twitter.com","Twitter Web Client")</f>
        <v>Twitter Web Client</v>
      </c>
      <c r="L1526" s="16">
        <v>11</v>
      </c>
      <c r="M1526" s="16">
        <v>44</v>
      </c>
      <c r="N1526" s="16">
        <v>0</v>
      </c>
      <c r="O1526" s="17"/>
      <c r="P1526" s="18">
        <v>42073.491527777776</v>
      </c>
      <c r="Q1526" s="8"/>
      <c r="R1526" s="8"/>
      <c r="S1526" s="8"/>
      <c r="T1526" s="8"/>
      <c r="U1526" s="19" t="str">
        <f>HYPERLINK("https://pbs.twimg.com/profile_images/575367743475609600/0uXnI_4C.jpeg","View")</f>
        <v>View</v>
      </c>
      <c r="V1526" s="8"/>
      <c r="W1526" s="8"/>
      <c r="X1526" s="8"/>
      <c r="Y1526" s="8"/>
      <c r="Z1526" s="8"/>
    </row>
    <row r="1527" spans="1:26" ht="12.75">
      <c r="A1527" s="11">
        <v>43746.175856481481</v>
      </c>
      <c r="B1527" s="12" t="str">
        <f>HYPERLINK("https://twitter.com/LoanTorondel","@LoanTorondel")</f>
        <v>@LoanTorondel</v>
      </c>
      <c r="C1527" s="13" t="s">
        <v>8960</v>
      </c>
      <c r="D1527" s="13" t="s">
        <v>8961</v>
      </c>
      <c r="E1527" s="12" t="str">
        <f>HYPERLINK("https://twitter.com/LoanTorondel/status/1181527968516100097","1181527968516100097")</f>
        <v>1181527968516100097</v>
      </c>
      <c r="F1527" s="14" t="s">
        <v>8964</v>
      </c>
      <c r="G1527" s="15"/>
      <c r="H1527" s="8"/>
      <c r="I1527" s="15">
        <v>2</v>
      </c>
      <c r="J1527" s="15">
        <v>1</v>
      </c>
      <c r="K1527" s="12" t="str">
        <f>HYPERLINK("http://twitter.com/download/android","Twitter for Android")</f>
        <v>Twitter for Android</v>
      </c>
      <c r="L1527" s="16">
        <v>2310</v>
      </c>
      <c r="M1527" s="16">
        <v>180</v>
      </c>
      <c r="N1527" s="16">
        <v>23</v>
      </c>
      <c r="O1527" s="17"/>
      <c r="P1527" s="18">
        <v>42192.201192129629</v>
      </c>
      <c r="Q1527" s="8" t="s">
        <v>8966</v>
      </c>
      <c r="R1527" s="8" t="s">
        <v>8967</v>
      </c>
      <c r="S1527" s="14" t="s">
        <v>8968</v>
      </c>
      <c r="T1527" s="8"/>
      <c r="U1527" s="19" t="str">
        <f>HYPERLINK("https://pbs.twimg.com/profile_images/1140710332924604418/AkiMat4w.jpg","View")</f>
        <v>View</v>
      </c>
      <c r="V1527" s="8"/>
      <c r="W1527" s="8"/>
      <c r="X1527" s="8"/>
      <c r="Y1527" s="8"/>
      <c r="Z1527" s="8"/>
    </row>
    <row r="1528" spans="1:26" ht="12.75">
      <c r="A1528" s="11">
        <v>43746.175324074073</v>
      </c>
      <c r="B1528" s="12" t="str">
        <f>HYPERLINK("https://twitter.com/OibrahimThamer","@OibrahimThamer")</f>
        <v>@OibrahimThamer</v>
      </c>
      <c r="C1528" s="13" t="s">
        <v>8977</v>
      </c>
      <c r="D1528" s="7" t="s">
        <v>1203</v>
      </c>
      <c r="E1528" s="12" t="str">
        <f>HYPERLINK("https://twitter.com/OibrahimThamer/status/1181527776337256455","1181527776337256455")</f>
        <v>1181527776337256455</v>
      </c>
      <c r="F1528" s="8"/>
      <c r="G1528" s="14" t="s">
        <v>8978</v>
      </c>
      <c r="H1528" s="8"/>
      <c r="I1528" s="15">
        <v>0</v>
      </c>
      <c r="J1528" s="15">
        <v>0</v>
      </c>
      <c r="K1528" s="12" t="str">
        <f>HYPERLINK("http://twitter.com","Twitter Web Client")</f>
        <v>Twitter Web Client</v>
      </c>
      <c r="L1528" s="16">
        <v>5</v>
      </c>
      <c r="M1528" s="16">
        <v>41</v>
      </c>
      <c r="N1528" s="16">
        <v>0</v>
      </c>
      <c r="O1528" s="17"/>
      <c r="P1528" s="18">
        <v>42070.163263888884</v>
      </c>
      <c r="Q1528" s="7"/>
      <c r="R1528" s="13"/>
      <c r="S1528" s="8"/>
      <c r="T1528" s="8"/>
      <c r="U1528" s="19" t="str">
        <f>HYPERLINK("https://pbs.twimg.com/profile_images/574178416913608705/XmbBlqE6.jpeg","View")</f>
        <v>View</v>
      </c>
      <c r="V1528" s="8"/>
      <c r="W1528" s="8"/>
      <c r="X1528" s="8"/>
      <c r="Y1528" s="8"/>
      <c r="Z1528" s="8"/>
    </row>
    <row r="1529" spans="1:26" ht="12.75">
      <c r="A1529" s="11">
        <v>43746.175162037034</v>
      </c>
      <c r="B1529" s="12" t="str">
        <f>HYPERLINK("https://twitter.com/SaffarMelissa","@SaffarMelissa")</f>
        <v>@SaffarMelissa</v>
      </c>
      <c r="C1529" s="13" t="s">
        <v>8981</v>
      </c>
      <c r="D1529" s="13" t="s">
        <v>952</v>
      </c>
      <c r="E1529" s="12" t="str">
        <f>HYPERLINK("https://twitter.com/SaffarMelissa/status/1181527719424618496","1181527719424618496")</f>
        <v>1181527719424618496</v>
      </c>
      <c r="F1529" s="8"/>
      <c r="G1529" s="14" t="s">
        <v>8983</v>
      </c>
      <c r="H1529" s="8"/>
      <c r="I1529" s="15">
        <v>0</v>
      </c>
      <c r="J1529" s="15">
        <v>0</v>
      </c>
      <c r="K1529" s="12" t="str">
        <f>HYPERLINK("https://mobile.twitter.com","Twitter Web App")</f>
        <v>Twitter Web App</v>
      </c>
      <c r="L1529" s="16">
        <v>0</v>
      </c>
      <c r="M1529" s="16">
        <v>0</v>
      </c>
      <c r="N1529" s="16">
        <v>0</v>
      </c>
      <c r="O1529" s="17"/>
      <c r="P1529" s="18">
        <v>43732.936689814815</v>
      </c>
      <c r="Q1529" s="8" t="s">
        <v>1428</v>
      </c>
      <c r="R1529" s="8" t="s">
        <v>912</v>
      </c>
      <c r="S1529" s="8"/>
      <c r="T1529" s="8"/>
      <c r="U1529" s="19" t="str">
        <f>HYPERLINK("https://pbs.twimg.com/profile_images/1181527649656528896/NMYHEWM8.jpg","View")</f>
        <v>View</v>
      </c>
      <c r="V1529" s="8"/>
      <c r="W1529" s="8"/>
      <c r="X1529" s="8"/>
      <c r="Y1529" s="8"/>
      <c r="Z1529" s="8"/>
    </row>
    <row r="1530" spans="1:26" ht="12.75">
      <c r="A1530" s="11">
        <v>43746.174467592587</v>
      </c>
      <c r="B1530" s="12" t="str">
        <f>HYPERLINK("https://twitter.com/zayyaddd34","@zayyaddd34")</f>
        <v>@zayyaddd34</v>
      </c>
      <c r="C1530" s="13" t="s">
        <v>8987</v>
      </c>
      <c r="D1530" s="7" t="s">
        <v>422</v>
      </c>
      <c r="E1530" s="12" t="str">
        <f>HYPERLINK("https://twitter.com/zayyaddd34/status/1181527467456155648","1181527467456155648")</f>
        <v>1181527467456155648</v>
      </c>
      <c r="F1530" s="8"/>
      <c r="G1530" s="14" t="s">
        <v>8988</v>
      </c>
      <c r="H1530" s="8"/>
      <c r="I1530" s="15">
        <v>0</v>
      </c>
      <c r="J1530" s="15">
        <v>0</v>
      </c>
      <c r="K1530" s="12" t="str">
        <f>HYPERLINK("http://twitter.com","Twitter Web Client")</f>
        <v>Twitter Web Client</v>
      </c>
      <c r="L1530" s="16">
        <v>5</v>
      </c>
      <c r="M1530" s="16">
        <v>31</v>
      </c>
      <c r="N1530" s="16">
        <v>0</v>
      </c>
      <c r="O1530" s="17"/>
      <c r="P1530" s="18">
        <v>42072.232754629629</v>
      </c>
      <c r="Q1530" s="7"/>
      <c r="R1530" s="13"/>
      <c r="S1530" s="8"/>
      <c r="T1530" s="8"/>
      <c r="U1530" s="19" t="str">
        <f>HYPERLINK("https://pbs.twimg.com/profile_images/574911440999440384/5fXdH1CG.jpeg","View")</f>
        <v>View</v>
      </c>
      <c r="V1530" s="8"/>
      <c r="W1530" s="8"/>
      <c r="X1530" s="8"/>
      <c r="Y1530" s="8"/>
      <c r="Z1530" s="8"/>
    </row>
    <row r="1531" spans="1:26" ht="12.75">
      <c r="A1531" s="11">
        <v>43746.173888888894</v>
      </c>
      <c r="B1531" s="12" t="str">
        <f>HYPERLINK("https://twitter.com/alyazaede6","@alyazaede6")</f>
        <v>@alyazaede6</v>
      </c>
      <c r="C1531" s="13" t="s">
        <v>8998</v>
      </c>
      <c r="D1531" s="13" t="s">
        <v>1242</v>
      </c>
      <c r="E1531" s="12" t="str">
        <f>HYPERLINK("https://twitter.com/alyazaede6/status/1181527256927281152","1181527256927281152")</f>
        <v>1181527256927281152</v>
      </c>
      <c r="F1531" s="8"/>
      <c r="G1531" s="14" t="s">
        <v>8999</v>
      </c>
      <c r="H1531" s="8"/>
      <c r="I1531" s="15">
        <v>0</v>
      </c>
      <c r="J1531" s="15">
        <v>0</v>
      </c>
      <c r="K1531" s="12" t="str">
        <f>HYPERLINK("http://twitter.com","Twitter Web Client")</f>
        <v>Twitter Web Client</v>
      </c>
      <c r="L1531" s="16">
        <v>3</v>
      </c>
      <c r="M1531" s="16">
        <v>54</v>
      </c>
      <c r="N1531" s="16">
        <v>0</v>
      </c>
      <c r="O1531" s="17"/>
      <c r="P1531" s="18">
        <v>42071.163599537038</v>
      </c>
      <c r="Q1531" s="8"/>
      <c r="R1531" s="8"/>
      <c r="S1531" s="8"/>
      <c r="T1531" s="8"/>
      <c r="U1531" s="19" t="str">
        <f>HYPERLINK("https://pbs.twimg.com/profile_images/574523965634301952/iFBIuxNb.jpeg","View")</f>
        <v>View</v>
      </c>
      <c r="V1531" s="8"/>
      <c r="W1531" s="8"/>
      <c r="X1531" s="8"/>
      <c r="Y1531" s="8"/>
      <c r="Z1531" s="8"/>
    </row>
    <row r="1532" spans="1:26" ht="12.75">
      <c r="A1532" s="11">
        <v>43746.173321759255</v>
      </c>
      <c r="B1532" s="12" t="str">
        <f>HYPERLINK("https://twitter.com/zoomarang","@zoomarang")</f>
        <v>@zoomarang</v>
      </c>
      <c r="C1532" s="13" t="s">
        <v>9004</v>
      </c>
      <c r="D1532" s="13" t="s">
        <v>9005</v>
      </c>
      <c r="E1532" s="12" t="str">
        <f>HYPERLINK("https://twitter.com/zoomarang/status/1181527052991770624","1181527052991770624")</f>
        <v>1181527052991770624</v>
      </c>
      <c r="F1532" s="8"/>
      <c r="G1532" s="15"/>
      <c r="H1532" s="8"/>
      <c r="I1532" s="15">
        <v>0</v>
      </c>
      <c r="J1532" s="15">
        <v>0</v>
      </c>
      <c r="K1532" s="12" t="str">
        <f>HYPERLINK("http://twitter.com/download/iphone","Twitter for iPhone")</f>
        <v>Twitter for iPhone</v>
      </c>
      <c r="L1532" s="16">
        <v>10071</v>
      </c>
      <c r="M1532" s="16">
        <v>10188</v>
      </c>
      <c r="N1532" s="16">
        <v>370</v>
      </c>
      <c r="O1532" s="17"/>
      <c r="P1532" s="18">
        <v>39904.388773148152</v>
      </c>
      <c r="Q1532" s="7" t="s">
        <v>9008</v>
      </c>
      <c r="R1532" s="13" t="s">
        <v>9009</v>
      </c>
      <c r="S1532" s="8"/>
      <c r="T1532" s="8"/>
      <c r="U1532" s="19" t="str">
        <f>HYPERLINK("https://pbs.twimg.com/profile_images/388447546/Desert_Landscape.jpg","View")</f>
        <v>View</v>
      </c>
      <c r="V1532" s="8"/>
      <c r="W1532" s="8"/>
      <c r="X1532" s="8"/>
      <c r="Y1532" s="8"/>
      <c r="Z1532" s="8"/>
    </row>
    <row r="1533" spans="1:26" ht="12.75">
      <c r="A1533" s="11">
        <v>43746.17287037037</v>
      </c>
      <c r="B1533" s="12" t="str">
        <f>HYPERLINK("https://twitter.com/SaabiqaQ","@SaabiqaQ")</f>
        <v>@SaabiqaQ</v>
      </c>
      <c r="C1533" s="7" t="s">
        <v>9020</v>
      </c>
      <c r="D1533" s="7" t="s">
        <v>914</v>
      </c>
      <c r="E1533" s="12" t="str">
        <f>HYPERLINK("https://twitter.com/SaabiqaQ/status/1181526886125490176","1181526886125490176")</f>
        <v>1181526886125490176</v>
      </c>
      <c r="F1533" s="8"/>
      <c r="G1533" s="14" t="s">
        <v>917</v>
      </c>
      <c r="H1533" s="8"/>
      <c r="I1533" s="15">
        <v>0</v>
      </c>
      <c r="J1533" s="15">
        <v>0</v>
      </c>
      <c r="K1533" s="12" t="str">
        <f>HYPERLINK("https://mobile.twitter.com","Twitter Web App")</f>
        <v>Twitter Web App</v>
      </c>
      <c r="L1533" s="16">
        <v>0</v>
      </c>
      <c r="M1533" s="16">
        <v>0</v>
      </c>
      <c r="N1533" s="16">
        <v>0</v>
      </c>
      <c r="O1533" s="17"/>
      <c r="P1533" s="18">
        <v>43736.911608796298</v>
      </c>
      <c r="Q1533" s="7" t="s">
        <v>1612</v>
      </c>
      <c r="R1533" s="13" t="s">
        <v>1917</v>
      </c>
      <c r="S1533" s="8"/>
      <c r="T1533" s="8"/>
      <c r="U1533" s="19" t="str">
        <f>HYPERLINK("https://pbs.twimg.com/profile_images/1180773654889517056/v9106sC4.jpg","View")</f>
        <v>View</v>
      </c>
      <c r="V1533" s="8"/>
      <c r="W1533" s="8"/>
      <c r="X1533" s="8"/>
      <c r="Y1533" s="8"/>
      <c r="Z1533" s="8"/>
    </row>
    <row r="1534" spans="1:26" ht="12.75">
      <c r="A1534" s="11">
        <v>43746.172025462962</v>
      </c>
      <c r="B1534" s="12" t="str">
        <f>HYPERLINK("https://twitter.com/ar_predictions","@ar_predictions")</f>
        <v>@ar_predictions</v>
      </c>
      <c r="C1534" s="13" t="s">
        <v>9026</v>
      </c>
      <c r="D1534" s="7" t="s">
        <v>9027</v>
      </c>
      <c r="E1534" s="12" t="str">
        <f>HYPERLINK("https://twitter.com/ar_predictions/status/1181526583552684032","1181526583552684032")</f>
        <v>1181526583552684032</v>
      </c>
      <c r="F1534" s="8"/>
      <c r="G1534" s="15"/>
      <c r="H1534" s="8"/>
      <c r="I1534" s="15">
        <v>1</v>
      </c>
      <c r="J1534" s="15">
        <v>1</v>
      </c>
      <c r="K1534" s="12" t="str">
        <f>HYPERLINK("https://mobile.twitter.com","Twitter Web App")</f>
        <v>Twitter Web App</v>
      </c>
      <c r="L1534" s="16">
        <v>28651</v>
      </c>
      <c r="M1534" s="16">
        <v>1911</v>
      </c>
      <c r="N1534" s="16">
        <v>166</v>
      </c>
      <c r="O1534" s="17"/>
      <c r="P1534" s="18">
        <v>40838.358622685184</v>
      </c>
      <c r="Q1534" s="7" t="s">
        <v>9028</v>
      </c>
      <c r="R1534" s="13" t="s">
        <v>9029</v>
      </c>
      <c r="S1534" s="8"/>
      <c r="T1534" s="8"/>
      <c r="U1534" s="19" t="str">
        <f>HYPERLINK("https://pbs.twimg.com/profile_images/734436603951779840/C8QWzLgS.jpg","View")</f>
        <v>View</v>
      </c>
      <c r="V1534" s="8"/>
      <c r="W1534" s="8"/>
      <c r="X1534" s="8"/>
      <c r="Y1534" s="8"/>
      <c r="Z1534" s="8"/>
    </row>
    <row r="1535" spans="1:26" ht="12.75">
      <c r="A1535" s="11">
        <v>43746.171400462961</v>
      </c>
      <c r="B1535" s="12" t="str">
        <f>HYPERLINK("https://twitter.com/ElKinaana","@ElKinaana")</f>
        <v>@ElKinaana</v>
      </c>
      <c r="C1535" s="13" t="s">
        <v>9042</v>
      </c>
      <c r="D1535" s="7" t="s">
        <v>914</v>
      </c>
      <c r="E1535" s="12" t="str">
        <f>HYPERLINK("https://twitter.com/ElKinaana/status/1181526355717943296","1181526355717943296")</f>
        <v>1181526355717943296</v>
      </c>
      <c r="F1535" s="8"/>
      <c r="G1535" s="14" t="s">
        <v>917</v>
      </c>
      <c r="H1535" s="8"/>
      <c r="I1535" s="15">
        <v>0</v>
      </c>
      <c r="J1535" s="15">
        <v>0</v>
      </c>
      <c r="K1535" s="12" t="str">
        <f>HYPERLINK("https://mobile.twitter.com","Twitter Web App")</f>
        <v>Twitter Web App</v>
      </c>
      <c r="L1535" s="16">
        <v>0</v>
      </c>
      <c r="M1535" s="16">
        <v>0</v>
      </c>
      <c r="N1535" s="16">
        <v>0</v>
      </c>
      <c r="O1535" s="17"/>
      <c r="P1535" s="18">
        <v>43736.909039351856</v>
      </c>
      <c r="Q1535" s="7" t="s">
        <v>1454</v>
      </c>
      <c r="R1535" s="13" t="s">
        <v>1565</v>
      </c>
      <c r="S1535" s="8"/>
      <c r="T1535" s="8"/>
      <c r="U1535" s="19" t="str">
        <f>HYPERLINK("https://pbs.twimg.com/profile_images/1180773346595598338/YSCxtuCx.jpg","View")</f>
        <v>View</v>
      </c>
      <c r="V1535" s="8"/>
      <c r="W1535" s="8"/>
      <c r="X1535" s="8"/>
      <c r="Y1535" s="8"/>
      <c r="Z1535" s="8"/>
    </row>
    <row r="1536" spans="1:26" ht="12.75">
      <c r="A1536" s="11">
        <v>43746.170995370368</v>
      </c>
      <c r="B1536" s="12" t="str">
        <f>HYPERLINK("https://twitter.com/MubarakMelek","@MubarakMelek")</f>
        <v>@MubarakMelek</v>
      </c>
      <c r="C1536" s="13" t="s">
        <v>9052</v>
      </c>
      <c r="D1536" s="13" t="s">
        <v>1178</v>
      </c>
      <c r="E1536" s="12" t="str">
        <f>HYPERLINK("https://twitter.com/MubarakMelek/status/1181526208313348096","1181526208313348096")</f>
        <v>1181526208313348096</v>
      </c>
      <c r="F1536" s="8"/>
      <c r="G1536" s="14" t="s">
        <v>9053</v>
      </c>
      <c r="H1536" s="8"/>
      <c r="I1536" s="15">
        <v>0</v>
      </c>
      <c r="J1536" s="15">
        <v>0</v>
      </c>
      <c r="K1536" s="12" t="str">
        <f>HYPERLINK("https://mobile.twitter.com","Twitter Web App")</f>
        <v>Twitter Web App</v>
      </c>
      <c r="L1536" s="16">
        <v>0</v>
      </c>
      <c r="M1536" s="16">
        <v>0</v>
      </c>
      <c r="N1536" s="16">
        <v>0</v>
      </c>
      <c r="O1536" s="17"/>
      <c r="P1536" s="18">
        <v>43732.154074074075</v>
      </c>
      <c r="Q1536" s="8" t="s">
        <v>928</v>
      </c>
      <c r="R1536" s="8" t="s">
        <v>1552</v>
      </c>
      <c r="S1536" s="8"/>
      <c r="T1536" s="8"/>
      <c r="U1536" s="19" t="str">
        <f>HYPERLINK("https://pbs.twimg.com/profile_images/1181512747193782272/Gv6SVTDB.jpg","View")</f>
        <v>View</v>
      </c>
      <c r="V1536" s="8"/>
      <c r="W1536" s="8"/>
      <c r="X1536" s="8"/>
      <c r="Y1536" s="8"/>
      <c r="Z1536" s="8"/>
    </row>
    <row r="1537" spans="1:26" ht="12.75">
      <c r="A1537" s="11">
        <v>43746.170567129629</v>
      </c>
      <c r="B1537" s="12" t="str">
        <f>HYPERLINK("https://twitter.com/MelihMuietaeuib","@MelihMuietaeuib")</f>
        <v>@MelihMuietaeuib</v>
      </c>
      <c r="C1537" s="13" t="s">
        <v>9071</v>
      </c>
      <c r="D1537" s="13" t="s">
        <v>458</v>
      </c>
      <c r="E1537" s="12" t="str">
        <f>HYPERLINK("https://twitter.com/MelihMuietaeuib/status/1181526053858299910","1181526053858299910")</f>
        <v>1181526053858299910</v>
      </c>
      <c r="F1537" s="8"/>
      <c r="G1537" s="14" t="s">
        <v>9072</v>
      </c>
      <c r="H1537" s="8"/>
      <c r="I1537" s="15">
        <v>0</v>
      </c>
      <c r="J1537" s="15">
        <v>0</v>
      </c>
      <c r="K1537" s="12" t="str">
        <f>HYPERLINK("http://twitter.com","Twitter Web Client")</f>
        <v>Twitter Web Client</v>
      </c>
      <c r="L1537" s="16">
        <v>0</v>
      </c>
      <c r="M1537" s="16">
        <v>32</v>
      </c>
      <c r="N1537" s="16">
        <v>0</v>
      </c>
      <c r="O1537" s="17"/>
      <c r="P1537" s="18">
        <v>41826.124421296292</v>
      </c>
      <c r="Q1537" s="8"/>
      <c r="R1537" s="8"/>
      <c r="S1537" s="8"/>
      <c r="T1537" s="8"/>
      <c r="U1537" s="19" t="str">
        <f>HYPERLINK("https://pbs.twimg.com/profile_images/485725047839928322/O4mZLloH.jpeg","View")</f>
        <v>View</v>
      </c>
      <c r="V1537" s="8"/>
      <c r="W1537" s="8"/>
      <c r="X1537" s="8"/>
      <c r="Y1537" s="8"/>
      <c r="Z1537" s="8"/>
    </row>
    <row r="1538" spans="1:26" ht="12.75">
      <c r="A1538" s="11">
        <v>43746.170289351852</v>
      </c>
      <c r="B1538" s="12" t="str">
        <f>HYPERLINK("https://twitter.com/agaab87533","@agaab87533")</f>
        <v>@agaab87533</v>
      </c>
      <c r="C1538" s="13" t="s">
        <v>9078</v>
      </c>
      <c r="D1538" s="7" t="s">
        <v>2333</v>
      </c>
      <c r="E1538" s="12" t="str">
        <f>HYPERLINK("https://twitter.com/agaab87533/status/1181525954809741312","1181525954809741312")</f>
        <v>1181525954809741312</v>
      </c>
      <c r="F1538" s="8"/>
      <c r="G1538" s="14" t="s">
        <v>9079</v>
      </c>
      <c r="H1538" s="8"/>
      <c r="I1538" s="15">
        <v>0</v>
      </c>
      <c r="J1538" s="15">
        <v>0</v>
      </c>
      <c r="K1538" s="12" t="str">
        <f>HYPERLINK("http://twitter.com","Twitter Web Client")</f>
        <v>Twitter Web Client</v>
      </c>
      <c r="L1538" s="16">
        <v>5</v>
      </c>
      <c r="M1538" s="16">
        <v>33</v>
      </c>
      <c r="N1538" s="16">
        <v>0</v>
      </c>
      <c r="O1538" s="17"/>
      <c r="P1538" s="18">
        <v>42071.292013888888</v>
      </c>
      <c r="Q1538" s="7"/>
      <c r="R1538" s="13"/>
      <c r="S1538" s="8"/>
      <c r="T1538" s="8"/>
      <c r="U1538" s="19" t="str">
        <f>HYPERLINK("https://pbs.twimg.com/profile_images/574570514766651392/Xh0Ly6Q6.jpeg","View")</f>
        <v>View</v>
      </c>
      <c r="V1538" s="8"/>
      <c r="W1538" s="8"/>
      <c r="X1538" s="8"/>
      <c r="Y1538" s="8"/>
      <c r="Z1538" s="8"/>
    </row>
    <row r="1539" spans="1:26" ht="12.75">
      <c r="A1539" s="11">
        <v>43746.170162037037</v>
      </c>
      <c r="B1539" s="12" t="str">
        <f>HYPERLINK("https://twitter.com/elzaharan_564","@elzaharan_564")</f>
        <v>@elzaharan_564</v>
      </c>
      <c r="C1539" s="13" t="s">
        <v>9082</v>
      </c>
      <c r="D1539" s="13" t="s">
        <v>1309</v>
      </c>
      <c r="E1539" s="12" t="str">
        <f>HYPERLINK("https://twitter.com/elzaharan_564/status/1181525905463791617","1181525905463791617")</f>
        <v>1181525905463791617</v>
      </c>
      <c r="F1539" s="8"/>
      <c r="G1539" s="14" t="s">
        <v>9084</v>
      </c>
      <c r="H1539" s="8"/>
      <c r="I1539" s="15">
        <v>0</v>
      </c>
      <c r="J1539" s="15">
        <v>0</v>
      </c>
      <c r="K1539" s="12" t="str">
        <f>HYPERLINK("http://twitter.com","Twitter Web Client")</f>
        <v>Twitter Web Client</v>
      </c>
      <c r="L1539" s="16">
        <v>13</v>
      </c>
      <c r="M1539" s="16">
        <v>40</v>
      </c>
      <c r="N1539" s="16">
        <v>0</v>
      </c>
      <c r="O1539" s="17"/>
      <c r="P1539" s="18">
        <v>42075.500324074077</v>
      </c>
      <c r="Q1539" s="8"/>
      <c r="R1539" s="8"/>
      <c r="S1539" s="8"/>
      <c r="T1539" s="8"/>
      <c r="U1539" s="19" t="str">
        <f>HYPERLINK("https://pbs.twimg.com/profile_images/576095573461221376/SvroKusJ.jpeg","View")</f>
        <v>View</v>
      </c>
      <c r="V1539" s="8"/>
      <c r="W1539" s="8"/>
      <c r="X1539" s="8"/>
      <c r="Y1539" s="8"/>
      <c r="Z1539" s="8"/>
    </row>
    <row r="1540" spans="1:26" ht="12.75">
      <c r="A1540" s="11">
        <v>43746.16988425926</v>
      </c>
      <c r="B1540" s="12" t="str">
        <f>HYPERLINK("https://twitter.com/IbrahimasiriYa","@IbrahimasiriYa")</f>
        <v>@IbrahimasiriYa</v>
      </c>
      <c r="C1540" s="13" t="s">
        <v>9090</v>
      </c>
      <c r="D1540" s="13" t="s">
        <v>9091</v>
      </c>
      <c r="E1540" s="12" t="str">
        <f>HYPERLINK("https://twitter.com/IbrahimasiriYa/status/1181525804452372480","1181525804452372480")</f>
        <v>1181525804452372480</v>
      </c>
      <c r="F1540" s="8"/>
      <c r="G1540" s="14" t="s">
        <v>9092</v>
      </c>
      <c r="H1540" s="8"/>
      <c r="I1540" s="15">
        <v>0</v>
      </c>
      <c r="J1540" s="15">
        <v>0</v>
      </c>
      <c r="K1540" s="12" t="str">
        <f>HYPERLINK("http://twitter.com","Twitter Web Client")</f>
        <v>Twitter Web Client</v>
      </c>
      <c r="L1540" s="16">
        <v>0</v>
      </c>
      <c r="M1540" s="16">
        <v>25</v>
      </c>
      <c r="N1540" s="16">
        <v>0</v>
      </c>
      <c r="O1540" s="17"/>
      <c r="P1540" s="18">
        <v>41825.26</v>
      </c>
      <c r="Q1540" s="8"/>
      <c r="R1540" s="8"/>
      <c r="S1540" s="8"/>
      <c r="T1540" s="8"/>
      <c r="U1540" s="19" t="str">
        <f>HYPERLINK("https://pbs.twimg.com/profile_images/485412904385015809/Ni6xCiXt.jpeg","View")</f>
        <v>View</v>
      </c>
      <c r="V1540" s="8"/>
      <c r="W1540" s="8"/>
      <c r="X1540" s="8"/>
      <c r="Y1540" s="8"/>
      <c r="Z1540" s="8"/>
    </row>
    <row r="1541" spans="1:26" ht="12.75">
      <c r="A1541" s="11">
        <v>43746.169479166667</v>
      </c>
      <c r="B1541" s="12" t="str">
        <f>HYPERLINK("https://twitter.com/atallahbalawi1","@atallahbalawi1")</f>
        <v>@atallahbalawi1</v>
      </c>
      <c r="C1541" s="13" t="s">
        <v>9103</v>
      </c>
      <c r="D1541" s="13" t="s">
        <v>1316</v>
      </c>
      <c r="E1541" s="12" t="str">
        <f>HYPERLINK("https://twitter.com/atallahbalawi1/status/1181525657332965376","1181525657332965376")</f>
        <v>1181525657332965376</v>
      </c>
      <c r="F1541" s="8"/>
      <c r="G1541" s="14" t="s">
        <v>9104</v>
      </c>
      <c r="H1541" s="8"/>
      <c r="I1541" s="15">
        <v>0</v>
      </c>
      <c r="J1541" s="15">
        <v>0</v>
      </c>
      <c r="K1541" s="12" t="str">
        <f>HYPERLINK("http://twitter.com","Twitter Web Client")</f>
        <v>Twitter Web Client</v>
      </c>
      <c r="L1541" s="16">
        <v>2</v>
      </c>
      <c r="M1541" s="16">
        <v>42</v>
      </c>
      <c r="N1541" s="16">
        <v>0</v>
      </c>
      <c r="O1541" s="17"/>
      <c r="P1541" s="18">
        <v>42023.174212962964</v>
      </c>
      <c r="Q1541" s="8"/>
      <c r="R1541" s="8"/>
      <c r="S1541" s="8"/>
      <c r="T1541" s="8"/>
      <c r="U1541" s="19" t="str">
        <f>HYPERLINK("https://pbs.twimg.com/profile_images/557150335240658944/qlIgw_yp.jpeg","View")</f>
        <v>View</v>
      </c>
      <c r="V1541" s="8"/>
      <c r="W1541" s="8"/>
      <c r="X1541" s="8"/>
      <c r="Y1541" s="8"/>
      <c r="Z1541" s="8"/>
    </row>
    <row r="1542" spans="1:26" ht="12.75">
      <c r="A1542" s="11">
        <v>43746.167673611111</v>
      </c>
      <c r="B1542" s="12" t="str">
        <f>HYPERLINK("https://twitter.com/ShaamilaZ","@ShaamilaZ")</f>
        <v>@ShaamilaZ</v>
      </c>
      <c r="C1542" s="13" t="s">
        <v>9118</v>
      </c>
      <c r="D1542" s="13" t="s">
        <v>28</v>
      </c>
      <c r="E1542" s="12" t="str">
        <f>HYPERLINK("https://twitter.com/ShaamilaZ/status/1181525004715876352","1181525004715876352")</f>
        <v>1181525004715876352</v>
      </c>
      <c r="F1542" s="8"/>
      <c r="G1542" s="14" t="s">
        <v>31</v>
      </c>
      <c r="H1542" s="8"/>
      <c r="I1542" s="15">
        <v>0</v>
      </c>
      <c r="J1542" s="15">
        <v>0</v>
      </c>
      <c r="K1542" s="12" t="str">
        <f>HYPERLINK("https://mobile.twitter.com","Twitter Web App")</f>
        <v>Twitter Web App</v>
      </c>
      <c r="L1542" s="16">
        <v>0</v>
      </c>
      <c r="M1542" s="16">
        <v>0</v>
      </c>
      <c r="N1542" s="16">
        <v>0</v>
      </c>
      <c r="O1542" s="17"/>
      <c r="P1542" s="18">
        <v>43739.95107638889</v>
      </c>
      <c r="Q1542" s="8" t="s">
        <v>1355</v>
      </c>
      <c r="R1542" s="8" t="s">
        <v>2443</v>
      </c>
      <c r="S1542" s="8"/>
      <c r="T1542" s="8"/>
      <c r="U1542" s="19" t="str">
        <f>HYPERLINK("https://pbs.twimg.com/profile_images/1180437960719683586/WI_-smW5.jpg","View")</f>
        <v>View</v>
      </c>
      <c r="V1542" s="8"/>
      <c r="W1542" s="8"/>
      <c r="X1542" s="8"/>
      <c r="Y1542" s="8"/>
      <c r="Z1542" s="8"/>
    </row>
    <row r="1543" spans="1:26" ht="12.75">
      <c r="A1543" s="11">
        <v>43746.167337962965</v>
      </c>
      <c r="B1543" s="12" t="str">
        <f>HYPERLINK("https://twitter.com/AlRaafida","@AlRaafida")</f>
        <v>@AlRaafida</v>
      </c>
      <c r="C1543" s="13" t="s">
        <v>9119</v>
      </c>
      <c r="D1543" s="13" t="s">
        <v>968</v>
      </c>
      <c r="E1543" s="12" t="str">
        <f>HYPERLINK("https://twitter.com/AlRaafida/status/1181524885127884800","1181524885127884800")</f>
        <v>1181524885127884800</v>
      </c>
      <c r="F1543" s="8"/>
      <c r="G1543" s="14" t="s">
        <v>9120</v>
      </c>
      <c r="H1543" s="8"/>
      <c r="I1543" s="15">
        <v>0</v>
      </c>
      <c r="J1543" s="15">
        <v>0</v>
      </c>
      <c r="K1543" s="12" t="str">
        <f>HYPERLINK("https://mobile.twitter.com","Twitter Web App")</f>
        <v>Twitter Web App</v>
      </c>
      <c r="L1543" s="16">
        <v>0</v>
      </c>
      <c r="M1543" s="16">
        <v>0</v>
      </c>
      <c r="N1543" s="16">
        <v>0</v>
      </c>
      <c r="O1543" s="17"/>
      <c r="P1543" s="18">
        <v>43739.947083333333</v>
      </c>
      <c r="Q1543" s="8" t="s">
        <v>1133</v>
      </c>
      <c r="R1543" s="8" t="s">
        <v>1606</v>
      </c>
      <c r="S1543" s="8"/>
      <c r="T1543" s="8"/>
      <c r="U1543" s="19" t="str">
        <f>HYPERLINK("https://pbs.twimg.com/profile_images/1180436932762824709/gE_vf08h.jpg","View")</f>
        <v>View</v>
      </c>
      <c r="V1543" s="8"/>
      <c r="W1543" s="8"/>
      <c r="X1543" s="8"/>
      <c r="Y1543" s="8"/>
      <c r="Z1543" s="8"/>
    </row>
    <row r="1544" spans="1:26" ht="12.75">
      <c r="A1544" s="11">
        <v>43746.167118055557</v>
      </c>
      <c r="B1544" s="12" t="str">
        <f>HYPERLINK("https://twitter.com/assad_awda","@assad_awda")</f>
        <v>@assad_awda</v>
      </c>
      <c r="C1544" s="13" t="s">
        <v>9121</v>
      </c>
      <c r="D1544" s="7" t="s">
        <v>944</v>
      </c>
      <c r="E1544" s="12" t="str">
        <f>HYPERLINK("https://twitter.com/assad_awda/status/1181524803942895617","1181524803942895617")</f>
        <v>1181524803942895617</v>
      </c>
      <c r="F1544" s="8"/>
      <c r="G1544" s="14" t="s">
        <v>9122</v>
      </c>
      <c r="H1544" s="8"/>
      <c r="I1544" s="15">
        <v>0</v>
      </c>
      <c r="J1544" s="15">
        <v>0</v>
      </c>
      <c r="K1544" s="12" t="str">
        <f>HYPERLINK("https://mobile.twitter.com","Twitter Web App")</f>
        <v>Twitter Web App</v>
      </c>
      <c r="L1544" s="16">
        <v>0</v>
      </c>
      <c r="M1544" s="16">
        <v>0</v>
      </c>
      <c r="N1544" s="16">
        <v>0</v>
      </c>
      <c r="O1544" s="17"/>
      <c r="P1544" s="18">
        <v>43739.936030092591</v>
      </c>
      <c r="Q1544" s="7" t="s">
        <v>949</v>
      </c>
      <c r="R1544" s="13" t="s">
        <v>1075</v>
      </c>
      <c r="S1544" s="8"/>
      <c r="T1544" s="8"/>
      <c r="U1544" s="19" t="str">
        <f>HYPERLINK("https://pbs.twimg.com/profile_images/1180434451886592001/orT9UzC2.jpg","View")</f>
        <v>View</v>
      </c>
      <c r="V1544" s="8"/>
      <c r="W1544" s="8"/>
      <c r="X1544" s="8"/>
      <c r="Y1544" s="8"/>
      <c r="Z1544" s="8"/>
    </row>
    <row r="1545" spans="1:26" ht="12.75">
      <c r="A1545" s="11">
        <v>43746.166817129633</v>
      </c>
      <c r="B1545" s="12" t="str">
        <f>HYPERLINK("https://twitter.com/RaufMarwa","@RaufMarwa")</f>
        <v>@RaufMarwa</v>
      </c>
      <c r="C1545" s="13" t="s">
        <v>9123</v>
      </c>
      <c r="D1545" s="13" t="s">
        <v>1030</v>
      </c>
      <c r="E1545" s="12" t="str">
        <f>HYPERLINK("https://twitter.com/RaufMarwa/status/1181524693519454211","1181524693519454211")</f>
        <v>1181524693519454211</v>
      </c>
      <c r="F1545" s="8"/>
      <c r="G1545" s="14" t="s">
        <v>9124</v>
      </c>
      <c r="H1545" s="8"/>
      <c r="I1545" s="15">
        <v>0</v>
      </c>
      <c r="J1545" s="15">
        <v>0</v>
      </c>
      <c r="K1545" s="12" t="str">
        <f>HYPERLINK("https://mobile.twitter.com","Twitter Web App")</f>
        <v>Twitter Web App</v>
      </c>
      <c r="L1545" s="16">
        <v>0</v>
      </c>
      <c r="M1545" s="16">
        <v>0</v>
      </c>
      <c r="N1545" s="16">
        <v>0</v>
      </c>
      <c r="O1545" s="17"/>
      <c r="P1545" s="18">
        <v>43739.928784722222</v>
      </c>
      <c r="Q1545" s="13" t="s">
        <v>928</v>
      </c>
      <c r="R1545" s="13" t="s">
        <v>1552</v>
      </c>
      <c r="S1545" s="8"/>
      <c r="T1545" s="8"/>
      <c r="U1545" s="19" t="str">
        <f>HYPERLINK("https://pbs.twimg.com/profile_images/1180433614388912130/cHLZCyP5.jpg","View")</f>
        <v>View</v>
      </c>
      <c r="V1545" s="8"/>
      <c r="W1545" s="8"/>
      <c r="X1545" s="8"/>
      <c r="Y1545" s="8"/>
      <c r="Z1545" s="8"/>
    </row>
    <row r="1546" spans="1:26" ht="12.75">
      <c r="A1546" s="11">
        <v>43746.166678240741</v>
      </c>
      <c r="B1546" s="12" t="str">
        <f>HYPERLINK("https://twitter.com/bngorion","@bngorion")</f>
        <v>@bngorion</v>
      </c>
      <c r="C1546" s="13" t="s">
        <v>9125</v>
      </c>
      <c r="D1546" s="7" t="s">
        <v>9126</v>
      </c>
      <c r="E1546" s="12" t="str">
        <f>HYPERLINK("https://twitter.com/bngorion/status/1181524645633232897","1181524645633232897")</f>
        <v>1181524645633232897</v>
      </c>
      <c r="F1546" s="14" t="s">
        <v>9127</v>
      </c>
      <c r="G1546" s="14" t="s">
        <v>9128</v>
      </c>
      <c r="H1546" s="8"/>
      <c r="I1546" s="15">
        <v>0</v>
      </c>
      <c r="J1546" s="15">
        <v>1</v>
      </c>
      <c r="K1546" s="12" t="str">
        <f>HYPERLINK("http://twitter.com/download/android","Twitter for Android")</f>
        <v>Twitter for Android</v>
      </c>
      <c r="L1546" s="16">
        <v>170</v>
      </c>
      <c r="M1546" s="16">
        <v>344</v>
      </c>
      <c r="N1546" s="16">
        <v>1</v>
      </c>
      <c r="O1546" s="17"/>
      <c r="P1546" s="18">
        <v>43059.904814814814</v>
      </c>
      <c r="Q1546" s="7" t="s">
        <v>3435</v>
      </c>
      <c r="R1546" s="13" t="s">
        <v>9132</v>
      </c>
      <c r="S1546" s="8"/>
      <c r="T1546" s="8"/>
      <c r="U1546" s="19" t="str">
        <f>HYPERLINK("https://pbs.twimg.com/profile_images/1135711591469654016/5fdk8XVI.jpg","View")</f>
        <v>View</v>
      </c>
      <c r="V1546" s="8"/>
      <c r="W1546" s="8"/>
      <c r="X1546" s="8"/>
      <c r="Y1546" s="8"/>
      <c r="Z1546" s="8"/>
    </row>
    <row r="1547" spans="1:26" ht="12.75">
      <c r="A1547" s="11">
        <v>43746.1637037037</v>
      </c>
      <c r="B1547" s="12" t="str">
        <f>HYPERLINK("https://twitter.com/Over45StillFly","@Over45StillFly")</f>
        <v>@Over45StillFly</v>
      </c>
      <c r="C1547" s="13" t="s">
        <v>9134</v>
      </c>
      <c r="D1547" s="13" t="s">
        <v>9135</v>
      </c>
      <c r="E1547" s="12" t="str">
        <f>HYPERLINK("https://twitter.com/Over45StillFly/status/1181523564731744256","1181523564731744256")</f>
        <v>1181523564731744256</v>
      </c>
      <c r="F1547" s="8"/>
      <c r="G1547" s="14" t="s">
        <v>9136</v>
      </c>
      <c r="H1547" s="8"/>
      <c r="I1547" s="15">
        <v>0</v>
      </c>
      <c r="J1547" s="15">
        <v>0</v>
      </c>
      <c r="K1547" s="12" t="str">
        <f>HYPERLINK("http://twitter.com/download/android","Twitter for Android")</f>
        <v>Twitter for Android</v>
      </c>
      <c r="L1547" s="16">
        <v>566</v>
      </c>
      <c r="M1547" s="16">
        <v>780</v>
      </c>
      <c r="N1547" s="16">
        <v>4</v>
      </c>
      <c r="O1547" s="17"/>
      <c r="P1547" s="18">
        <v>41620.442523148144</v>
      </c>
      <c r="Q1547" s="7"/>
      <c r="R1547" s="13" t="s">
        <v>9137</v>
      </c>
      <c r="S1547" s="14" t="s">
        <v>9138</v>
      </c>
      <c r="T1547" s="8"/>
      <c r="U1547" s="19" t="str">
        <f>HYPERLINK("https://pbs.twimg.com/profile_images/861716990213410816/UxQHLmfi.jpg","View")</f>
        <v>View</v>
      </c>
      <c r="V1547" s="8"/>
      <c r="W1547" s="8"/>
      <c r="X1547" s="8"/>
      <c r="Y1547" s="8"/>
      <c r="Z1547" s="8"/>
    </row>
    <row r="1548" spans="1:26" ht="12.75">
      <c r="A1548" s="11">
        <v>43746.16238425926</v>
      </c>
      <c r="B1548" s="12" t="str">
        <f>HYPERLINK("https://twitter.com/AkelAmmaar","@AkelAmmaar")</f>
        <v>@AkelAmmaar</v>
      </c>
      <c r="C1548" s="13" t="s">
        <v>9139</v>
      </c>
      <c r="D1548" s="13" t="s">
        <v>1236</v>
      </c>
      <c r="E1548" s="12" t="str">
        <f>HYPERLINK("https://twitter.com/AkelAmmaar/status/1181523089114292225","1181523089114292225")</f>
        <v>1181523089114292225</v>
      </c>
      <c r="F1548" s="8"/>
      <c r="G1548" s="14" t="s">
        <v>9140</v>
      </c>
      <c r="H1548" s="8"/>
      <c r="I1548" s="15">
        <v>0</v>
      </c>
      <c r="J1548" s="15">
        <v>0</v>
      </c>
      <c r="K1548" s="12" t="str">
        <f>HYPERLINK("https://mobile.twitter.com","Twitter Web App")</f>
        <v>Twitter Web App</v>
      </c>
      <c r="L1548" s="16">
        <v>0</v>
      </c>
      <c r="M1548" s="16">
        <v>0</v>
      </c>
      <c r="N1548" s="16">
        <v>0</v>
      </c>
      <c r="O1548" s="17"/>
      <c r="P1548" s="18">
        <v>43739.957858796297</v>
      </c>
      <c r="Q1548" s="8" t="s">
        <v>1916</v>
      </c>
      <c r="R1548" s="8" t="s">
        <v>1135</v>
      </c>
      <c r="S1548" s="8"/>
      <c r="T1548" s="8"/>
      <c r="U1548" s="19" t="str">
        <f>HYPERLINK("https://pbs.twimg.com/profile_images/1181523040556867584/0OfJwXND.jpg","View")</f>
        <v>View</v>
      </c>
      <c r="V1548" s="8"/>
      <c r="W1548" s="8"/>
      <c r="X1548" s="8"/>
      <c r="Y1548" s="8"/>
      <c r="Z1548" s="8"/>
    </row>
    <row r="1549" spans="1:26" ht="12.75">
      <c r="A1549" s="11">
        <v>43746.149745370371</v>
      </c>
      <c r="B1549" s="12" t="str">
        <f>HYPERLINK("https://twitter.com/al3azamii_74","@al3azamii_74")</f>
        <v>@al3azamii_74</v>
      </c>
      <c r="C1549" s="13" t="s">
        <v>9169</v>
      </c>
      <c r="D1549" s="13" t="s">
        <v>489</v>
      </c>
      <c r="E1549" s="12" t="str">
        <f>HYPERLINK("https://twitter.com/al3azamii_74/status/1181518508242407424","1181518508242407424")</f>
        <v>1181518508242407424</v>
      </c>
      <c r="F1549" s="8"/>
      <c r="G1549" s="14" t="s">
        <v>9170</v>
      </c>
      <c r="H1549" s="8"/>
      <c r="I1549" s="15">
        <v>0</v>
      </c>
      <c r="J1549" s="15">
        <v>0</v>
      </c>
      <c r="K1549" s="12" t="str">
        <f>HYPERLINK("http://twitter.com","Twitter Web Client")</f>
        <v>Twitter Web Client</v>
      </c>
      <c r="L1549" s="16">
        <v>2</v>
      </c>
      <c r="M1549" s="16">
        <v>25</v>
      </c>
      <c r="N1549" s="16">
        <v>0</v>
      </c>
      <c r="O1549" s="17"/>
      <c r="P1549" s="18">
        <v>41845.791226851856</v>
      </c>
      <c r="Q1549" s="8"/>
      <c r="R1549" s="8"/>
      <c r="S1549" s="8"/>
      <c r="T1549" s="8"/>
      <c r="U1549" s="19" t="str">
        <f>HYPERLINK("https://pbs.twimg.com/profile_images/492851831295311872/igFxFZ44.jpeg","View")</f>
        <v>View</v>
      </c>
      <c r="V1549" s="8"/>
      <c r="W1549" s="8"/>
      <c r="X1549" s="8"/>
      <c r="Y1549" s="8"/>
      <c r="Z1549" s="8"/>
    </row>
    <row r="1550" spans="1:26" ht="12.75">
      <c r="A1550" s="11">
        <v>43746.149467592593</v>
      </c>
      <c r="B1550" s="12" t="str">
        <f>HYPERLINK("https://twitter.com/rage7_esmail","@rage7_esmail")</f>
        <v>@rage7_esmail</v>
      </c>
      <c r="C1550" s="13" t="s">
        <v>9171</v>
      </c>
      <c r="D1550" s="13" t="s">
        <v>2361</v>
      </c>
      <c r="E1550" s="12" t="str">
        <f>HYPERLINK("https://twitter.com/rage7_esmail/status/1181518407218450432","1181518407218450432")</f>
        <v>1181518407218450432</v>
      </c>
      <c r="F1550" s="8"/>
      <c r="G1550" s="14" t="s">
        <v>9172</v>
      </c>
      <c r="H1550" s="8"/>
      <c r="I1550" s="15">
        <v>0</v>
      </c>
      <c r="J1550" s="15">
        <v>0</v>
      </c>
      <c r="K1550" s="12" t="str">
        <f>HYPERLINK("http://twitter.com","Twitter Web Client")</f>
        <v>Twitter Web Client</v>
      </c>
      <c r="L1550" s="16">
        <v>3</v>
      </c>
      <c r="M1550" s="16">
        <v>33</v>
      </c>
      <c r="N1550" s="16">
        <v>0</v>
      </c>
      <c r="O1550" s="17"/>
      <c r="P1550" s="18">
        <v>42027.082418981481</v>
      </c>
      <c r="Q1550" s="8"/>
      <c r="R1550" s="8"/>
      <c r="S1550" s="8"/>
      <c r="T1550" s="8"/>
      <c r="U1550" s="19" t="str">
        <f>HYPERLINK("https://pbs.twimg.com/profile_images/558564671309889540/_W40HO8v.jpeg","View")</f>
        <v>View</v>
      </c>
      <c r="V1550" s="8"/>
      <c r="W1550" s="8"/>
      <c r="X1550" s="8"/>
      <c r="Y1550" s="8"/>
      <c r="Z1550" s="8"/>
    </row>
    <row r="1551" spans="1:26" ht="12.75">
      <c r="A1551" s="11">
        <v>43746.148784722223</v>
      </c>
      <c r="B1551" s="12" t="str">
        <f>HYPERLINK("https://twitter.com/saudabdulrahma7","@saudabdulrahma7")</f>
        <v>@saudabdulrahma7</v>
      </c>
      <c r="C1551" s="13" t="s">
        <v>9173</v>
      </c>
      <c r="D1551" s="13" t="s">
        <v>2366</v>
      </c>
      <c r="E1551" s="12" t="str">
        <f>HYPERLINK("https://twitter.com/saudabdulrahma7/status/1181518159830016000","1181518159830016000")</f>
        <v>1181518159830016000</v>
      </c>
      <c r="F1551" s="8"/>
      <c r="G1551" s="14" t="s">
        <v>9174</v>
      </c>
      <c r="H1551" s="8"/>
      <c r="I1551" s="15">
        <v>0</v>
      </c>
      <c r="J1551" s="15">
        <v>0</v>
      </c>
      <c r="K1551" s="12" t="str">
        <f>HYPERLINK("http://twitter.com","Twitter Web Client")</f>
        <v>Twitter Web Client</v>
      </c>
      <c r="L1551" s="16">
        <v>1</v>
      </c>
      <c r="M1551" s="16">
        <v>33</v>
      </c>
      <c r="N1551" s="16">
        <v>0</v>
      </c>
      <c r="O1551" s="17"/>
      <c r="P1551" s="18">
        <v>42022.182384259257</v>
      </c>
      <c r="Q1551" s="8"/>
      <c r="R1551" s="8"/>
      <c r="S1551" s="8"/>
      <c r="T1551" s="8"/>
      <c r="U1551" s="19" t="str">
        <f>HYPERLINK("https://pbs.twimg.com/profile_images/556789287396454400/CJ-pIr8_.jpeg","View")</f>
        <v>View</v>
      </c>
      <c r="V1551" s="8"/>
      <c r="W1551" s="8"/>
      <c r="X1551" s="8"/>
      <c r="Y1551" s="8"/>
      <c r="Z1551" s="8"/>
    </row>
    <row r="1552" spans="1:26" ht="12.75">
      <c r="A1552" s="11">
        <v>43746.147002314814</v>
      </c>
      <c r="B1552" s="12" t="str">
        <f>HYPERLINK("https://twitter.com/nadirdakhilall2","@nadirdakhilall2")</f>
        <v>@nadirdakhilall2</v>
      </c>
      <c r="C1552" s="13" t="s">
        <v>9175</v>
      </c>
      <c r="D1552" s="13" t="s">
        <v>9176</v>
      </c>
      <c r="E1552" s="12" t="str">
        <f>HYPERLINK("https://twitter.com/nadirdakhilall2/status/1181517514070790144","1181517514070790144")</f>
        <v>1181517514070790144</v>
      </c>
      <c r="F1552" s="8"/>
      <c r="G1552" s="14" t="s">
        <v>9177</v>
      </c>
      <c r="H1552" s="8"/>
      <c r="I1552" s="15">
        <v>0</v>
      </c>
      <c r="J1552" s="15">
        <v>0</v>
      </c>
      <c r="K1552" s="12" t="str">
        <f>HYPERLINK("http://twitter.com","Twitter Web Client")</f>
        <v>Twitter Web Client</v>
      </c>
      <c r="L1552" s="16">
        <v>1</v>
      </c>
      <c r="M1552" s="16">
        <v>36</v>
      </c>
      <c r="N1552" s="16">
        <v>0</v>
      </c>
      <c r="O1552" s="17"/>
      <c r="P1552" s="18">
        <v>42022.144918981481</v>
      </c>
      <c r="Q1552" s="8"/>
      <c r="R1552" s="8"/>
      <c r="S1552" s="8"/>
      <c r="T1552" s="8"/>
      <c r="U1552" s="19" t="str">
        <f>HYPERLINK("https://pbs.twimg.com/profile_images/556776487651532801/iNBVPgiQ.jpeg","View")</f>
        <v>View</v>
      </c>
      <c r="V1552" s="8"/>
      <c r="W1552" s="8"/>
      <c r="X1552" s="8"/>
      <c r="Y1552" s="8"/>
      <c r="Z1552" s="8"/>
    </row>
    <row r="1553" spans="1:26" ht="12.75">
      <c r="A1553" s="11">
        <v>43746.146273148144</v>
      </c>
      <c r="B1553" s="12" t="str">
        <f>HYPERLINK("https://twitter.com/alnaseer033","@alnaseer033")</f>
        <v>@alnaseer033</v>
      </c>
      <c r="C1553" s="13" t="s">
        <v>9181</v>
      </c>
      <c r="D1553" s="13" t="s">
        <v>2407</v>
      </c>
      <c r="E1553" s="12" t="str">
        <f>HYPERLINK("https://twitter.com/alnaseer033/status/1181517248600711168","1181517248600711168")</f>
        <v>1181517248600711168</v>
      </c>
      <c r="F1553" s="8"/>
      <c r="G1553" s="14" t="s">
        <v>9182</v>
      </c>
      <c r="H1553" s="8"/>
      <c r="I1553" s="15">
        <v>0</v>
      </c>
      <c r="J1553" s="15">
        <v>0</v>
      </c>
      <c r="K1553" s="12" t="str">
        <f>HYPERLINK("http://twitter.com","Twitter Web Client")</f>
        <v>Twitter Web Client</v>
      </c>
      <c r="L1553" s="16">
        <v>3</v>
      </c>
      <c r="M1553" s="16">
        <v>38</v>
      </c>
      <c r="N1553" s="16">
        <v>0</v>
      </c>
      <c r="O1553" s="17"/>
      <c r="P1553" s="18">
        <v>42073.178263888884</v>
      </c>
      <c r="Q1553" s="8"/>
      <c r="R1553" s="8"/>
      <c r="S1553" s="8"/>
      <c r="T1553" s="8"/>
      <c r="U1553" s="19" t="str">
        <f>HYPERLINK("https://pbs.twimg.com/profile_images/575254163208040448/PIg0VOLz.jpeg","View")</f>
        <v>View</v>
      </c>
      <c r="V1553" s="8"/>
      <c r="W1553" s="8"/>
      <c r="X1553" s="8"/>
      <c r="Y1553" s="8"/>
      <c r="Z1553" s="8"/>
    </row>
    <row r="1554" spans="1:26" ht="12.75">
      <c r="A1554" s="11">
        <v>43746.144814814819</v>
      </c>
      <c r="B1554" s="12" t="str">
        <f>HYPERLINK("https://twitter.com/kayama_66","@kayama_66")</f>
        <v>@kayama_66</v>
      </c>
      <c r="C1554" s="13" t="s">
        <v>9190</v>
      </c>
      <c r="D1554" s="13" t="s">
        <v>1411</v>
      </c>
      <c r="E1554" s="12" t="str">
        <f>HYPERLINK("https://twitter.com/kayama_66/status/1181516722467155968","1181516722467155968")</f>
        <v>1181516722467155968</v>
      </c>
      <c r="F1554" s="8"/>
      <c r="G1554" s="14" t="s">
        <v>9191</v>
      </c>
      <c r="H1554" s="8"/>
      <c r="I1554" s="15">
        <v>0</v>
      </c>
      <c r="J1554" s="15">
        <v>0</v>
      </c>
      <c r="K1554" s="12" t="str">
        <f>HYPERLINK("http://twitter.com","Twitter Web Client")</f>
        <v>Twitter Web Client</v>
      </c>
      <c r="L1554" s="16">
        <v>18</v>
      </c>
      <c r="M1554" s="16">
        <v>46</v>
      </c>
      <c r="N1554" s="16">
        <v>0</v>
      </c>
      <c r="O1554" s="17"/>
      <c r="P1554" s="18">
        <v>42074.663275462968</v>
      </c>
      <c r="Q1554" s="8"/>
      <c r="R1554" s="8"/>
      <c r="S1554" s="8"/>
      <c r="T1554" s="8"/>
      <c r="U1554" s="19" t="str">
        <f>HYPERLINK("https://pbs.twimg.com/profile_images/575792322618617858/Z1GH7vwQ.jpeg","View")</f>
        <v>View</v>
      </c>
      <c r="V1554" s="8"/>
      <c r="W1554" s="8"/>
      <c r="X1554" s="8"/>
      <c r="Y1554" s="8"/>
      <c r="Z1554" s="8"/>
    </row>
    <row r="1555" spans="1:26" ht="12.75">
      <c r="A1555" s="11">
        <v>43746.144675925927</v>
      </c>
      <c r="B1555" s="12" t="str">
        <f>HYPERLINK("https://twitter.com/mohammedalmine3","@mohammedalmine3")</f>
        <v>@mohammedalmine3</v>
      </c>
      <c r="C1555" s="13" t="s">
        <v>9194</v>
      </c>
      <c r="D1555" s="13" t="s">
        <v>517</v>
      </c>
      <c r="E1555" s="12" t="str">
        <f>HYPERLINK("https://twitter.com/mohammedalmine3/status/1181516671489585152","1181516671489585152")</f>
        <v>1181516671489585152</v>
      </c>
      <c r="F1555" s="8"/>
      <c r="G1555" s="14" t="s">
        <v>9196</v>
      </c>
      <c r="H1555" s="8"/>
      <c r="I1555" s="15">
        <v>0</v>
      </c>
      <c r="J1555" s="15">
        <v>0</v>
      </c>
      <c r="K1555" s="12" t="str">
        <f>HYPERLINK("http://twitter.com","Twitter Web Client")</f>
        <v>Twitter Web Client</v>
      </c>
      <c r="L1555" s="16">
        <v>1</v>
      </c>
      <c r="M1555" s="16">
        <v>41</v>
      </c>
      <c r="N1555" s="16">
        <v>0</v>
      </c>
      <c r="O1555" s="17"/>
      <c r="P1555" s="18">
        <v>42268.559965277775</v>
      </c>
      <c r="Q1555" s="8"/>
      <c r="R1555" s="8"/>
      <c r="S1555" s="8"/>
      <c r="T1555" s="8"/>
      <c r="U1555" s="19" t="str">
        <f>HYPERLINK("https://pbs.twimg.com/profile_images/646057979993849856/9ChpX413.jpg","View")</f>
        <v>View</v>
      </c>
      <c r="V1555" s="8"/>
      <c r="W1555" s="8"/>
      <c r="X1555" s="8"/>
      <c r="Y1555" s="8"/>
      <c r="Z1555" s="8"/>
    </row>
    <row r="1556" spans="1:26" ht="12.75">
      <c r="A1556" s="11">
        <v>43746.144247685181</v>
      </c>
      <c r="B1556" s="12" t="str">
        <f>HYPERLINK("https://twitter.com/OharbiOwaid","@OharbiOwaid")</f>
        <v>@OharbiOwaid</v>
      </c>
      <c r="C1556" s="13" t="s">
        <v>9198</v>
      </c>
      <c r="D1556" s="13" t="s">
        <v>2425</v>
      </c>
      <c r="E1556" s="12" t="str">
        <f>HYPERLINK("https://twitter.com/OharbiOwaid/status/1181516514702311429","1181516514702311429")</f>
        <v>1181516514702311429</v>
      </c>
      <c r="F1556" s="8"/>
      <c r="G1556" s="14" t="s">
        <v>9199</v>
      </c>
      <c r="H1556" s="8"/>
      <c r="I1556" s="15">
        <v>0</v>
      </c>
      <c r="J1556" s="15">
        <v>0</v>
      </c>
      <c r="K1556" s="12" t="str">
        <f>HYPERLINK("http://twitter.com","Twitter Web Client")</f>
        <v>Twitter Web Client</v>
      </c>
      <c r="L1556" s="16">
        <v>2</v>
      </c>
      <c r="M1556" s="16">
        <v>43</v>
      </c>
      <c r="N1556" s="16">
        <v>0</v>
      </c>
      <c r="O1556" s="17"/>
      <c r="P1556" s="18">
        <v>42073.708148148144</v>
      </c>
      <c r="Q1556" s="8"/>
      <c r="R1556" s="8"/>
      <c r="S1556" s="8"/>
      <c r="T1556" s="8"/>
      <c r="U1556" s="19" t="str">
        <f>HYPERLINK("https://pbs.twimg.com/profile_images/575447368390197248/WnfKmyxr.jpeg","View")</f>
        <v>View</v>
      </c>
      <c r="V1556" s="8"/>
      <c r="W1556" s="8"/>
      <c r="X1556" s="8"/>
      <c r="Y1556" s="8"/>
      <c r="Z1556" s="8"/>
    </row>
    <row r="1557" spans="1:26" ht="12.75">
      <c r="A1557" s="11">
        <v>43746.143287037034</v>
      </c>
      <c r="B1557" s="12" t="str">
        <f>HYPERLINK("https://twitter.com/hamadshabelle","@hamadshabelle")</f>
        <v>@hamadshabelle</v>
      </c>
      <c r="C1557" s="13" t="s">
        <v>9204</v>
      </c>
      <c r="D1557" s="13" t="s">
        <v>538</v>
      </c>
      <c r="E1557" s="12" t="str">
        <f>HYPERLINK("https://twitter.com/hamadshabelle/status/1181516165866242049","1181516165866242049")</f>
        <v>1181516165866242049</v>
      </c>
      <c r="F1557" s="8"/>
      <c r="G1557" s="14" t="s">
        <v>9206</v>
      </c>
      <c r="H1557" s="8"/>
      <c r="I1557" s="15">
        <v>0</v>
      </c>
      <c r="J1557" s="15">
        <v>0</v>
      </c>
      <c r="K1557" s="12" t="str">
        <f>HYPERLINK("http://twitter.com","Twitter Web Client")</f>
        <v>Twitter Web Client</v>
      </c>
      <c r="L1557" s="16">
        <v>5</v>
      </c>
      <c r="M1557" s="16">
        <v>42</v>
      </c>
      <c r="N1557" s="16">
        <v>0</v>
      </c>
      <c r="O1557" s="17"/>
      <c r="P1557" s="18">
        <v>42023.167048611111</v>
      </c>
      <c r="Q1557" s="8"/>
      <c r="R1557" s="8"/>
      <c r="S1557" s="8"/>
      <c r="T1557" s="8"/>
      <c r="U1557" s="19" t="str">
        <f>HYPERLINK("https://pbs.twimg.com/profile_images/557145718792540161/MvUBoOHa.jpeg","View")</f>
        <v>View</v>
      </c>
      <c r="V1557" s="8"/>
      <c r="W1557" s="8"/>
      <c r="X1557" s="8"/>
      <c r="Y1557" s="8"/>
      <c r="Z1557" s="8"/>
    </row>
    <row r="1558" spans="1:26" ht="12.75">
      <c r="A1558" s="11">
        <v>43746.143275462964</v>
      </c>
      <c r="B1558" s="12" t="str">
        <f>HYPERLINK("https://twitter.com/BabsEaton","@BabsEaton")</f>
        <v>@BabsEaton</v>
      </c>
      <c r="C1558" s="13" t="s">
        <v>9207</v>
      </c>
      <c r="D1558" s="13" t="s">
        <v>9208</v>
      </c>
      <c r="E1558" s="12" t="str">
        <f>HYPERLINK("https://twitter.com/BabsEaton/status/1181516164423401474","1181516164423401474")</f>
        <v>1181516164423401474</v>
      </c>
      <c r="F1558" s="8"/>
      <c r="G1558" s="15"/>
      <c r="H1558" s="8"/>
      <c r="I1558" s="15">
        <v>0</v>
      </c>
      <c r="J1558" s="15">
        <v>1</v>
      </c>
      <c r="K1558" s="12" t="str">
        <f>HYPERLINK("https://mobile.twitter.com","Twitter Web App")</f>
        <v>Twitter Web App</v>
      </c>
      <c r="L1558" s="16">
        <v>513</v>
      </c>
      <c r="M1558" s="16">
        <v>1197</v>
      </c>
      <c r="N1558" s="16">
        <v>3</v>
      </c>
      <c r="O1558" s="17"/>
      <c r="P1558" s="18">
        <v>43268.176886574074</v>
      </c>
      <c r="Q1558" s="8"/>
      <c r="R1558" s="8" t="s">
        <v>9209</v>
      </c>
      <c r="S1558" s="8"/>
      <c r="T1558" s="8"/>
      <c r="U1558" s="19" t="str">
        <f>HYPERLINK("https://pbs.twimg.com/profile_images/1138438517477040130/LxiK5GF_.png","View")</f>
        <v>View</v>
      </c>
      <c r="V1558" s="8"/>
      <c r="W1558" s="8"/>
      <c r="X1558" s="8"/>
      <c r="Y1558" s="8"/>
      <c r="Z1558" s="8"/>
    </row>
    <row r="1559" spans="1:26" ht="12.75">
      <c r="A1559" s="11">
        <v>43746.141481481478</v>
      </c>
      <c r="B1559" s="12" t="str">
        <f>HYPERLINK("https://twitter.com/xu1gt","@xu1gt")</f>
        <v>@xu1gt</v>
      </c>
      <c r="C1559" s="13" t="s">
        <v>9214</v>
      </c>
      <c r="D1559" s="13" t="s">
        <v>9215</v>
      </c>
      <c r="E1559" s="12" t="str">
        <f>HYPERLINK("https://twitter.com/xu1gt/status/1181515513308094465","1181515513308094465")</f>
        <v>1181515513308094465</v>
      </c>
      <c r="F1559" s="8"/>
      <c r="G1559" s="15"/>
      <c r="H1559" s="8"/>
      <c r="I1559" s="15">
        <v>0</v>
      </c>
      <c r="J1559" s="15">
        <v>0</v>
      </c>
      <c r="K1559" s="12" t="str">
        <f>HYPERLINK("http://twitter.com/download/iphone","Twitter for iPhone")</f>
        <v>Twitter for iPhone</v>
      </c>
      <c r="L1559" s="16">
        <v>26</v>
      </c>
      <c r="M1559" s="16">
        <v>48</v>
      </c>
      <c r="N1559" s="16">
        <v>0</v>
      </c>
      <c r="O1559" s="17"/>
      <c r="P1559" s="18">
        <v>43054.438877314809</v>
      </c>
      <c r="Q1559" s="8"/>
      <c r="R1559" s="8" t="s">
        <v>9218</v>
      </c>
      <c r="S1559" s="8"/>
      <c r="T1559" s="8"/>
      <c r="U1559" s="19" t="str">
        <f>HYPERLINK("https://pbs.twimg.com/profile_images/1051395203205091328/PYqr84GJ.jpg","View")</f>
        <v>View</v>
      </c>
      <c r="V1559" s="8"/>
      <c r="W1559" s="8"/>
      <c r="X1559" s="8"/>
      <c r="Y1559" s="8"/>
      <c r="Z1559" s="8"/>
    </row>
    <row r="1560" spans="1:26" ht="12.75">
      <c r="A1560" s="11">
        <v>43746.141226851847</v>
      </c>
      <c r="B1560" s="12" t="str">
        <f>HYPERLINK("https://twitter.com/saadbinwonder1","@saadbinwonder1")</f>
        <v>@saadbinwonder1</v>
      </c>
      <c r="C1560" s="13" t="s">
        <v>9220</v>
      </c>
      <c r="D1560" s="13" t="s">
        <v>544</v>
      </c>
      <c r="E1560" s="12" t="str">
        <f>HYPERLINK("https://twitter.com/saadbinwonder1/status/1181515422497157120","1181515422497157120")</f>
        <v>1181515422497157120</v>
      </c>
      <c r="F1560" s="8"/>
      <c r="G1560" s="14" t="s">
        <v>9221</v>
      </c>
      <c r="H1560" s="8"/>
      <c r="I1560" s="15">
        <v>0</v>
      </c>
      <c r="J1560" s="15">
        <v>0</v>
      </c>
      <c r="K1560" s="12" t="str">
        <f>HYPERLINK("http://twitter.com","Twitter Web Client")</f>
        <v>Twitter Web Client</v>
      </c>
      <c r="L1560" s="16">
        <v>1</v>
      </c>
      <c r="M1560" s="16">
        <v>33</v>
      </c>
      <c r="N1560" s="16">
        <v>0</v>
      </c>
      <c r="O1560" s="17"/>
      <c r="P1560" s="18">
        <v>42021.707094907411</v>
      </c>
      <c r="Q1560" s="8"/>
      <c r="R1560" s="8"/>
      <c r="S1560" s="8"/>
      <c r="T1560" s="8"/>
      <c r="U1560" s="19" t="str">
        <f>HYPERLINK("https://pbs.twimg.com/profile_images/556617027763187712/OgyTNm23.jpeg","View")</f>
        <v>View</v>
      </c>
      <c r="V1560" s="8"/>
      <c r="W1560" s="8"/>
      <c r="X1560" s="8"/>
      <c r="Y1560" s="8"/>
      <c r="Z1560" s="8"/>
    </row>
    <row r="1561" spans="1:26" ht="12.75">
      <c r="A1561" s="11">
        <v>43746.140949074077</v>
      </c>
      <c r="B1561" s="12" t="str">
        <f>HYPERLINK("https://twitter.com/izuhai","@izuhai")</f>
        <v>@izuhai</v>
      </c>
      <c r="C1561" s="13" t="s">
        <v>9225</v>
      </c>
      <c r="D1561" s="13" t="s">
        <v>2488</v>
      </c>
      <c r="E1561" s="12" t="str">
        <f>HYPERLINK("https://twitter.com/izuhai/status/1181515319707389954","1181515319707389954")</f>
        <v>1181515319707389954</v>
      </c>
      <c r="F1561" s="8"/>
      <c r="G1561" s="14" t="s">
        <v>9229</v>
      </c>
      <c r="H1561" s="8"/>
      <c r="I1561" s="15">
        <v>0</v>
      </c>
      <c r="J1561" s="15">
        <v>0</v>
      </c>
      <c r="K1561" s="12" t="str">
        <f>HYPERLINK("http://twitter.com","Twitter Web Client")</f>
        <v>Twitter Web Client</v>
      </c>
      <c r="L1561" s="16">
        <v>1</v>
      </c>
      <c r="M1561" s="16">
        <v>32</v>
      </c>
      <c r="N1561" s="16">
        <v>0</v>
      </c>
      <c r="O1561" s="17"/>
      <c r="P1561" s="18">
        <v>42068.295034722221</v>
      </c>
      <c r="Q1561" s="8"/>
      <c r="R1561" s="8"/>
      <c r="S1561" s="8"/>
      <c r="T1561" s="8"/>
      <c r="U1561" s="19" t="str">
        <f>HYPERLINK("https://pbs.twimg.com/profile_images/573499878237564928/KQEf4Q1E.jpeg","View")</f>
        <v>View</v>
      </c>
      <c r="V1561" s="8"/>
      <c r="W1561" s="8"/>
      <c r="X1561" s="8"/>
      <c r="Y1561" s="8"/>
      <c r="Z1561" s="8"/>
    </row>
    <row r="1562" spans="1:26" ht="12.75">
      <c r="A1562" s="11">
        <v>43746.140810185185</v>
      </c>
      <c r="B1562" s="12" t="str">
        <f>HYPERLINK("https://twitter.com/saadbinabdulaz5","@saadbinabdulaz5")</f>
        <v>@saadbinabdulaz5</v>
      </c>
      <c r="C1562" s="13" t="s">
        <v>9231</v>
      </c>
      <c r="D1562" s="13" t="s">
        <v>1535</v>
      </c>
      <c r="E1562" s="12" t="str">
        <f>HYPERLINK("https://twitter.com/saadbinabdulaz5/status/1181515268528463872","1181515268528463872")</f>
        <v>1181515268528463872</v>
      </c>
      <c r="F1562" s="8"/>
      <c r="G1562" s="14" t="s">
        <v>9233</v>
      </c>
      <c r="H1562" s="8"/>
      <c r="I1562" s="15">
        <v>0</v>
      </c>
      <c r="J1562" s="15">
        <v>0</v>
      </c>
      <c r="K1562" s="12" t="str">
        <f>HYPERLINK("http://twitter.com","Twitter Web Client")</f>
        <v>Twitter Web Client</v>
      </c>
      <c r="L1562" s="16">
        <v>0</v>
      </c>
      <c r="M1562" s="16">
        <v>41</v>
      </c>
      <c r="N1562" s="16">
        <v>0</v>
      </c>
      <c r="O1562" s="17"/>
      <c r="P1562" s="18">
        <v>42071.450659722221</v>
      </c>
      <c r="Q1562" s="8"/>
      <c r="R1562" s="8"/>
      <c r="S1562" s="8"/>
      <c r="T1562" s="8"/>
      <c r="U1562" s="19" t="str">
        <f>HYPERLINK("https://pbs.twimg.com/profile_images/574628610138484736/DhvTJC6i.jpeg","View")</f>
        <v>View</v>
      </c>
      <c r="V1562" s="8"/>
      <c r="W1562" s="8"/>
      <c r="X1562" s="8"/>
      <c r="Y1562" s="8"/>
      <c r="Z1562" s="8"/>
    </row>
    <row r="1563" spans="1:26" ht="12.75">
      <c r="A1563" s="11">
        <v>43746.139953703707</v>
      </c>
      <c r="B1563" s="12" t="str">
        <f>HYPERLINK("https://twitter.com/yanasseralhart1","@yanasseralhart1")</f>
        <v>@yanasseralhart1</v>
      </c>
      <c r="C1563" s="13" t="s">
        <v>9241</v>
      </c>
      <c r="D1563" s="13" t="s">
        <v>572</v>
      </c>
      <c r="E1563" s="12" t="str">
        <f>HYPERLINK("https://twitter.com/yanasseralhart1/status/1181514959387279360","1181514959387279360")</f>
        <v>1181514959387279360</v>
      </c>
      <c r="F1563" s="8"/>
      <c r="G1563" s="14" t="s">
        <v>9242</v>
      </c>
      <c r="H1563" s="8"/>
      <c r="I1563" s="15">
        <v>0</v>
      </c>
      <c r="J1563" s="15">
        <v>0</v>
      </c>
      <c r="K1563" s="12" t="str">
        <f>HYPERLINK("http://twitter.com","Twitter Web Client")</f>
        <v>Twitter Web Client</v>
      </c>
      <c r="L1563" s="16">
        <v>1</v>
      </c>
      <c r="M1563" s="16">
        <v>43</v>
      </c>
      <c r="N1563" s="16">
        <v>0</v>
      </c>
      <c r="O1563" s="17"/>
      <c r="P1563" s="18">
        <v>42072.536180555559</v>
      </c>
      <c r="Q1563" s="8"/>
      <c r="R1563" s="8"/>
      <c r="S1563" s="8"/>
      <c r="T1563" s="8"/>
      <c r="U1563" s="19" t="str">
        <f>HYPERLINK("https://pbs.twimg.com/profile_images/575022052060463104/VbAvEJUl.jpeg","View")</f>
        <v>View</v>
      </c>
      <c r="V1563" s="8"/>
      <c r="W1563" s="8"/>
      <c r="X1563" s="8"/>
      <c r="Y1563" s="8"/>
      <c r="Z1563" s="8"/>
    </row>
    <row r="1564" spans="1:26" ht="12.75">
      <c r="A1564" s="11">
        <v>43746.139675925922</v>
      </c>
      <c r="B1564" s="12" t="str">
        <f>HYPERLINK("https://twitter.com/alhli_elmalki3","@alhli_elmalki3")</f>
        <v>@alhli_elmalki3</v>
      </c>
      <c r="C1564" s="13" t="s">
        <v>9243</v>
      </c>
      <c r="D1564" s="13" t="s">
        <v>2497</v>
      </c>
      <c r="E1564" s="12" t="str">
        <f>HYPERLINK("https://twitter.com/alhli_elmalki3/status/1181514860900823040","1181514860900823040")</f>
        <v>1181514860900823040</v>
      </c>
      <c r="F1564" s="8"/>
      <c r="G1564" s="14" t="s">
        <v>9244</v>
      </c>
      <c r="H1564" s="8"/>
      <c r="I1564" s="15">
        <v>0</v>
      </c>
      <c r="J1564" s="15">
        <v>0</v>
      </c>
      <c r="K1564" s="12" t="str">
        <f>HYPERLINK("http://twitter.com","Twitter Web Client")</f>
        <v>Twitter Web Client</v>
      </c>
      <c r="L1564" s="16">
        <v>6</v>
      </c>
      <c r="M1564" s="16">
        <v>45</v>
      </c>
      <c r="N1564" s="16">
        <v>0</v>
      </c>
      <c r="O1564" s="17"/>
      <c r="P1564" s="18">
        <v>41480.230798611112</v>
      </c>
      <c r="Q1564" s="8"/>
      <c r="R1564" s="8" t="s">
        <v>9248</v>
      </c>
      <c r="S1564" s="8"/>
      <c r="T1564" s="8"/>
      <c r="U1564" s="19" t="str">
        <f>HYPERLINK("https://pbs.twimg.com/profile_images/825300435762294784/s9ryo2iu.jpg","View")</f>
        <v>View</v>
      </c>
      <c r="V1564" s="8"/>
      <c r="W1564" s="8"/>
      <c r="X1564" s="8"/>
      <c r="Y1564" s="8"/>
      <c r="Z1564" s="8"/>
    </row>
    <row r="1565" spans="1:26" ht="12.75">
      <c r="A1565" s="11">
        <v>43746.138831018514</v>
      </c>
      <c r="B1565" s="12" t="str">
        <f>HYPERLINK("https://twitter.com/khalidubrak","@khalidubrak")</f>
        <v>@khalidubrak</v>
      </c>
      <c r="C1565" s="13" t="s">
        <v>7183</v>
      </c>
      <c r="D1565" s="13" t="s">
        <v>1614</v>
      </c>
      <c r="E1565" s="12" t="str">
        <f>HYPERLINK("https://twitter.com/khalidubrak/status/1181514550895632384","1181514550895632384")</f>
        <v>1181514550895632384</v>
      </c>
      <c r="F1565" s="8"/>
      <c r="G1565" s="14" t="s">
        <v>9249</v>
      </c>
      <c r="H1565" s="8"/>
      <c r="I1565" s="15">
        <v>0</v>
      </c>
      <c r="J1565" s="15">
        <v>0</v>
      </c>
      <c r="K1565" s="12" t="str">
        <f>HYPERLINK("http://twitter.com","Twitter Web Client")</f>
        <v>Twitter Web Client</v>
      </c>
      <c r="L1565" s="16">
        <v>2</v>
      </c>
      <c r="M1565" s="16">
        <v>43</v>
      </c>
      <c r="N1565" s="16">
        <v>0</v>
      </c>
      <c r="O1565" s="17"/>
      <c r="P1565" s="18">
        <v>42072.866863425923</v>
      </c>
      <c r="Q1565" s="8"/>
      <c r="R1565" s="8"/>
      <c r="S1565" s="8"/>
      <c r="T1565" s="8"/>
      <c r="U1565" s="19" t="str">
        <f>HYPERLINK("https://pbs.twimg.com/profile_images/575141815562563584/Hm8q15Ri.jpeg","View")</f>
        <v>View</v>
      </c>
      <c r="V1565" s="8"/>
      <c r="W1565" s="8"/>
      <c r="X1565" s="8"/>
      <c r="Y1565" s="8"/>
      <c r="Z1565" s="8"/>
    </row>
    <row r="1566" spans="1:26" ht="12.75">
      <c r="A1566" s="11">
        <v>43746.133125</v>
      </c>
      <c r="B1566" s="12" t="str">
        <f>HYPERLINK("https://twitter.com/elmahadawy333","@elmahadawy333")</f>
        <v>@elmahadawy333</v>
      </c>
      <c r="C1566" s="13" t="s">
        <v>9293</v>
      </c>
      <c r="D1566" s="13" t="s">
        <v>2608</v>
      </c>
      <c r="E1566" s="12" t="str">
        <f>HYPERLINK("https://twitter.com/elmahadawy333/status/1181512486547267584","1181512486547267584")</f>
        <v>1181512486547267584</v>
      </c>
      <c r="F1566" s="8"/>
      <c r="G1566" s="14" t="s">
        <v>9294</v>
      </c>
      <c r="H1566" s="8"/>
      <c r="I1566" s="15">
        <v>0</v>
      </c>
      <c r="J1566" s="15">
        <v>0</v>
      </c>
      <c r="K1566" s="12" t="str">
        <f>HYPERLINK("http://twitter.com","Twitter Web Client")</f>
        <v>Twitter Web Client</v>
      </c>
      <c r="L1566" s="16">
        <v>5</v>
      </c>
      <c r="M1566" s="16">
        <v>43</v>
      </c>
      <c r="N1566" s="16">
        <v>0</v>
      </c>
      <c r="O1566" s="17"/>
      <c r="P1566" s="18">
        <v>42072.624837962961</v>
      </c>
      <c r="Q1566" s="8"/>
      <c r="R1566" s="8"/>
      <c r="S1566" s="8"/>
      <c r="T1566" s="8"/>
      <c r="U1566" s="19" t="str">
        <f>HYPERLINK("https://pbs.twimg.com/profile_images/575053560833961984/_UFYEvIs.jpeg","View")</f>
        <v>View</v>
      </c>
      <c r="V1566" s="8"/>
      <c r="W1566" s="8"/>
      <c r="X1566" s="8"/>
      <c r="Y1566" s="8"/>
      <c r="Z1566" s="8"/>
    </row>
    <row r="1567" spans="1:26" ht="12.75">
      <c r="A1567" s="11">
        <v>43746.132233796292</v>
      </c>
      <c r="B1567" s="12" t="str">
        <f>HYPERLINK("https://twitter.com/AldkhilMuslim","@AldkhilMuslim")</f>
        <v>@AldkhilMuslim</v>
      </c>
      <c r="C1567" s="13" t="s">
        <v>9298</v>
      </c>
      <c r="D1567" s="13" t="s">
        <v>1714</v>
      </c>
      <c r="E1567" s="12" t="str">
        <f>HYPERLINK("https://twitter.com/AldkhilMuslim/status/1181512162696732678","1181512162696732678")</f>
        <v>1181512162696732678</v>
      </c>
      <c r="F1567" s="8"/>
      <c r="G1567" s="14" t="s">
        <v>9299</v>
      </c>
      <c r="H1567" s="8"/>
      <c r="I1567" s="15">
        <v>0</v>
      </c>
      <c r="J1567" s="15">
        <v>0</v>
      </c>
      <c r="K1567" s="12" t="str">
        <f>HYPERLINK("http://twitter.com","Twitter Web Client")</f>
        <v>Twitter Web Client</v>
      </c>
      <c r="L1567" s="16">
        <v>8</v>
      </c>
      <c r="M1567" s="16">
        <v>40</v>
      </c>
      <c r="N1567" s="16">
        <v>0</v>
      </c>
      <c r="O1567" s="17"/>
      <c r="P1567" s="18">
        <v>42072.191006944442</v>
      </c>
      <c r="Q1567" s="8"/>
      <c r="R1567" s="8"/>
      <c r="S1567" s="8"/>
      <c r="T1567" s="8"/>
      <c r="U1567" s="19" t="str">
        <f>HYPERLINK("https://pbs.twimg.com/profile_images/574911770176811009/QTT_xXXk.jpeg","View")</f>
        <v>View</v>
      </c>
      <c r="V1567" s="8"/>
      <c r="W1567" s="8"/>
      <c r="X1567" s="8"/>
      <c r="Y1567" s="8"/>
      <c r="Z1567" s="8"/>
    </row>
    <row r="1568" spans="1:26" ht="12.75">
      <c r="A1568" s="11">
        <v>43746.132094907407</v>
      </c>
      <c r="B1568" s="12" t="str">
        <f>HYPERLINK("https://twitter.com/jamilalyoubi","@jamilalyoubi")</f>
        <v>@jamilalyoubi</v>
      </c>
      <c r="C1568" s="13" t="s">
        <v>9305</v>
      </c>
      <c r="D1568" s="13" t="s">
        <v>665</v>
      </c>
      <c r="E1568" s="12" t="str">
        <f>HYPERLINK("https://twitter.com/jamilalyoubi/status/1181512110871851009","1181512110871851009")</f>
        <v>1181512110871851009</v>
      </c>
      <c r="F1568" s="8"/>
      <c r="G1568" s="14" t="s">
        <v>9306</v>
      </c>
      <c r="H1568" s="8"/>
      <c r="I1568" s="15">
        <v>0</v>
      </c>
      <c r="J1568" s="15">
        <v>0</v>
      </c>
      <c r="K1568" s="12" t="str">
        <f>HYPERLINK("http://twitter.com","Twitter Web Client")</f>
        <v>Twitter Web Client</v>
      </c>
      <c r="L1568" s="16">
        <v>0</v>
      </c>
      <c r="M1568" s="16">
        <v>36</v>
      </c>
      <c r="N1568" s="16">
        <v>0</v>
      </c>
      <c r="O1568" s="17"/>
      <c r="P1568" s="18">
        <v>42017.234212962961</v>
      </c>
      <c r="Q1568" s="8"/>
      <c r="R1568" s="8"/>
      <c r="S1568" s="8"/>
      <c r="T1568" s="8"/>
      <c r="U1568" s="19" t="str">
        <f>HYPERLINK("https://pbs.twimg.com/profile_images/554995728687177728/HIpSIWFy.jpeg","View")</f>
        <v>View</v>
      </c>
      <c r="V1568" s="8"/>
      <c r="W1568" s="8"/>
      <c r="X1568" s="8"/>
      <c r="Y1568" s="8"/>
      <c r="Z1568" s="8"/>
    </row>
    <row r="1569" spans="1:26" ht="12.75">
      <c r="A1569" s="11">
        <v>43746.131863425922</v>
      </c>
      <c r="B1569" s="12" t="str">
        <f>HYPERLINK("https://twitter.com/AmriMaysoon","@AmriMaysoon")</f>
        <v>@AmriMaysoon</v>
      </c>
      <c r="C1569" s="13" t="s">
        <v>9308</v>
      </c>
      <c r="D1569" s="13" t="s">
        <v>1107</v>
      </c>
      <c r="E1569" s="12" t="str">
        <f>HYPERLINK("https://twitter.com/AmriMaysoon/status/1181512027639992320","1181512027639992320")</f>
        <v>1181512027639992320</v>
      </c>
      <c r="F1569" s="8"/>
      <c r="G1569" s="14" t="s">
        <v>9309</v>
      </c>
      <c r="H1569" s="8"/>
      <c r="I1569" s="15">
        <v>0</v>
      </c>
      <c r="J1569" s="15">
        <v>0</v>
      </c>
      <c r="K1569" s="12" t="str">
        <f>HYPERLINK("https://mobile.twitter.com","Twitter Web App")</f>
        <v>Twitter Web App</v>
      </c>
      <c r="L1569" s="16">
        <v>0</v>
      </c>
      <c r="M1569" s="16">
        <v>0</v>
      </c>
      <c r="N1569" s="16">
        <v>0</v>
      </c>
      <c r="O1569" s="17"/>
      <c r="P1569" s="18">
        <v>43730.064027777778</v>
      </c>
      <c r="Q1569" s="8" t="s">
        <v>920</v>
      </c>
      <c r="R1569" s="8" t="s">
        <v>1110</v>
      </c>
      <c r="S1569" s="8"/>
      <c r="T1569" s="8"/>
      <c r="U1569" s="19" t="str">
        <f>HYPERLINK("https://pbs.twimg.com/profile_images/1181511595345629184/cXdARlHf.jpg","View")</f>
        <v>View</v>
      </c>
      <c r="V1569" s="8"/>
      <c r="W1569" s="8"/>
      <c r="X1569" s="8"/>
      <c r="Y1569" s="8"/>
      <c r="Z1569" s="8"/>
    </row>
    <row r="1570" spans="1:26" ht="12.75">
      <c r="A1570" s="11">
        <v>43746.130520833336</v>
      </c>
      <c r="B1570" s="12" t="str">
        <f>HYPERLINK("https://twitter.com/ArarIcavan","@ArarIcavan")</f>
        <v>@ArarIcavan</v>
      </c>
      <c r="C1570" s="13" t="s">
        <v>9316</v>
      </c>
      <c r="D1570" s="13" t="s">
        <v>9317</v>
      </c>
      <c r="E1570" s="12" t="str">
        <f>HYPERLINK("https://twitter.com/ArarIcavan/status/1181511540140335105","1181511540140335105")</f>
        <v>1181511540140335105</v>
      </c>
      <c r="F1570" s="8"/>
      <c r="G1570" s="14" t="s">
        <v>9320</v>
      </c>
      <c r="H1570" s="8"/>
      <c r="I1570" s="15">
        <v>0</v>
      </c>
      <c r="J1570" s="15">
        <v>0</v>
      </c>
      <c r="K1570" s="12" t="str">
        <f>HYPERLINK("http://twitter.com","Twitter Web Client")</f>
        <v>Twitter Web Client</v>
      </c>
      <c r="L1570" s="16">
        <v>0</v>
      </c>
      <c r="M1570" s="16">
        <v>37</v>
      </c>
      <c r="N1570" s="16">
        <v>0</v>
      </c>
      <c r="O1570" s="17"/>
      <c r="P1570" s="18">
        <v>42070.819293981476</v>
      </c>
      <c r="Q1570" s="8"/>
      <c r="R1570" s="8"/>
      <c r="S1570" s="8"/>
      <c r="T1570" s="8"/>
      <c r="U1570" s="19" t="str">
        <f>HYPERLINK("https://pbs.twimg.com/profile_images/574414703939616768/M2FK-rjv.jpeg","View")</f>
        <v>View</v>
      </c>
      <c r="V1570" s="8"/>
      <c r="W1570" s="8"/>
      <c r="X1570" s="8"/>
      <c r="Y1570" s="8"/>
      <c r="Z1570" s="8"/>
    </row>
    <row r="1571" spans="1:26" ht="12.75">
      <c r="A1571" s="11">
        <v>43746.129027777773</v>
      </c>
      <c r="B1571" s="12" t="str">
        <f>HYPERLINK("https://twitter.com/HamaidiMaya","@HamaidiMaya")</f>
        <v>@HamaidiMaya</v>
      </c>
      <c r="C1571" s="13" t="s">
        <v>9325</v>
      </c>
      <c r="D1571" s="13" t="s">
        <v>937</v>
      </c>
      <c r="E1571" s="12" t="str">
        <f>HYPERLINK("https://twitter.com/HamaidiMaya/status/1181511001574756352","1181511001574756352")</f>
        <v>1181511001574756352</v>
      </c>
      <c r="F1571" s="8"/>
      <c r="G1571" s="14" t="s">
        <v>9326</v>
      </c>
      <c r="H1571" s="8"/>
      <c r="I1571" s="15">
        <v>0</v>
      </c>
      <c r="J1571" s="15">
        <v>0</v>
      </c>
      <c r="K1571" s="12" t="str">
        <f>HYPERLINK("https://mobile.twitter.com","Twitter Web App")</f>
        <v>Twitter Web App</v>
      </c>
      <c r="L1571" s="16">
        <v>0</v>
      </c>
      <c r="M1571" s="16">
        <v>0</v>
      </c>
      <c r="N1571" s="16">
        <v>0</v>
      </c>
      <c r="O1571" s="17"/>
      <c r="P1571" s="18">
        <v>43730.061064814814</v>
      </c>
      <c r="Q1571" s="8" t="s">
        <v>1428</v>
      </c>
      <c r="R1571" s="8" t="s">
        <v>1258</v>
      </c>
      <c r="S1571" s="8"/>
      <c r="T1571" s="8"/>
      <c r="U1571" s="19" t="str">
        <f>HYPERLINK("https://pbs.twimg.com/profile_images/1181510708103565318/-GBgbqQZ.jpg","View")</f>
        <v>View</v>
      </c>
      <c r="V1571" s="8"/>
      <c r="W1571" s="8"/>
      <c r="X1571" s="8"/>
      <c r="Y1571" s="8"/>
      <c r="Z1571" s="8"/>
    </row>
    <row r="1572" spans="1:26" ht="12.75">
      <c r="A1572" s="11">
        <v>43746.128761574073</v>
      </c>
      <c r="B1572" s="12" t="str">
        <f>HYPERLINK("https://twitter.com/ssaeedbinkhaddr","@ssaeedbinkhaddr")</f>
        <v>@ssaeedbinkhaddr</v>
      </c>
      <c r="C1572" s="13" t="s">
        <v>9330</v>
      </c>
      <c r="D1572" s="13" t="s">
        <v>2657</v>
      </c>
      <c r="E1572" s="12" t="str">
        <f>HYPERLINK("https://twitter.com/ssaeedbinkhaddr/status/1181510902652293121","1181510902652293121")</f>
        <v>1181510902652293121</v>
      </c>
      <c r="F1572" s="8"/>
      <c r="G1572" s="14" t="s">
        <v>9331</v>
      </c>
      <c r="H1572" s="8"/>
      <c r="I1572" s="15">
        <v>0</v>
      </c>
      <c r="J1572" s="15">
        <v>0</v>
      </c>
      <c r="K1572" s="12" t="str">
        <f>HYPERLINK("http://twitter.com","Twitter Web Client")</f>
        <v>Twitter Web Client</v>
      </c>
      <c r="L1572" s="16">
        <v>0</v>
      </c>
      <c r="M1572" s="16">
        <v>34</v>
      </c>
      <c r="N1572" s="16">
        <v>0</v>
      </c>
      <c r="O1572" s="17"/>
      <c r="P1572" s="18">
        <v>41821.654664351852</v>
      </c>
      <c r="Q1572" s="8"/>
      <c r="R1572" s="8"/>
      <c r="S1572" s="8"/>
      <c r="T1572" s="8"/>
      <c r="U1572" s="19" t="str">
        <f>HYPERLINK("https://pbs.twimg.com/profile_images/484106848094531584/hXg2yt8p.jpeg","View")</f>
        <v>View</v>
      </c>
      <c r="V1572" s="8"/>
      <c r="W1572" s="8"/>
      <c r="X1572" s="8"/>
      <c r="Y1572" s="8"/>
      <c r="Z1572" s="8"/>
    </row>
    <row r="1573" spans="1:26" ht="12.75">
      <c r="A1573" s="11">
        <v>43746.128472222219</v>
      </c>
      <c r="B1573" s="12" t="str">
        <f>HYPERLINK("https://twitter.com/ahmedmari4","@ahmedmari4")</f>
        <v>@ahmedmari4</v>
      </c>
      <c r="C1573" s="13" t="s">
        <v>9336</v>
      </c>
      <c r="D1573" s="13" t="s">
        <v>671</v>
      </c>
      <c r="E1573" s="12" t="str">
        <f>HYPERLINK("https://twitter.com/ahmedmari4/status/1181510798730055680","1181510798730055680")</f>
        <v>1181510798730055680</v>
      </c>
      <c r="F1573" s="8"/>
      <c r="G1573" s="14" t="s">
        <v>9337</v>
      </c>
      <c r="H1573" s="8"/>
      <c r="I1573" s="15">
        <v>1</v>
      </c>
      <c r="J1573" s="15">
        <v>1</v>
      </c>
      <c r="K1573" s="12" t="str">
        <f>HYPERLINK("http://twitter.com","Twitter Web Client")</f>
        <v>Twitter Web Client</v>
      </c>
      <c r="L1573" s="16">
        <v>1</v>
      </c>
      <c r="M1573" s="16">
        <v>43</v>
      </c>
      <c r="N1573" s="16">
        <v>0</v>
      </c>
      <c r="O1573" s="17"/>
      <c r="P1573" s="18">
        <v>42075.868726851855</v>
      </c>
      <c r="Q1573" s="8"/>
      <c r="R1573" s="8"/>
      <c r="S1573" s="8"/>
      <c r="T1573" s="8"/>
      <c r="U1573" s="19" t="str">
        <f>HYPERLINK("https://pbs.twimg.com/profile_images/576230955087609856/icmJDQUj.jpeg","View")</f>
        <v>View</v>
      </c>
      <c r="V1573" s="8"/>
      <c r="W1573" s="8"/>
      <c r="X1573" s="8"/>
      <c r="Y1573" s="8"/>
      <c r="Z1573" s="8"/>
    </row>
    <row r="1574" spans="1:26" ht="12.75">
      <c r="A1574" s="11">
        <v>43746.128182870365</v>
      </c>
      <c r="B1574" s="12" t="str">
        <f>HYPERLINK("https://twitter.com/aabdulrahmanda2","@aabdulrahmanda2")</f>
        <v>@aabdulrahmanda2</v>
      </c>
      <c r="C1574" s="13" t="s">
        <v>9340</v>
      </c>
      <c r="D1574" s="13" t="s">
        <v>2669</v>
      </c>
      <c r="E1574" s="12" t="str">
        <f>HYPERLINK("https://twitter.com/aabdulrahmanda2/status/1181510692416962561","1181510692416962561")</f>
        <v>1181510692416962561</v>
      </c>
      <c r="F1574" s="8"/>
      <c r="G1574" s="14" t="s">
        <v>9341</v>
      </c>
      <c r="H1574" s="8"/>
      <c r="I1574" s="15">
        <v>0</v>
      </c>
      <c r="J1574" s="15">
        <v>0</v>
      </c>
      <c r="K1574" s="12" t="str">
        <f>HYPERLINK("http://twitter.com","Twitter Web Client")</f>
        <v>Twitter Web Client</v>
      </c>
      <c r="L1574" s="16">
        <v>0</v>
      </c>
      <c r="M1574" s="16">
        <v>39</v>
      </c>
      <c r="N1574" s="16">
        <v>0</v>
      </c>
      <c r="O1574" s="17"/>
      <c r="P1574" s="18">
        <v>42089.727488425924</v>
      </c>
      <c r="Q1574" s="8"/>
      <c r="R1574" s="8"/>
      <c r="S1574" s="8"/>
      <c r="T1574" s="8"/>
      <c r="U1574" s="19" t="str">
        <f>HYPERLINK("https://pbs.twimg.com/profile_images/581251580697001984/LVUyJtzt.jpg","View")</f>
        <v>View</v>
      </c>
      <c r="V1574" s="8"/>
      <c r="W1574" s="8"/>
      <c r="X1574" s="8"/>
      <c r="Y1574" s="8"/>
      <c r="Z1574" s="8"/>
    </row>
    <row r="1575" spans="1:26" ht="12.75">
      <c r="A1575" s="11">
        <v>43746.127025462964</v>
      </c>
      <c r="B1575" s="12" t="str">
        <f>HYPERLINK("https://twitter.com/AlkhderHadi","@AlkhderHadi")</f>
        <v>@AlkhderHadi</v>
      </c>
      <c r="C1575" s="13" t="s">
        <v>9349</v>
      </c>
      <c r="D1575" s="13" t="s">
        <v>9350</v>
      </c>
      <c r="E1575" s="12" t="str">
        <f>HYPERLINK("https://twitter.com/AlkhderHadi/status/1181510274030981121","1181510274030981121")</f>
        <v>1181510274030981121</v>
      </c>
      <c r="F1575" s="8"/>
      <c r="G1575" s="14" t="s">
        <v>9352</v>
      </c>
      <c r="H1575" s="8"/>
      <c r="I1575" s="15">
        <v>0</v>
      </c>
      <c r="J1575" s="15">
        <v>0</v>
      </c>
      <c r="K1575" s="12" t="str">
        <f>HYPERLINK("http://twitter.com","Twitter Web Client")</f>
        <v>Twitter Web Client</v>
      </c>
      <c r="L1575" s="16">
        <v>7</v>
      </c>
      <c r="M1575" s="16">
        <v>39</v>
      </c>
      <c r="N1575" s="16">
        <v>0</v>
      </c>
      <c r="O1575" s="17"/>
      <c r="P1575" s="18">
        <v>42072.192881944444</v>
      </c>
      <c r="Q1575" s="8"/>
      <c r="R1575" s="8"/>
      <c r="S1575" s="8"/>
      <c r="T1575" s="8"/>
      <c r="U1575" s="19" t="str">
        <f>HYPERLINK("https://pbs.twimg.com/profile_images/574911545244696576/70I_piVt.jpeg","View")</f>
        <v>View</v>
      </c>
      <c r="V1575" s="8"/>
      <c r="W1575" s="8"/>
      <c r="X1575" s="8"/>
      <c r="Y1575" s="8"/>
      <c r="Z1575" s="8"/>
    </row>
    <row r="1576" spans="1:26" ht="12.75">
      <c r="A1576" s="11">
        <v>43746.12672453704</v>
      </c>
      <c r="B1576" s="12" t="str">
        <f>HYPERLINK("https://twitter.com/naserhammami1","@naserhammami1")</f>
        <v>@naserhammami1</v>
      </c>
      <c r="C1576" s="7" t="s">
        <v>9354</v>
      </c>
      <c r="D1576" s="13" t="s">
        <v>2677</v>
      </c>
      <c r="E1576" s="12" t="str">
        <f>HYPERLINK("https://twitter.com/naserhammami1/status/1181510165868228611","1181510165868228611")</f>
        <v>1181510165868228611</v>
      </c>
      <c r="F1576" s="8"/>
      <c r="G1576" s="14" t="s">
        <v>9355</v>
      </c>
      <c r="H1576" s="8"/>
      <c r="I1576" s="15">
        <v>0</v>
      </c>
      <c r="J1576" s="15">
        <v>0</v>
      </c>
      <c r="K1576" s="12" t="str">
        <f>HYPERLINK("http://twitter.com","Twitter Web Client")</f>
        <v>Twitter Web Client</v>
      </c>
      <c r="L1576" s="16">
        <v>3</v>
      </c>
      <c r="M1576" s="16">
        <v>41</v>
      </c>
      <c r="N1576" s="16">
        <v>0</v>
      </c>
      <c r="O1576" s="17"/>
      <c r="P1576" s="18">
        <v>42268.289490740739</v>
      </c>
      <c r="Q1576" s="8"/>
      <c r="R1576" s="8"/>
      <c r="S1576" s="8"/>
      <c r="T1576" s="8"/>
      <c r="U1576" s="19" t="str">
        <f>HYPERLINK("https://pbs.twimg.com/profile_images/645960156598140928/EQZSFnb7.jpg","View")</f>
        <v>View</v>
      </c>
      <c r="V1576" s="8"/>
      <c r="W1576" s="8"/>
      <c r="X1576" s="8"/>
      <c r="Y1576" s="8"/>
      <c r="Z1576" s="8"/>
    </row>
    <row r="1577" spans="1:26" ht="12.75">
      <c r="A1577" s="11">
        <v>43746.125289351854</v>
      </c>
      <c r="B1577" s="12" t="str">
        <f>HYPERLINK("https://twitter.com/solomonhusaina2","@solomonhusaina2")</f>
        <v>@solomonhusaina2</v>
      </c>
      <c r="C1577" s="13" t="s">
        <v>9363</v>
      </c>
      <c r="D1577" s="13" t="s">
        <v>1786</v>
      </c>
      <c r="E1577" s="12" t="str">
        <f>HYPERLINK("https://twitter.com/solomonhusaina2/status/1181509646697320448","1181509646697320448")</f>
        <v>1181509646697320448</v>
      </c>
      <c r="F1577" s="8"/>
      <c r="G1577" s="14" t="s">
        <v>9364</v>
      </c>
      <c r="H1577" s="8"/>
      <c r="I1577" s="15">
        <v>0</v>
      </c>
      <c r="J1577" s="15">
        <v>0</v>
      </c>
      <c r="K1577" s="12" t="str">
        <f>HYPERLINK("http://twitter.com","Twitter Web Client")</f>
        <v>Twitter Web Client</v>
      </c>
      <c r="L1577" s="16">
        <v>4</v>
      </c>
      <c r="M1577" s="16">
        <v>42</v>
      </c>
      <c r="N1577" s="16">
        <v>0</v>
      </c>
      <c r="O1577" s="17"/>
      <c r="P1577" s="18">
        <v>42023.150081018517</v>
      </c>
      <c r="Q1577" s="8"/>
      <c r="R1577" s="8"/>
      <c r="S1577" s="8"/>
      <c r="T1577" s="8"/>
      <c r="U1577" s="19" t="str">
        <f>HYPERLINK("https://pbs.twimg.com/profile_images/557140262548295680/oZpKvP7b.jpeg","View")</f>
        <v>View</v>
      </c>
      <c r="V1577" s="8"/>
      <c r="W1577" s="8"/>
      <c r="X1577" s="8"/>
      <c r="Y1577" s="8"/>
      <c r="Z1577" s="8"/>
    </row>
    <row r="1578" spans="1:26" ht="12.75">
      <c r="A1578" s="11">
        <v>43746.124710648146</v>
      </c>
      <c r="B1578" s="12" t="str">
        <f>HYPERLINK("https://twitter.com/mmisharibinham2","@mmisharibinham2")</f>
        <v>@mmisharibinham2</v>
      </c>
      <c r="C1578" s="13" t="s">
        <v>9368</v>
      </c>
      <c r="D1578" s="13" t="s">
        <v>2688</v>
      </c>
      <c r="E1578" s="12" t="str">
        <f>HYPERLINK("https://twitter.com/mmisharibinham2/status/1181509435295981569","1181509435295981569")</f>
        <v>1181509435295981569</v>
      </c>
      <c r="F1578" s="8"/>
      <c r="G1578" s="14" t="s">
        <v>9370</v>
      </c>
      <c r="H1578" s="8"/>
      <c r="I1578" s="15">
        <v>0</v>
      </c>
      <c r="J1578" s="15">
        <v>0</v>
      </c>
      <c r="K1578" s="12" t="str">
        <f>HYPERLINK("http://twitter.com","Twitter Web Client")</f>
        <v>Twitter Web Client</v>
      </c>
      <c r="L1578" s="16">
        <v>2</v>
      </c>
      <c r="M1578" s="16">
        <v>43</v>
      </c>
      <c r="N1578" s="16">
        <v>0</v>
      </c>
      <c r="O1578" s="17"/>
      <c r="P1578" s="18">
        <v>42073.826296296298</v>
      </c>
      <c r="Q1578" s="8"/>
      <c r="R1578" s="8"/>
      <c r="S1578" s="8"/>
      <c r="T1578" s="8"/>
      <c r="U1578" s="19" t="str">
        <f>HYPERLINK("https://pbs.twimg.com/profile_images/575489769985064960/Rny_7yY6.jpeg","View")</f>
        <v>View</v>
      </c>
      <c r="V1578" s="8"/>
      <c r="W1578" s="8"/>
      <c r="X1578" s="8"/>
      <c r="Y1578" s="8"/>
      <c r="Z1578" s="8"/>
    </row>
    <row r="1579" spans="1:26" ht="12.75">
      <c r="A1579" s="11">
        <v>43746.123738425929</v>
      </c>
      <c r="B1579" s="12" t="str">
        <f>HYPERLINK("https://twitter.com/abdulazizaldul4","@abdulazizaldul4")</f>
        <v>@abdulazizaldul4</v>
      </c>
      <c r="C1579" s="13" t="s">
        <v>9375</v>
      </c>
      <c r="D1579" s="13" t="s">
        <v>733</v>
      </c>
      <c r="E1579" s="12" t="str">
        <f>HYPERLINK("https://twitter.com/abdulazizaldul4/status/1181509081678434304","1181509081678434304")</f>
        <v>1181509081678434304</v>
      </c>
      <c r="F1579" s="8"/>
      <c r="G1579" s="14" t="s">
        <v>9376</v>
      </c>
      <c r="H1579" s="8"/>
      <c r="I1579" s="15">
        <v>0</v>
      </c>
      <c r="J1579" s="15">
        <v>0</v>
      </c>
      <c r="K1579" s="12" t="str">
        <f>HYPERLINK("http://twitter.com","Twitter Web Client")</f>
        <v>Twitter Web Client</v>
      </c>
      <c r="L1579" s="16">
        <v>3</v>
      </c>
      <c r="M1579" s="16">
        <v>37</v>
      </c>
      <c r="N1579" s="16">
        <v>0</v>
      </c>
      <c r="O1579" s="17"/>
      <c r="P1579" s="18">
        <v>42079.819398148145</v>
      </c>
      <c r="Q1579" s="8"/>
      <c r="R1579" s="8"/>
      <c r="S1579" s="8"/>
      <c r="T1579" s="8"/>
      <c r="U1579" s="19" t="str">
        <f>HYPERLINK("https://pbs.twimg.com/profile_images/577661141687529472/GXGVlWr5.jpeg","View")</f>
        <v>View</v>
      </c>
      <c r="V1579" s="8"/>
      <c r="W1579" s="8"/>
      <c r="X1579" s="8"/>
      <c r="Y1579" s="8"/>
      <c r="Z1579" s="8"/>
    </row>
    <row r="1580" spans="1:26" ht="12.75">
      <c r="A1580" s="11">
        <v>43746.123449074075</v>
      </c>
      <c r="B1580" s="12" t="str">
        <f>HYPERLINK("https://twitter.com/abdullahiusaleh","@abdullahiusaleh")</f>
        <v>@abdullahiusaleh</v>
      </c>
      <c r="C1580" s="13" t="s">
        <v>9379</v>
      </c>
      <c r="D1580" s="13" t="s">
        <v>2700</v>
      </c>
      <c r="E1580" s="12" t="str">
        <f>HYPERLINK("https://twitter.com/abdullahiusaleh/status/1181508977961684992","1181508977961684992")</f>
        <v>1181508977961684992</v>
      </c>
      <c r="F1580" s="8"/>
      <c r="G1580" s="14" t="s">
        <v>9380</v>
      </c>
      <c r="H1580" s="8"/>
      <c r="I1580" s="15">
        <v>1</v>
      </c>
      <c r="J1580" s="15">
        <v>1</v>
      </c>
      <c r="K1580" s="12" t="str">
        <f>HYPERLINK("http://twitter.com","Twitter Web Client")</f>
        <v>Twitter Web Client</v>
      </c>
      <c r="L1580" s="16">
        <v>1</v>
      </c>
      <c r="M1580" s="16">
        <v>34</v>
      </c>
      <c r="N1580" s="16">
        <v>0</v>
      </c>
      <c r="O1580" s="17"/>
      <c r="P1580" s="18">
        <v>42087.832986111112</v>
      </c>
      <c r="Q1580" s="8"/>
      <c r="R1580" s="8"/>
      <c r="S1580" s="8"/>
      <c r="T1580" s="8"/>
      <c r="U1580" s="20" t="s">
        <v>354</v>
      </c>
      <c r="V1580" s="8"/>
      <c r="W1580" s="8"/>
      <c r="X1580" s="8"/>
      <c r="Y1580" s="8"/>
      <c r="Z1580" s="8"/>
    </row>
    <row r="1581" spans="1:26" ht="12.75">
      <c r="A1581" s="11">
        <v>43746.122557870374</v>
      </c>
      <c r="B1581" s="12" t="str">
        <f>HYPERLINK("https://twitter.com/Khames3ayed","@Khames3ayed")</f>
        <v>@Khames3ayed</v>
      </c>
      <c r="C1581" s="13" t="s">
        <v>9382</v>
      </c>
      <c r="D1581" s="13" t="s">
        <v>1825</v>
      </c>
      <c r="E1581" s="12" t="str">
        <f>HYPERLINK("https://twitter.com/Khames3ayed/status/1181508657579806720","1181508657579806720")</f>
        <v>1181508657579806720</v>
      </c>
      <c r="F1581" s="8"/>
      <c r="G1581" s="14" t="s">
        <v>9383</v>
      </c>
      <c r="H1581" s="8"/>
      <c r="I1581" s="15">
        <v>0</v>
      </c>
      <c r="J1581" s="15">
        <v>0</v>
      </c>
      <c r="K1581" s="12" t="str">
        <f>HYPERLINK("http://twitter.com","Twitter Web Client")</f>
        <v>Twitter Web Client</v>
      </c>
      <c r="L1581" s="16">
        <v>2</v>
      </c>
      <c r="M1581" s="16">
        <v>38</v>
      </c>
      <c r="N1581" s="16">
        <v>0</v>
      </c>
      <c r="O1581" s="17"/>
      <c r="P1581" s="18">
        <v>42083.521655092598</v>
      </c>
      <c r="Q1581" s="8"/>
      <c r="R1581" s="8"/>
      <c r="S1581" s="8"/>
      <c r="T1581" s="8"/>
      <c r="U1581" s="19" t="str">
        <f>HYPERLINK("https://pbs.twimg.com/profile_images/579002363517673472/5U4UPKv8.jpeg","View")</f>
        <v>View</v>
      </c>
      <c r="V1581" s="8"/>
      <c r="W1581" s="8"/>
      <c r="X1581" s="8"/>
      <c r="Y1581" s="8"/>
      <c r="Z1581" s="8"/>
    </row>
    <row r="1582" spans="1:26" ht="12.75">
      <c r="A1582" s="11">
        <v>43746.121666666666</v>
      </c>
      <c r="B1582" s="12" t="str">
        <f>HYPERLINK("https://twitter.com/hamidhazmiea","@hamidhazmiea")</f>
        <v>@hamidhazmiea</v>
      </c>
      <c r="C1582" s="13" t="s">
        <v>9393</v>
      </c>
      <c r="D1582" s="13" t="s">
        <v>751</v>
      </c>
      <c r="E1582" s="12" t="str">
        <f>HYPERLINK("https://twitter.com/hamidhazmiea/status/1181508331397091328","1181508331397091328")</f>
        <v>1181508331397091328</v>
      </c>
      <c r="F1582" s="8"/>
      <c r="G1582" s="14" t="s">
        <v>9394</v>
      </c>
      <c r="H1582" s="8"/>
      <c r="I1582" s="15">
        <v>0</v>
      </c>
      <c r="J1582" s="15">
        <v>0</v>
      </c>
      <c r="K1582" s="12" t="str">
        <f>HYPERLINK("http://twitter.com","Twitter Web Client")</f>
        <v>Twitter Web Client</v>
      </c>
      <c r="L1582" s="16">
        <v>2</v>
      </c>
      <c r="M1582" s="16">
        <v>32</v>
      </c>
      <c r="N1582" s="16">
        <v>0</v>
      </c>
      <c r="O1582" s="17"/>
      <c r="P1582" s="18">
        <v>42081.615347222221</v>
      </c>
      <c r="Q1582" s="8"/>
      <c r="R1582" s="8"/>
      <c r="S1582" s="8"/>
      <c r="T1582" s="8"/>
      <c r="U1582" s="19" t="str">
        <f>HYPERLINK("https://pbs.twimg.com/profile_images/578312047391305728/UwsmwrSt.jpeg","View")</f>
        <v>View</v>
      </c>
      <c r="V1582" s="8"/>
      <c r="W1582" s="8"/>
      <c r="X1582" s="8"/>
      <c r="Y1582" s="8"/>
      <c r="Z1582" s="8"/>
    </row>
    <row r="1583" spans="1:26" ht="12.75">
      <c r="A1583" s="11">
        <v>43746.121516203704</v>
      </c>
      <c r="B1583" s="12" t="str">
        <f>HYPERLINK("https://twitter.com/kazem2aldousar1","@kazem2aldousar1")</f>
        <v>@kazem2aldousar1</v>
      </c>
      <c r="C1583" s="13" t="s">
        <v>9398</v>
      </c>
      <c r="D1583" s="13" t="s">
        <v>9399</v>
      </c>
      <c r="E1583" s="12" t="str">
        <f>HYPERLINK("https://twitter.com/kazem2aldousar1/status/1181508279593242624","1181508279593242624")</f>
        <v>1181508279593242624</v>
      </c>
      <c r="F1583" s="8"/>
      <c r="G1583" s="14" t="s">
        <v>9400</v>
      </c>
      <c r="H1583" s="8"/>
      <c r="I1583" s="15">
        <v>0</v>
      </c>
      <c r="J1583" s="15">
        <v>0</v>
      </c>
      <c r="K1583" s="12" t="str">
        <f>HYPERLINK("http://twitter.com","Twitter Web Client")</f>
        <v>Twitter Web Client</v>
      </c>
      <c r="L1583" s="16">
        <v>2</v>
      </c>
      <c r="M1583" s="16">
        <v>36</v>
      </c>
      <c r="N1583" s="16">
        <v>0</v>
      </c>
      <c r="O1583" s="17"/>
      <c r="P1583" s="18">
        <v>42070.477037037039</v>
      </c>
      <c r="Q1583" s="8"/>
      <c r="R1583" s="8"/>
      <c r="S1583" s="8"/>
      <c r="T1583" s="8"/>
      <c r="U1583" s="19" t="str">
        <f>HYPERLINK("https://pbs.twimg.com/profile_images/574360503704678402/P7kNYoI7.jpeg","View")</f>
        <v>View</v>
      </c>
      <c r="V1583" s="8"/>
      <c r="W1583" s="8"/>
      <c r="X1583" s="8"/>
      <c r="Y1583" s="8"/>
      <c r="Z1583" s="8"/>
    </row>
    <row r="1584" spans="1:26" ht="12.75">
      <c r="A1584" s="11">
        <v>43746.118750000001</v>
      </c>
      <c r="B1584" s="12" t="str">
        <f>HYPERLINK("https://twitter.com/din_outaibi","@din_outaibi")</f>
        <v>@din_outaibi</v>
      </c>
      <c r="C1584" s="13" t="s">
        <v>2434</v>
      </c>
      <c r="D1584" s="13" t="s">
        <v>944</v>
      </c>
      <c r="E1584" s="12" t="str">
        <f>HYPERLINK("https://twitter.com/din_outaibi/status/1181507273647984640","1181507273647984640")</f>
        <v>1181507273647984640</v>
      </c>
      <c r="F1584" s="8"/>
      <c r="G1584" s="14" t="s">
        <v>9414</v>
      </c>
      <c r="H1584" s="8"/>
      <c r="I1584" s="15">
        <v>0</v>
      </c>
      <c r="J1584" s="15">
        <v>0</v>
      </c>
      <c r="K1584" s="12" t="str">
        <f>HYPERLINK("https://mobile.twitter.com","Twitter Web App")</f>
        <v>Twitter Web App</v>
      </c>
      <c r="L1584" s="16">
        <v>0</v>
      </c>
      <c r="M1584" s="16">
        <v>1</v>
      </c>
      <c r="N1584" s="16">
        <v>0</v>
      </c>
      <c r="O1584" s="17"/>
      <c r="P1584" s="18">
        <v>43733.958726851852</v>
      </c>
      <c r="Q1584" s="8" t="s">
        <v>1454</v>
      </c>
      <c r="R1584" s="8" t="s">
        <v>9417</v>
      </c>
      <c r="S1584" s="8"/>
      <c r="T1584" s="8"/>
      <c r="U1584" s="19" t="str">
        <f>HYPERLINK("https://pbs.twimg.com/profile_images/1180411501460410369/SthJD8P4.jpg","View")</f>
        <v>View</v>
      </c>
      <c r="V1584" s="8"/>
      <c r="W1584" s="8"/>
      <c r="X1584" s="8"/>
      <c r="Y1584" s="8"/>
      <c r="Z1584" s="8"/>
    </row>
    <row r="1585" spans="1:26" ht="12.75">
      <c r="A1585" s="11">
        <v>43746.11854166667</v>
      </c>
      <c r="B1585" s="12" t="str">
        <f>HYPERLINK("https://twitter.com/ZahirQuadri","@ZahirQuadri")</f>
        <v>@ZahirQuadri</v>
      </c>
      <c r="C1585" s="13" t="s">
        <v>2436</v>
      </c>
      <c r="D1585" s="13" t="s">
        <v>1030</v>
      </c>
      <c r="E1585" s="12" t="str">
        <f>HYPERLINK("https://twitter.com/ZahirQuadri/status/1181507198758739968","1181507198758739968")</f>
        <v>1181507198758739968</v>
      </c>
      <c r="F1585" s="8"/>
      <c r="G1585" s="14" t="s">
        <v>9421</v>
      </c>
      <c r="H1585" s="8"/>
      <c r="I1585" s="15">
        <v>0</v>
      </c>
      <c r="J1585" s="15">
        <v>0</v>
      </c>
      <c r="K1585" s="12" t="str">
        <f>HYPERLINK("https://mobile.twitter.com","Twitter Web App")</f>
        <v>Twitter Web App</v>
      </c>
      <c r="L1585" s="16">
        <v>0</v>
      </c>
      <c r="M1585" s="16">
        <v>1</v>
      </c>
      <c r="N1585" s="16">
        <v>0</v>
      </c>
      <c r="O1585" s="17"/>
      <c r="P1585" s="18">
        <v>43733.952372685184</v>
      </c>
      <c r="Q1585" s="8" t="s">
        <v>1612</v>
      </c>
      <c r="R1585" s="8" t="s">
        <v>9424</v>
      </c>
      <c r="S1585" s="8"/>
      <c r="T1585" s="8"/>
      <c r="U1585" s="19" t="str">
        <f>HYPERLINK("https://pbs.twimg.com/profile_images/1180408398837239808/TKe7IA4Q.jpg","View")</f>
        <v>View</v>
      </c>
      <c r="V1585" s="8"/>
      <c r="W1585" s="8"/>
      <c r="X1585" s="8"/>
      <c r="Y1585" s="8"/>
      <c r="Z1585" s="8"/>
    </row>
    <row r="1586" spans="1:26" ht="12.75">
      <c r="A1586" s="11">
        <v>43746.117083333331</v>
      </c>
      <c r="B1586" s="12" t="str">
        <f>HYPERLINK("https://twitter.com/ZahedQahtani","@ZahedQahtani")</f>
        <v>@ZahedQahtani</v>
      </c>
      <c r="C1586" s="13" t="s">
        <v>2507</v>
      </c>
      <c r="D1586" s="13" t="s">
        <v>1130</v>
      </c>
      <c r="E1586" s="12" t="str">
        <f>HYPERLINK("https://twitter.com/ZahedQahtani/status/1181506672889516032","1181506672889516032")</f>
        <v>1181506672889516032</v>
      </c>
      <c r="F1586" s="8"/>
      <c r="G1586" s="14" t="s">
        <v>9434</v>
      </c>
      <c r="H1586" s="8"/>
      <c r="I1586" s="15">
        <v>0</v>
      </c>
      <c r="J1586" s="15">
        <v>0</v>
      </c>
      <c r="K1586" s="12" t="str">
        <f>HYPERLINK("https://mobile.twitter.com","Twitter Web App")</f>
        <v>Twitter Web App</v>
      </c>
      <c r="L1586" s="16">
        <v>0</v>
      </c>
      <c r="M1586" s="16">
        <v>1</v>
      </c>
      <c r="N1586" s="16">
        <v>0</v>
      </c>
      <c r="O1586" s="17"/>
      <c r="P1586" s="18">
        <v>43733.952361111107</v>
      </c>
      <c r="Q1586" s="8" t="s">
        <v>1396</v>
      </c>
      <c r="R1586" s="8" t="s">
        <v>9436</v>
      </c>
      <c r="S1586" s="8"/>
      <c r="T1586" s="8"/>
      <c r="U1586" s="19" t="str">
        <f>HYPERLINK("https://pbs.twimg.com/profile_images/1180406154620329985/PxEKVsb1.jpg","View")</f>
        <v>View</v>
      </c>
      <c r="V1586" s="8"/>
      <c r="W1586" s="8"/>
      <c r="X1586" s="8"/>
      <c r="Y1586" s="8"/>
      <c r="Z1586" s="8"/>
    </row>
    <row r="1587" spans="1:26" ht="12.75">
      <c r="A1587" s="11">
        <v>43746.116886574076</v>
      </c>
      <c r="B1587" s="12" t="str">
        <f>HYPERLINK("https://twitter.com/mosfelasalaa","@mosfelasalaa")</f>
        <v>@mosfelasalaa</v>
      </c>
      <c r="C1587" s="13" t="s">
        <v>6622</v>
      </c>
      <c r="D1587" s="13" t="s">
        <v>786</v>
      </c>
      <c r="E1587" s="12" t="str">
        <f>HYPERLINK("https://twitter.com/mosfelasalaa/status/1181506601871642624","1181506601871642624")</f>
        <v>1181506601871642624</v>
      </c>
      <c r="F1587" s="8"/>
      <c r="G1587" s="14" t="s">
        <v>9437</v>
      </c>
      <c r="H1587" s="8"/>
      <c r="I1587" s="15">
        <v>0</v>
      </c>
      <c r="J1587" s="15">
        <v>0</v>
      </c>
      <c r="K1587" s="12" t="str">
        <f>HYPERLINK("http://twitter.com","Twitter Web Client")</f>
        <v>Twitter Web Client</v>
      </c>
      <c r="L1587" s="16">
        <v>1</v>
      </c>
      <c r="M1587" s="16">
        <v>39</v>
      </c>
      <c r="N1587" s="16">
        <v>0</v>
      </c>
      <c r="O1587" s="17"/>
      <c r="P1587" s="18">
        <v>42088.843877314815</v>
      </c>
      <c r="Q1587" s="8"/>
      <c r="R1587" s="8"/>
      <c r="S1587" s="8"/>
      <c r="T1587" s="8"/>
      <c r="U1587" s="19" t="str">
        <f>HYPERLINK("https://pbs.twimg.com/profile_images/580936423454429184/hibirFcN.jpg","View")</f>
        <v>View</v>
      </c>
      <c r="V1587" s="8"/>
      <c r="W1587" s="8"/>
      <c r="X1587" s="8"/>
      <c r="Y1587" s="8"/>
      <c r="Z1587" s="8"/>
    </row>
    <row r="1588" spans="1:26" ht="12.75">
      <c r="A1588" s="11">
        <v>43746.116157407407</v>
      </c>
      <c r="B1588" s="12" t="str">
        <f>HYPERLINK("https://twitter.com/elkahtan33","@elkahtan33")</f>
        <v>@elkahtan33</v>
      </c>
      <c r="C1588" s="13" t="s">
        <v>9440</v>
      </c>
      <c r="D1588" s="13" t="s">
        <v>796</v>
      </c>
      <c r="E1588" s="12" t="str">
        <f>HYPERLINK("https://twitter.com/elkahtan33/status/1181506335126556672","1181506335126556672")</f>
        <v>1181506335126556672</v>
      </c>
      <c r="F1588" s="8"/>
      <c r="G1588" s="14" t="s">
        <v>9442</v>
      </c>
      <c r="H1588" s="8"/>
      <c r="I1588" s="15">
        <v>0</v>
      </c>
      <c r="J1588" s="15">
        <v>0</v>
      </c>
      <c r="K1588" s="12" t="str">
        <f>HYPERLINK("http://twitter.com","Twitter Web Client")</f>
        <v>Twitter Web Client</v>
      </c>
      <c r="L1588" s="16">
        <v>4</v>
      </c>
      <c r="M1588" s="16">
        <v>33</v>
      </c>
      <c r="N1588" s="16">
        <v>0</v>
      </c>
      <c r="O1588" s="17"/>
      <c r="P1588" s="18">
        <v>42077.40825231481</v>
      </c>
      <c r="Q1588" s="8"/>
      <c r="R1588" s="8"/>
      <c r="S1588" s="8"/>
      <c r="T1588" s="8"/>
      <c r="U1588" s="19" t="str">
        <f>HYPERLINK("https://pbs.twimg.com/profile_images/576786999945732097/4NpBnCHi.jpeg","View")</f>
        <v>View</v>
      </c>
      <c r="V1588" s="8"/>
      <c r="W1588" s="8"/>
      <c r="X1588" s="8"/>
      <c r="Y1588" s="8"/>
      <c r="Z1588" s="8"/>
    </row>
    <row r="1589" spans="1:26" ht="12.75">
      <c r="A1589" s="11">
        <v>43746.115879629629</v>
      </c>
      <c r="B1589" s="12" t="str">
        <f>HYPERLINK("https://twitter.com/abdullah3539","@abdullah3539")</f>
        <v>@abdullah3539</v>
      </c>
      <c r="C1589" s="13" t="s">
        <v>9445</v>
      </c>
      <c r="D1589" s="13" t="s">
        <v>2785</v>
      </c>
      <c r="E1589" s="12" t="str">
        <f>HYPERLINK("https://twitter.com/abdullah3539/status/1181506234790363138","1181506234790363138")</f>
        <v>1181506234790363138</v>
      </c>
      <c r="F1589" s="8"/>
      <c r="G1589" s="14" t="s">
        <v>9446</v>
      </c>
      <c r="H1589" s="8"/>
      <c r="I1589" s="15">
        <v>0</v>
      </c>
      <c r="J1589" s="15">
        <v>0</v>
      </c>
      <c r="K1589" s="12" t="str">
        <f>HYPERLINK("http://twitter.com","Twitter Web Client")</f>
        <v>Twitter Web Client</v>
      </c>
      <c r="L1589" s="16">
        <v>3</v>
      </c>
      <c r="M1589" s="16">
        <v>40</v>
      </c>
      <c r="N1589" s="16">
        <v>0</v>
      </c>
      <c r="O1589" s="17"/>
      <c r="P1589" s="18">
        <v>42268.772025462968</v>
      </c>
      <c r="Q1589" s="8"/>
      <c r="R1589" s="8"/>
      <c r="S1589" s="8"/>
      <c r="T1589" s="8"/>
      <c r="U1589" s="19" t="str">
        <f>HYPERLINK("https://pbs.twimg.com/profile_images/646344667160666112/LwNnHdCb.jpg","View")</f>
        <v>View</v>
      </c>
      <c r="V1589" s="8"/>
      <c r="W1589" s="8"/>
      <c r="X1589" s="8"/>
      <c r="Y1589" s="8"/>
      <c r="Z1589" s="8"/>
    </row>
    <row r="1590" spans="1:26" ht="12.75">
      <c r="A1590" s="11">
        <v>43746.113437499997</v>
      </c>
      <c r="B1590" s="12" t="str">
        <f>HYPERLINK("https://twitter.com/asmari_zafer","@asmari_zafer")</f>
        <v>@asmari_zafer</v>
      </c>
      <c r="C1590" s="13" t="s">
        <v>2518</v>
      </c>
      <c r="D1590" s="13" t="s">
        <v>1107</v>
      </c>
      <c r="E1590" s="12" t="str">
        <f>HYPERLINK("https://twitter.com/asmari_zafer/status/1181505351415291904","1181505351415291904")</f>
        <v>1181505351415291904</v>
      </c>
      <c r="F1590" s="8"/>
      <c r="G1590" s="14" t="s">
        <v>9450</v>
      </c>
      <c r="H1590" s="8"/>
      <c r="I1590" s="15">
        <v>0</v>
      </c>
      <c r="J1590" s="15">
        <v>0</v>
      </c>
      <c r="K1590" s="12" t="str">
        <f>HYPERLINK("https://mobile.twitter.com","Twitter Web App")</f>
        <v>Twitter Web App</v>
      </c>
      <c r="L1590" s="16">
        <v>0</v>
      </c>
      <c r="M1590" s="16">
        <v>1</v>
      </c>
      <c r="N1590" s="16">
        <v>0</v>
      </c>
      <c r="O1590" s="17"/>
      <c r="P1590" s="18">
        <v>43733.947199074071</v>
      </c>
      <c r="Q1590" s="8" t="s">
        <v>920</v>
      </c>
      <c r="R1590" s="8" t="s">
        <v>2727</v>
      </c>
      <c r="S1590" s="8"/>
      <c r="T1590" s="8"/>
      <c r="U1590" s="19" t="str">
        <f>HYPERLINK("https://pbs.twimg.com/profile_images/1180404378848481281/z8XaC2Eh.jpg","View")</f>
        <v>View</v>
      </c>
      <c r="V1590" s="8"/>
      <c r="W1590" s="8"/>
      <c r="X1590" s="8"/>
      <c r="Y1590" s="8"/>
      <c r="Z1590" s="8"/>
    </row>
    <row r="1591" spans="1:26" ht="12.75">
      <c r="A1591" s="11">
        <v>43746.112696759257</v>
      </c>
      <c r="B1591" s="12" t="str">
        <f>HYPERLINK("https://twitter.com/alasabay3333","@alasabay3333")</f>
        <v>@alasabay3333</v>
      </c>
      <c r="C1591" s="13" t="s">
        <v>9453</v>
      </c>
      <c r="D1591" s="13" t="s">
        <v>2804</v>
      </c>
      <c r="E1591" s="12" t="str">
        <f>HYPERLINK("https://twitter.com/alasabay3333/status/1181505081721659392","1181505081721659392")</f>
        <v>1181505081721659392</v>
      </c>
      <c r="F1591" s="8"/>
      <c r="G1591" s="14" t="s">
        <v>9454</v>
      </c>
      <c r="H1591" s="8"/>
      <c r="I1591" s="15">
        <v>0</v>
      </c>
      <c r="J1591" s="15">
        <v>0</v>
      </c>
      <c r="K1591" s="12" t="str">
        <f>HYPERLINK("http://twitter.com","Twitter Web Client")</f>
        <v>Twitter Web Client</v>
      </c>
      <c r="L1591" s="16">
        <v>3</v>
      </c>
      <c r="M1591" s="16">
        <v>30</v>
      </c>
      <c r="N1591" s="16">
        <v>0</v>
      </c>
      <c r="O1591" s="17"/>
      <c r="P1591" s="18">
        <v>42079.704224537039</v>
      </c>
      <c r="Q1591" s="8"/>
      <c r="R1591" s="8"/>
      <c r="S1591" s="8"/>
      <c r="T1591" s="8"/>
      <c r="U1591" s="19" t="str">
        <f>HYPERLINK("https://pbs.twimg.com/profile_images/577619056578019329/QKpxRisv.jpg","View")</f>
        <v>View</v>
      </c>
      <c r="V1591" s="8"/>
      <c r="W1591" s="8"/>
      <c r="X1591" s="8"/>
      <c r="Y1591" s="8"/>
      <c r="Z1591" s="8"/>
    </row>
    <row r="1592" spans="1:26" ht="12.75">
      <c r="A1592" s="11">
        <v>43746.112210648149</v>
      </c>
      <c r="B1592" s="12" t="str">
        <f>HYPERLINK("https://twitter.com/ZafarullahAl","@ZafarullahAl")</f>
        <v>@ZafarullahAl</v>
      </c>
      <c r="C1592" s="13" t="s">
        <v>9459</v>
      </c>
      <c r="D1592" s="13" t="s">
        <v>907</v>
      </c>
      <c r="E1592" s="12" t="str">
        <f>HYPERLINK("https://twitter.com/ZafarullahAl/status/1181504906579939330","1181504906579939330")</f>
        <v>1181504906579939330</v>
      </c>
      <c r="F1592" s="8"/>
      <c r="G1592" s="14" t="s">
        <v>9460</v>
      </c>
      <c r="H1592" s="8"/>
      <c r="I1592" s="15">
        <v>0</v>
      </c>
      <c r="J1592" s="15">
        <v>0</v>
      </c>
      <c r="K1592" s="12" t="str">
        <f>HYPERLINK("https://mobile.twitter.com","Twitter Web App")</f>
        <v>Twitter Web App</v>
      </c>
      <c r="L1592" s="16">
        <v>0</v>
      </c>
      <c r="M1592" s="16">
        <v>1</v>
      </c>
      <c r="N1592" s="16">
        <v>0</v>
      </c>
      <c r="O1592" s="17"/>
      <c r="P1592" s="18">
        <v>43733.947175925925</v>
      </c>
      <c r="Q1592" s="8" t="s">
        <v>949</v>
      </c>
      <c r="R1592" s="8" t="s">
        <v>1849</v>
      </c>
      <c r="S1592" s="8"/>
      <c r="T1592" s="8"/>
      <c r="U1592" s="19" t="str">
        <f>HYPERLINK("https://pbs.twimg.com/profile_images/1180403299700199425/KD6ga_MV.jpg","View")</f>
        <v>View</v>
      </c>
      <c r="V1592" s="8"/>
      <c r="W1592" s="8"/>
      <c r="X1592" s="8"/>
      <c r="Y1592" s="8"/>
      <c r="Z1592" s="8"/>
    </row>
    <row r="1593" spans="1:26" ht="12.75">
      <c r="A1593" s="11">
        <v>43746.111446759256</v>
      </c>
      <c r="B1593" s="12" t="str">
        <f>HYPERLINK("https://twitter.com/aalibinibrahim1","@aalibinibrahim1")</f>
        <v>@aalibinibrahim1</v>
      </c>
      <c r="C1593" s="7" t="s">
        <v>9468</v>
      </c>
      <c r="D1593" s="7" t="s">
        <v>9469</v>
      </c>
      <c r="E1593" s="12" t="str">
        <f>HYPERLINK("https://twitter.com/aalibinibrahim1/status/1181504627487002626","1181504627487002626")</f>
        <v>1181504627487002626</v>
      </c>
      <c r="F1593" s="8"/>
      <c r="G1593" s="14" t="s">
        <v>9470</v>
      </c>
      <c r="H1593" s="8"/>
      <c r="I1593" s="15">
        <v>0</v>
      </c>
      <c r="J1593" s="15">
        <v>0</v>
      </c>
      <c r="K1593" s="12" t="str">
        <f>HYPERLINK("http://twitter.com","Twitter Web Client")</f>
        <v>Twitter Web Client</v>
      </c>
      <c r="L1593" s="16">
        <v>0</v>
      </c>
      <c r="M1593" s="16">
        <v>41</v>
      </c>
      <c r="N1593" s="16">
        <v>0</v>
      </c>
      <c r="O1593" s="17"/>
      <c r="P1593" s="18">
        <v>42023.191979166666</v>
      </c>
      <c r="Q1593" s="7"/>
      <c r="R1593" s="7"/>
      <c r="S1593" s="8"/>
      <c r="T1593" s="8"/>
      <c r="U1593" s="19" t="str">
        <f>HYPERLINK("https://pbs.twimg.com/profile_images/557155514610511872/u6EnJNfG.jpeg","View")</f>
        <v>View</v>
      </c>
      <c r="V1593" s="8"/>
      <c r="W1593" s="8"/>
      <c r="X1593" s="8"/>
      <c r="Y1593" s="8"/>
      <c r="Z1593" s="8"/>
    </row>
    <row r="1594" spans="1:26" ht="12.75">
      <c r="A1594" s="11">
        <v>43746.110034722224</v>
      </c>
      <c r="B1594" s="12" t="str">
        <f>HYPERLINK("https://twitter.com/fiead_aelshea","@fiead_aelshea")</f>
        <v>@fiead_aelshea</v>
      </c>
      <c r="C1594" s="13" t="s">
        <v>9477</v>
      </c>
      <c r="D1594" s="13" t="s">
        <v>2829</v>
      </c>
      <c r="E1594" s="12" t="str">
        <f>HYPERLINK("https://twitter.com/fiead_aelshea/status/1181504118415925248","1181504118415925248")</f>
        <v>1181504118415925248</v>
      </c>
      <c r="F1594" s="8"/>
      <c r="G1594" s="14" t="s">
        <v>9478</v>
      </c>
      <c r="H1594" s="8"/>
      <c r="I1594" s="15">
        <v>0</v>
      </c>
      <c r="J1594" s="15">
        <v>0</v>
      </c>
      <c r="K1594" s="12" t="str">
        <f>HYPERLINK("http://twitter.com","Twitter Web Client")</f>
        <v>Twitter Web Client</v>
      </c>
      <c r="L1594" s="16">
        <v>3</v>
      </c>
      <c r="M1594" s="16">
        <v>27</v>
      </c>
      <c r="N1594" s="16">
        <v>0</v>
      </c>
      <c r="O1594" s="17"/>
      <c r="P1594" s="18">
        <v>41460.703101851854</v>
      </c>
      <c r="Q1594" s="8"/>
      <c r="R1594" s="8"/>
      <c r="S1594" s="8"/>
      <c r="T1594" s="8"/>
      <c r="U1594" s="19" t="str">
        <f>HYPERLINK("https://pbs.twimg.com/profile_images/378800000093543909/f796ff8930f72998845443bafad07779.jpeg","View")</f>
        <v>View</v>
      </c>
      <c r="V1594" s="8"/>
      <c r="W1594" s="8"/>
      <c r="X1594" s="8"/>
      <c r="Y1594" s="8"/>
      <c r="Z1594" s="8"/>
    </row>
    <row r="1595" spans="1:26" ht="12.75">
      <c r="A1595" s="11">
        <v>43746.109050925923</v>
      </c>
      <c r="B1595" s="12" t="str">
        <f>HYPERLINK("https://twitter.com/deanhuwaiat201","@deanhuwaiat201")</f>
        <v>@deanhuwaiat201</v>
      </c>
      <c r="C1595" s="7" t="s">
        <v>9487</v>
      </c>
      <c r="D1595" s="7" t="s">
        <v>864</v>
      </c>
      <c r="E1595" s="12" t="str">
        <f>HYPERLINK("https://twitter.com/deanhuwaiat201/status/1181503758750097409","1181503758750097409")</f>
        <v>1181503758750097409</v>
      </c>
      <c r="F1595" s="8"/>
      <c r="G1595" s="14" t="s">
        <v>9489</v>
      </c>
      <c r="H1595" s="8"/>
      <c r="I1595" s="15">
        <v>0</v>
      </c>
      <c r="J1595" s="15">
        <v>0</v>
      </c>
      <c r="K1595" s="12" t="str">
        <f>HYPERLINK("http://twitter.com","Twitter Web Client")</f>
        <v>Twitter Web Client</v>
      </c>
      <c r="L1595" s="16">
        <v>1</v>
      </c>
      <c r="M1595" s="16">
        <v>25</v>
      </c>
      <c r="N1595" s="16">
        <v>0</v>
      </c>
      <c r="O1595" s="17"/>
      <c r="P1595" s="18">
        <v>41828.578773148147</v>
      </c>
      <c r="Q1595" s="7"/>
      <c r="R1595" s="7"/>
      <c r="S1595" s="8"/>
      <c r="T1595" s="8"/>
      <c r="U1595" s="19" t="str">
        <f>HYPERLINK("https://pbs.twimg.com/profile_images/486614267148247041/F8YaWIQk.jpeg","View")</f>
        <v>View</v>
      </c>
      <c r="V1595" s="8"/>
      <c r="W1595" s="8"/>
      <c r="X1595" s="8"/>
      <c r="Y1595" s="8"/>
      <c r="Z1595" s="8"/>
    </row>
    <row r="1596" spans="1:26" ht="12.75">
      <c r="A1596" s="11">
        <v>43746.108958333338</v>
      </c>
      <c r="B1596" s="12" t="str">
        <f>HYPERLINK("https://twitter.com/FsTui17lqlmJx2e","@FsTui17lqlmJx2e")</f>
        <v>@FsTui17lqlmJx2e</v>
      </c>
      <c r="C1596" s="13" t="s">
        <v>9491</v>
      </c>
      <c r="D1596" s="13" t="s">
        <v>9492</v>
      </c>
      <c r="E1596" s="12" t="str">
        <f>HYPERLINK("https://twitter.com/FsTui17lqlmJx2e/status/1181503729239052289","1181503729239052289")</f>
        <v>1181503729239052289</v>
      </c>
      <c r="F1596" s="8"/>
      <c r="G1596" s="15"/>
      <c r="H1596" s="8"/>
      <c r="I1596" s="15">
        <v>3</v>
      </c>
      <c r="J1596" s="15">
        <v>16</v>
      </c>
      <c r="K1596" s="12" t="str">
        <f>HYPERLINK("http://twitter.com/download/iphone","Twitter for iPhone")</f>
        <v>Twitter for iPhone</v>
      </c>
      <c r="L1596" s="16">
        <v>1287</v>
      </c>
      <c r="M1596" s="16">
        <v>149</v>
      </c>
      <c r="N1596" s="16">
        <v>0</v>
      </c>
      <c r="O1596" s="17"/>
      <c r="P1596" s="18">
        <v>43568.463692129633</v>
      </c>
      <c r="Q1596" s="8" t="s">
        <v>7779</v>
      </c>
      <c r="R1596" s="8" t="s">
        <v>9496</v>
      </c>
      <c r="S1596" s="8"/>
      <c r="T1596" s="8"/>
      <c r="U1596" s="19" t="str">
        <f>HYPERLINK("https://pbs.twimg.com/profile_images/1178979953259483136/ZKCVaUoR.jpg","View")</f>
        <v>View</v>
      </c>
      <c r="V1596" s="8"/>
      <c r="W1596" s="8"/>
      <c r="X1596" s="8"/>
      <c r="Y1596" s="8"/>
      <c r="Z1596" s="8"/>
    </row>
    <row r="1597" spans="1:26" ht="12.75">
      <c r="A1597" s="11">
        <v>43746.107083333336</v>
      </c>
      <c r="B1597" s="12" t="str">
        <f>HYPERLINK("https://twitter.com/elmakereh32","@elmakereh32")</f>
        <v>@elmakereh32</v>
      </c>
      <c r="C1597" s="7" t="s">
        <v>9502</v>
      </c>
      <c r="D1597" s="7" t="s">
        <v>886</v>
      </c>
      <c r="E1597" s="12" t="str">
        <f>HYPERLINK("https://twitter.com/elmakereh32/status/1181503047802982403","1181503047802982403")</f>
        <v>1181503047802982403</v>
      </c>
      <c r="F1597" s="8"/>
      <c r="G1597" s="14" t="s">
        <v>9503</v>
      </c>
      <c r="H1597" s="8"/>
      <c r="I1597" s="15">
        <v>0</v>
      </c>
      <c r="J1597" s="15">
        <v>0</v>
      </c>
      <c r="K1597" s="12" t="str">
        <f>HYPERLINK("http://twitter.com","Twitter Web Client")</f>
        <v>Twitter Web Client</v>
      </c>
      <c r="L1597" s="16">
        <v>11</v>
      </c>
      <c r="M1597" s="16">
        <v>36</v>
      </c>
      <c r="N1597" s="16">
        <v>0</v>
      </c>
      <c r="O1597" s="17"/>
      <c r="P1597" s="18">
        <v>42075.356122685189</v>
      </c>
      <c r="Q1597" s="7"/>
      <c r="R1597" s="7"/>
      <c r="S1597" s="8"/>
      <c r="T1597" s="8"/>
      <c r="U1597" s="19" t="str">
        <f>HYPERLINK("https://pbs.twimg.com/profile_images/576043312697618432/Sd3ZGv7i.jpeg","View")</f>
        <v>View</v>
      </c>
      <c r="V1597" s="8"/>
      <c r="W1597" s="8"/>
      <c r="X1597" s="8"/>
      <c r="Y1597" s="8"/>
      <c r="Z1597" s="8"/>
    </row>
    <row r="1598" spans="1:26" ht="12.75">
      <c r="A1598" s="11">
        <v>43746.10538194445</v>
      </c>
      <c r="B1598" s="12" t="str">
        <f>HYPERLINK("https://twitter.com/iurashid","@iurashid")</f>
        <v>@iurashid</v>
      </c>
      <c r="C1598" s="13" t="s">
        <v>9504</v>
      </c>
      <c r="D1598" s="13" t="s">
        <v>2897</v>
      </c>
      <c r="E1598" s="12" t="str">
        <f>HYPERLINK("https://twitter.com/iurashid/status/1181502429206069249","1181502429206069249")</f>
        <v>1181502429206069249</v>
      </c>
      <c r="F1598" s="8"/>
      <c r="G1598" s="14" t="s">
        <v>9505</v>
      </c>
      <c r="H1598" s="8"/>
      <c r="I1598" s="15">
        <v>0</v>
      </c>
      <c r="J1598" s="15">
        <v>0</v>
      </c>
      <c r="K1598" s="12" t="str">
        <f>HYPERLINK("http://twitter.com","Twitter Web Client")</f>
        <v>Twitter Web Client</v>
      </c>
      <c r="L1598" s="16">
        <v>1</v>
      </c>
      <c r="M1598" s="16">
        <v>37</v>
      </c>
      <c r="N1598" s="16">
        <v>0</v>
      </c>
      <c r="O1598" s="17"/>
      <c r="P1598" s="18">
        <v>42081.423888888894</v>
      </c>
      <c r="Q1598" s="8"/>
      <c r="R1598" s="8"/>
      <c r="S1598" s="8"/>
      <c r="T1598" s="8"/>
      <c r="U1598" s="19" t="str">
        <f>HYPERLINK("https://pbs.twimg.com/profile_images/578242683887464448/JWVgzRS_.jpeg","View")</f>
        <v>View</v>
      </c>
      <c r="V1598" s="8"/>
      <c r="W1598" s="8"/>
      <c r="X1598" s="8"/>
      <c r="Y1598" s="8"/>
      <c r="Z1598" s="8"/>
    </row>
    <row r="1599" spans="1:26" ht="12.75">
      <c r="A1599" s="11">
        <v>43746.101493055554</v>
      </c>
      <c r="B1599" s="12" t="str">
        <f>HYPERLINK("https://twitter.com/nayefayed4","@nayefayed4")</f>
        <v>@nayefayed4</v>
      </c>
      <c r="C1599" s="13" t="s">
        <v>9521</v>
      </c>
      <c r="D1599" s="13" t="s">
        <v>991</v>
      </c>
      <c r="E1599" s="12" t="str">
        <f>HYPERLINK("https://twitter.com/nayefayed4/status/1181501023011127296","1181501023011127296")</f>
        <v>1181501023011127296</v>
      </c>
      <c r="F1599" s="8"/>
      <c r="G1599" s="14" t="s">
        <v>9522</v>
      </c>
      <c r="H1599" s="8"/>
      <c r="I1599" s="15">
        <v>0</v>
      </c>
      <c r="J1599" s="15">
        <v>0</v>
      </c>
      <c r="K1599" s="12" t="str">
        <f>HYPERLINK("http://twitter.com","Twitter Web Client")</f>
        <v>Twitter Web Client</v>
      </c>
      <c r="L1599" s="16">
        <v>14</v>
      </c>
      <c r="M1599" s="16">
        <v>44</v>
      </c>
      <c r="N1599" s="16">
        <v>0</v>
      </c>
      <c r="O1599" s="17"/>
      <c r="P1599" s="18">
        <v>42074.293321759258</v>
      </c>
      <c r="Q1599" s="8"/>
      <c r="R1599" s="8"/>
      <c r="S1599" s="8"/>
      <c r="T1599" s="8"/>
      <c r="U1599" s="19" t="str">
        <f>HYPERLINK("https://pbs.twimg.com/profile_images/575658353604456448/Xh6P_D74.jpeg","View")</f>
        <v>View</v>
      </c>
      <c r="V1599" s="8"/>
      <c r="W1599" s="8"/>
      <c r="X1599" s="8"/>
      <c r="Y1599" s="8"/>
      <c r="Z1599" s="8"/>
    </row>
    <row r="1600" spans="1:26" ht="12.75">
      <c r="A1600" s="11">
        <v>43746.101215277777</v>
      </c>
      <c r="B1600" s="12" t="str">
        <f>HYPERLINK("https://twitter.com/fouaad_habib","@fouaad_habib")</f>
        <v>@fouaad_habib</v>
      </c>
      <c r="C1600" s="13" t="s">
        <v>9523</v>
      </c>
      <c r="D1600" s="13" t="s">
        <v>2923</v>
      </c>
      <c r="E1600" s="12" t="str">
        <f>HYPERLINK("https://twitter.com/fouaad_habib/status/1181500920770781184","1181500920770781184")</f>
        <v>1181500920770781184</v>
      </c>
      <c r="F1600" s="8"/>
      <c r="G1600" s="14" t="s">
        <v>9524</v>
      </c>
      <c r="H1600" s="8"/>
      <c r="I1600" s="15">
        <v>0</v>
      </c>
      <c r="J1600" s="15">
        <v>0</v>
      </c>
      <c r="K1600" s="12" t="str">
        <f>HYPERLINK("http://twitter.com","Twitter Web Client")</f>
        <v>Twitter Web Client</v>
      </c>
      <c r="L1600" s="16">
        <v>1</v>
      </c>
      <c r="M1600" s="16">
        <v>38</v>
      </c>
      <c r="N1600" s="16">
        <v>0</v>
      </c>
      <c r="O1600" s="17"/>
      <c r="P1600" s="18">
        <v>42081.650706018518</v>
      </c>
      <c r="Q1600" s="8"/>
      <c r="R1600" s="13"/>
      <c r="S1600" s="8"/>
      <c r="T1600" s="8"/>
      <c r="U1600" s="19" t="str">
        <f>HYPERLINK("https://pbs.twimg.com/profile_images/578331717506830336/SxOPlnCH.jpeg","View")</f>
        <v>View</v>
      </c>
      <c r="V1600" s="8"/>
      <c r="W1600" s="8"/>
      <c r="X1600" s="8"/>
      <c r="Y1600" s="8"/>
      <c r="Z1600" s="8"/>
    </row>
    <row r="1601" spans="1:26" ht="12.75">
      <c r="A1601" s="11">
        <v>43746.100775462968</v>
      </c>
      <c r="B1601" s="12" t="str">
        <f>HYPERLINK("https://twitter.com/bakier_saad","@bakier_saad")</f>
        <v>@bakier_saad</v>
      </c>
      <c r="C1601" s="13" t="s">
        <v>9525</v>
      </c>
      <c r="D1601" s="13" t="s">
        <v>1011</v>
      </c>
      <c r="E1601" s="12" t="str">
        <f>HYPERLINK("https://twitter.com/bakier_saad/status/1181500760347021312","1181500760347021312")</f>
        <v>1181500760347021312</v>
      </c>
      <c r="F1601" s="8"/>
      <c r="G1601" s="14" t="s">
        <v>9526</v>
      </c>
      <c r="H1601" s="8"/>
      <c r="I1601" s="15">
        <v>0</v>
      </c>
      <c r="J1601" s="15">
        <v>0</v>
      </c>
      <c r="K1601" s="12" t="str">
        <f>HYPERLINK("http://twitter.com","Twitter Web Client")</f>
        <v>Twitter Web Client</v>
      </c>
      <c r="L1601" s="16">
        <v>2</v>
      </c>
      <c r="M1601" s="16">
        <v>41</v>
      </c>
      <c r="N1601" s="16">
        <v>0</v>
      </c>
      <c r="O1601" s="17"/>
      <c r="P1601" s="18">
        <v>42081.665451388893</v>
      </c>
      <c r="Q1601" s="8"/>
      <c r="R1601" s="8"/>
      <c r="S1601" s="8"/>
      <c r="T1601" s="8"/>
      <c r="U1601" s="19" t="str">
        <f>HYPERLINK("https://pbs.twimg.com/profile_images/578332722621497344/U8ltsmvv.jpeg","View")</f>
        <v>View</v>
      </c>
      <c r="V1601" s="8"/>
      <c r="W1601" s="8"/>
      <c r="X1601" s="8"/>
      <c r="Y1601" s="8"/>
      <c r="Z1601" s="8"/>
    </row>
    <row r="1602" spans="1:26" ht="12.75">
      <c r="A1602" s="11">
        <v>43746.100069444445</v>
      </c>
      <c r="B1602" s="12" t="str">
        <f>HYPERLINK("https://twitter.com/almageed023","@almageed023")</f>
        <v>@almageed023</v>
      </c>
      <c r="C1602" s="13" t="s">
        <v>9529</v>
      </c>
      <c r="D1602" s="13" t="s">
        <v>9530</v>
      </c>
      <c r="E1602" s="12" t="str">
        <f>HYPERLINK("https://twitter.com/almageed023/status/1181500505882857472","1181500505882857472")</f>
        <v>1181500505882857472</v>
      </c>
      <c r="F1602" s="8"/>
      <c r="G1602" s="14" t="s">
        <v>9531</v>
      </c>
      <c r="H1602" s="8"/>
      <c r="I1602" s="15">
        <v>0</v>
      </c>
      <c r="J1602" s="15">
        <v>0</v>
      </c>
      <c r="K1602" s="12" t="str">
        <f>HYPERLINK("http://twitter.com","Twitter Web Client")</f>
        <v>Twitter Web Client</v>
      </c>
      <c r="L1602" s="16">
        <v>3</v>
      </c>
      <c r="M1602" s="16">
        <v>48</v>
      </c>
      <c r="N1602" s="16">
        <v>0</v>
      </c>
      <c r="O1602" s="17"/>
      <c r="P1602" s="18">
        <v>42073.165173611109</v>
      </c>
      <c r="Q1602" s="8"/>
      <c r="R1602" s="8"/>
      <c r="S1602" s="8"/>
      <c r="T1602" s="8"/>
      <c r="U1602" s="19" t="str">
        <f>HYPERLINK("https://pbs.twimg.com/profile_images/575249310121484288/xOw6-xPU.jpeg","View")</f>
        <v>View</v>
      </c>
      <c r="V1602" s="8"/>
      <c r="W1602" s="8"/>
      <c r="X1602" s="8"/>
      <c r="Y1602" s="8"/>
      <c r="Z1602" s="8"/>
    </row>
    <row r="1603" spans="1:26" ht="12.75">
      <c r="A1603" s="11">
        <v>43746.099351851852</v>
      </c>
      <c r="B1603" s="12" t="str">
        <f>HYPERLINK("https://twitter.com/abedalrah3","@abedalrah3")</f>
        <v>@abedalrah3</v>
      </c>
      <c r="C1603" s="13" t="s">
        <v>9538</v>
      </c>
      <c r="D1603" s="13" t="s">
        <v>9539</v>
      </c>
      <c r="E1603" s="12" t="str">
        <f>HYPERLINK("https://twitter.com/abedalrah3/status/1181500245361995776","1181500245361995776")</f>
        <v>1181500245361995776</v>
      </c>
      <c r="F1603" s="8"/>
      <c r="G1603" s="14" t="s">
        <v>9540</v>
      </c>
      <c r="H1603" s="8"/>
      <c r="I1603" s="15">
        <v>0</v>
      </c>
      <c r="J1603" s="15">
        <v>0</v>
      </c>
      <c r="K1603" s="12" t="str">
        <f>HYPERLINK("http://twitter.com","Twitter Web Client")</f>
        <v>Twitter Web Client</v>
      </c>
      <c r="L1603" s="16">
        <v>6</v>
      </c>
      <c r="M1603" s="16">
        <v>55</v>
      </c>
      <c r="N1603" s="16">
        <v>0</v>
      </c>
      <c r="O1603" s="17"/>
      <c r="P1603" s="18">
        <v>42070.418333333335</v>
      </c>
      <c r="Q1603" s="8"/>
      <c r="R1603" s="8"/>
      <c r="S1603" s="8"/>
      <c r="T1603" s="8"/>
      <c r="U1603" s="19" t="str">
        <f>HYPERLINK("https://pbs.twimg.com/profile_images/574269015494807552/jrnDNDeF.jpeg","View")</f>
        <v>View</v>
      </c>
      <c r="V1603" s="8"/>
      <c r="W1603" s="8"/>
      <c r="X1603" s="8"/>
      <c r="Y1603" s="8"/>
      <c r="Z1603" s="8"/>
    </row>
    <row r="1604" spans="1:26" ht="12.75">
      <c r="A1604" s="11">
        <v>43746.098773148144</v>
      </c>
      <c r="B1604" s="12" t="str">
        <f>HYPERLINK("https://twitter.com/salimbinaqeel1","@salimbinaqeel1")</f>
        <v>@salimbinaqeel1</v>
      </c>
      <c r="C1604" s="13" t="s">
        <v>9545</v>
      </c>
      <c r="D1604" s="13" t="s">
        <v>1043</v>
      </c>
      <c r="E1604" s="12" t="str">
        <f>HYPERLINK("https://twitter.com/salimbinaqeel1/status/1181500034992484352","1181500034992484352")</f>
        <v>1181500034992484352</v>
      </c>
      <c r="F1604" s="8"/>
      <c r="G1604" s="14" t="s">
        <v>9547</v>
      </c>
      <c r="H1604" s="8"/>
      <c r="I1604" s="15">
        <v>0</v>
      </c>
      <c r="J1604" s="15">
        <v>0</v>
      </c>
      <c r="K1604" s="12" t="str">
        <f>HYPERLINK("http://twitter.com","Twitter Web Client")</f>
        <v>Twitter Web Client</v>
      </c>
      <c r="L1604" s="16">
        <v>1</v>
      </c>
      <c r="M1604" s="16">
        <v>41</v>
      </c>
      <c r="N1604" s="16">
        <v>0</v>
      </c>
      <c r="O1604" s="17"/>
      <c r="P1604" s="18">
        <v>42023.208483796298</v>
      </c>
      <c r="Q1604" s="8"/>
      <c r="R1604" s="8"/>
      <c r="S1604" s="8"/>
      <c r="T1604" s="8"/>
      <c r="U1604" s="19" t="str">
        <f>HYPERLINK("https://pbs.twimg.com/profile_images/557161996768919552/XNo_WnGh.jpeg","View")</f>
        <v>View</v>
      </c>
      <c r="V1604" s="8"/>
      <c r="W1604" s="8"/>
      <c r="X1604" s="8"/>
      <c r="Y1604" s="8"/>
      <c r="Z1604" s="8"/>
    </row>
    <row r="1605" spans="1:26" ht="12.75">
      <c r="A1605" s="11">
        <v>43746.098622685182</v>
      </c>
      <c r="B1605" s="12" t="str">
        <f>HYPERLINK("https://twitter.com/elabdely33","@elabdely33")</f>
        <v>@elabdely33</v>
      </c>
      <c r="C1605" s="13" t="s">
        <v>9551</v>
      </c>
      <c r="D1605" s="13" t="s">
        <v>9552</v>
      </c>
      <c r="E1605" s="12" t="str">
        <f>HYPERLINK("https://twitter.com/elabdely33/status/1181499982827925504","1181499982827925504")</f>
        <v>1181499982827925504</v>
      </c>
      <c r="F1605" s="8"/>
      <c r="G1605" s="14" t="s">
        <v>9553</v>
      </c>
      <c r="H1605" s="8"/>
      <c r="I1605" s="15">
        <v>0</v>
      </c>
      <c r="J1605" s="15">
        <v>0</v>
      </c>
      <c r="K1605" s="12" t="str">
        <f>HYPERLINK("http://twitter.com","Twitter Web Client")</f>
        <v>Twitter Web Client</v>
      </c>
      <c r="L1605" s="16">
        <v>10</v>
      </c>
      <c r="M1605" s="16">
        <v>40</v>
      </c>
      <c r="N1605" s="16">
        <v>0</v>
      </c>
      <c r="O1605" s="17"/>
      <c r="P1605" s="18">
        <v>42072.383333333331</v>
      </c>
      <c r="Q1605" s="8"/>
      <c r="R1605" s="8"/>
      <c r="S1605" s="8"/>
      <c r="T1605" s="8"/>
      <c r="U1605" s="19" t="str">
        <f>HYPERLINK("https://pbs.twimg.com/profile_images/574965992561889280/VmXEPdCy.jpeg","View")</f>
        <v>View</v>
      </c>
      <c r="V1605" s="8"/>
      <c r="W1605" s="8"/>
      <c r="X1605" s="8"/>
      <c r="Y1605" s="8"/>
      <c r="Z1605" s="8"/>
    </row>
    <row r="1606" spans="1:26" ht="12.75">
      <c r="A1606" s="11">
        <v>43746.096203703702</v>
      </c>
      <c r="B1606" s="12" t="str">
        <f>HYPERLINK("https://twitter.com/huierabimuieta1","@huierabimuieta1")</f>
        <v>@huierabimuieta1</v>
      </c>
      <c r="C1606" s="13" t="s">
        <v>3071</v>
      </c>
      <c r="D1606" s="13" t="s">
        <v>1086</v>
      </c>
      <c r="E1606" s="12" t="str">
        <f>HYPERLINK("https://twitter.com/huierabimuieta1/status/1181499103542423554","1181499103542423554")</f>
        <v>1181499103542423554</v>
      </c>
      <c r="F1606" s="8"/>
      <c r="G1606" s="14" t="s">
        <v>9581</v>
      </c>
      <c r="H1606" s="8"/>
      <c r="I1606" s="15">
        <v>0</v>
      </c>
      <c r="J1606" s="15">
        <v>0</v>
      </c>
      <c r="K1606" s="12" t="str">
        <f>HYPERLINK("http://twitter.com","Twitter Web Client")</f>
        <v>Twitter Web Client</v>
      </c>
      <c r="L1606" s="16">
        <v>5</v>
      </c>
      <c r="M1606" s="16">
        <v>43</v>
      </c>
      <c r="N1606" s="16">
        <v>0</v>
      </c>
      <c r="O1606" s="17"/>
      <c r="P1606" s="18">
        <v>42076.293553240743</v>
      </c>
      <c r="Q1606" s="8"/>
      <c r="R1606" s="8"/>
      <c r="S1606" s="8"/>
      <c r="T1606" s="8"/>
      <c r="U1606" s="19" t="str">
        <f>HYPERLINK("https://pbs.twimg.com/profile_images/576383453945405441/GZ_d4Jhc.jpeg","View")</f>
        <v>View</v>
      </c>
      <c r="V1606" s="8"/>
      <c r="W1606" s="8"/>
      <c r="X1606" s="8"/>
      <c r="Y1606" s="8"/>
      <c r="Z1606" s="8"/>
    </row>
    <row r="1607" spans="1:26" ht="12.75">
      <c r="A1607" s="11">
        <v>43746.095208333332</v>
      </c>
      <c r="B1607" s="12" t="str">
        <f>HYPERLINK("https://twitter.com/moradsalim12","@moradsalim12")</f>
        <v>@moradsalim12</v>
      </c>
      <c r="C1607" s="7" t="s">
        <v>9587</v>
      </c>
      <c r="D1607" s="7" t="s">
        <v>9588</v>
      </c>
      <c r="E1607" s="12" t="str">
        <f>HYPERLINK("https://twitter.com/moradsalim12/status/1181498746200301569","1181498746200301569")</f>
        <v>1181498746200301569</v>
      </c>
      <c r="F1607" s="8"/>
      <c r="G1607" s="8"/>
      <c r="H1607" s="8"/>
      <c r="I1607" s="15">
        <v>0</v>
      </c>
      <c r="J1607" s="15">
        <v>1</v>
      </c>
      <c r="K1607" s="12" t="str">
        <f>HYPERLINK("http://twitter.com/download/android","Twitter for Android")</f>
        <v>Twitter for Android</v>
      </c>
      <c r="L1607" s="16">
        <v>263</v>
      </c>
      <c r="M1607" s="16">
        <v>586</v>
      </c>
      <c r="N1607" s="16">
        <v>0</v>
      </c>
      <c r="O1607" s="17"/>
      <c r="P1607" s="18">
        <v>43656.570960648147</v>
      </c>
      <c r="Q1607" s="7" t="s">
        <v>8966</v>
      </c>
      <c r="R1607" s="7" t="s">
        <v>9589</v>
      </c>
      <c r="S1607" s="8"/>
      <c r="T1607" s="8"/>
      <c r="U1607" s="19" t="str">
        <f>HYPERLINK("https://pbs.twimg.com/profile_images/1177301621551902721/wCAFQl5r.jpg","View")</f>
        <v>View</v>
      </c>
      <c r="V1607" s="8"/>
      <c r="W1607" s="8"/>
      <c r="X1607" s="8"/>
      <c r="Y1607" s="8"/>
      <c r="Z1607" s="8"/>
    </row>
    <row r="1608" spans="1:26" ht="12.75">
      <c r="A1608" s="11">
        <v>43746.094027777777</v>
      </c>
      <c r="B1608" s="12" t="str">
        <f>HYPERLINK("https://twitter.com/nawafabdlmohse","@nawafabdlmohse")</f>
        <v>@nawafabdlmohse</v>
      </c>
      <c r="C1608" s="13" t="s">
        <v>9593</v>
      </c>
      <c r="D1608" s="13" t="s">
        <v>1099</v>
      </c>
      <c r="E1608" s="12" t="str">
        <f>HYPERLINK("https://twitter.com/nawafabdlmohse/status/1181498315139096577","1181498315139096577")</f>
        <v>1181498315139096577</v>
      </c>
      <c r="F1608" s="8"/>
      <c r="G1608" s="14" t="s">
        <v>9594</v>
      </c>
      <c r="H1608" s="8"/>
      <c r="I1608" s="15">
        <v>0</v>
      </c>
      <c r="J1608" s="15">
        <v>0</v>
      </c>
      <c r="K1608" s="12" t="str">
        <f>HYPERLINK("http://twitter.com","Twitter Web Client")</f>
        <v>Twitter Web Client</v>
      </c>
      <c r="L1608" s="16">
        <v>2</v>
      </c>
      <c r="M1608" s="16">
        <v>34</v>
      </c>
      <c r="N1608" s="16">
        <v>0</v>
      </c>
      <c r="O1608" s="17"/>
      <c r="P1608" s="18">
        <v>41850.241770833338</v>
      </c>
      <c r="Q1608" s="8"/>
      <c r="R1608" s="8"/>
      <c r="S1608" s="8"/>
      <c r="T1608" s="8"/>
      <c r="U1608" s="19" t="str">
        <f>HYPERLINK("https://pbs.twimg.com/profile_images/494464682556547072/gnDRQW_T.jpeg","View")</f>
        <v>View</v>
      </c>
      <c r="V1608" s="8"/>
      <c r="W1608" s="8"/>
      <c r="X1608" s="8"/>
      <c r="Y1608" s="8"/>
      <c r="Z1608" s="8"/>
    </row>
    <row r="1609" spans="1:26" ht="12.75">
      <c r="A1609" s="11">
        <v>43746.093888888892</v>
      </c>
      <c r="B1609" s="12" t="str">
        <f>HYPERLINK("https://twitter.com/aaeesh1813","@aaeesh1813")</f>
        <v>@aaeesh1813</v>
      </c>
      <c r="C1609" s="13" t="s">
        <v>9598</v>
      </c>
      <c r="D1609" s="13" t="s">
        <v>9599</v>
      </c>
      <c r="E1609" s="12" t="str">
        <f>HYPERLINK("https://twitter.com/aaeesh1813/status/1181498265675673600","1181498265675673600")</f>
        <v>1181498265675673600</v>
      </c>
      <c r="F1609" s="8"/>
      <c r="G1609" s="14" t="s">
        <v>9601</v>
      </c>
      <c r="H1609" s="8"/>
      <c r="I1609" s="15">
        <v>0</v>
      </c>
      <c r="J1609" s="15">
        <v>0</v>
      </c>
      <c r="K1609" s="12" t="str">
        <f>HYPERLINK("http://twitter.com","Twitter Web Client")</f>
        <v>Twitter Web Client</v>
      </c>
      <c r="L1609" s="16">
        <v>7</v>
      </c>
      <c r="M1609" s="16">
        <v>48</v>
      </c>
      <c r="N1609" s="16">
        <v>0</v>
      </c>
      <c r="O1609" s="17"/>
      <c r="P1609" s="18">
        <v>42072.663587962961</v>
      </c>
      <c r="Q1609" s="8"/>
      <c r="R1609" s="8"/>
      <c r="S1609" s="8"/>
      <c r="T1609" s="8"/>
      <c r="U1609" s="19" t="str">
        <f>HYPERLINK("https://pbs.twimg.com/profile_images/575067771936972801/q_zWk_qb.jpeg","View")</f>
        <v>View</v>
      </c>
      <c r="V1609" s="8"/>
      <c r="W1609" s="8"/>
      <c r="X1609" s="8"/>
      <c r="Y1609" s="8"/>
      <c r="Z1609" s="8"/>
    </row>
    <row r="1610" spans="1:26" ht="12.75">
      <c r="A1610" s="11">
        <v>43746.093194444446</v>
      </c>
      <c r="B1610" s="12" t="str">
        <f>HYPERLINK("https://twitter.com/hamaddee23","@hamaddee23")</f>
        <v>@hamaddee23</v>
      </c>
      <c r="C1610" s="13" t="s">
        <v>9612</v>
      </c>
      <c r="D1610" s="13" t="s">
        <v>9614</v>
      </c>
      <c r="E1610" s="12" t="str">
        <f>HYPERLINK("https://twitter.com/hamaddee23/status/1181498012906004480","1181498012906004480")</f>
        <v>1181498012906004480</v>
      </c>
      <c r="F1610" s="8"/>
      <c r="G1610" s="14" t="s">
        <v>9616</v>
      </c>
      <c r="H1610" s="8"/>
      <c r="I1610" s="15">
        <v>0</v>
      </c>
      <c r="J1610" s="15">
        <v>0</v>
      </c>
      <c r="K1610" s="12" t="str">
        <f>HYPERLINK("http://twitter.com","Twitter Web Client")</f>
        <v>Twitter Web Client</v>
      </c>
      <c r="L1610" s="16">
        <v>8</v>
      </c>
      <c r="M1610" s="16">
        <v>58</v>
      </c>
      <c r="N1610" s="16">
        <v>0</v>
      </c>
      <c r="O1610" s="17"/>
      <c r="P1610" s="18">
        <v>42073.340717592597</v>
      </c>
      <c r="Q1610" s="8"/>
      <c r="R1610" s="8"/>
      <c r="S1610" s="8"/>
      <c r="T1610" s="8"/>
      <c r="U1610" s="19" t="str">
        <f>HYPERLINK("https://pbs.twimg.com/profile_images/575312991110832128/iZZxyRuK.jpeg","View")</f>
        <v>View</v>
      </c>
      <c r="V1610" s="8"/>
      <c r="W1610" s="8"/>
      <c r="X1610" s="8"/>
      <c r="Y1610" s="8"/>
      <c r="Z1610" s="8"/>
    </row>
    <row r="1611" spans="1:26" ht="12.75">
      <c r="A1611" s="11">
        <v>43746.09175925926</v>
      </c>
      <c r="B1611" s="12" t="str">
        <f>HYPERLINK("https://twitter.com/magrabiabdelka1","@magrabiabdelka1")</f>
        <v>@magrabiabdelka1</v>
      </c>
      <c r="C1611" s="13" t="s">
        <v>9628</v>
      </c>
      <c r="D1611" s="13" t="s">
        <v>1102</v>
      </c>
      <c r="E1611" s="12" t="str">
        <f>HYPERLINK("https://twitter.com/magrabiabdelka1/status/1181497493017780224","1181497493017780224")</f>
        <v>1181497493017780224</v>
      </c>
      <c r="F1611" s="8"/>
      <c r="G1611" s="14" t="s">
        <v>9629</v>
      </c>
      <c r="H1611" s="8"/>
      <c r="I1611" s="15">
        <v>0</v>
      </c>
      <c r="J1611" s="15">
        <v>0</v>
      </c>
      <c r="K1611" s="12" t="str">
        <f>HYPERLINK("http://twitter.com","Twitter Web Client")</f>
        <v>Twitter Web Client</v>
      </c>
      <c r="L1611" s="16">
        <v>0</v>
      </c>
      <c r="M1611" s="16">
        <v>36</v>
      </c>
      <c r="N1611" s="16">
        <v>0</v>
      </c>
      <c r="O1611" s="17"/>
      <c r="P1611" s="18">
        <v>42018.393020833333</v>
      </c>
      <c r="Q1611" s="8"/>
      <c r="R1611" s="8"/>
      <c r="S1611" s="8"/>
      <c r="T1611" s="8"/>
      <c r="U1611" s="19" t="str">
        <f>HYPERLINK("https://pbs.twimg.com/profile_images/555416413632880640/IgyLAJFI.jpeg","View")</f>
        <v>View</v>
      </c>
      <c r="V1611" s="8"/>
      <c r="W1611" s="8"/>
      <c r="X1611" s="8"/>
      <c r="Y1611" s="8"/>
      <c r="Z1611" s="8"/>
    </row>
    <row r="1612" spans="1:26" ht="12.75">
      <c r="A1612" s="11">
        <v>43746.091608796298</v>
      </c>
      <c r="B1612" s="12" t="str">
        <f>HYPERLINK("https://twitter.com/FathiAlAmri1","@FathiAlAmri1")</f>
        <v>@FathiAlAmri1</v>
      </c>
      <c r="C1612" s="13" t="s">
        <v>9632</v>
      </c>
      <c r="D1612" s="13" t="s">
        <v>1178</v>
      </c>
      <c r="E1612" s="12" t="str">
        <f>HYPERLINK("https://twitter.com/FathiAlAmri1/status/1181497440634986496","1181497440634986496")</f>
        <v>1181497440634986496</v>
      </c>
      <c r="F1612" s="8"/>
      <c r="G1612" s="14" t="s">
        <v>9633</v>
      </c>
      <c r="H1612" s="8"/>
      <c r="I1612" s="15">
        <v>0</v>
      </c>
      <c r="J1612" s="15">
        <v>0</v>
      </c>
      <c r="K1612" s="12" t="str">
        <f>HYPERLINK("https://mobile.twitter.com","Twitter Web App")</f>
        <v>Twitter Web App</v>
      </c>
      <c r="L1612" s="16">
        <v>0</v>
      </c>
      <c r="M1612" s="16">
        <v>0</v>
      </c>
      <c r="N1612" s="16">
        <v>0</v>
      </c>
      <c r="O1612" s="17"/>
      <c r="P1612" s="18">
        <v>43739.160405092596</v>
      </c>
      <c r="Q1612" s="8" t="s">
        <v>939</v>
      </c>
      <c r="R1612" s="8" t="s">
        <v>925</v>
      </c>
      <c r="S1612" s="8"/>
      <c r="T1612" s="8"/>
      <c r="U1612" s="19" t="str">
        <f>HYPERLINK("https://pbs.twimg.com/profile_images/1181495598567981057/h5m1W8su.jpg","View")</f>
        <v>View</v>
      </c>
      <c r="V1612" s="8"/>
      <c r="W1612" s="8"/>
      <c r="X1612" s="8"/>
      <c r="Y1612" s="8"/>
      <c r="Z1612" s="8"/>
    </row>
    <row r="1613" spans="1:26" ht="12.75">
      <c r="A1613" s="11">
        <v>43746.091481481482</v>
      </c>
      <c r="B1613" s="12" t="str">
        <f>HYPERLINK("https://twitter.com/saidharthy1","@saidharthy1")</f>
        <v>@saidharthy1</v>
      </c>
      <c r="C1613" s="13" t="s">
        <v>9636</v>
      </c>
      <c r="D1613" s="13" t="s">
        <v>3007</v>
      </c>
      <c r="E1613" s="12" t="str">
        <f>HYPERLINK("https://twitter.com/saidharthy1/status/1181497393080090626","1181497393080090626")</f>
        <v>1181497393080090626</v>
      </c>
      <c r="F1613" s="8"/>
      <c r="G1613" s="14" t="s">
        <v>9637</v>
      </c>
      <c r="H1613" s="8"/>
      <c r="I1613" s="15">
        <v>0</v>
      </c>
      <c r="J1613" s="15">
        <v>0</v>
      </c>
      <c r="K1613" s="12" t="str">
        <f>HYPERLINK("http://twitter.com","Twitter Web Client")</f>
        <v>Twitter Web Client</v>
      </c>
      <c r="L1613" s="16">
        <v>2</v>
      </c>
      <c r="M1613" s="16">
        <v>39</v>
      </c>
      <c r="N1613" s="16">
        <v>0</v>
      </c>
      <c r="O1613" s="17"/>
      <c r="P1613" s="18">
        <v>42070.653993055559</v>
      </c>
      <c r="Q1613" s="8"/>
      <c r="R1613" s="8"/>
      <c r="S1613" s="8"/>
      <c r="T1613" s="8"/>
      <c r="U1613" s="19" t="str">
        <f>HYPERLINK("https://pbs.twimg.com/profile_images/574355871297241088/Ka0TEida.jpeg","View")</f>
        <v>View</v>
      </c>
      <c r="V1613" s="8"/>
      <c r="W1613" s="8"/>
      <c r="X1613" s="8"/>
      <c r="Y1613" s="8"/>
      <c r="Z1613" s="8"/>
    </row>
    <row r="1614" spans="1:26" ht="12.75">
      <c r="A1614" s="11">
        <v>43746.090219907404</v>
      </c>
      <c r="B1614" s="12" t="str">
        <f>HYPERLINK("https://twitter.com/sa33add676","@sa33add676")</f>
        <v>@sa33add676</v>
      </c>
      <c r="C1614" s="13" t="s">
        <v>9644</v>
      </c>
      <c r="D1614" s="13" t="s">
        <v>3046</v>
      </c>
      <c r="E1614" s="12" t="str">
        <f>HYPERLINK("https://twitter.com/sa33add676/status/1181496938115547137","1181496938115547137")</f>
        <v>1181496938115547137</v>
      </c>
      <c r="F1614" s="8"/>
      <c r="G1614" s="14" t="s">
        <v>9645</v>
      </c>
      <c r="H1614" s="8"/>
      <c r="I1614" s="15">
        <v>0</v>
      </c>
      <c r="J1614" s="15">
        <v>0</v>
      </c>
      <c r="K1614" s="12" t="str">
        <f>HYPERLINK("http://twitter.com","Twitter Web Client")</f>
        <v>Twitter Web Client</v>
      </c>
      <c r="L1614" s="16">
        <v>5</v>
      </c>
      <c r="M1614" s="16">
        <v>39</v>
      </c>
      <c r="N1614" s="16">
        <v>0</v>
      </c>
      <c r="O1614" s="17"/>
      <c r="P1614" s="18">
        <v>42077.223252314812</v>
      </c>
      <c r="Q1614" s="8"/>
      <c r="R1614" s="8"/>
      <c r="S1614" s="8"/>
      <c r="T1614" s="8"/>
      <c r="U1614" s="19" t="str">
        <f>HYPERLINK("https://pbs.twimg.com/profile_images/576719949927878657/GiXQD1uQ.jpeg","View")</f>
        <v>View</v>
      </c>
      <c r="V1614" s="8"/>
      <c r="W1614" s="8"/>
      <c r="X1614" s="8"/>
      <c r="Y1614" s="8"/>
      <c r="Z1614" s="8"/>
    </row>
    <row r="1615" spans="1:26" ht="12.75">
      <c r="A1615" s="11">
        <v>43746.088240740741</v>
      </c>
      <c r="B1615" s="12" t="str">
        <f>HYPERLINK("https://twitter.com/dheifallahahma4","@dheifallahahma4")</f>
        <v>@dheifallahahma4</v>
      </c>
      <c r="C1615" s="13" t="s">
        <v>9675</v>
      </c>
      <c r="D1615" s="13" t="s">
        <v>3091</v>
      </c>
      <c r="E1615" s="12" t="str">
        <f>HYPERLINK("https://twitter.com/dheifallahahma4/status/1181496220352745472","1181496220352745472")</f>
        <v>1181496220352745472</v>
      </c>
      <c r="F1615" s="8"/>
      <c r="G1615" s="14" t="s">
        <v>9676</v>
      </c>
      <c r="H1615" s="8"/>
      <c r="I1615" s="15">
        <v>0</v>
      </c>
      <c r="J1615" s="15">
        <v>0</v>
      </c>
      <c r="K1615" s="12" t="str">
        <f>HYPERLINK("http://twitter.com","Twitter Web Client")</f>
        <v>Twitter Web Client</v>
      </c>
      <c r="L1615" s="16">
        <v>1</v>
      </c>
      <c r="M1615" s="16">
        <v>29</v>
      </c>
      <c r="N1615" s="16">
        <v>0</v>
      </c>
      <c r="O1615" s="17"/>
      <c r="P1615" s="18">
        <v>42081.757222222222</v>
      </c>
      <c r="Q1615" s="8"/>
      <c r="R1615" s="8"/>
      <c r="S1615" s="8"/>
      <c r="T1615" s="8"/>
      <c r="U1615" s="19" t="str">
        <f>HYPERLINK("https://pbs.twimg.com/profile_images/578364986042417152/RTx-ciqw.jpeg","View")</f>
        <v>View</v>
      </c>
      <c r="V1615" s="8"/>
      <c r="W1615" s="8"/>
      <c r="X1615" s="8"/>
      <c r="Y1615" s="8"/>
      <c r="Z1615" s="8"/>
    </row>
    <row r="1616" spans="1:26" ht="12.75">
      <c r="A1616" s="11">
        <v>43746.087372685186</v>
      </c>
      <c r="B1616" s="12" t="str">
        <f>HYPERLINK("https://twitter.com/Zaferqeushayri","@Zaferqeushayri")</f>
        <v>@Zaferqeushayri</v>
      </c>
      <c r="C1616" s="13" t="s">
        <v>9689</v>
      </c>
      <c r="D1616" s="13" t="s">
        <v>2210</v>
      </c>
      <c r="E1616" s="12" t="str">
        <f>HYPERLINK("https://twitter.com/Zaferqeushayri/status/1181495906010636288","1181495906010636288")</f>
        <v>1181495906010636288</v>
      </c>
      <c r="F1616" s="8"/>
      <c r="G1616" s="14" t="s">
        <v>9690</v>
      </c>
      <c r="H1616" s="8"/>
      <c r="I1616" s="15">
        <v>0</v>
      </c>
      <c r="J1616" s="15">
        <v>0</v>
      </c>
      <c r="K1616" s="12" t="str">
        <f>HYPERLINK("http://twitter.com","Twitter Web Client")</f>
        <v>Twitter Web Client</v>
      </c>
      <c r="L1616" s="16">
        <v>1</v>
      </c>
      <c r="M1616" s="16">
        <v>36</v>
      </c>
      <c r="N1616" s="16">
        <v>0</v>
      </c>
      <c r="O1616" s="17"/>
      <c r="P1616" s="18">
        <v>41797.322060185186</v>
      </c>
      <c r="Q1616" s="8"/>
      <c r="R1616" s="8"/>
      <c r="S1616" s="8"/>
      <c r="T1616" s="8"/>
      <c r="U1616" s="19" t="str">
        <f>HYPERLINK("https://pbs.twimg.com/profile_images/475287816612483072/dmZf5UaX.jpeg","View")</f>
        <v>View</v>
      </c>
      <c r="V1616" s="8"/>
      <c r="W1616" s="8"/>
      <c r="X1616" s="8"/>
      <c r="Y1616" s="8"/>
      <c r="Z1616" s="8"/>
    </row>
    <row r="1617" spans="1:26" ht="12.75">
      <c r="A1617" s="11">
        <v>43746.087233796294</v>
      </c>
      <c r="B1617" s="12" t="str">
        <f>HYPERLINK("https://twitter.com/sawylaam33","@sawylaam33")</f>
        <v>@sawylaam33</v>
      </c>
      <c r="C1617" s="13" t="s">
        <v>9691</v>
      </c>
      <c r="D1617" s="13" t="s">
        <v>1172</v>
      </c>
      <c r="E1617" s="12" t="str">
        <f>HYPERLINK("https://twitter.com/sawylaam33/status/1181495855641219072","1181495855641219072")</f>
        <v>1181495855641219072</v>
      </c>
      <c r="F1617" s="8"/>
      <c r="G1617" s="14" t="s">
        <v>9692</v>
      </c>
      <c r="H1617" s="8"/>
      <c r="I1617" s="15">
        <v>0</v>
      </c>
      <c r="J1617" s="15">
        <v>0</v>
      </c>
      <c r="K1617" s="12" t="str">
        <f>HYPERLINK("http://twitter.com","Twitter Web Client")</f>
        <v>Twitter Web Client</v>
      </c>
      <c r="L1617" s="16">
        <v>5</v>
      </c>
      <c r="M1617" s="16">
        <v>30</v>
      </c>
      <c r="N1617" s="16">
        <v>0</v>
      </c>
      <c r="O1617" s="17"/>
      <c r="P1617" s="18">
        <v>42074.203796296293</v>
      </c>
      <c r="Q1617" s="8"/>
      <c r="R1617" s="8"/>
      <c r="S1617" s="8"/>
      <c r="T1617" s="8"/>
      <c r="U1617" s="19" t="str">
        <f>HYPERLINK("https://pbs.twimg.com/profile_images/575646754206416896/lAtDVVie.jpeg","View")</f>
        <v>View</v>
      </c>
      <c r="V1617" s="8"/>
      <c r="W1617" s="8"/>
      <c r="X1617" s="8"/>
      <c r="Y1617" s="8"/>
      <c r="Z1617" s="8"/>
    </row>
    <row r="1618" spans="1:26" ht="12.75">
      <c r="A1618" s="11">
        <v>43746.086273148147</v>
      </c>
      <c r="B1618" s="12" t="str">
        <f>HYPERLINK("https://twitter.com/altwkry","@altwkry")</f>
        <v>@altwkry</v>
      </c>
      <c r="C1618" s="13" t="s">
        <v>9708</v>
      </c>
      <c r="D1618" s="13" t="s">
        <v>3117</v>
      </c>
      <c r="E1618" s="12" t="str">
        <f>HYPERLINK("https://twitter.com/altwkry/status/1181495505244831744","1181495505244831744")</f>
        <v>1181495505244831744</v>
      </c>
      <c r="F1618" s="8"/>
      <c r="G1618" s="14" t="s">
        <v>9709</v>
      </c>
      <c r="H1618" s="8"/>
      <c r="I1618" s="15">
        <v>0</v>
      </c>
      <c r="J1618" s="15">
        <v>0</v>
      </c>
      <c r="K1618" s="12" t="str">
        <f>HYPERLINK("http://twitter.com","Twitter Web Client")</f>
        <v>Twitter Web Client</v>
      </c>
      <c r="L1618" s="16">
        <v>3</v>
      </c>
      <c r="M1618" s="16">
        <v>39</v>
      </c>
      <c r="N1618" s="16">
        <v>0</v>
      </c>
      <c r="O1618" s="17"/>
      <c r="P1618" s="18">
        <v>42073.266238425931</v>
      </c>
      <c r="Q1618" s="8"/>
      <c r="R1618" s="8"/>
      <c r="S1618" s="8"/>
      <c r="T1618" s="8"/>
      <c r="U1618" s="19" t="str">
        <f>HYPERLINK("https://pbs.twimg.com/profile_images/575295538184069121/1eQzqqFH.jpeg","View")</f>
        <v>View</v>
      </c>
      <c r="V1618" s="8"/>
      <c r="W1618" s="8"/>
      <c r="X1618" s="8"/>
      <c r="Y1618" s="8"/>
      <c r="Z1618" s="8"/>
    </row>
    <row r="1619" spans="1:26" ht="12.75">
      <c r="A1619" s="11">
        <v>43746.085428240738</v>
      </c>
      <c r="B1619" s="12" t="str">
        <f>HYPERLINK("https://twitter.com/gaberelfhmei3","@gaberelfhmei3")</f>
        <v>@gaberelfhmei3</v>
      </c>
      <c r="C1619" s="13" t="s">
        <v>9718</v>
      </c>
      <c r="D1619" s="13" t="s">
        <v>2248</v>
      </c>
      <c r="E1619" s="12" t="str">
        <f>HYPERLINK("https://twitter.com/gaberelfhmei3/status/1181495201908609024","1181495201908609024")</f>
        <v>1181495201908609024</v>
      </c>
      <c r="F1619" s="8"/>
      <c r="G1619" s="14" t="s">
        <v>9721</v>
      </c>
      <c r="H1619" s="8"/>
      <c r="I1619" s="15">
        <v>0</v>
      </c>
      <c r="J1619" s="15">
        <v>0</v>
      </c>
      <c r="K1619" s="12" t="str">
        <f>HYPERLINK("http://twitter.com","Twitter Web Client")</f>
        <v>Twitter Web Client</v>
      </c>
      <c r="L1619" s="16">
        <v>7</v>
      </c>
      <c r="M1619" s="16">
        <v>37</v>
      </c>
      <c r="N1619" s="16">
        <v>0</v>
      </c>
      <c r="O1619" s="17"/>
      <c r="P1619" s="18">
        <v>42068.154398148152</v>
      </c>
      <c r="Q1619" s="8"/>
      <c r="R1619" s="8"/>
      <c r="S1619" s="8"/>
      <c r="T1619" s="8"/>
      <c r="U1619" s="19" t="str">
        <f>HYPERLINK("https://pbs.twimg.com/profile_images/573448847172640768/D20Z0RcZ.jpeg","View")</f>
        <v>View</v>
      </c>
      <c r="V1619" s="8"/>
      <c r="W1619" s="8"/>
      <c r="X1619" s="8"/>
      <c r="Y1619" s="8"/>
      <c r="Z1619" s="8"/>
    </row>
    <row r="1620" spans="1:26" ht="12.75">
      <c r="A1620" s="11">
        <v>43746.085150462968</v>
      </c>
      <c r="B1620" s="12" t="str">
        <f>HYPERLINK("https://twitter.com/walidkhalidie","@walidkhalidie")</f>
        <v>@walidkhalidie</v>
      </c>
      <c r="C1620" s="13" t="s">
        <v>9729</v>
      </c>
      <c r="D1620" s="13" t="s">
        <v>9730</v>
      </c>
      <c r="E1620" s="12" t="str">
        <f>HYPERLINK("https://twitter.com/walidkhalidie/status/1181495101371142144","1181495101371142144")</f>
        <v>1181495101371142144</v>
      </c>
      <c r="F1620" s="8"/>
      <c r="G1620" s="14" t="s">
        <v>9733</v>
      </c>
      <c r="H1620" s="8"/>
      <c r="I1620" s="15">
        <v>0</v>
      </c>
      <c r="J1620" s="15">
        <v>0</v>
      </c>
      <c r="K1620" s="12" t="str">
        <f>HYPERLINK("http://twitter.com","Twitter Web Client")</f>
        <v>Twitter Web Client</v>
      </c>
      <c r="L1620" s="16">
        <v>0</v>
      </c>
      <c r="M1620" s="16">
        <v>41</v>
      </c>
      <c r="N1620" s="16">
        <v>0</v>
      </c>
      <c r="O1620" s="17"/>
      <c r="P1620" s="18">
        <v>42074.548958333333</v>
      </c>
      <c r="Q1620" s="8"/>
      <c r="R1620" s="8"/>
      <c r="S1620" s="8"/>
      <c r="T1620" s="8"/>
      <c r="U1620" s="19" t="str">
        <f>HYPERLINK("https://pbs.twimg.com/profile_images/575751865385648129/ktX6c5Ip.jpeg","View")</f>
        <v>View</v>
      </c>
      <c r="V1620" s="8"/>
      <c r="W1620" s="8"/>
      <c r="X1620" s="8"/>
      <c r="Y1620" s="8"/>
      <c r="Z1620" s="8"/>
    </row>
    <row r="1621" spans="1:26" ht="12.75">
      <c r="A1621" s="11">
        <v>43746.084594907406</v>
      </c>
      <c r="B1621" s="12" t="str">
        <f>HYPERLINK("https://twitter.com/hassanakhibreea","@hassanakhibreea")</f>
        <v>@hassanakhibreea</v>
      </c>
      <c r="C1621" s="13" t="s">
        <v>9742</v>
      </c>
      <c r="D1621" s="13" t="s">
        <v>1208</v>
      </c>
      <c r="E1621" s="12" t="str">
        <f>HYPERLINK("https://twitter.com/hassanakhibreea/status/1181494900145164290","1181494900145164290")</f>
        <v>1181494900145164290</v>
      </c>
      <c r="F1621" s="8"/>
      <c r="G1621" s="14" t="s">
        <v>9744</v>
      </c>
      <c r="H1621" s="8"/>
      <c r="I1621" s="15">
        <v>0</v>
      </c>
      <c r="J1621" s="15">
        <v>0</v>
      </c>
      <c r="K1621" s="12" t="str">
        <f>HYPERLINK("http://twitter.com","Twitter Web Client")</f>
        <v>Twitter Web Client</v>
      </c>
      <c r="L1621" s="16">
        <v>1</v>
      </c>
      <c r="M1621" s="16">
        <v>29</v>
      </c>
      <c r="N1621" s="16">
        <v>0</v>
      </c>
      <c r="O1621" s="17"/>
      <c r="P1621" s="18">
        <v>41827.287418981483</v>
      </c>
      <c r="Q1621" s="8"/>
      <c r="R1621" s="8"/>
      <c r="S1621" s="8"/>
      <c r="T1621" s="8"/>
      <c r="U1621" s="19" t="str">
        <f>HYPERLINK("https://pbs.twimg.com/profile_images/486146453501272065/cNeTSeY4.jpeg","View")</f>
        <v>View</v>
      </c>
      <c r="V1621" s="8"/>
      <c r="W1621" s="8"/>
      <c r="X1621" s="8"/>
      <c r="Y1621" s="8"/>
      <c r="Z1621" s="8"/>
    </row>
    <row r="1622" spans="1:26" ht="12.75">
      <c r="A1622" s="11">
        <v>43746.08425925926</v>
      </c>
      <c r="B1622" s="12" t="str">
        <f>HYPERLINK("https://twitter.com/GhaalibaA","@GhaalibaA")</f>
        <v>@GhaalibaA</v>
      </c>
      <c r="C1622" s="13" t="s">
        <v>9751</v>
      </c>
      <c r="D1622" s="13" t="s">
        <v>28</v>
      </c>
      <c r="E1622" s="12" t="str">
        <f>HYPERLINK("https://twitter.com/GhaalibaA/status/1181494776689938432","1181494776689938432")</f>
        <v>1181494776689938432</v>
      </c>
      <c r="F1622" s="8"/>
      <c r="G1622" s="14" t="s">
        <v>31</v>
      </c>
      <c r="H1622" s="8"/>
      <c r="I1622" s="15">
        <v>0</v>
      </c>
      <c r="J1622" s="15">
        <v>0</v>
      </c>
      <c r="K1622" s="12" t="str">
        <f>HYPERLINK("https://mobile.twitter.com","Twitter Web App")</f>
        <v>Twitter Web App</v>
      </c>
      <c r="L1622" s="16">
        <v>0</v>
      </c>
      <c r="M1622" s="16">
        <v>0</v>
      </c>
      <c r="N1622" s="16">
        <v>0</v>
      </c>
      <c r="O1622" s="17"/>
      <c r="P1622" s="18">
        <v>43737.975821759261</v>
      </c>
      <c r="Q1622" s="8" t="s">
        <v>1527</v>
      </c>
      <c r="R1622" s="8" t="s">
        <v>1110</v>
      </c>
      <c r="S1622" s="8"/>
      <c r="T1622" s="8"/>
      <c r="U1622" s="19" t="str">
        <f>HYPERLINK("https://pbs.twimg.com/profile_images/1179699715589332992/WGXmdJuM.jpg","View")</f>
        <v>View</v>
      </c>
      <c r="V1622" s="8"/>
      <c r="W1622" s="8"/>
      <c r="X1622" s="8"/>
      <c r="Y1622" s="8"/>
      <c r="Z1622" s="8"/>
    </row>
    <row r="1623" spans="1:26" ht="12.75">
      <c r="A1623" s="11">
        <v>43746.084166666667</v>
      </c>
      <c r="B1623" s="12" t="str">
        <f>HYPERLINK("https://twitter.com/mohammedussein","@mohammedussein")</f>
        <v>@mohammedussein</v>
      </c>
      <c r="C1623" s="13" t="s">
        <v>9757</v>
      </c>
      <c r="D1623" s="13" t="s">
        <v>2265</v>
      </c>
      <c r="E1623" s="12" t="str">
        <f>HYPERLINK("https://twitter.com/mohammedussein/status/1181494744742014977","1181494744742014977")</f>
        <v>1181494744742014977</v>
      </c>
      <c r="F1623" s="8"/>
      <c r="G1623" s="14" t="s">
        <v>9758</v>
      </c>
      <c r="H1623" s="8"/>
      <c r="I1623" s="15">
        <v>0</v>
      </c>
      <c r="J1623" s="15">
        <v>0</v>
      </c>
      <c r="K1623" s="12" t="str">
        <f>HYPERLINK("http://twitter.com","Twitter Web Client")</f>
        <v>Twitter Web Client</v>
      </c>
      <c r="L1623" s="16">
        <v>1</v>
      </c>
      <c r="M1623" s="16">
        <v>34</v>
      </c>
      <c r="N1623" s="16">
        <v>0</v>
      </c>
      <c r="O1623" s="17"/>
      <c r="P1623" s="18">
        <v>41850.523831018516</v>
      </c>
      <c r="Q1623" s="8"/>
      <c r="R1623" s="8"/>
      <c r="S1623" s="8"/>
      <c r="T1623" s="8"/>
      <c r="U1623" s="19" t="str">
        <f>HYPERLINK("https://pbs.twimg.com/profile_images/494566961703964672/MFqsrrH0.jpeg","View")</f>
        <v>View</v>
      </c>
      <c r="V1623" s="8"/>
      <c r="W1623" s="8"/>
      <c r="X1623" s="8"/>
      <c r="Y1623" s="8"/>
      <c r="Z1623" s="8"/>
    </row>
    <row r="1624" spans="1:26" ht="12.75">
      <c r="A1624" s="11">
        <v>43746.08293981482</v>
      </c>
      <c r="B1624" s="12" t="str">
        <f>HYPERLINK("https://twitter.com/hageeer423","@hageeer423")</f>
        <v>@hageeer423</v>
      </c>
      <c r="C1624" s="13" t="s">
        <v>9774</v>
      </c>
      <c r="D1624" s="13" t="s">
        <v>3156</v>
      </c>
      <c r="E1624" s="12" t="str">
        <f>HYPERLINK("https://twitter.com/hageeer423/status/1181494299621494791","1181494299621494791")</f>
        <v>1181494299621494791</v>
      </c>
      <c r="F1624" s="8"/>
      <c r="G1624" s="14" t="s">
        <v>9775</v>
      </c>
      <c r="H1624" s="8"/>
      <c r="I1624" s="15">
        <v>0</v>
      </c>
      <c r="J1624" s="15">
        <v>0</v>
      </c>
      <c r="K1624" s="12" t="str">
        <f>HYPERLINK("http://twitter.com","Twitter Web Client")</f>
        <v>Twitter Web Client</v>
      </c>
      <c r="L1624" s="16">
        <v>5</v>
      </c>
      <c r="M1624" s="16">
        <v>44</v>
      </c>
      <c r="N1624" s="16">
        <v>0</v>
      </c>
      <c r="O1624" s="17"/>
      <c r="P1624" s="18">
        <v>42075.367118055554</v>
      </c>
      <c r="Q1624" s="8"/>
      <c r="R1624" s="8"/>
      <c r="S1624" s="8"/>
      <c r="T1624" s="8"/>
      <c r="U1624" s="19" t="str">
        <f>HYPERLINK("https://pbs.twimg.com/profile_images/576047297458372608/qwbTTBwG.jpeg","View")</f>
        <v>View</v>
      </c>
      <c r="V1624" s="8"/>
      <c r="W1624" s="8"/>
      <c r="X1624" s="8"/>
      <c r="Y1624" s="8"/>
      <c r="Z1624" s="8"/>
    </row>
    <row r="1625" spans="1:26" ht="12.75">
      <c r="A1625" s="11">
        <v>43746.082418981481</v>
      </c>
      <c r="B1625" s="12" t="str">
        <f>HYPERLINK("https://twitter.com/SafiyaMasrahi","@SafiyaMasrahi")</f>
        <v>@SafiyaMasrahi</v>
      </c>
      <c r="C1625" s="13" t="s">
        <v>9778</v>
      </c>
      <c r="D1625" s="13" t="s">
        <v>28</v>
      </c>
      <c r="E1625" s="12" t="str">
        <f>HYPERLINK("https://twitter.com/SafiyaMasrahi/status/1181494109506134016","1181494109506134016")</f>
        <v>1181494109506134016</v>
      </c>
      <c r="F1625" s="8"/>
      <c r="G1625" s="14" t="s">
        <v>31</v>
      </c>
      <c r="H1625" s="8"/>
      <c r="I1625" s="15">
        <v>0</v>
      </c>
      <c r="J1625" s="15">
        <v>0</v>
      </c>
      <c r="K1625" s="12" t="str">
        <f>HYPERLINK("https://mobile.twitter.com","Twitter Web App")</f>
        <v>Twitter Web App</v>
      </c>
      <c r="L1625" s="16">
        <v>0</v>
      </c>
      <c r="M1625" s="16">
        <v>2</v>
      </c>
      <c r="N1625" s="16">
        <v>0</v>
      </c>
      <c r="O1625" s="17"/>
      <c r="P1625" s="18">
        <v>43737.911041666666</v>
      </c>
      <c r="Q1625" s="13" t="s">
        <v>1916</v>
      </c>
      <c r="R1625" s="13" t="s">
        <v>1135</v>
      </c>
      <c r="S1625" s="15"/>
      <c r="T1625" s="8"/>
      <c r="U1625" s="19" t="str">
        <f>HYPERLINK("https://pbs.twimg.com/profile_images/1180786286132527104/YebGTRjr.jpg","View")</f>
        <v>View</v>
      </c>
      <c r="V1625" s="8"/>
      <c r="W1625" s="8"/>
      <c r="X1625" s="8"/>
      <c r="Y1625" s="8"/>
      <c r="Z1625" s="8"/>
    </row>
    <row r="1626" spans="1:26" ht="12.75">
      <c r="A1626" s="11">
        <v>43746.081736111111</v>
      </c>
      <c r="B1626" s="12" t="str">
        <f>HYPERLINK("https://twitter.com/JewaherSolomon","@JewaherSolomon")</f>
        <v>@JewaherSolomon</v>
      </c>
      <c r="C1626" s="13" t="s">
        <v>9791</v>
      </c>
      <c r="D1626" s="13" t="s">
        <v>9792</v>
      </c>
      <c r="E1626" s="12" t="str">
        <f>HYPERLINK("https://twitter.com/JewaherSolomon/status/1181493862021439488","1181493862021439488")</f>
        <v>1181493862021439488</v>
      </c>
      <c r="F1626" s="8"/>
      <c r="G1626" s="14" t="s">
        <v>9793</v>
      </c>
      <c r="H1626" s="8"/>
      <c r="I1626" s="15">
        <v>0</v>
      </c>
      <c r="J1626" s="15">
        <v>0</v>
      </c>
      <c r="K1626" s="12" t="str">
        <f>HYPERLINK("http://twitter.com","Twitter Web Client")</f>
        <v>Twitter Web Client</v>
      </c>
      <c r="L1626" s="16">
        <v>0</v>
      </c>
      <c r="M1626" s="16">
        <v>36</v>
      </c>
      <c r="N1626" s="16">
        <v>0</v>
      </c>
      <c r="O1626" s="17"/>
      <c r="P1626" s="18">
        <v>41843.158865740741</v>
      </c>
      <c r="Q1626" s="8"/>
      <c r="R1626" s="8"/>
      <c r="S1626" s="8"/>
      <c r="T1626" s="8"/>
      <c r="U1626" s="19" t="str">
        <f>HYPERLINK("https://pbs.twimg.com/profile_images/491898719264972802/xYU2I2Yy.jpeg","View")</f>
        <v>View</v>
      </c>
      <c r="V1626" s="8"/>
      <c r="W1626" s="8"/>
      <c r="X1626" s="8"/>
      <c r="Y1626" s="8"/>
      <c r="Z1626" s="8"/>
    </row>
    <row r="1627" spans="1:26" ht="12.75">
      <c r="A1627" s="11">
        <v>43746.081180555557</v>
      </c>
      <c r="B1627" s="12" t="str">
        <f>HYPERLINK("https://twitter.com/AlmalkyBkhet","@AlmalkyBkhet")</f>
        <v>@AlmalkyBkhet</v>
      </c>
      <c r="C1627" s="13" t="s">
        <v>9795</v>
      </c>
      <c r="D1627" s="13" t="s">
        <v>9796</v>
      </c>
      <c r="E1627" s="12" t="str">
        <f>HYPERLINK("https://twitter.com/AlmalkyBkhet/status/1181493659373637632","1181493659373637632")</f>
        <v>1181493659373637632</v>
      </c>
      <c r="F1627" s="8"/>
      <c r="G1627" s="14" t="s">
        <v>9797</v>
      </c>
      <c r="H1627" s="8"/>
      <c r="I1627" s="15">
        <v>0</v>
      </c>
      <c r="J1627" s="15">
        <v>0</v>
      </c>
      <c r="K1627" s="12" t="str">
        <f>HYPERLINK("http://twitter.com","Twitter Web Client")</f>
        <v>Twitter Web Client</v>
      </c>
      <c r="L1627" s="16">
        <v>2</v>
      </c>
      <c r="M1627" s="16">
        <v>38</v>
      </c>
      <c r="N1627" s="16">
        <v>0</v>
      </c>
      <c r="O1627" s="17"/>
      <c r="P1627" s="18">
        <v>42069.482303240744</v>
      </c>
      <c r="Q1627" s="8"/>
      <c r="R1627" s="8"/>
      <c r="S1627" s="8"/>
      <c r="T1627" s="8"/>
      <c r="U1627" s="19" t="str">
        <f>HYPERLINK("https://pbs.twimg.com/profile_images/573981073702432768/RuFT48ys.jpeg","View")</f>
        <v>View</v>
      </c>
      <c r="V1627" s="8"/>
      <c r="W1627" s="8"/>
      <c r="X1627" s="8"/>
      <c r="Y1627" s="8"/>
      <c r="Z1627" s="8"/>
    </row>
    <row r="1628" spans="1:26" ht="12.75">
      <c r="A1628" s="11">
        <v>43746.080347222218</v>
      </c>
      <c r="B1628" s="12" t="str">
        <f>HYPERLINK("https://twitter.com/abdulra97621820","@abdulra97621820")</f>
        <v>@abdulra97621820</v>
      </c>
      <c r="C1628" s="13" t="s">
        <v>9805</v>
      </c>
      <c r="D1628" s="13" t="s">
        <v>3172</v>
      </c>
      <c r="E1628" s="12" t="str">
        <f>HYPERLINK("https://twitter.com/abdulra97621820/status/1181493359220809728","1181493359220809728")</f>
        <v>1181493359220809728</v>
      </c>
      <c r="F1628" s="8"/>
      <c r="G1628" s="14" t="s">
        <v>9806</v>
      </c>
      <c r="H1628" s="8"/>
      <c r="I1628" s="15">
        <v>0</v>
      </c>
      <c r="J1628" s="15">
        <v>0</v>
      </c>
      <c r="K1628" s="12" t="str">
        <f>HYPERLINK("http://twitter.com","Twitter Web Client")</f>
        <v>Twitter Web Client</v>
      </c>
      <c r="L1628" s="16">
        <v>5</v>
      </c>
      <c r="M1628" s="16">
        <v>41</v>
      </c>
      <c r="N1628" s="16">
        <v>0</v>
      </c>
      <c r="O1628" s="17"/>
      <c r="P1628" s="18">
        <v>42070.131111111114</v>
      </c>
      <c r="Q1628" s="8"/>
      <c r="R1628" s="8"/>
      <c r="S1628" s="8"/>
      <c r="T1628" s="8"/>
      <c r="U1628" s="19" t="str">
        <f>HYPERLINK("https://pbs.twimg.com/profile_images/574165303388565504/VVzewJ9Q.jpeg","View")</f>
        <v>View</v>
      </c>
      <c r="V1628" s="8"/>
      <c r="W1628" s="8"/>
      <c r="X1628" s="8"/>
      <c r="Y1628" s="8"/>
      <c r="Z1628" s="8"/>
    </row>
    <row r="1629" spans="1:26" ht="12.75">
      <c r="A1629" s="11">
        <v>43746.077708333338</v>
      </c>
      <c r="B1629" s="12" t="str">
        <f>HYPERLINK("https://twitter.com/saoudhabboubi20","@saoudhabboubi20")</f>
        <v>@saoudhabboubi20</v>
      </c>
      <c r="C1629" s="13" t="s">
        <v>9824</v>
      </c>
      <c r="D1629" s="13" t="s">
        <v>3203</v>
      </c>
      <c r="E1629" s="12" t="str">
        <f>HYPERLINK("https://twitter.com/saoudhabboubi20/status/1181492404668502016","1181492404668502016")</f>
        <v>1181492404668502016</v>
      </c>
      <c r="F1629" s="8"/>
      <c r="G1629" s="14" t="s">
        <v>9825</v>
      </c>
      <c r="H1629" s="8"/>
      <c r="I1629" s="15">
        <v>0</v>
      </c>
      <c r="J1629" s="15">
        <v>0</v>
      </c>
      <c r="K1629" s="12" t="str">
        <f>HYPERLINK("http://twitter.com","Twitter Web Client")</f>
        <v>Twitter Web Client</v>
      </c>
      <c r="L1629" s="16">
        <v>0</v>
      </c>
      <c r="M1629" s="16">
        <v>33</v>
      </c>
      <c r="N1629" s="16">
        <v>0</v>
      </c>
      <c r="O1629" s="17"/>
      <c r="P1629" s="18">
        <v>41847.279780092591</v>
      </c>
      <c r="Q1629" s="8"/>
      <c r="R1629" s="8"/>
      <c r="S1629" s="8"/>
      <c r="T1629" s="8"/>
      <c r="U1629" s="19" t="str">
        <f>HYPERLINK("https://pbs.twimg.com/profile_images/493391346237837312/5QirJsxR.png","View")</f>
        <v>View</v>
      </c>
      <c r="V1629" s="8"/>
      <c r="W1629" s="8"/>
      <c r="X1629" s="8"/>
      <c r="Y1629" s="8"/>
      <c r="Z1629" s="8"/>
    </row>
    <row r="1630" spans="1:26" ht="12.75">
      <c r="A1630" s="11">
        <v>43746.077291666668</v>
      </c>
      <c r="B1630" s="12" t="str">
        <f>HYPERLINK("https://twitter.com/alsabaya222","@alsabaya222")</f>
        <v>@alsabaya222</v>
      </c>
      <c r="C1630" s="13" t="s">
        <v>9830</v>
      </c>
      <c r="D1630" s="13" t="s">
        <v>9831</v>
      </c>
      <c r="E1630" s="12" t="str">
        <f>HYPERLINK("https://twitter.com/alsabaya222/status/1181492251882643457","1181492251882643457")</f>
        <v>1181492251882643457</v>
      </c>
      <c r="F1630" s="8"/>
      <c r="G1630" s="14" t="s">
        <v>9832</v>
      </c>
      <c r="H1630" s="8"/>
      <c r="I1630" s="15">
        <v>0</v>
      </c>
      <c r="J1630" s="15">
        <v>0</v>
      </c>
      <c r="K1630" s="12" t="str">
        <f>HYPERLINK("http://twitter.com","Twitter Web Client")</f>
        <v>Twitter Web Client</v>
      </c>
      <c r="L1630" s="16">
        <v>5</v>
      </c>
      <c r="M1630" s="16">
        <v>36</v>
      </c>
      <c r="N1630" s="16">
        <v>0</v>
      </c>
      <c r="O1630" s="17"/>
      <c r="P1630" s="18">
        <v>42070.437314814815</v>
      </c>
      <c r="Q1630" s="8"/>
      <c r="R1630" s="8"/>
      <c r="S1630" s="8"/>
      <c r="T1630" s="8"/>
      <c r="U1630" s="19" t="str">
        <f>HYPERLINK("https://pbs.twimg.com/profile_images/574275869520236544/EUt1P_8D.jpeg","View")</f>
        <v>View</v>
      </c>
      <c r="V1630" s="8"/>
      <c r="W1630" s="8"/>
      <c r="X1630" s="8"/>
      <c r="Y1630" s="8"/>
      <c r="Z1630" s="8"/>
    </row>
    <row r="1631" spans="1:26" ht="12.75">
      <c r="A1631" s="11">
        <v>43746.07649305556</v>
      </c>
      <c r="B1631" s="12" t="str">
        <f>HYPERLINK("https://twitter.com/abomohamed3241","@abomohamed3241")</f>
        <v>@abomohamed3241</v>
      </c>
      <c r="C1631" s="13" t="s">
        <v>9833</v>
      </c>
      <c r="D1631" s="13" t="s">
        <v>9834</v>
      </c>
      <c r="E1631" s="12" t="str">
        <f>HYPERLINK("https://twitter.com/abomohamed3241/status/1181491962093953024","1181491962093953024")</f>
        <v>1181491962093953024</v>
      </c>
      <c r="F1631" s="8"/>
      <c r="G1631" s="15"/>
      <c r="H1631" s="8"/>
      <c r="I1631" s="15">
        <v>0</v>
      </c>
      <c r="J1631" s="15">
        <v>0</v>
      </c>
      <c r="K1631" s="12" t="str">
        <f>HYPERLINK("https://mobile.twitter.com","Twitter Web App")</f>
        <v>Twitter Web App</v>
      </c>
      <c r="L1631" s="16">
        <v>0</v>
      </c>
      <c r="M1631" s="16">
        <v>35</v>
      </c>
      <c r="N1631" s="16">
        <v>0</v>
      </c>
      <c r="O1631" s="17"/>
      <c r="P1631" s="18">
        <v>43711.432986111111</v>
      </c>
      <c r="Q1631" s="8" t="s">
        <v>9835</v>
      </c>
      <c r="R1631" s="8" t="s">
        <v>9836</v>
      </c>
      <c r="S1631" s="8"/>
      <c r="T1631" s="8"/>
      <c r="U1631" s="19" t="str">
        <f>HYPERLINK("https://pbs.twimg.com/profile_images/1174872264275374080/iYlPrKIY.jpg","View")</f>
        <v>View</v>
      </c>
      <c r="V1631" s="8"/>
      <c r="W1631" s="8"/>
      <c r="X1631" s="8"/>
      <c r="Y1631" s="8"/>
      <c r="Z1631" s="8"/>
    </row>
    <row r="1632" spans="1:26" ht="12.75">
      <c r="A1632" s="11">
        <v>43746.074456018519</v>
      </c>
      <c r="B1632" s="12" t="str">
        <f>HYPERLINK("https://twitter.com/Ahmed3adem","@Ahmed3adem")</f>
        <v>@Ahmed3adem</v>
      </c>
      <c r="C1632" s="13" t="s">
        <v>9839</v>
      </c>
      <c r="D1632" s="13" t="s">
        <v>3255</v>
      </c>
      <c r="E1632" s="12" t="str">
        <f>HYPERLINK("https://twitter.com/Ahmed3adem/status/1181491225871958016","1181491225871958016")</f>
        <v>1181491225871958016</v>
      </c>
      <c r="F1632" s="8"/>
      <c r="G1632" s="14" t="s">
        <v>9840</v>
      </c>
      <c r="H1632" s="8"/>
      <c r="I1632" s="15">
        <v>0</v>
      </c>
      <c r="J1632" s="15">
        <v>0</v>
      </c>
      <c r="K1632" s="12" t="str">
        <f>HYPERLINK("http://twitter.com","Twitter Web Client")</f>
        <v>Twitter Web Client</v>
      </c>
      <c r="L1632" s="16">
        <v>0</v>
      </c>
      <c r="M1632" s="16">
        <v>32</v>
      </c>
      <c r="N1632" s="16">
        <v>0</v>
      </c>
      <c r="O1632" s="17"/>
      <c r="P1632" s="18">
        <v>41825.402928240743</v>
      </c>
      <c r="Q1632" s="8"/>
      <c r="R1632" s="8"/>
      <c r="S1632" s="8"/>
      <c r="T1632" s="8"/>
      <c r="U1632" s="19" t="str">
        <f>HYPERLINK("https://pbs.twimg.com/profile_images/485463355142844416/ybddX8_9.jpeg","View")</f>
        <v>View</v>
      </c>
      <c r="V1632" s="8"/>
      <c r="W1632" s="8"/>
      <c r="X1632" s="8"/>
      <c r="Y1632" s="8"/>
      <c r="Z1632" s="8"/>
    </row>
    <row r="1633" spans="1:26" ht="12.75">
      <c r="A1633" s="11">
        <v>43746.073888888888</v>
      </c>
      <c r="B1633" s="12" t="str">
        <f>HYPERLINK("https://twitter.com/alafesan_hassan","@alafesan_hassan")</f>
        <v>@alafesan_hassan</v>
      </c>
      <c r="C1633" s="13" t="s">
        <v>9842</v>
      </c>
      <c r="D1633" s="13" t="s">
        <v>9843</v>
      </c>
      <c r="E1633" s="12" t="str">
        <f>HYPERLINK("https://twitter.com/alafesan_hassan/status/1181491017410850816","1181491017410850816")</f>
        <v>1181491017410850816</v>
      </c>
      <c r="F1633" s="8"/>
      <c r="G1633" s="14" t="s">
        <v>9844</v>
      </c>
      <c r="H1633" s="8"/>
      <c r="I1633" s="15">
        <v>0</v>
      </c>
      <c r="J1633" s="15">
        <v>0</v>
      </c>
      <c r="K1633" s="12" t="str">
        <f>HYPERLINK("http://twitter.com","Twitter Web Client")</f>
        <v>Twitter Web Client</v>
      </c>
      <c r="L1633" s="16">
        <v>8</v>
      </c>
      <c r="M1633" s="16">
        <v>41</v>
      </c>
      <c r="N1633" s="16">
        <v>0</v>
      </c>
      <c r="O1633" s="17"/>
      <c r="P1633" s="18">
        <v>42070.699953703705</v>
      </c>
      <c r="Q1633" s="8"/>
      <c r="R1633" s="8"/>
      <c r="S1633" s="8"/>
      <c r="T1633" s="8"/>
      <c r="U1633" s="19" t="str">
        <f>HYPERLINK("https://pbs.twimg.com/profile_images/574371039490105346/zpkkFWB0.jpeg","View")</f>
        <v>View</v>
      </c>
      <c r="V1633" s="8"/>
      <c r="W1633" s="8"/>
      <c r="X1633" s="8"/>
      <c r="Y1633" s="8"/>
      <c r="Z1633" s="8"/>
    </row>
    <row r="1634" spans="1:26" ht="12.75">
      <c r="A1634" s="11">
        <v>43746.073680555557</v>
      </c>
      <c r="B1634" s="12" t="str">
        <f>HYPERLINK("https://twitter.com/fattaah_mourad","@fattaah_mourad")</f>
        <v>@fattaah_mourad</v>
      </c>
      <c r="C1634" s="13" t="s">
        <v>9845</v>
      </c>
      <c r="D1634" s="13" t="s">
        <v>944</v>
      </c>
      <c r="E1634" s="12" t="str">
        <f>HYPERLINK("https://twitter.com/fattaah_mourad/status/1181490944543096832","1181490944543096832")</f>
        <v>1181490944543096832</v>
      </c>
      <c r="F1634" s="8"/>
      <c r="G1634" s="14" t="s">
        <v>9846</v>
      </c>
      <c r="H1634" s="8"/>
      <c r="I1634" s="15">
        <v>0</v>
      </c>
      <c r="J1634" s="15">
        <v>0</v>
      </c>
      <c r="K1634" s="12" t="str">
        <f>HYPERLINK("https://mobile.twitter.com","Twitter Web App")</f>
        <v>Twitter Web App</v>
      </c>
      <c r="L1634" s="16">
        <v>0</v>
      </c>
      <c r="M1634" s="16">
        <v>2</v>
      </c>
      <c r="N1634" s="16">
        <v>0</v>
      </c>
      <c r="O1634" s="17"/>
      <c r="P1634" s="18">
        <v>43738.931898148148</v>
      </c>
      <c r="Q1634" s="8" t="s">
        <v>1422</v>
      </c>
      <c r="R1634" s="8" t="s">
        <v>1876</v>
      </c>
      <c r="S1634" s="8"/>
      <c r="T1634" s="8"/>
      <c r="U1634" s="19" t="str">
        <f>HYPERLINK("https://pbs.twimg.com/profile_images/1180789328978436097/QSCKVvUF.jpg","View")</f>
        <v>View</v>
      </c>
      <c r="V1634" s="8"/>
      <c r="W1634" s="8"/>
      <c r="X1634" s="8"/>
      <c r="Y1634" s="8"/>
      <c r="Z1634" s="8"/>
    </row>
    <row r="1635" spans="1:26" ht="12.75">
      <c r="A1635" s="11">
        <v>43746.073113425926</v>
      </c>
      <c r="B1635" s="12" t="str">
        <f>HYPERLINK("https://twitter.com/MawdoodEl","@MawdoodEl")</f>
        <v>@MawdoodEl</v>
      </c>
      <c r="C1635" s="13" t="s">
        <v>9849</v>
      </c>
      <c r="D1635" s="13" t="s">
        <v>28</v>
      </c>
      <c r="E1635" s="12" t="str">
        <f>HYPERLINK("https://twitter.com/MawdoodEl/status/1181490737944223745","1181490737944223745")</f>
        <v>1181490737944223745</v>
      </c>
      <c r="F1635" s="8"/>
      <c r="G1635" s="14" t="s">
        <v>1267</v>
      </c>
      <c r="H1635" s="8"/>
      <c r="I1635" s="15">
        <v>0</v>
      </c>
      <c r="J1635" s="15">
        <v>0</v>
      </c>
      <c r="K1635" s="12" t="str">
        <f>HYPERLINK("https://mobile.twitter.com","Twitter Web App")</f>
        <v>Twitter Web App</v>
      </c>
      <c r="L1635" s="16">
        <v>0</v>
      </c>
      <c r="M1635" s="16">
        <v>2</v>
      </c>
      <c r="N1635" s="16">
        <v>0</v>
      </c>
      <c r="O1635" s="17"/>
      <c r="P1635" s="18">
        <v>43740.924502314811</v>
      </c>
      <c r="Q1635" s="8" t="s">
        <v>1564</v>
      </c>
      <c r="R1635" s="8" t="s">
        <v>1277</v>
      </c>
      <c r="S1635" s="8"/>
      <c r="T1635" s="8"/>
      <c r="U1635" s="19" t="str">
        <f>HYPERLINK("https://pbs.twimg.com/profile_images/1180787093242429442/L14iHo2w.jpg","View")</f>
        <v>View</v>
      </c>
      <c r="V1635" s="8"/>
      <c r="W1635" s="8"/>
      <c r="X1635" s="8"/>
      <c r="Y1635" s="8"/>
      <c r="Z1635" s="8"/>
    </row>
    <row r="1636" spans="1:26" ht="12.75">
      <c r="A1636" s="11">
        <v>43746.07130787037</v>
      </c>
      <c r="B1636" s="12" t="str">
        <f>HYPERLINK("https://twitter.com/abeda_XX","@abeda_XX")</f>
        <v>@abeda_XX</v>
      </c>
      <c r="C1636" s="13" t="s">
        <v>8602</v>
      </c>
      <c r="D1636" s="13" t="s">
        <v>9857</v>
      </c>
      <c r="E1636" s="12" t="str">
        <f>HYPERLINK("https://twitter.com/abeda_XX/status/1181490083456864256","1181490083456864256")</f>
        <v>1181490083456864256</v>
      </c>
      <c r="F1636" s="15"/>
      <c r="G1636" s="14" t="s">
        <v>9858</v>
      </c>
      <c r="H1636" s="8"/>
      <c r="I1636" s="15">
        <v>0</v>
      </c>
      <c r="J1636" s="15">
        <v>0</v>
      </c>
      <c r="K1636" s="12" t="str">
        <f>HYPERLINK("http://twitter.com","Twitter Web Client")</f>
        <v>Twitter Web Client</v>
      </c>
      <c r="L1636" s="16">
        <v>1</v>
      </c>
      <c r="M1636" s="16">
        <v>32</v>
      </c>
      <c r="N1636" s="16">
        <v>0</v>
      </c>
      <c r="O1636" s="17"/>
      <c r="P1636" s="18">
        <v>42077.743333333332</v>
      </c>
      <c r="Q1636" s="7"/>
      <c r="R1636" s="13"/>
      <c r="S1636" s="15"/>
      <c r="T1636" s="8"/>
      <c r="U1636" s="19" t="str">
        <f>HYPERLINK("https://pbs.twimg.com/profile_images/576908466989580288/Rm9Tgx5E.jpeg","View")</f>
        <v>View</v>
      </c>
      <c r="V1636" s="8"/>
      <c r="W1636" s="8"/>
      <c r="X1636" s="8"/>
      <c r="Y1636" s="8"/>
      <c r="Z1636" s="8"/>
    </row>
    <row r="1637" spans="1:26" ht="12.75">
      <c r="A1637" s="11">
        <v>43746.070775462962</v>
      </c>
      <c r="B1637" s="12" t="str">
        <f>HYPERLINK("https://twitter.com/azizmon261","@azizmon261")</f>
        <v>@azizmon261</v>
      </c>
      <c r="C1637" s="13" t="s">
        <v>9861</v>
      </c>
      <c r="D1637" s="13" t="s">
        <v>1450</v>
      </c>
      <c r="E1637" s="12" t="str">
        <f>HYPERLINK("https://twitter.com/azizmon261/status/1181489888862097408","1181489888862097408")</f>
        <v>1181489888862097408</v>
      </c>
      <c r="F1637" s="8"/>
      <c r="G1637" s="14" t="s">
        <v>9862</v>
      </c>
      <c r="H1637" s="8"/>
      <c r="I1637" s="15">
        <v>0</v>
      </c>
      <c r="J1637" s="15">
        <v>0</v>
      </c>
      <c r="K1637" s="12" t="str">
        <f>HYPERLINK("http://twitter.com","Twitter Web Client")</f>
        <v>Twitter Web Client</v>
      </c>
      <c r="L1637" s="16">
        <v>0</v>
      </c>
      <c r="M1637" s="16">
        <v>30</v>
      </c>
      <c r="N1637" s="16">
        <v>0</v>
      </c>
      <c r="O1637" s="17"/>
      <c r="P1637" s="18">
        <v>41827.358807870369</v>
      </c>
      <c r="Q1637" s="8"/>
      <c r="R1637" s="8"/>
      <c r="S1637" s="8"/>
      <c r="T1637" s="8"/>
      <c r="U1637" s="19" t="str">
        <f>HYPERLINK("https://pbs.twimg.com/profile_images/486172154354880514/yC6N6Yqa.jpeg","View")</f>
        <v>View</v>
      </c>
      <c r="V1637" s="8"/>
      <c r="W1637" s="8"/>
      <c r="X1637" s="8"/>
      <c r="Y1637" s="8"/>
      <c r="Z1637" s="8"/>
    </row>
    <row r="1638" spans="1:26" ht="12.75">
      <c r="A1638" s="11">
        <v>43746.070636574077</v>
      </c>
      <c r="B1638" s="12" t="str">
        <f>HYPERLINK("https://twitter.com/al3amart44","@al3amart44")</f>
        <v>@al3amart44</v>
      </c>
      <c r="C1638" s="7" t="s">
        <v>9865</v>
      </c>
      <c r="D1638" s="7" t="s">
        <v>9866</v>
      </c>
      <c r="E1638" s="12" t="str">
        <f>HYPERLINK("https://twitter.com/al3amart44/status/1181489840011071488","1181489840011071488")</f>
        <v>1181489840011071488</v>
      </c>
      <c r="F1638" s="8"/>
      <c r="G1638" s="14" t="s">
        <v>9867</v>
      </c>
      <c r="H1638" s="8"/>
      <c r="I1638" s="15">
        <v>0</v>
      </c>
      <c r="J1638" s="15">
        <v>0</v>
      </c>
      <c r="K1638" s="12" t="str">
        <f>HYPERLINK("http://twitter.com","Twitter Web Client")</f>
        <v>Twitter Web Client</v>
      </c>
      <c r="L1638" s="16">
        <v>4</v>
      </c>
      <c r="M1638" s="16">
        <v>30</v>
      </c>
      <c r="N1638" s="16">
        <v>0</v>
      </c>
      <c r="O1638" s="17"/>
      <c r="P1638" s="18">
        <v>42077.273865740739</v>
      </c>
      <c r="Q1638" s="7"/>
      <c r="R1638" s="7"/>
      <c r="S1638" s="8"/>
      <c r="T1638" s="8"/>
      <c r="U1638" s="19" t="str">
        <f>HYPERLINK("https://pbs.twimg.com/profile_images/576738283910107136/39pyHnV_.jpeg","View")</f>
        <v>View</v>
      </c>
      <c r="V1638" s="8"/>
      <c r="W1638" s="8"/>
      <c r="X1638" s="8"/>
      <c r="Y1638" s="8"/>
      <c r="Z1638" s="8"/>
    </row>
    <row r="1639" spans="1:26" ht="12.75">
      <c r="A1639" s="11">
        <v>43746.070370370369</v>
      </c>
      <c r="B1639" s="12" t="str">
        <f>HYPERLINK("https://twitter.com/elharby53423","@elharby53423")</f>
        <v>@elharby53423</v>
      </c>
      <c r="C1639" s="13" t="s">
        <v>9871</v>
      </c>
      <c r="D1639" s="13" t="s">
        <v>2472</v>
      </c>
      <c r="E1639" s="12" t="str">
        <f>HYPERLINK("https://twitter.com/elharby53423/status/1181489741667151873","1181489741667151873")</f>
        <v>1181489741667151873</v>
      </c>
      <c r="F1639" s="8"/>
      <c r="G1639" s="14" t="s">
        <v>9872</v>
      </c>
      <c r="H1639" s="8"/>
      <c r="I1639" s="15">
        <v>0</v>
      </c>
      <c r="J1639" s="15">
        <v>0</v>
      </c>
      <c r="K1639" s="12" t="str">
        <f>HYPERLINK("http://twitter.com","Twitter Web Client")</f>
        <v>Twitter Web Client</v>
      </c>
      <c r="L1639" s="16">
        <v>8</v>
      </c>
      <c r="M1639" s="16">
        <v>39</v>
      </c>
      <c r="N1639" s="16">
        <v>0</v>
      </c>
      <c r="O1639" s="17"/>
      <c r="P1639" s="18">
        <v>42073.281736111108</v>
      </c>
      <c r="Q1639" s="8"/>
      <c r="R1639" s="8"/>
      <c r="S1639" s="8"/>
      <c r="T1639" s="8"/>
      <c r="U1639" s="19" t="str">
        <f>HYPERLINK("https://pbs.twimg.com/profile_images/575291637917601792/eY2xDWPl.jpeg","View")</f>
        <v>View</v>
      </c>
      <c r="V1639" s="8"/>
      <c r="W1639" s="8"/>
      <c r="X1639" s="8"/>
      <c r="Y1639" s="8"/>
      <c r="Z1639" s="8"/>
    </row>
    <row r="1640" spans="1:26" ht="12.75">
      <c r="A1640" s="11">
        <v>43746.069837962961</v>
      </c>
      <c r="B1640" s="12" t="str">
        <f>HYPERLINK("https://twitter.com/maajid_el","@maajid_el")</f>
        <v>@maajid_el</v>
      </c>
      <c r="C1640" s="13" t="s">
        <v>9877</v>
      </c>
      <c r="D1640" s="13" t="s">
        <v>914</v>
      </c>
      <c r="E1640" s="12" t="str">
        <f>HYPERLINK("https://twitter.com/maajid_el/status/1181489549878280192","1181489549878280192")</f>
        <v>1181489549878280192</v>
      </c>
      <c r="F1640" s="8"/>
      <c r="G1640" s="14" t="s">
        <v>917</v>
      </c>
      <c r="H1640" s="8"/>
      <c r="I1640" s="15">
        <v>0</v>
      </c>
      <c r="J1640" s="15">
        <v>0</v>
      </c>
      <c r="K1640" s="12" t="str">
        <f>HYPERLINK("https://mobile.twitter.com","Twitter Web App")</f>
        <v>Twitter Web App</v>
      </c>
      <c r="L1640" s="16">
        <v>0</v>
      </c>
      <c r="M1640" s="16">
        <v>2</v>
      </c>
      <c r="N1640" s="16">
        <v>0</v>
      </c>
      <c r="O1640" s="17"/>
      <c r="P1640" s="18">
        <v>43740.922893518524</v>
      </c>
      <c r="Q1640" s="8" t="s">
        <v>1367</v>
      </c>
      <c r="R1640" s="8" t="s">
        <v>1135</v>
      </c>
      <c r="S1640" s="8"/>
      <c r="T1640" s="8"/>
      <c r="U1640" s="19" t="str">
        <f>HYPERLINK("https://pbs.twimg.com/profile_images/1180786525358837761/748nIwYq.jpg","View")</f>
        <v>View</v>
      </c>
      <c r="V1640" s="8"/>
      <c r="W1640" s="8"/>
      <c r="X1640" s="8"/>
      <c r="Y1640" s="8"/>
      <c r="Z1640" s="8"/>
    </row>
    <row r="1641" spans="1:26" ht="12.75">
      <c r="A1641" s="11">
        <v>43746.069097222222</v>
      </c>
      <c r="B1641" s="12" t="str">
        <f>HYPERLINK("https://twitter.com/salehi_el","@salehi_el")</f>
        <v>@salehi_el</v>
      </c>
      <c r="C1641" s="7" t="s">
        <v>9880</v>
      </c>
      <c r="D1641" s="13" t="s">
        <v>28</v>
      </c>
      <c r="E1641" s="12" t="str">
        <f>HYPERLINK("https://twitter.com/salehi_el/status/1181489280855638016","1181489280855638016")</f>
        <v>1181489280855638016</v>
      </c>
      <c r="F1641" s="8"/>
      <c r="G1641" s="14" t="s">
        <v>31</v>
      </c>
      <c r="H1641" s="8"/>
      <c r="I1641" s="15">
        <v>0</v>
      </c>
      <c r="J1641" s="15">
        <v>0</v>
      </c>
      <c r="K1641" s="12" t="str">
        <f>HYPERLINK("https://mobile.twitter.com","Twitter Web App")</f>
        <v>Twitter Web App</v>
      </c>
      <c r="L1641" s="16">
        <v>0</v>
      </c>
      <c r="M1641" s="16">
        <v>1</v>
      </c>
      <c r="N1641" s="16">
        <v>0</v>
      </c>
      <c r="O1641" s="17"/>
      <c r="P1641" s="18">
        <v>43740.920914351853</v>
      </c>
      <c r="Q1641" s="15" t="s">
        <v>1422</v>
      </c>
      <c r="R1641" s="7" t="s">
        <v>1944</v>
      </c>
      <c r="S1641" s="8"/>
      <c r="T1641" s="8"/>
      <c r="U1641" s="19" t="str">
        <f>HYPERLINK("https://pbs.twimg.com/profile_images/1181523932488167424/F-BlKtuZ.jpg","View")</f>
        <v>View</v>
      </c>
      <c r="V1641" s="8"/>
      <c r="W1641" s="8"/>
      <c r="X1641" s="8"/>
      <c r="Y1641" s="8"/>
      <c r="Z1641" s="8"/>
    </row>
    <row r="1642" spans="1:26" ht="12.75">
      <c r="A1642" s="11">
        <v>43746.067627314813</v>
      </c>
      <c r="B1642" s="12" t="str">
        <f>HYPERLINK("https://twitter.com/BaasidRashed","@BaasidRashed")</f>
        <v>@BaasidRashed</v>
      </c>
      <c r="C1642" s="7" t="s">
        <v>9884</v>
      </c>
      <c r="D1642" s="13" t="s">
        <v>1030</v>
      </c>
      <c r="E1642" s="12" t="str">
        <f>HYPERLINK("https://twitter.com/BaasidRashed/status/1181488750833987584","1181488750833987584")</f>
        <v>1181488750833987584</v>
      </c>
      <c r="F1642" s="8"/>
      <c r="G1642" s="14" t="s">
        <v>9885</v>
      </c>
      <c r="H1642" s="8"/>
      <c r="I1642" s="15">
        <v>0</v>
      </c>
      <c r="J1642" s="15">
        <v>0</v>
      </c>
      <c r="K1642" s="12" t="str">
        <f>HYPERLINK("https://mobile.twitter.com","Twitter Web App")</f>
        <v>Twitter Web App</v>
      </c>
      <c r="L1642" s="16">
        <v>0</v>
      </c>
      <c r="M1642" s="16">
        <v>1</v>
      </c>
      <c r="N1642" s="16">
        <v>0</v>
      </c>
      <c r="O1642" s="17"/>
      <c r="P1642" s="18">
        <v>43738.959965277776</v>
      </c>
      <c r="Q1642" s="15" t="s">
        <v>1405</v>
      </c>
      <c r="R1642" s="7" t="s">
        <v>1839</v>
      </c>
      <c r="S1642" s="8"/>
      <c r="T1642" s="8"/>
      <c r="U1642" s="19" t="str">
        <f>HYPERLINK("https://pbs.twimg.com/profile_images/1180791542526574592/TmpGDRjR.jpg","View")</f>
        <v>View</v>
      </c>
      <c r="V1642" s="8"/>
      <c r="W1642" s="8"/>
      <c r="X1642" s="8"/>
      <c r="Y1642" s="8"/>
      <c r="Z1642" s="8"/>
    </row>
    <row r="1643" spans="1:26" ht="12.75">
      <c r="A1643" s="11">
        <v>43746.067106481481</v>
      </c>
      <c r="B1643" s="12" t="str">
        <f>HYPERLINK("https://twitter.com/albaraya22","@albaraya22")</f>
        <v>@albaraya22</v>
      </c>
      <c r="C1643" s="7" t="s">
        <v>9890</v>
      </c>
      <c r="D1643" s="13" t="s">
        <v>3297</v>
      </c>
      <c r="E1643" s="12" t="str">
        <f>HYPERLINK("https://twitter.com/albaraya22/status/1181488561742331904","1181488561742331904")</f>
        <v>1181488561742331904</v>
      </c>
      <c r="F1643" s="8"/>
      <c r="G1643" s="14" t="s">
        <v>9892</v>
      </c>
      <c r="H1643" s="8"/>
      <c r="I1643" s="15">
        <v>0</v>
      </c>
      <c r="J1643" s="15">
        <v>0</v>
      </c>
      <c r="K1643" s="12" t="str">
        <f>HYPERLINK("http://twitter.com","Twitter Web Client")</f>
        <v>Twitter Web Client</v>
      </c>
      <c r="L1643" s="16">
        <v>1</v>
      </c>
      <c r="M1643" s="16">
        <v>39</v>
      </c>
      <c r="N1643" s="16">
        <v>0</v>
      </c>
      <c r="O1643" s="17"/>
      <c r="P1643" s="18">
        <v>42080.635416666672</v>
      </c>
      <c r="Q1643" s="15"/>
      <c r="R1643" s="7"/>
      <c r="S1643" s="8"/>
      <c r="T1643" s="8"/>
      <c r="U1643" s="19" t="str">
        <f>HYPERLINK("https://pbs.twimg.com/profile_images/577956584074055680/TnUJGORI.jpeg","View")</f>
        <v>View</v>
      </c>
      <c r="V1643" s="8"/>
      <c r="W1643" s="8"/>
      <c r="X1643" s="8"/>
      <c r="Y1643" s="8"/>
      <c r="Z1643" s="8"/>
    </row>
    <row r="1644" spans="1:26" ht="12.75">
      <c r="A1644" s="11">
        <v>43746.064895833333</v>
      </c>
      <c r="B1644" s="12" t="str">
        <f>HYPERLINK("https://twitter.com/Wampus67","@Wampus67")</f>
        <v>@Wampus67</v>
      </c>
      <c r="C1644" s="7" t="s">
        <v>9904</v>
      </c>
      <c r="D1644" s="13" t="s">
        <v>9905</v>
      </c>
      <c r="E1644" s="12" t="str">
        <f>HYPERLINK("https://twitter.com/Wampus67/status/1181487759023845376","1181487759023845376")</f>
        <v>1181487759023845376</v>
      </c>
      <c r="F1644" s="8"/>
      <c r="G1644" s="15"/>
      <c r="H1644" s="8"/>
      <c r="I1644" s="15">
        <v>0</v>
      </c>
      <c r="J1644" s="15">
        <v>0</v>
      </c>
      <c r="K1644" s="12" t="str">
        <f>HYPERLINK("http://twitter.com/#!/download/ipad","Twitter for iPad")</f>
        <v>Twitter for iPad</v>
      </c>
      <c r="L1644" s="16">
        <v>13548</v>
      </c>
      <c r="M1644" s="16">
        <v>14362</v>
      </c>
      <c r="N1644" s="16">
        <v>0</v>
      </c>
      <c r="O1644" s="17"/>
      <c r="P1644" s="18">
        <v>39903.389664351853</v>
      </c>
      <c r="Q1644" s="15" t="s">
        <v>1804</v>
      </c>
      <c r="R1644" s="7" t="s">
        <v>9906</v>
      </c>
      <c r="S1644" s="8"/>
      <c r="T1644" s="8"/>
      <c r="U1644" s="19" t="str">
        <f>HYPERLINK("https://pbs.twimg.com/profile_images/973707993689874433/D1YK2_d8.jpg","View")</f>
        <v>View</v>
      </c>
      <c r="V1644" s="8"/>
      <c r="W1644" s="8"/>
      <c r="X1644" s="8"/>
      <c r="Y1644" s="8"/>
      <c r="Z1644" s="8"/>
    </row>
    <row r="1645" spans="1:26" ht="12.75">
      <c r="A1645" s="11">
        <v>43746.064884259264</v>
      </c>
      <c r="B1645" s="12" t="str">
        <f>HYPERLINK("https://twitter.com/HamaamaB","@HamaamaB")</f>
        <v>@HamaamaB</v>
      </c>
      <c r="C1645" s="7" t="s">
        <v>9908</v>
      </c>
      <c r="D1645" s="13" t="s">
        <v>968</v>
      </c>
      <c r="E1645" s="12" t="str">
        <f>HYPERLINK("https://twitter.com/HamaamaB/status/1181487755823501312","1181487755823501312")</f>
        <v>1181487755823501312</v>
      </c>
      <c r="F1645" s="8"/>
      <c r="G1645" s="14" t="s">
        <v>9910</v>
      </c>
      <c r="H1645" s="8"/>
      <c r="I1645" s="15">
        <v>0</v>
      </c>
      <c r="J1645" s="15">
        <v>0</v>
      </c>
      <c r="K1645" s="12" t="str">
        <f>HYPERLINK("https://mobile.twitter.com","Twitter Web App")</f>
        <v>Twitter Web App</v>
      </c>
      <c r="L1645" s="16">
        <v>0</v>
      </c>
      <c r="M1645" s="16">
        <v>1</v>
      </c>
      <c r="N1645" s="16">
        <v>0</v>
      </c>
      <c r="O1645" s="17"/>
      <c r="P1645" s="18">
        <v>43733.978831018518</v>
      </c>
      <c r="Q1645" s="15" t="s">
        <v>1249</v>
      </c>
      <c r="R1645" s="7" t="s">
        <v>1258</v>
      </c>
      <c r="S1645" s="8"/>
      <c r="T1645" s="8"/>
      <c r="U1645" s="19" t="str">
        <f>HYPERLINK("https://pbs.twimg.com/profile_images/1180409206869856256/18mYcof1.jpg","View")</f>
        <v>View</v>
      </c>
      <c r="V1645" s="8"/>
      <c r="W1645" s="8"/>
      <c r="X1645" s="8"/>
      <c r="Y1645" s="8"/>
      <c r="Z1645" s="8"/>
    </row>
    <row r="1646" spans="1:26" ht="12.75">
      <c r="A1646" s="11">
        <v>43746.063726851848</v>
      </c>
      <c r="B1646" s="12" t="str">
        <f>HYPERLINK("https://twitter.com/NazmiyyaA","@NazmiyyaA")</f>
        <v>@NazmiyyaA</v>
      </c>
      <c r="C1646" s="7" t="s">
        <v>9913</v>
      </c>
      <c r="D1646" s="13" t="s">
        <v>1030</v>
      </c>
      <c r="E1646" s="12" t="str">
        <f>HYPERLINK("https://twitter.com/NazmiyyaA/status/1181487333935206400","1181487333935206400")</f>
        <v>1181487333935206400</v>
      </c>
      <c r="F1646" s="8"/>
      <c r="G1646" s="14" t="s">
        <v>9914</v>
      </c>
      <c r="H1646" s="8"/>
      <c r="I1646" s="15">
        <v>0</v>
      </c>
      <c r="J1646" s="15">
        <v>0</v>
      </c>
      <c r="K1646" s="12" t="str">
        <f>HYPERLINK("https://mobile.twitter.com","Twitter Web App")</f>
        <v>Twitter Web App</v>
      </c>
      <c r="L1646" s="16">
        <v>0</v>
      </c>
      <c r="M1646" s="16">
        <v>1</v>
      </c>
      <c r="N1646" s="16">
        <v>0</v>
      </c>
      <c r="O1646" s="17"/>
      <c r="P1646" s="18">
        <v>43738.17355324074</v>
      </c>
      <c r="Q1646" s="15" t="s">
        <v>1428</v>
      </c>
      <c r="R1646" s="7" t="s">
        <v>1759</v>
      </c>
      <c r="S1646" s="8"/>
      <c r="T1646" s="8"/>
      <c r="U1646" s="19" t="str">
        <f>HYPERLINK("https://pbs.twimg.com/profile_images/1180422621302624256/ASwDVpKW.jpg","View")</f>
        <v>View</v>
      </c>
      <c r="V1646" s="8"/>
      <c r="W1646" s="8"/>
      <c r="X1646" s="8"/>
      <c r="Y1646" s="8"/>
      <c r="Z1646" s="8"/>
    </row>
    <row r="1647" spans="1:26" ht="12.75">
      <c r="A1647" s="11">
        <v>43746.062592592592</v>
      </c>
      <c r="B1647" s="12" t="str">
        <f>HYPERLINK("https://twitter.com/AhmedAbotreka9","@AhmedAbotreka9")</f>
        <v>@AhmedAbotreka9</v>
      </c>
      <c r="C1647" s="7" t="s">
        <v>9915</v>
      </c>
      <c r="D1647" s="13" t="s">
        <v>9916</v>
      </c>
      <c r="E1647" s="12" t="str">
        <f>HYPERLINK("https://twitter.com/AhmedAbotreka9/status/1181486924827111425","1181486924827111425")</f>
        <v>1181486924827111425</v>
      </c>
      <c r="F1647" s="14" t="s">
        <v>9917</v>
      </c>
      <c r="G1647" s="14" t="s">
        <v>9918</v>
      </c>
      <c r="H1647" s="8"/>
      <c r="I1647" s="15">
        <v>2</v>
      </c>
      <c r="J1647" s="15">
        <v>5</v>
      </c>
      <c r="K1647" s="12" t="str">
        <f>HYPERLINK("http://twitter.com/download/android","Twitter for Android")</f>
        <v>Twitter for Android</v>
      </c>
      <c r="L1647" s="16">
        <v>101</v>
      </c>
      <c r="M1647" s="16">
        <v>126</v>
      </c>
      <c r="N1647" s="16">
        <v>0</v>
      </c>
      <c r="O1647" s="17"/>
      <c r="P1647" s="18">
        <v>43215.046377314815</v>
      </c>
      <c r="Q1647" s="15" t="s">
        <v>9922</v>
      </c>
      <c r="R1647" s="7"/>
      <c r="S1647" s="8"/>
      <c r="T1647" s="8"/>
      <c r="U1647" s="19" t="str">
        <f>HYPERLINK("https://pbs.twimg.com/profile_images/1174659493541662720/3N_zv5R7.jpg","View")</f>
        <v>View</v>
      </c>
      <c r="V1647" s="8"/>
      <c r="W1647" s="8"/>
      <c r="X1647" s="8"/>
      <c r="Y1647" s="8"/>
      <c r="Z1647" s="8"/>
    </row>
    <row r="1648" spans="1:26" ht="12.75">
      <c r="A1648" s="11">
        <v>43746.060162037036</v>
      </c>
      <c r="B1648" s="12" t="str">
        <f>HYPERLINK("https://twitter.com/AminaAhemad","@AminaAhemad")</f>
        <v>@AminaAhemad</v>
      </c>
      <c r="C1648" s="13" t="s">
        <v>9924</v>
      </c>
      <c r="D1648" s="7" t="s">
        <v>944</v>
      </c>
      <c r="E1648" s="12" t="str">
        <f>HYPERLINK("https://twitter.com/AminaAhemad/status/1181486043721154560","1181486043721154560")</f>
        <v>1181486043721154560</v>
      </c>
      <c r="F1648" s="8"/>
      <c r="G1648" s="14" t="s">
        <v>9925</v>
      </c>
      <c r="H1648" s="8"/>
      <c r="I1648" s="15">
        <v>0</v>
      </c>
      <c r="J1648" s="15">
        <v>0</v>
      </c>
      <c r="K1648" s="12" t="str">
        <f>HYPERLINK("https://mobile.twitter.com","Twitter Web App")</f>
        <v>Twitter Web App</v>
      </c>
      <c r="L1648" s="16">
        <v>0</v>
      </c>
      <c r="M1648" s="16">
        <v>0</v>
      </c>
      <c r="N1648" s="16">
        <v>0</v>
      </c>
      <c r="O1648" s="17"/>
      <c r="P1648" s="18">
        <v>43733.951423611114</v>
      </c>
      <c r="Q1648" s="8"/>
      <c r="R1648" s="8"/>
      <c r="S1648" s="8"/>
      <c r="T1648" s="8"/>
      <c r="U1648" s="20" t="s">
        <v>354</v>
      </c>
      <c r="V1648" s="8"/>
      <c r="W1648" s="8"/>
      <c r="X1648" s="8"/>
      <c r="Y1648" s="8"/>
      <c r="Z1648" s="8"/>
    </row>
    <row r="1649" spans="1:26" ht="12.75">
      <c r="A1649" s="11">
        <v>43746.054108796292</v>
      </c>
      <c r="B1649" s="12" t="str">
        <f>HYPERLINK("https://twitter.com/victoriaacas","@victoriaacas")</f>
        <v>@victoriaacas</v>
      </c>
      <c r="C1649" s="7" t="s">
        <v>9926</v>
      </c>
      <c r="D1649" s="13" t="s">
        <v>9927</v>
      </c>
      <c r="E1649" s="12" t="str">
        <f>HYPERLINK("https://twitter.com/victoriaacas/status/1181483849278033921","1181483849278033921")</f>
        <v>1181483849278033921</v>
      </c>
      <c r="F1649" s="8"/>
      <c r="G1649" s="14" t="s">
        <v>9928</v>
      </c>
      <c r="H1649" s="8"/>
      <c r="I1649" s="15">
        <v>0</v>
      </c>
      <c r="J1649" s="15">
        <v>1</v>
      </c>
      <c r="K1649" s="12" t="str">
        <f>HYPERLINK("http://twitter.com/download/iphone","Twitter for iPhone")</f>
        <v>Twitter for iPhone</v>
      </c>
      <c r="L1649" s="16">
        <v>1561</v>
      </c>
      <c r="M1649" s="16">
        <v>1673</v>
      </c>
      <c r="N1649" s="16">
        <v>7</v>
      </c>
      <c r="O1649" s="17"/>
      <c r="P1649" s="18">
        <v>40971.800034722226</v>
      </c>
      <c r="Q1649" s="8" t="s">
        <v>857</v>
      </c>
      <c r="R1649" s="7" t="s">
        <v>9929</v>
      </c>
      <c r="S1649" s="8"/>
      <c r="T1649" s="8"/>
      <c r="U1649" s="19" t="str">
        <f>HYPERLINK("https://pbs.twimg.com/profile_images/1160559050137800704/B6dS9wnz.jpg","View")</f>
        <v>View</v>
      </c>
      <c r="V1649" s="8"/>
      <c r="W1649" s="8"/>
      <c r="X1649" s="8"/>
      <c r="Y1649" s="8"/>
      <c r="Z1649" s="8"/>
    </row>
    <row r="1650" spans="1:26" ht="12.75">
      <c r="A1650" s="11">
        <v>43746.052905092598</v>
      </c>
      <c r="B1650" s="12" t="str">
        <f>HYPERLINK("https://twitter.com/abedalrahm999","@abedalrahm999")</f>
        <v>@abedalrahm999</v>
      </c>
      <c r="C1650" s="7" t="s">
        <v>9935</v>
      </c>
      <c r="D1650" s="13" t="s">
        <v>9936</v>
      </c>
      <c r="E1650" s="12" t="str">
        <f>HYPERLINK("https://twitter.com/abedalrahm999/status/1181483414123372544","1181483414123372544")</f>
        <v>1181483414123372544</v>
      </c>
      <c r="F1650" s="8"/>
      <c r="G1650" s="14" t="s">
        <v>9937</v>
      </c>
      <c r="H1650" s="8"/>
      <c r="I1650" s="15">
        <v>0</v>
      </c>
      <c r="J1650" s="15">
        <v>0</v>
      </c>
      <c r="K1650" s="12" t="str">
        <f>HYPERLINK("http://twitter.com","Twitter Web Client")</f>
        <v>Twitter Web Client</v>
      </c>
      <c r="L1650" s="16">
        <v>6</v>
      </c>
      <c r="M1650" s="16">
        <v>37</v>
      </c>
      <c r="N1650" s="16">
        <v>0</v>
      </c>
      <c r="O1650" s="17"/>
      <c r="P1650" s="18">
        <v>42082.409861111111</v>
      </c>
      <c r="Q1650" s="8"/>
      <c r="R1650" s="7"/>
      <c r="S1650" s="8"/>
      <c r="T1650" s="8"/>
      <c r="U1650" s="19" t="str">
        <f>HYPERLINK("https://pbs.twimg.com/profile_images/578599491940577280/v5H_2xjy.jpeg","View")</f>
        <v>View</v>
      </c>
      <c r="V1650" s="8"/>
      <c r="W1650" s="8"/>
      <c r="X1650" s="8"/>
      <c r="Y1650" s="8"/>
      <c r="Z1650" s="8"/>
    </row>
    <row r="1651" spans="1:26" ht="12.75">
      <c r="A1651" s="11">
        <v>43746.052488425921</v>
      </c>
      <c r="B1651" s="12" t="str">
        <f>HYPERLINK("https://twitter.com/saadiomari","@saadiomari")</f>
        <v>@saadiomari</v>
      </c>
      <c r="C1651" s="7" t="s">
        <v>9946</v>
      </c>
      <c r="D1651" s="13" t="s">
        <v>1668</v>
      </c>
      <c r="E1651" s="12" t="str">
        <f>HYPERLINK("https://twitter.com/saadiomari/status/1181483264369934336","1181483264369934336")</f>
        <v>1181483264369934336</v>
      </c>
      <c r="F1651" s="8"/>
      <c r="G1651" s="14" t="s">
        <v>9947</v>
      </c>
      <c r="H1651" s="8"/>
      <c r="I1651" s="15">
        <v>0</v>
      </c>
      <c r="J1651" s="15">
        <v>0</v>
      </c>
      <c r="K1651" s="12" t="str">
        <f>HYPERLINK("http://twitter.com","Twitter Web Client")</f>
        <v>Twitter Web Client</v>
      </c>
      <c r="L1651" s="16">
        <v>1</v>
      </c>
      <c r="M1651" s="16">
        <v>42</v>
      </c>
      <c r="N1651" s="16">
        <v>0</v>
      </c>
      <c r="O1651" s="17"/>
      <c r="P1651" s="18">
        <v>42076.457569444443</v>
      </c>
      <c r="Q1651" s="8"/>
      <c r="R1651" s="7"/>
      <c r="S1651" s="8"/>
      <c r="T1651" s="8"/>
      <c r="U1651" s="19" t="str">
        <f>HYPERLINK("https://pbs.twimg.com/profile_images/576443185850781696/EXIRHEvX.jpeg","View")</f>
        <v>View</v>
      </c>
      <c r="V1651" s="8"/>
      <c r="W1651" s="8"/>
      <c r="X1651" s="8"/>
      <c r="Y1651" s="8"/>
      <c r="Z1651" s="8"/>
    </row>
    <row r="1652" spans="1:26" ht="12.75">
      <c r="A1652" s="11">
        <v>43746.051817129628</v>
      </c>
      <c r="B1652" s="12" t="str">
        <f>HYPERLINK("https://twitter.com/mohammedalisla1","@mohammedalisla1")</f>
        <v>@mohammedalisla1</v>
      </c>
      <c r="C1652" s="13" t="s">
        <v>9949</v>
      </c>
      <c r="D1652" s="7" t="s">
        <v>1687</v>
      </c>
      <c r="E1652" s="12" t="str">
        <f>HYPERLINK("https://twitter.com/mohammedalisla1/status/1181483020311842817","1181483020311842817")</f>
        <v>1181483020311842817</v>
      </c>
      <c r="F1652" s="8"/>
      <c r="G1652" s="14" t="s">
        <v>9950</v>
      </c>
      <c r="H1652" s="8"/>
      <c r="I1652" s="15">
        <v>0</v>
      </c>
      <c r="J1652" s="15">
        <v>0</v>
      </c>
      <c r="K1652" s="12" t="str">
        <f>HYPERLINK("http://twitter.com","Twitter Web Client")</f>
        <v>Twitter Web Client</v>
      </c>
      <c r="L1652" s="16">
        <v>0</v>
      </c>
      <c r="M1652" s="16">
        <v>36</v>
      </c>
      <c r="N1652" s="16">
        <v>0</v>
      </c>
      <c r="O1652" s="17"/>
      <c r="P1652" s="18">
        <v>42021.090266203704</v>
      </c>
      <c r="Q1652" s="8"/>
      <c r="R1652" s="8"/>
      <c r="S1652" s="8"/>
      <c r="T1652" s="8"/>
      <c r="U1652" s="19" t="str">
        <f>HYPERLINK("https://pbs.twimg.com/profile_images/556393116219883520/XUCNmN5b.jpeg","View")</f>
        <v>View</v>
      </c>
      <c r="V1652" s="8"/>
      <c r="W1652" s="8"/>
      <c r="X1652" s="8"/>
      <c r="Y1652" s="8"/>
      <c r="Z1652" s="8"/>
    </row>
    <row r="1653" spans="1:26" ht="12.75">
      <c r="A1653" s="11">
        <v>43746.051539351851</v>
      </c>
      <c r="B1653" s="12" t="str">
        <f>HYPERLINK("https://twitter.com/alkahtan_ty6","@alkahtan_ty6")</f>
        <v>@alkahtan_ty6</v>
      </c>
      <c r="C1653" s="13" t="s">
        <v>9954</v>
      </c>
      <c r="D1653" s="7" t="s">
        <v>3336</v>
      </c>
      <c r="E1653" s="12" t="str">
        <f>HYPERLINK("https://twitter.com/alkahtan_ty6/status/1181482919849795584","1181482919849795584")</f>
        <v>1181482919849795584</v>
      </c>
      <c r="F1653" s="8"/>
      <c r="G1653" s="14" t="s">
        <v>9955</v>
      </c>
      <c r="H1653" s="8"/>
      <c r="I1653" s="15">
        <v>0</v>
      </c>
      <c r="J1653" s="15">
        <v>0</v>
      </c>
      <c r="K1653" s="12" t="str">
        <f>HYPERLINK("http://twitter.com","Twitter Web Client")</f>
        <v>Twitter Web Client</v>
      </c>
      <c r="L1653" s="16">
        <v>2</v>
      </c>
      <c r="M1653" s="16">
        <v>42</v>
      </c>
      <c r="N1653" s="16">
        <v>0</v>
      </c>
      <c r="O1653" s="17"/>
      <c r="P1653" s="18">
        <v>42087.314247685186</v>
      </c>
      <c r="Q1653" s="8"/>
      <c r="R1653" s="8"/>
      <c r="S1653" s="8"/>
      <c r="T1653" s="8"/>
      <c r="U1653" s="19" t="str">
        <f>HYPERLINK("https://pbs.twimg.com/profile_images/580376837823586304/hbLf3ggg.jpg","View")</f>
        <v>View</v>
      </c>
      <c r="V1653" s="8"/>
      <c r="W1653" s="8"/>
      <c r="X1653" s="8"/>
      <c r="Y1653" s="8"/>
      <c r="Z1653" s="8"/>
    </row>
    <row r="1654" spans="1:26" ht="12.75">
      <c r="A1654" s="11">
        <v>43746.051215277781</v>
      </c>
      <c r="B1654" s="12" t="str">
        <f>HYPERLINK("https://twitter.com/rahmanawad2","@rahmanawad2")</f>
        <v>@rahmanawad2</v>
      </c>
      <c r="C1654" s="13" t="s">
        <v>9958</v>
      </c>
      <c r="D1654" s="7" t="s">
        <v>2590</v>
      </c>
      <c r="E1654" s="12" t="str">
        <f>HYPERLINK("https://twitter.com/rahmanawad2/status/1181482800660267008","1181482800660267008")</f>
        <v>1181482800660267008</v>
      </c>
      <c r="F1654" s="8"/>
      <c r="G1654" s="14" t="s">
        <v>9960</v>
      </c>
      <c r="H1654" s="8"/>
      <c r="I1654" s="15">
        <v>0</v>
      </c>
      <c r="J1654" s="15">
        <v>0</v>
      </c>
      <c r="K1654" s="12" t="str">
        <f>HYPERLINK("http://twitter.com","Twitter Web Client")</f>
        <v>Twitter Web Client</v>
      </c>
      <c r="L1654" s="16">
        <v>30</v>
      </c>
      <c r="M1654" s="16">
        <v>36</v>
      </c>
      <c r="N1654" s="16">
        <v>0</v>
      </c>
      <c r="O1654" s="17"/>
      <c r="P1654" s="18">
        <v>42065.417569444442</v>
      </c>
      <c r="Q1654" s="8"/>
      <c r="R1654" s="8"/>
      <c r="S1654" s="8"/>
      <c r="T1654" s="8"/>
      <c r="U1654" s="19" t="str">
        <f>HYPERLINK("https://pbs.twimg.com/profile_images/572456904522084352/2K-BNf6U.jpeg","View")</f>
        <v>View</v>
      </c>
      <c r="V1654" s="8"/>
      <c r="W1654" s="8"/>
      <c r="X1654" s="8"/>
      <c r="Y1654" s="8"/>
      <c r="Z1654" s="8"/>
    </row>
    <row r="1655" spans="1:26" ht="12.75">
      <c r="A1655" s="11">
        <v>43746.050543981481</v>
      </c>
      <c r="B1655" s="12" t="str">
        <f>HYPERLINK("https://twitter.com/EbrahimGasuda","@EbrahimGasuda")</f>
        <v>@EbrahimGasuda</v>
      </c>
      <c r="C1655" s="7" t="s">
        <v>9964</v>
      </c>
      <c r="D1655" s="13" t="s">
        <v>9965</v>
      </c>
      <c r="E1655" s="12" t="str">
        <f>HYPERLINK("https://twitter.com/EbrahimGasuda/status/1181482556639846400","1181482556639846400")</f>
        <v>1181482556639846400</v>
      </c>
      <c r="F1655" s="8"/>
      <c r="G1655" s="15"/>
      <c r="H1655" s="8"/>
      <c r="I1655" s="15">
        <v>2</v>
      </c>
      <c r="J1655" s="15">
        <v>42</v>
      </c>
      <c r="K1655" s="12" t="str">
        <f>HYPERLINK("http://twitter.com/download/iphone","Twitter for iPhone")</f>
        <v>Twitter for iPhone</v>
      </c>
      <c r="L1655" s="16">
        <v>14974</v>
      </c>
      <c r="M1655" s="16">
        <v>676</v>
      </c>
      <c r="N1655" s="16">
        <v>26</v>
      </c>
      <c r="O1655" s="17"/>
      <c r="P1655" s="18">
        <v>41413.687835648147</v>
      </c>
      <c r="Q1655" s="8" t="s">
        <v>9968</v>
      </c>
      <c r="R1655" s="7" t="s">
        <v>9969</v>
      </c>
      <c r="S1655" s="14" t="s">
        <v>9970</v>
      </c>
      <c r="T1655" s="8"/>
      <c r="U1655" s="19" t="str">
        <f>HYPERLINK("https://pbs.twimg.com/profile_images/1124676301758111744/An57FWSE.jpg","View")</f>
        <v>View</v>
      </c>
      <c r="V1655" s="8"/>
      <c r="W1655" s="8"/>
      <c r="X1655" s="8"/>
      <c r="Y1655" s="8"/>
      <c r="Z1655" s="8"/>
    </row>
    <row r="1656" spans="1:26" ht="12.75">
      <c r="A1656" s="11">
        <v>43746.049247685187</v>
      </c>
      <c r="B1656" s="12" t="str">
        <f>HYPERLINK("https://twitter.com/dhaferidosari","@dhaferidosari")</f>
        <v>@dhaferidosari</v>
      </c>
      <c r="C1656" s="7" t="s">
        <v>9975</v>
      </c>
      <c r="D1656" s="13" t="s">
        <v>2639</v>
      </c>
      <c r="E1656" s="12" t="str">
        <f>HYPERLINK("https://twitter.com/dhaferidosari/status/1181482090170388480","1181482090170388480")</f>
        <v>1181482090170388480</v>
      </c>
      <c r="F1656" s="8"/>
      <c r="G1656" s="14" t="s">
        <v>9976</v>
      </c>
      <c r="H1656" s="8"/>
      <c r="I1656" s="15">
        <v>0</v>
      </c>
      <c r="J1656" s="15">
        <v>0</v>
      </c>
      <c r="K1656" s="12" t="str">
        <f>HYPERLINK("http://twitter.com","Twitter Web Client")</f>
        <v>Twitter Web Client</v>
      </c>
      <c r="L1656" s="16">
        <v>4</v>
      </c>
      <c r="M1656" s="16">
        <v>41</v>
      </c>
      <c r="N1656" s="16">
        <v>0</v>
      </c>
      <c r="O1656" s="17"/>
      <c r="P1656" s="18">
        <v>42070.17260416667</v>
      </c>
      <c r="Q1656" s="8"/>
      <c r="R1656" s="7"/>
      <c r="S1656" s="8"/>
      <c r="T1656" s="8"/>
      <c r="U1656" s="19" t="str">
        <f>HYPERLINK("https://pbs.twimg.com/profile_images/574181222718382080/LYQ2SkL_.jpeg","View")</f>
        <v>View</v>
      </c>
      <c r="V1656" s="8"/>
      <c r="W1656" s="8"/>
      <c r="X1656" s="8"/>
      <c r="Y1656" s="8"/>
      <c r="Z1656" s="8"/>
    </row>
    <row r="1657" spans="1:26" ht="12.75">
      <c r="A1657" s="11">
        <v>43746.044687500005</v>
      </c>
      <c r="B1657" s="12" t="str">
        <f>HYPERLINK("https://twitter.com/ayedhsos2","@ayedhsos2")</f>
        <v>@ayedhsos2</v>
      </c>
      <c r="C1657" s="7" t="s">
        <v>9986</v>
      </c>
      <c r="D1657" s="13" t="s">
        <v>1778</v>
      </c>
      <c r="E1657" s="12" t="str">
        <f>HYPERLINK("https://twitter.com/ayedhsos2/status/1181480437149048832","1181480437149048832")</f>
        <v>1181480437149048832</v>
      </c>
      <c r="F1657" s="8"/>
      <c r="G1657" s="14" t="s">
        <v>9987</v>
      </c>
      <c r="H1657" s="8"/>
      <c r="I1657" s="15">
        <v>0</v>
      </c>
      <c r="J1657" s="15">
        <v>0</v>
      </c>
      <c r="K1657" s="12" t="str">
        <f>HYPERLINK("http://twitter.com","Twitter Web Client")</f>
        <v>Twitter Web Client</v>
      </c>
      <c r="L1657" s="16">
        <v>0</v>
      </c>
      <c r="M1657" s="16">
        <v>37</v>
      </c>
      <c r="N1657" s="16">
        <v>0</v>
      </c>
      <c r="O1657" s="17"/>
      <c r="P1657" s="18">
        <v>42079.861226851848</v>
      </c>
      <c r="Q1657" s="8"/>
      <c r="R1657" s="7"/>
      <c r="S1657" s="8"/>
      <c r="T1657" s="8"/>
      <c r="U1657" s="19" t="str">
        <f>HYPERLINK("https://pbs.twimg.com/profile_images/577676450079240192/zxaYZlgA.jpg","View")</f>
        <v>View</v>
      </c>
      <c r="V1657" s="8"/>
      <c r="W1657" s="8"/>
      <c r="X1657" s="8"/>
      <c r="Y1657" s="8"/>
      <c r="Z1657" s="8"/>
    </row>
    <row r="1658" spans="1:26" ht="12.75">
      <c r="A1658" s="11">
        <v>43746.04277777778</v>
      </c>
      <c r="B1658" s="12" t="str">
        <f>HYPERLINK("https://twitter.com/GasemEl3eedy","@GasemEl3eedy")</f>
        <v>@GasemEl3eedy</v>
      </c>
      <c r="C1658" s="7" t="s">
        <v>9991</v>
      </c>
      <c r="D1658" s="13" t="s">
        <v>1802</v>
      </c>
      <c r="E1658" s="12" t="str">
        <f>HYPERLINK("https://twitter.com/GasemEl3eedy/status/1181479745193746434","1181479745193746434")</f>
        <v>1181479745193746434</v>
      </c>
      <c r="F1658" s="8"/>
      <c r="G1658" s="14" t="s">
        <v>9994</v>
      </c>
      <c r="H1658" s="8"/>
      <c r="I1658" s="15">
        <v>0</v>
      </c>
      <c r="J1658" s="15">
        <v>0</v>
      </c>
      <c r="K1658" s="12" t="str">
        <f>HYPERLINK("http://twitter.com","Twitter Web Client")</f>
        <v>Twitter Web Client</v>
      </c>
      <c r="L1658" s="16">
        <v>0</v>
      </c>
      <c r="M1658" s="16">
        <v>30</v>
      </c>
      <c r="N1658" s="16">
        <v>0</v>
      </c>
      <c r="O1658" s="17"/>
      <c r="P1658" s="18">
        <v>41827.339502314819</v>
      </c>
      <c r="Q1658" s="8"/>
      <c r="R1658" s="7"/>
      <c r="S1658" s="8"/>
      <c r="T1658" s="8"/>
      <c r="U1658" s="19" t="str">
        <f>HYPERLINK("https://pbs.twimg.com/profile_images/486165141356953600/FSvs22EC.jpeg","View")</f>
        <v>View</v>
      </c>
      <c r="V1658" s="8"/>
      <c r="W1658" s="8"/>
      <c r="X1658" s="8"/>
      <c r="Y1658" s="8"/>
      <c r="Z1658" s="8"/>
    </row>
    <row r="1659" spans="1:26" ht="12.75">
      <c r="A1659" s="11">
        <v>43746.040868055556</v>
      </c>
      <c r="B1659" s="12" t="str">
        <f>HYPERLINK("https://twitter.com/husaynsubaie1","@husaynsubaie1")</f>
        <v>@husaynsubaie1</v>
      </c>
      <c r="C1659" s="13" t="s">
        <v>10017</v>
      </c>
      <c r="D1659" s="7" t="s">
        <v>2715</v>
      </c>
      <c r="E1659" s="12" t="str">
        <f>HYPERLINK("https://twitter.com/husaynsubaie1/status/1181479051552346112","1181479051552346112")</f>
        <v>1181479051552346112</v>
      </c>
      <c r="F1659" s="8"/>
      <c r="G1659" s="14" t="s">
        <v>10018</v>
      </c>
      <c r="H1659" s="8"/>
      <c r="I1659" s="15">
        <v>0</v>
      </c>
      <c r="J1659" s="15">
        <v>0</v>
      </c>
      <c r="K1659" s="12" t="str">
        <f>HYPERLINK("http://twitter.com","Twitter Web Client")</f>
        <v>Twitter Web Client</v>
      </c>
      <c r="L1659" s="16">
        <v>0</v>
      </c>
      <c r="M1659" s="16">
        <v>32</v>
      </c>
      <c r="N1659" s="16">
        <v>0</v>
      </c>
      <c r="O1659" s="17"/>
      <c r="P1659" s="18">
        <v>42066.762870370367</v>
      </c>
      <c r="Q1659" s="8"/>
      <c r="R1659" s="8"/>
      <c r="S1659" s="8"/>
      <c r="T1659" s="8"/>
      <c r="U1659" s="19" t="str">
        <f>HYPERLINK("https://pbs.twimg.com/profile_images/572947476366127104/7PZflGXY.jpeg","View")</f>
        <v>View</v>
      </c>
      <c r="V1659" s="8"/>
      <c r="W1659" s="8"/>
      <c r="X1659" s="8"/>
      <c r="Y1659" s="8"/>
      <c r="Z1659" s="8"/>
    </row>
    <row r="1660" spans="1:26" ht="12.75">
      <c r="A1660" s="11">
        <v>43746.03979166667</v>
      </c>
      <c r="B1660" s="12" t="str">
        <f>HYPERLINK("https://twitter.com/alkhalejtv","@alkhalejtv")</f>
        <v>@alkhalejtv</v>
      </c>
      <c r="C1660" s="13" t="s">
        <v>10027</v>
      </c>
      <c r="D1660" s="7" t="s">
        <v>10028</v>
      </c>
      <c r="E1660" s="12" t="str">
        <f>HYPERLINK("https://twitter.com/alkhalejtv/status/1181478660127252481","1181478660127252481")</f>
        <v>1181478660127252481</v>
      </c>
      <c r="F1660" s="8"/>
      <c r="G1660" s="14" t="s">
        <v>10029</v>
      </c>
      <c r="H1660" s="8"/>
      <c r="I1660" s="15">
        <v>1</v>
      </c>
      <c r="J1660" s="15">
        <v>0</v>
      </c>
      <c r="K1660" s="12" t="str">
        <f>HYPERLINK("https://www.hootsuite.com","Hootsuite Inc.")</f>
        <v>Hootsuite Inc.</v>
      </c>
      <c r="L1660" s="16">
        <v>2999</v>
      </c>
      <c r="M1660" s="16">
        <v>101</v>
      </c>
      <c r="N1660" s="16">
        <v>15</v>
      </c>
      <c r="O1660" s="17"/>
      <c r="P1660" s="18">
        <v>41869.140949074077</v>
      </c>
      <c r="Q1660" s="8" t="s">
        <v>10033</v>
      </c>
      <c r="R1660" s="8" t="s">
        <v>10034</v>
      </c>
      <c r="S1660" s="14" t="s">
        <v>10035</v>
      </c>
      <c r="T1660" s="8"/>
      <c r="U1660" s="19" t="str">
        <f>HYPERLINK("https://pbs.twimg.com/profile_images/1097476867702034432/TQtKiw2Z.png","View")</f>
        <v>View</v>
      </c>
      <c r="V1660" s="8"/>
      <c r="W1660" s="8"/>
      <c r="X1660" s="8"/>
      <c r="Y1660" s="8"/>
      <c r="Z1660" s="8"/>
    </row>
    <row r="1661" spans="1:26" ht="12.75">
      <c r="A1661" s="11">
        <v>43746.039710648147</v>
      </c>
      <c r="B1661" s="12" t="str">
        <f>HYPERLINK("https://twitter.com/AlkhderAbdullah","@AlkhderAbdullah")</f>
        <v>@AlkhderAbdullah</v>
      </c>
      <c r="C1661" s="13" t="s">
        <v>10037</v>
      </c>
      <c r="D1661" s="7" t="s">
        <v>3410</v>
      </c>
      <c r="E1661" s="12" t="str">
        <f>HYPERLINK("https://twitter.com/AlkhderAbdullah/status/1181478634630078464","1181478634630078464")</f>
        <v>1181478634630078464</v>
      </c>
      <c r="F1661" s="8"/>
      <c r="G1661" s="14" t="s">
        <v>10040</v>
      </c>
      <c r="H1661" s="8"/>
      <c r="I1661" s="15">
        <v>0</v>
      </c>
      <c r="J1661" s="15">
        <v>0</v>
      </c>
      <c r="K1661" s="12" t="str">
        <f>HYPERLINK("http://twitter.com","Twitter Web Client")</f>
        <v>Twitter Web Client</v>
      </c>
      <c r="L1661" s="16">
        <v>8</v>
      </c>
      <c r="M1661" s="16">
        <v>43</v>
      </c>
      <c r="N1661" s="16">
        <v>0</v>
      </c>
      <c r="O1661" s="17"/>
      <c r="P1661" s="18">
        <v>42071.670902777776</v>
      </c>
      <c r="Q1661" s="8"/>
      <c r="R1661" s="8"/>
      <c r="S1661" s="8"/>
      <c r="T1661" s="8"/>
      <c r="U1661" s="19" t="str">
        <f>HYPERLINK("https://pbs.twimg.com/profile_images/574713240782950400/cUS6HOXw.jpeg","View")</f>
        <v>View</v>
      </c>
      <c r="V1661" s="8"/>
      <c r="W1661" s="8"/>
      <c r="X1661" s="8"/>
      <c r="Y1661" s="8"/>
      <c r="Z1661" s="8"/>
    </row>
    <row r="1662" spans="1:26" ht="12.75">
      <c r="A1662" s="11">
        <v>43746.039456018523</v>
      </c>
      <c r="B1662" s="12" t="str">
        <f>HYPERLINK("https://twitter.com/maithamhadi2014","@maithamhadi2014")</f>
        <v>@maithamhadi2014</v>
      </c>
      <c r="C1662" s="13" t="s">
        <v>10044</v>
      </c>
      <c r="D1662" s="7" t="s">
        <v>2732</v>
      </c>
      <c r="E1662" s="12" t="str">
        <f>HYPERLINK("https://twitter.com/maithamhadi2014/status/1181478538572161024","1181478538572161024")</f>
        <v>1181478538572161024</v>
      </c>
      <c r="F1662" s="8"/>
      <c r="G1662" s="14" t="s">
        <v>10045</v>
      </c>
      <c r="H1662" s="8"/>
      <c r="I1662" s="15">
        <v>0</v>
      </c>
      <c r="J1662" s="15">
        <v>0</v>
      </c>
      <c r="K1662" s="12" t="str">
        <f>HYPERLINK("http://twitter.com","Twitter Web Client")</f>
        <v>Twitter Web Client</v>
      </c>
      <c r="L1662" s="16">
        <v>0</v>
      </c>
      <c r="M1662" s="16">
        <v>27</v>
      </c>
      <c r="N1662" s="16">
        <v>0</v>
      </c>
      <c r="O1662" s="17"/>
      <c r="P1662" s="18">
        <v>41821.512361111112</v>
      </c>
      <c r="Q1662" s="8"/>
      <c r="R1662" s="8"/>
      <c r="S1662" s="8"/>
      <c r="T1662" s="8"/>
      <c r="U1662" s="19" t="str">
        <f>HYPERLINK("https://pbs.twimg.com/profile_images/484053483172016128/V91_r3Tg.jpeg","View")</f>
        <v>View</v>
      </c>
      <c r="V1662" s="8"/>
      <c r="W1662" s="8"/>
      <c r="X1662" s="8"/>
      <c r="Y1662" s="8"/>
      <c r="Z1662" s="8"/>
    </row>
    <row r="1663" spans="1:26" ht="12.75">
      <c r="A1663" s="11">
        <v>43746.039166666669</v>
      </c>
      <c r="B1663" s="12" t="str">
        <f>HYPERLINK("https://twitter.com/HassanElzafery","@HassanElzafery")</f>
        <v>@HassanElzafery</v>
      </c>
      <c r="C1663" s="7" t="s">
        <v>10051</v>
      </c>
      <c r="D1663" s="13" t="s">
        <v>10052</v>
      </c>
      <c r="E1663" s="12" t="str">
        <f>HYPERLINK("https://twitter.com/HassanElzafery/status/1181478437271289856","1181478437271289856")</f>
        <v>1181478437271289856</v>
      </c>
      <c r="F1663" s="8"/>
      <c r="G1663" s="14" t="s">
        <v>10053</v>
      </c>
      <c r="H1663" s="8"/>
      <c r="I1663" s="15">
        <v>0</v>
      </c>
      <c r="J1663" s="15">
        <v>0</v>
      </c>
      <c r="K1663" s="12" t="str">
        <f>HYPERLINK("http://twitter.com","Twitter Web Client")</f>
        <v>Twitter Web Client</v>
      </c>
      <c r="L1663" s="16">
        <v>1</v>
      </c>
      <c r="M1663" s="16">
        <v>33</v>
      </c>
      <c r="N1663" s="16">
        <v>0</v>
      </c>
      <c r="O1663" s="17"/>
      <c r="P1663" s="18">
        <v>41825.361226851848</v>
      </c>
      <c r="Q1663" s="15"/>
      <c r="R1663" s="7"/>
      <c r="S1663" s="8"/>
      <c r="T1663" s="8"/>
      <c r="U1663" s="19" t="str">
        <f>HYPERLINK("https://pbs.twimg.com/profile_images/485448258378952704/2JZGn-W2.jpeg","View")</f>
        <v>View</v>
      </c>
      <c r="V1663" s="8"/>
      <c r="W1663" s="8"/>
      <c r="X1663" s="8"/>
      <c r="Y1663" s="8"/>
      <c r="Z1663" s="8"/>
    </row>
    <row r="1664" spans="1:26" ht="12.75">
      <c r="A1664" s="11">
        <v>43746.037766203706</v>
      </c>
      <c r="B1664" s="12" t="str">
        <f>HYPERLINK("https://twitter.com/AlatefMahdi","@AlatefMahdi")</f>
        <v>@AlatefMahdi</v>
      </c>
      <c r="C1664" s="7" t="s">
        <v>10058</v>
      </c>
      <c r="D1664" s="13" t="s">
        <v>3427</v>
      </c>
      <c r="E1664" s="12" t="str">
        <f>HYPERLINK("https://twitter.com/AlatefMahdi/status/1181477929869598722","1181477929869598722")</f>
        <v>1181477929869598722</v>
      </c>
      <c r="F1664" s="8"/>
      <c r="G1664" s="14" t="s">
        <v>10059</v>
      </c>
      <c r="H1664" s="8"/>
      <c r="I1664" s="15">
        <v>0</v>
      </c>
      <c r="J1664" s="15">
        <v>0</v>
      </c>
      <c r="K1664" s="12" t="str">
        <f>HYPERLINK("http://twitter.com","Twitter Web Client")</f>
        <v>Twitter Web Client</v>
      </c>
      <c r="L1664" s="16">
        <v>5</v>
      </c>
      <c r="M1664" s="16">
        <v>40</v>
      </c>
      <c r="N1664" s="16">
        <v>0</v>
      </c>
      <c r="O1664" s="17"/>
      <c r="P1664" s="18">
        <v>42074.278078703705</v>
      </c>
      <c r="Q1664" s="15"/>
      <c r="R1664" s="7"/>
      <c r="S1664" s="8"/>
      <c r="T1664" s="8"/>
      <c r="U1664" s="19" t="str">
        <f>HYPERLINK("https://pbs.twimg.com/profile_images/575668143252594690/qk0NZPsl.jpeg","View")</f>
        <v>View</v>
      </c>
      <c r="V1664" s="8"/>
      <c r="W1664" s="8"/>
      <c r="X1664" s="8"/>
      <c r="Y1664" s="8"/>
      <c r="Z1664" s="8"/>
    </row>
    <row r="1665" spans="1:26" ht="12.75">
      <c r="A1665" s="11">
        <v>43746.037476851852</v>
      </c>
      <c r="B1665" s="12" t="str">
        <f>HYPERLINK("https://twitter.com/hammadaydi","@hammadaydi")</f>
        <v>@hammadaydi</v>
      </c>
      <c r="C1665" s="7" t="s">
        <v>10060</v>
      </c>
      <c r="D1665" s="13" t="s">
        <v>2757</v>
      </c>
      <c r="E1665" s="12" t="str">
        <f>HYPERLINK("https://twitter.com/hammadaydi/status/1181477822294102017","1181477822294102017")</f>
        <v>1181477822294102017</v>
      </c>
      <c r="F1665" s="8"/>
      <c r="G1665" s="14" t="s">
        <v>10061</v>
      </c>
      <c r="H1665" s="8"/>
      <c r="I1665" s="15">
        <v>0</v>
      </c>
      <c r="J1665" s="15">
        <v>0</v>
      </c>
      <c r="K1665" s="12" t="str">
        <f>HYPERLINK("http://twitter.com","Twitter Web Client")</f>
        <v>Twitter Web Client</v>
      </c>
      <c r="L1665" s="16">
        <v>5</v>
      </c>
      <c r="M1665" s="16">
        <v>25</v>
      </c>
      <c r="N1665" s="16">
        <v>0</v>
      </c>
      <c r="O1665" s="17"/>
      <c r="P1665" s="18">
        <v>42088.427824074075</v>
      </c>
      <c r="Q1665" s="15"/>
      <c r="R1665" s="7"/>
      <c r="S1665" s="8"/>
      <c r="T1665" s="8"/>
      <c r="U1665" s="19" t="str">
        <f>HYPERLINK("https://pbs.twimg.com/profile_images/580789010416558080/JrJagT1h.jpg","View")</f>
        <v>View</v>
      </c>
      <c r="V1665" s="8"/>
      <c r="W1665" s="8"/>
      <c r="X1665" s="8"/>
      <c r="Y1665" s="8"/>
      <c r="Z1665" s="8"/>
    </row>
    <row r="1666" spans="1:26" ht="12.75">
      <c r="A1666" s="11">
        <v>43746.036238425921</v>
      </c>
      <c r="B1666" s="12" t="str">
        <f>HYPERLINK("https://twitter.com/salemshammari3","@salemshammari3")</f>
        <v>@salemshammari3</v>
      </c>
      <c r="C1666" s="13" t="s">
        <v>10062</v>
      </c>
      <c r="D1666" s="7" t="s">
        <v>2788</v>
      </c>
      <c r="E1666" s="12" t="str">
        <f>HYPERLINK("https://twitter.com/salemshammari3/status/1181477373537144837","1181477373537144837")</f>
        <v>1181477373537144837</v>
      </c>
      <c r="F1666" s="8"/>
      <c r="G1666" s="14" t="s">
        <v>10063</v>
      </c>
      <c r="H1666" s="8"/>
      <c r="I1666" s="15">
        <v>0</v>
      </c>
      <c r="J1666" s="15">
        <v>0</v>
      </c>
      <c r="K1666" s="12" t="str">
        <f>HYPERLINK("http://twitter.com","Twitter Web Client")</f>
        <v>Twitter Web Client</v>
      </c>
      <c r="L1666" s="16">
        <v>1</v>
      </c>
      <c r="M1666" s="16">
        <v>36</v>
      </c>
      <c r="N1666" s="16">
        <v>0</v>
      </c>
      <c r="O1666" s="17"/>
      <c r="P1666" s="18">
        <v>42022.368726851855</v>
      </c>
      <c r="Q1666" s="8"/>
      <c r="R1666" s="8"/>
      <c r="S1666" s="8"/>
      <c r="T1666" s="8"/>
      <c r="U1666" s="20" t="s">
        <v>354</v>
      </c>
      <c r="V1666" s="8"/>
      <c r="W1666" s="8"/>
      <c r="X1666" s="8"/>
      <c r="Y1666" s="8"/>
      <c r="Z1666" s="8"/>
    </row>
    <row r="1667" spans="1:26" ht="12.75">
      <c r="A1667" s="11">
        <v>43746.036099537036</v>
      </c>
      <c r="B1667" s="12" t="str">
        <f>HYPERLINK("https://twitter.com/nawafabdulrahm9","@nawafabdulrahm9")</f>
        <v>@nawafabdulrahm9</v>
      </c>
      <c r="C1667" s="7" t="s">
        <v>10066</v>
      </c>
      <c r="D1667" s="13" t="s">
        <v>1897</v>
      </c>
      <c r="E1667" s="12" t="str">
        <f>HYPERLINK("https://twitter.com/nawafabdulrahm9/status/1181477322765094912","1181477322765094912")</f>
        <v>1181477322765094912</v>
      </c>
      <c r="F1667" s="8"/>
      <c r="G1667" s="14" t="s">
        <v>10067</v>
      </c>
      <c r="H1667" s="8"/>
      <c r="I1667" s="15">
        <v>0</v>
      </c>
      <c r="J1667" s="15">
        <v>0</v>
      </c>
      <c r="K1667" s="12" t="str">
        <f>HYPERLINK("http://twitter.com","Twitter Web Client")</f>
        <v>Twitter Web Client</v>
      </c>
      <c r="L1667" s="16">
        <v>9</v>
      </c>
      <c r="M1667" s="16">
        <v>43</v>
      </c>
      <c r="N1667" s="16">
        <v>0</v>
      </c>
      <c r="O1667" s="17"/>
      <c r="P1667" s="18">
        <v>42073.257152777776</v>
      </c>
      <c r="Q1667" s="15"/>
      <c r="R1667" s="7"/>
      <c r="S1667" s="8"/>
      <c r="T1667" s="8"/>
      <c r="U1667" s="19" t="str">
        <f>HYPERLINK("https://pbs.twimg.com/profile_images/575283023131729922/cR3ncva_.jpeg","View")</f>
        <v>View</v>
      </c>
      <c r="V1667" s="8"/>
      <c r="W1667" s="8"/>
      <c r="X1667" s="8"/>
      <c r="Y1667" s="8"/>
      <c r="Z1667" s="8"/>
    </row>
    <row r="1668" spans="1:26" ht="12.75">
      <c r="A1668" s="11">
        <v>43746.035856481481</v>
      </c>
      <c r="B1668" s="12" t="str">
        <f>HYPERLINK("https://twitter.com/el_saadeh","@el_saadeh")</f>
        <v>@el_saadeh</v>
      </c>
      <c r="C1668" s="7" t="s">
        <v>10070</v>
      </c>
      <c r="D1668" s="13" t="s">
        <v>907</v>
      </c>
      <c r="E1668" s="12" t="str">
        <f>HYPERLINK("https://twitter.com/el_saadeh/status/1181477234764238848","1181477234764238848")</f>
        <v>1181477234764238848</v>
      </c>
      <c r="F1668" s="8"/>
      <c r="G1668" s="14" t="s">
        <v>10073</v>
      </c>
      <c r="H1668" s="8"/>
      <c r="I1668" s="15">
        <v>0</v>
      </c>
      <c r="J1668" s="15">
        <v>0</v>
      </c>
      <c r="K1668" s="12" t="str">
        <f>HYPERLINK("https://mobile.twitter.com","Twitter Web App")</f>
        <v>Twitter Web App</v>
      </c>
      <c r="L1668" s="16">
        <v>0</v>
      </c>
      <c r="M1668" s="16">
        <v>1</v>
      </c>
      <c r="N1668" s="16">
        <v>0</v>
      </c>
      <c r="O1668" s="17"/>
      <c r="P1668" s="18">
        <v>43739.962951388894</v>
      </c>
      <c r="Q1668" s="15" t="s">
        <v>1454</v>
      </c>
      <c r="R1668" s="7" t="s">
        <v>10076</v>
      </c>
      <c r="S1668" s="8"/>
      <c r="T1668" s="8"/>
      <c r="U1668" s="19" t="str">
        <f>HYPERLINK("https://pbs.twimg.com/profile_images/1180795667913961472/IoGVtalU.jpg","View")</f>
        <v>View</v>
      </c>
      <c r="V1668" s="8"/>
      <c r="W1668" s="8"/>
      <c r="X1668" s="8"/>
      <c r="Y1668" s="8"/>
      <c r="Z1668" s="8"/>
    </row>
    <row r="1669" spans="1:26" ht="12.75">
      <c r="A1669" s="11">
        <v>43746.034421296295</v>
      </c>
      <c r="B1669" s="12" t="str">
        <f>HYPERLINK("https://twitter.com/mohamedkhathaa1","@mohamedkhathaa1")</f>
        <v>@mohamedkhathaa1</v>
      </c>
      <c r="C1669" s="7" t="s">
        <v>10078</v>
      </c>
      <c r="D1669" s="13" t="s">
        <v>3444</v>
      </c>
      <c r="E1669" s="12" t="str">
        <f>HYPERLINK("https://twitter.com/mohamedkhathaa1/status/1181476715404632066","1181476715404632066")</f>
        <v>1181476715404632066</v>
      </c>
      <c r="F1669" s="8"/>
      <c r="G1669" s="14" t="s">
        <v>10080</v>
      </c>
      <c r="H1669" s="8"/>
      <c r="I1669" s="15">
        <v>0</v>
      </c>
      <c r="J1669" s="15">
        <v>0</v>
      </c>
      <c r="K1669" s="12" t="str">
        <f>HYPERLINK("http://twitter.com","Twitter Web Client")</f>
        <v>Twitter Web Client</v>
      </c>
      <c r="L1669" s="16">
        <v>8</v>
      </c>
      <c r="M1669" s="16">
        <v>36</v>
      </c>
      <c r="N1669" s="16">
        <v>0</v>
      </c>
      <c r="O1669" s="17"/>
      <c r="P1669" s="18">
        <v>42068.141331018516</v>
      </c>
      <c r="Q1669" s="8"/>
      <c r="R1669" s="7"/>
      <c r="S1669" s="8"/>
      <c r="T1669" s="8"/>
      <c r="U1669" s="19" t="str">
        <f>HYPERLINK("https://pbs.twimg.com/profile_images/573443953254506497/6MFa6IhK.jpeg","View")</f>
        <v>View</v>
      </c>
      <c r="V1669" s="8"/>
      <c r="W1669" s="8"/>
      <c r="X1669" s="8"/>
      <c r="Y1669" s="8"/>
      <c r="Z1669" s="8"/>
    </row>
    <row r="1670" spans="1:26" ht="12.75">
      <c r="A1670" s="11">
        <v>43746.032905092594</v>
      </c>
      <c r="B1670" s="12" t="str">
        <f>HYPERLINK("https://twitter.com/DhimiShaya","@DhimiShaya")</f>
        <v>@DhimiShaya</v>
      </c>
      <c r="C1670" s="7" t="s">
        <v>10086</v>
      </c>
      <c r="D1670" s="13" t="s">
        <v>1955</v>
      </c>
      <c r="E1670" s="12" t="str">
        <f>HYPERLINK("https://twitter.com/DhimiShaya/status/1181476165627854848","1181476165627854848")</f>
        <v>1181476165627854848</v>
      </c>
      <c r="F1670" s="8"/>
      <c r="G1670" s="14" t="s">
        <v>10087</v>
      </c>
      <c r="H1670" s="8"/>
      <c r="I1670" s="15">
        <v>0</v>
      </c>
      <c r="J1670" s="15">
        <v>0</v>
      </c>
      <c r="K1670" s="12" t="str">
        <f>HYPERLINK("http://twitter.com","Twitter Web Client")</f>
        <v>Twitter Web Client</v>
      </c>
      <c r="L1670" s="16">
        <v>0</v>
      </c>
      <c r="M1670" s="16">
        <v>26</v>
      </c>
      <c r="N1670" s="16">
        <v>0</v>
      </c>
      <c r="O1670" s="17"/>
      <c r="P1670" s="18">
        <v>42069.394317129627</v>
      </c>
      <c r="Q1670" s="8"/>
      <c r="R1670" s="7"/>
      <c r="S1670" s="8"/>
      <c r="T1670" s="8"/>
      <c r="U1670" s="19" t="str">
        <f>HYPERLINK("https://pbs.twimg.com/profile_images/573901639473475584/oXINd2aV.jpeg","View")</f>
        <v>View</v>
      </c>
      <c r="V1670" s="8"/>
      <c r="W1670" s="8"/>
      <c r="X1670" s="8"/>
      <c r="Y1670" s="8"/>
      <c r="Z1670" s="8"/>
    </row>
    <row r="1671" spans="1:26" ht="12.75">
      <c r="A1671" s="11">
        <v>43746.032187500001</v>
      </c>
      <c r="B1671" s="12" t="str">
        <f>HYPERLINK("https://twitter.com/33eed24123","@33eed24123")</f>
        <v>@33eed24123</v>
      </c>
      <c r="C1671" s="13" t="s">
        <v>10093</v>
      </c>
      <c r="D1671" s="7" t="s">
        <v>1967</v>
      </c>
      <c r="E1671" s="12" t="str">
        <f>HYPERLINK("https://twitter.com/33eed24123/status/1181475907460108288","1181475907460108288")</f>
        <v>1181475907460108288</v>
      </c>
      <c r="F1671" s="8"/>
      <c r="G1671" s="14" t="s">
        <v>10094</v>
      </c>
      <c r="H1671" s="8"/>
      <c r="I1671" s="15">
        <v>0</v>
      </c>
      <c r="J1671" s="15">
        <v>0</v>
      </c>
      <c r="K1671" s="12" t="str">
        <f>HYPERLINK("http://twitter.com","Twitter Web Client")</f>
        <v>Twitter Web Client</v>
      </c>
      <c r="L1671" s="16">
        <v>10</v>
      </c>
      <c r="M1671" s="16">
        <v>39</v>
      </c>
      <c r="N1671" s="16">
        <v>0</v>
      </c>
      <c r="O1671" s="17"/>
      <c r="P1671" s="18">
        <v>42077.224652777775</v>
      </c>
      <c r="Q1671" s="8"/>
      <c r="R1671" s="8"/>
      <c r="S1671" s="8"/>
      <c r="T1671" s="8"/>
      <c r="U1671" s="19" t="str">
        <f>HYPERLINK("https://pbs.twimg.com/profile_images/576720489952845824/Jby03YJ6.jpeg","View")</f>
        <v>View</v>
      </c>
      <c r="V1671" s="8"/>
      <c r="W1671" s="8"/>
      <c r="X1671" s="8"/>
      <c r="Y1671" s="8"/>
      <c r="Z1671" s="8"/>
    </row>
    <row r="1672" spans="1:26" ht="12.75">
      <c r="A1672" s="11">
        <v>43746.029699074075</v>
      </c>
      <c r="B1672" s="12" t="str">
        <f>HYPERLINK("https://twitter.com/abduhmosbahi","@abduhmosbahi")</f>
        <v>@abduhmosbahi</v>
      </c>
      <c r="C1672" s="13" t="s">
        <v>10099</v>
      </c>
      <c r="D1672" s="7" t="s">
        <v>10100</v>
      </c>
      <c r="E1672" s="12" t="str">
        <f>HYPERLINK("https://twitter.com/abduhmosbahi/status/1181475004879388672","1181475004879388672")</f>
        <v>1181475004879388672</v>
      </c>
      <c r="F1672" s="8"/>
      <c r="G1672" s="15"/>
      <c r="H1672" s="8"/>
      <c r="I1672" s="15">
        <v>0</v>
      </c>
      <c r="J1672" s="15">
        <v>0</v>
      </c>
      <c r="K1672" s="12" t="str">
        <f>HYPERLINK("http://twitter.com/download/android","Twitter for Android")</f>
        <v>Twitter for Android</v>
      </c>
      <c r="L1672" s="16">
        <v>437</v>
      </c>
      <c r="M1672" s="16">
        <v>681</v>
      </c>
      <c r="N1672" s="16">
        <v>2</v>
      </c>
      <c r="O1672" s="17"/>
      <c r="P1672" s="18">
        <v>41042.315532407403</v>
      </c>
      <c r="Q1672" s="8"/>
      <c r="R1672" s="8"/>
      <c r="S1672" s="8"/>
      <c r="T1672" s="8"/>
      <c r="U1672" s="19" t="str">
        <f>HYPERLINK("https://pbs.twimg.com/profile_images/1175113515297890306/FpAn7E5v.jpg","View")</f>
        <v>View</v>
      </c>
      <c r="V1672" s="8"/>
      <c r="W1672" s="8"/>
      <c r="X1672" s="8"/>
      <c r="Y1672" s="8"/>
      <c r="Z1672" s="8"/>
    </row>
    <row r="1673" spans="1:26" ht="12.75">
      <c r="A1673" s="11">
        <v>43746.029016203705</v>
      </c>
      <c r="B1673" s="12" t="str">
        <f>HYPERLINK("https://twitter.com/awadshamlani","@awadshamlani")</f>
        <v>@awadshamlani</v>
      </c>
      <c r="C1673" s="13" t="s">
        <v>10104</v>
      </c>
      <c r="D1673" s="7" t="s">
        <v>2861</v>
      </c>
      <c r="E1673" s="12" t="str">
        <f>HYPERLINK("https://twitter.com/awadshamlani/status/1181474758262738944","1181474758262738944")</f>
        <v>1181474758262738944</v>
      </c>
      <c r="F1673" s="8"/>
      <c r="G1673" s="14" t="s">
        <v>10105</v>
      </c>
      <c r="H1673" s="8"/>
      <c r="I1673" s="15">
        <v>0</v>
      </c>
      <c r="J1673" s="15">
        <v>0</v>
      </c>
      <c r="K1673" s="12" t="str">
        <f>HYPERLINK("http://twitter.com","Twitter Web Client")</f>
        <v>Twitter Web Client</v>
      </c>
      <c r="L1673" s="16">
        <v>0</v>
      </c>
      <c r="M1673" s="16">
        <v>43</v>
      </c>
      <c r="N1673" s="16">
        <v>0</v>
      </c>
      <c r="O1673" s="17"/>
      <c r="P1673" s="18">
        <v>42073.205763888887</v>
      </c>
      <c r="Q1673" s="8"/>
      <c r="R1673" s="8"/>
      <c r="S1673" s="8"/>
      <c r="T1673" s="8"/>
      <c r="U1673" s="19" t="str">
        <f>HYPERLINK("https://pbs.twimg.com/profile_images/575264751363624960/9HtmgXQR.jpeg","View")</f>
        <v>View</v>
      </c>
      <c r="V1673" s="8"/>
      <c r="W1673" s="8"/>
      <c r="X1673" s="8"/>
      <c r="Y1673" s="8"/>
      <c r="Z1673" s="8"/>
    </row>
    <row r="1674" spans="1:26" ht="12.75">
      <c r="A1674" s="11">
        <v>43746.028182870374</v>
      </c>
      <c r="B1674" s="12" t="str">
        <f>HYPERLINK("https://twitter.com/alyan_mansore","@alyan_mansore")</f>
        <v>@alyan_mansore</v>
      </c>
      <c r="C1674" s="7" t="s">
        <v>10110</v>
      </c>
      <c r="D1674" s="13" t="s">
        <v>2010</v>
      </c>
      <c r="E1674" s="12" t="str">
        <f>HYPERLINK("https://twitter.com/alyan_mansore/status/1181474457229103104","1181474457229103104")</f>
        <v>1181474457229103104</v>
      </c>
      <c r="F1674" s="8"/>
      <c r="G1674" s="14" t="s">
        <v>10111</v>
      </c>
      <c r="H1674" s="8"/>
      <c r="I1674" s="15">
        <v>0</v>
      </c>
      <c r="J1674" s="15">
        <v>0</v>
      </c>
      <c r="K1674" s="12" t="str">
        <f>HYPERLINK("http://twitter.com","Twitter Web Client")</f>
        <v>Twitter Web Client</v>
      </c>
      <c r="L1674" s="16">
        <v>0</v>
      </c>
      <c r="M1674" s="16">
        <v>31</v>
      </c>
      <c r="N1674" s="16">
        <v>0</v>
      </c>
      <c r="O1674" s="17"/>
      <c r="P1674" s="18">
        <v>41845.315810185188</v>
      </c>
      <c r="Q1674" s="8"/>
      <c r="R1674" s="7"/>
      <c r="S1674" s="8"/>
      <c r="T1674" s="8"/>
      <c r="U1674" s="19" t="str">
        <f>HYPERLINK("https://pbs.twimg.com/profile_images/492679473536323584/ie5dPY2R.jpeg","View")</f>
        <v>View</v>
      </c>
      <c r="V1674" s="8"/>
      <c r="W1674" s="8"/>
      <c r="X1674" s="8"/>
      <c r="Y1674" s="8"/>
      <c r="Z1674" s="8"/>
    </row>
    <row r="1675" spans="1:26" ht="12.75">
      <c r="A1675" s="11">
        <v>43746.027499999997</v>
      </c>
      <c r="B1675" s="12" t="str">
        <f>HYPERLINK("https://twitter.com/solyman8544","@solyman8544")</f>
        <v>@solyman8544</v>
      </c>
      <c r="C1675" s="7" t="s">
        <v>10117</v>
      </c>
      <c r="D1675" s="13" t="s">
        <v>2029</v>
      </c>
      <c r="E1675" s="12" t="str">
        <f>HYPERLINK("https://twitter.com/solyman8544/status/1181474207277957120","1181474207277957120")</f>
        <v>1181474207277957120</v>
      </c>
      <c r="F1675" s="8"/>
      <c r="G1675" s="14" t="s">
        <v>10119</v>
      </c>
      <c r="H1675" s="8"/>
      <c r="I1675" s="15">
        <v>0</v>
      </c>
      <c r="J1675" s="15">
        <v>0</v>
      </c>
      <c r="K1675" s="12" t="str">
        <f>HYPERLINK("http://twitter.com","Twitter Web Client")</f>
        <v>Twitter Web Client</v>
      </c>
      <c r="L1675" s="16">
        <v>7</v>
      </c>
      <c r="M1675" s="16">
        <v>43</v>
      </c>
      <c r="N1675" s="16">
        <v>0</v>
      </c>
      <c r="O1675" s="17"/>
      <c r="P1675" s="18">
        <v>42071.712048611109</v>
      </c>
      <c r="Q1675" s="8"/>
      <c r="R1675" s="7"/>
      <c r="S1675" s="8"/>
      <c r="T1675" s="8"/>
      <c r="U1675" s="19" t="str">
        <f>HYPERLINK("https://pbs.twimg.com/profile_images/574722813854007296/wr9MyGMD.jpeg","View")</f>
        <v>View</v>
      </c>
      <c r="V1675" s="8"/>
      <c r="W1675" s="8"/>
      <c r="X1675" s="8"/>
      <c r="Y1675" s="8"/>
      <c r="Z1675" s="8"/>
    </row>
    <row r="1676" spans="1:26" ht="12.75">
      <c r="A1676" s="11">
        <v>43746.026689814811</v>
      </c>
      <c r="B1676" s="12" t="str">
        <f>HYPERLINK("https://twitter.com/SalehalCool","@SalehalCool")</f>
        <v>@SalehalCool</v>
      </c>
      <c r="C1676" s="7" t="s">
        <v>10123</v>
      </c>
      <c r="D1676" s="7" t="s">
        <v>10124</v>
      </c>
      <c r="E1676" s="12" t="str">
        <f>HYPERLINK("https://twitter.com/SalehalCool/status/1181473912493953024","1181473912493953024")</f>
        <v>1181473912493953024</v>
      </c>
      <c r="F1676" s="8"/>
      <c r="G1676" s="14" t="s">
        <v>10125</v>
      </c>
      <c r="H1676" s="8"/>
      <c r="I1676" s="15">
        <v>0</v>
      </c>
      <c r="J1676" s="15">
        <v>0</v>
      </c>
      <c r="K1676" s="12" t="str">
        <f>HYPERLINK("http://twitter.com","Twitter Web Client")</f>
        <v>Twitter Web Client</v>
      </c>
      <c r="L1676" s="16">
        <v>0</v>
      </c>
      <c r="M1676" s="16">
        <v>5</v>
      </c>
      <c r="N1676" s="16">
        <v>0</v>
      </c>
      <c r="O1676" s="17"/>
      <c r="P1676" s="18">
        <v>41825.162557870368</v>
      </c>
      <c r="Q1676" s="7"/>
      <c r="R1676" s="8"/>
      <c r="S1676" s="8"/>
      <c r="T1676" s="8"/>
      <c r="U1676" s="19" t="str">
        <f>HYPERLINK("https://pbs.twimg.com/profile_images/485376880434884608/6-r-znQL.jpeg","View")</f>
        <v>View</v>
      </c>
      <c r="V1676" s="8"/>
      <c r="W1676" s="8"/>
      <c r="X1676" s="8"/>
      <c r="Y1676" s="8"/>
      <c r="Z1676" s="8"/>
    </row>
    <row r="1677" spans="1:26" ht="12.75">
      <c r="A1677" s="11">
        <v>43746.025254629625</v>
      </c>
      <c r="B1677" s="12" t="str">
        <f>HYPERLINK("https://twitter.com/ghalibharbi1","@ghalibharbi1")</f>
        <v>@ghalibharbi1</v>
      </c>
      <c r="C1677" s="13" t="s">
        <v>10133</v>
      </c>
      <c r="D1677" s="13" t="s">
        <v>3535</v>
      </c>
      <c r="E1677" s="12" t="str">
        <f>HYPERLINK("https://twitter.com/ghalibharbi1/status/1181473395810144257","1181473395810144257")</f>
        <v>1181473395810144257</v>
      </c>
      <c r="F1677" s="8"/>
      <c r="G1677" s="14" t="s">
        <v>10134</v>
      </c>
      <c r="H1677" s="8"/>
      <c r="I1677" s="15">
        <v>0</v>
      </c>
      <c r="J1677" s="15">
        <v>0</v>
      </c>
      <c r="K1677" s="12" t="str">
        <f>HYPERLINK("http://twitter.com","Twitter Web Client")</f>
        <v>Twitter Web Client</v>
      </c>
      <c r="L1677" s="16">
        <v>2</v>
      </c>
      <c r="M1677" s="16">
        <v>35</v>
      </c>
      <c r="N1677" s="16">
        <v>0</v>
      </c>
      <c r="O1677" s="17"/>
      <c r="P1677" s="18">
        <v>42069.541747685187</v>
      </c>
      <c r="Q1677" s="13"/>
      <c r="R1677" s="13"/>
      <c r="S1677" s="8"/>
      <c r="T1677" s="8"/>
      <c r="U1677" s="19" t="str">
        <f>HYPERLINK("https://pbs.twimg.com/profile_images/573955848189296640/dXsHhB3v.jpeg","View")</f>
        <v>View</v>
      </c>
      <c r="V1677" s="8"/>
      <c r="W1677" s="8"/>
      <c r="X1677" s="8"/>
      <c r="Y1677" s="8"/>
      <c r="Z1677" s="8"/>
    </row>
    <row r="1678" spans="1:26" ht="12.75">
      <c r="A1678" s="11">
        <v>43746.025138888886</v>
      </c>
      <c r="B1678" s="12" t="str">
        <f>HYPERLINK("https://twitter.com/AwanHamood","@AwanHamood")</f>
        <v>@AwanHamood</v>
      </c>
      <c r="C1678" s="7" t="s">
        <v>10138</v>
      </c>
      <c r="D1678" s="7" t="s">
        <v>1178</v>
      </c>
      <c r="E1678" s="12" t="str">
        <f>HYPERLINK("https://twitter.com/AwanHamood/status/1181473352193433600","1181473352193433600")</f>
        <v>1181473352193433600</v>
      </c>
      <c r="F1678" s="8"/>
      <c r="G1678" s="14" t="s">
        <v>10140</v>
      </c>
      <c r="H1678" s="8"/>
      <c r="I1678" s="15">
        <v>0</v>
      </c>
      <c r="J1678" s="15">
        <v>0</v>
      </c>
      <c r="K1678" s="12" t="str">
        <f>HYPERLINK("https://mobile.twitter.com","Twitter Web App")</f>
        <v>Twitter Web App</v>
      </c>
      <c r="L1678" s="16">
        <v>0</v>
      </c>
      <c r="M1678" s="16">
        <v>1</v>
      </c>
      <c r="N1678" s="16">
        <v>0</v>
      </c>
      <c r="O1678" s="17"/>
      <c r="P1678" s="18">
        <v>43741.081770833334</v>
      </c>
      <c r="Q1678" s="7" t="s">
        <v>1835</v>
      </c>
      <c r="R1678" s="7" t="s">
        <v>1977</v>
      </c>
      <c r="S1678" s="8"/>
      <c r="T1678" s="8"/>
      <c r="U1678" s="19" t="str">
        <f>HYPERLINK("https://pbs.twimg.com/profile_images/1180781948467236866/wVLtoOwl.jpg","View")</f>
        <v>View</v>
      </c>
      <c r="V1678" s="8"/>
      <c r="W1678" s="8"/>
      <c r="X1678" s="8"/>
      <c r="Y1678" s="8"/>
      <c r="Z1678" s="8"/>
    </row>
    <row r="1679" spans="1:26" ht="12.75">
      <c r="A1679" s="11">
        <v>43746.024571759262</v>
      </c>
      <c r="B1679" s="12" t="str">
        <f>HYPERLINK("https://twitter.com/thamerwalks1","@thamerwalks1")</f>
        <v>@thamerwalks1</v>
      </c>
      <c r="C1679" s="7" t="s">
        <v>10143</v>
      </c>
      <c r="D1679" s="13" t="s">
        <v>3548</v>
      </c>
      <c r="E1679" s="12" t="str">
        <f>HYPERLINK("https://twitter.com/thamerwalks1/status/1181473148581158912","1181473148581158912")</f>
        <v>1181473148581158912</v>
      </c>
      <c r="F1679" s="8"/>
      <c r="G1679" s="14" t="s">
        <v>10144</v>
      </c>
      <c r="H1679" s="8"/>
      <c r="I1679" s="15">
        <v>0</v>
      </c>
      <c r="J1679" s="15">
        <v>0</v>
      </c>
      <c r="K1679" s="12" t="str">
        <f>HYPERLINK("http://twitter.com","Twitter Web Client")</f>
        <v>Twitter Web Client</v>
      </c>
      <c r="L1679" s="16">
        <v>2</v>
      </c>
      <c r="M1679" s="16">
        <v>37</v>
      </c>
      <c r="N1679" s="16">
        <v>0</v>
      </c>
      <c r="O1679" s="17"/>
      <c r="P1679" s="18">
        <v>42079.37881944445</v>
      </c>
      <c r="Q1679" s="13"/>
      <c r="R1679" s="13"/>
      <c r="S1679" s="8"/>
      <c r="T1679" s="8"/>
      <c r="U1679" s="19" t="str">
        <f>HYPERLINK("https://pbs.twimg.com/profile_images/577501168827441155/uK22c41q.jpeg","View")</f>
        <v>View</v>
      </c>
      <c r="V1679" s="8"/>
      <c r="W1679" s="8"/>
      <c r="X1679" s="8"/>
      <c r="Y1679" s="8"/>
      <c r="Z1679" s="8"/>
    </row>
    <row r="1680" spans="1:26" ht="12.75">
      <c r="A1680" s="11">
        <v>43746.023460648154</v>
      </c>
      <c r="B1680" s="12" t="str">
        <f>HYPERLINK("https://twitter.com/sa3eedd44","@sa3eedd44")</f>
        <v>@sa3eedd44</v>
      </c>
      <c r="C1680" s="13" t="s">
        <v>4850</v>
      </c>
      <c r="D1680" s="7" t="s">
        <v>10146</v>
      </c>
      <c r="E1680" s="12" t="str">
        <f>HYPERLINK("https://twitter.com/sa3eedd44/status/1181472742488580096","1181472742488580096")</f>
        <v>1181472742488580096</v>
      </c>
      <c r="F1680" s="8"/>
      <c r="G1680" s="14" t="s">
        <v>10149</v>
      </c>
      <c r="H1680" s="8"/>
      <c r="I1680" s="15">
        <v>0</v>
      </c>
      <c r="J1680" s="15">
        <v>0</v>
      </c>
      <c r="K1680" s="12" t="str">
        <f>HYPERLINK("http://twitter.com","Twitter Web Client")</f>
        <v>Twitter Web Client</v>
      </c>
      <c r="L1680" s="16">
        <v>10</v>
      </c>
      <c r="M1680" s="16">
        <v>47</v>
      </c>
      <c r="N1680" s="16">
        <v>0</v>
      </c>
      <c r="O1680" s="17"/>
      <c r="P1680" s="18">
        <v>42073.672314814816</v>
      </c>
      <c r="Q1680" s="7"/>
      <c r="R1680" s="13"/>
      <c r="S1680" s="8"/>
      <c r="T1680" s="8"/>
      <c r="U1680" s="19" t="str">
        <f>HYPERLINK("https://pbs.twimg.com/profile_images/575433144381259776/sejDO6PG.jpeg","View")</f>
        <v>View</v>
      </c>
      <c r="V1680" s="8"/>
      <c r="W1680" s="8"/>
      <c r="X1680" s="8"/>
      <c r="Y1680" s="8"/>
      <c r="Z1680" s="8"/>
    </row>
    <row r="1681" spans="1:26" ht="12.75">
      <c r="A1681" s="11">
        <v>43746.02243055556</v>
      </c>
      <c r="B1681" s="12" t="str">
        <f>HYPERLINK("https://twitter.com/mohammedsirs1","@mohammedsirs1")</f>
        <v>@mohammedsirs1</v>
      </c>
      <c r="C1681" s="13" t="s">
        <v>10154</v>
      </c>
      <c r="D1681" s="7" t="s">
        <v>2929</v>
      </c>
      <c r="E1681" s="12" t="str">
        <f>HYPERLINK("https://twitter.com/mohammedsirs1/status/1181472372471271425","1181472372471271425")</f>
        <v>1181472372471271425</v>
      </c>
      <c r="F1681" s="8"/>
      <c r="G1681" s="14" t="s">
        <v>10155</v>
      </c>
      <c r="H1681" s="8"/>
      <c r="I1681" s="15">
        <v>0</v>
      </c>
      <c r="J1681" s="15">
        <v>0</v>
      </c>
      <c r="K1681" s="12" t="str">
        <f>HYPERLINK("http://twitter.com","Twitter Web Client")</f>
        <v>Twitter Web Client</v>
      </c>
      <c r="L1681" s="16">
        <v>1</v>
      </c>
      <c r="M1681" s="16">
        <v>36</v>
      </c>
      <c r="N1681" s="16">
        <v>0</v>
      </c>
      <c r="O1681" s="17"/>
      <c r="P1681" s="18">
        <v>42026.52648148148</v>
      </c>
      <c r="Q1681" s="7"/>
      <c r="R1681" s="13"/>
      <c r="S1681" s="8"/>
      <c r="T1681" s="8"/>
      <c r="U1681" s="19" t="str">
        <f>HYPERLINK("https://pbs.twimg.com/profile_images/558370516528934912/CXIjpdbK.jpeg","View")</f>
        <v>View</v>
      </c>
      <c r="V1681" s="8"/>
      <c r="W1681" s="8"/>
      <c r="X1681" s="8"/>
      <c r="Y1681" s="8"/>
      <c r="Z1681" s="8"/>
    </row>
    <row r="1682" spans="1:26" ht="12.75">
      <c r="A1682" s="11">
        <v>43746.022291666668</v>
      </c>
      <c r="B1682" s="12" t="str">
        <f>HYPERLINK("https://twitter.com/obaidmajidobai1","@obaidmajidobai1")</f>
        <v>@obaidmajidobai1</v>
      </c>
      <c r="C1682" s="13" t="s">
        <v>10159</v>
      </c>
      <c r="D1682" s="7" t="s">
        <v>2071</v>
      </c>
      <c r="E1682" s="12" t="str">
        <f>HYPERLINK("https://twitter.com/obaidmajidobai1/status/1181472321997029378","1181472321997029378")</f>
        <v>1181472321997029378</v>
      </c>
      <c r="F1682" s="8"/>
      <c r="G1682" s="14" t="s">
        <v>10160</v>
      </c>
      <c r="H1682" s="8"/>
      <c r="I1682" s="15">
        <v>0</v>
      </c>
      <c r="J1682" s="15">
        <v>0</v>
      </c>
      <c r="K1682" s="12" t="str">
        <f>HYPERLINK("http://twitter.com","Twitter Web Client")</f>
        <v>Twitter Web Client</v>
      </c>
      <c r="L1682" s="16">
        <v>0</v>
      </c>
      <c r="M1682" s="16">
        <v>39</v>
      </c>
      <c r="N1682" s="16">
        <v>0</v>
      </c>
      <c r="O1682" s="17"/>
      <c r="P1682" s="18">
        <v>42089.503611111111</v>
      </c>
      <c r="Q1682" s="7"/>
      <c r="R1682" s="13"/>
      <c r="S1682" s="8"/>
      <c r="T1682" s="8"/>
      <c r="U1682" s="19" t="str">
        <f>HYPERLINK("https://pbs.twimg.com/profile_images/581170700792135680/YwlHQ5ba.jpg","View")</f>
        <v>View</v>
      </c>
      <c r="V1682" s="8"/>
      <c r="W1682" s="8"/>
      <c r="X1682" s="8"/>
      <c r="Y1682" s="8"/>
      <c r="Z1682" s="8"/>
    </row>
    <row r="1683" spans="1:26" ht="12.75">
      <c r="A1683" s="11">
        <v>43746.021990740745</v>
      </c>
      <c r="B1683" s="12" t="str">
        <f>HYPERLINK("https://twitter.com/DeborahBirche","@DeborahBirche")</f>
        <v>@DeborahBirche</v>
      </c>
      <c r="C1683" s="13" t="s">
        <v>10163</v>
      </c>
      <c r="D1683" s="7" t="s">
        <v>10165</v>
      </c>
      <c r="E1683" s="12" t="str">
        <f>HYPERLINK("https://twitter.com/DeborahBirche/status/1181472212844519427","1181472212844519427")</f>
        <v>1181472212844519427</v>
      </c>
      <c r="F1683" s="14" t="s">
        <v>10166</v>
      </c>
      <c r="G1683" s="15"/>
      <c r="H1683" s="8"/>
      <c r="I1683" s="15">
        <v>0</v>
      </c>
      <c r="J1683" s="15">
        <v>0</v>
      </c>
      <c r="K1683" s="12" t="str">
        <f>HYPERLINK("http://twitter.com/download/android","Twitter for Android")</f>
        <v>Twitter for Android</v>
      </c>
      <c r="L1683" s="16">
        <v>14</v>
      </c>
      <c r="M1683" s="16">
        <v>43</v>
      </c>
      <c r="N1683" s="16">
        <v>0</v>
      </c>
      <c r="O1683" s="17"/>
      <c r="P1683" s="18">
        <v>43257.229039351849</v>
      </c>
      <c r="Q1683" s="7" t="s">
        <v>6115</v>
      </c>
      <c r="R1683" s="13"/>
      <c r="S1683" s="8"/>
      <c r="T1683" s="8"/>
      <c r="U1683" s="19" t="str">
        <f>HYPERLINK("https://pbs.twimg.com/profile_images/1129037531369136129/wj5INOqb.jpg","View")</f>
        <v>View</v>
      </c>
      <c r="V1683" s="8"/>
      <c r="W1683" s="8"/>
      <c r="X1683" s="8"/>
      <c r="Y1683" s="8"/>
      <c r="Z1683" s="8"/>
    </row>
    <row r="1684" spans="1:26" ht="12.75">
      <c r="A1684" s="11">
        <v>43746.021608796298</v>
      </c>
      <c r="B1684" s="12" t="str">
        <f>HYPERLINK("https://twitter.com/mohammedhaltani","@mohammedhaltani")</f>
        <v>@mohammedhaltani</v>
      </c>
      <c r="C1684" s="13" t="s">
        <v>10171</v>
      </c>
      <c r="D1684" s="7" t="s">
        <v>2078</v>
      </c>
      <c r="E1684" s="12" t="str">
        <f>HYPERLINK("https://twitter.com/mohammedhaltani/status/1181472073790709760","1181472073790709760")</f>
        <v>1181472073790709760</v>
      </c>
      <c r="F1684" s="8"/>
      <c r="G1684" s="14" t="s">
        <v>10172</v>
      </c>
      <c r="H1684" s="8"/>
      <c r="I1684" s="15">
        <v>0</v>
      </c>
      <c r="J1684" s="15">
        <v>0</v>
      </c>
      <c r="K1684" s="12" t="str">
        <f>HYPERLINK("http://twitter.com","Twitter Web Client")</f>
        <v>Twitter Web Client</v>
      </c>
      <c r="L1684" s="16">
        <v>2</v>
      </c>
      <c r="M1684" s="16">
        <v>36</v>
      </c>
      <c r="N1684" s="16">
        <v>0</v>
      </c>
      <c r="O1684" s="17"/>
      <c r="P1684" s="18">
        <v>42068.055347222224</v>
      </c>
      <c r="Q1684" s="7"/>
      <c r="R1684" s="13"/>
      <c r="S1684" s="8"/>
      <c r="T1684" s="8"/>
      <c r="U1684" s="19" t="str">
        <f>HYPERLINK("https://pbs.twimg.com/profile_images/573412800116088832/88ucIzpK.jpeg","View")</f>
        <v>View</v>
      </c>
      <c r="V1684" s="8"/>
      <c r="W1684" s="8"/>
      <c r="X1684" s="8"/>
      <c r="Y1684" s="8"/>
      <c r="Z1684" s="8"/>
    </row>
    <row r="1685" spans="1:26" ht="12.75">
      <c r="A1685" s="11">
        <v>43746.020983796298</v>
      </c>
      <c r="B1685" s="12" t="str">
        <f>HYPERLINK("https://twitter.com/BaaqirYassin","@BaaqirYassin")</f>
        <v>@BaaqirYassin</v>
      </c>
      <c r="C1685" s="13" t="s">
        <v>10177</v>
      </c>
      <c r="D1685" s="13" t="s">
        <v>907</v>
      </c>
      <c r="E1685" s="12" t="str">
        <f>HYPERLINK("https://twitter.com/BaaqirYassin/status/1181471846811615232","1181471846811615232")</f>
        <v>1181471846811615232</v>
      </c>
      <c r="F1685" s="8"/>
      <c r="G1685" s="14" t="s">
        <v>10178</v>
      </c>
      <c r="H1685" s="8"/>
      <c r="I1685" s="15">
        <v>0</v>
      </c>
      <c r="J1685" s="15">
        <v>0</v>
      </c>
      <c r="K1685" s="12" t="str">
        <f>HYPERLINK("https://mobile.twitter.com","Twitter Web App")</f>
        <v>Twitter Web App</v>
      </c>
      <c r="L1685" s="16">
        <v>0</v>
      </c>
      <c r="M1685" s="16">
        <v>0</v>
      </c>
      <c r="N1685" s="16">
        <v>0</v>
      </c>
      <c r="O1685" s="17"/>
      <c r="P1685" s="18">
        <v>43741.081145833334</v>
      </c>
      <c r="Q1685" s="7" t="s">
        <v>1396</v>
      </c>
      <c r="R1685" s="13" t="s">
        <v>2008</v>
      </c>
      <c r="S1685" s="8"/>
      <c r="T1685" s="8"/>
      <c r="U1685" s="19" t="str">
        <f>HYPERLINK("https://pbs.twimg.com/profile_images/1180781320319844352/W7davwEd.jpg","View")</f>
        <v>View</v>
      </c>
      <c r="V1685" s="8"/>
      <c r="W1685" s="8"/>
      <c r="X1685" s="8"/>
      <c r="Y1685" s="8"/>
      <c r="Z1685" s="8"/>
    </row>
    <row r="1686" spans="1:26" ht="12.75">
      <c r="A1686" s="11">
        <v>43746.018587962964</v>
      </c>
      <c r="B1686" s="12" t="str">
        <f>HYPERLINK("https://twitter.com/AlskieaSalem","@AlskieaSalem")</f>
        <v>@AlskieaSalem</v>
      </c>
      <c r="C1686" s="7" t="s">
        <v>10186</v>
      </c>
      <c r="D1686" s="7" t="s">
        <v>10188</v>
      </c>
      <c r="E1686" s="12" t="str">
        <f>HYPERLINK("https://twitter.com/AlskieaSalem/status/1181470979882651648","1181470979882651648")</f>
        <v>1181470979882651648</v>
      </c>
      <c r="F1686" s="8"/>
      <c r="G1686" s="14" t="s">
        <v>10191</v>
      </c>
      <c r="H1686" s="8"/>
      <c r="I1686" s="15">
        <v>0</v>
      </c>
      <c r="J1686" s="15">
        <v>0</v>
      </c>
      <c r="K1686" s="12" t="str">
        <f>HYPERLINK("http://twitter.com","Twitter Web Client")</f>
        <v>Twitter Web Client</v>
      </c>
      <c r="L1686" s="16">
        <v>6</v>
      </c>
      <c r="M1686" s="16">
        <v>40</v>
      </c>
      <c r="N1686" s="16">
        <v>0</v>
      </c>
      <c r="O1686" s="17"/>
      <c r="P1686" s="18">
        <v>42074.235960648148</v>
      </c>
      <c r="Q1686" s="8"/>
      <c r="R1686" s="8"/>
      <c r="S1686" s="8"/>
      <c r="T1686" s="8"/>
      <c r="U1686" s="19" t="str">
        <f>HYPERLINK("https://pbs.twimg.com/profile_images/575667446545149952/URWXdPPu.jpeg","View")</f>
        <v>View</v>
      </c>
      <c r="V1686" s="8"/>
      <c r="W1686" s="8"/>
      <c r="X1686" s="8"/>
      <c r="Y1686" s="8"/>
      <c r="Z1686" s="8"/>
    </row>
    <row r="1687" spans="1:26" ht="12.75">
      <c r="A1687" s="11">
        <v>43746.017916666664</v>
      </c>
      <c r="B1687" s="12" t="str">
        <f>HYPERLINK("https://twitter.com/Amnesty_Norge","@Amnesty_Norge")</f>
        <v>@Amnesty_Norge</v>
      </c>
      <c r="C1687" s="7" t="s">
        <v>10196</v>
      </c>
      <c r="D1687" s="13" t="s">
        <v>10197</v>
      </c>
      <c r="E1687" s="12" t="str">
        <f>HYPERLINK("https://twitter.com/Amnesty_Norge/status/1181470734188711936","1181470734188711936")</f>
        <v>1181470734188711936</v>
      </c>
      <c r="F1687" s="8"/>
      <c r="G1687" s="14" t="s">
        <v>10199</v>
      </c>
      <c r="H1687" s="8"/>
      <c r="I1687" s="15">
        <v>8</v>
      </c>
      <c r="J1687" s="15">
        <v>11</v>
      </c>
      <c r="K1687" s="12" t="str">
        <f>HYPERLINK("https://mobile.twitter.com","Twitter Web App")</f>
        <v>Twitter Web App</v>
      </c>
      <c r="L1687" s="16">
        <v>28568</v>
      </c>
      <c r="M1687" s="16">
        <v>9803</v>
      </c>
      <c r="N1687" s="16">
        <v>368</v>
      </c>
      <c r="O1687" s="17" t="s">
        <v>984</v>
      </c>
      <c r="P1687" s="18">
        <v>39856.125405092593</v>
      </c>
      <c r="Q1687" s="8" t="s">
        <v>10202</v>
      </c>
      <c r="R1687" s="7" t="s">
        <v>10203</v>
      </c>
      <c r="S1687" s="14" t="s">
        <v>10204</v>
      </c>
      <c r="T1687" s="8"/>
      <c r="U1687" s="19" t="str">
        <f>HYPERLINK("https://pbs.twimg.com/profile_images/1019193647596793858/o7usqtMl.jpg","View")</f>
        <v>View</v>
      </c>
      <c r="V1687" s="8"/>
      <c r="W1687" s="8"/>
      <c r="X1687" s="8"/>
      <c r="Y1687" s="8"/>
      <c r="Z1687" s="8"/>
    </row>
    <row r="1688" spans="1:26" ht="12.75">
      <c r="A1688" s="11">
        <v>43746.017870370371</v>
      </c>
      <c r="B1688" s="12" t="str">
        <f>HYPERLINK("https://twitter.com/ahmedsharahili3","@ahmedsharahili3")</f>
        <v>@ahmedsharahili3</v>
      </c>
      <c r="C1688" s="7" t="s">
        <v>10208</v>
      </c>
      <c r="D1688" s="13" t="s">
        <v>10209</v>
      </c>
      <c r="E1688" s="12" t="str">
        <f>HYPERLINK("https://twitter.com/ahmedsharahili3/status/1181470718170718208","1181470718170718208")</f>
        <v>1181470718170718208</v>
      </c>
      <c r="F1688" s="8"/>
      <c r="G1688" s="14" t="s">
        <v>10210</v>
      </c>
      <c r="H1688" s="8"/>
      <c r="I1688" s="15">
        <v>0</v>
      </c>
      <c r="J1688" s="15">
        <v>0</v>
      </c>
      <c r="K1688" s="12" t="str">
        <f>HYPERLINK("http://twitter.com","Twitter Web Client")</f>
        <v>Twitter Web Client</v>
      </c>
      <c r="L1688" s="16">
        <v>0</v>
      </c>
      <c r="M1688" s="16">
        <v>42</v>
      </c>
      <c r="N1688" s="16">
        <v>0</v>
      </c>
      <c r="O1688" s="17"/>
      <c r="P1688" s="18">
        <v>42023.15457175926</v>
      </c>
      <c r="Q1688" s="8"/>
      <c r="R1688" s="7"/>
      <c r="S1688" s="8"/>
      <c r="T1688" s="8"/>
      <c r="U1688" s="19" t="str">
        <f>HYPERLINK("https://pbs.twimg.com/profile_images/557141211383726082/liXKYah_.jpeg","View")</f>
        <v>View</v>
      </c>
      <c r="V1688" s="8"/>
      <c r="W1688" s="8"/>
      <c r="X1688" s="8"/>
      <c r="Y1688" s="8"/>
      <c r="Z1688" s="8"/>
    </row>
    <row r="1689" spans="1:26" ht="12.75">
      <c r="A1689" s="11">
        <v>43746.017800925925</v>
      </c>
      <c r="B1689" s="12" t="str">
        <f>HYPERLINK("https://twitter.com/HamdiSalloum","@HamdiSalloum")</f>
        <v>@HamdiSalloum</v>
      </c>
      <c r="C1689" s="7" t="s">
        <v>10211</v>
      </c>
      <c r="D1689" s="13" t="s">
        <v>1236</v>
      </c>
      <c r="E1689" s="12" t="str">
        <f>HYPERLINK("https://twitter.com/HamdiSalloum/status/1181470694946656256","1181470694946656256")</f>
        <v>1181470694946656256</v>
      </c>
      <c r="F1689" s="8"/>
      <c r="G1689" s="14" t="s">
        <v>10212</v>
      </c>
      <c r="H1689" s="8"/>
      <c r="I1689" s="15">
        <v>0</v>
      </c>
      <c r="J1689" s="15">
        <v>0</v>
      </c>
      <c r="K1689" s="12" t="str">
        <f>HYPERLINK("https://mobile.twitter.com","Twitter Web App")</f>
        <v>Twitter Web App</v>
      </c>
      <c r="L1689" s="16">
        <v>0</v>
      </c>
      <c r="M1689" s="16">
        <v>1</v>
      </c>
      <c r="N1689" s="16">
        <v>0</v>
      </c>
      <c r="O1689" s="17"/>
      <c r="P1689" s="18">
        <v>43741.083668981482</v>
      </c>
      <c r="Q1689" s="8" t="s">
        <v>1328</v>
      </c>
      <c r="R1689" s="7" t="s">
        <v>9417</v>
      </c>
      <c r="S1689" s="8"/>
      <c r="T1689" s="8"/>
      <c r="U1689" s="19" t="str">
        <f>HYPERLINK("https://pbs.twimg.com/profile_images/1180780422399025158/th64wqoN.jpg","View")</f>
        <v>View</v>
      </c>
      <c r="V1689" s="8"/>
      <c r="W1689" s="8"/>
      <c r="X1689" s="8"/>
      <c r="Y1689" s="8"/>
      <c r="Z1689" s="8"/>
    </row>
    <row r="1690" spans="1:26" ht="12.75">
      <c r="A1690" s="11">
        <v>43746.015324074076</v>
      </c>
      <c r="B1690" s="12" t="str">
        <f>HYPERLINK("https://twitter.com/SuhaibAman","@SuhaibAman")</f>
        <v>@SuhaibAman</v>
      </c>
      <c r="C1690" s="7" t="s">
        <v>10217</v>
      </c>
      <c r="D1690" s="13" t="s">
        <v>28</v>
      </c>
      <c r="E1690" s="12" t="str">
        <f>HYPERLINK("https://twitter.com/SuhaibAman/status/1181469796702908417","1181469796702908417")</f>
        <v>1181469796702908417</v>
      </c>
      <c r="F1690" s="8"/>
      <c r="G1690" s="14" t="s">
        <v>1267</v>
      </c>
      <c r="H1690" s="8"/>
      <c r="I1690" s="15">
        <v>0</v>
      </c>
      <c r="J1690" s="15">
        <v>0</v>
      </c>
      <c r="K1690" s="12" t="str">
        <f>HYPERLINK("https://mobile.twitter.com","Twitter Web App")</f>
        <v>Twitter Web App</v>
      </c>
      <c r="L1690" s="16">
        <v>0</v>
      </c>
      <c r="M1690" s="16">
        <v>1</v>
      </c>
      <c r="N1690" s="16">
        <v>0</v>
      </c>
      <c r="O1690" s="17"/>
      <c r="P1690" s="18">
        <v>43741.084386574075</v>
      </c>
      <c r="Q1690" s="8" t="s">
        <v>1564</v>
      </c>
      <c r="R1690" s="7" t="s">
        <v>10220</v>
      </c>
      <c r="S1690" s="8"/>
      <c r="T1690" s="8"/>
      <c r="U1690" s="19" t="str">
        <f>HYPERLINK("https://pbs.twimg.com/profile_images/1180779724554899458/0kmgH12x.jpg","View")</f>
        <v>View</v>
      </c>
      <c r="V1690" s="8"/>
      <c r="W1690" s="8"/>
      <c r="X1690" s="8"/>
      <c r="Y1690" s="8"/>
      <c r="Z1690" s="8"/>
    </row>
    <row r="1691" spans="1:26" ht="12.75">
      <c r="A1691" s="11">
        <v>43746.014861111107</v>
      </c>
      <c r="B1691" s="12" t="str">
        <f>HYPERLINK("https://twitter.com/ahmedha26883630","@ahmedha26883630")</f>
        <v>@ahmedha26883630</v>
      </c>
      <c r="C1691" s="7" t="s">
        <v>10221</v>
      </c>
      <c r="D1691" s="7" t="s">
        <v>3002</v>
      </c>
      <c r="E1691" s="12" t="str">
        <f>HYPERLINK("https://twitter.com/ahmedha26883630/status/1181469629279019008","1181469629279019008")</f>
        <v>1181469629279019008</v>
      </c>
      <c r="F1691" s="15"/>
      <c r="G1691" s="14" t="s">
        <v>10222</v>
      </c>
      <c r="H1691" s="8"/>
      <c r="I1691" s="15">
        <v>0</v>
      </c>
      <c r="J1691" s="15">
        <v>0</v>
      </c>
      <c r="K1691" s="12" t="str">
        <f>HYPERLINK("http://twitter.com","Twitter Web Client")</f>
        <v>Twitter Web Client</v>
      </c>
      <c r="L1691" s="16">
        <v>6</v>
      </c>
      <c r="M1691" s="16">
        <v>44</v>
      </c>
      <c r="N1691" s="16">
        <v>0</v>
      </c>
      <c r="O1691" s="17"/>
      <c r="P1691" s="18">
        <v>42073.424525462964</v>
      </c>
      <c r="Q1691" s="8"/>
      <c r="R1691" s="7"/>
      <c r="S1691" s="8"/>
      <c r="T1691" s="8"/>
      <c r="U1691" s="19" t="str">
        <f>HYPERLINK("https://pbs.twimg.com/profile_images/575344668445048832/TKitczYU.jpeg","View")</f>
        <v>View</v>
      </c>
      <c r="V1691" s="8"/>
      <c r="W1691" s="8"/>
      <c r="X1691" s="8"/>
      <c r="Y1691" s="8"/>
      <c r="Z1691" s="8"/>
    </row>
    <row r="1692" spans="1:26" ht="12.75">
      <c r="A1692" s="11">
        <v>43746.014421296291</v>
      </c>
      <c r="B1692" s="12" t="str">
        <f>HYPERLINK("https://twitter.com/mohamedalkredae","@mohamedalkredae")</f>
        <v>@mohamedalkredae</v>
      </c>
      <c r="C1692" s="7" t="s">
        <v>10227</v>
      </c>
      <c r="D1692" s="7" t="s">
        <v>3616</v>
      </c>
      <c r="E1692" s="12" t="str">
        <f>HYPERLINK("https://twitter.com/mohamedalkredae/status/1181469470197452800","1181469470197452800")</f>
        <v>1181469470197452800</v>
      </c>
      <c r="F1692" s="15"/>
      <c r="G1692" s="14" t="s">
        <v>10228</v>
      </c>
      <c r="H1692" s="8"/>
      <c r="I1692" s="15">
        <v>0</v>
      </c>
      <c r="J1692" s="15">
        <v>0</v>
      </c>
      <c r="K1692" s="12" t="str">
        <f>HYPERLINK("http://twitter.com","Twitter Web Client")</f>
        <v>Twitter Web Client</v>
      </c>
      <c r="L1692" s="16">
        <v>20</v>
      </c>
      <c r="M1692" s="16">
        <v>42</v>
      </c>
      <c r="N1692" s="16">
        <v>0</v>
      </c>
      <c r="O1692" s="17"/>
      <c r="P1692" s="18">
        <v>42071.201539351852</v>
      </c>
      <c r="Q1692" s="8"/>
      <c r="R1692" s="7"/>
      <c r="S1692" s="8"/>
      <c r="T1692" s="8"/>
      <c r="U1692" s="19" t="str">
        <f>HYPERLINK("https://pbs.twimg.com/profile_images/574537872612548609/Sh2KJLeh.jpeg","View")</f>
        <v>View</v>
      </c>
      <c r="V1692" s="8"/>
      <c r="W1692" s="8"/>
      <c r="X1692" s="8"/>
      <c r="Y1692" s="8"/>
      <c r="Z1692" s="8"/>
    </row>
    <row r="1693" spans="1:26" ht="12.75">
      <c r="A1693" s="11">
        <v>43746.014293981483</v>
      </c>
      <c r="B1693" s="12" t="str">
        <f>HYPERLINK("https://twitter.com/hossein99434710","@hossein99434710")</f>
        <v>@hossein99434710</v>
      </c>
      <c r="C1693" s="7" t="s">
        <v>10231</v>
      </c>
      <c r="D1693" s="13" t="s">
        <v>3014</v>
      </c>
      <c r="E1693" s="12" t="str">
        <f>HYPERLINK("https://twitter.com/hossein99434710/status/1181469420851470336","1181469420851470336")</f>
        <v>1181469420851470336</v>
      </c>
      <c r="F1693" s="15"/>
      <c r="G1693" s="14" t="s">
        <v>10232</v>
      </c>
      <c r="H1693" s="8"/>
      <c r="I1693" s="15">
        <v>0</v>
      </c>
      <c r="J1693" s="15">
        <v>0</v>
      </c>
      <c r="K1693" s="12" t="str">
        <f>HYPERLINK("http://twitter.com","Twitter Web Client")</f>
        <v>Twitter Web Client</v>
      </c>
      <c r="L1693" s="16">
        <v>2</v>
      </c>
      <c r="M1693" s="16">
        <v>40</v>
      </c>
      <c r="N1693" s="16">
        <v>0</v>
      </c>
      <c r="O1693" s="17"/>
      <c r="P1693" s="18">
        <v>42072.796666666662</v>
      </c>
      <c r="Q1693" s="8"/>
      <c r="R1693" s="7"/>
      <c r="S1693" s="8"/>
      <c r="T1693" s="8"/>
      <c r="U1693" s="19" t="str">
        <f>HYPERLINK("https://pbs.twimg.com/profile_images/575117031055327232/JVQRwOuy.jpeg","View")</f>
        <v>View</v>
      </c>
      <c r="V1693" s="8"/>
      <c r="W1693" s="8"/>
      <c r="X1693" s="8"/>
      <c r="Y1693" s="8"/>
      <c r="Z1693" s="8"/>
    </row>
    <row r="1694" spans="1:26" ht="12.75">
      <c r="A1694" s="11">
        <v>43746.014027777783</v>
      </c>
      <c r="B1694" s="12" t="str">
        <f>HYPERLINK("https://twitter.com/AlaseemNassier","@AlaseemNassier")</f>
        <v>@AlaseemNassier</v>
      </c>
      <c r="C1694" s="7" t="s">
        <v>10236</v>
      </c>
      <c r="D1694" s="7" t="s">
        <v>2153</v>
      </c>
      <c r="E1694" s="12" t="str">
        <f>HYPERLINK("https://twitter.com/AlaseemNassier/status/1181469323984015360","1181469323984015360")</f>
        <v>1181469323984015360</v>
      </c>
      <c r="F1694" s="15"/>
      <c r="G1694" s="14" t="s">
        <v>10237</v>
      </c>
      <c r="H1694" s="8"/>
      <c r="I1694" s="15">
        <v>0</v>
      </c>
      <c r="J1694" s="15">
        <v>0</v>
      </c>
      <c r="K1694" s="12" t="str">
        <f>HYPERLINK("http://twitter.com","Twitter Web Client")</f>
        <v>Twitter Web Client</v>
      </c>
      <c r="L1694" s="16">
        <v>0</v>
      </c>
      <c r="M1694" s="16">
        <v>36</v>
      </c>
      <c r="N1694" s="16">
        <v>0</v>
      </c>
      <c r="O1694" s="17"/>
      <c r="P1694" s="18">
        <v>42021.300787037035</v>
      </c>
      <c r="Q1694" s="8"/>
      <c r="R1694" s="7"/>
      <c r="S1694" s="8"/>
      <c r="T1694" s="8"/>
      <c r="U1694" s="19" t="str">
        <f>HYPERLINK("https://pbs.twimg.com/profile_images/556762955081977856/AoX0WhJj.jpeg","View")</f>
        <v>View</v>
      </c>
      <c r="V1694" s="8"/>
      <c r="W1694" s="8"/>
      <c r="X1694" s="8"/>
      <c r="Y1694" s="8"/>
      <c r="Z1694" s="8"/>
    </row>
    <row r="1695" spans="1:26" ht="12.75">
      <c r="A1695" s="11">
        <v>43746.012349537035</v>
      </c>
      <c r="B1695" s="12" t="str">
        <f>HYPERLINK("https://twitter.com/yahyanamazi","@yahyanamazi")</f>
        <v>@yahyanamazi</v>
      </c>
      <c r="C1695" s="7" t="s">
        <v>10244</v>
      </c>
      <c r="D1695" s="7" t="s">
        <v>3064</v>
      </c>
      <c r="E1695" s="12" t="str">
        <f>HYPERLINK("https://twitter.com/yahyanamazi/status/1181468715516354562","1181468715516354562")</f>
        <v>1181468715516354562</v>
      </c>
      <c r="F1695" s="8"/>
      <c r="G1695" s="14" t="s">
        <v>10245</v>
      </c>
      <c r="H1695" s="8"/>
      <c r="I1695" s="15">
        <v>0</v>
      </c>
      <c r="J1695" s="15">
        <v>0</v>
      </c>
      <c r="K1695" s="12" t="str">
        <f>HYPERLINK("http://twitter.com","Twitter Web Client")</f>
        <v>Twitter Web Client</v>
      </c>
      <c r="L1695" s="16">
        <v>11</v>
      </c>
      <c r="M1695" s="16">
        <v>42</v>
      </c>
      <c r="N1695" s="16">
        <v>0</v>
      </c>
      <c r="O1695" s="17"/>
      <c r="P1695" s="18">
        <v>42072.171828703707</v>
      </c>
      <c r="Q1695" s="8"/>
      <c r="R1695" s="8"/>
      <c r="S1695" s="8"/>
      <c r="T1695" s="8"/>
      <c r="U1695" s="19" t="str">
        <f>HYPERLINK("https://pbs.twimg.com/profile_images/574889477073580033/pLrOVH5x.jpeg","View")</f>
        <v>View</v>
      </c>
      <c r="V1695" s="8"/>
      <c r="W1695" s="8"/>
      <c r="X1695" s="8"/>
      <c r="Y1695" s="8"/>
      <c r="Z1695" s="8"/>
    </row>
    <row r="1696" spans="1:26" ht="12.75">
      <c r="A1696" s="11">
        <v>43746.012013888889</v>
      </c>
      <c r="B1696" s="12" t="str">
        <f>HYPERLINK("https://twitter.com/salehaldersona2","@salehaldersona2")</f>
        <v>@salehaldersona2</v>
      </c>
      <c r="C1696" s="7" t="s">
        <v>10249</v>
      </c>
      <c r="D1696" s="7" t="s">
        <v>2171</v>
      </c>
      <c r="E1696" s="12" t="str">
        <f>HYPERLINK("https://twitter.com/salehaldersona2/status/1181468594309337088","1181468594309337088")</f>
        <v>1181468594309337088</v>
      </c>
      <c r="F1696" s="8"/>
      <c r="G1696" s="14" t="s">
        <v>10252</v>
      </c>
      <c r="H1696" s="8"/>
      <c r="I1696" s="15">
        <v>0</v>
      </c>
      <c r="J1696" s="15">
        <v>0</v>
      </c>
      <c r="K1696" s="12" t="str">
        <f>HYPERLINK("http://twitter.com","Twitter Web Client")</f>
        <v>Twitter Web Client</v>
      </c>
      <c r="L1696" s="16">
        <v>7</v>
      </c>
      <c r="M1696" s="16">
        <v>42</v>
      </c>
      <c r="N1696" s="16">
        <v>0</v>
      </c>
      <c r="O1696" s="17"/>
      <c r="P1696" s="18">
        <v>42072.123831018514</v>
      </c>
      <c r="Q1696" s="8"/>
      <c r="R1696" s="8"/>
      <c r="S1696" s="8"/>
      <c r="T1696" s="8"/>
      <c r="U1696" s="19" t="str">
        <f>HYPERLINK("https://pbs.twimg.com/profile_images/574872136159907840/pPiBDF8j.jpeg","View")</f>
        <v>View</v>
      </c>
      <c r="V1696" s="8"/>
      <c r="W1696" s="8"/>
      <c r="X1696" s="8"/>
      <c r="Y1696" s="8"/>
      <c r="Z1696" s="8"/>
    </row>
    <row r="1697" spans="1:26" ht="12.75">
      <c r="A1697" s="11">
        <v>43746.00990740741</v>
      </c>
      <c r="B1697" s="12" t="str">
        <f>HYPERLINK("https://twitter.com/elkaredes33","@elkaredes33")</f>
        <v>@elkaredes33</v>
      </c>
      <c r="C1697" s="13" t="s">
        <v>10255</v>
      </c>
      <c r="D1697" s="13" t="s">
        <v>10256</v>
      </c>
      <c r="E1697" s="12" t="str">
        <f>HYPERLINK("https://twitter.com/elkaredes33/status/1181467833701748736","1181467833701748736")</f>
        <v>1181467833701748736</v>
      </c>
      <c r="F1697" s="8"/>
      <c r="G1697" s="14" t="s">
        <v>10257</v>
      </c>
      <c r="H1697" s="8"/>
      <c r="I1697" s="15">
        <v>0</v>
      </c>
      <c r="J1697" s="15">
        <v>0</v>
      </c>
      <c r="K1697" s="12" t="str">
        <f>HYPERLINK("http://twitter.com","Twitter Web Client")</f>
        <v>Twitter Web Client</v>
      </c>
      <c r="L1697" s="16">
        <v>1</v>
      </c>
      <c r="M1697" s="16">
        <v>28</v>
      </c>
      <c r="N1697" s="16">
        <v>0</v>
      </c>
      <c r="O1697" s="17"/>
      <c r="P1697" s="18">
        <v>42075.283321759256</v>
      </c>
      <c r="Q1697" s="8"/>
      <c r="R1697" s="8"/>
      <c r="S1697" s="8"/>
      <c r="T1697" s="8"/>
      <c r="U1697" s="19" t="str">
        <f>HYPERLINK("https://pbs.twimg.com/profile_images/576016904722120704/VlDMGa_q.jpeg","View")</f>
        <v>View</v>
      </c>
      <c r="V1697" s="8"/>
      <c r="W1697" s="8"/>
      <c r="X1697" s="8"/>
      <c r="Y1697" s="8"/>
      <c r="Z1697" s="8"/>
    </row>
    <row r="1698" spans="1:26" ht="12.75">
      <c r="A1698" s="11">
        <v>43746.00990740741</v>
      </c>
      <c r="B1698" s="12" t="str">
        <f>HYPERLINK("https://twitter.com/HaashidA","@HaashidA")</f>
        <v>@HaashidA</v>
      </c>
      <c r="C1698" s="13" t="s">
        <v>10258</v>
      </c>
      <c r="D1698" s="13" t="s">
        <v>28</v>
      </c>
      <c r="E1698" s="12" t="str">
        <f>HYPERLINK("https://twitter.com/HaashidA/status/1181467830861959168","1181467830861959168")</f>
        <v>1181467830861959168</v>
      </c>
      <c r="F1698" s="8"/>
      <c r="G1698" s="14" t="s">
        <v>31</v>
      </c>
      <c r="H1698" s="8"/>
      <c r="I1698" s="15">
        <v>0</v>
      </c>
      <c r="J1698" s="15">
        <v>0</v>
      </c>
      <c r="K1698" s="12" t="str">
        <f>HYPERLINK("https://mobile.twitter.com","Twitter Web App")</f>
        <v>Twitter Web App</v>
      </c>
      <c r="L1698" s="16">
        <v>0</v>
      </c>
      <c r="M1698" s="16">
        <v>2</v>
      </c>
      <c r="N1698" s="16">
        <v>0</v>
      </c>
      <c r="O1698" s="17"/>
      <c r="P1698" s="18">
        <v>43740.93372685185</v>
      </c>
      <c r="Q1698" s="8" t="s">
        <v>1249</v>
      </c>
      <c r="R1698" s="8" t="s">
        <v>1258</v>
      </c>
      <c r="S1698" s="8"/>
      <c r="T1698" s="8"/>
      <c r="U1698" s="19" t="str">
        <f>HYPERLINK("https://pbs.twimg.com/profile_images/1180784940587204610/vTqkrc1q.jpg","View")</f>
        <v>View</v>
      </c>
      <c r="V1698" s="8"/>
      <c r="W1698" s="8"/>
      <c r="X1698" s="8"/>
      <c r="Y1698" s="8"/>
      <c r="Z1698" s="8"/>
    </row>
    <row r="1699" spans="1:26" ht="12.75">
      <c r="A1699" s="11">
        <v>43746.009629629625</v>
      </c>
      <c r="B1699" s="12" t="str">
        <f>HYPERLINK("https://twitter.com/elzabidy_33","@elzabidy_33")</f>
        <v>@elzabidy_33</v>
      </c>
      <c r="C1699" s="7" t="s">
        <v>10261</v>
      </c>
      <c r="D1699" s="13" t="s">
        <v>3104</v>
      </c>
      <c r="E1699" s="12" t="str">
        <f>HYPERLINK("https://twitter.com/elzabidy_33/status/1181467731453005826","1181467731453005826")</f>
        <v>1181467731453005826</v>
      </c>
      <c r="F1699" s="15"/>
      <c r="G1699" s="14" t="s">
        <v>10263</v>
      </c>
      <c r="H1699" s="8"/>
      <c r="I1699" s="15">
        <v>0</v>
      </c>
      <c r="J1699" s="15">
        <v>0</v>
      </c>
      <c r="K1699" s="12" t="str">
        <f>HYPERLINK("http://twitter.com","Twitter Web Client")</f>
        <v>Twitter Web Client</v>
      </c>
      <c r="L1699" s="16">
        <v>11</v>
      </c>
      <c r="M1699" s="16">
        <v>31</v>
      </c>
      <c r="N1699" s="16">
        <v>0</v>
      </c>
      <c r="O1699" s="17"/>
      <c r="P1699" s="18">
        <v>42073.521041666667</v>
      </c>
      <c r="Q1699" s="15"/>
      <c r="R1699" s="7"/>
      <c r="S1699" s="8"/>
      <c r="T1699" s="8"/>
      <c r="U1699" s="19" t="str">
        <f>HYPERLINK("https://pbs.twimg.com/profile_images/575378438967590912/VkvGe8TT.jpeg","View")</f>
        <v>View</v>
      </c>
      <c r="V1699" s="8"/>
      <c r="W1699" s="8"/>
      <c r="X1699" s="8"/>
      <c r="Y1699" s="8"/>
      <c r="Z1699" s="8"/>
    </row>
    <row r="1700" spans="1:26" ht="12.75">
      <c r="A1700" s="11">
        <v>43746.00744212963</v>
      </c>
      <c r="B1700" s="12" t="str">
        <f>HYPERLINK("https://twitter.com/abedalrah33","@abedalrah33")</f>
        <v>@abedalrah33</v>
      </c>
      <c r="C1700" s="13" t="s">
        <v>10269</v>
      </c>
      <c r="D1700" s="13" t="s">
        <v>3138</v>
      </c>
      <c r="E1700" s="12" t="str">
        <f>HYPERLINK("https://twitter.com/abedalrah33/status/1181466938180034562","1181466938180034562")</f>
        <v>1181466938180034562</v>
      </c>
      <c r="F1700" s="8"/>
      <c r="G1700" s="14" t="s">
        <v>10270</v>
      </c>
      <c r="H1700" s="8"/>
      <c r="I1700" s="15">
        <v>0</v>
      </c>
      <c r="J1700" s="15">
        <v>0</v>
      </c>
      <c r="K1700" s="12" t="str">
        <f>HYPERLINK("http://twitter.com","Twitter Web Client")</f>
        <v>Twitter Web Client</v>
      </c>
      <c r="L1700" s="16">
        <v>6</v>
      </c>
      <c r="M1700" s="16">
        <v>43</v>
      </c>
      <c r="N1700" s="16">
        <v>0</v>
      </c>
      <c r="O1700" s="17"/>
      <c r="P1700" s="18">
        <v>42070.278298611112</v>
      </c>
      <c r="Q1700" s="8"/>
      <c r="R1700" s="8"/>
      <c r="S1700" s="8"/>
      <c r="T1700" s="8"/>
      <c r="U1700" s="19" t="str">
        <f>HYPERLINK("https://pbs.twimg.com/profile_images/574218289200558080/MhZ_SOTm.jpeg","View")</f>
        <v>View</v>
      </c>
      <c r="V1700" s="8"/>
      <c r="W1700" s="8"/>
      <c r="X1700" s="8"/>
      <c r="Y1700" s="8"/>
      <c r="Z1700" s="8"/>
    </row>
    <row r="1701" spans="1:26" ht="12.75">
      <c r="A1701" s="11">
        <v>43746.006539351853</v>
      </c>
      <c r="B1701" s="12" t="str">
        <f>HYPERLINK("https://twitter.com/marimassad3","@marimassad3")</f>
        <v>@marimassad3</v>
      </c>
      <c r="C1701" s="7" t="s">
        <v>10273</v>
      </c>
      <c r="D1701" s="13" t="s">
        <v>2271</v>
      </c>
      <c r="E1701" s="12" t="str">
        <f>HYPERLINK("https://twitter.com/marimassad3/status/1181466610458091520","1181466610458091520")</f>
        <v>1181466610458091520</v>
      </c>
      <c r="F1701" s="15"/>
      <c r="G1701" s="14" t="s">
        <v>10276</v>
      </c>
      <c r="H1701" s="8"/>
      <c r="I1701" s="15">
        <v>0</v>
      </c>
      <c r="J1701" s="15">
        <v>0</v>
      </c>
      <c r="K1701" s="12" t="str">
        <f>HYPERLINK("http://twitter.com","Twitter Web Client")</f>
        <v>Twitter Web Client</v>
      </c>
      <c r="L1701" s="16">
        <v>2</v>
      </c>
      <c r="M1701" s="16">
        <v>33</v>
      </c>
      <c r="N1701" s="16">
        <v>0</v>
      </c>
      <c r="O1701" s="17"/>
      <c r="P1701" s="18">
        <v>42081.757511574076</v>
      </c>
      <c r="Q1701" s="15"/>
      <c r="R1701" s="7"/>
      <c r="S1701" s="8"/>
      <c r="T1701" s="8"/>
      <c r="U1701" s="19" t="str">
        <f>HYPERLINK("https://pbs.twimg.com/profile_images/578364686346891264/fECgjjvA.jpeg","View")</f>
        <v>View</v>
      </c>
      <c r="V1701" s="8"/>
      <c r="W1701" s="8"/>
      <c r="X1701" s="8"/>
      <c r="Y1701" s="8"/>
      <c r="Z1701" s="8"/>
    </row>
    <row r="1702" spans="1:26" ht="12.75">
      <c r="A1702" s="11">
        <v>43746.005706018521</v>
      </c>
      <c r="B1702" s="12" t="str">
        <f>HYPERLINK("https://twitter.com/BalawiSaleho","@BalawiSaleho")</f>
        <v>@BalawiSaleho</v>
      </c>
      <c r="C1702" s="13" t="s">
        <v>10279</v>
      </c>
      <c r="D1702" s="13" t="s">
        <v>10280</v>
      </c>
      <c r="E1702" s="12" t="str">
        <f>HYPERLINK("https://twitter.com/BalawiSaleho/status/1181466307813953536","1181466307813953536")</f>
        <v>1181466307813953536</v>
      </c>
      <c r="F1702" s="8"/>
      <c r="G1702" s="14" t="s">
        <v>10281</v>
      </c>
      <c r="H1702" s="8"/>
      <c r="I1702" s="15">
        <v>0</v>
      </c>
      <c r="J1702" s="15">
        <v>0</v>
      </c>
      <c r="K1702" s="12" t="str">
        <f>HYPERLINK("http://twitter.com","Twitter Web Client")</f>
        <v>Twitter Web Client</v>
      </c>
      <c r="L1702" s="16">
        <v>3</v>
      </c>
      <c r="M1702" s="16">
        <v>38</v>
      </c>
      <c r="N1702" s="16">
        <v>0</v>
      </c>
      <c r="O1702" s="17"/>
      <c r="P1702" s="18">
        <v>42071.40552083333</v>
      </c>
      <c r="Q1702" s="8"/>
      <c r="R1702" s="8"/>
      <c r="S1702" s="8"/>
      <c r="T1702" s="8"/>
      <c r="U1702" s="19" t="str">
        <f>HYPERLINK("https://pbs.twimg.com/profile_images/574612318547369985/R2nxVkuJ.jpeg","View")</f>
        <v>View</v>
      </c>
      <c r="V1702" s="8"/>
      <c r="W1702" s="8"/>
      <c r="X1702" s="8"/>
      <c r="Y1702" s="8"/>
      <c r="Z1702" s="8"/>
    </row>
    <row r="1703" spans="1:26" ht="12.75">
      <c r="A1703" s="11">
        <v>43746.005219907413</v>
      </c>
      <c r="B1703" s="12" t="str">
        <f>HYPERLINK("https://twitter.com/FaarisNagi","@FaarisNagi")</f>
        <v>@FaarisNagi</v>
      </c>
      <c r="C1703" s="7" t="s">
        <v>10286</v>
      </c>
      <c r="D1703" s="7" t="s">
        <v>968</v>
      </c>
      <c r="E1703" s="12" t="str">
        <f>HYPERLINK("https://twitter.com/FaarisNagi/status/1181466132441493505","1181466132441493505")</f>
        <v>1181466132441493505</v>
      </c>
      <c r="F1703" s="15"/>
      <c r="G1703" s="14" t="s">
        <v>10287</v>
      </c>
      <c r="H1703" s="8"/>
      <c r="I1703" s="15">
        <v>0</v>
      </c>
      <c r="J1703" s="15">
        <v>0</v>
      </c>
      <c r="K1703" s="12" t="str">
        <f>HYPERLINK("https://mobile.twitter.com","Twitter Web App")</f>
        <v>Twitter Web App</v>
      </c>
      <c r="L1703" s="16">
        <v>0</v>
      </c>
      <c r="M1703" s="16">
        <v>2</v>
      </c>
      <c r="N1703" s="16">
        <v>0</v>
      </c>
      <c r="O1703" s="17"/>
      <c r="P1703" s="18">
        <v>43740.951006944444</v>
      </c>
      <c r="Q1703" s="15" t="s">
        <v>1284</v>
      </c>
      <c r="R1703" s="7" t="s">
        <v>1552</v>
      </c>
      <c r="S1703" s="8"/>
      <c r="T1703" s="8"/>
      <c r="U1703" s="19" t="str">
        <f>HYPERLINK("https://pbs.twimg.com/profile_images/1181466089403740160/ajni07bs.jpg","View")</f>
        <v>View</v>
      </c>
      <c r="V1703" s="8"/>
      <c r="W1703" s="8"/>
      <c r="X1703" s="8"/>
      <c r="Y1703" s="8"/>
      <c r="Z1703" s="8"/>
    </row>
    <row r="1704" spans="1:26" ht="12.75">
      <c r="A1704" s="11">
        <v>43746.004178240742</v>
      </c>
      <c r="B1704" s="12" t="str">
        <f>HYPERLINK("https://twitter.com/abdallahibodjin","@abdallahibodjin")</f>
        <v>@abdallahibodjin</v>
      </c>
      <c r="C1704" s="7" t="s">
        <v>10297</v>
      </c>
      <c r="D1704" s="13" t="s">
        <v>3166</v>
      </c>
      <c r="E1704" s="12" t="str">
        <f>HYPERLINK("https://twitter.com/abdallahibodjin/status/1181465755692523521","1181465755692523521")</f>
        <v>1181465755692523521</v>
      </c>
      <c r="F1704" s="15"/>
      <c r="G1704" s="14" t="s">
        <v>10298</v>
      </c>
      <c r="H1704" s="8"/>
      <c r="I1704" s="15">
        <v>0</v>
      </c>
      <c r="J1704" s="15">
        <v>0</v>
      </c>
      <c r="K1704" s="12" t="str">
        <f>HYPERLINK("http://twitter.com","Twitter Web Client")</f>
        <v>Twitter Web Client</v>
      </c>
      <c r="L1704" s="16">
        <v>4</v>
      </c>
      <c r="M1704" s="16">
        <v>42</v>
      </c>
      <c r="N1704" s="16">
        <v>0</v>
      </c>
      <c r="O1704" s="17"/>
      <c r="P1704" s="18">
        <v>42072.237662037034</v>
      </c>
      <c r="Q1704" s="15"/>
      <c r="R1704" s="7"/>
      <c r="S1704" s="8"/>
      <c r="T1704" s="8"/>
      <c r="U1704" s="19" t="str">
        <f>HYPERLINK("https://pbs.twimg.com/profile_images/574913357049806848/qJKqUP-u.jpeg","View")</f>
        <v>View</v>
      </c>
      <c r="V1704" s="8"/>
      <c r="W1704" s="8"/>
      <c r="X1704" s="8"/>
      <c r="Y1704" s="8"/>
      <c r="Z1704" s="8"/>
    </row>
    <row r="1705" spans="1:26" ht="12.75">
      <c r="A1705" s="11">
        <v>43746.003622685181</v>
      </c>
      <c r="B1705" s="12" t="str">
        <f>HYPERLINK("https://twitter.com/mmefrehmaliki22","@mmefrehmaliki22")</f>
        <v>@mmefrehmaliki22</v>
      </c>
      <c r="C1705" s="7" t="s">
        <v>10299</v>
      </c>
      <c r="D1705" s="13" t="s">
        <v>3703</v>
      </c>
      <c r="E1705" s="12" t="str">
        <f>HYPERLINK("https://twitter.com/mmefrehmaliki22/status/1181465554701430786","1181465554701430786")</f>
        <v>1181465554701430786</v>
      </c>
      <c r="F1705" s="15"/>
      <c r="G1705" s="14" t="s">
        <v>10300</v>
      </c>
      <c r="H1705" s="8"/>
      <c r="I1705" s="15">
        <v>0</v>
      </c>
      <c r="J1705" s="15">
        <v>0</v>
      </c>
      <c r="K1705" s="12" t="str">
        <f>HYPERLINK("http://twitter.com","Twitter Web Client")</f>
        <v>Twitter Web Client</v>
      </c>
      <c r="L1705" s="16">
        <v>1</v>
      </c>
      <c r="M1705" s="16">
        <v>36</v>
      </c>
      <c r="N1705" s="16">
        <v>0</v>
      </c>
      <c r="O1705" s="17"/>
      <c r="P1705" s="18">
        <v>42027.428923611107</v>
      </c>
      <c r="Q1705" s="15"/>
      <c r="R1705" s="7"/>
      <c r="S1705" s="8"/>
      <c r="T1705" s="8"/>
      <c r="U1705" s="19" t="str">
        <f>HYPERLINK("https://pbs.twimg.com/profile_images/558691463450472450/INAsonlM.jpeg","View")</f>
        <v>View</v>
      </c>
      <c r="V1705" s="8"/>
      <c r="W1705" s="8"/>
      <c r="X1705" s="8"/>
      <c r="Y1705" s="8"/>
      <c r="Z1705" s="8"/>
    </row>
    <row r="1706" spans="1:26" ht="12.75">
      <c r="A1706" s="11">
        <v>43746.001828703702</v>
      </c>
      <c r="B1706" s="12" t="str">
        <f>HYPERLINK("https://twitter.com/azmi_hannan","@azmi_hannan")</f>
        <v>@azmi_hannan</v>
      </c>
      <c r="C1706" s="13" t="s">
        <v>10304</v>
      </c>
      <c r="D1706" s="13" t="s">
        <v>944</v>
      </c>
      <c r="E1706" s="12" t="str">
        <f>HYPERLINK("https://twitter.com/azmi_hannan/status/1181464903527256065","1181464903527256065")</f>
        <v>1181464903527256065</v>
      </c>
      <c r="F1706" s="8"/>
      <c r="G1706" s="14" t="s">
        <v>10305</v>
      </c>
      <c r="H1706" s="8"/>
      <c r="I1706" s="15">
        <v>0</v>
      </c>
      <c r="J1706" s="15">
        <v>0</v>
      </c>
      <c r="K1706" s="12" t="str">
        <f>HYPERLINK("https://mobile.twitter.com","Twitter Web App")</f>
        <v>Twitter Web App</v>
      </c>
      <c r="L1706" s="16">
        <v>0</v>
      </c>
      <c r="M1706" s="16">
        <v>2</v>
      </c>
      <c r="N1706" s="16">
        <v>0</v>
      </c>
      <c r="O1706" s="17"/>
      <c r="P1706" s="18">
        <v>43742.942858796298</v>
      </c>
      <c r="Q1706" s="8" t="s">
        <v>1276</v>
      </c>
      <c r="R1706" s="8" t="s">
        <v>1597</v>
      </c>
      <c r="S1706" s="8"/>
      <c r="T1706" s="8"/>
      <c r="U1706" s="19" t="str">
        <f>HYPERLINK("https://pbs.twimg.com/profile_images/1181164073313959936/Zw6_ejSJ.jpg","View")</f>
        <v>View</v>
      </c>
      <c r="V1706" s="8"/>
      <c r="W1706" s="8"/>
      <c r="X1706" s="8"/>
      <c r="Y1706" s="8"/>
      <c r="Z1706" s="8"/>
    </row>
    <row r="1707" spans="1:26" ht="12.75">
      <c r="A1707" s="11">
        <v>43746.001180555555</v>
      </c>
      <c r="B1707" s="12" t="str">
        <f>HYPERLINK("https://twitter.com/AlankryGafr","@AlankryGafr")</f>
        <v>@AlankryGafr</v>
      </c>
      <c r="C1707" s="7" t="s">
        <v>10310</v>
      </c>
      <c r="D1707" s="7" t="s">
        <v>3180</v>
      </c>
      <c r="E1707" s="12" t="str">
        <f>HYPERLINK("https://twitter.com/AlankryGafr/status/1181464668491137024","1181464668491137024")</f>
        <v>1181464668491137024</v>
      </c>
      <c r="F1707" s="15"/>
      <c r="G1707" s="14" t="s">
        <v>10311</v>
      </c>
      <c r="H1707" s="8"/>
      <c r="I1707" s="15">
        <v>0</v>
      </c>
      <c r="J1707" s="15">
        <v>0</v>
      </c>
      <c r="K1707" s="12" t="str">
        <f>HYPERLINK("http://twitter.com","Twitter Web Client")</f>
        <v>Twitter Web Client</v>
      </c>
      <c r="L1707" s="16">
        <v>11</v>
      </c>
      <c r="M1707" s="16">
        <v>40</v>
      </c>
      <c r="N1707" s="16">
        <v>0</v>
      </c>
      <c r="O1707" s="17"/>
      <c r="P1707" s="18">
        <v>42071.644224537042</v>
      </c>
      <c r="Q1707" s="15"/>
      <c r="R1707" s="7"/>
      <c r="S1707" s="8"/>
      <c r="T1707" s="8"/>
      <c r="U1707" s="19" t="str">
        <f>HYPERLINK("https://pbs.twimg.com/profile_images/574711547601145856/5zaiLPUY.jpeg","View")</f>
        <v>View</v>
      </c>
      <c r="V1707" s="8"/>
      <c r="W1707" s="8"/>
      <c r="X1707" s="8"/>
      <c r="Y1707" s="8"/>
      <c r="Z1707" s="8"/>
    </row>
    <row r="1708" spans="1:26" ht="12.75">
      <c r="A1708" s="11">
        <v>43746.000891203701</v>
      </c>
      <c r="B1708" s="12" t="str">
        <f>HYPERLINK("https://twitter.com/MohamedAldaeil","@MohamedAldaeil")</f>
        <v>@MohamedAldaeil</v>
      </c>
      <c r="C1708" s="7" t="s">
        <v>10315</v>
      </c>
      <c r="D1708" s="7" t="s">
        <v>10317</v>
      </c>
      <c r="E1708" s="12" t="str">
        <f>HYPERLINK("https://twitter.com/MohamedAldaeil/status/1181464563847487489","1181464563847487489")</f>
        <v>1181464563847487489</v>
      </c>
      <c r="F1708" s="15"/>
      <c r="G1708" s="14" t="s">
        <v>10318</v>
      </c>
      <c r="H1708" s="8"/>
      <c r="I1708" s="15">
        <v>0</v>
      </c>
      <c r="J1708" s="15">
        <v>0</v>
      </c>
      <c r="K1708" s="12" t="str">
        <f>HYPERLINK("http://twitter.com","Twitter Web Client")</f>
        <v>Twitter Web Client</v>
      </c>
      <c r="L1708" s="16">
        <v>2</v>
      </c>
      <c r="M1708" s="16">
        <v>36</v>
      </c>
      <c r="N1708" s="16">
        <v>0</v>
      </c>
      <c r="O1708" s="17"/>
      <c r="P1708" s="18">
        <v>42067.235775462963</v>
      </c>
      <c r="Q1708" s="15"/>
      <c r="R1708" s="7"/>
      <c r="S1708" s="8"/>
      <c r="T1708" s="8"/>
      <c r="U1708" s="19" t="str">
        <f>HYPERLINK("https://pbs.twimg.com/profile_images/573270385212325889/-y25Owjr.jpeg","View")</f>
        <v>View</v>
      </c>
      <c r="V1708" s="8"/>
      <c r="W1708" s="8"/>
      <c r="X1708" s="8"/>
      <c r="Y1708" s="8"/>
      <c r="Z1708" s="8"/>
    </row>
    <row r="1709" spans="1:26" ht="12.75">
      <c r="A1709" s="11">
        <v>43746.000740740739</v>
      </c>
      <c r="B1709" s="12" t="str">
        <f>HYPERLINK("https://twitter.com/zakirbukhari3","@zakirbukhari3")</f>
        <v>@zakirbukhari3</v>
      </c>
      <c r="C1709" s="13" t="s">
        <v>10322</v>
      </c>
      <c r="D1709" s="13" t="s">
        <v>3710</v>
      </c>
      <c r="E1709" s="12" t="str">
        <f>HYPERLINK("https://twitter.com/zakirbukhari3/status/1181464512471412736","1181464512471412736")</f>
        <v>1181464512471412736</v>
      </c>
      <c r="F1709" s="8"/>
      <c r="G1709" s="14" t="s">
        <v>10324</v>
      </c>
      <c r="H1709" s="8"/>
      <c r="I1709" s="15">
        <v>0</v>
      </c>
      <c r="J1709" s="15">
        <v>0</v>
      </c>
      <c r="K1709" s="12" t="str">
        <f>HYPERLINK("http://twitter.com","Twitter Web Client")</f>
        <v>Twitter Web Client</v>
      </c>
      <c r="L1709" s="16">
        <v>2</v>
      </c>
      <c r="M1709" s="16">
        <v>37</v>
      </c>
      <c r="N1709" s="16">
        <v>0</v>
      </c>
      <c r="O1709" s="17"/>
      <c r="P1709" s="18">
        <v>42081.623217592598</v>
      </c>
      <c r="Q1709" s="8"/>
      <c r="R1709" s="8"/>
      <c r="S1709" s="8"/>
      <c r="T1709" s="8"/>
      <c r="U1709" s="19" t="str">
        <f>HYPERLINK("https://pbs.twimg.com/profile_images/578316550777675776/RkCSDAiI.jpeg","View")</f>
        <v>View</v>
      </c>
      <c r="V1709" s="8"/>
      <c r="W1709" s="8"/>
      <c r="X1709" s="8"/>
      <c r="Y1709" s="8"/>
      <c r="Z1709" s="8"/>
    </row>
    <row r="1710" spans="1:26" ht="12.75">
      <c r="A1710" s="11">
        <v>43745.999895833331</v>
      </c>
      <c r="B1710" s="12" t="str">
        <f>HYPERLINK("https://twitter.com/alsa3adee22","@alsa3adee22")</f>
        <v>@alsa3adee22</v>
      </c>
      <c r="C1710" s="7" t="s">
        <v>10328</v>
      </c>
      <c r="D1710" s="13" t="s">
        <v>3191</v>
      </c>
      <c r="E1710" s="12" t="str">
        <f>HYPERLINK("https://twitter.com/alsa3adee22/status/1181464203615449089","1181464203615449089")</f>
        <v>1181464203615449089</v>
      </c>
      <c r="F1710" s="15"/>
      <c r="G1710" s="14" t="s">
        <v>10329</v>
      </c>
      <c r="H1710" s="8"/>
      <c r="I1710" s="15">
        <v>0</v>
      </c>
      <c r="J1710" s="15">
        <v>0</v>
      </c>
      <c r="K1710" s="12" t="str">
        <f>HYPERLINK("http://twitter.com","Twitter Web Client")</f>
        <v>Twitter Web Client</v>
      </c>
      <c r="L1710" s="16">
        <v>0</v>
      </c>
      <c r="M1710" s="16">
        <v>46</v>
      </c>
      <c r="N1710" s="16">
        <v>0</v>
      </c>
      <c r="O1710" s="17"/>
      <c r="P1710" s="18">
        <v>42073.170856481476</v>
      </c>
      <c r="Q1710" s="15"/>
      <c r="R1710" s="7"/>
      <c r="S1710" s="8"/>
      <c r="T1710" s="8"/>
      <c r="U1710" s="19" t="str">
        <f>HYPERLINK("https://pbs.twimg.com/profile_images/575251378827718656/taC9Hswm.jpeg","View")</f>
        <v>View</v>
      </c>
      <c r="V1710" s="8"/>
      <c r="W1710" s="8"/>
      <c r="X1710" s="8"/>
      <c r="Y1710" s="8"/>
      <c r="Z1710" s="8"/>
    </row>
    <row r="1711" spans="1:26" ht="12.75">
      <c r="A1711" s="11">
        <v>43745.999756944446</v>
      </c>
      <c r="B1711" s="12" t="str">
        <f>HYPERLINK("https://twitter.com/RezkElhlaly","@RezkElhlaly")</f>
        <v>@RezkElhlaly</v>
      </c>
      <c r="C1711" s="7" t="s">
        <v>10330</v>
      </c>
      <c r="D1711" s="13" t="s">
        <v>2346</v>
      </c>
      <c r="E1711" s="12" t="str">
        <f>HYPERLINK("https://twitter.com/RezkElhlaly/status/1181464155611643905","1181464155611643905")</f>
        <v>1181464155611643905</v>
      </c>
      <c r="F1711" s="15"/>
      <c r="G1711" s="14" t="s">
        <v>10331</v>
      </c>
      <c r="H1711" s="8"/>
      <c r="I1711" s="15">
        <v>0</v>
      </c>
      <c r="J1711" s="15">
        <v>0</v>
      </c>
      <c r="K1711" s="12" t="str">
        <f>HYPERLINK("http://twitter.com","Twitter Web Client")</f>
        <v>Twitter Web Client</v>
      </c>
      <c r="L1711" s="16">
        <v>0</v>
      </c>
      <c r="M1711" s="16">
        <v>32</v>
      </c>
      <c r="N1711" s="16">
        <v>0</v>
      </c>
      <c r="O1711" s="17"/>
      <c r="P1711" s="18">
        <v>41825.264618055553</v>
      </c>
      <c r="Q1711" s="15"/>
      <c r="R1711" s="7"/>
      <c r="S1711" s="8"/>
      <c r="T1711" s="8"/>
      <c r="U1711" s="19" t="str">
        <f>HYPERLINK("https://pbs.twimg.com/profile_images/485413228847976448/0No4NHuM.jpeg","View")</f>
        <v>View</v>
      </c>
      <c r="V1711" s="8"/>
      <c r="W1711" s="8"/>
      <c r="X1711" s="8"/>
      <c r="Y1711" s="8"/>
      <c r="Z1711" s="8"/>
    </row>
    <row r="1712" spans="1:26" ht="12.75">
      <c r="A1712" s="11">
        <v>43745.999479166669</v>
      </c>
      <c r="B1712" s="12" t="str">
        <f>HYPERLINK("https://twitter.com/farraas32_TT","@farraas32_TT")</f>
        <v>@farraas32_TT</v>
      </c>
      <c r="C1712" s="7" t="s">
        <v>10334</v>
      </c>
      <c r="D1712" s="7" t="s">
        <v>3720</v>
      </c>
      <c r="E1712" s="12" t="str">
        <f>HYPERLINK("https://twitter.com/farraas32_TT/status/1181464054432444416","1181464054432444416")</f>
        <v>1181464054432444416</v>
      </c>
      <c r="F1712" s="15"/>
      <c r="G1712" s="14" t="s">
        <v>10335</v>
      </c>
      <c r="H1712" s="8"/>
      <c r="I1712" s="15">
        <v>0</v>
      </c>
      <c r="J1712" s="15">
        <v>0</v>
      </c>
      <c r="K1712" s="12" t="str">
        <f>HYPERLINK("http://twitter.com","Twitter Web Client")</f>
        <v>Twitter Web Client</v>
      </c>
      <c r="L1712" s="16">
        <v>7</v>
      </c>
      <c r="M1712" s="16">
        <v>36</v>
      </c>
      <c r="N1712" s="16">
        <v>0</v>
      </c>
      <c r="O1712" s="17"/>
      <c r="P1712" s="18">
        <v>42072.688483796301</v>
      </c>
      <c r="Q1712" s="15"/>
      <c r="R1712" s="7"/>
      <c r="S1712" s="8"/>
      <c r="T1712" s="8"/>
      <c r="U1712" s="19" t="str">
        <f>HYPERLINK("https://pbs.twimg.com/profile_images/575076722107809792/4_BjiiZh.jpeg","View")</f>
        <v>View</v>
      </c>
      <c r="V1712" s="8"/>
      <c r="W1712" s="8"/>
      <c r="X1712" s="8"/>
      <c r="Y1712" s="8"/>
      <c r="Z1712" s="8"/>
    </row>
    <row r="1713" spans="1:26" ht="12.75">
      <c r="A1713" s="11">
        <v>43745.999212962968</v>
      </c>
      <c r="B1713" s="12" t="str">
        <f>HYPERLINK("https://twitter.com/YaFares","@YaFares")</f>
        <v>@YaFares</v>
      </c>
      <c r="C1713" s="7" t="s">
        <v>10340</v>
      </c>
      <c r="D1713" s="13" t="s">
        <v>3224</v>
      </c>
      <c r="E1713" s="12" t="str">
        <f>HYPERLINK("https://twitter.com/YaFares/status/1181463958361903105","1181463958361903105")</f>
        <v>1181463958361903105</v>
      </c>
      <c r="F1713" s="15"/>
      <c r="G1713" s="14" t="s">
        <v>10341</v>
      </c>
      <c r="H1713" s="8"/>
      <c r="I1713" s="15">
        <v>0</v>
      </c>
      <c r="J1713" s="15">
        <v>0</v>
      </c>
      <c r="K1713" s="12" t="str">
        <f>HYPERLINK("http://twitter.com","Twitter Web Client")</f>
        <v>Twitter Web Client</v>
      </c>
      <c r="L1713" s="16">
        <v>5</v>
      </c>
      <c r="M1713" s="16">
        <v>43</v>
      </c>
      <c r="N1713" s="16">
        <v>0</v>
      </c>
      <c r="O1713" s="17"/>
      <c r="P1713" s="18">
        <v>42072.559942129628</v>
      </c>
      <c r="Q1713" s="15"/>
      <c r="R1713" s="7"/>
      <c r="S1713" s="8"/>
      <c r="T1713" s="8"/>
      <c r="U1713" s="19" t="str">
        <f>HYPERLINK("https://pbs.twimg.com/profile_images/575031831919099904/H7NHM6IX.jpeg","View")</f>
        <v>View</v>
      </c>
      <c r="V1713" s="8"/>
      <c r="W1713" s="8"/>
      <c r="X1713" s="8"/>
      <c r="Y1713" s="8"/>
      <c r="Z1713" s="8"/>
    </row>
    <row r="1714" spans="1:26" ht="12.75">
      <c r="A1714" s="11">
        <v>43745.999155092592</v>
      </c>
      <c r="B1714" s="12" t="str">
        <f>HYPERLINK("https://twitter.com/SaadeFaisal","@SaadeFaisal")</f>
        <v>@SaadeFaisal</v>
      </c>
      <c r="C1714" s="7" t="s">
        <v>10345</v>
      </c>
      <c r="D1714" s="13" t="s">
        <v>1030</v>
      </c>
      <c r="E1714" s="12" t="str">
        <f>HYPERLINK("https://twitter.com/SaadeFaisal/status/1181463934655594496","1181463934655594496")</f>
        <v>1181463934655594496</v>
      </c>
      <c r="F1714" s="15"/>
      <c r="G1714" s="14" t="s">
        <v>10346</v>
      </c>
      <c r="H1714" s="8"/>
      <c r="I1714" s="15">
        <v>0</v>
      </c>
      <c r="J1714" s="15">
        <v>0</v>
      </c>
      <c r="K1714" s="12" t="str">
        <f>HYPERLINK("https://mobile.twitter.com","Twitter Web App")</f>
        <v>Twitter Web App</v>
      </c>
      <c r="L1714" s="16">
        <v>0</v>
      </c>
      <c r="M1714" s="16">
        <v>2</v>
      </c>
      <c r="N1714" s="16">
        <v>0</v>
      </c>
      <c r="O1714" s="17"/>
      <c r="P1714" s="18">
        <v>43742.929062499999</v>
      </c>
      <c r="Q1714" s="15" t="s">
        <v>1835</v>
      </c>
      <c r="R1714" s="7" t="s">
        <v>3040</v>
      </c>
      <c r="S1714" s="8"/>
      <c r="T1714" s="8"/>
      <c r="U1714" s="19" t="str">
        <f>HYPERLINK("https://pbs.twimg.com/profile_images/1180799017405448192/ttBtWuic.jpg","View")</f>
        <v>View</v>
      </c>
      <c r="V1714" s="8"/>
      <c r="W1714" s="8"/>
      <c r="X1714" s="8"/>
      <c r="Y1714" s="8"/>
      <c r="Z1714" s="8"/>
    </row>
    <row r="1715" spans="1:26" ht="12.75">
      <c r="A1715" s="11">
        <v>43745.998252314814</v>
      </c>
      <c r="B1715" s="12" t="str">
        <f>HYPERLINK("https://twitter.com/abdullahskhithe","@abdullahskhithe")</f>
        <v>@abdullahskhithe</v>
      </c>
      <c r="C1715" s="7" t="s">
        <v>10350</v>
      </c>
      <c r="D1715" s="13" t="s">
        <v>10351</v>
      </c>
      <c r="E1715" s="12" t="str">
        <f>HYPERLINK("https://twitter.com/abdullahskhithe/status/1181463609735598080","1181463609735598080")</f>
        <v>1181463609735598080</v>
      </c>
      <c r="F1715" s="15"/>
      <c r="G1715" s="14" t="s">
        <v>10352</v>
      </c>
      <c r="H1715" s="8"/>
      <c r="I1715" s="15">
        <v>0</v>
      </c>
      <c r="J1715" s="15">
        <v>0</v>
      </c>
      <c r="K1715" s="12" t="str">
        <f>HYPERLINK("http://twitter.com","Twitter Web Client")</f>
        <v>Twitter Web Client</v>
      </c>
      <c r="L1715" s="16">
        <v>0</v>
      </c>
      <c r="M1715" s="16">
        <v>28</v>
      </c>
      <c r="N1715" s="16">
        <v>0</v>
      </c>
      <c r="O1715" s="17"/>
      <c r="P1715" s="18">
        <v>41849.394409722227</v>
      </c>
      <c r="Q1715" s="15"/>
      <c r="R1715" s="7"/>
      <c r="S1715" s="8"/>
      <c r="T1715" s="8"/>
      <c r="U1715" s="19" t="str">
        <f>HYPERLINK("https://pbs.twimg.com/profile_images/494158305619496960/qVlHnt-6.jpeg","View")</f>
        <v>View</v>
      </c>
      <c r="V1715" s="8"/>
      <c r="W1715" s="8"/>
      <c r="X1715" s="8"/>
      <c r="Y1715" s="8"/>
      <c r="Z1715" s="8"/>
    </row>
    <row r="1716" spans="1:26" ht="12.75">
      <c r="A1716" s="11">
        <v>43745.996724537035</v>
      </c>
      <c r="B1716" s="12" t="str">
        <f>HYPERLINK("https://twitter.com/AGhamdi2016","@AGhamdi2016")</f>
        <v>@AGhamdi2016</v>
      </c>
      <c r="C1716" s="7" t="s">
        <v>6086</v>
      </c>
      <c r="D1716" s="13" t="s">
        <v>2392</v>
      </c>
      <c r="E1716" s="12" t="str">
        <f>HYPERLINK("https://twitter.com/AGhamdi2016/status/1181463056251002881","1181463056251002881")</f>
        <v>1181463056251002881</v>
      </c>
      <c r="F1716" s="15"/>
      <c r="G1716" s="14" t="s">
        <v>10357</v>
      </c>
      <c r="H1716" s="8"/>
      <c r="I1716" s="15">
        <v>0</v>
      </c>
      <c r="J1716" s="15">
        <v>0</v>
      </c>
      <c r="K1716" s="12" t="str">
        <f>HYPERLINK("http://twitter.com","Twitter Web Client")</f>
        <v>Twitter Web Client</v>
      </c>
      <c r="L1716" s="16">
        <v>1</v>
      </c>
      <c r="M1716" s="16">
        <v>36</v>
      </c>
      <c r="N1716" s="16">
        <v>0</v>
      </c>
      <c r="O1716" s="17"/>
      <c r="P1716" s="18">
        <v>42022.71597222222</v>
      </c>
      <c r="Q1716" s="15"/>
      <c r="R1716" s="7"/>
      <c r="S1716" s="8"/>
      <c r="T1716" s="8"/>
      <c r="U1716" s="19" t="str">
        <f>HYPERLINK("https://pbs.twimg.com/profile_images/556983013045596162/LWBDE4AN.jpeg","View")</f>
        <v>View</v>
      </c>
      <c r="V1716" s="8"/>
      <c r="W1716" s="8"/>
      <c r="X1716" s="8"/>
      <c r="Y1716" s="8"/>
      <c r="Z1716" s="8"/>
    </row>
    <row r="1717" spans="1:26" ht="12.75">
      <c r="A1717" s="11">
        <v>43745.996585648143</v>
      </c>
      <c r="B1717" s="12" t="str">
        <f>HYPERLINK("https://twitter.com/behindalmtalv1","@behindalmtalv1")</f>
        <v>@behindalmtalv1</v>
      </c>
      <c r="C1717" s="13" t="s">
        <v>10360</v>
      </c>
      <c r="D1717" s="13" t="s">
        <v>10361</v>
      </c>
      <c r="E1717" s="12" t="str">
        <f>HYPERLINK("https://twitter.com/behindalmtalv1/status/1181463005118287873","1181463005118287873")</f>
        <v>1181463005118287873</v>
      </c>
      <c r="F1717" s="8"/>
      <c r="G1717" s="14" t="s">
        <v>10362</v>
      </c>
      <c r="H1717" s="8"/>
      <c r="I1717" s="15">
        <v>0</v>
      </c>
      <c r="J1717" s="15">
        <v>0</v>
      </c>
      <c r="K1717" s="12" t="str">
        <f>HYPERLINK("http://twitter.com","Twitter Web Client")</f>
        <v>Twitter Web Client</v>
      </c>
      <c r="L1717" s="16">
        <v>0</v>
      </c>
      <c r="M1717" s="16">
        <v>34</v>
      </c>
      <c r="N1717" s="16">
        <v>0</v>
      </c>
      <c r="O1717" s="17"/>
      <c r="P1717" s="18">
        <v>42087.7965162037</v>
      </c>
      <c r="Q1717" s="8"/>
      <c r="R1717" s="8"/>
      <c r="S1717" s="8"/>
      <c r="T1717" s="8"/>
      <c r="U1717" s="19" t="str">
        <f>HYPERLINK("https://pbs.twimg.com/profile_images/580552403491115008/fxEzbwlp.jpg","View")</f>
        <v>View</v>
      </c>
      <c r="V1717" s="8"/>
      <c r="W1717" s="8"/>
      <c r="X1717" s="8"/>
      <c r="Y1717" s="8"/>
      <c r="Z1717" s="8"/>
    </row>
    <row r="1718" spans="1:26" ht="12.75">
      <c r="A1718" s="11">
        <v>43745.996307870373</v>
      </c>
      <c r="B1718" s="12" t="str">
        <f>HYPERLINK("https://twitter.com/ziadzar3an","@ziadzar3an")</f>
        <v>@ziadzar3an</v>
      </c>
      <c r="C1718" s="13" t="s">
        <v>10366</v>
      </c>
      <c r="D1718" s="13" t="s">
        <v>3247</v>
      </c>
      <c r="E1718" s="12" t="str">
        <f>HYPERLINK("https://twitter.com/ziadzar3an/status/1181462905776214016","1181462905776214016")</f>
        <v>1181462905776214016</v>
      </c>
      <c r="F1718" s="8"/>
      <c r="G1718" s="14" t="s">
        <v>10368</v>
      </c>
      <c r="H1718" s="8"/>
      <c r="I1718" s="15">
        <v>0</v>
      </c>
      <c r="J1718" s="15">
        <v>0</v>
      </c>
      <c r="K1718" s="12" t="str">
        <f>HYPERLINK("http://twitter.com","Twitter Web Client")</f>
        <v>Twitter Web Client</v>
      </c>
      <c r="L1718" s="16">
        <v>0</v>
      </c>
      <c r="M1718" s="16">
        <v>31</v>
      </c>
      <c r="N1718" s="16">
        <v>0</v>
      </c>
      <c r="O1718" s="17"/>
      <c r="P1718" s="18">
        <v>41823.359131944446</v>
      </c>
      <c r="Q1718" s="8"/>
      <c r="R1718" s="8"/>
      <c r="S1718" s="8"/>
      <c r="T1718" s="8"/>
      <c r="U1718" s="19" t="str">
        <f>HYPERLINK("https://pbs.twimg.com/profile_images/484722718139351040/GrAQinJh.jpeg","View")</f>
        <v>View</v>
      </c>
      <c r="V1718" s="8"/>
      <c r="W1718" s="8"/>
      <c r="X1718" s="8"/>
      <c r="Y1718" s="8"/>
      <c r="Z1718" s="8"/>
    </row>
    <row r="1719" spans="1:26" ht="12.75">
      <c r="A1719" s="11">
        <v>43745.993831018517</v>
      </c>
      <c r="B1719" s="12" t="str">
        <f>HYPERLINK("https://twitter.com/alayaaf0_77","@alayaaf0_77")</f>
        <v>@alayaaf0_77</v>
      </c>
      <c r="C1719" s="13" t="s">
        <v>10370</v>
      </c>
      <c r="D1719" s="13" t="s">
        <v>10371</v>
      </c>
      <c r="E1719" s="12" t="str">
        <f>HYPERLINK("https://twitter.com/alayaaf0_77/status/1181462004424478720","1181462004424478720")</f>
        <v>1181462004424478720</v>
      </c>
      <c r="F1719" s="8"/>
      <c r="G1719" s="14" t="s">
        <v>10372</v>
      </c>
      <c r="H1719" s="8"/>
      <c r="I1719" s="15">
        <v>0</v>
      </c>
      <c r="J1719" s="15">
        <v>0</v>
      </c>
      <c r="K1719" s="12" t="str">
        <f>HYPERLINK("http://twitter.com","Twitter Web Client")</f>
        <v>Twitter Web Client</v>
      </c>
      <c r="L1719" s="16">
        <v>8</v>
      </c>
      <c r="M1719" s="16">
        <v>46</v>
      </c>
      <c r="N1719" s="16">
        <v>0</v>
      </c>
      <c r="O1719" s="17"/>
      <c r="P1719" s="18">
        <v>42074.686215277776</v>
      </c>
      <c r="Q1719" s="8"/>
      <c r="R1719" s="8"/>
      <c r="S1719" s="8"/>
      <c r="T1719" s="8"/>
      <c r="U1719" s="19" t="str">
        <f>HYPERLINK("https://pbs.twimg.com/profile_images/575800610362011649/A_yltgcG.jpeg","View")</f>
        <v>View</v>
      </c>
      <c r="V1719" s="8"/>
      <c r="W1719" s="8"/>
      <c r="X1719" s="8"/>
      <c r="Y1719" s="8"/>
      <c r="Z1719" s="8"/>
    </row>
    <row r="1720" spans="1:26" ht="12.75">
      <c r="A1720" s="11">
        <v>43745.993680555555</v>
      </c>
      <c r="B1720" s="12" t="str">
        <f>HYPERLINK("https://twitter.com/rajaharbi2","@rajaharbi2")</f>
        <v>@rajaharbi2</v>
      </c>
      <c r="C1720" s="13" t="s">
        <v>10373</v>
      </c>
      <c r="D1720" s="13" t="s">
        <v>3771</v>
      </c>
      <c r="E1720" s="12" t="str">
        <f>HYPERLINK("https://twitter.com/rajaharbi2/status/1181461952796737536","1181461952796737536")</f>
        <v>1181461952796737536</v>
      </c>
      <c r="F1720" s="8"/>
      <c r="G1720" s="14" t="s">
        <v>10376</v>
      </c>
      <c r="H1720" s="8"/>
      <c r="I1720" s="15">
        <v>0</v>
      </c>
      <c r="J1720" s="15">
        <v>0</v>
      </c>
      <c r="K1720" s="12" t="str">
        <f>HYPERLINK("http://twitter.com","Twitter Web Client")</f>
        <v>Twitter Web Client</v>
      </c>
      <c r="L1720" s="16">
        <v>1</v>
      </c>
      <c r="M1720" s="16">
        <v>42</v>
      </c>
      <c r="N1720" s="16">
        <v>0</v>
      </c>
      <c r="O1720" s="17"/>
      <c r="P1720" s="18">
        <v>42071.211805555555</v>
      </c>
      <c r="Q1720" s="8"/>
      <c r="R1720" s="8"/>
      <c r="S1720" s="8"/>
      <c r="T1720" s="8"/>
      <c r="U1720" s="19" t="str">
        <f>HYPERLINK("https://pbs.twimg.com/profile_images/574541613323583488/kaplzsbO.jpeg","View")</f>
        <v>View</v>
      </c>
      <c r="V1720" s="8"/>
      <c r="W1720" s="8"/>
      <c r="X1720" s="8"/>
      <c r="Y1720" s="8"/>
      <c r="Z1720" s="8"/>
    </row>
    <row r="1721" spans="1:26" ht="12.75">
      <c r="A1721" s="11">
        <v>43745.993368055555</v>
      </c>
      <c r="B1721" s="12" t="str">
        <f>HYPERLINK("https://twitter.com/AlrbahHammad","@AlrbahHammad")</f>
        <v>@AlrbahHammad</v>
      </c>
      <c r="C1721" s="13" t="s">
        <v>10378</v>
      </c>
      <c r="D1721" s="13" t="s">
        <v>2431</v>
      </c>
      <c r="E1721" s="12" t="str">
        <f>HYPERLINK("https://twitter.com/AlrbahHammad/status/1181461839785447424","1181461839785447424")</f>
        <v>1181461839785447424</v>
      </c>
      <c r="F1721" s="8"/>
      <c r="G1721" s="14" t="s">
        <v>10379</v>
      </c>
      <c r="H1721" s="8"/>
      <c r="I1721" s="15">
        <v>0</v>
      </c>
      <c r="J1721" s="15">
        <v>0</v>
      </c>
      <c r="K1721" s="12" t="str">
        <f>HYPERLINK("http://twitter.com","Twitter Web Client")</f>
        <v>Twitter Web Client</v>
      </c>
      <c r="L1721" s="16">
        <v>9</v>
      </c>
      <c r="M1721" s="16">
        <v>45</v>
      </c>
      <c r="N1721" s="16">
        <v>0</v>
      </c>
      <c r="O1721" s="17"/>
      <c r="P1721" s="18">
        <v>42071.611898148149</v>
      </c>
      <c r="Q1721" s="8"/>
      <c r="R1721" s="8"/>
      <c r="S1721" s="8"/>
      <c r="T1721" s="8"/>
      <c r="U1721" s="19" t="str">
        <f>HYPERLINK("https://pbs.twimg.com/profile_images/574714903686086657/1otN_KB4.jpeg","View")</f>
        <v>View</v>
      </c>
      <c r="V1721" s="8"/>
      <c r="W1721" s="8"/>
      <c r="X1721" s="8"/>
      <c r="Y1721" s="8"/>
      <c r="Z1721" s="8"/>
    </row>
    <row r="1722" spans="1:26" ht="12.75">
      <c r="A1722" s="11">
        <v>43745.992696759262</v>
      </c>
      <c r="B1722" s="12" t="str">
        <f>HYPERLINK("https://twitter.com/hassankhawaji2","@hassankhawaji2")</f>
        <v>@hassankhawaji2</v>
      </c>
      <c r="C1722" s="13" t="s">
        <v>10380</v>
      </c>
      <c r="D1722" s="13" t="s">
        <v>2455</v>
      </c>
      <c r="E1722" s="12" t="str">
        <f>HYPERLINK("https://twitter.com/hassankhawaji2/status/1181461594808733697","1181461594808733697")</f>
        <v>1181461594808733697</v>
      </c>
      <c r="F1722" s="8"/>
      <c r="G1722" s="14" t="s">
        <v>10381</v>
      </c>
      <c r="H1722" s="8"/>
      <c r="I1722" s="15">
        <v>0</v>
      </c>
      <c r="J1722" s="15">
        <v>0</v>
      </c>
      <c r="K1722" s="12" t="str">
        <f>HYPERLINK("http://twitter.com","Twitter Web Client")</f>
        <v>Twitter Web Client</v>
      </c>
      <c r="L1722" s="16">
        <v>0</v>
      </c>
      <c r="M1722" s="16">
        <v>35</v>
      </c>
      <c r="N1722" s="16">
        <v>0</v>
      </c>
      <c r="O1722" s="17"/>
      <c r="P1722" s="18">
        <v>41824.2971412037</v>
      </c>
      <c r="Q1722" s="8"/>
      <c r="R1722" s="8"/>
      <c r="S1722" s="8"/>
      <c r="T1722" s="8"/>
      <c r="U1722" s="19" t="str">
        <f>HYPERLINK("https://pbs.twimg.com/profile_images/485063243342163969/TQWdECqg.jpeg","View")</f>
        <v>View</v>
      </c>
      <c r="V1722" s="8"/>
      <c r="W1722" s="8"/>
      <c r="X1722" s="8"/>
      <c r="Y1722" s="8"/>
      <c r="Z1722" s="8"/>
    </row>
    <row r="1723" spans="1:26" ht="12.75">
      <c r="A1723" s="11">
        <v>43745.991412037038</v>
      </c>
      <c r="B1723" s="12" t="str">
        <f>HYPERLINK("https://twitter.com/elmaga333","@elmaga333")</f>
        <v>@elmaga333</v>
      </c>
      <c r="C1723" s="13" t="s">
        <v>10387</v>
      </c>
      <c r="D1723" s="13" t="s">
        <v>2479</v>
      </c>
      <c r="E1723" s="12" t="str">
        <f>HYPERLINK("https://twitter.com/elmaga333/status/1181461130428010496","1181461130428010496")</f>
        <v>1181461130428010496</v>
      </c>
      <c r="F1723" s="8"/>
      <c r="G1723" s="14" t="s">
        <v>10388</v>
      </c>
      <c r="H1723" s="8"/>
      <c r="I1723" s="15">
        <v>0</v>
      </c>
      <c r="J1723" s="15">
        <v>0</v>
      </c>
      <c r="K1723" s="12" t="str">
        <f>HYPERLINK("http://twitter.com","Twitter Web Client")</f>
        <v>Twitter Web Client</v>
      </c>
      <c r="L1723" s="16">
        <v>8</v>
      </c>
      <c r="M1723" s="16">
        <v>52</v>
      </c>
      <c r="N1723" s="16">
        <v>0</v>
      </c>
      <c r="O1723" s="17"/>
      <c r="P1723" s="18">
        <v>42075.255844907406</v>
      </c>
      <c r="Q1723" s="8"/>
      <c r="R1723" s="8"/>
      <c r="S1723" s="8"/>
      <c r="T1723" s="8"/>
      <c r="U1723" s="19" t="str">
        <f>HYPERLINK("https://pbs.twimg.com/profile_images/576006980516507648/uHaJyQ9z.jpeg","View")</f>
        <v>View</v>
      </c>
      <c r="V1723" s="8"/>
      <c r="W1723" s="8"/>
      <c r="X1723" s="8"/>
      <c r="Y1723" s="8"/>
      <c r="Z1723" s="8"/>
    </row>
    <row r="1724" spans="1:26" ht="12.75">
      <c r="A1724" s="11">
        <v>43745.98951388889</v>
      </c>
      <c r="B1724" s="12" t="str">
        <f>HYPERLINK("https://twitter.com/nasseraljasser3","@nasseraljasser3")</f>
        <v>@nasseraljasser3</v>
      </c>
      <c r="C1724" s="13" t="s">
        <v>10392</v>
      </c>
      <c r="D1724" s="13" t="s">
        <v>3793</v>
      </c>
      <c r="E1724" s="12" t="str">
        <f>HYPERLINK("https://twitter.com/nasseraljasser3/status/1181460440796336128","1181460440796336128")</f>
        <v>1181460440796336128</v>
      </c>
      <c r="F1724" s="8"/>
      <c r="G1724" s="14" t="s">
        <v>10393</v>
      </c>
      <c r="H1724" s="8"/>
      <c r="I1724" s="15">
        <v>0</v>
      </c>
      <c r="J1724" s="15">
        <v>0</v>
      </c>
      <c r="K1724" s="12" t="str">
        <f>HYPERLINK("http://twitter.com","Twitter Web Client")</f>
        <v>Twitter Web Client</v>
      </c>
      <c r="L1724" s="16">
        <v>1</v>
      </c>
      <c r="M1724" s="16">
        <v>42</v>
      </c>
      <c r="N1724" s="16">
        <v>0</v>
      </c>
      <c r="O1724" s="17"/>
      <c r="P1724" s="18">
        <v>42071.182037037041</v>
      </c>
      <c r="Q1724" s="8"/>
      <c r="R1724" s="8"/>
      <c r="S1724" s="8"/>
      <c r="T1724" s="8"/>
      <c r="U1724" s="19" t="str">
        <f>HYPERLINK("https://pbs.twimg.com/profile_images/574530813968015362/Yo91fnt1.jpeg","View")</f>
        <v>View</v>
      </c>
      <c r="V1724" s="8"/>
      <c r="W1724" s="8"/>
      <c r="X1724" s="8"/>
      <c r="Y1724" s="8"/>
      <c r="Z1724" s="8"/>
    </row>
    <row r="1725" spans="1:26" ht="12.75">
      <c r="A1725" s="11">
        <v>43745.987268518518</v>
      </c>
      <c r="B1725" s="12" t="str">
        <f>HYPERLINK("https://twitter.com/elrashady7454","@elrashady7454")</f>
        <v>@elrashady7454</v>
      </c>
      <c r="C1725" s="13" t="s">
        <v>10398</v>
      </c>
      <c r="D1725" s="13" t="s">
        <v>10399</v>
      </c>
      <c r="E1725" s="12" t="str">
        <f>HYPERLINK("https://twitter.com/elrashady7454/status/1181459629487923200","1181459629487923200")</f>
        <v>1181459629487923200</v>
      </c>
      <c r="F1725" s="8"/>
      <c r="G1725" s="14" t="s">
        <v>10400</v>
      </c>
      <c r="H1725" s="8"/>
      <c r="I1725" s="15">
        <v>0</v>
      </c>
      <c r="J1725" s="15">
        <v>0</v>
      </c>
      <c r="K1725" s="12" t="str">
        <f>HYPERLINK("http://twitter.com","Twitter Web Client")</f>
        <v>Twitter Web Client</v>
      </c>
      <c r="L1725" s="16">
        <v>11</v>
      </c>
      <c r="M1725" s="16">
        <v>44</v>
      </c>
      <c r="N1725" s="16">
        <v>0</v>
      </c>
      <c r="O1725" s="17"/>
      <c r="P1725" s="18">
        <v>42073.364386574074</v>
      </c>
      <c r="Q1725" s="8"/>
      <c r="R1725" s="8"/>
      <c r="S1725" s="8"/>
      <c r="T1725" s="8"/>
      <c r="U1725" s="19" t="str">
        <f>HYPERLINK("https://pbs.twimg.com/profile_images/575321556957581312/IAAlK_Wr.jpeg","View")</f>
        <v>View</v>
      </c>
      <c r="V1725" s="8"/>
      <c r="W1725" s="8"/>
      <c r="X1725" s="8"/>
      <c r="Y1725" s="8"/>
      <c r="Z1725" s="8"/>
    </row>
    <row r="1726" spans="1:26" ht="12.75">
      <c r="A1726" s="11">
        <v>43745.986273148148</v>
      </c>
      <c r="B1726" s="12" t="str">
        <f>HYPERLINK("https://twitter.com/Elsabry49Hamad","@Elsabry49Hamad")</f>
        <v>@Elsabry49Hamad</v>
      </c>
      <c r="C1726" s="7" t="s">
        <v>10404</v>
      </c>
      <c r="D1726" s="7" t="s">
        <v>3293</v>
      </c>
      <c r="E1726" s="12" t="str">
        <f>HYPERLINK("https://twitter.com/Elsabry49Hamad/status/1181459269360717824","1181459269360717824")</f>
        <v>1181459269360717824</v>
      </c>
      <c r="F1726" s="15"/>
      <c r="G1726" s="14" t="s">
        <v>10405</v>
      </c>
      <c r="H1726" s="8"/>
      <c r="I1726" s="15">
        <v>0</v>
      </c>
      <c r="J1726" s="15">
        <v>0</v>
      </c>
      <c r="K1726" s="12" t="str">
        <f>HYPERLINK("http://twitter.com","Twitter Web Client")</f>
        <v>Twitter Web Client</v>
      </c>
      <c r="L1726" s="16">
        <v>0</v>
      </c>
      <c r="M1726" s="16">
        <v>38</v>
      </c>
      <c r="N1726" s="16">
        <v>0</v>
      </c>
      <c r="O1726" s="17"/>
      <c r="P1726" s="18">
        <v>42529.167986111112</v>
      </c>
      <c r="Q1726" s="8"/>
      <c r="R1726" s="7" t="s">
        <v>10408</v>
      </c>
      <c r="S1726" s="8"/>
      <c r="T1726" s="8"/>
      <c r="U1726" s="19" t="str">
        <f>HYPERLINK("https://pbs.twimg.com/profile_images/740499319875325952/s52J7ZOL.jpg","View")</f>
        <v>View</v>
      </c>
      <c r="V1726" s="8"/>
      <c r="W1726" s="8"/>
      <c r="X1726" s="8"/>
      <c r="Y1726" s="8"/>
      <c r="Z1726" s="8"/>
    </row>
    <row r="1727" spans="1:26" ht="12.75">
      <c r="A1727" s="11">
        <v>43745.985856481479</v>
      </c>
      <c r="B1727" s="12" t="str">
        <f>HYPERLINK("https://twitter.com/alsadaeek33","@alsadaeek33")</f>
        <v>@alsadaeek33</v>
      </c>
      <c r="C1727" s="7" t="s">
        <v>10410</v>
      </c>
      <c r="D1727" s="13" t="s">
        <v>3804</v>
      </c>
      <c r="E1727" s="12" t="str">
        <f>HYPERLINK("https://twitter.com/alsadaeek33/status/1181459117501751296","1181459117501751296")</f>
        <v>1181459117501751296</v>
      </c>
      <c r="F1727" s="15"/>
      <c r="G1727" s="14" t="s">
        <v>10411</v>
      </c>
      <c r="H1727" s="8"/>
      <c r="I1727" s="15">
        <v>0</v>
      </c>
      <c r="J1727" s="15">
        <v>0</v>
      </c>
      <c r="K1727" s="12" t="str">
        <f>HYPERLINK("http://twitter.com","Twitter Web Client")</f>
        <v>Twitter Web Client</v>
      </c>
      <c r="L1727" s="16">
        <v>6</v>
      </c>
      <c r="M1727" s="16">
        <v>35</v>
      </c>
      <c r="N1727" s="16">
        <v>0</v>
      </c>
      <c r="O1727" s="17"/>
      <c r="P1727" s="18">
        <v>42073.249548611115</v>
      </c>
      <c r="Q1727" s="8"/>
      <c r="R1727" s="7"/>
      <c r="S1727" s="8"/>
      <c r="T1727" s="8"/>
      <c r="U1727" s="19" t="str">
        <f>HYPERLINK("https://pbs.twimg.com/profile_images/575280094320590848/P4bcgYTB.jpeg","View")</f>
        <v>View</v>
      </c>
      <c r="V1727" s="8"/>
      <c r="W1727" s="8"/>
      <c r="X1727" s="8"/>
      <c r="Y1727" s="8"/>
      <c r="Z1727" s="8"/>
    </row>
    <row r="1728" spans="1:26" ht="12.75">
      <c r="A1728" s="11">
        <v>43745.985312500001</v>
      </c>
      <c r="B1728" s="12" t="str">
        <f>HYPERLINK("https://twitter.com/aldawsar88","@aldawsar88")</f>
        <v>@aldawsar88</v>
      </c>
      <c r="C1728" s="7" t="s">
        <v>10413</v>
      </c>
      <c r="D1728" s="7" t="s">
        <v>10415</v>
      </c>
      <c r="E1728" s="12" t="str">
        <f>HYPERLINK("https://twitter.com/aldawsar88/status/1181458918746263552","1181458918746263552")</f>
        <v>1181458918746263552</v>
      </c>
      <c r="F1728" s="15"/>
      <c r="G1728" s="14" t="s">
        <v>10417</v>
      </c>
      <c r="H1728" s="8"/>
      <c r="I1728" s="15">
        <v>0</v>
      </c>
      <c r="J1728" s="15">
        <v>0</v>
      </c>
      <c r="K1728" s="12" t="str">
        <f>HYPERLINK("http://twitter.com","Twitter Web Client")</f>
        <v>Twitter Web Client</v>
      </c>
      <c r="L1728" s="16">
        <v>1</v>
      </c>
      <c r="M1728" s="16">
        <v>33</v>
      </c>
      <c r="N1728" s="16">
        <v>0</v>
      </c>
      <c r="O1728" s="17"/>
      <c r="P1728" s="18">
        <v>42074.518726851849</v>
      </c>
      <c r="Q1728" s="8"/>
      <c r="R1728" s="7"/>
      <c r="S1728" s="8"/>
      <c r="T1728" s="8"/>
      <c r="U1728" s="19" t="str">
        <f>HYPERLINK("https://pbs.twimg.com/profile_images/575739883026694144/5MzQhpE4.jpeg","View")</f>
        <v>View</v>
      </c>
      <c r="V1728" s="8"/>
      <c r="W1728" s="8"/>
      <c r="X1728" s="8"/>
      <c r="Y1728" s="8"/>
      <c r="Z1728" s="8"/>
    </row>
    <row r="1729" spans="1:26" ht="12.75">
      <c r="A1729" s="11">
        <v>43745.984201388885</v>
      </c>
      <c r="B1729" s="12" t="str">
        <f>HYPERLINK("https://twitter.com/EEssaanzi2014","@EEssaanzi2014")</f>
        <v>@EEssaanzi2014</v>
      </c>
      <c r="C1729" s="7" t="s">
        <v>10420</v>
      </c>
      <c r="D1729" s="13" t="s">
        <v>2546</v>
      </c>
      <c r="E1729" s="12" t="str">
        <f>HYPERLINK("https://twitter.com/EEssaanzi2014/status/1181458516684541952","1181458516684541952")</f>
        <v>1181458516684541952</v>
      </c>
      <c r="F1729" s="15"/>
      <c r="G1729" s="14" t="s">
        <v>10421</v>
      </c>
      <c r="H1729" s="8"/>
      <c r="I1729" s="15">
        <v>0</v>
      </c>
      <c r="J1729" s="15">
        <v>0</v>
      </c>
      <c r="K1729" s="12" t="str">
        <f>HYPERLINK("http://twitter.com","Twitter Web Client")</f>
        <v>Twitter Web Client</v>
      </c>
      <c r="L1729" s="16">
        <v>0</v>
      </c>
      <c r="M1729" s="16">
        <v>35</v>
      </c>
      <c r="N1729" s="16">
        <v>0</v>
      </c>
      <c r="O1729" s="17"/>
      <c r="P1729" s="18">
        <v>41828.285185185188</v>
      </c>
      <c r="Q1729" s="8"/>
      <c r="R1729" s="7"/>
      <c r="S1729" s="8"/>
      <c r="T1729" s="8"/>
      <c r="U1729" s="19" t="str">
        <f>HYPERLINK("https://pbs.twimg.com/profile_images/486508051369717760/rM74c-uG.jpeg","View")</f>
        <v>View</v>
      </c>
      <c r="V1729" s="8"/>
      <c r="W1729" s="8"/>
      <c r="X1729" s="8"/>
      <c r="Y1729" s="8"/>
      <c r="Z1729" s="8"/>
    </row>
    <row r="1730" spans="1:26" ht="12.75">
      <c r="A1730" s="11">
        <v>43745.983472222222</v>
      </c>
      <c r="B1730" s="12" t="str">
        <f>HYPERLINK("https://twitter.com/amersad3","@amersad3")</f>
        <v>@amersad3</v>
      </c>
      <c r="C1730" s="13" t="s">
        <v>10425</v>
      </c>
      <c r="D1730" s="13" t="s">
        <v>2553</v>
      </c>
      <c r="E1730" s="12" t="str">
        <f>HYPERLINK("https://twitter.com/amersad3/status/1181458253202505729","1181458253202505729")</f>
        <v>1181458253202505729</v>
      </c>
      <c r="F1730" s="8"/>
      <c r="G1730" s="14" t="s">
        <v>10427</v>
      </c>
      <c r="H1730" s="8"/>
      <c r="I1730" s="15">
        <v>0</v>
      </c>
      <c r="J1730" s="15">
        <v>0</v>
      </c>
      <c r="K1730" s="12" t="str">
        <f>HYPERLINK("http://twitter.com","Twitter Web Client")</f>
        <v>Twitter Web Client</v>
      </c>
      <c r="L1730" s="16">
        <v>2</v>
      </c>
      <c r="M1730" s="16">
        <v>39</v>
      </c>
      <c r="N1730" s="16">
        <v>0</v>
      </c>
      <c r="O1730" s="17"/>
      <c r="P1730" s="18">
        <v>42268.789652777778</v>
      </c>
      <c r="Q1730" s="8"/>
      <c r="R1730" s="8"/>
      <c r="S1730" s="8"/>
      <c r="T1730" s="8"/>
      <c r="U1730" s="19" t="str">
        <f>HYPERLINK("https://pbs.twimg.com/profile_images/646141320654942208/Xnnru44s.jpg","View")</f>
        <v>View</v>
      </c>
      <c r="V1730" s="8"/>
      <c r="W1730" s="8"/>
      <c r="X1730" s="8"/>
      <c r="Y1730" s="8"/>
      <c r="Z1730" s="8"/>
    </row>
    <row r="1731" spans="1:26" ht="12.75">
      <c r="A1731" s="11">
        <v>43745.983194444445</v>
      </c>
      <c r="B1731" s="12" t="str">
        <f>HYPERLINK("https://twitter.com/hammuo3434","@hammuo3434")</f>
        <v>@hammuo3434</v>
      </c>
      <c r="C1731" s="7" t="s">
        <v>10431</v>
      </c>
      <c r="D1731" s="7" t="s">
        <v>3835</v>
      </c>
      <c r="E1731" s="12" t="str">
        <f>HYPERLINK("https://twitter.com/hammuo3434/status/1181458151394160640","1181458151394160640")</f>
        <v>1181458151394160640</v>
      </c>
      <c r="F1731" s="15"/>
      <c r="G1731" s="14" t="s">
        <v>10432</v>
      </c>
      <c r="H1731" s="8"/>
      <c r="I1731" s="15">
        <v>0</v>
      </c>
      <c r="J1731" s="15">
        <v>0</v>
      </c>
      <c r="K1731" s="12" t="str">
        <f>HYPERLINK("http://twitter.com","Twitter Web Client")</f>
        <v>Twitter Web Client</v>
      </c>
      <c r="L1731" s="16">
        <v>11</v>
      </c>
      <c r="M1731" s="16">
        <v>41</v>
      </c>
      <c r="N1731" s="16">
        <v>0</v>
      </c>
      <c r="O1731" s="17"/>
      <c r="P1731" s="18">
        <v>42073.380682870367</v>
      </c>
      <c r="Q1731" s="8"/>
      <c r="R1731" s="7"/>
      <c r="S1731" s="8"/>
      <c r="T1731" s="8"/>
      <c r="U1731" s="19" t="str">
        <f>HYPERLINK("https://pbs.twimg.com/profile_images/575327440613982208/AkF1IxlN.jpeg","View")</f>
        <v>View</v>
      </c>
      <c r="V1731" s="8"/>
      <c r="W1731" s="8"/>
      <c r="X1731" s="8"/>
      <c r="Y1731" s="8"/>
      <c r="Z1731" s="8"/>
    </row>
    <row r="1732" spans="1:26" ht="12.75">
      <c r="A1732" s="11">
        <v>43745.981840277775</v>
      </c>
      <c r="B1732" s="12" t="str">
        <f>HYPERLINK("https://twitter.com/snad_Qtr","@snad_Qtr")</f>
        <v>@snad_Qtr</v>
      </c>
      <c r="C1732" s="7" t="s">
        <v>10438</v>
      </c>
      <c r="D1732" s="7" t="s">
        <v>10439</v>
      </c>
      <c r="E1732" s="12" t="str">
        <f>HYPERLINK("https://twitter.com/snad_Qtr/status/1181457661621145600","1181457661621145600")</f>
        <v>1181457661621145600</v>
      </c>
      <c r="F1732" s="15"/>
      <c r="G1732" s="14" t="s">
        <v>10440</v>
      </c>
      <c r="H1732" s="8"/>
      <c r="I1732" s="15">
        <v>12</v>
      </c>
      <c r="J1732" s="15">
        <v>15</v>
      </c>
      <c r="K1732" s="12" t="str">
        <f>HYPERLINK("http://twitter.com/download/iphone","Twitter for iPhone")</f>
        <v>Twitter for iPhone</v>
      </c>
      <c r="L1732" s="16">
        <v>401</v>
      </c>
      <c r="M1732" s="16">
        <v>262</v>
      </c>
      <c r="N1732" s="16">
        <v>0</v>
      </c>
      <c r="O1732" s="17"/>
      <c r="P1732" s="18">
        <v>43735.802245370374</v>
      </c>
      <c r="Q1732" s="8" t="s">
        <v>10441</v>
      </c>
      <c r="R1732" s="7" t="s">
        <v>10442</v>
      </c>
      <c r="S1732" s="8"/>
      <c r="T1732" s="8"/>
      <c r="U1732" s="19" t="str">
        <f>HYPERLINK("https://pbs.twimg.com/profile_images/1181528624094224384/lMPNHX8k.jpg","View")</f>
        <v>View</v>
      </c>
      <c r="V1732" s="8"/>
      <c r="W1732" s="8"/>
      <c r="X1732" s="8"/>
      <c r="Y1732" s="8"/>
      <c r="Z1732" s="8"/>
    </row>
    <row r="1733" spans="1:26" ht="12.75">
      <c r="A1733" s="11">
        <v>43745.980439814812</v>
      </c>
      <c r="B1733" s="12" t="str">
        <f>HYPERLINK("https://twitter.com/mohameR44","@mohameR44")</f>
        <v>@mohameR44</v>
      </c>
      <c r="C1733" s="7" t="s">
        <v>10446</v>
      </c>
      <c r="D1733" s="7" t="s">
        <v>10447</v>
      </c>
      <c r="E1733" s="12" t="str">
        <f>HYPERLINK("https://twitter.com/mohameR44/status/1181457151765684226","1181457151765684226")</f>
        <v>1181457151765684226</v>
      </c>
      <c r="F1733" s="15"/>
      <c r="G1733" s="14" t="s">
        <v>10448</v>
      </c>
      <c r="H1733" s="8"/>
      <c r="I1733" s="15">
        <v>0</v>
      </c>
      <c r="J1733" s="15">
        <v>0</v>
      </c>
      <c r="K1733" s="12" t="str">
        <f>HYPERLINK("http://twitter.com","Twitter Web Client")</f>
        <v>Twitter Web Client</v>
      </c>
      <c r="L1733" s="16">
        <v>5</v>
      </c>
      <c r="M1733" s="16">
        <v>48</v>
      </c>
      <c r="N1733" s="16">
        <v>0</v>
      </c>
      <c r="O1733" s="17"/>
      <c r="P1733" s="18">
        <v>42077.326944444445</v>
      </c>
      <c r="Q1733" s="8"/>
      <c r="R1733" s="7"/>
      <c r="S1733" s="8"/>
      <c r="T1733" s="8"/>
      <c r="U1733" s="19" t="str">
        <f>HYPERLINK("https://pbs.twimg.com/profile_images/576757570292989952/_p2UsFQS.jpeg","View")</f>
        <v>View</v>
      </c>
      <c r="V1733" s="8"/>
      <c r="W1733" s="8"/>
      <c r="X1733" s="8"/>
      <c r="Y1733" s="8"/>
      <c r="Z1733" s="8"/>
    </row>
    <row r="1734" spans="1:26" ht="12.75">
      <c r="A1734" s="11">
        <v>43745.980150462958</v>
      </c>
      <c r="B1734" s="12" t="str">
        <f>HYPERLINK("https://twitter.com/alfawazaaa_6666","@alfawazaaa_6666")</f>
        <v>@alfawazaaa_6666</v>
      </c>
      <c r="C1734" s="13" t="s">
        <v>10452</v>
      </c>
      <c r="D1734" s="13" t="s">
        <v>3327</v>
      </c>
      <c r="E1734" s="12" t="str">
        <f>HYPERLINK("https://twitter.com/alfawazaaa_6666/status/1181457048032223232","1181457048032223232")</f>
        <v>1181457048032223232</v>
      </c>
      <c r="F1734" s="8"/>
      <c r="G1734" s="14" t="s">
        <v>10453</v>
      </c>
      <c r="H1734" s="8"/>
      <c r="I1734" s="15">
        <v>0</v>
      </c>
      <c r="J1734" s="15">
        <v>0</v>
      </c>
      <c r="K1734" s="12" t="str">
        <f>HYPERLINK("http://twitter.com","Twitter Web Client")</f>
        <v>Twitter Web Client</v>
      </c>
      <c r="L1734" s="16">
        <v>4</v>
      </c>
      <c r="M1734" s="16">
        <v>37</v>
      </c>
      <c r="N1734" s="16">
        <v>0</v>
      </c>
      <c r="O1734" s="17"/>
      <c r="P1734" s="18">
        <v>42082.503668981481</v>
      </c>
      <c r="Q1734" s="8"/>
      <c r="R1734" s="8"/>
      <c r="S1734" s="8"/>
      <c r="T1734" s="8"/>
      <c r="U1734" s="19" t="str">
        <f>HYPERLINK("https://pbs.twimg.com/profile_images/578633692127498240/vZ5ide6j.jpeg","View")</f>
        <v>View</v>
      </c>
      <c r="V1734" s="8"/>
      <c r="W1734" s="8"/>
      <c r="X1734" s="8"/>
      <c r="Y1734" s="8"/>
      <c r="Z1734" s="8"/>
    </row>
    <row r="1735" spans="1:26" ht="12.75">
      <c r="A1735" s="11">
        <v>43745.979837962965</v>
      </c>
      <c r="B1735" s="12" t="str">
        <f>HYPERLINK("https://twitter.com/salmohannadi42h","@salmohannadi42h")</f>
        <v>@salmohannadi42h</v>
      </c>
      <c r="C1735" s="7" t="s">
        <v>10458</v>
      </c>
      <c r="D1735" s="13" t="s">
        <v>10459</v>
      </c>
      <c r="E1735" s="12" t="str">
        <f>HYPERLINK("https://twitter.com/salmohannadi42h/status/1181456935029268482","1181456935029268482")</f>
        <v>1181456935029268482</v>
      </c>
      <c r="F1735" s="15"/>
      <c r="G1735" s="15"/>
      <c r="H1735" s="8"/>
      <c r="I1735" s="15">
        <v>5</v>
      </c>
      <c r="J1735" s="15">
        <v>5</v>
      </c>
      <c r="K1735" s="12" t="str">
        <f>HYPERLINK("http://twitter.com/download/iphone","Twitter for iPhone")</f>
        <v>Twitter for iPhone</v>
      </c>
      <c r="L1735" s="16">
        <v>294</v>
      </c>
      <c r="M1735" s="16">
        <v>436</v>
      </c>
      <c r="N1735" s="16">
        <v>0</v>
      </c>
      <c r="O1735" s="17"/>
      <c r="P1735" s="18">
        <v>40806.4528587963</v>
      </c>
      <c r="Q1735" s="8" t="s">
        <v>7779</v>
      </c>
      <c r="R1735" s="7" t="s">
        <v>10460</v>
      </c>
      <c r="S1735" s="8"/>
      <c r="T1735" s="8"/>
      <c r="U1735" s="19" t="str">
        <f>HYPERLINK("https://pbs.twimg.com/profile_images/1159175068741754880/aksPaK1M.jpg","View")</f>
        <v>View</v>
      </c>
      <c r="V1735" s="8"/>
      <c r="W1735" s="8"/>
      <c r="X1735" s="8"/>
      <c r="Y1735" s="8"/>
      <c r="Z1735" s="8"/>
    </row>
    <row r="1736" spans="1:26" ht="12.75">
      <c r="A1736" s="11">
        <v>43745.978229166663</v>
      </c>
      <c r="B1736" s="12" t="str">
        <f>HYPERLINK("https://twitter.com/ellukmany312","@ellukmany312")</f>
        <v>@ellukmany312</v>
      </c>
      <c r="C1736" s="7" t="s">
        <v>10462</v>
      </c>
      <c r="D1736" s="7" t="s">
        <v>3864</v>
      </c>
      <c r="E1736" s="12" t="str">
        <f>HYPERLINK("https://twitter.com/ellukmany312/status/1181456351136030721","1181456351136030721")</f>
        <v>1181456351136030721</v>
      </c>
      <c r="F1736" s="15"/>
      <c r="G1736" s="14" t="s">
        <v>10465</v>
      </c>
      <c r="H1736" s="8"/>
      <c r="I1736" s="15">
        <v>0</v>
      </c>
      <c r="J1736" s="15">
        <v>0</v>
      </c>
      <c r="K1736" s="12" t="str">
        <f>HYPERLINK("http://twitter.com","Twitter Web Client")</f>
        <v>Twitter Web Client</v>
      </c>
      <c r="L1736" s="16">
        <v>9</v>
      </c>
      <c r="M1736" s="16">
        <v>40</v>
      </c>
      <c r="N1736" s="16">
        <v>0</v>
      </c>
      <c r="O1736" s="17"/>
      <c r="P1736" s="18">
        <v>42073.272615740745</v>
      </c>
      <c r="Q1736" s="8"/>
      <c r="R1736" s="7"/>
      <c r="S1736" s="8"/>
      <c r="T1736" s="8"/>
      <c r="U1736" s="19" t="str">
        <f>HYPERLINK("https://pbs.twimg.com/profile_images/575288243119226880/wD4dFEtd.jpeg","View")</f>
        <v>View</v>
      </c>
      <c r="V1736" s="8"/>
      <c r="W1736" s="8"/>
      <c r="X1736" s="8"/>
      <c r="Y1736" s="8"/>
      <c r="Z1736" s="8"/>
    </row>
    <row r="1737" spans="1:26" ht="12.75">
      <c r="A1737" s="11">
        <v>43745.975590277776</v>
      </c>
      <c r="B1737" s="12" t="str">
        <f>HYPERLINK("https://twitter.com/qasimlfaifih","@qasimlfaifih")</f>
        <v>@qasimlfaifih</v>
      </c>
      <c r="C1737" s="7" t="s">
        <v>10469</v>
      </c>
      <c r="D1737" s="13" t="s">
        <v>2645</v>
      </c>
      <c r="E1737" s="12" t="str">
        <f>HYPERLINK("https://twitter.com/qasimlfaifih/status/1181455396604649472","1181455396604649472")</f>
        <v>1181455396604649472</v>
      </c>
      <c r="F1737" s="15"/>
      <c r="G1737" s="14" t="s">
        <v>10470</v>
      </c>
      <c r="H1737" s="8"/>
      <c r="I1737" s="15">
        <v>0</v>
      </c>
      <c r="J1737" s="15">
        <v>0</v>
      </c>
      <c r="K1737" s="12" t="str">
        <f>HYPERLINK("http://twitter.com","Twitter Web Client")</f>
        <v>Twitter Web Client</v>
      </c>
      <c r="L1737" s="16">
        <v>0</v>
      </c>
      <c r="M1737" s="16">
        <v>39</v>
      </c>
      <c r="N1737" s="16">
        <v>0</v>
      </c>
      <c r="O1737" s="17"/>
      <c r="P1737" s="18">
        <v>42089.802141203705</v>
      </c>
      <c r="Q1737" s="8"/>
      <c r="R1737" s="7"/>
      <c r="S1737" s="8"/>
      <c r="T1737" s="8"/>
      <c r="U1737" s="20" t="s">
        <v>354</v>
      </c>
      <c r="V1737" s="8"/>
      <c r="W1737" s="8"/>
      <c r="X1737" s="8"/>
      <c r="Y1737" s="8"/>
      <c r="Z1737" s="8"/>
    </row>
    <row r="1738" spans="1:26" ht="12.75">
      <c r="A1738" s="11">
        <v>43745.974293981482</v>
      </c>
      <c r="B1738" s="12" t="str">
        <f>HYPERLINK("https://twitter.com/MMajidmushabab","@MMajidmushabab")</f>
        <v>@MMajidmushabab</v>
      </c>
      <c r="C1738" s="7" t="s">
        <v>10476</v>
      </c>
      <c r="D1738" s="7" t="s">
        <v>2663</v>
      </c>
      <c r="E1738" s="12" t="str">
        <f>HYPERLINK("https://twitter.com/MMajidmushabab/status/1181454926209323008","1181454926209323008")</f>
        <v>1181454926209323008</v>
      </c>
      <c r="F1738" s="15"/>
      <c r="G1738" s="14" t="s">
        <v>10477</v>
      </c>
      <c r="H1738" s="8"/>
      <c r="I1738" s="15">
        <v>0</v>
      </c>
      <c r="J1738" s="15">
        <v>0</v>
      </c>
      <c r="K1738" s="12" t="str">
        <f>HYPERLINK("http://twitter.com","Twitter Web Client")</f>
        <v>Twitter Web Client</v>
      </c>
      <c r="L1738" s="16">
        <v>0</v>
      </c>
      <c r="M1738" s="16">
        <v>32</v>
      </c>
      <c r="N1738" s="16">
        <v>0</v>
      </c>
      <c r="O1738" s="17"/>
      <c r="P1738" s="18">
        <v>41843.353206018517</v>
      </c>
      <c r="Q1738" s="8"/>
      <c r="R1738" s="7"/>
      <c r="S1738" s="8"/>
      <c r="T1738" s="8"/>
      <c r="U1738" s="19" t="str">
        <f>HYPERLINK("https://pbs.twimg.com/profile_images/491968745175138306/3-yjq0Rh.jpeg","View")</f>
        <v>View</v>
      </c>
      <c r="V1738" s="8"/>
      <c r="W1738" s="8"/>
      <c r="X1738" s="8"/>
      <c r="Y1738" s="8"/>
      <c r="Z1738" s="8"/>
    </row>
    <row r="1739" spans="1:26" ht="12.75">
      <c r="A1739" s="11">
        <v>43745.974016203705</v>
      </c>
      <c r="B1739" s="12" t="str">
        <f>HYPERLINK("https://twitter.com/abedalla343","@abedalla343")</f>
        <v>@abedalla343</v>
      </c>
      <c r="C1739" s="13" t="s">
        <v>10478</v>
      </c>
      <c r="D1739" s="7" t="s">
        <v>10479</v>
      </c>
      <c r="E1739" s="12" t="str">
        <f>HYPERLINK("https://twitter.com/abedalla343/status/1181454826326171648","1181454826326171648")</f>
        <v>1181454826326171648</v>
      </c>
      <c r="F1739" s="8"/>
      <c r="G1739" s="14" t="s">
        <v>10480</v>
      </c>
      <c r="H1739" s="8"/>
      <c r="I1739" s="15">
        <v>0</v>
      </c>
      <c r="J1739" s="15">
        <v>0</v>
      </c>
      <c r="K1739" s="12" t="str">
        <f>HYPERLINK("http://twitter.com","Twitter Web Client")</f>
        <v>Twitter Web Client</v>
      </c>
      <c r="L1739" s="16">
        <v>11</v>
      </c>
      <c r="M1739" s="16">
        <v>45</v>
      </c>
      <c r="N1739" s="16">
        <v>0</v>
      </c>
      <c r="O1739" s="17"/>
      <c r="P1739" s="18">
        <v>42074.355844907404</v>
      </c>
      <c r="Q1739" s="7"/>
      <c r="R1739" s="13"/>
      <c r="S1739" s="8"/>
      <c r="T1739" s="8"/>
      <c r="U1739" s="19" t="str">
        <f>HYPERLINK("https://pbs.twimg.com/profile_images/575681069535526912/M5X3d_mG.jpeg","View")</f>
        <v>View</v>
      </c>
      <c r="V1739" s="8"/>
      <c r="W1739" s="8"/>
      <c r="X1739" s="8"/>
      <c r="Y1739" s="8"/>
      <c r="Z1739" s="8"/>
    </row>
    <row r="1740" spans="1:26" ht="12.75">
      <c r="A1740" s="11">
        <v>43745.973298611112</v>
      </c>
      <c r="B1740" s="12" t="str">
        <f>HYPERLINK("https://twitter.com/ElsahlyMnawer","@ElsahlyMnawer")</f>
        <v>@ElsahlyMnawer</v>
      </c>
      <c r="C1740" s="13" t="s">
        <v>10485</v>
      </c>
      <c r="D1740" s="13" t="s">
        <v>3898</v>
      </c>
      <c r="E1740" s="12" t="str">
        <f>HYPERLINK("https://twitter.com/ElsahlyMnawer/status/1181454564249219072","1181454564249219072")</f>
        <v>1181454564249219072</v>
      </c>
      <c r="F1740" s="8"/>
      <c r="G1740" s="14" t="s">
        <v>10486</v>
      </c>
      <c r="H1740" s="8"/>
      <c r="I1740" s="15">
        <v>0</v>
      </c>
      <c r="J1740" s="15">
        <v>0</v>
      </c>
      <c r="K1740" s="12" t="str">
        <f>HYPERLINK("http://twitter.com","Twitter Web Client")</f>
        <v>Twitter Web Client</v>
      </c>
      <c r="L1740" s="16">
        <v>2</v>
      </c>
      <c r="M1740" s="16">
        <v>36</v>
      </c>
      <c r="N1740" s="16">
        <v>1</v>
      </c>
      <c r="O1740" s="17"/>
      <c r="P1740" s="18">
        <v>42083.301712962959</v>
      </c>
      <c r="Q1740" s="8"/>
      <c r="R1740" s="8"/>
      <c r="S1740" s="8"/>
      <c r="T1740" s="8"/>
      <c r="U1740" s="19" t="str">
        <f>HYPERLINK("https://pbs.twimg.com/profile_images/578922642540900352/YTDru6pk.jpeg","View")</f>
        <v>View</v>
      </c>
      <c r="V1740" s="8"/>
      <c r="W1740" s="8"/>
      <c r="X1740" s="8"/>
      <c r="Y1740" s="8"/>
      <c r="Z1740" s="8"/>
    </row>
    <row r="1741" spans="1:26" ht="12.75">
      <c r="A1741" s="11">
        <v>43745.971736111111</v>
      </c>
      <c r="B1741" s="12" t="str">
        <f>HYPERLINK("https://twitter.com/yasaaadalshamra","@yasaaadalshamra")</f>
        <v>@yasaaadalshamra</v>
      </c>
      <c r="C1741" s="13" t="s">
        <v>10493</v>
      </c>
      <c r="D1741" s="13" t="s">
        <v>3364</v>
      </c>
      <c r="E1741" s="12" t="str">
        <f>HYPERLINK("https://twitter.com/yasaaadalshamra/status/1181453997800136704","1181453997800136704")</f>
        <v>1181453997800136704</v>
      </c>
      <c r="F1741" s="8"/>
      <c r="G1741" s="14" t="s">
        <v>10494</v>
      </c>
      <c r="H1741" s="8"/>
      <c r="I1741" s="15">
        <v>0</v>
      </c>
      <c r="J1741" s="15">
        <v>0</v>
      </c>
      <c r="K1741" s="12" t="str">
        <f>HYPERLINK("http://twitter.com","Twitter Web Client")</f>
        <v>Twitter Web Client</v>
      </c>
      <c r="L1741" s="16">
        <v>8</v>
      </c>
      <c r="M1741" s="16">
        <v>28</v>
      </c>
      <c r="N1741" s="16">
        <v>0</v>
      </c>
      <c r="O1741" s="17"/>
      <c r="P1741" s="18">
        <v>41848.208460648151</v>
      </c>
      <c r="Q1741" s="8"/>
      <c r="R1741" s="8"/>
      <c r="S1741" s="8"/>
      <c r="T1741" s="8"/>
      <c r="U1741" s="19" t="str">
        <f>HYPERLINK("https://pbs.twimg.com/profile_images/493728059279679489/6gqB-eNR.jpeg","View")</f>
        <v>View</v>
      </c>
      <c r="V1741" s="8"/>
      <c r="W1741" s="8"/>
      <c r="X1741" s="8"/>
      <c r="Y1741" s="8"/>
      <c r="Z1741" s="8"/>
    </row>
    <row r="1742" spans="1:26" ht="12.75">
      <c r="A1742" s="11">
        <v>43745.971446759257</v>
      </c>
      <c r="B1742" s="12" t="str">
        <f>HYPERLINK("https://twitter.com/omarahmedomara","@omarahmedomara")</f>
        <v>@omarahmedomara</v>
      </c>
      <c r="C1742" s="13" t="s">
        <v>10499</v>
      </c>
      <c r="D1742" s="7" t="s">
        <v>10500</v>
      </c>
      <c r="E1742" s="12" t="str">
        <f>HYPERLINK("https://twitter.com/omarahmedomara/status/1181453894309863424","1181453894309863424")</f>
        <v>1181453894309863424</v>
      </c>
      <c r="F1742" s="8"/>
      <c r="G1742" s="14" t="s">
        <v>10501</v>
      </c>
      <c r="H1742" s="8"/>
      <c r="I1742" s="15">
        <v>0</v>
      </c>
      <c r="J1742" s="15">
        <v>0</v>
      </c>
      <c r="K1742" s="12" t="str">
        <f>HYPERLINK("http://twitter.com","Twitter Web Client")</f>
        <v>Twitter Web Client</v>
      </c>
      <c r="L1742" s="16">
        <v>0</v>
      </c>
      <c r="M1742" s="16">
        <v>35</v>
      </c>
      <c r="N1742" s="16">
        <v>0</v>
      </c>
      <c r="O1742" s="17"/>
      <c r="P1742" s="18">
        <v>41847.354259259257</v>
      </c>
      <c r="Q1742" s="7"/>
      <c r="R1742" s="13"/>
      <c r="S1742" s="8"/>
      <c r="T1742" s="8"/>
      <c r="U1742" s="19" t="str">
        <f>HYPERLINK("https://pbs.twimg.com/profile_images/493418616902000641/7dbWxFX5.jpeg","View")</f>
        <v>View</v>
      </c>
      <c r="V1742" s="8"/>
      <c r="W1742" s="8"/>
      <c r="X1742" s="8"/>
      <c r="Y1742" s="8"/>
      <c r="Z1742" s="8"/>
    </row>
    <row r="1743" spans="1:26" ht="12.75">
      <c r="A1743" s="11">
        <v>43745.97047453704</v>
      </c>
      <c r="B1743" s="12" t="str">
        <f>HYPERLINK("https://twitter.com/alshayaba3","@alshayaba3")</f>
        <v>@alshayaba3</v>
      </c>
      <c r="C1743" s="13" t="s">
        <v>10503</v>
      </c>
      <c r="D1743" s="13" t="s">
        <v>3379</v>
      </c>
      <c r="E1743" s="12" t="str">
        <f>HYPERLINK("https://twitter.com/alshayaba3/status/1181453541682155520","1181453541682155520")</f>
        <v>1181453541682155520</v>
      </c>
      <c r="F1743" s="8"/>
      <c r="G1743" s="14" t="s">
        <v>10504</v>
      </c>
      <c r="H1743" s="8"/>
      <c r="I1743" s="15">
        <v>0</v>
      </c>
      <c r="J1743" s="15">
        <v>0</v>
      </c>
      <c r="K1743" s="12" t="str">
        <f>HYPERLINK("http://twitter.com","Twitter Web Client")</f>
        <v>Twitter Web Client</v>
      </c>
      <c r="L1743" s="16">
        <v>9</v>
      </c>
      <c r="M1743" s="16">
        <v>25</v>
      </c>
      <c r="N1743" s="16">
        <v>0</v>
      </c>
      <c r="O1743" s="17"/>
      <c r="P1743" s="18">
        <v>42074.502962962964</v>
      </c>
      <c r="Q1743" s="8"/>
      <c r="R1743" s="8"/>
      <c r="S1743" s="8"/>
      <c r="T1743" s="8"/>
      <c r="U1743" s="19" t="str">
        <f>HYPERLINK("https://pbs.twimg.com/profile_images/575734139132891137/fFuoYZLm.jpeg","View")</f>
        <v>View</v>
      </c>
      <c r="V1743" s="8"/>
      <c r="W1743" s="8"/>
      <c r="X1743" s="8"/>
      <c r="Y1743" s="8"/>
      <c r="Z1743" s="8"/>
    </row>
    <row r="1744" spans="1:26" ht="12.75">
      <c r="A1744" s="11">
        <v>43745.970023148147</v>
      </c>
      <c r="B1744" s="12" t="str">
        <f>HYPERLINK("https://twitter.com/almalkii33","@almalkii33")</f>
        <v>@almalkii33</v>
      </c>
      <c r="C1744" s="13" t="s">
        <v>10505</v>
      </c>
      <c r="D1744" s="13" t="s">
        <v>10506</v>
      </c>
      <c r="E1744" s="12" t="str">
        <f>HYPERLINK("https://twitter.com/almalkii33/status/1181453380251721728","1181453380251721728")</f>
        <v>1181453380251721728</v>
      </c>
      <c r="F1744" s="8"/>
      <c r="G1744" s="14" t="s">
        <v>10509</v>
      </c>
      <c r="H1744" s="8"/>
      <c r="I1744" s="15">
        <v>0</v>
      </c>
      <c r="J1744" s="15">
        <v>0</v>
      </c>
      <c r="K1744" s="12" t="str">
        <f>HYPERLINK("http://twitter.com","Twitter Web Client")</f>
        <v>Twitter Web Client</v>
      </c>
      <c r="L1744" s="16">
        <v>4</v>
      </c>
      <c r="M1744" s="16">
        <v>47</v>
      </c>
      <c r="N1744" s="16">
        <v>0</v>
      </c>
      <c r="O1744" s="17"/>
      <c r="P1744" s="18">
        <v>42072.184050925927</v>
      </c>
      <c r="Q1744" s="13"/>
      <c r="R1744" s="13"/>
      <c r="S1744" s="8"/>
      <c r="T1744" s="8"/>
      <c r="U1744" s="19" t="str">
        <f>HYPERLINK("https://pbs.twimg.com/profile_images/574893813996523520/D37a6q6w.jpeg","View")</f>
        <v>View</v>
      </c>
      <c r="V1744" s="8"/>
      <c r="W1744" s="8"/>
      <c r="X1744" s="8"/>
      <c r="Y1744" s="8"/>
      <c r="Z1744" s="8"/>
    </row>
    <row r="1745" spans="1:26" ht="12.75">
      <c r="A1745" s="11">
        <v>43745.968055555553</v>
      </c>
      <c r="B1745" s="12" t="str">
        <f>HYPERLINK("https://twitter.com/mohsenmaghzaou2","@mohsenmaghzaou2")</f>
        <v>@mohsenmaghzaou2</v>
      </c>
      <c r="C1745" s="7" t="s">
        <v>10510</v>
      </c>
      <c r="D1745" s="7" t="s">
        <v>3386</v>
      </c>
      <c r="E1745" s="12" t="str">
        <f>HYPERLINK("https://twitter.com/mohsenmaghzaou2/status/1181452663931785216","1181452663931785216")</f>
        <v>1181452663931785216</v>
      </c>
      <c r="F1745" s="8"/>
      <c r="G1745" s="14" t="s">
        <v>10511</v>
      </c>
      <c r="H1745" s="8"/>
      <c r="I1745" s="15">
        <v>0</v>
      </c>
      <c r="J1745" s="15">
        <v>0</v>
      </c>
      <c r="K1745" s="12" t="str">
        <f>HYPERLINK("http://twitter.com","Twitter Web Client")</f>
        <v>Twitter Web Client</v>
      </c>
      <c r="L1745" s="16">
        <v>16</v>
      </c>
      <c r="M1745" s="16">
        <v>42</v>
      </c>
      <c r="N1745" s="16">
        <v>0</v>
      </c>
      <c r="O1745" s="17"/>
      <c r="P1745" s="18">
        <v>42075.391701388886</v>
      </c>
      <c r="Q1745" s="7"/>
      <c r="R1745" s="7"/>
      <c r="S1745" s="15"/>
      <c r="T1745" s="8"/>
      <c r="U1745" s="19" t="str">
        <f>HYPERLINK("https://pbs.twimg.com/profile_images/576058845904048129/Ubn0D5ab.jpeg","View")</f>
        <v>View</v>
      </c>
      <c r="V1745" s="8"/>
      <c r="W1745" s="8"/>
      <c r="X1745" s="8"/>
      <c r="Y1745" s="8"/>
      <c r="Z1745" s="8"/>
    </row>
    <row r="1746" spans="1:26" ht="12.75">
      <c r="A1746" s="11">
        <v>43745.966898148152</v>
      </c>
      <c r="B1746" s="12" t="str">
        <f>HYPERLINK("https://twitter.com/CoolKhalifanzi","@CoolKhalifanzi")</f>
        <v>@CoolKhalifanzi</v>
      </c>
      <c r="C1746" s="13" t="s">
        <v>7847</v>
      </c>
      <c r="D1746" s="13" t="s">
        <v>10514</v>
      </c>
      <c r="E1746" s="12" t="str">
        <f>HYPERLINK("https://twitter.com/CoolKhalifanzi/status/1181452247110172675","1181452247110172675")</f>
        <v>1181452247110172675</v>
      </c>
      <c r="F1746" s="8"/>
      <c r="G1746" s="14" t="s">
        <v>10515</v>
      </c>
      <c r="H1746" s="8"/>
      <c r="I1746" s="15">
        <v>0</v>
      </c>
      <c r="J1746" s="15">
        <v>0</v>
      </c>
      <c r="K1746" s="12" t="str">
        <f>HYPERLINK("http://twitter.com","Twitter Web Client")</f>
        <v>Twitter Web Client</v>
      </c>
      <c r="L1746" s="16">
        <v>0</v>
      </c>
      <c r="M1746" s="16">
        <v>31</v>
      </c>
      <c r="N1746" s="16">
        <v>0</v>
      </c>
      <c r="O1746" s="17"/>
      <c r="P1746" s="18">
        <v>41825.596145833333</v>
      </c>
      <c r="Q1746" s="8"/>
      <c r="R1746" s="8"/>
      <c r="S1746" s="8"/>
      <c r="T1746" s="8"/>
      <c r="U1746" s="19" t="str">
        <f>HYPERLINK("https://pbs.twimg.com/profile_images/485533546220498945/lodW2OlS.jpeg","View")</f>
        <v>View</v>
      </c>
      <c r="V1746" s="8"/>
      <c r="W1746" s="8"/>
      <c r="X1746" s="8"/>
      <c r="Y1746" s="8"/>
      <c r="Z1746" s="8"/>
    </row>
    <row r="1747" spans="1:26" ht="12.75">
      <c r="A1747" s="11">
        <v>43745.966203703705</v>
      </c>
      <c r="B1747" s="12" t="str">
        <f>HYPERLINK("https://twitter.com/hamaag222","@hamaag222")</f>
        <v>@hamaag222</v>
      </c>
      <c r="C1747" s="13" t="s">
        <v>10520</v>
      </c>
      <c r="D1747" s="13" t="s">
        <v>10521</v>
      </c>
      <c r="E1747" s="12" t="str">
        <f>HYPERLINK("https://twitter.com/hamaag222/status/1181451993623252992","1181451993623252992")</f>
        <v>1181451993623252992</v>
      </c>
      <c r="F1747" s="8"/>
      <c r="G1747" s="14" t="s">
        <v>10522</v>
      </c>
      <c r="H1747" s="8"/>
      <c r="I1747" s="15">
        <v>0</v>
      </c>
      <c r="J1747" s="15">
        <v>0</v>
      </c>
      <c r="K1747" s="12" t="str">
        <f>HYPERLINK("http://twitter.com","Twitter Web Client")</f>
        <v>Twitter Web Client</v>
      </c>
      <c r="L1747" s="16">
        <v>7</v>
      </c>
      <c r="M1747" s="16">
        <v>34</v>
      </c>
      <c r="N1747" s="16">
        <v>0</v>
      </c>
      <c r="O1747" s="17"/>
      <c r="P1747" s="18">
        <v>42077.214513888888</v>
      </c>
      <c r="Q1747" s="8"/>
      <c r="R1747" s="8"/>
      <c r="S1747" s="8"/>
      <c r="T1747" s="8"/>
      <c r="U1747" s="19" t="str">
        <f>HYPERLINK("https://pbs.twimg.com/profile_images/576717211529658368/1vmb3lI3.jpeg","View")</f>
        <v>View</v>
      </c>
      <c r="V1747" s="8"/>
      <c r="W1747" s="8"/>
      <c r="X1747" s="8"/>
      <c r="Y1747" s="8"/>
      <c r="Z1747" s="8"/>
    </row>
    <row r="1748" spans="1:26" ht="12.75">
      <c r="A1748" s="11">
        <v>43745.963761574079</v>
      </c>
      <c r="B1748" s="12" t="str">
        <f>HYPERLINK("https://twitter.com/alkabere_jh","@alkabere_jh")</f>
        <v>@alkabere_jh</v>
      </c>
      <c r="C1748" s="13" t="s">
        <v>10525</v>
      </c>
      <c r="D1748" s="13" t="s">
        <v>10527</v>
      </c>
      <c r="E1748" s="12" t="str">
        <f>HYPERLINK("https://twitter.com/alkabere_jh/status/1181451108876738562","1181451108876738562")</f>
        <v>1181451108876738562</v>
      </c>
      <c r="F1748" s="8"/>
      <c r="G1748" s="14" t="s">
        <v>10528</v>
      </c>
      <c r="H1748" s="8"/>
      <c r="I1748" s="15">
        <v>0</v>
      </c>
      <c r="J1748" s="15">
        <v>0</v>
      </c>
      <c r="K1748" s="12" t="str">
        <f>HYPERLINK("http://twitter.com","Twitter Web Client")</f>
        <v>Twitter Web Client</v>
      </c>
      <c r="L1748" s="16">
        <v>20</v>
      </c>
      <c r="M1748" s="16">
        <v>44</v>
      </c>
      <c r="N1748" s="16">
        <v>0</v>
      </c>
      <c r="O1748" s="17"/>
      <c r="P1748" s="18">
        <v>42074.653749999998</v>
      </c>
      <c r="Q1748" s="8"/>
      <c r="R1748" s="8"/>
      <c r="S1748" s="8"/>
      <c r="T1748" s="8"/>
      <c r="U1748" s="19" t="str">
        <f>HYPERLINK("https://pbs.twimg.com/profile_images/575788903623364608/Zo7ioYAK.jpeg","View")</f>
        <v>View</v>
      </c>
      <c r="V1748" s="8"/>
      <c r="W1748" s="8"/>
      <c r="X1748" s="8"/>
      <c r="Y1748" s="8"/>
      <c r="Z1748" s="8"/>
    </row>
    <row r="1749" spans="1:26" ht="12.75">
      <c r="A1749" s="11">
        <v>43745.963622685187</v>
      </c>
      <c r="B1749" s="12" t="str">
        <f>HYPERLINK("https://twitter.com/aieaed","@aieaed")</f>
        <v>@aieaed</v>
      </c>
      <c r="C1749" s="13" t="s">
        <v>10532</v>
      </c>
      <c r="D1749" s="13" t="s">
        <v>10533</v>
      </c>
      <c r="E1749" s="12" t="str">
        <f>HYPERLINK("https://twitter.com/aieaed/status/1181451058108915713","1181451058108915713")</f>
        <v>1181451058108915713</v>
      </c>
      <c r="F1749" s="8"/>
      <c r="G1749" s="14" t="s">
        <v>10535</v>
      </c>
      <c r="H1749" s="8"/>
      <c r="I1749" s="15">
        <v>0</v>
      </c>
      <c r="J1749" s="15">
        <v>0</v>
      </c>
      <c r="K1749" s="12" t="str">
        <f>HYPERLINK("http://twitter.com","Twitter Web Client")</f>
        <v>Twitter Web Client</v>
      </c>
      <c r="L1749" s="16">
        <v>6</v>
      </c>
      <c r="M1749" s="16">
        <v>41</v>
      </c>
      <c r="N1749" s="16">
        <v>0</v>
      </c>
      <c r="O1749" s="17"/>
      <c r="P1749" s="18">
        <v>42070.410914351851</v>
      </c>
      <c r="Q1749" s="8"/>
      <c r="R1749" s="8"/>
      <c r="S1749" s="8"/>
      <c r="T1749" s="8"/>
      <c r="U1749" s="19" t="str">
        <f>HYPERLINK("https://pbs.twimg.com/profile_images/574266994922422273/9PWSGL7O.jpeg","View")</f>
        <v>View</v>
      </c>
      <c r="V1749" s="8"/>
      <c r="W1749" s="8"/>
      <c r="X1749" s="8"/>
      <c r="Y1749" s="8"/>
      <c r="Z1749" s="8"/>
    </row>
    <row r="1750" spans="1:26" ht="12.75">
      <c r="A1750" s="11">
        <v>43745.962199074071</v>
      </c>
      <c r="B1750" s="12" t="str">
        <f>HYPERLINK("https://twitter.com/elhamarany3","@elhamarany3")</f>
        <v>@elhamarany3</v>
      </c>
      <c r="C1750" s="13" t="s">
        <v>10537</v>
      </c>
      <c r="D1750" s="13" t="s">
        <v>10538</v>
      </c>
      <c r="E1750" s="12" t="str">
        <f>HYPERLINK("https://twitter.com/elhamarany3/status/1181450545460056064","1181450545460056064")</f>
        <v>1181450545460056064</v>
      </c>
      <c r="F1750" s="8"/>
      <c r="G1750" s="14" t="s">
        <v>10539</v>
      </c>
      <c r="H1750" s="8"/>
      <c r="I1750" s="15">
        <v>0</v>
      </c>
      <c r="J1750" s="15">
        <v>0</v>
      </c>
      <c r="K1750" s="12" t="str">
        <f>HYPERLINK("http://twitter.com","Twitter Web Client")</f>
        <v>Twitter Web Client</v>
      </c>
      <c r="L1750" s="16">
        <v>16</v>
      </c>
      <c r="M1750" s="16">
        <v>47</v>
      </c>
      <c r="N1750" s="16">
        <v>0</v>
      </c>
      <c r="O1750" s="17"/>
      <c r="P1750" s="18">
        <v>42075.406817129631</v>
      </c>
      <c r="Q1750" s="8"/>
      <c r="R1750" s="8"/>
      <c r="S1750" s="8"/>
      <c r="T1750" s="8"/>
      <c r="U1750" s="19" t="str">
        <f>HYPERLINK("https://pbs.twimg.com/profile_images/576061676266491905/lPGq0Scp.jpeg","View")</f>
        <v>View</v>
      </c>
      <c r="V1750" s="8"/>
      <c r="W1750" s="8"/>
      <c r="X1750" s="8"/>
      <c r="Y1750" s="8"/>
      <c r="Z1750" s="8"/>
    </row>
    <row r="1751" spans="1:26" ht="12.75">
      <c r="A1751" s="11">
        <v>43745.958738425921</v>
      </c>
      <c r="B1751" s="12" t="str">
        <f>HYPERLINK("https://twitter.com/MarzoukOaoufi","@MarzoukOaoufi")</f>
        <v>@MarzoukOaoufi</v>
      </c>
      <c r="C1751" s="13" t="s">
        <v>10549</v>
      </c>
      <c r="D1751" s="13" t="s">
        <v>3464</v>
      </c>
      <c r="E1751" s="12" t="str">
        <f>HYPERLINK("https://twitter.com/MarzoukOaoufi/status/1181449290973097984","1181449290973097984")</f>
        <v>1181449290973097984</v>
      </c>
      <c r="F1751" s="8"/>
      <c r="G1751" s="14" t="s">
        <v>10550</v>
      </c>
      <c r="H1751" s="8"/>
      <c r="I1751" s="15">
        <v>0</v>
      </c>
      <c r="J1751" s="15">
        <v>0</v>
      </c>
      <c r="K1751" s="12" t="str">
        <f>HYPERLINK("http://twitter.com","Twitter Web Client")</f>
        <v>Twitter Web Client</v>
      </c>
      <c r="L1751" s="16">
        <v>0</v>
      </c>
      <c r="M1751" s="16">
        <v>35</v>
      </c>
      <c r="N1751" s="16">
        <v>0</v>
      </c>
      <c r="O1751" s="17"/>
      <c r="P1751" s="18">
        <v>42069.527708333335</v>
      </c>
      <c r="Q1751" s="8"/>
      <c r="R1751" s="8"/>
      <c r="S1751" s="8"/>
      <c r="T1751" s="8"/>
      <c r="U1751" s="19" t="str">
        <f>HYPERLINK("https://pbs.twimg.com/profile_images/573946972337373184/QvTu3C--.jpeg","View")</f>
        <v>View</v>
      </c>
      <c r="V1751" s="8"/>
      <c r="W1751" s="8"/>
      <c r="X1751" s="8"/>
      <c r="Y1751" s="8"/>
      <c r="Z1751" s="8"/>
    </row>
    <row r="1752" spans="1:26" ht="12.75">
      <c r="A1752" s="11">
        <v>43745.957870370374</v>
      </c>
      <c r="B1752" s="12" t="str">
        <f>HYPERLINK("https://twitter.com/osman56_","@osman56_")</f>
        <v>@osman56_</v>
      </c>
      <c r="C1752" s="13" t="s">
        <v>10551</v>
      </c>
      <c r="D1752" s="13" t="s">
        <v>10552</v>
      </c>
      <c r="E1752" s="12" t="str">
        <f>HYPERLINK("https://twitter.com/osman56_/status/1181448976744243200","1181448976744243200")</f>
        <v>1181448976744243200</v>
      </c>
      <c r="F1752" s="8"/>
      <c r="G1752" s="14" t="s">
        <v>10553</v>
      </c>
      <c r="H1752" s="8"/>
      <c r="I1752" s="15">
        <v>0</v>
      </c>
      <c r="J1752" s="15">
        <v>0</v>
      </c>
      <c r="K1752" s="12" t="str">
        <f>HYPERLINK("http://twitter.com","Twitter Web Client")</f>
        <v>Twitter Web Client</v>
      </c>
      <c r="L1752" s="16">
        <v>6</v>
      </c>
      <c r="M1752" s="16">
        <v>52</v>
      </c>
      <c r="N1752" s="16">
        <v>0</v>
      </c>
      <c r="O1752" s="17"/>
      <c r="P1752" s="18">
        <v>42070.133310185185</v>
      </c>
      <c r="Q1752" s="8"/>
      <c r="R1752" s="8"/>
      <c r="S1752" s="8"/>
      <c r="T1752" s="8"/>
      <c r="U1752" s="19" t="str">
        <f>HYPERLINK("https://pbs.twimg.com/profile_images/574165746319646720/Ymqhqk3g.jpeg","View")</f>
        <v>View</v>
      </c>
      <c r="V1752" s="8"/>
      <c r="W1752" s="8"/>
      <c r="X1752" s="8"/>
      <c r="Y1752" s="8"/>
      <c r="Z1752" s="8"/>
    </row>
    <row r="1753" spans="1:26" ht="12.75">
      <c r="A1753" s="11">
        <v>43745.957627314812</v>
      </c>
      <c r="B1753" s="12" t="str">
        <f>HYPERLINK("https://twitter.com/mohamee00","@mohamee00")</f>
        <v>@mohamee00</v>
      </c>
      <c r="C1753" s="13" t="s">
        <v>10554</v>
      </c>
      <c r="D1753" s="13" t="s">
        <v>3472</v>
      </c>
      <c r="E1753" s="12" t="str">
        <f>HYPERLINK("https://twitter.com/mohamee00/status/1181448885669175301","1181448885669175301")</f>
        <v>1181448885669175301</v>
      </c>
      <c r="F1753" s="8"/>
      <c r="G1753" s="14" t="s">
        <v>10555</v>
      </c>
      <c r="H1753" s="8"/>
      <c r="I1753" s="15">
        <v>0</v>
      </c>
      <c r="J1753" s="15">
        <v>0</v>
      </c>
      <c r="K1753" s="12" t="str">
        <f>HYPERLINK("http://twitter.com","Twitter Web Client")</f>
        <v>Twitter Web Client</v>
      </c>
      <c r="L1753" s="16">
        <v>4</v>
      </c>
      <c r="M1753" s="16">
        <v>37</v>
      </c>
      <c r="N1753" s="16">
        <v>0</v>
      </c>
      <c r="O1753" s="17"/>
      <c r="P1753" s="18">
        <v>42064.284467592588</v>
      </c>
      <c r="Q1753" s="8"/>
      <c r="R1753" s="8"/>
      <c r="S1753" s="8"/>
      <c r="T1753" s="8"/>
      <c r="U1753" s="19" t="str">
        <f>HYPERLINK("https://pbs.twimg.com/profile_images/572046260790517760/cQ8YZLeM.jpeg","View")</f>
        <v>View</v>
      </c>
      <c r="V1753" s="8"/>
      <c r="W1753" s="8"/>
      <c r="X1753" s="8"/>
      <c r="Y1753" s="8"/>
      <c r="Z1753" s="8"/>
    </row>
    <row r="1754" spans="1:26" ht="12.75">
      <c r="A1754" s="11">
        <v>43745.957337962958</v>
      </c>
      <c r="B1754" s="12" t="str">
        <f>HYPERLINK("https://twitter.com/mohamedalabdul4","@mohamedalabdul4")</f>
        <v>@mohamedalabdul4</v>
      </c>
      <c r="C1754" s="13" t="s">
        <v>10556</v>
      </c>
      <c r="D1754" s="13" t="s">
        <v>2816</v>
      </c>
      <c r="E1754" s="12" t="str">
        <f>HYPERLINK("https://twitter.com/mohamedalabdul4/status/1181448782875168768","1181448782875168768")</f>
        <v>1181448782875168768</v>
      </c>
      <c r="F1754" s="8"/>
      <c r="G1754" s="14" t="s">
        <v>10557</v>
      </c>
      <c r="H1754" s="8"/>
      <c r="I1754" s="15">
        <v>0</v>
      </c>
      <c r="J1754" s="15">
        <v>0</v>
      </c>
      <c r="K1754" s="12" t="str">
        <f>HYPERLINK("http://twitter.com","Twitter Web Client")</f>
        <v>Twitter Web Client</v>
      </c>
      <c r="L1754" s="16">
        <v>4</v>
      </c>
      <c r="M1754" s="16">
        <v>36</v>
      </c>
      <c r="N1754" s="16">
        <v>0</v>
      </c>
      <c r="O1754" s="17"/>
      <c r="P1754" s="18">
        <v>42068.139212962968</v>
      </c>
      <c r="Q1754" s="8"/>
      <c r="R1754" s="8"/>
      <c r="S1754" s="8"/>
      <c r="T1754" s="8"/>
      <c r="U1754" s="19" t="str">
        <f>HYPERLINK("https://pbs.twimg.com/profile_images/573443222346674176/Jp5n-upx.jpeg","View")</f>
        <v>View</v>
      </c>
      <c r="V1754" s="8"/>
      <c r="W1754" s="8"/>
      <c r="X1754" s="8"/>
      <c r="Y1754" s="8"/>
      <c r="Z1754" s="8"/>
    </row>
    <row r="1755" spans="1:26" ht="12.75">
      <c r="A1755" s="11">
        <v>43745.954560185186</v>
      </c>
      <c r="B1755" s="12" t="str">
        <f>HYPERLINK("https://twitter.com/rahimreached201","@rahimreached201")</f>
        <v>@rahimreached201</v>
      </c>
      <c r="C1755" s="13" t="s">
        <v>10561</v>
      </c>
      <c r="D1755" s="13" t="s">
        <v>10562</v>
      </c>
      <c r="E1755" s="12" t="str">
        <f>HYPERLINK("https://twitter.com/rahimreached201/status/1181447775453614081","1181447775453614081")</f>
        <v>1181447775453614081</v>
      </c>
      <c r="F1755" s="8"/>
      <c r="G1755" s="14" t="s">
        <v>10563</v>
      </c>
      <c r="H1755" s="8"/>
      <c r="I1755" s="15">
        <v>0</v>
      </c>
      <c r="J1755" s="15">
        <v>0</v>
      </c>
      <c r="K1755" s="12" t="str">
        <f>HYPERLINK("http://twitter.com","Twitter Web Client")</f>
        <v>Twitter Web Client</v>
      </c>
      <c r="L1755" s="16">
        <v>0</v>
      </c>
      <c r="M1755" s="16">
        <v>25</v>
      </c>
      <c r="N1755" s="16">
        <v>0</v>
      </c>
      <c r="O1755" s="17"/>
      <c r="P1755" s="18">
        <v>41828.172037037039</v>
      </c>
      <c r="Q1755" s="8"/>
      <c r="R1755" s="8"/>
      <c r="S1755" s="8"/>
      <c r="T1755" s="8"/>
      <c r="U1755" s="19" t="str">
        <f>HYPERLINK("https://pbs.twimg.com/profile_images/486466919998844928/sqTuxFyV.jpeg","View")</f>
        <v>View</v>
      </c>
      <c r="V1755" s="8"/>
      <c r="W1755" s="8"/>
      <c r="X1755" s="8"/>
      <c r="Y1755" s="8"/>
      <c r="Z1755" s="8"/>
    </row>
    <row r="1756" spans="1:26" ht="12.75">
      <c r="A1756" s="11">
        <v>43745.954074074078</v>
      </c>
      <c r="B1756" s="12" t="str">
        <f>HYPERLINK("https://twitter.com/nnasseralsaad21","@nnasseralsaad21")</f>
        <v>@nnasseralsaad21</v>
      </c>
      <c r="C1756" s="13" t="s">
        <v>10566</v>
      </c>
      <c r="D1756" s="13" t="s">
        <v>2837</v>
      </c>
      <c r="E1756" s="12" t="str">
        <f>HYPERLINK("https://twitter.com/nnasseralsaad21/status/1181447597208297472","1181447597208297472")</f>
        <v>1181447597208297472</v>
      </c>
      <c r="F1756" s="8"/>
      <c r="G1756" s="14" t="s">
        <v>10567</v>
      </c>
      <c r="H1756" s="8"/>
      <c r="I1756" s="15">
        <v>0</v>
      </c>
      <c r="J1756" s="15">
        <v>0</v>
      </c>
      <c r="K1756" s="12" t="str">
        <f>HYPERLINK("http://twitter.com","Twitter Web Client")</f>
        <v>Twitter Web Client</v>
      </c>
      <c r="L1756" s="16">
        <v>9</v>
      </c>
      <c r="M1756" s="16">
        <v>41</v>
      </c>
      <c r="N1756" s="16">
        <v>0</v>
      </c>
      <c r="O1756" s="17"/>
      <c r="P1756" s="18">
        <v>42069.814571759256</v>
      </c>
      <c r="Q1756" s="8"/>
      <c r="R1756" s="8"/>
      <c r="S1756" s="8"/>
      <c r="T1756" s="8"/>
      <c r="U1756" s="19" t="str">
        <f>HYPERLINK("https://pbs.twimg.com/profile_images/574050765905375233/VzrUvNXW.jpeg","View")</f>
        <v>View</v>
      </c>
      <c r="V1756" s="8"/>
      <c r="W1756" s="8"/>
      <c r="X1756" s="8"/>
      <c r="Y1756" s="8"/>
      <c r="Z1756" s="8"/>
    </row>
    <row r="1757" spans="1:26" ht="12.75">
      <c r="A1757" s="11">
        <v>43745.953321759254</v>
      </c>
      <c r="B1757" s="12" t="str">
        <f>HYPERLINK("https://twitter.com/abdullah55810","@abdullah55810")</f>
        <v>@abdullah55810</v>
      </c>
      <c r="C1757" s="13" t="s">
        <v>10568</v>
      </c>
      <c r="D1757" s="13" t="s">
        <v>3489</v>
      </c>
      <c r="E1757" s="12" t="str">
        <f>HYPERLINK("https://twitter.com/abdullah55810/status/1181447325924954112","1181447325924954112")</f>
        <v>1181447325924954112</v>
      </c>
      <c r="F1757" s="8"/>
      <c r="G1757" s="14" t="s">
        <v>10569</v>
      </c>
      <c r="H1757" s="8"/>
      <c r="I1757" s="15">
        <v>0</v>
      </c>
      <c r="J1757" s="15">
        <v>0</v>
      </c>
      <c r="K1757" s="12" t="str">
        <f>HYPERLINK("http://twitter.com","Twitter Web Client")</f>
        <v>Twitter Web Client</v>
      </c>
      <c r="L1757" s="16">
        <v>11</v>
      </c>
      <c r="M1757" s="16">
        <v>43</v>
      </c>
      <c r="N1757" s="16">
        <v>0</v>
      </c>
      <c r="O1757" s="17"/>
      <c r="P1757" s="18">
        <v>42268.746261574073</v>
      </c>
      <c r="Q1757" s="7"/>
      <c r="R1757" s="13"/>
      <c r="S1757" s="8"/>
      <c r="T1757" s="8"/>
      <c r="U1757" s="19" t="str">
        <f>HYPERLINK("https://pbs.twimg.com/profile_images/646333269676453888/p4oKZ0YG.jpg","View")</f>
        <v>View</v>
      </c>
      <c r="V1757" s="8"/>
      <c r="W1757" s="8"/>
      <c r="X1757" s="8"/>
      <c r="Y1757" s="8"/>
      <c r="Z1757" s="8"/>
    </row>
    <row r="1758" spans="1:26" ht="12.75">
      <c r="A1758" s="11">
        <v>43745.952916666662</v>
      </c>
      <c r="B1758" s="12" t="str">
        <f>HYPERLINK("https://twitter.com/7azm_elqadery","@7azm_elqadery")</f>
        <v>@7azm_elqadery</v>
      </c>
      <c r="C1758" s="7" t="s">
        <v>10572</v>
      </c>
      <c r="D1758" s="7" t="s">
        <v>2856</v>
      </c>
      <c r="E1758" s="12" t="str">
        <f>HYPERLINK("https://twitter.com/7azm_elqadery/status/1181447179203944448","1181447179203944448")</f>
        <v>1181447179203944448</v>
      </c>
      <c r="F1758" s="7"/>
      <c r="G1758" s="14" t="s">
        <v>10574</v>
      </c>
      <c r="H1758" s="8"/>
      <c r="I1758" s="15">
        <v>0</v>
      </c>
      <c r="J1758" s="15">
        <v>0</v>
      </c>
      <c r="K1758" s="12" t="str">
        <f>HYPERLINK("http://twitter.com","Twitter Web Client")</f>
        <v>Twitter Web Client</v>
      </c>
      <c r="L1758" s="16">
        <v>0</v>
      </c>
      <c r="M1758" s="16">
        <v>31</v>
      </c>
      <c r="N1758" s="16">
        <v>0</v>
      </c>
      <c r="O1758" s="17"/>
      <c r="P1758" s="18">
        <v>42022.586585648147</v>
      </c>
      <c r="Q1758" s="7"/>
      <c r="R1758" s="7"/>
      <c r="S1758" s="8"/>
      <c r="T1758" s="8"/>
      <c r="U1758" s="19" t="str">
        <f>HYPERLINK("https://pbs.twimg.com/profile_images/556935416603885571/6zpL2d1C.jpeg","View")</f>
        <v>View</v>
      </c>
      <c r="V1758" s="8"/>
      <c r="W1758" s="8"/>
      <c r="X1758" s="8"/>
      <c r="Y1758" s="8"/>
      <c r="Z1758" s="8"/>
    </row>
    <row r="1759" spans="1:26" ht="12.75">
      <c r="A1759" s="11">
        <v>43745.951238425929</v>
      </c>
      <c r="B1759" s="12" t="str">
        <f>HYPERLINK("https://twitter.com/mohammedalatat","@mohammedalatat")</f>
        <v>@mohammedalatat</v>
      </c>
      <c r="C1759" s="7" t="s">
        <v>10579</v>
      </c>
      <c r="D1759" s="7" t="s">
        <v>10580</v>
      </c>
      <c r="E1759" s="12" t="str">
        <f>HYPERLINK("https://twitter.com/mohammedalatat/status/1181446569389907968","1181446569389907968")</f>
        <v>1181446569389907968</v>
      </c>
      <c r="F1759" s="15"/>
      <c r="G1759" s="14" t="s">
        <v>10581</v>
      </c>
      <c r="H1759" s="8"/>
      <c r="I1759" s="15">
        <v>0</v>
      </c>
      <c r="J1759" s="15">
        <v>0</v>
      </c>
      <c r="K1759" s="12" t="str">
        <f>HYPERLINK("http://twitter.com","Twitter Web Client")</f>
        <v>Twitter Web Client</v>
      </c>
      <c r="L1759" s="16">
        <v>0</v>
      </c>
      <c r="M1759" s="16">
        <v>37</v>
      </c>
      <c r="N1759" s="16">
        <v>0</v>
      </c>
      <c r="O1759" s="17"/>
      <c r="P1759" s="18">
        <v>41848.143518518518</v>
      </c>
      <c r="Q1759" s="7"/>
      <c r="R1759" s="8"/>
      <c r="S1759" s="8"/>
      <c r="T1759" s="8"/>
      <c r="U1759" s="19" t="str">
        <f>HYPERLINK("https://pbs.twimg.com/profile_images/493704638009315328/SAfBFwgv.jpeg","View")</f>
        <v>View</v>
      </c>
      <c r="V1759" s="8"/>
      <c r="W1759" s="8"/>
      <c r="X1759" s="8"/>
      <c r="Y1759" s="8"/>
      <c r="Z1759" s="8"/>
    </row>
    <row r="1760" spans="1:26" ht="12.75">
      <c r="A1760" s="11">
        <v>43745.950740740736</v>
      </c>
      <c r="B1760" s="12" t="str">
        <f>HYPERLINK("https://twitter.com/alharabiie733","@alharabiie733")</f>
        <v>@alharabiie733</v>
      </c>
      <c r="C1760" s="13" t="s">
        <v>10585</v>
      </c>
      <c r="D1760" s="7" t="s">
        <v>2867</v>
      </c>
      <c r="E1760" s="12" t="str">
        <f>HYPERLINK("https://twitter.com/alharabiie733/status/1181446389026492416","1181446389026492416")</f>
        <v>1181446389026492416</v>
      </c>
      <c r="F1760" s="8"/>
      <c r="G1760" s="14" t="s">
        <v>10586</v>
      </c>
      <c r="H1760" s="8"/>
      <c r="I1760" s="15">
        <v>0</v>
      </c>
      <c r="J1760" s="15">
        <v>0</v>
      </c>
      <c r="K1760" s="12" t="str">
        <f>HYPERLINK("http://twitter.com","Twitter Web Client")</f>
        <v>Twitter Web Client</v>
      </c>
      <c r="L1760" s="16">
        <v>7</v>
      </c>
      <c r="M1760" s="16">
        <v>42</v>
      </c>
      <c r="N1760" s="16">
        <v>0</v>
      </c>
      <c r="O1760" s="17"/>
      <c r="P1760" s="18">
        <v>42069.304490740746</v>
      </c>
      <c r="Q1760" s="7"/>
      <c r="R1760" s="13"/>
      <c r="S1760" s="8"/>
      <c r="T1760" s="8"/>
      <c r="U1760" s="19" t="str">
        <f>HYPERLINK("https://pbs.twimg.com/profile_images/573865609143824384/WZad8g4r.jpeg","View")</f>
        <v>View</v>
      </c>
      <c r="V1760" s="8"/>
      <c r="W1760" s="8"/>
      <c r="X1760" s="8"/>
      <c r="Y1760" s="8"/>
      <c r="Z1760" s="8"/>
    </row>
    <row r="1761" spans="1:26" ht="12.75">
      <c r="A1761" s="11">
        <v>43745.949988425928</v>
      </c>
      <c r="B1761" s="12" t="str">
        <f>HYPERLINK("https://twitter.com/elshamran","@elshamran")</f>
        <v>@elshamran</v>
      </c>
      <c r="C1761" s="13" t="s">
        <v>10589</v>
      </c>
      <c r="D1761" s="7" t="s">
        <v>3494</v>
      </c>
      <c r="E1761" s="12" t="str">
        <f>HYPERLINK("https://twitter.com/elshamran/status/1181446120075071488","1181446120075071488")</f>
        <v>1181446120075071488</v>
      </c>
      <c r="F1761" s="8"/>
      <c r="G1761" s="14" t="s">
        <v>10590</v>
      </c>
      <c r="H1761" s="8"/>
      <c r="I1761" s="15">
        <v>0</v>
      </c>
      <c r="J1761" s="15">
        <v>0</v>
      </c>
      <c r="K1761" s="12" t="str">
        <f>HYPERLINK("http://twitter.com","Twitter Web Client")</f>
        <v>Twitter Web Client</v>
      </c>
      <c r="L1761" s="16">
        <v>1</v>
      </c>
      <c r="M1761" s="16">
        <v>32</v>
      </c>
      <c r="N1761" s="16">
        <v>0</v>
      </c>
      <c r="O1761" s="17"/>
      <c r="P1761" s="18">
        <v>41825.274525462963</v>
      </c>
      <c r="Q1761" s="7"/>
      <c r="R1761" s="13"/>
      <c r="S1761" s="8"/>
      <c r="T1761" s="8"/>
      <c r="U1761" s="19" t="str">
        <f>HYPERLINK("https://pbs.twimg.com/profile_images/485416837606154242/uRFrodul.jpeg","View")</f>
        <v>View</v>
      </c>
      <c r="V1761" s="8"/>
      <c r="W1761" s="8"/>
      <c r="X1761" s="8"/>
      <c r="Y1761" s="8"/>
      <c r="Z1761" s="8"/>
    </row>
    <row r="1762" spans="1:26" ht="12.75">
      <c r="A1762" s="11">
        <v>43745.948854166665</v>
      </c>
      <c r="B1762" s="12" t="str">
        <f>HYPERLINK("https://twitter.com/AbdoAlmtrodi","@AbdoAlmtrodi")</f>
        <v>@AbdoAlmtrodi</v>
      </c>
      <c r="C1762" s="13" t="s">
        <v>10591</v>
      </c>
      <c r="D1762" s="13" t="s">
        <v>3500</v>
      </c>
      <c r="E1762" s="12" t="str">
        <f>HYPERLINK("https://twitter.com/AbdoAlmtrodi/status/1181445705354956802","1181445705354956802")</f>
        <v>1181445705354956802</v>
      </c>
      <c r="F1762" s="8"/>
      <c r="G1762" s="14" t="s">
        <v>10593</v>
      </c>
      <c r="H1762" s="8"/>
      <c r="I1762" s="15">
        <v>0</v>
      </c>
      <c r="J1762" s="15">
        <v>0</v>
      </c>
      <c r="K1762" s="12" t="str">
        <f>HYPERLINK("http://twitter.com","Twitter Web Client")</f>
        <v>Twitter Web Client</v>
      </c>
      <c r="L1762" s="16">
        <v>4</v>
      </c>
      <c r="M1762" s="16">
        <v>37</v>
      </c>
      <c r="N1762" s="16">
        <v>0</v>
      </c>
      <c r="O1762" s="17"/>
      <c r="P1762" s="18">
        <v>42079.194849537038</v>
      </c>
      <c r="Q1762" s="8"/>
      <c r="R1762" s="8"/>
      <c r="S1762" s="8"/>
      <c r="T1762" s="8"/>
      <c r="U1762" s="19" t="str">
        <f>HYPERLINK("https://pbs.twimg.com/profile_images/577457386182418433/ZKMizMBf.jpeg","View")</f>
        <v>View</v>
      </c>
      <c r="V1762" s="8"/>
      <c r="W1762" s="8"/>
      <c r="X1762" s="8"/>
      <c r="Y1762" s="8"/>
      <c r="Z1762" s="8"/>
    </row>
    <row r="1763" spans="1:26" ht="12.75">
      <c r="A1763" s="11">
        <v>43745.947731481487</v>
      </c>
      <c r="B1763" s="12" t="str">
        <f>HYPERLINK("https://twitter.com/ElfayedOsama","@ElfayedOsama")</f>
        <v>@ElfayedOsama</v>
      </c>
      <c r="C1763" s="13" t="s">
        <v>10598</v>
      </c>
      <c r="D1763" s="7" t="s">
        <v>3521</v>
      </c>
      <c r="E1763" s="12" t="str">
        <f>HYPERLINK("https://twitter.com/ElfayedOsama/status/1181445300579393542","1181445300579393542")</f>
        <v>1181445300579393542</v>
      </c>
      <c r="F1763" s="8"/>
      <c r="G1763" s="14" t="s">
        <v>10599</v>
      </c>
      <c r="H1763" s="8"/>
      <c r="I1763" s="15">
        <v>0</v>
      </c>
      <c r="J1763" s="15">
        <v>0</v>
      </c>
      <c r="K1763" s="12" t="str">
        <f>HYPERLINK("http://twitter.com","Twitter Web Client")</f>
        <v>Twitter Web Client</v>
      </c>
      <c r="L1763" s="16">
        <v>139</v>
      </c>
      <c r="M1763" s="16">
        <v>42</v>
      </c>
      <c r="N1763" s="16">
        <v>0</v>
      </c>
      <c r="O1763" s="17"/>
      <c r="P1763" s="18">
        <v>42075.62568287037</v>
      </c>
      <c r="Q1763" s="7"/>
      <c r="R1763" s="13"/>
      <c r="S1763" s="8"/>
      <c r="T1763" s="8"/>
      <c r="U1763" s="19" t="str">
        <f>HYPERLINK("https://pbs.twimg.com/profile_images/576140936247275520/QuiqpfiW.jpeg","View")</f>
        <v>View</v>
      </c>
      <c r="V1763" s="8"/>
      <c r="W1763" s="8"/>
      <c r="X1763" s="8"/>
      <c r="Y1763" s="8"/>
      <c r="Z1763" s="8"/>
    </row>
    <row r="1764" spans="1:26" ht="12.75">
      <c r="A1764" s="11">
        <v>43745.946354166663</v>
      </c>
      <c r="B1764" s="12" t="str">
        <f>HYPERLINK("https://twitter.com/saidawaad1","@saidawaad1")</f>
        <v>@saidawaad1</v>
      </c>
      <c r="C1764" s="7" t="s">
        <v>10602</v>
      </c>
      <c r="D1764" s="7" t="s">
        <v>2900</v>
      </c>
      <c r="E1764" s="12" t="str">
        <f>HYPERLINK("https://twitter.com/saidawaad1/status/1181444802962972672","1181444802962972672")</f>
        <v>1181444802962972672</v>
      </c>
      <c r="F1764" s="8"/>
      <c r="G1764" s="14" t="s">
        <v>10603</v>
      </c>
      <c r="H1764" s="8"/>
      <c r="I1764" s="15">
        <v>0</v>
      </c>
      <c r="J1764" s="15">
        <v>0</v>
      </c>
      <c r="K1764" s="12" t="str">
        <f>HYPERLINK("http://twitter.com","Twitter Web Client")</f>
        <v>Twitter Web Client</v>
      </c>
      <c r="L1764" s="16">
        <v>6</v>
      </c>
      <c r="M1764" s="16">
        <v>38</v>
      </c>
      <c r="N1764" s="16">
        <v>0</v>
      </c>
      <c r="O1764" s="17"/>
      <c r="P1764" s="18">
        <v>42267.777002314819</v>
      </c>
      <c r="Q1764" s="7"/>
      <c r="R1764" s="7"/>
      <c r="S1764" s="8"/>
      <c r="T1764" s="8"/>
      <c r="U1764" s="19" t="str">
        <f>HYPERLINK("https://pbs.twimg.com/profile_images/645774239367237632/tIFag0dd.jpg","View")</f>
        <v>View</v>
      </c>
      <c r="V1764" s="8"/>
      <c r="W1764" s="8"/>
      <c r="X1764" s="8"/>
      <c r="Y1764" s="8"/>
      <c r="Z1764" s="8"/>
    </row>
    <row r="1765" spans="1:26" ht="12.75">
      <c r="A1765" s="11">
        <v>43745.945601851854</v>
      </c>
      <c r="B1765" s="12" t="str">
        <f>HYPERLINK("https://twitter.com/alshaya_hh","@alshaya_hh")</f>
        <v>@alshaya_hh</v>
      </c>
      <c r="C1765" s="13" t="s">
        <v>10604</v>
      </c>
      <c r="D1765" s="13" t="s">
        <v>3543</v>
      </c>
      <c r="E1765" s="12" t="str">
        <f>HYPERLINK("https://twitter.com/alshaya_hh/status/1181444527694995457","1181444527694995457")</f>
        <v>1181444527694995457</v>
      </c>
      <c r="F1765" s="8"/>
      <c r="G1765" s="14" t="s">
        <v>10605</v>
      </c>
      <c r="H1765" s="8"/>
      <c r="I1765" s="15">
        <v>0</v>
      </c>
      <c r="J1765" s="15">
        <v>0</v>
      </c>
      <c r="K1765" s="12" t="str">
        <f>HYPERLINK("http://twitter.com","Twitter Web Client")</f>
        <v>Twitter Web Client</v>
      </c>
      <c r="L1765" s="16">
        <v>4</v>
      </c>
      <c r="M1765" s="16">
        <v>37</v>
      </c>
      <c r="N1765" s="16">
        <v>0</v>
      </c>
      <c r="O1765" s="17"/>
      <c r="P1765" s="18">
        <v>42075.172129629631</v>
      </c>
      <c r="Q1765" s="8"/>
      <c r="R1765" s="8"/>
      <c r="S1765" s="8"/>
      <c r="T1765" s="8"/>
      <c r="U1765" s="19" t="str">
        <f>HYPERLINK("https://pbs.twimg.com/profile_images/575976665303535617/cVWfr1ez.jpeg","View")</f>
        <v>View</v>
      </c>
      <c r="V1765" s="8"/>
      <c r="W1765" s="8"/>
      <c r="X1765" s="8"/>
      <c r="Y1765" s="8"/>
      <c r="Z1765" s="8"/>
    </row>
    <row r="1766" spans="1:26" ht="12.75">
      <c r="A1766" s="11">
        <v>43745.942800925928</v>
      </c>
      <c r="B1766" s="12" t="str">
        <f>HYPERLINK("https://twitter.com/hamed_mohsin","@hamed_mohsin")</f>
        <v>@hamed_mohsin</v>
      </c>
      <c r="C1766" s="13" t="s">
        <v>10606</v>
      </c>
      <c r="D1766" s="13" t="s">
        <v>10607</v>
      </c>
      <c r="E1766" s="12" t="str">
        <f>HYPERLINK("https://twitter.com/hamed_mohsin/status/1181443515177426944","1181443515177426944")</f>
        <v>1181443515177426944</v>
      </c>
      <c r="F1766" s="8"/>
      <c r="G1766" s="14" t="s">
        <v>10608</v>
      </c>
      <c r="H1766" s="8"/>
      <c r="I1766" s="15">
        <v>0</v>
      </c>
      <c r="J1766" s="15">
        <v>0</v>
      </c>
      <c r="K1766" s="12" t="str">
        <f>HYPERLINK("http://twitter.com","Twitter Web Client")</f>
        <v>Twitter Web Client</v>
      </c>
      <c r="L1766" s="16">
        <v>0</v>
      </c>
      <c r="M1766" s="16">
        <v>30</v>
      </c>
      <c r="N1766" s="16">
        <v>0</v>
      </c>
      <c r="O1766" s="17"/>
      <c r="P1766" s="18">
        <v>41825.282141203701</v>
      </c>
      <c r="Q1766" s="8"/>
      <c r="R1766" s="8"/>
      <c r="S1766" s="8"/>
      <c r="T1766" s="8"/>
      <c r="U1766" s="19" t="str">
        <f>HYPERLINK("https://pbs.twimg.com/profile_images/485419573026365440/B4ZZNtSm.jpeg","View")</f>
        <v>View</v>
      </c>
      <c r="V1766" s="8"/>
      <c r="W1766" s="8"/>
      <c r="X1766" s="8"/>
      <c r="Y1766" s="8"/>
      <c r="Z1766" s="8"/>
    </row>
    <row r="1767" spans="1:26" ht="12.75">
      <c r="A1767" s="11">
        <v>43745.939768518518</v>
      </c>
      <c r="B1767" s="12" t="str">
        <f>HYPERLINK("https://twitter.com/nasserqahtani9","@nasserqahtani9")</f>
        <v>@nasserqahtani9</v>
      </c>
      <c r="C1767" s="7" t="s">
        <v>10609</v>
      </c>
      <c r="D1767" s="7" t="s">
        <v>2945</v>
      </c>
      <c r="E1767" s="12" t="str">
        <f>HYPERLINK("https://twitter.com/nasserqahtani9/status/1181442413774147584","1181442413774147584")</f>
        <v>1181442413774147584</v>
      </c>
      <c r="F1767" s="8"/>
      <c r="G1767" s="14" t="s">
        <v>10610</v>
      </c>
      <c r="H1767" s="8"/>
      <c r="I1767" s="15">
        <v>0</v>
      </c>
      <c r="J1767" s="15">
        <v>0</v>
      </c>
      <c r="K1767" s="12" t="str">
        <f>HYPERLINK("http://twitter.com","Twitter Web Client")</f>
        <v>Twitter Web Client</v>
      </c>
      <c r="L1767" s="16">
        <v>4</v>
      </c>
      <c r="M1767" s="16">
        <v>41</v>
      </c>
      <c r="N1767" s="16">
        <v>0</v>
      </c>
      <c r="O1767" s="17"/>
      <c r="P1767" s="18">
        <v>42072.591168981482</v>
      </c>
      <c r="Q1767" s="7"/>
      <c r="R1767" s="7"/>
      <c r="S1767" s="15"/>
      <c r="T1767" s="8"/>
      <c r="U1767" s="19" t="str">
        <f>HYPERLINK("https://pbs.twimg.com/profile_images/575041801863622656/L0CBXa5Y.jpeg","View")</f>
        <v>View</v>
      </c>
      <c r="V1767" s="8"/>
      <c r="W1767" s="8"/>
      <c r="X1767" s="8"/>
      <c r="Y1767" s="8"/>
      <c r="Z1767" s="8"/>
    </row>
    <row r="1768" spans="1:26" ht="12.75">
      <c r="A1768" s="11">
        <v>43745.938518518524</v>
      </c>
      <c r="B1768" s="12" t="str">
        <f>HYPERLINK("https://twitter.com/mobara22","@mobara22")</f>
        <v>@mobara22</v>
      </c>
      <c r="C1768" s="13" t="s">
        <v>1708</v>
      </c>
      <c r="D1768" s="13" t="s">
        <v>10611</v>
      </c>
      <c r="E1768" s="12" t="str">
        <f>HYPERLINK("https://twitter.com/mobara22/status/1181441961472995329","1181441961472995329")</f>
        <v>1181441961472995329</v>
      </c>
      <c r="F1768" s="8"/>
      <c r="G1768" s="14" t="s">
        <v>10612</v>
      </c>
      <c r="H1768" s="8"/>
      <c r="I1768" s="15">
        <v>0</v>
      </c>
      <c r="J1768" s="15">
        <v>0</v>
      </c>
      <c r="K1768" s="12" t="str">
        <f>HYPERLINK("http://twitter.com","Twitter Web Client")</f>
        <v>Twitter Web Client</v>
      </c>
      <c r="L1768" s="16">
        <v>7</v>
      </c>
      <c r="M1768" s="16">
        <v>36</v>
      </c>
      <c r="N1768" s="16">
        <v>0</v>
      </c>
      <c r="O1768" s="17"/>
      <c r="P1768" s="18">
        <v>42077.216909722221</v>
      </c>
      <c r="Q1768" s="8"/>
      <c r="R1768" s="8"/>
      <c r="S1768" s="8"/>
      <c r="T1768" s="8"/>
      <c r="U1768" s="19" t="str">
        <f>HYPERLINK("https://pbs.twimg.com/profile_images/576717657451335680/9Bcc6ksa.jpeg","View")</f>
        <v>View</v>
      </c>
      <c r="V1768" s="8"/>
      <c r="W1768" s="8"/>
      <c r="X1768" s="8"/>
      <c r="Y1768" s="8"/>
      <c r="Z1768" s="8"/>
    </row>
    <row r="1769" spans="1:26" ht="12.75">
      <c r="A1769" s="11">
        <v>43745.937881944439</v>
      </c>
      <c r="B1769" s="12" t="str">
        <f>HYPERLINK("https://twitter.com/ahmedmonthlyah2","@ahmedmonthlyah2")</f>
        <v>@ahmedmonthlyah2</v>
      </c>
      <c r="C1769" s="13" t="s">
        <v>10613</v>
      </c>
      <c r="D1769" s="13" t="s">
        <v>3582</v>
      </c>
      <c r="E1769" s="12" t="str">
        <f>HYPERLINK("https://twitter.com/ahmedmonthlyah2/status/1181441729276370944","1181441729276370944")</f>
        <v>1181441729276370944</v>
      </c>
      <c r="F1769" s="8"/>
      <c r="G1769" s="14" t="s">
        <v>10614</v>
      </c>
      <c r="H1769" s="8"/>
      <c r="I1769" s="15">
        <v>0</v>
      </c>
      <c r="J1769" s="15">
        <v>0</v>
      </c>
      <c r="K1769" s="12" t="str">
        <f>HYPERLINK("http://twitter.com","Twitter Web Client")</f>
        <v>Twitter Web Client</v>
      </c>
      <c r="L1769" s="16">
        <v>1</v>
      </c>
      <c r="M1769" s="16">
        <v>36</v>
      </c>
      <c r="N1769" s="16">
        <v>0</v>
      </c>
      <c r="O1769" s="17"/>
      <c r="P1769" s="18">
        <v>42019.195243055554</v>
      </c>
      <c r="Q1769" s="8"/>
      <c r="R1769" s="8"/>
      <c r="S1769" s="8"/>
      <c r="T1769" s="8"/>
      <c r="U1769" s="19" t="str">
        <f>HYPERLINK("https://pbs.twimg.com/profile_images/555706445522407425/Qj4kECYR.jpeg","View")</f>
        <v>View</v>
      </c>
      <c r="V1769" s="8"/>
      <c r="W1769" s="8"/>
      <c r="X1769" s="8"/>
      <c r="Y1769" s="8"/>
      <c r="Z1769" s="8"/>
    </row>
    <row r="1770" spans="1:26" ht="12.75">
      <c r="A1770" s="11">
        <v>43745.9377662037</v>
      </c>
      <c r="B1770" s="12" t="str">
        <f>HYPERLINK("https://twitter.com/RCJackson0045","@RCJackson0045")</f>
        <v>@RCJackson0045</v>
      </c>
      <c r="C1770" s="13" t="s">
        <v>10618</v>
      </c>
      <c r="D1770" s="13" t="s">
        <v>10619</v>
      </c>
      <c r="E1770" s="12" t="str">
        <f>HYPERLINK("https://twitter.com/RCJackson0045/status/1181441687563882498","1181441687563882498")</f>
        <v>1181441687563882498</v>
      </c>
      <c r="F1770" s="14" t="s">
        <v>10621</v>
      </c>
      <c r="G1770" s="15"/>
      <c r="H1770" s="8"/>
      <c r="I1770" s="15">
        <v>0</v>
      </c>
      <c r="J1770" s="15">
        <v>0</v>
      </c>
      <c r="K1770" s="12" t="str">
        <f>HYPERLINK("https://mobile.twitter.com","Twitter Web App")</f>
        <v>Twitter Web App</v>
      </c>
      <c r="L1770" s="16">
        <v>100</v>
      </c>
      <c r="M1770" s="16">
        <v>146</v>
      </c>
      <c r="N1770" s="16">
        <v>9</v>
      </c>
      <c r="O1770" s="17"/>
      <c r="P1770" s="18">
        <v>40718.683715277773</v>
      </c>
      <c r="Q1770" s="8" t="s">
        <v>10623</v>
      </c>
      <c r="R1770" s="8" t="s">
        <v>10624</v>
      </c>
      <c r="S1770" s="8"/>
      <c r="T1770" s="8"/>
      <c r="U1770" s="19" t="str">
        <f>HYPERLINK("https://pbs.twimg.com/profile_images/901330620193701888/D3smkVrn.jpg","View")</f>
        <v>View</v>
      </c>
      <c r="V1770" s="8"/>
      <c r="W1770" s="8"/>
      <c r="X1770" s="8"/>
      <c r="Y1770" s="8"/>
      <c r="Z1770" s="8"/>
    </row>
    <row r="1771" spans="1:26" ht="12.75">
      <c r="A1771" s="11">
        <v>43745.937372685185</v>
      </c>
      <c r="B1771" s="12" t="str">
        <f>HYPERLINK("https://twitter.com/alkahtaniie433","@alkahtaniie433")</f>
        <v>@alkahtaniie433</v>
      </c>
      <c r="C1771" s="13" t="s">
        <v>10627</v>
      </c>
      <c r="D1771" s="13" t="s">
        <v>10628</v>
      </c>
      <c r="E1771" s="12" t="str">
        <f>HYPERLINK("https://twitter.com/alkahtaniie433/status/1181441545880428545","1181441545880428545")</f>
        <v>1181441545880428545</v>
      </c>
      <c r="F1771" s="8"/>
      <c r="G1771" s="14" t="s">
        <v>10630</v>
      </c>
      <c r="H1771" s="8"/>
      <c r="I1771" s="15">
        <v>0</v>
      </c>
      <c r="J1771" s="15">
        <v>0</v>
      </c>
      <c r="K1771" s="12" t="str">
        <f>HYPERLINK("http://twitter.com","Twitter Web Client")</f>
        <v>Twitter Web Client</v>
      </c>
      <c r="L1771" s="16">
        <v>9</v>
      </c>
      <c r="M1771" s="16">
        <v>36</v>
      </c>
      <c r="N1771" s="16">
        <v>0</v>
      </c>
      <c r="O1771" s="17"/>
      <c r="P1771" s="18">
        <v>42079.723657407405</v>
      </c>
      <c r="Q1771" s="8"/>
      <c r="R1771" s="8"/>
      <c r="S1771" s="8"/>
      <c r="T1771" s="8"/>
      <c r="U1771" s="19" t="str">
        <f>HYPERLINK("https://pbs.twimg.com/profile_images/577626061103456256/c8ddA6_v.jpeg","View")</f>
        <v>View</v>
      </c>
      <c r="V1771" s="8"/>
      <c r="W1771" s="8"/>
      <c r="X1771" s="8"/>
      <c r="Y1771" s="8"/>
      <c r="Z1771" s="8"/>
    </row>
    <row r="1772" spans="1:26" ht="12.75">
      <c r="A1772" s="11">
        <v>43745.934016203704</v>
      </c>
      <c r="B1772" s="12" t="str">
        <f>HYPERLINK("https://twitter.com/AsemuieSultaen","@AsemuieSultaen")</f>
        <v>@AsemuieSultaen</v>
      </c>
      <c r="C1772" s="13" t="s">
        <v>6686</v>
      </c>
      <c r="D1772" s="13" t="s">
        <v>10632</v>
      </c>
      <c r="E1772" s="12" t="str">
        <f>HYPERLINK("https://twitter.com/AsemuieSultaen/status/1181440329733435392","1181440329733435392")</f>
        <v>1181440329733435392</v>
      </c>
      <c r="F1772" s="8"/>
      <c r="G1772" s="14" t="s">
        <v>10634</v>
      </c>
      <c r="H1772" s="8"/>
      <c r="I1772" s="15">
        <v>0</v>
      </c>
      <c r="J1772" s="15">
        <v>0</v>
      </c>
      <c r="K1772" s="12" t="str">
        <f>HYPERLINK("http://twitter.com","Twitter Web Client")</f>
        <v>Twitter Web Client</v>
      </c>
      <c r="L1772" s="16">
        <v>2</v>
      </c>
      <c r="M1772" s="16">
        <v>35</v>
      </c>
      <c r="N1772" s="16">
        <v>0</v>
      </c>
      <c r="O1772" s="17"/>
      <c r="P1772" s="18">
        <v>41828.24759259259</v>
      </c>
      <c r="Q1772" s="8"/>
      <c r="R1772" s="8"/>
      <c r="S1772" s="8"/>
      <c r="T1772" s="8"/>
      <c r="U1772" s="19" t="str">
        <f>HYPERLINK("https://pbs.twimg.com/profile_images/486494664615137280/PW0r05LH.jpeg","View")</f>
        <v>View</v>
      </c>
      <c r="V1772" s="8"/>
      <c r="W1772" s="8"/>
      <c r="X1772" s="8"/>
      <c r="Y1772" s="8"/>
      <c r="Z1772" s="8"/>
    </row>
    <row r="1773" spans="1:26" ht="12.75">
      <c r="A1773" s="11">
        <v>43745.933761574073</v>
      </c>
      <c r="B1773" s="12" t="str">
        <f>HYPERLINK("https://twitter.com/HadebMarzok","@HadebMarzok")</f>
        <v>@HadebMarzok</v>
      </c>
      <c r="C1773" s="13" t="s">
        <v>10636</v>
      </c>
      <c r="D1773" s="13" t="s">
        <v>10637</v>
      </c>
      <c r="E1773" s="12" t="str">
        <f>HYPERLINK("https://twitter.com/HadebMarzok/status/1181440238801113088","1181440238801113088")</f>
        <v>1181440238801113088</v>
      </c>
      <c r="F1773" s="8"/>
      <c r="G1773" s="14" t="s">
        <v>10638</v>
      </c>
      <c r="H1773" s="8"/>
      <c r="I1773" s="15">
        <v>0</v>
      </c>
      <c r="J1773" s="15">
        <v>0</v>
      </c>
      <c r="K1773" s="12" t="str">
        <f>HYPERLINK("http://twitter.com","Twitter Web Client")</f>
        <v>Twitter Web Client</v>
      </c>
      <c r="L1773" s="16">
        <v>5</v>
      </c>
      <c r="M1773" s="16">
        <v>35</v>
      </c>
      <c r="N1773" s="16">
        <v>0</v>
      </c>
      <c r="O1773" s="17"/>
      <c r="P1773" s="18">
        <v>42080.56045138889</v>
      </c>
      <c r="Q1773" s="8"/>
      <c r="R1773" s="8"/>
      <c r="S1773" s="8"/>
      <c r="T1773" s="8"/>
      <c r="U1773" s="19" t="str">
        <f>HYPERLINK("https://pbs.twimg.com/profile_images/577929278819438592/wY6USQnJ.jpeg","View")</f>
        <v>View</v>
      </c>
      <c r="V1773" s="8"/>
      <c r="W1773" s="8"/>
      <c r="X1773" s="8"/>
      <c r="Y1773" s="8"/>
      <c r="Z1773" s="8"/>
    </row>
    <row r="1774" spans="1:26" ht="12.75">
      <c r="A1774" s="11">
        <v>43745.930752314816</v>
      </c>
      <c r="B1774" s="12" t="str">
        <f>HYPERLINK("https://twitter.com/YaFalahal","@YaFalahal")</f>
        <v>@YaFalahal</v>
      </c>
      <c r="C1774" s="13" t="s">
        <v>10645</v>
      </c>
      <c r="D1774" s="13" t="s">
        <v>10646</v>
      </c>
      <c r="E1774" s="12" t="str">
        <f>HYPERLINK("https://twitter.com/YaFalahal/status/1181439148848234496","1181439148848234496")</f>
        <v>1181439148848234496</v>
      </c>
      <c r="F1774" s="8"/>
      <c r="G1774" s="14" t="s">
        <v>10648</v>
      </c>
      <c r="H1774" s="8"/>
      <c r="I1774" s="15">
        <v>0</v>
      </c>
      <c r="J1774" s="15">
        <v>0</v>
      </c>
      <c r="K1774" s="12" t="str">
        <f>HYPERLINK("http://twitter.com","Twitter Web Client")</f>
        <v>Twitter Web Client</v>
      </c>
      <c r="L1774" s="16">
        <v>1</v>
      </c>
      <c r="M1774" s="16">
        <v>34</v>
      </c>
      <c r="N1774" s="16">
        <v>0</v>
      </c>
      <c r="O1774" s="17"/>
      <c r="P1774" s="18">
        <v>41825.555173611108</v>
      </c>
      <c r="Q1774" s="8"/>
      <c r="R1774" s="8"/>
      <c r="S1774" s="8"/>
      <c r="T1774" s="8"/>
      <c r="U1774" s="19" t="str">
        <f>HYPERLINK("https://pbs.twimg.com/profile_images/485521618785931265/pzv-UtiY.jpeg","View")</f>
        <v>View</v>
      </c>
      <c r="V1774" s="8"/>
      <c r="W1774" s="8"/>
      <c r="X1774" s="8"/>
      <c r="Y1774" s="8"/>
      <c r="Z1774" s="8"/>
    </row>
    <row r="1775" spans="1:26" ht="12.75">
      <c r="A1775" s="11">
        <v>43745.929432870369</v>
      </c>
      <c r="B1775" s="12" t="str">
        <f>HYPERLINK("https://twitter.com/halimamuthffar","@halimamuthffar")</f>
        <v>@halimamuthffar</v>
      </c>
      <c r="C1775" s="7" t="s">
        <v>10651</v>
      </c>
      <c r="D1775" s="7" t="s">
        <v>10652</v>
      </c>
      <c r="E1775" s="12" t="str">
        <f>HYPERLINK("https://twitter.com/halimamuthffar/status/1181438670508822530","1181438670508822530")</f>
        <v>1181438670508822530</v>
      </c>
      <c r="F1775" s="8"/>
      <c r="G1775" s="14" t="s">
        <v>10653</v>
      </c>
      <c r="H1775" s="8"/>
      <c r="I1775" s="15">
        <v>92</v>
      </c>
      <c r="J1775" s="15">
        <v>71</v>
      </c>
      <c r="K1775" s="12" t="str">
        <f>HYPERLINK("http://twitter.com/download/android","Twitter for Android")</f>
        <v>Twitter for Android</v>
      </c>
      <c r="L1775" s="16">
        <v>151707</v>
      </c>
      <c r="M1775" s="16">
        <v>999</v>
      </c>
      <c r="N1775" s="16">
        <v>486</v>
      </c>
      <c r="O1775" s="17" t="s">
        <v>984</v>
      </c>
      <c r="P1775" s="18">
        <v>40728.628229166665</v>
      </c>
      <c r="Q1775" s="8"/>
      <c r="R1775" s="8" t="s">
        <v>10657</v>
      </c>
      <c r="S1775" s="14" t="s">
        <v>10658</v>
      </c>
      <c r="T1775" s="8"/>
      <c r="U1775" s="19" t="str">
        <f>HYPERLINK("https://pbs.twimg.com/profile_images/1180705727012323328/CxngaPzm.jpg","View")</f>
        <v>View</v>
      </c>
      <c r="V1775" s="8"/>
      <c r="W1775" s="8"/>
      <c r="X1775" s="8"/>
      <c r="Y1775" s="8"/>
      <c r="Z1775" s="8"/>
    </row>
    <row r="1776" spans="1:26" ht="12.75">
      <c r="A1776" s="11">
        <v>43745.928229166668</v>
      </c>
      <c r="B1776" s="12" t="str">
        <f>HYPERLINK("https://twitter.com/yasaudkhudair21","@yasaudkhudair21")</f>
        <v>@yasaudkhudair21</v>
      </c>
      <c r="C1776" s="7" t="s">
        <v>10663</v>
      </c>
      <c r="D1776" s="7" t="s">
        <v>10664</v>
      </c>
      <c r="E1776" s="12" t="str">
        <f>HYPERLINK("https://twitter.com/yasaudkhudair21/status/1181438233563017217","1181438233563017217")</f>
        <v>1181438233563017217</v>
      </c>
      <c r="F1776" s="15"/>
      <c r="G1776" s="14" t="s">
        <v>10665</v>
      </c>
      <c r="H1776" s="8"/>
      <c r="I1776" s="15">
        <v>0</v>
      </c>
      <c r="J1776" s="15">
        <v>0</v>
      </c>
      <c r="K1776" s="12" t="str">
        <f>HYPERLINK("http://twitter.com","Twitter Web Client")</f>
        <v>Twitter Web Client</v>
      </c>
      <c r="L1776" s="16">
        <v>9</v>
      </c>
      <c r="M1776" s="16">
        <v>36</v>
      </c>
      <c r="N1776" s="16">
        <v>0</v>
      </c>
      <c r="O1776" s="17"/>
      <c r="P1776" s="18">
        <v>42068.361944444448</v>
      </c>
      <c r="Q1776" s="7"/>
      <c r="R1776" s="7"/>
      <c r="S1776" s="8"/>
      <c r="T1776" s="8"/>
      <c r="U1776" s="19" t="str">
        <f>HYPERLINK("https://pbs.twimg.com/profile_images/573524658017865728/ccTG34xC.jpeg","View")</f>
        <v>View</v>
      </c>
      <c r="V1776" s="8"/>
      <c r="W1776" s="8"/>
      <c r="X1776" s="8"/>
      <c r="Y1776" s="8"/>
      <c r="Z1776" s="8"/>
    </row>
    <row r="1777" spans="1:26" ht="12.75">
      <c r="A1777" s="11">
        <v>43745.927986111114</v>
      </c>
      <c r="B1777" s="12" t="str">
        <f>HYPERLINK("https://twitter.com/ahmad5alhakami","@ahmad5alhakami")</f>
        <v>@ahmad5alhakami</v>
      </c>
      <c r="C1777" s="13" t="s">
        <v>10667</v>
      </c>
      <c r="D1777" s="13" t="s">
        <v>3624</v>
      </c>
      <c r="E1777" s="12" t="str">
        <f>HYPERLINK("https://twitter.com/ahmad5alhakami/status/1181438144882851841","1181438144882851841")</f>
        <v>1181438144882851841</v>
      </c>
      <c r="F1777" s="8"/>
      <c r="G1777" s="14" t="s">
        <v>10670</v>
      </c>
      <c r="H1777" s="8"/>
      <c r="I1777" s="15">
        <v>0</v>
      </c>
      <c r="J1777" s="15">
        <v>0</v>
      </c>
      <c r="K1777" s="12" t="str">
        <f>HYPERLINK("http://twitter.com","Twitter Web Client")</f>
        <v>Twitter Web Client</v>
      </c>
      <c r="L1777" s="16">
        <v>24</v>
      </c>
      <c r="M1777" s="16">
        <v>65</v>
      </c>
      <c r="N1777" s="16">
        <v>0</v>
      </c>
      <c r="O1777" s="17"/>
      <c r="P1777" s="18">
        <v>41482.560925925922</v>
      </c>
      <c r="Q1777" s="8"/>
      <c r="R1777" s="8" t="s">
        <v>10671</v>
      </c>
      <c r="S1777" s="8"/>
      <c r="T1777" s="8"/>
      <c r="U1777" s="19" t="str">
        <f>HYPERLINK("https://pbs.twimg.com/profile_images/825016436670201856/yt-apPGr.jpg","View")</f>
        <v>View</v>
      </c>
      <c r="V1777" s="8"/>
      <c r="W1777" s="8"/>
      <c r="X1777" s="8"/>
      <c r="Y1777" s="8"/>
      <c r="Z1777" s="8"/>
    </row>
    <row r="1778" spans="1:26" ht="12.75">
      <c r="A1778" s="11">
        <v>43745.927233796298</v>
      </c>
      <c r="B1778" s="12" t="str">
        <f>HYPERLINK("https://twitter.com/salemmoaidh2","@salemmoaidh2")</f>
        <v>@salemmoaidh2</v>
      </c>
      <c r="C1778" s="13" t="s">
        <v>10672</v>
      </c>
      <c r="D1778" s="13" t="s">
        <v>10673</v>
      </c>
      <c r="E1778" s="12" t="str">
        <f>HYPERLINK("https://twitter.com/salemmoaidh2/status/1181437873062645760","1181437873062645760")</f>
        <v>1181437873062645760</v>
      </c>
      <c r="F1778" s="8"/>
      <c r="G1778" s="14" t="s">
        <v>10675</v>
      </c>
      <c r="H1778" s="8"/>
      <c r="I1778" s="15">
        <v>0</v>
      </c>
      <c r="J1778" s="15">
        <v>0</v>
      </c>
      <c r="K1778" s="12" t="str">
        <f>HYPERLINK("http://twitter.com","Twitter Web Client")</f>
        <v>Twitter Web Client</v>
      </c>
      <c r="L1778" s="16">
        <v>9</v>
      </c>
      <c r="M1778" s="16">
        <v>42</v>
      </c>
      <c r="N1778" s="16">
        <v>0</v>
      </c>
      <c r="O1778" s="17"/>
      <c r="P1778" s="18">
        <v>42076.343969907408</v>
      </c>
      <c r="Q1778" s="8"/>
      <c r="R1778" s="8"/>
      <c r="S1778" s="8"/>
      <c r="T1778" s="8"/>
      <c r="U1778" s="19" t="str">
        <f>HYPERLINK("https://pbs.twimg.com/profile_images/576407039632494592/DoDW9xOn.jpeg","View")</f>
        <v>View</v>
      </c>
      <c r="V1778" s="8"/>
      <c r="W1778" s="8"/>
      <c r="X1778" s="8"/>
      <c r="Y1778" s="8"/>
      <c r="Z1778" s="8"/>
    </row>
    <row r="1779" spans="1:26" ht="12.75">
      <c r="A1779" s="11">
        <v>43745.925023148149</v>
      </c>
      <c r="B1779" s="12" t="str">
        <f>HYPERLINK("https://twitter.com/MuietabSaad","@MuietabSaad")</f>
        <v>@MuietabSaad</v>
      </c>
      <c r="C1779" s="13" t="s">
        <v>10680</v>
      </c>
      <c r="D1779" s="13" t="s">
        <v>3052</v>
      </c>
      <c r="E1779" s="12" t="str">
        <f>HYPERLINK("https://twitter.com/MuietabSaad/status/1181437072982380544","1181437072982380544")</f>
        <v>1181437072982380544</v>
      </c>
      <c r="F1779" s="8"/>
      <c r="G1779" s="14" t="s">
        <v>10681</v>
      </c>
      <c r="H1779" s="8"/>
      <c r="I1779" s="15">
        <v>0</v>
      </c>
      <c r="J1779" s="15">
        <v>0</v>
      </c>
      <c r="K1779" s="12" t="str">
        <f>HYPERLINK("http://twitter.com","Twitter Web Client")</f>
        <v>Twitter Web Client</v>
      </c>
      <c r="L1779" s="16">
        <v>8</v>
      </c>
      <c r="M1779" s="16">
        <v>43</v>
      </c>
      <c r="N1779" s="16">
        <v>0</v>
      </c>
      <c r="O1779" s="17"/>
      <c r="P1779" s="18">
        <v>42073.283043981486</v>
      </c>
      <c r="Q1779" s="8"/>
      <c r="R1779" s="8"/>
      <c r="S1779" s="8"/>
      <c r="T1779" s="8"/>
      <c r="U1779" s="19" t="str">
        <f>HYPERLINK("https://pbs.twimg.com/profile_images/575293498913501185/FhLBhKnB.jpeg","View")</f>
        <v>View</v>
      </c>
      <c r="V1779" s="8"/>
      <c r="W1779" s="8"/>
      <c r="X1779" s="8"/>
      <c r="Y1779" s="8"/>
      <c r="Z1779" s="8"/>
    </row>
    <row r="1780" spans="1:26" ht="12.75">
      <c r="A1780" s="11">
        <v>43745.924027777779</v>
      </c>
      <c r="B1780" s="12" t="str">
        <f>HYPERLINK("https://twitter.com/qasimhsava","@qasimhsava")</f>
        <v>@qasimhsava</v>
      </c>
      <c r="C1780" s="13" t="s">
        <v>10685</v>
      </c>
      <c r="D1780" s="13" t="s">
        <v>3072</v>
      </c>
      <c r="E1780" s="12" t="str">
        <f>HYPERLINK("https://twitter.com/qasimhsava/status/1181436710321840128","1181436710321840128")</f>
        <v>1181436710321840128</v>
      </c>
      <c r="F1780" s="8"/>
      <c r="G1780" s="14" t="s">
        <v>10688</v>
      </c>
      <c r="H1780" s="8"/>
      <c r="I1780" s="15">
        <v>0</v>
      </c>
      <c r="J1780" s="15">
        <v>0</v>
      </c>
      <c r="K1780" s="12" t="str">
        <f>HYPERLINK("http://twitter.com","Twitter Web Client")</f>
        <v>Twitter Web Client</v>
      </c>
      <c r="L1780" s="16">
        <v>0</v>
      </c>
      <c r="M1780" s="16">
        <v>42</v>
      </c>
      <c r="N1780" s="16">
        <v>0</v>
      </c>
      <c r="O1780" s="17"/>
      <c r="P1780" s="18">
        <v>42075.698321759264</v>
      </c>
      <c r="Q1780" s="8"/>
      <c r="R1780" s="8"/>
      <c r="S1780" s="8"/>
      <c r="T1780" s="8"/>
      <c r="U1780" s="19" t="str">
        <f>HYPERLINK("https://pbs.twimg.com/profile_images/576169690524848128/ett6EYQZ.jpeg","View")</f>
        <v>View</v>
      </c>
      <c r="V1780" s="8"/>
      <c r="W1780" s="8"/>
      <c r="X1780" s="8"/>
      <c r="Y1780" s="8"/>
      <c r="Z1780" s="8"/>
    </row>
    <row r="1781" spans="1:26" ht="12.75">
      <c r="A1781" s="11">
        <v>43745.919363425928</v>
      </c>
      <c r="B1781" s="12" t="str">
        <f>HYPERLINK("https://twitter.com/tarahiib634","@tarahiib634")</f>
        <v>@tarahiib634</v>
      </c>
      <c r="C1781" s="13" t="s">
        <v>10694</v>
      </c>
      <c r="D1781" s="13" t="s">
        <v>10695</v>
      </c>
      <c r="E1781" s="12" t="str">
        <f>HYPERLINK("https://twitter.com/tarahiib634/status/1181435021657333760","1181435021657333760")</f>
        <v>1181435021657333760</v>
      </c>
      <c r="F1781" s="8"/>
      <c r="G1781" s="14" t="s">
        <v>10696</v>
      </c>
      <c r="H1781" s="8"/>
      <c r="I1781" s="15">
        <v>0</v>
      </c>
      <c r="J1781" s="15">
        <v>0</v>
      </c>
      <c r="K1781" s="12" t="str">
        <f>HYPERLINK("http://twitter.com","Twitter Web Client")</f>
        <v>Twitter Web Client</v>
      </c>
      <c r="L1781" s="16">
        <v>11</v>
      </c>
      <c r="M1781" s="16">
        <v>46</v>
      </c>
      <c r="N1781" s="16">
        <v>0</v>
      </c>
      <c r="O1781" s="17"/>
      <c r="P1781" s="18">
        <v>42073.35538194445</v>
      </c>
      <c r="Q1781" s="8"/>
      <c r="R1781" s="8"/>
      <c r="S1781" s="8"/>
      <c r="T1781" s="8"/>
      <c r="U1781" s="19" t="str">
        <f>HYPERLINK("https://pbs.twimg.com/profile_images/575318287887654912/JEucAxh4.jpeg","View")</f>
        <v>View</v>
      </c>
      <c r="V1781" s="8"/>
      <c r="W1781" s="8"/>
      <c r="X1781" s="8"/>
      <c r="Y1781" s="8"/>
      <c r="Z1781" s="8"/>
    </row>
    <row r="1782" spans="1:26" ht="12.75">
      <c r="A1782" s="11">
        <v>43745.919120370367</v>
      </c>
      <c r="B1782" s="12" t="str">
        <f>HYPERLINK("https://twitter.com/albayanii22","@albayanii22")</f>
        <v>@albayanii22</v>
      </c>
      <c r="C1782" s="13" t="s">
        <v>10698</v>
      </c>
      <c r="D1782" s="13" t="s">
        <v>10699</v>
      </c>
      <c r="E1782" s="12" t="str">
        <f>HYPERLINK("https://twitter.com/albayanii22/status/1181434931148398599","1181434931148398599")</f>
        <v>1181434931148398599</v>
      </c>
      <c r="F1782" s="8"/>
      <c r="G1782" s="14" t="s">
        <v>10700</v>
      </c>
      <c r="H1782" s="8"/>
      <c r="I1782" s="15">
        <v>0</v>
      </c>
      <c r="J1782" s="15">
        <v>0</v>
      </c>
      <c r="K1782" s="12" t="str">
        <f>HYPERLINK("http://twitter.com","Twitter Web Client")</f>
        <v>Twitter Web Client</v>
      </c>
      <c r="L1782" s="16">
        <v>7</v>
      </c>
      <c r="M1782" s="16">
        <v>37</v>
      </c>
      <c r="N1782" s="16">
        <v>0</v>
      </c>
      <c r="O1782" s="17"/>
      <c r="P1782" s="18">
        <v>42077.222048611111</v>
      </c>
      <c r="Q1782" s="8"/>
      <c r="R1782" s="8"/>
      <c r="S1782" s="8"/>
      <c r="T1782" s="8"/>
      <c r="U1782" s="19" t="str">
        <f>HYPERLINK("https://pbs.twimg.com/profile_images/576719486666944512/67UWC1LW.jpeg","View")</f>
        <v>View</v>
      </c>
      <c r="V1782" s="8"/>
      <c r="W1782" s="8"/>
      <c r="X1782" s="8"/>
      <c r="Y1782" s="8"/>
      <c r="Z1782" s="8"/>
    </row>
    <row r="1783" spans="1:26" ht="12.75">
      <c r="A1783" s="11">
        <v>43745.914930555555</v>
      </c>
      <c r="B1783" s="12" t="str">
        <f>HYPERLINK("https://twitter.com/Avid_Maddow_Fan","@Avid_Maddow_Fan")</f>
        <v>@Avid_Maddow_Fan</v>
      </c>
      <c r="C1783" s="13" t="s">
        <v>10704</v>
      </c>
      <c r="D1783" s="13" t="s">
        <v>10705</v>
      </c>
      <c r="E1783" s="12" t="str">
        <f>HYPERLINK("https://twitter.com/Avid_Maddow_Fan/status/1181433413963780097","1181433413963780097")</f>
        <v>1181433413963780097</v>
      </c>
      <c r="F1783" s="8"/>
      <c r="G1783" s="15"/>
      <c r="H1783" s="8"/>
      <c r="I1783" s="15">
        <v>1</v>
      </c>
      <c r="J1783" s="15">
        <v>0</v>
      </c>
      <c r="K1783" s="12" t="str">
        <f>HYPERLINK("http://twitter.com/download/android","Twitter for Android")</f>
        <v>Twitter for Android</v>
      </c>
      <c r="L1783" s="16">
        <v>6744</v>
      </c>
      <c r="M1783" s="16">
        <v>7031</v>
      </c>
      <c r="N1783" s="16">
        <v>3</v>
      </c>
      <c r="O1783" s="17"/>
      <c r="P1783" s="18">
        <v>43281.437175925923</v>
      </c>
      <c r="Q1783" s="8" t="s">
        <v>10708</v>
      </c>
      <c r="R1783" s="8" t="s">
        <v>10709</v>
      </c>
      <c r="S1783" s="8"/>
      <c r="T1783" s="8"/>
      <c r="U1783" s="19" t="str">
        <f>HYPERLINK("https://pbs.twimg.com/profile_images/1021419603480760323/bc_elAYA.jpg","View")</f>
        <v>View</v>
      </c>
      <c r="V1783" s="8"/>
      <c r="W1783" s="8"/>
      <c r="X1783" s="8"/>
      <c r="Y1783" s="8"/>
      <c r="Z1783" s="8"/>
    </row>
    <row r="1784" spans="1:26" ht="12.75">
      <c r="A1784" s="11">
        <v>43745.913356481484</v>
      </c>
      <c r="B1784" s="12" t="str">
        <f>HYPERLINK("https://twitter.com/elsahaly323","@elsahaly323")</f>
        <v>@elsahaly323</v>
      </c>
      <c r="C1784" s="7" t="s">
        <v>10712</v>
      </c>
      <c r="D1784" s="7" t="s">
        <v>10713</v>
      </c>
      <c r="E1784" s="12" t="str">
        <f>HYPERLINK("https://twitter.com/elsahaly323/status/1181432841810403328","1181432841810403328")</f>
        <v>1181432841810403328</v>
      </c>
      <c r="F1784" s="15"/>
      <c r="G1784" s="14" t="s">
        <v>10714</v>
      </c>
      <c r="H1784" s="8"/>
      <c r="I1784" s="15">
        <v>0</v>
      </c>
      <c r="J1784" s="15">
        <v>0</v>
      </c>
      <c r="K1784" s="12" t="str">
        <f>HYPERLINK("http://twitter.com","Twitter Web Client")</f>
        <v>Twitter Web Client</v>
      </c>
      <c r="L1784" s="16">
        <v>9</v>
      </c>
      <c r="M1784" s="16">
        <v>46</v>
      </c>
      <c r="N1784" s="16">
        <v>0</v>
      </c>
      <c r="O1784" s="17"/>
      <c r="P1784" s="18">
        <v>42073.344942129625</v>
      </c>
      <c r="Q1784" s="8"/>
      <c r="R1784" s="7"/>
      <c r="S1784" s="8"/>
      <c r="T1784" s="8"/>
      <c r="U1784" s="19" t="str">
        <f>HYPERLINK("https://pbs.twimg.com/profile_images/575316818698481664/QfXU40u6.jpeg","View")</f>
        <v>View</v>
      </c>
      <c r="V1784" s="8"/>
      <c r="W1784" s="8"/>
      <c r="X1784" s="8"/>
      <c r="Y1784" s="8"/>
      <c r="Z1784" s="8"/>
    </row>
    <row r="1785" spans="1:26" ht="12.75">
      <c r="A1785" s="11">
        <v>43745.912986111114</v>
      </c>
      <c r="B1785" s="12" t="str">
        <f>HYPERLINK("https://twitter.com/yousif661","@yousif661")</f>
        <v>@yousif661</v>
      </c>
      <c r="C1785" s="7" t="s">
        <v>10717</v>
      </c>
      <c r="D1785" s="7" t="s">
        <v>10718</v>
      </c>
      <c r="E1785" s="12" t="str">
        <f>HYPERLINK("https://twitter.com/yousif661/status/1181432710700683264","1181432710700683264")</f>
        <v>1181432710700683264</v>
      </c>
      <c r="F1785" s="15"/>
      <c r="G1785" s="15"/>
      <c r="H1785" s="8"/>
      <c r="I1785" s="15">
        <v>0</v>
      </c>
      <c r="J1785" s="15">
        <v>0</v>
      </c>
      <c r="K1785" s="12" t="str">
        <f>HYPERLINK("https://mobile.twitter.com","Twitter Web App")</f>
        <v>Twitter Web App</v>
      </c>
      <c r="L1785" s="16">
        <v>366</v>
      </c>
      <c r="M1785" s="16">
        <v>422</v>
      </c>
      <c r="N1785" s="16">
        <v>1</v>
      </c>
      <c r="O1785" s="17"/>
      <c r="P1785" s="18">
        <v>41136.695393518516</v>
      </c>
      <c r="Q1785" s="8"/>
      <c r="R1785" s="7" t="s">
        <v>10719</v>
      </c>
      <c r="S1785" s="8"/>
      <c r="T1785" s="8"/>
      <c r="U1785" s="19" t="str">
        <f>HYPERLINK("https://pbs.twimg.com/profile_images/1044625208269840388/DZ7Cam5N.jpg","View")</f>
        <v>View</v>
      </c>
      <c r="V1785" s="8"/>
      <c r="W1785" s="8"/>
      <c r="X1785" s="8"/>
      <c r="Y1785" s="8"/>
      <c r="Z1785" s="8"/>
    </row>
    <row r="1786" spans="1:26" ht="12.75">
      <c r="A1786" s="11">
        <v>43745.912546296298</v>
      </c>
      <c r="B1786" s="12" t="str">
        <f>HYPERLINK("https://twitter.com/magedaldosari1","@magedaldosari1")</f>
        <v>@magedaldosari1</v>
      </c>
      <c r="C1786" s="7" t="s">
        <v>10720</v>
      </c>
      <c r="D1786" s="7" t="s">
        <v>3150</v>
      </c>
      <c r="E1786" s="12" t="str">
        <f>HYPERLINK("https://twitter.com/magedaldosari1/status/1181432551258370054","1181432551258370054")</f>
        <v>1181432551258370054</v>
      </c>
      <c r="F1786" s="15"/>
      <c r="G1786" s="14" t="s">
        <v>10721</v>
      </c>
      <c r="H1786" s="8"/>
      <c r="I1786" s="15">
        <v>0</v>
      </c>
      <c r="J1786" s="15">
        <v>0</v>
      </c>
      <c r="K1786" s="12" t="str">
        <f>HYPERLINK("http://twitter.com","Twitter Web Client")</f>
        <v>Twitter Web Client</v>
      </c>
      <c r="L1786" s="16">
        <v>2</v>
      </c>
      <c r="M1786" s="16">
        <v>38</v>
      </c>
      <c r="N1786" s="16">
        <v>0</v>
      </c>
      <c r="O1786" s="17"/>
      <c r="P1786" s="18">
        <v>42080.174629629633</v>
      </c>
      <c r="Q1786" s="8"/>
      <c r="R1786" s="7"/>
      <c r="S1786" s="8"/>
      <c r="T1786" s="8"/>
      <c r="U1786" s="19" t="str">
        <f>HYPERLINK("https://pbs.twimg.com/profile_images/577789647431950336/IaTcWKFN.jpeg","View")</f>
        <v>View</v>
      </c>
      <c r="V1786" s="8"/>
      <c r="W1786" s="8"/>
      <c r="X1786" s="8"/>
      <c r="Y1786" s="8"/>
      <c r="Z1786" s="8"/>
    </row>
    <row r="1787" spans="1:26" ht="12.75">
      <c r="A1787" s="11">
        <v>43745.912002314813</v>
      </c>
      <c r="B1787" s="12" t="str">
        <f>HYPERLINK("https://twitter.com/alshraniie787","@alshraniie787")</f>
        <v>@alshraniie787</v>
      </c>
      <c r="C1787" s="7" t="s">
        <v>10725</v>
      </c>
      <c r="D1787" s="7" t="s">
        <v>10726</v>
      </c>
      <c r="E1787" s="12" t="str">
        <f>HYPERLINK("https://twitter.com/alshraniie787/status/1181432353350148097","1181432353350148097")</f>
        <v>1181432353350148097</v>
      </c>
      <c r="F1787" s="15"/>
      <c r="G1787" s="14" t="s">
        <v>10727</v>
      </c>
      <c r="H1787" s="8"/>
      <c r="I1787" s="15">
        <v>0</v>
      </c>
      <c r="J1787" s="15">
        <v>0</v>
      </c>
      <c r="K1787" s="12" t="str">
        <f>HYPERLINK("http://twitter.com","Twitter Web Client")</f>
        <v>Twitter Web Client</v>
      </c>
      <c r="L1787" s="16">
        <v>15</v>
      </c>
      <c r="M1787" s="16">
        <v>39</v>
      </c>
      <c r="N1787" s="16">
        <v>0</v>
      </c>
      <c r="O1787" s="17"/>
      <c r="P1787" s="18">
        <v>42071.594965277778</v>
      </c>
      <c r="Q1787" s="8"/>
      <c r="R1787" s="7"/>
      <c r="S1787" s="8"/>
      <c r="T1787" s="8"/>
      <c r="U1787" s="19" t="str">
        <f>HYPERLINK("https://pbs.twimg.com/profile_images/574680361466130432/pAFAvmHO.jpeg","View")</f>
        <v>View</v>
      </c>
      <c r="V1787" s="8"/>
      <c r="W1787" s="8"/>
      <c r="X1787" s="8"/>
      <c r="Y1787" s="8"/>
      <c r="Z1787" s="8"/>
    </row>
    <row r="1788" spans="1:26" ht="12.75">
      <c r="A1788" s="11">
        <v>43745.907835648148</v>
      </c>
      <c r="B1788" s="12" t="str">
        <f>HYPERLINK("https://twitter.com/tareksaeed16","@tareksaeed16")</f>
        <v>@tareksaeed16</v>
      </c>
      <c r="C1788" s="7" t="s">
        <v>10733</v>
      </c>
      <c r="D1788" s="13" t="s">
        <v>3695</v>
      </c>
      <c r="E1788" s="12" t="str">
        <f>HYPERLINK("https://twitter.com/tareksaeed16/status/1181430841072914432","1181430841072914432")</f>
        <v>1181430841072914432</v>
      </c>
      <c r="F1788" s="15"/>
      <c r="G1788" s="14" t="s">
        <v>10734</v>
      </c>
      <c r="H1788" s="8"/>
      <c r="I1788" s="15">
        <v>0</v>
      </c>
      <c r="J1788" s="15">
        <v>0</v>
      </c>
      <c r="K1788" s="12" t="str">
        <f>HYPERLINK("http://twitter.com","Twitter Web Client")</f>
        <v>Twitter Web Client</v>
      </c>
      <c r="L1788" s="16">
        <v>7</v>
      </c>
      <c r="M1788" s="16">
        <v>36</v>
      </c>
      <c r="N1788" s="16">
        <v>0</v>
      </c>
      <c r="O1788" s="17"/>
      <c r="P1788" s="18">
        <v>42068.227789351848</v>
      </c>
      <c r="Q1788" s="8"/>
      <c r="R1788" s="7"/>
      <c r="S1788" s="8"/>
      <c r="T1788" s="8"/>
      <c r="U1788" s="19" t="str">
        <f>HYPERLINK("https://pbs.twimg.com/profile_images/573475360932651008/nHMcamyK.jpeg","View")</f>
        <v>View</v>
      </c>
      <c r="V1788" s="8"/>
      <c r="W1788" s="8"/>
      <c r="X1788" s="8"/>
      <c r="Y1788" s="8"/>
      <c r="Z1788" s="8"/>
    </row>
    <row r="1789" spans="1:26" ht="12.75">
      <c r="A1789" s="11">
        <v>43745.90761574074</v>
      </c>
      <c r="B1789" s="12" t="str">
        <f>HYPERLINK("https://twitter.com/AddConfessions","@AddConfessions")</f>
        <v>@AddConfessions</v>
      </c>
      <c r="C1789" s="7" t="s">
        <v>10735</v>
      </c>
      <c r="D1789" s="7" t="s">
        <v>10736</v>
      </c>
      <c r="E1789" s="12" t="str">
        <f>HYPERLINK("https://twitter.com/AddConfessions/status/1181430764367421441","1181430764367421441")</f>
        <v>1181430764367421441</v>
      </c>
      <c r="F1789" s="15"/>
      <c r="G1789" s="15"/>
      <c r="H1789" s="8"/>
      <c r="I1789" s="15">
        <v>0</v>
      </c>
      <c r="J1789" s="15">
        <v>6</v>
      </c>
      <c r="K1789" s="12" t="str">
        <f>HYPERLINK("http://twitter.com/download/iphone","Twitter for iPhone")</f>
        <v>Twitter for iPhone</v>
      </c>
      <c r="L1789" s="16">
        <v>225</v>
      </c>
      <c r="M1789" s="16">
        <v>495</v>
      </c>
      <c r="N1789" s="16">
        <v>0</v>
      </c>
      <c r="O1789" s="17"/>
      <c r="P1789" s="18">
        <v>43408.473935185189</v>
      </c>
      <c r="Q1789" s="8" t="s">
        <v>1804</v>
      </c>
      <c r="R1789" s="7" t="s">
        <v>10740</v>
      </c>
      <c r="S1789" s="8"/>
      <c r="T1789" s="8"/>
      <c r="U1789" s="19" t="str">
        <f>HYPERLINK("https://pbs.twimg.com/profile_images/1178856599303131138/tKktrEmH.jpg","View")</f>
        <v>View</v>
      </c>
      <c r="V1789" s="8"/>
      <c r="W1789" s="8"/>
      <c r="X1789" s="8"/>
      <c r="Y1789" s="8"/>
      <c r="Z1789" s="8"/>
    </row>
    <row r="1790" spans="1:26" ht="12.75">
      <c r="A1790" s="11">
        <v>43745.904560185183</v>
      </c>
      <c r="B1790" s="12" t="str">
        <f>HYPERLINK("https://twitter.com/mkhalid1970","@mkhalid1970")</f>
        <v>@mkhalid1970</v>
      </c>
      <c r="C1790" s="7" t="s">
        <v>10741</v>
      </c>
      <c r="D1790" s="7" t="s">
        <v>10742</v>
      </c>
      <c r="E1790" s="12" t="str">
        <f>HYPERLINK("https://twitter.com/mkhalid1970/status/1181429656681111552","1181429656681111552")</f>
        <v>1181429656681111552</v>
      </c>
      <c r="F1790" s="15"/>
      <c r="G1790" s="15"/>
      <c r="H1790" s="8"/>
      <c r="I1790" s="15">
        <v>0</v>
      </c>
      <c r="J1790" s="15">
        <v>0</v>
      </c>
      <c r="K1790" s="12" t="str">
        <f>HYPERLINK("http://twitter.com/download/iphone","Twitter for iPhone")</f>
        <v>Twitter for iPhone</v>
      </c>
      <c r="L1790" s="16">
        <v>116</v>
      </c>
      <c r="M1790" s="16">
        <v>190</v>
      </c>
      <c r="N1790" s="16">
        <v>2</v>
      </c>
      <c r="O1790" s="17"/>
      <c r="P1790" s="18">
        <v>40963.390300925923</v>
      </c>
      <c r="Q1790" s="8"/>
      <c r="R1790" s="7" t="s">
        <v>10745</v>
      </c>
      <c r="S1790" s="8"/>
      <c r="T1790" s="8"/>
      <c r="U1790" s="19" t="str">
        <f>HYPERLINK("https://pbs.twimg.com/profile_images/1858447897/image.jpg","View")</f>
        <v>View</v>
      </c>
      <c r="V1790" s="8"/>
      <c r="W1790" s="8"/>
      <c r="X1790" s="8"/>
      <c r="Y1790" s="8"/>
      <c r="Z1790" s="8"/>
    </row>
    <row r="1791" spans="1:26" ht="12.75">
      <c r="A1791" s="11">
        <v>43745.902766203704</v>
      </c>
      <c r="B1791" s="12" t="str">
        <f>HYPERLINK("https://twitter.com/EmporerofOZ","@EmporerofOZ")</f>
        <v>@EmporerofOZ</v>
      </c>
      <c r="C1791" s="7" t="s">
        <v>10748</v>
      </c>
      <c r="D1791" s="13" t="s">
        <v>10749</v>
      </c>
      <c r="E1791" s="12" t="str">
        <f>HYPERLINK("https://twitter.com/EmporerofOZ/status/1181429006190731265","1181429006190731265")</f>
        <v>1181429006190731265</v>
      </c>
      <c r="F1791" s="15" t="s">
        <v>10751</v>
      </c>
      <c r="G1791" s="15"/>
      <c r="H1791" s="8"/>
      <c r="I1791" s="15">
        <v>0</v>
      </c>
      <c r="J1791" s="15">
        <v>0</v>
      </c>
      <c r="K1791" s="12" t="str">
        <f>HYPERLINK("https://mobile.twitter.com","Twitter Web App")</f>
        <v>Twitter Web App</v>
      </c>
      <c r="L1791" s="16">
        <v>199</v>
      </c>
      <c r="M1791" s="16">
        <v>1185</v>
      </c>
      <c r="N1791" s="16">
        <v>2</v>
      </c>
      <c r="O1791" s="17"/>
      <c r="P1791" s="18">
        <v>43518.492905092593</v>
      </c>
      <c r="Q1791" s="8"/>
      <c r="R1791" s="7" t="s">
        <v>10752</v>
      </c>
      <c r="S1791" s="8"/>
      <c r="T1791" s="8"/>
      <c r="U1791" s="19" t="str">
        <f>HYPERLINK("https://pbs.twimg.com/profile_images/1099743622239408128/WW1sFsB3.png","View")</f>
        <v>View</v>
      </c>
      <c r="V1791" s="8"/>
      <c r="W1791" s="8"/>
      <c r="X1791" s="8"/>
      <c r="Y1791" s="8"/>
      <c r="Z1791" s="8"/>
    </row>
    <row r="1792" spans="1:26" ht="12.75">
      <c r="A1792" s="11">
        <v>43745.901412037041</v>
      </c>
      <c r="B1792" s="12" t="str">
        <f>HYPERLINK("https://twitter.com/3ayed7asan","@3ayed7asan")</f>
        <v>@3ayed7asan</v>
      </c>
      <c r="C1792" s="7" t="s">
        <v>10753</v>
      </c>
      <c r="D1792" s="13" t="s">
        <v>10754</v>
      </c>
      <c r="E1792" s="12" t="str">
        <f>HYPERLINK("https://twitter.com/3ayed7asan/status/1181428514320502784","1181428514320502784")</f>
        <v>1181428514320502784</v>
      </c>
      <c r="F1792" s="15"/>
      <c r="G1792" s="14" t="s">
        <v>10756</v>
      </c>
      <c r="H1792" s="8"/>
      <c r="I1792" s="15">
        <v>0</v>
      </c>
      <c r="J1792" s="15">
        <v>0</v>
      </c>
      <c r="K1792" s="12" t="str">
        <f>HYPERLINK("http://twitter.com","Twitter Web Client")</f>
        <v>Twitter Web Client</v>
      </c>
      <c r="L1792" s="16">
        <v>2</v>
      </c>
      <c r="M1792" s="16">
        <v>35</v>
      </c>
      <c r="N1792" s="16">
        <v>0</v>
      </c>
      <c r="O1792" s="17"/>
      <c r="P1792" s="18">
        <v>42083.293495370366</v>
      </c>
      <c r="Q1792" s="8"/>
      <c r="R1792" s="7"/>
      <c r="S1792" s="8"/>
      <c r="T1792" s="8"/>
      <c r="U1792" s="19" t="str">
        <f>HYPERLINK("https://pbs.twimg.com/profile_images/578919653470126080/PhB1gi6G.jpeg","View")</f>
        <v>View</v>
      </c>
      <c r="V1792" s="8"/>
      <c r="W1792" s="8"/>
      <c r="X1792" s="8"/>
      <c r="Y1792" s="8"/>
      <c r="Z1792" s="8"/>
    </row>
    <row r="1793" spans="1:26" ht="12.75">
      <c r="A1793" s="11">
        <v>43745.895868055552</v>
      </c>
      <c r="B1793" s="12" t="str">
        <f>HYPERLINK("https://twitter.com/alhagare477","@alhagare477")</f>
        <v>@alhagare477</v>
      </c>
      <c r="C1793" s="7" t="s">
        <v>10760</v>
      </c>
      <c r="D1793" s="13" t="s">
        <v>3731</v>
      </c>
      <c r="E1793" s="12" t="str">
        <f>HYPERLINK("https://twitter.com/alhagare477/status/1181426503906729989","1181426503906729989")</f>
        <v>1181426503906729989</v>
      </c>
      <c r="F1793" s="15"/>
      <c r="G1793" s="14" t="s">
        <v>10761</v>
      </c>
      <c r="H1793" s="8"/>
      <c r="I1793" s="15">
        <v>0</v>
      </c>
      <c r="J1793" s="15">
        <v>0</v>
      </c>
      <c r="K1793" s="12" t="str">
        <f>HYPERLINK("http://twitter.com","Twitter Web Client")</f>
        <v>Twitter Web Client</v>
      </c>
      <c r="L1793" s="16">
        <v>1</v>
      </c>
      <c r="M1793" s="16">
        <v>43</v>
      </c>
      <c r="N1793" s="16">
        <v>0</v>
      </c>
      <c r="O1793" s="17"/>
      <c r="P1793" s="18">
        <v>42084.160740740743</v>
      </c>
      <c r="Q1793" s="8"/>
      <c r="R1793" s="7"/>
      <c r="S1793" s="8"/>
      <c r="T1793" s="8"/>
      <c r="U1793" s="19" t="str">
        <f>HYPERLINK("https://pbs.twimg.com/profile_images/579233995273191424/7wC045Q0.jpg","View")</f>
        <v>View</v>
      </c>
      <c r="V1793" s="8"/>
      <c r="W1793" s="8"/>
      <c r="X1793" s="8"/>
      <c r="Y1793" s="8"/>
      <c r="Z1793" s="8"/>
    </row>
    <row r="1794" spans="1:26" ht="12.75">
      <c r="A1794" s="11">
        <v>43745.894097222219</v>
      </c>
      <c r="B1794" s="12" t="str">
        <f>HYPERLINK("https://twitter.com/reeserayes","@reeserayes")</f>
        <v>@reeserayes</v>
      </c>
      <c r="C1794" s="7" t="s">
        <v>10766</v>
      </c>
      <c r="D1794" s="7" t="s">
        <v>3736</v>
      </c>
      <c r="E1794" s="12" t="str">
        <f>HYPERLINK("https://twitter.com/reeserayes/status/1181425865038745600","1181425865038745600")</f>
        <v>1181425865038745600</v>
      </c>
      <c r="F1794" s="15"/>
      <c r="G1794" s="14" t="s">
        <v>10768</v>
      </c>
      <c r="H1794" s="8"/>
      <c r="I1794" s="15">
        <v>0</v>
      </c>
      <c r="J1794" s="15">
        <v>0</v>
      </c>
      <c r="K1794" s="12" t="str">
        <f>HYPERLINK("http://twitter.com","Twitter Web Client")</f>
        <v>Twitter Web Client</v>
      </c>
      <c r="L1794" s="16">
        <v>4</v>
      </c>
      <c r="M1794" s="16">
        <v>42</v>
      </c>
      <c r="N1794" s="16">
        <v>0</v>
      </c>
      <c r="O1794" s="17"/>
      <c r="P1794" s="18">
        <v>42072.099004629628</v>
      </c>
      <c r="Q1794" s="8"/>
      <c r="R1794" s="7"/>
      <c r="S1794" s="8"/>
      <c r="T1794" s="8"/>
      <c r="U1794" s="19" t="str">
        <f>HYPERLINK("https://pbs.twimg.com/profile_images/574863106251231232/u-eBy2CM.jpeg","View")</f>
        <v>View</v>
      </c>
      <c r="V1794" s="8"/>
      <c r="W1794" s="8"/>
      <c r="X1794" s="8"/>
      <c r="Y1794" s="8"/>
      <c r="Z1794" s="8"/>
    </row>
    <row r="1795" spans="1:26" ht="12.75">
      <c r="A1795" s="11">
        <v>43745.892893518518</v>
      </c>
      <c r="B1795" s="12" t="str">
        <f>HYPERLINK("https://twitter.com/Balawi2014Eidal","@Balawi2014Eidal")</f>
        <v>@Balawi2014Eidal</v>
      </c>
      <c r="C1795" s="7" t="s">
        <v>10771</v>
      </c>
      <c r="D1795" s="7" t="s">
        <v>10772</v>
      </c>
      <c r="E1795" s="12" t="str">
        <f>HYPERLINK("https://twitter.com/Balawi2014Eidal/status/1181425429296685058","1181425429296685058")</f>
        <v>1181425429296685058</v>
      </c>
      <c r="F1795" s="15"/>
      <c r="G1795" s="14" t="s">
        <v>10773</v>
      </c>
      <c r="H1795" s="8"/>
      <c r="I1795" s="15">
        <v>0</v>
      </c>
      <c r="J1795" s="15">
        <v>0</v>
      </c>
      <c r="K1795" s="12" t="str">
        <f>HYPERLINK("http://twitter.com","Twitter Web Client")</f>
        <v>Twitter Web Client</v>
      </c>
      <c r="L1795" s="16">
        <v>0</v>
      </c>
      <c r="M1795" s="16">
        <v>34</v>
      </c>
      <c r="N1795" s="16">
        <v>0</v>
      </c>
      <c r="O1795" s="17"/>
      <c r="P1795" s="18">
        <v>41825.464062500003</v>
      </c>
      <c r="Q1795" s="8"/>
      <c r="R1795" s="7"/>
      <c r="S1795" s="8"/>
      <c r="T1795" s="8"/>
      <c r="U1795" s="19" t="str">
        <f>HYPERLINK("https://pbs.twimg.com/profile_images/485486510100082688/rUvyNP2D.jpeg","View")</f>
        <v>View</v>
      </c>
      <c r="V1795" s="8"/>
      <c r="W1795" s="8"/>
      <c r="X1795" s="8"/>
      <c r="Y1795" s="8"/>
      <c r="Z1795" s="8"/>
    </row>
    <row r="1796" spans="1:26" ht="12.75">
      <c r="A1796" s="11">
        <v>43745.891539351855</v>
      </c>
      <c r="B1796" s="12" t="str">
        <f>HYPERLINK("https://twitter.com/bakhitanma","@bakhitanma")</f>
        <v>@bakhitanma</v>
      </c>
      <c r="C1796" s="7" t="s">
        <v>10775</v>
      </c>
      <c r="D1796" s="7" t="s">
        <v>10776</v>
      </c>
      <c r="E1796" s="12" t="str">
        <f>HYPERLINK("https://twitter.com/bakhitanma/status/1181424936482684930","1181424936482684930")</f>
        <v>1181424936482684930</v>
      </c>
      <c r="F1796" s="15"/>
      <c r="G1796" s="14" t="s">
        <v>10779</v>
      </c>
      <c r="H1796" s="8"/>
      <c r="I1796" s="15">
        <v>0</v>
      </c>
      <c r="J1796" s="15">
        <v>0</v>
      </c>
      <c r="K1796" s="12" t="str">
        <f>HYPERLINK("http://twitter.com","Twitter Web Client")</f>
        <v>Twitter Web Client</v>
      </c>
      <c r="L1796" s="16">
        <v>3</v>
      </c>
      <c r="M1796" s="16">
        <v>27</v>
      </c>
      <c r="N1796" s="16">
        <v>0</v>
      </c>
      <c r="O1796" s="17"/>
      <c r="P1796" s="18">
        <v>41825.319918981484</v>
      </c>
      <c r="Q1796" s="8"/>
      <c r="R1796" s="7"/>
      <c r="S1796" s="8"/>
      <c r="T1796" s="8"/>
      <c r="U1796" s="19" t="str">
        <f>HYPERLINK("https://pbs.twimg.com/profile_images/485433384265457664/LOoX6k0w.jpeg","View")</f>
        <v>View</v>
      </c>
      <c r="V1796" s="8"/>
      <c r="W1796" s="8"/>
      <c r="X1796" s="8"/>
      <c r="Y1796" s="8"/>
      <c r="Z1796" s="8"/>
    </row>
    <row r="1797" spans="1:26" ht="12.75">
      <c r="A1797" s="11">
        <v>43745.890335648146</v>
      </c>
      <c r="B1797" s="12" t="str">
        <f>HYPERLINK("https://twitter.com/alkalyafa333","@alkalyafa333")</f>
        <v>@alkalyafa333</v>
      </c>
      <c r="C1797" s="7" t="s">
        <v>10790</v>
      </c>
      <c r="D1797" s="7" t="s">
        <v>3252</v>
      </c>
      <c r="E1797" s="12" t="str">
        <f>HYPERLINK("https://twitter.com/alkalyafa333/status/1181424500614807552","1181424500614807552")</f>
        <v>1181424500614807552</v>
      </c>
      <c r="F1797" s="15"/>
      <c r="G1797" s="14" t="s">
        <v>10791</v>
      </c>
      <c r="H1797" s="8"/>
      <c r="I1797" s="15">
        <v>0</v>
      </c>
      <c r="J1797" s="15">
        <v>0</v>
      </c>
      <c r="K1797" s="12" t="str">
        <f>HYPERLINK("http://twitter.com","Twitter Web Client")</f>
        <v>Twitter Web Client</v>
      </c>
      <c r="L1797" s="16">
        <v>3</v>
      </c>
      <c r="M1797" s="16">
        <v>30</v>
      </c>
      <c r="N1797" s="16">
        <v>0</v>
      </c>
      <c r="O1797" s="17"/>
      <c r="P1797" s="18">
        <v>42066.176504629635</v>
      </c>
      <c r="Q1797" s="8"/>
      <c r="R1797" s="7"/>
      <c r="S1797" s="8"/>
      <c r="T1797" s="8"/>
      <c r="U1797" s="19" t="str">
        <f>HYPERLINK("https://pbs.twimg.com/profile_images/572731888633008128/iufkY_gu.jpeg","View")</f>
        <v>View</v>
      </c>
      <c r="V1797" s="8"/>
      <c r="W1797" s="8"/>
      <c r="X1797" s="8"/>
      <c r="Y1797" s="8"/>
      <c r="Z1797" s="8"/>
    </row>
    <row r="1798" spans="1:26" ht="12.75">
      <c r="A1798" s="11">
        <v>43745.88857638889</v>
      </c>
      <c r="B1798" s="12" t="str">
        <f>HYPERLINK("https://twitter.com/albsrey","@albsrey")</f>
        <v>@albsrey</v>
      </c>
      <c r="C1798" s="7" t="s">
        <v>10795</v>
      </c>
      <c r="D1798" s="13" t="s">
        <v>3262</v>
      </c>
      <c r="E1798" s="12" t="str">
        <f>HYPERLINK("https://twitter.com/albsrey/status/1181423863600762880","1181423863600762880")</f>
        <v>1181423863600762880</v>
      </c>
      <c r="F1798" s="15"/>
      <c r="G1798" s="14" t="s">
        <v>10798</v>
      </c>
      <c r="H1798" s="8"/>
      <c r="I1798" s="15">
        <v>0</v>
      </c>
      <c r="J1798" s="15">
        <v>0</v>
      </c>
      <c r="K1798" s="12" t="str">
        <f>HYPERLINK("http://twitter.com","Twitter Web Client")</f>
        <v>Twitter Web Client</v>
      </c>
      <c r="L1798" s="16">
        <v>11</v>
      </c>
      <c r="M1798" s="16">
        <v>45</v>
      </c>
      <c r="N1798" s="16">
        <v>0</v>
      </c>
      <c r="O1798" s="17"/>
      <c r="P1798" s="18">
        <v>42071.225115740745</v>
      </c>
      <c r="Q1798" s="8"/>
      <c r="R1798" s="7"/>
      <c r="S1798" s="8"/>
      <c r="T1798" s="8"/>
      <c r="U1798" s="19" t="str">
        <f>HYPERLINK("https://pbs.twimg.com/profile_images/574558903863631872/jHKfgJ3t.jpeg","View")</f>
        <v>View</v>
      </c>
      <c r="V1798" s="8"/>
      <c r="W1798" s="8"/>
      <c r="X1798" s="8"/>
      <c r="Y1798" s="8"/>
      <c r="Z1798" s="8"/>
    </row>
    <row r="1799" spans="1:26" ht="12.75">
      <c r="A1799" s="11">
        <v>43745.887199074074</v>
      </c>
      <c r="B1799" s="12" t="str">
        <f>HYPERLINK("https://twitter.com/AlexandriaboyVA","@AlexandriaboyVA")</f>
        <v>@AlexandriaboyVA</v>
      </c>
      <c r="C1799" s="7" t="s">
        <v>10805</v>
      </c>
      <c r="D1799" s="13" t="s">
        <v>10806</v>
      </c>
      <c r="E1799" s="12" t="str">
        <f>HYPERLINK("https://twitter.com/AlexandriaboyVA/status/1181423364771995648","1181423364771995648")</f>
        <v>1181423364771995648</v>
      </c>
      <c r="F1799" s="15"/>
      <c r="G1799" s="15"/>
      <c r="H1799" s="8"/>
      <c r="I1799" s="15">
        <v>1</v>
      </c>
      <c r="J1799" s="15">
        <v>6</v>
      </c>
      <c r="K1799" s="12" t="str">
        <f>HYPERLINK("http://twitter.com/download/iphone","Twitter for iPhone")</f>
        <v>Twitter for iPhone</v>
      </c>
      <c r="L1799" s="16">
        <v>718</v>
      </c>
      <c r="M1799" s="16">
        <v>510</v>
      </c>
      <c r="N1799" s="16">
        <v>18</v>
      </c>
      <c r="O1799" s="17"/>
      <c r="P1799" s="18">
        <v>41459.578865740739</v>
      </c>
      <c r="Q1799" s="8" t="s">
        <v>10807</v>
      </c>
      <c r="R1799" s="7" t="s">
        <v>10808</v>
      </c>
      <c r="S1799" s="8"/>
      <c r="T1799" s="8"/>
      <c r="U1799" s="19" t="str">
        <f>HYPERLINK("https://pbs.twimg.com/profile_images/378800000088296339/7f998f95a676e6cbb1ae8b2c0386ae39.jpeg","View")</f>
        <v>View</v>
      </c>
      <c r="V1799" s="8"/>
      <c r="W1799" s="8"/>
      <c r="X1799" s="8"/>
      <c r="Y1799" s="8"/>
      <c r="Z1799" s="8"/>
    </row>
    <row r="1800" spans="1:26" ht="12.75">
      <c r="A1800" s="11">
        <v>43745.886979166666</v>
      </c>
      <c r="B1800" s="12" t="str">
        <f>HYPERLINK("https://twitter.com/salehuqami1","@salehuqami1")</f>
        <v>@salehuqami1</v>
      </c>
      <c r="C1800" s="7" t="s">
        <v>10809</v>
      </c>
      <c r="D1800" s="13" t="s">
        <v>3267</v>
      </c>
      <c r="E1800" s="12" t="str">
        <f>HYPERLINK("https://twitter.com/salehuqami1/status/1181423283348082689","1181423283348082689")</f>
        <v>1181423283348082689</v>
      </c>
      <c r="F1800" s="15"/>
      <c r="G1800" s="14" t="s">
        <v>10810</v>
      </c>
      <c r="H1800" s="8"/>
      <c r="I1800" s="15">
        <v>0</v>
      </c>
      <c r="J1800" s="15">
        <v>0</v>
      </c>
      <c r="K1800" s="12" t="str">
        <f>HYPERLINK("http://twitter.com","Twitter Web Client")</f>
        <v>Twitter Web Client</v>
      </c>
      <c r="L1800" s="16">
        <v>1</v>
      </c>
      <c r="M1800" s="16">
        <v>37</v>
      </c>
      <c r="N1800" s="16">
        <v>0</v>
      </c>
      <c r="O1800" s="17"/>
      <c r="P1800" s="18">
        <v>42080.826585648145</v>
      </c>
      <c r="Q1800" s="8"/>
      <c r="R1800" s="7"/>
      <c r="S1800" s="8"/>
      <c r="T1800" s="8"/>
      <c r="U1800" s="19" t="str">
        <f>HYPERLINK("https://pbs.twimg.com/profile_images/578028885746434049/3uhmi0qJ.jpeg","View")</f>
        <v>View</v>
      </c>
      <c r="V1800" s="8"/>
      <c r="W1800" s="8"/>
      <c r="X1800" s="8"/>
      <c r="Y1800" s="8"/>
      <c r="Z1800" s="8"/>
    </row>
    <row r="1801" spans="1:26" ht="12.75">
      <c r="A1801" s="11">
        <v>43745.886446759258</v>
      </c>
      <c r="B1801" s="12" t="str">
        <f>HYPERLINK("https://twitter.com/hassaneayesh","@hassaneayesh")</f>
        <v>@hassaneayesh</v>
      </c>
      <c r="C1801" s="7" t="s">
        <v>10815</v>
      </c>
      <c r="D1801" s="13" t="s">
        <v>10816</v>
      </c>
      <c r="E1801" s="12" t="str">
        <f>HYPERLINK("https://twitter.com/hassaneayesh/status/1181423092050124800","1181423092050124800")</f>
        <v>1181423092050124800</v>
      </c>
      <c r="F1801" s="15"/>
      <c r="G1801" s="14" t="s">
        <v>10817</v>
      </c>
      <c r="H1801" s="8"/>
      <c r="I1801" s="15">
        <v>0</v>
      </c>
      <c r="J1801" s="15">
        <v>0</v>
      </c>
      <c r="K1801" s="12" t="str">
        <f>HYPERLINK("http://twitter.com","Twitter Web Client")</f>
        <v>Twitter Web Client</v>
      </c>
      <c r="L1801" s="16">
        <v>0</v>
      </c>
      <c r="M1801" s="16">
        <v>42</v>
      </c>
      <c r="N1801" s="16">
        <v>0</v>
      </c>
      <c r="O1801" s="17"/>
      <c r="P1801" s="18">
        <v>42076.422974537039</v>
      </c>
      <c r="Q1801" s="8"/>
      <c r="R1801" s="7"/>
      <c r="S1801" s="8"/>
      <c r="T1801" s="8"/>
      <c r="U1801" s="19" t="str">
        <f>HYPERLINK("https://pbs.twimg.com/profile_images/576431280025251840/LRegaccB.jpeg","View")</f>
        <v>View</v>
      </c>
      <c r="V1801" s="8"/>
      <c r="W1801" s="8"/>
      <c r="X1801" s="8"/>
      <c r="Y1801" s="8"/>
      <c r="Z1801" s="8"/>
    </row>
    <row r="1802" spans="1:26" ht="12.75">
      <c r="A1802" s="11">
        <v>43745.886053240742</v>
      </c>
      <c r="B1802" s="12" t="str">
        <f>HYPERLINK("https://twitter.com/hamaddaily","@hamaddaily")</f>
        <v>@hamaddaily</v>
      </c>
      <c r="C1802" s="7" t="s">
        <v>10819</v>
      </c>
      <c r="D1802" s="7" t="s">
        <v>10820</v>
      </c>
      <c r="E1802" s="12" t="str">
        <f>HYPERLINK("https://twitter.com/hamaddaily/status/1181422947728269312","1181422947728269312")</f>
        <v>1181422947728269312</v>
      </c>
      <c r="F1802" s="15"/>
      <c r="G1802" s="14" t="s">
        <v>10821</v>
      </c>
      <c r="H1802" s="8"/>
      <c r="I1802" s="15">
        <v>0</v>
      </c>
      <c r="J1802" s="15">
        <v>0</v>
      </c>
      <c r="K1802" s="12" t="str">
        <f>HYPERLINK("http://twitter.com","Twitter Web Client")</f>
        <v>Twitter Web Client</v>
      </c>
      <c r="L1802" s="16">
        <v>2</v>
      </c>
      <c r="M1802" s="16">
        <v>36</v>
      </c>
      <c r="N1802" s="16">
        <v>0</v>
      </c>
      <c r="O1802" s="17"/>
      <c r="P1802" s="18">
        <v>42069.188310185185</v>
      </c>
      <c r="Q1802" s="8"/>
      <c r="R1802" s="7"/>
      <c r="S1802" s="8"/>
      <c r="T1802" s="8"/>
      <c r="U1802" s="19" t="str">
        <f>HYPERLINK("https://pbs.twimg.com/profile_images/573823361433796609/LDhW-pg1.jpeg","View")</f>
        <v>View</v>
      </c>
      <c r="V1802" s="8"/>
      <c r="W1802" s="8"/>
      <c r="X1802" s="8"/>
      <c r="Y1802" s="8"/>
      <c r="Z1802" s="8"/>
    </row>
    <row r="1803" spans="1:26" ht="12.75">
      <c r="A1803" s="11">
        <v>43745.885243055556</v>
      </c>
      <c r="B1803" s="12" t="str">
        <f>HYPERLINK("https://twitter.com/owaiedutairi1","@owaiedutairi1")</f>
        <v>@owaiedutairi1</v>
      </c>
      <c r="C1803" s="7" t="s">
        <v>10822</v>
      </c>
      <c r="D1803" s="13" t="s">
        <v>3273</v>
      </c>
      <c r="E1803" s="12" t="str">
        <f>HYPERLINK("https://twitter.com/owaiedutairi1/status/1181422655158833157","1181422655158833157")</f>
        <v>1181422655158833157</v>
      </c>
      <c r="F1803" s="15"/>
      <c r="G1803" s="14" t="s">
        <v>10823</v>
      </c>
      <c r="H1803" s="8"/>
      <c r="I1803" s="15">
        <v>0</v>
      </c>
      <c r="J1803" s="15">
        <v>0</v>
      </c>
      <c r="K1803" s="12" t="str">
        <f>HYPERLINK("http://twitter.com","Twitter Web Client")</f>
        <v>Twitter Web Client</v>
      </c>
      <c r="L1803" s="16">
        <v>13</v>
      </c>
      <c r="M1803" s="16">
        <v>43</v>
      </c>
      <c r="N1803" s="16">
        <v>0</v>
      </c>
      <c r="O1803" s="17"/>
      <c r="P1803" s="18">
        <v>42073.333113425921</v>
      </c>
      <c r="Q1803" s="8"/>
      <c r="R1803" s="7"/>
      <c r="S1803" s="8"/>
      <c r="T1803" s="8"/>
      <c r="U1803" s="19" t="str">
        <f>HYPERLINK("https://pbs.twimg.com/profile_images/575311639588696064/hHXloYM7.jpeg","View")</f>
        <v>View</v>
      </c>
      <c r="V1803" s="8"/>
      <c r="W1803" s="8"/>
      <c r="X1803" s="8"/>
      <c r="Y1803" s="8"/>
      <c r="Z1803" s="8"/>
    </row>
    <row r="1804" spans="1:26" ht="12.75">
      <c r="A1804" s="11">
        <v>43745.884837962964</v>
      </c>
      <c r="B1804" s="12" t="str">
        <f>HYPERLINK("https://twitter.com/ayedehaily","@ayedehaily")</f>
        <v>@ayedehaily</v>
      </c>
      <c r="C1804" s="13" t="s">
        <v>10827</v>
      </c>
      <c r="D1804" s="13" t="s">
        <v>10828</v>
      </c>
      <c r="E1804" s="12" t="str">
        <f>HYPERLINK("https://twitter.com/ayedehaily/status/1181422510388240384","1181422510388240384")</f>
        <v>1181422510388240384</v>
      </c>
      <c r="F1804" s="8"/>
      <c r="G1804" s="14" t="s">
        <v>10829</v>
      </c>
      <c r="H1804" s="8"/>
      <c r="I1804" s="15">
        <v>0</v>
      </c>
      <c r="J1804" s="15">
        <v>0</v>
      </c>
      <c r="K1804" s="12" t="str">
        <f>HYPERLINK("http://twitter.com","Twitter Web Client")</f>
        <v>Twitter Web Client</v>
      </c>
      <c r="L1804" s="16">
        <v>1</v>
      </c>
      <c r="M1804" s="16">
        <v>37</v>
      </c>
      <c r="N1804" s="16">
        <v>0</v>
      </c>
      <c r="O1804" s="17"/>
      <c r="P1804" s="18">
        <v>42081.698634259257</v>
      </c>
      <c r="Q1804" s="8"/>
      <c r="R1804" s="8"/>
      <c r="S1804" s="8"/>
      <c r="T1804" s="8"/>
      <c r="U1804" s="19" t="str">
        <f>HYPERLINK("https://pbs.twimg.com/profile_images/578343334940397568/HCpdfETC.jpeg","View")</f>
        <v>View</v>
      </c>
      <c r="V1804" s="8"/>
      <c r="W1804" s="8"/>
      <c r="X1804" s="8"/>
      <c r="Y1804" s="8"/>
      <c r="Z1804" s="8"/>
    </row>
    <row r="1805" spans="1:26" ht="12.75">
      <c r="A1805" s="11">
        <v>43745.883518518516</v>
      </c>
      <c r="B1805" s="12" t="str">
        <f>HYPERLINK("https://twitter.com/halawaniiee","@halawaniiee")</f>
        <v>@halawaniiee</v>
      </c>
      <c r="C1805" s="13" t="s">
        <v>10833</v>
      </c>
      <c r="D1805" s="13" t="s">
        <v>3276</v>
      </c>
      <c r="E1805" s="12" t="str">
        <f>HYPERLINK("https://twitter.com/halawaniiee/status/1181422029817499649","1181422029817499649")</f>
        <v>1181422029817499649</v>
      </c>
      <c r="F1805" s="8"/>
      <c r="G1805" s="14" t="s">
        <v>10836</v>
      </c>
      <c r="H1805" s="8"/>
      <c r="I1805" s="15">
        <v>0</v>
      </c>
      <c r="J1805" s="15">
        <v>0</v>
      </c>
      <c r="K1805" s="12" t="str">
        <f>HYPERLINK("http://twitter.com","Twitter Web Client")</f>
        <v>Twitter Web Client</v>
      </c>
      <c r="L1805" s="16">
        <v>5</v>
      </c>
      <c r="M1805" s="16">
        <v>46</v>
      </c>
      <c r="N1805" s="16">
        <v>0</v>
      </c>
      <c r="O1805" s="17"/>
      <c r="P1805" s="18">
        <v>42076.591006944444</v>
      </c>
      <c r="Q1805" s="8"/>
      <c r="R1805" s="8"/>
      <c r="S1805" s="8"/>
      <c r="T1805" s="8"/>
      <c r="U1805" s="19" t="str">
        <f>HYPERLINK("https://pbs.twimg.com/profile_images/576491222182682624/RoZt_qo_.jpeg","View")</f>
        <v>View</v>
      </c>
      <c r="V1805" s="8"/>
      <c r="W1805" s="8"/>
      <c r="X1805" s="8"/>
      <c r="Y1805" s="8"/>
      <c r="Z1805" s="8"/>
    </row>
    <row r="1806" spans="1:26" ht="12.75">
      <c r="A1806" s="11">
        <v>43745.881909722222</v>
      </c>
      <c r="B1806" s="12" t="str">
        <f>HYPERLINK("https://twitter.com/mohammedalkhul9","@mohammedalkhul9")</f>
        <v>@mohammedalkhul9</v>
      </c>
      <c r="C1806" s="13" t="s">
        <v>10843</v>
      </c>
      <c r="D1806" s="13" t="s">
        <v>3281</v>
      </c>
      <c r="E1806" s="12" t="str">
        <f>HYPERLINK("https://twitter.com/mohammedalkhul9/status/1181421446721134597","1181421446721134597")</f>
        <v>1181421446721134597</v>
      </c>
      <c r="F1806" s="8"/>
      <c r="G1806" s="14" t="s">
        <v>10844</v>
      </c>
      <c r="H1806" s="8"/>
      <c r="I1806" s="15">
        <v>0</v>
      </c>
      <c r="J1806" s="15">
        <v>0</v>
      </c>
      <c r="K1806" s="12" t="str">
        <f>HYPERLINK("http://twitter.com","Twitter Web Client")</f>
        <v>Twitter Web Client</v>
      </c>
      <c r="L1806" s="16">
        <v>4</v>
      </c>
      <c r="M1806" s="16">
        <v>39</v>
      </c>
      <c r="N1806" s="16">
        <v>0</v>
      </c>
      <c r="O1806" s="17"/>
      <c r="P1806" s="18">
        <v>42072.254502314812</v>
      </c>
      <c r="Q1806" s="8"/>
      <c r="R1806" s="8"/>
      <c r="S1806" s="8"/>
      <c r="T1806" s="8"/>
      <c r="U1806" s="19" t="str">
        <f>HYPERLINK("https://pbs.twimg.com/profile_images/574919865527504896/AnKH92ak.jpeg","View")</f>
        <v>View</v>
      </c>
      <c r="V1806" s="8"/>
      <c r="W1806" s="8"/>
      <c r="X1806" s="8"/>
      <c r="Y1806" s="8"/>
      <c r="Z1806" s="8"/>
    </row>
    <row r="1807" spans="1:26" ht="12.75">
      <c r="A1807" s="11">
        <v>43745.881354166668</v>
      </c>
      <c r="B1807" s="12" t="str">
        <f>HYPERLINK("https://twitter.com/salehal97419407","@salehal97419407")</f>
        <v>@salehal97419407</v>
      </c>
      <c r="C1807" s="13" t="s">
        <v>10848</v>
      </c>
      <c r="D1807" s="13" t="s">
        <v>10849</v>
      </c>
      <c r="E1807" s="12" t="str">
        <f>HYPERLINK("https://twitter.com/salehal97419407/status/1181421244316618752","1181421244316618752")</f>
        <v>1181421244316618752</v>
      </c>
      <c r="F1807" s="8"/>
      <c r="G1807" s="14" t="s">
        <v>10850</v>
      </c>
      <c r="H1807" s="8"/>
      <c r="I1807" s="15">
        <v>0</v>
      </c>
      <c r="J1807" s="15">
        <v>0</v>
      </c>
      <c r="K1807" s="12" t="str">
        <f>HYPERLINK("http://twitter.com","Twitter Web Client")</f>
        <v>Twitter Web Client</v>
      </c>
      <c r="L1807" s="16">
        <v>5</v>
      </c>
      <c r="M1807" s="16">
        <v>37</v>
      </c>
      <c r="N1807" s="16">
        <v>0</v>
      </c>
      <c r="O1807" s="17"/>
      <c r="P1807" s="18">
        <v>42066.245196759264</v>
      </c>
      <c r="Q1807" s="8"/>
      <c r="R1807" s="8"/>
      <c r="S1807" s="8"/>
      <c r="T1807" s="8"/>
      <c r="U1807" s="19" t="str">
        <f>HYPERLINK("https://pbs.twimg.com/profile_images/572756803113336832/rKAC6KDY.jpeg","View")</f>
        <v>View</v>
      </c>
      <c r="V1807" s="8"/>
      <c r="W1807" s="8"/>
      <c r="X1807" s="8"/>
      <c r="Y1807" s="8"/>
      <c r="Z1807" s="8"/>
    </row>
    <row r="1808" spans="1:26" ht="12.75">
      <c r="A1808" s="11">
        <v>43745.880289351851</v>
      </c>
      <c r="B1808" s="12" t="str">
        <f>HYPERLINK("https://twitter.com/STForeignDesk","@STForeignDesk")</f>
        <v>@STForeignDesk</v>
      </c>
      <c r="C1808" s="13" t="s">
        <v>10856</v>
      </c>
      <c r="D1808" s="13" t="s">
        <v>10857</v>
      </c>
      <c r="E1808" s="12" t="str">
        <f>HYPERLINK("https://twitter.com/STForeignDesk/status/1181420859950370816","1181420859950370816")</f>
        <v>1181420859950370816</v>
      </c>
      <c r="F1808" s="14" t="s">
        <v>10858</v>
      </c>
      <c r="G1808" s="15"/>
      <c r="H1808" s="8"/>
      <c r="I1808" s="15">
        <v>3</v>
      </c>
      <c r="J1808" s="15">
        <v>2</v>
      </c>
      <c r="K1808" s="12" t="str">
        <f>HYPERLINK("https://mobile.twitter.com","Twitter Web App")</f>
        <v>Twitter Web App</v>
      </c>
      <c r="L1808" s="16">
        <v>41880</v>
      </c>
      <c r="M1808" s="16">
        <v>123</v>
      </c>
      <c r="N1808" s="16">
        <v>1078</v>
      </c>
      <c r="O1808" s="17"/>
      <c r="P1808" s="18">
        <v>41303.312025462961</v>
      </c>
      <c r="Q1808" s="8" t="s">
        <v>10860</v>
      </c>
      <c r="R1808" s="8" t="s">
        <v>10861</v>
      </c>
      <c r="S1808" s="14" t="s">
        <v>10862</v>
      </c>
      <c r="T1808" s="8"/>
      <c r="U1808" s="19" t="str">
        <f>HYPERLINK("https://pbs.twimg.com/profile_images/616014877300142080/6I99bogh.jpg","View")</f>
        <v>View</v>
      </c>
      <c r="V1808" s="8"/>
      <c r="W1808" s="8"/>
      <c r="X1808" s="8"/>
      <c r="Y1808" s="8"/>
      <c r="Z1808" s="8"/>
    </row>
    <row r="1809" spans="1:26" ht="12.75">
      <c r="A1809" s="11">
        <v>43745.877141203702</v>
      </c>
      <c r="B1809" s="12" t="str">
        <f>HYPERLINK("https://twitter.com/Galaxyfighter","@Galaxyfighter")</f>
        <v>@Galaxyfighter</v>
      </c>
      <c r="C1809" s="13" t="s">
        <v>10868</v>
      </c>
      <c r="D1809" s="13" t="s">
        <v>10869</v>
      </c>
      <c r="E1809" s="12" t="str">
        <f>HYPERLINK("https://twitter.com/Galaxyfighter/status/1181419718260842496","1181419718260842496")</f>
        <v>1181419718260842496</v>
      </c>
      <c r="F1809" s="8"/>
      <c r="G1809" s="14" t="s">
        <v>10870</v>
      </c>
      <c r="H1809" s="8"/>
      <c r="I1809" s="15">
        <v>0</v>
      </c>
      <c r="J1809" s="15">
        <v>0</v>
      </c>
      <c r="K1809" s="12" t="str">
        <f>HYPERLINK("http://twitter.com/download/android","Twitter for Android")</f>
        <v>Twitter for Android</v>
      </c>
      <c r="L1809" s="16">
        <v>325</v>
      </c>
      <c r="M1809" s="16">
        <v>545</v>
      </c>
      <c r="N1809" s="16">
        <v>18</v>
      </c>
      <c r="O1809" s="17"/>
      <c r="P1809" s="18">
        <v>39986.735486111109</v>
      </c>
      <c r="Q1809" s="8" t="s">
        <v>857</v>
      </c>
      <c r="R1809" s="8" t="s">
        <v>10872</v>
      </c>
      <c r="S1809" s="14" t="s">
        <v>10873</v>
      </c>
      <c r="T1809" s="8"/>
      <c r="U1809" s="19" t="str">
        <f>HYPERLINK("https://pbs.twimg.com/profile_images/1137082372464074752/EDxNgnIy.png","View")</f>
        <v>View</v>
      </c>
      <c r="V1809" s="8"/>
      <c r="W1809" s="8"/>
      <c r="X1809" s="8"/>
      <c r="Y1809" s="8"/>
      <c r="Z1809" s="8"/>
    </row>
    <row r="1810" spans="1:26" ht="12.75">
      <c r="A1810" s="11">
        <v>43745.876458333332</v>
      </c>
      <c r="B1810" s="12" t="str">
        <f>HYPERLINK("https://twitter.com/alisalehalisal4","@alisalehalisal4")</f>
        <v>@alisalehalisal4</v>
      </c>
      <c r="C1810" s="13" t="s">
        <v>10874</v>
      </c>
      <c r="D1810" s="13" t="s">
        <v>10875</v>
      </c>
      <c r="E1810" s="12" t="str">
        <f>HYPERLINK("https://twitter.com/alisalehalisal4/status/1181419471774404608","1181419471774404608")</f>
        <v>1181419471774404608</v>
      </c>
      <c r="F1810" s="8"/>
      <c r="G1810" s="14" t="s">
        <v>10876</v>
      </c>
      <c r="H1810" s="8"/>
      <c r="I1810" s="15">
        <v>0</v>
      </c>
      <c r="J1810" s="15">
        <v>0</v>
      </c>
      <c r="K1810" s="12" t="str">
        <f>HYPERLINK("http://twitter.com","Twitter Web Client")</f>
        <v>Twitter Web Client</v>
      </c>
      <c r="L1810" s="16">
        <v>1</v>
      </c>
      <c r="M1810" s="16">
        <v>42</v>
      </c>
      <c r="N1810" s="16">
        <v>0</v>
      </c>
      <c r="O1810" s="17"/>
      <c r="P1810" s="18">
        <v>42071.436192129629</v>
      </c>
      <c r="Q1810" s="8"/>
      <c r="R1810" s="8"/>
      <c r="S1810" s="8"/>
      <c r="T1810" s="8"/>
      <c r="U1810" s="19" t="str">
        <f>HYPERLINK("https://pbs.twimg.com/profile_images/574622979696406529/LeW6X7zx.jpeg","View")</f>
        <v>View</v>
      </c>
      <c r="V1810" s="8"/>
      <c r="W1810" s="8"/>
      <c r="X1810" s="8"/>
      <c r="Y1810" s="8"/>
      <c r="Z1810" s="8"/>
    </row>
    <row r="1811" spans="1:26" ht="12.75">
      <c r="A1811" s="11">
        <v>43745.873148148152</v>
      </c>
      <c r="B1811" s="12" t="str">
        <f>HYPERLINK("https://twitter.com/mosakadimibhmu","@mosakadimibhmu")</f>
        <v>@mosakadimibhmu</v>
      </c>
      <c r="C1811" s="13" t="s">
        <v>10877</v>
      </c>
      <c r="D1811" s="13" t="s">
        <v>5350</v>
      </c>
      <c r="E1811" s="12" t="str">
        <f>HYPERLINK("https://twitter.com/mosakadimibhmu/status/1181418270408216576","1181418270408216576")</f>
        <v>1181418270408216576</v>
      </c>
      <c r="F1811" s="8"/>
      <c r="G1811" s="14" t="s">
        <v>10878</v>
      </c>
      <c r="H1811" s="8"/>
      <c r="I1811" s="15">
        <v>0</v>
      </c>
      <c r="J1811" s="15">
        <v>0</v>
      </c>
      <c r="K1811" s="12" t="str">
        <f>HYPERLINK("http://twitter.com","Twitter Web Client")</f>
        <v>Twitter Web Client</v>
      </c>
      <c r="L1811" s="16">
        <v>15</v>
      </c>
      <c r="M1811" s="16">
        <v>53</v>
      </c>
      <c r="N1811" s="16">
        <v>0</v>
      </c>
      <c r="O1811" s="17"/>
      <c r="P1811" s="18">
        <v>42532.592557870375</v>
      </c>
      <c r="Q1811" s="8" t="s">
        <v>10879</v>
      </c>
      <c r="R1811" s="8" t="s">
        <v>10880</v>
      </c>
      <c r="S1811" s="8"/>
      <c r="T1811" s="8"/>
      <c r="U1811" s="19" t="str">
        <f>HYPERLINK("https://pbs.twimg.com/profile_images/741740189790425088/ojdaQnHD.jpg","View")</f>
        <v>View</v>
      </c>
      <c r="V1811" s="8"/>
      <c r="W1811" s="8"/>
      <c r="X1811" s="8"/>
      <c r="Y1811" s="8"/>
      <c r="Z1811" s="8"/>
    </row>
    <row r="1812" spans="1:26" ht="12.75">
      <c r="A1812" s="11">
        <v>43745.872592592597</v>
      </c>
      <c r="B1812" s="12" t="str">
        <f>HYPERLINK("https://twitter.com/faragalyahiysmp","@faragalyahiysmp")</f>
        <v>@faragalyahiysmp</v>
      </c>
      <c r="C1812" s="13" t="s">
        <v>10881</v>
      </c>
      <c r="D1812" s="13" t="s">
        <v>154</v>
      </c>
      <c r="E1812" s="12" t="str">
        <f>HYPERLINK("https://twitter.com/faragalyahiysmp/status/1181418069559857152","1181418069559857152")</f>
        <v>1181418069559857152</v>
      </c>
      <c r="F1812" s="8"/>
      <c r="G1812" s="14" t="s">
        <v>10882</v>
      </c>
      <c r="H1812" s="8"/>
      <c r="I1812" s="15">
        <v>0</v>
      </c>
      <c r="J1812" s="15">
        <v>0</v>
      </c>
      <c r="K1812" s="12" t="str">
        <f>HYPERLINK("http://twitter.com","Twitter Web Client")</f>
        <v>Twitter Web Client</v>
      </c>
      <c r="L1812" s="16">
        <v>1</v>
      </c>
      <c r="M1812" s="16">
        <v>41</v>
      </c>
      <c r="N1812" s="16">
        <v>0</v>
      </c>
      <c r="O1812" s="17"/>
      <c r="P1812" s="18">
        <v>42428.930104166662</v>
      </c>
      <c r="Q1812" s="8"/>
      <c r="R1812" s="8" t="s">
        <v>10883</v>
      </c>
      <c r="S1812" s="8"/>
      <c r="T1812" s="8"/>
      <c r="U1812" s="19" t="str">
        <f>HYPERLINK("https://pbs.twimg.com/profile_images/704489122052890628/IURrqZkA.jpg","View")</f>
        <v>View</v>
      </c>
      <c r="V1812" s="8"/>
      <c r="W1812" s="8"/>
      <c r="X1812" s="8"/>
      <c r="Y1812" s="8"/>
      <c r="Z1812" s="8"/>
    </row>
    <row r="1813" spans="1:26" ht="12.75">
      <c r="A1813" s="11">
        <v>43745.870763888888</v>
      </c>
      <c r="B1813" s="12" t="str">
        <f>HYPERLINK("https://twitter.com/farahharazibgzk","@farahharazibgzk")</f>
        <v>@farahharazibgzk</v>
      </c>
      <c r="C1813" s="13" t="s">
        <v>10884</v>
      </c>
      <c r="D1813" s="13" t="s">
        <v>10885</v>
      </c>
      <c r="E1813" s="12" t="str">
        <f>HYPERLINK("https://twitter.com/farahharazibgzk/status/1181417407451222016","1181417407451222016")</f>
        <v>1181417407451222016</v>
      </c>
      <c r="F1813" s="8"/>
      <c r="G1813" s="14" t="s">
        <v>10886</v>
      </c>
      <c r="H1813" s="8"/>
      <c r="I1813" s="15">
        <v>0</v>
      </c>
      <c r="J1813" s="15">
        <v>0</v>
      </c>
      <c r="K1813" s="12" t="str">
        <f>HYPERLINK("http://twitter.com","Twitter Web Client")</f>
        <v>Twitter Web Client</v>
      </c>
      <c r="L1813" s="16">
        <v>12</v>
      </c>
      <c r="M1813" s="16">
        <v>52</v>
      </c>
      <c r="N1813" s="16">
        <v>0</v>
      </c>
      <c r="O1813" s="17"/>
      <c r="P1813" s="18">
        <v>42532.597500000003</v>
      </c>
      <c r="Q1813" s="8" t="s">
        <v>4463</v>
      </c>
      <c r="R1813" s="8" t="s">
        <v>10889</v>
      </c>
      <c r="S1813" s="8"/>
      <c r="T1813" s="8"/>
      <c r="U1813" s="19" t="str">
        <f>HYPERLINK("https://pbs.twimg.com/profile_images/741741985149681664/s3BSQ1-9.jpg","View")</f>
        <v>View</v>
      </c>
      <c r="V1813" s="8"/>
      <c r="W1813" s="8"/>
      <c r="X1813" s="8"/>
      <c r="Y1813" s="8"/>
      <c r="Z1813" s="8"/>
    </row>
    <row r="1814" spans="1:26" ht="12.75">
      <c r="A1814" s="11">
        <v>43745.868530092594</v>
      </c>
      <c r="B1814" s="12" t="str">
        <f>HYPERLINK("https://twitter.com/LPerez1313","@LPerez1313")</f>
        <v>@LPerez1313</v>
      </c>
      <c r="C1814" s="13" t="s">
        <v>10891</v>
      </c>
      <c r="D1814" s="13" t="s">
        <v>10892</v>
      </c>
      <c r="E1814" s="12" t="str">
        <f>HYPERLINK("https://twitter.com/LPerez1313/status/1181416600232030208","1181416600232030208")</f>
        <v>1181416600232030208</v>
      </c>
      <c r="F1814" s="14" t="s">
        <v>10893</v>
      </c>
      <c r="G1814" s="15"/>
      <c r="H1814" s="8"/>
      <c r="I1814" s="15">
        <v>0</v>
      </c>
      <c r="J1814" s="15">
        <v>1</v>
      </c>
      <c r="K1814" s="12" t="str">
        <f>HYPERLINK("http://twitter.com/download/android","Twitter for Android")</f>
        <v>Twitter for Android</v>
      </c>
      <c r="L1814" s="16">
        <v>4400</v>
      </c>
      <c r="M1814" s="16">
        <v>4998</v>
      </c>
      <c r="N1814" s="16">
        <v>4</v>
      </c>
      <c r="O1814" s="17"/>
      <c r="P1814" s="18">
        <v>41791.823854166665</v>
      </c>
      <c r="Q1814" s="8" t="s">
        <v>857</v>
      </c>
      <c r="R1814" s="8" t="s">
        <v>10894</v>
      </c>
      <c r="S1814" s="8"/>
      <c r="T1814" s="8"/>
      <c r="U1814" s="19" t="str">
        <f>HYPERLINK("https://pbs.twimg.com/profile_images/1164975838229458944/uIqzcRNu.jpg","View")</f>
        <v>View</v>
      </c>
      <c r="V1814" s="8"/>
      <c r="W1814" s="8"/>
      <c r="X1814" s="8"/>
      <c r="Y1814" s="8"/>
      <c r="Z1814" s="8"/>
    </row>
    <row r="1815" spans="1:26" ht="12.75">
      <c r="A1815" s="11">
        <v>43745.868379629625</v>
      </c>
      <c r="B1815" s="12" t="str">
        <f>HYPERLINK("https://twitter.com/bayanbeatylacam","@bayanbeatylacam")</f>
        <v>@bayanbeatylacam</v>
      </c>
      <c r="C1815" s="13" t="s">
        <v>10898</v>
      </c>
      <c r="D1815" s="13" t="s">
        <v>10899</v>
      </c>
      <c r="E1815" s="12" t="str">
        <f>HYPERLINK("https://twitter.com/bayanbeatylacam/status/1181416544498266113","1181416544498266113")</f>
        <v>1181416544498266113</v>
      </c>
      <c r="F1815" s="8"/>
      <c r="G1815" s="14" t="s">
        <v>10900</v>
      </c>
      <c r="H1815" s="8"/>
      <c r="I1815" s="15">
        <v>0</v>
      </c>
      <c r="J1815" s="15">
        <v>0</v>
      </c>
      <c r="K1815" s="12" t="str">
        <f>HYPERLINK("http://twitter.com","Twitter Web Client")</f>
        <v>Twitter Web Client</v>
      </c>
      <c r="L1815" s="16">
        <v>13</v>
      </c>
      <c r="M1815" s="16">
        <v>38</v>
      </c>
      <c r="N1815" s="16">
        <v>0</v>
      </c>
      <c r="O1815" s="17"/>
      <c r="P1815" s="18">
        <v>42529.697546296295</v>
      </c>
      <c r="Q1815" s="8" t="s">
        <v>10901</v>
      </c>
      <c r="R1815" s="8" t="s">
        <v>10902</v>
      </c>
      <c r="S1815" s="8"/>
      <c r="T1815" s="8"/>
      <c r="U1815" s="19" t="str">
        <f>HYPERLINK("https://pbs.twimg.com/profile_images/740691077204697088/WBES-tDK.jpg","View")</f>
        <v>View</v>
      </c>
      <c r="V1815" s="8"/>
      <c r="W1815" s="8"/>
      <c r="X1815" s="8"/>
      <c r="Y1815" s="8"/>
      <c r="Z1815" s="8"/>
    </row>
    <row r="1816" spans="1:26" ht="12.75">
      <c r="A1816" s="11">
        <v>43745.867939814816</v>
      </c>
      <c r="B1816" s="12" t="str">
        <f>HYPERLINK("https://twitter.com/saidahedabzmwd","@saidahedabzmwd")</f>
        <v>@saidahedabzmwd</v>
      </c>
      <c r="C1816" s="13" t="s">
        <v>10909</v>
      </c>
      <c r="D1816" s="13" t="s">
        <v>5380</v>
      </c>
      <c r="E1816" s="12" t="str">
        <f>HYPERLINK("https://twitter.com/saidahedabzmwd/status/1181416385878138880","1181416385878138880")</f>
        <v>1181416385878138880</v>
      </c>
      <c r="F1816" s="8"/>
      <c r="G1816" s="14" t="s">
        <v>10910</v>
      </c>
      <c r="H1816" s="8"/>
      <c r="I1816" s="15">
        <v>0</v>
      </c>
      <c r="J1816" s="15">
        <v>0</v>
      </c>
      <c r="K1816" s="12" t="str">
        <f>HYPERLINK("http://twitter.com","Twitter Web Client")</f>
        <v>Twitter Web Client</v>
      </c>
      <c r="L1816" s="16">
        <v>5</v>
      </c>
      <c r="M1816" s="16">
        <v>37</v>
      </c>
      <c r="N1816" s="16">
        <v>0</v>
      </c>
      <c r="O1816" s="17"/>
      <c r="P1816" s="18">
        <v>42496.765763888892</v>
      </c>
      <c r="Q1816" s="8" t="s">
        <v>10913</v>
      </c>
      <c r="R1816" s="8" t="s">
        <v>4318</v>
      </c>
      <c r="S1816" s="8"/>
      <c r="T1816" s="8"/>
      <c r="U1816" s="19" t="str">
        <f>HYPERLINK("https://pbs.twimg.com/profile_images/728757372076838912/m46gAGfU.jpg","View")</f>
        <v>View</v>
      </c>
      <c r="V1816" s="8"/>
      <c r="W1816" s="8"/>
      <c r="X1816" s="8"/>
      <c r="Y1816" s="8"/>
      <c r="Z1816" s="8"/>
    </row>
    <row r="1817" spans="1:26" ht="12.75">
      <c r="A1817" s="11">
        <v>43745.865810185191</v>
      </c>
      <c r="B1817" s="12" t="str">
        <f>HYPERLINK("https://twitter.com/ayidghaithiiwvo","@ayidghaithiiwvo")</f>
        <v>@ayidghaithiiwvo</v>
      </c>
      <c r="C1817" s="13" t="s">
        <v>10914</v>
      </c>
      <c r="D1817" s="13" t="s">
        <v>10915</v>
      </c>
      <c r="E1817" s="12" t="str">
        <f>HYPERLINK("https://twitter.com/ayidghaithiiwvo/status/1181415612481966080","1181415612481966080")</f>
        <v>1181415612481966080</v>
      </c>
      <c r="F1817" s="8"/>
      <c r="G1817" s="14" t="s">
        <v>10918</v>
      </c>
      <c r="H1817" s="8"/>
      <c r="I1817" s="15">
        <v>0</v>
      </c>
      <c r="J1817" s="15">
        <v>0</v>
      </c>
      <c r="K1817" s="12" t="str">
        <f>HYPERLINK("http://twitter.com","Twitter Web Client")</f>
        <v>Twitter Web Client</v>
      </c>
      <c r="L1817" s="16">
        <v>11</v>
      </c>
      <c r="M1817" s="16">
        <v>46</v>
      </c>
      <c r="N1817" s="16">
        <v>0</v>
      </c>
      <c r="O1817" s="17"/>
      <c r="P1817" s="18">
        <v>42533.484456018516</v>
      </c>
      <c r="Q1817" s="8" t="s">
        <v>10920</v>
      </c>
      <c r="R1817" s="8" t="s">
        <v>10921</v>
      </c>
      <c r="S1817" s="8"/>
      <c r="T1817" s="8"/>
      <c r="U1817" s="19" t="str">
        <f>HYPERLINK("https://pbs.twimg.com/profile_images/742063406539247617/RXaBYFS-.jpg","View")</f>
        <v>View</v>
      </c>
      <c r="V1817" s="8"/>
      <c r="W1817" s="8"/>
      <c r="X1817" s="8"/>
      <c r="Y1817" s="8"/>
      <c r="Z1817" s="8"/>
    </row>
    <row r="1818" spans="1:26" ht="12.75">
      <c r="A1818" s="11">
        <v>43745.865243055552</v>
      </c>
      <c r="B1818" s="12" t="str">
        <f>HYPERLINK("https://twitter.com/magedahdalbwdsr","@magedahdalbwdsr")</f>
        <v>@magedahdalbwdsr</v>
      </c>
      <c r="C1818" s="13" t="s">
        <v>10923</v>
      </c>
      <c r="D1818" s="13" t="s">
        <v>7786</v>
      </c>
      <c r="E1818" s="12" t="str">
        <f>HYPERLINK("https://twitter.com/magedahdalbwdsr/status/1181415408047460357","1181415408047460357")</f>
        <v>1181415408047460357</v>
      </c>
      <c r="F1818" s="8"/>
      <c r="G1818" s="14" t="s">
        <v>10924</v>
      </c>
      <c r="H1818" s="8"/>
      <c r="I1818" s="15">
        <v>0</v>
      </c>
      <c r="J1818" s="15">
        <v>0</v>
      </c>
      <c r="K1818" s="12" t="str">
        <f>HYPERLINK("http://twitter.com","Twitter Web Client")</f>
        <v>Twitter Web Client</v>
      </c>
      <c r="L1818" s="16">
        <v>0</v>
      </c>
      <c r="M1818" s="16">
        <v>38</v>
      </c>
      <c r="N1818" s="16">
        <v>0</v>
      </c>
      <c r="O1818" s="17"/>
      <c r="P1818" s="18">
        <v>42496.679884259254</v>
      </c>
      <c r="Q1818" s="8" t="s">
        <v>4268</v>
      </c>
      <c r="R1818" s="8" t="s">
        <v>10925</v>
      </c>
      <c r="S1818" s="8"/>
      <c r="T1818" s="8"/>
      <c r="U1818" s="19" t="str">
        <f>HYPERLINK("https://pbs.twimg.com/profile_images/728726404670623748/b222pgXO.jpg","View")</f>
        <v>View</v>
      </c>
      <c r="V1818" s="8"/>
      <c r="W1818" s="8"/>
      <c r="X1818" s="8"/>
      <c r="Y1818" s="8"/>
      <c r="Z1818" s="8"/>
    </row>
    <row r="1819" spans="1:26" ht="12.75">
      <c r="A1819" s="11">
        <v>43745.861782407403</v>
      </c>
      <c r="B1819" s="12" t="str">
        <f>HYPERLINK("https://twitter.com/borhanhashbajqt","@borhanhashbajqt")</f>
        <v>@borhanhashbajqt</v>
      </c>
      <c r="C1819" s="13" t="s">
        <v>10927</v>
      </c>
      <c r="D1819" s="13" t="s">
        <v>10928</v>
      </c>
      <c r="E1819" s="12" t="str">
        <f>HYPERLINK("https://twitter.com/borhanhashbajqt/status/1181414153334001669","1181414153334001669")</f>
        <v>1181414153334001669</v>
      </c>
      <c r="F1819" s="8"/>
      <c r="G1819" s="14" t="s">
        <v>10930</v>
      </c>
      <c r="H1819" s="8"/>
      <c r="I1819" s="15">
        <v>0</v>
      </c>
      <c r="J1819" s="15">
        <v>0</v>
      </c>
      <c r="K1819" s="12" t="str">
        <f>HYPERLINK("http://twitter.com","Twitter Web Client")</f>
        <v>Twitter Web Client</v>
      </c>
      <c r="L1819" s="16">
        <v>1</v>
      </c>
      <c r="M1819" s="16">
        <v>36</v>
      </c>
      <c r="N1819" s="16">
        <v>0</v>
      </c>
      <c r="O1819" s="17"/>
      <c r="P1819" s="18">
        <v>42496.837731481486</v>
      </c>
      <c r="Q1819" s="8" t="s">
        <v>10931</v>
      </c>
      <c r="R1819" s="8" t="s">
        <v>10932</v>
      </c>
      <c r="S1819" s="8"/>
      <c r="T1819" s="8"/>
      <c r="U1819" s="19" t="str">
        <f>HYPERLINK("https://pbs.twimg.com/profile_images/728784059577466881/_GLs2q8k.jpg","View")</f>
        <v>View</v>
      </c>
      <c r="V1819" s="8"/>
      <c r="W1819" s="8"/>
      <c r="X1819" s="8"/>
      <c r="Y1819" s="8"/>
      <c r="Z1819" s="8"/>
    </row>
    <row r="1820" spans="1:26" ht="12.75">
      <c r="A1820" s="11">
        <v>43745.859085648146</v>
      </c>
      <c r="B1820" s="12" t="str">
        <f>HYPERLINK("https://twitter.com/ayedmehaniegol","@ayedmehaniegol")</f>
        <v>@ayedmehaniegol</v>
      </c>
      <c r="C1820" s="13" t="s">
        <v>10935</v>
      </c>
      <c r="D1820" s="13" t="s">
        <v>5462</v>
      </c>
      <c r="E1820" s="12" t="str">
        <f>HYPERLINK("https://twitter.com/ayedmehaniegol/status/1181413178279940098","1181413178279940098")</f>
        <v>1181413178279940098</v>
      </c>
      <c r="F1820" s="8"/>
      <c r="G1820" s="14" t="s">
        <v>10936</v>
      </c>
      <c r="H1820" s="8"/>
      <c r="I1820" s="15">
        <v>0</v>
      </c>
      <c r="J1820" s="15">
        <v>0</v>
      </c>
      <c r="K1820" s="12" t="str">
        <f>HYPERLINK("http://twitter.com","Twitter Web Client")</f>
        <v>Twitter Web Client</v>
      </c>
      <c r="L1820" s="16">
        <v>3</v>
      </c>
      <c r="M1820" s="16">
        <v>41</v>
      </c>
      <c r="N1820" s="16">
        <v>0</v>
      </c>
      <c r="O1820" s="17"/>
      <c r="P1820" s="18">
        <v>42429.585416666669</v>
      </c>
      <c r="Q1820" s="8"/>
      <c r="R1820" s="8" t="s">
        <v>10940</v>
      </c>
      <c r="S1820" s="8"/>
      <c r="T1820" s="8"/>
      <c r="U1820" s="19" t="str">
        <f>HYPERLINK("https://pbs.twimg.com/profile_images/704532397921067009/2kZ56In-.jpg","View")</f>
        <v>View</v>
      </c>
      <c r="V1820" s="8"/>
      <c r="W1820" s="8"/>
      <c r="X1820" s="8"/>
      <c r="Y1820" s="8"/>
      <c r="Z1820" s="8"/>
    </row>
    <row r="1821" spans="1:26" ht="12.75">
      <c r="A1821" s="11">
        <v>43745.85533564815</v>
      </c>
      <c r="B1821" s="12" t="str">
        <f>HYPERLINK("https://twitter.com/fouadkaroubfclk","@fouadkaroubfclk")</f>
        <v>@fouadkaroubfclk</v>
      </c>
      <c r="C1821" s="7" t="s">
        <v>10941</v>
      </c>
      <c r="D1821" s="7" t="s">
        <v>10942</v>
      </c>
      <c r="E1821" s="12" t="str">
        <f>HYPERLINK("https://twitter.com/fouadkaroubfclk/status/1181411818734006274","1181411818734006274")</f>
        <v>1181411818734006274</v>
      </c>
      <c r="F1821" s="8"/>
      <c r="G1821" s="14" t="s">
        <v>10943</v>
      </c>
      <c r="H1821" s="8"/>
      <c r="I1821" s="15">
        <v>0</v>
      </c>
      <c r="J1821" s="15">
        <v>0</v>
      </c>
      <c r="K1821" s="12" t="str">
        <f>HYPERLINK("http://twitter.com","Twitter Web Client")</f>
        <v>Twitter Web Client</v>
      </c>
      <c r="L1821" s="16">
        <v>4</v>
      </c>
      <c r="M1821" s="16">
        <v>41</v>
      </c>
      <c r="N1821" s="16">
        <v>0</v>
      </c>
      <c r="O1821" s="17"/>
      <c r="P1821" s="18">
        <v>42428.920347222222</v>
      </c>
      <c r="Q1821" s="8"/>
      <c r="R1821" s="7" t="s">
        <v>10946</v>
      </c>
      <c r="S1821" s="8"/>
      <c r="T1821" s="8"/>
      <c r="U1821" s="19" t="str">
        <f>HYPERLINK("https://pbs.twimg.com/profile_images/704485771101773825/lVPwPzDF.jpg","View")</f>
        <v>View</v>
      </c>
      <c r="V1821" s="8"/>
      <c r="W1821" s="8"/>
      <c r="X1821" s="8"/>
      <c r="Y1821" s="8"/>
      <c r="Z1821" s="8"/>
    </row>
    <row r="1822" spans="1:26" ht="12.75">
      <c r="A1822" s="11">
        <v>43745.853506944448</v>
      </c>
      <c r="B1822" s="12" t="str">
        <f>HYPERLINK("https://twitter.com/mohammedsharygo","@mohammedsharygo")</f>
        <v>@mohammedsharygo</v>
      </c>
      <c r="C1822" s="13" t="s">
        <v>10948</v>
      </c>
      <c r="D1822" s="13" t="s">
        <v>7828</v>
      </c>
      <c r="E1822" s="12" t="str">
        <f>HYPERLINK("https://twitter.com/mohammedsharygo/status/1181411152775045120","1181411152775045120")</f>
        <v>1181411152775045120</v>
      </c>
      <c r="F1822" s="8"/>
      <c r="G1822" s="14" t="s">
        <v>10949</v>
      </c>
      <c r="H1822" s="8"/>
      <c r="I1822" s="15">
        <v>0</v>
      </c>
      <c r="J1822" s="15">
        <v>0</v>
      </c>
      <c r="K1822" s="12" t="str">
        <f>HYPERLINK("http://twitter.com","Twitter Web Client")</f>
        <v>Twitter Web Client</v>
      </c>
      <c r="L1822" s="16">
        <v>14</v>
      </c>
      <c r="M1822" s="16">
        <v>44</v>
      </c>
      <c r="N1822" s="16">
        <v>0</v>
      </c>
      <c r="O1822" s="17"/>
      <c r="P1822" s="18">
        <v>42532.534224537041</v>
      </c>
      <c r="Q1822" s="8" t="s">
        <v>10951</v>
      </c>
      <c r="R1822" s="8" t="s">
        <v>10889</v>
      </c>
      <c r="S1822" s="8"/>
      <c r="T1822" s="8"/>
      <c r="U1822" s="19" t="str">
        <f>HYPERLINK("https://pbs.twimg.com/profile_images/741719051324514304/VI20J4IA.jpg","View")</f>
        <v>View</v>
      </c>
      <c r="V1822" s="8"/>
      <c r="W1822" s="8"/>
      <c r="X1822" s="8"/>
      <c r="Y1822" s="8"/>
      <c r="Z1822" s="8"/>
    </row>
    <row r="1823" spans="1:26" ht="12.75">
      <c r="A1823" s="11">
        <v>43745.853217592594</v>
      </c>
      <c r="B1823" s="12" t="str">
        <f>HYPERLINK("https://twitter.com/turkifahhadybca","@turkifahhadybca")</f>
        <v>@turkifahhadybca</v>
      </c>
      <c r="C1823" s="13" t="s">
        <v>10952</v>
      </c>
      <c r="D1823" s="7" t="s">
        <v>227</v>
      </c>
      <c r="E1823" s="12" t="str">
        <f>HYPERLINK("https://twitter.com/turkifahhadybca/status/1181411050320728065","1181411050320728065")</f>
        <v>1181411050320728065</v>
      </c>
      <c r="F1823" s="8"/>
      <c r="G1823" s="14" t="s">
        <v>10953</v>
      </c>
      <c r="H1823" s="8"/>
      <c r="I1823" s="15">
        <v>0</v>
      </c>
      <c r="J1823" s="15">
        <v>0</v>
      </c>
      <c r="K1823" s="12" t="str">
        <f>HYPERLINK("http://twitter.com","Twitter Web Client")</f>
        <v>Twitter Web Client</v>
      </c>
      <c r="L1823" s="16">
        <v>5</v>
      </c>
      <c r="M1823" s="16">
        <v>41</v>
      </c>
      <c r="N1823" s="16">
        <v>0</v>
      </c>
      <c r="O1823" s="17"/>
      <c r="P1823" s="18">
        <v>42429.588344907403</v>
      </c>
      <c r="Q1823" s="7"/>
      <c r="R1823" s="13" t="s">
        <v>10954</v>
      </c>
      <c r="S1823" s="8"/>
      <c r="T1823" s="8"/>
      <c r="U1823" s="19" t="str">
        <f>HYPERLINK("https://pbs.twimg.com/profile_images/704533352523497472/HxRLJRRy.jpg","View")</f>
        <v>View</v>
      </c>
      <c r="V1823" s="8"/>
      <c r="W1823" s="8"/>
      <c r="X1823" s="8"/>
      <c r="Y1823" s="8"/>
      <c r="Z1823" s="8"/>
    </row>
    <row r="1824" spans="1:26" ht="12.75">
      <c r="A1824" s="11">
        <v>43745.852500000001</v>
      </c>
      <c r="B1824" s="12" t="str">
        <f>HYPERLINK("https://twitter.com/abdelgawwadhvzu","@abdelgawwadhvzu")</f>
        <v>@abdelgawwadhvzu</v>
      </c>
      <c r="C1824" s="13" t="s">
        <v>10955</v>
      </c>
      <c r="D1824" s="13" t="s">
        <v>5500</v>
      </c>
      <c r="E1824" s="12" t="str">
        <f>HYPERLINK("https://twitter.com/abdelgawwadhvzu/status/1181410789003014145","1181410789003014145")</f>
        <v>1181410789003014145</v>
      </c>
      <c r="F1824" s="8"/>
      <c r="G1824" s="14" t="s">
        <v>10956</v>
      </c>
      <c r="H1824" s="8"/>
      <c r="I1824" s="15">
        <v>0</v>
      </c>
      <c r="J1824" s="15">
        <v>0</v>
      </c>
      <c r="K1824" s="12" t="str">
        <f>HYPERLINK("http://twitter.com","Twitter Web Client")</f>
        <v>Twitter Web Client</v>
      </c>
      <c r="L1824" s="16">
        <v>9</v>
      </c>
      <c r="M1824" s="16">
        <v>44</v>
      </c>
      <c r="N1824" s="16">
        <v>0</v>
      </c>
      <c r="O1824" s="17"/>
      <c r="P1824" s="18">
        <v>42533.508680555555</v>
      </c>
      <c r="Q1824" s="8" t="s">
        <v>4570</v>
      </c>
      <c r="R1824" s="8" t="s">
        <v>10959</v>
      </c>
      <c r="S1824" s="8"/>
      <c r="T1824" s="8"/>
      <c r="U1824" s="19" t="str">
        <f>HYPERLINK("https://pbs.twimg.com/profile_images/742072183904698368/leAv15ic.jpg","View")</f>
        <v>View</v>
      </c>
      <c r="V1824" s="8"/>
      <c r="W1824" s="8"/>
      <c r="X1824" s="8"/>
      <c r="Y1824" s="8"/>
      <c r="Z1824" s="8"/>
    </row>
    <row r="1825" spans="1:26" ht="12.75">
      <c r="A1825" s="11">
        <v>43745.8512037037</v>
      </c>
      <c r="B1825" s="12" t="str">
        <f>HYPERLINK("https://twitter.com/CallinYouOnIt","@CallinYouOnIt")</f>
        <v>@CallinYouOnIt</v>
      </c>
      <c r="C1825" s="13" t="s">
        <v>10961</v>
      </c>
      <c r="D1825" s="7" t="s">
        <v>10962</v>
      </c>
      <c r="E1825" s="12" t="str">
        <f>HYPERLINK("https://twitter.com/CallinYouOnIt/status/1181410319035449350","1181410319035449350")</f>
        <v>1181410319035449350</v>
      </c>
      <c r="F1825" s="8"/>
      <c r="G1825" s="15"/>
      <c r="H1825" s="8"/>
      <c r="I1825" s="15">
        <v>0</v>
      </c>
      <c r="J1825" s="15">
        <v>16</v>
      </c>
      <c r="K1825" s="12" t="str">
        <f>HYPERLINK("http://twitter.com/download/iphone","Twitter for iPhone")</f>
        <v>Twitter for iPhone</v>
      </c>
      <c r="L1825" s="16">
        <v>3162</v>
      </c>
      <c r="M1825" s="16">
        <v>4583</v>
      </c>
      <c r="N1825" s="16">
        <v>5</v>
      </c>
      <c r="O1825" s="17"/>
      <c r="P1825" s="18">
        <v>42492.783958333333</v>
      </c>
      <c r="Q1825" s="7" t="s">
        <v>10964</v>
      </c>
      <c r="R1825" s="13" t="s">
        <v>10965</v>
      </c>
      <c r="S1825" s="8"/>
      <c r="T1825" s="8"/>
      <c r="U1825" s="19" t="str">
        <f>HYPERLINK("https://pbs.twimg.com/profile_images/841122698038255616/sJ3igpeL.jpg","View")</f>
        <v>View</v>
      </c>
      <c r="V1825" s="8"/>
      <c r="W1825" s="8"/>
      <c r="X1825" s="8"/>
      <c r="Y1825" s="8"/>
      <c r="Z1825" s="8"/>
    </row>
    <row r="1826" spans="1:26" ht="12.75">
      <c r="A1826" s="11">
        <v>43745.849421296298</v>
      </c>
      <c r="B1826" s="12" t="str">
        <f>HYPERLINK("https://twitter.com/abdallahherapws","@abdallahherapws")</f>
        <v>@abdallahherapws</v>
      </c>
      <c r="C1826" s="13" t="s">
        <v>10966</v>
      </c>
      <c r="D1826" s="13" t="s">
        <v>232</v>
      </c>
      <c r="E1826" s="12" t="str">
        <f>HYPERLINK("https://twitter.com/abdallahherapws/status/1181409672504459264","1181409672504459264")</f>
        <v>1181409672504459264</v>
      </c>
      <c r="F1826" s="8"/>
      <c r="G1826" s="14" t="s">
        <v>10969</v>
      </c>
      <c r="H1826" s="8"/>
      <c r="I1826" s="15">
        <v>0</v>
      </c>
      <c r="J1826" s="15">
        <v>0</v>
      </c>
      <c r="K1826" s="12" t="str">
        <f>HYPERLINK("http://twitter.com","Twitter Web Client")</f>
        <v>Twitter Web Client</v>
      </c>
      <c r="L1826" s="16">
        <v>3</v>
      </c>
      <c r="M1826" s="16">
        <v>40</v>
      </c>
      <c r="N1826" s="16">
        <v>0</v>
      </c>
      <c r="O1826" s="17"/>
      <c r="P1826" s="18">
        <v>42428.943113425921</v>
      </c>
      <c r="Q1826" s="8"/>
      <c r="R1826" s="8" t="s">
        <v>10971</v>
      </c>
      <c r="S1826" s="8"/>
      <c r="T1826" s="8"/>
      <c r="U1826" s="19" t="str">
        <f>HYPERLINK("https://pbs.twimg.com/profile_images/704494257340604416/uz7ILky7.jpg","View")</f>
        <v>View</v>
      </c>
      <c r="V1826" s="8"/>
      <c r="W1826" s="8"/>
      <c r="X1826" s="8"/>
      <c r="Y1826" s="8"/>
      <c r="Z1826" s="8"/>
    </row>
    <row r="1827" spans="1:26" ht="12.75">
      <c r="A1827" s="11">
        <v>43745.848414351851</v>
      </c>
      <c r="B1827" s="12" t="str">
        <f>HYPERLINK("https://twitter.com/amreoqailuxlo","@amreoqailuxlo")</f>
        <v>@amreoqailuxlo</v>
      </c>
      <c r="C1827" s="13" t="s">
        <v>10975</v>
      </c>
      <c r="D1827" s="13" t="s">
        <v>7842</v>
      </c>
      <c r="E1827" s="12" t="str">
        <f>HYPERLINK("https://twitter.com/amreoqailuxlo/status/1181409308321431553","1181409308321431553")</f>
        <v>1181409308321431553</v>
      </c>
      <c r="F1827" s="8"/>
      <c r="G1827" s="14" t="s">
        <v>10976</v>
      </c>
      <c r="H1827" s="8"/>
      <c r="I1827" s="15">
        <v>0</v>
      </c>
      <c r="J1827" s="15">
        <v>0</v>
      </c>
      <c r="K1827" s="12" t="str">
        <f>HYPERLINK("http://twitter.com","Twitter Web Client")</f>
        <v>Twitter Web Client</v>
      </c>
      <c r="L1827" s="16">
        <v>13</v>
      </c>
      <c r="M1827" s="16">
        <v>39</v>
      </c>
      <c r="N1827" s="16">
        <v>0</v>
      </c>
      <c r="O1827" s="17"/>
      <c r="P1827" s="18">
        <v>42533.450578703705</v>
      </c>
      <c r="Q1827" s="8" t="s">
        <v>10951</v>
      </c>
      <c r="R1827" s="8" t="s">
        <v>10979</v>
      </c>
      <c r="S1827" s="8"/>
      <c r="T1827" s="8"/>
      <c r="U1827" s="19" t="str">
        <f>HYPERLINK("https://pbs.twimg.com/profile_images/742051132390965248/kTVvvN9B.jpg","View")</f>
        <v>View</v>
      </c>
      <c r="V1827" s="8"/>
      <c r="W1827" s="8"/>
      <c r="X1827" s="8"/>
      <c r="Y1827" s="8"/>
      <c r="Z1827" s="8"/>
    </row>
    <row r="1828" spans="1:26" ht="12.75">
      <c r="A1828" s="11">
        <v>43745.84784722222</v>
      </c>
      <c r="B1828" s="12" t="str">
        <f>HYPERLINK("https://twitter.com/misfershmari1","@misfershmari1")</f>
        <v>@misfershmari1</v>
      </c>
      <c r="C1828" s="13" t="s">
        <v>3823</v>
      </c>
      <c r="D1828" s="13" t="s">
        <v>10980</v>
      </c>
      <c r="E1828" s="12" t="str">
        <f>HYPERLINK("https://twitter.com/misfershmari1/status/1181409104142782471","1181409104142782471")</f>
        <v>1181409104142782471</v>
      </c>
      <c r="F1828" s="8"/>
      <c r="G1828" s="14" t="s">
        <v>10984</v>
      </c>
      <c r="H1828" s="8"/>
      <c r="I1828" s="15">
        <v>0</v>
      </c>
      <c r="J1828" s="15">
        <v>0</v>
      </c>
      <c r="K1828" s="12" t="str">
        <f>HYPERLINK("http://twitter.com","Twitter Web Client")</f>
        <v>Twitter Web Client</v>
      </c>
      <c r="L1828" s="16">
        <v>0</v>
      </c>
      <c r="M1828" s="16">
        <v>27</v>
      </c>
      <c r="N1828" s="16">
        <v>0</v>
      </c>
      <c r="O1828" s="17"/>
      <c r="P1828" s="18">
        <v>42490.318391203706</v>
      </c>
      <c r="Q1828" s="8"/>
      <c r="R1828" s="8"/>
      <c r="S1828" s="8"/>
      <c r="T1828" s="8"/>
      <c r="U1828" s="19" t="str">
        <f>HYPERLINK("https://pbs.twimg.com/profile_images/726420578010279936/8UjDqYTO.jpg","View")</f>
        <v>View</v>
      </c>
      <c r="V1828" s="8"/>
      <c r="W1828" s="8"/>
      <c r="X1828" s="8"/>
      <c r="Y1828" s="8"/>
      <c r="Z1828" s="8"/>
    </row>
    <row r="1829" spans="1:26" ht="12.75">
      <c r="A1829" s="11">
        <v>43745.847291666665</v>
      </c>
      <c r="B1829" s="12" t="str">
        <f>HYPERLINK("https://twitter.com/khedrmehareiwlg","@khedrmehareiwlg")</f>
        <v>@khedrmehareiwlg</v>
      </c>
      <c r="C1829" s="7" t="s">
        <v>10988</v>
      </c>
      <c r="D1829" s="13" t="s">
        <v>7853</v>
      </c>
      <c r="E1829" s="12" t="str">
        <f>HYPERLINK("https://twitter.com/khedrmehareiwlg/status/1181408902593830912","1181408902593830912")</f>
        <v>1181408902593830912</v>
      </c>
      <c r="F1829" s="15"/>
      <c r="G1829" s="14" t="s">
        <v>10989</v>
      </c>
      <c r="H1829" s="8"/>
      <c r="I1829" s="15">
        <v>0</v>
      </c>
      <c r="J1829" s="15">
        <v>0</v>
      </c>
      <c r="K1829" s="12" t="str">
        <f>HYPERLINK("http://twitter.com","Twitter Web Client")</f>
        <v>Twitter Web Client</v>
      </c>
      <c r="L1829" s="16">
        <v>10</v>
      </c>
      <c r="M1829" s="16">
        <v>38</v>
      </c>
      <c r="N1829" s="16">
        <v>0</v>
      </c>
      <c r="O1829" s="17"/>
      <c r="P1829" s="18">
        <v>42532.471087962964</v>
      </c>
      <c r="Q1829" s="15" t="s">
        <v>4570</v>
      </c>
      <c r="R1829" s="7" t="s">
        <v>10991</v>
      </c>
      <c r="S1829" s="8"/>
      <c r="T1829" s="8"/>
      <c r="U1829" s="19" t="str">
        <f>HYPERLINK("https://pbs.twimg.com/profile_images/741696169525579776/M2gRMLMm.jpg","View")</f>
        <v>View</v>
      </c>
      <c r="V1829" s="8"/>
      <c r="W1829" s="8"/>
      <c r="X1829" s="8"/>
      <c r="Y1829" s="8"/>
      <c r="Z1829" s="8"/>
    </row>
    <row r="1830" spans="1:26" ht="12.75">
      <c r="A1830" s="11">
        <v>43745.846273148149</v>
      </c>
      <c r="B1830" s="12" t="str">
        <f>HYPERLINK("https://twitter.com/nafeaasemiokehc","@nafeaasemiokehc")</f>
        <v>@nafeaasemiokehc</v>
      </c>
      <c r="C1830" s="7" t="s">
        <v>10995</v>
      </c>
      <c r="D1830" s="7" t="s">
        <v>5552</v>
      </c>
      <c r="E1830" s="12" t="str">
        <f>HYPERLINK("https://twitter.com/nafeaasemiokehc/status/1181408533490917377","1181408533490917377")</f>
        <v>1181408533490917377</v>
      </c>
      <c r="F1830" s="15"/>
      <c r="G1830" s="14" t="s">
        <v>10996</v>
      </c>
      <c r="H1830" s="8"/>
      <c r="I1830" s="15">
        <v>0</v>
      </c>
      <c r="J1830" s="15">
        <v>0</v>
      </c>
      <c r="K1830" s="12" t="str">
        <f>HYPERLINK("http://twitter.com","Twitter Web Client")</f>
        <v>Twitter Web Client</v>
      </c>
      <c r="L1830" s="16">
        <v>5</v>
      </c>
      <c r="M1830" s="16">
        <v>38</v>
      </c>
      <c r="N1830" s="16">
        <v>0</v>
      </c>
      <c r="O1830" s="17"/>
      <c r="P1830" s="18">
        <v>42495.867662037039</v>
      </c>
      <c r="Q1830" s="15"/>
      <c r="R1830" s="7" t="s">
        <v>10998</v>
      </c>
      <c r="S1830" s="8"/>
      <c r="T1830" s="8"/>
      <c r="U1830" s="19" t="str">
        <f>HYPERLINK("https://pbs.twimg.com/profile_images/728433006768070658/ccY_D4kU.jpg","View")</f>
        <v>View</v>
      </c>
      <c r="V1830" s="8"/>
      <c r="W1830" s="8"/>
      <c r="X1830" s="8"/>
      <c r="Y1830" s="8"/>
      <c r="Z1830" s="8"/>
    </row>
    <row r="1831" spans="1:26" ht="12.75">
      <c r="A1831" s="11">
        <v>43745.843530092592</v>
      </c>
      <c r="B1831" s="12" t="str">
        <f>HYPERLINK("https://twitter.com/ayyadbenghamead","@ayyadbenghamead")</f>
        <v>@ayyadbenghamead</v>
      </c>
      <c r="C1831" s="7" t="s">
        <v>11001</v>
      </c>
      <c r="D1831" s="13" t="s">
        <v>5578</v>
      </c>
      <c r="E1831" s="12" t="str">
        <f>HYPERLINK("https://twitter.com/ayyadbenghamead/status/1181407537574420480","1181407537574420480")</f>
        <v>1181407537574420480</v>
      </c>
      <c r="F1831" s="15"/>
      <c r="G1831" s="14" t="s">
        <v>11002</v>
      </c>
      <c r="H1831" s="8"/>
      <c r="I1831" s="15">
        <v>0</v>
      </c>
      <c r="J1831" s="15">
        <v>0</v>
      </c>
      <c r="K1831" s="12" t="str">
        <f>HYPERLINK("http://twitter.com","Twitter Web Client")</f>
        <v>Twitter Web Client</v>
      </c>
      <c r="L1831" s="16">
        <v>11</v>
      </c>
      <c r="M1831" s="16">
        <v>50</v>
      </c>
      <c r="N1831" s="16">
        <v>0</v>
      </c>
      <c r="O1831" s="17"/>
      <c r="P1831" s="18">
        <v>42529.519965277781</v>
      </c>
      <c r="Q1831" s="15" t="s">
        <v>11006</v>
      </c>
      <c r="R1831" s="7" t="s">
        <v>11007</v>
      </c>
      <c r="S1831" s="8"/>
      <c r="T1831" s="8"/>
      <c r="U1831" s="19" t="str">
        <f>HYPERLINK("https://pbs.twimg.com/profile_images/740626724992495616/PqeSCL9X.jpg","View")</f>
        <v>View</v>
      </c>
      <c r="V1831" s="8"/>
      <c r="W1831" s="8"/>
      <c r="X1831" s="8"/>
      <c r="Y1831" s="8"/>
      <c r="Z1831" s="8"/>
    </row>
    <row r="1832" spans="1:26" ht="12.75">
      <c r="A1832" s="11">
        <v>43745.843240740738</v>
      </c>
      <c r="B1832" s="12" t="str">
        <f>HYPERLINK("https://twitter.com/gasemzamilcuzk","@gasemzamilcuzk")</f>
        <v>@gasemzamilcuzk</v>
      </c>
      <c r="C1832" s="7" t="s">
        <v>11008</v>
      </c>
      <c r="D1832" s="13" t="s">
        <v>7874</v>
      </c>
      <c r="E1832" s="12" t="str">
        <f>HYPERLINK("https://twitter.com/gasemzamilcuzk/status/1181407434499248128","1181407434499248128")</f>
        <v>1181407434499248128</v>
      </c>
      <c r="F1832" s="15"/>
      <c r="G1832" s="14" t="s">
        <v>11011</v>
      </c>
      <c r="H1832" s="8"/>
      <c r="I1832" s="15">
        <v>0</v>
      </c>
      <c r="J1832" s="15">
        <v>0</v>
      </c>
      <c r="K1832" s="12" t="str">
        <f>HYPERLINK("http://twitter.com","Twitter Web Client")</f>
        <v>Twitter Web Client</v>
      </c>
      <c r="L1832" s="16">
        <v>3</v>
      </c>
      <c r="M1832" s="16">
        <v>42</v>
      </c>
      <c r="N1832" s="16">
        <v>0</v>
      </c>
      <c r="O1832" s="17"/>
      <c r="P1832" s="18">
        <v>42429.600439814814</v>
      </c>
      <c r="Q1832" s="15"/>
      <c r="R1832" s="7" t="s">
        <v>11015</v>
      </c>
      <c r="S1832" s="8"/>
      <c r="T1832" s="8"/>
      <c r="U1832" s="19" t="str">
        <f>HYPERLINK("https://pbs.twimg.com/profile_images/704537034183024640/oMtuyTJe.jpg","View")</f>
        <v>View</v>
      </c>
      <c r="V1832" s="8"/>
      <c r="W1832" s="8"/>
      <c r="X1832" s="8"/>
      <c r="Y1832" s="8"/>
      <c r="Z1832" s="8"/>
    </row>
    <row r="1833" spans="1:26" ht="12.75">
      <c r="A1833" s="11">
        <v>43745.842951388884</v>
      </c>
      <c r="B1833" s="12" t="str">
        <f>HYPERLINK("https://twitter.com/ayyadsharahshbi","@ayyadsharahshbi")</f>
        <v>@ayyadsharahshbi</v>
      </c>
      <c r="C1833" s="13" t="s">
        <v>11016</v>
      </c>
      <c r="D1833" s="13" t="s">
        <v>261</v>
      </c>
      <c r="E1833" s="12" t="str">
        <f>HYPERLINK("https://twitter.com/ayyadsharahshbi/status/1181407331512442881","1181407331512442881")</f>
        <v>1181407331512442881</v>
      </c>
      <c r="F1833" s="8"/>
      <c r="G1833" s="14" t="s">
        <v>11019</v>
      </c>
      <c r="H1833" s="8"/>
      <c r="I1833" s="15">
        <v>0</v>
      </c>
      <c r="J1833" s="15">
        <v>0</v>
      </c>
      <c r="K1833" s="12" t="str">
        <f>HYPERLINK("http://twitter.com","Twitter Web Client")</f>
        <v>Twitter Web Client</v>
      </c>
      <c r="L1833" s="16">
        <v>11</v>
      </c>
      <c r="M1833" s="16">
        <v>44</v>
      </c>
      <c r="N1833" s="16">
        <v>0</v>
      </c>
      <c r="O1833" s="17"/>
      <c r="P1833" s="18">
        <v>42533.49931712963</v>
      </c>
      <c r="Q1833" s="8" t="s">
        <v>11020</v>
      </c>
      <c r="R1833" s="8" t="s">
        <v>11021</v>
      </c>
      <c r="S1833" s="8"/>
      <c r="T1833" s="8"/>
      <c r="U1833" s="19" t="str">
        <f>HYPERLINK("https://pbs.twimg.com/profile_images/742068787302780929/g2oFwSQy.jpg","View")</f>
        <v>View</v>
      </c>
      <c r="V1833" s="8"/>
      <c r="W1833" s="8"/>
      <c r="X1833" s="8"/>
      <c r="Y1833" s="8"/>
      <c r="Z1833" s="8"/>
    </row>
    <row r="1834" spans="1:26" ht="12.75">
      <c r="A1834" s="11">
        <v>43745.842673611114</v>
      </c>
      <c r="B1834" s="12" t="str">
        <f>HYPERLINK("https://twitter.com/amgadhakmyaqcs","@amgadhakmyaqcs")</f>
        <v>@amgadhakmyaqcs</v>
      </c>
      <c r="C1834" s="13" t="s">
        <v>11022</v>
      </c>
      <c r="D1834" s="13" t="s">
        <v>11023</v>
      </c>
      <c r="E1834" s="12" t="str">
        <f>HYPERLINK("https://twitter.com/amgadhakmyaqcs/status/1181407229410512896","1181407229410512896")</f>
        <v>1181407229410512896</v>
      </c>
      <c r="F1834" s="8"/>
      <c r="G1834" s="14" t="s">
        <v>11024</v>
      </c>
      <c r="H1834" s="8"/>
      <c r="I1834" s="15">
        <v>0</v>
      </c>
      <c r="J1834" s="15">
        <v>0</v>
      </c>
      <c r="K1834" s="12" t="str">
        <f>HYPERLINK("http://twitter.com","Twitter Web Client")</f>
        <v>Twitter Web Client</v>
      </c>
      <c r="L1834" s="16">
        <v>3</v>
      </c>
      <c r="M1834" s="16">
        <v>37</v>
      </c>
      <c r="N1834" s="16">
        <v>0</v>
      </c>
      <c r="O1834" s="17"/>
      <c r="P1834" s="18">
        <v>42491.921678240746</v>
      </c>
      <c r="Q1834" s="8" t="s">
        <v>10913</v>
      </c>
      <c r="R1834" s="8" t="s">
        <v>11028</v>
      </c>
      <c r="S1834" s="8"/>
      <c r="T1834" s="8"/>
      <c r="U1834" s="19" t="str">
        <f>HYPERLINK("https://pbs.twimg.com/profile_images/727003330522701824/-pK1A37J.jpg","View")</f>
        <v>View</v>
      </c>
      <c r="V1834" s="8"/>
      <c r="W1834" s="8"/>
      <c r="X1834" s="8"/>
      <c r="Y1834" s="8"/>
      <c r="Z1834" s="8"/>
    </row>
    <row r="1835" spans="1:26" ht="12.75">
      <c r="A1835" s="11">
        <v>43745.84075231482</v>
      </c>
      <c r="B1835" s="12" t="str">
        <f>HYPERLINK("https://twitter.com/mysappho","@mysappho")</f>
        <v>@mysappho</v>
      </c>
      <c r="C1835" s="7" t="s">
        <v>11029</v>
      </c>
      <c r="D1835" s="13" t="s">
        <v>11030</v>
      </c>
      <c r="E1835" s="12" t="str">
        <f>HYPERLINK("https://twitter.com/mysappho/status/1181406533533323265","1181406533533323265")</f>
        <v>1181406533533323265</v>
      </c>
      <c r="F1835" s="15"/>
      <c r="G1835" s="15"/>
      <c r="H1835" s="8"/>
      <c r="I1835" s="15">
        <v>1</v>
      </c>
      <c r="J1835" s="15">
        <v>2</v>
      </c>
      <c r="K1835" s="12" t="str">
        <f>HYPERLINK("https://mobile.twitter.com","Twitter Web App")</f>
        <v>Twitter Web App</v>
      </c>
      <c r="L1835" s="16">
        <v>514</v>
      </c>
      <c r="M1835" s="16">
        <v>1669</v>
      </c>
      <c r="N1835" s="16">
        <v>3</v>
      </c>
      <c r="O1835" s="17"/>
      <c r="P1835" s="18">
        <v>42664.576574074075</v>
      </c>
      <c r="Q1835" s="15" t="s">
        <v>11032</v>
      </c>
      <c r="R1835" s="7" t="s">
        <v>11033</v>
      </c>
      <c r="S1835" s="14" t="s">
        <v>11034</v>
      </c>
      <c r="T1835" s="8"/>
      <c r="U1835" s="19" t="str">
        <f>HYPERLINK("https://pbs.twimg.com/profile_images/795298544798273536/Yhe88yIe.jpg","View")</f>
        <v>View</v>
      </c>
      <c r="V1835" s="8"/>
      <c r="W1835" s="8"/>
      <c r="X1835" s="8"/>
      <c r="Y1835" s="8"/>
      <c r="Z1835" s="8"/>
    </row>
    <row r="1836" spans="1:26" ht="12.75">
      <c r="A1836" s="11">
        <v>43745.840740740736</v>
      </c>
      <c r="B1836" s="12" t="str">
        <f>HYPERLINK("https://twitter.com/muhammadsheufbh","@muhammadsheufbh")</f>
        <v>@muhammadsheufbh</v>
      </c>
      <c r="C1836" s="13" t="s">
        <v>11035</v>
      </c>
      <c r="D1836" s="7" t="s">
        <v>5595</v>
      </c>
      <c r="E1836" s="12" t="str">
        <f>HYPERLINK("https://twitter.com/muhammadsheufbh/status/1181406529167200257","1181406529167200257")</f>
        <v>1181406529167200257</v>
      </c>
      <c r="F1836" s="8"/>
      <c r="G1836" s="14" t="s">
        <v>11036</v>
      </c>
      <c r="H1836" s="8"/>
      <c r="I1836" s="15">
        <v>0</v>
      </c>
      <c r="J1836" s="15">
        <v>0</v>
      </c>
      <c r="K1836" s="12" t="str">
        <f>HYPERLINK("http://twitter.com","Twitter Web Client")</f>
        <v>Twitter Web Client</v>
      </c>
      <c r="L1836" s="16">
        <v>14</v>
      </c>
      <c r="M1836" s="16">
        <v>45</v>
      </c>
      <c r="N1836" s="16">
        <v>0</v>
      </c>
      <c r="O1836" s="17"/>
      <c r="P1836" s="18">
        <v>42532.542719907404</v>
      </c>
      <c r="Q1836" s="7" t="s">
        <v>11039</v>
      </c>
      <c r="R1836" s="13" t="s">
        <v>11040</v>
      </c>
      <c r="S1836" s="8"/>
      <c r="T1836" s="8"/>
      <c r="U1836" s="19" t="str">
        <f>HYPERLINK("https://pbs.twimg.com/profile_images/741722126370144256/g6aVgXVK.jpg","View")</f>
        <v>View</v>
      </c>
      <c r="V1836" s="8"/>
      <c r="W1836" s="8"/>
      <c r="X1836" s="8"/>
      <c r="Y1836" s="8"/>
      <c r="Z1836" s="8"/>
    </row>
    <row r="1837" spans="1:26" ht="12.75">
      <c r="A1837" s="11">
        <v>43745.838634259257</v>
      </c>
      <c r="B1837" s="12" t="str">
        <f>HYPERLINK("https://twitter.com/ateforaishybxhl","@ateforaishybxhl")</f>
        <v>@ateforaishybxhl</v>
      </c>
      <c r="C1837" s="13" t="s">
        <v>11041</v>
      </c>
      <c r="D1837" s="13" t="s">
        <v>294</v>
      </c>
      <c r="E1837" s="12" t="str">
        <f>HYPERLINK("https://twitter.com/ateforaishybxhl/status/1181405763790610432","1181405763790610432")</f>
        <v>1181405763790610432</v>
      </c>
      <c r="F1837" s="8"/>
      <c r="G1837" s="14" t="s">
        <v>11043</v>
      </c>
      <c r="H1837" s="8"/>
      <c r="I1837" s="15">
        <v>0</v>
      </c>
      <c r="J1837" s="15">
        <v>0</v>
      </c>
      <c r="K1837" s="12" t="str">
        <f>HYPERLINK("http://twitter.com","Twitter Web Client")</f>
        <v>Twitter Web Client</v>
      </c>
      <c r="L1837" s="16">
        <v>1</v>
      </c>
      <c r="M1837" s="16">
        <v>41</v>
      </c>
      <c r="N1837" s="16">
        <v>0</v>
      </c>
      <c r="O1837" s="17"/>
      <c r="P1837" s="18">
        <v>42429.731516203705</v>
      </c>
      <c r="Q1837" s="8"/>
      <c r="R1837" s="8" t="s">
        <v>11045</v>
      </c>
      <c r="S1837" s="8"/>
      <c r="T1837" s="8"/>
      <c r="U1837" s="19" t="str">
        <f>HYPERLINK("https://pbs.twimg.com/profile_images/704561249372213248/O5SYiHu9.jpg","View")</f>
        <v>View</v>
      </c>
      <c r="V1837" s="8"/>
      <c r="W1837" s="8"/>
      <c r="X1837" s="8"/>
      <c r="Y1837" s="8"/>
      <c r="Z1837" s="8"/>
    </row>
    <row r="1838" spans="1:26" ht="12.75">
      <c r="A1838" s="11">
        <v>43745.836793981478</v>
      </c>
      <c r="B1838" s="12" t="str">
        <f>HYPERLINK("https://twitter.com/akramamriaohk","@akramamriaohk")</f>
        <v>@akramamriaohk</v>
      </c>
      <c r="C1838" s="13" t="s">
        <v>11047</v>
      </c>
      <c r="D1838" s="13" t="s">
        <v>5616</v>
      </c>
      <c r="E1838" s="12" t="str">
        <f>HYPERLINK("https://twitter.com/akramamriaohk/status/1181405097407975424","1181405097407975424")</f>
        <v>1181405097407975424</v>
      </c>
      <c r="F1838" s="8"/>
      <c r="G1838" s="14" t="s">
        <v>11050</v>
      </c>
      <c r="H1838" s="8"/>
      <c r="I1838" s="15">
        <v>0</v>
      </c>
      <c r="J1838" s="15">
        <v>0</v>
      </c>
      <c r="K1838" s="12" t="str">
        <f>HYPERLINK("http://twitter.com","Twitter Web Client")</f>
        <v>Twitter Web Client</v>
      </c>
      <c r="L1838" s="16">
        <v>0</v>
      </c>
      <c r="M1838" s="16">
        <v>39</v>
      </c>
      <c r="N1838" s="16">
        <v>0</v>
      </c>
      <c r="O1838" s="17"/>
      <c r="P1838" s="18">
        <v>42458.561319444445</v>
      </c>
      <c r="Q1838" s="8" t="s">
        <v>11051</v>
      </c>
      <c r="R1838" s="8" t="s">
        <v>11052</v>
      </c>
      <c r="S1838" s="8"/>
      <c r="T1838" s="8"/>
      <c r="U1838" s="19" t="str">
        <f>HYPERLINK("https://pbs.twimg.com/profile_images/715024574228926465/wWtSfu0B.jpg","View")</f>
        <v>View</v>
      </c>
      <c r="V1838" s="8"/>
      <c r="W1838" s="8"/>
      <c r="X1838" s="8"/>
      <c r="Y1838" s="8"/>
      <c r="Z1838" s="8"/>
    </row>
    <row r="1839" spans="1:26" ht="12.75">
      <c r="A1839" s="11">
        <v>43745.832546296297</v>
      </c>
      <c r="B1839" s="12" t="str">
        <f>HYPERLINK("https://twitter.com/mofregotthaibvo","@mofregotthaibvo")</f>
        <v>@mofregotthaibvo</v>
      </c>
      <c r="C1839" s="7" t="s">
        <v>11056</v>
      </c>
      <c r="D1839" s="13" t="s">
        <v>318</v>
      </c>
      <c r="E1839" s="12" t="str">
        <f>HYPERLINK("https://twitter.com/mofregotthaibvo/status/1181403558207467520","1181403558207467520")</f>
        <v>1181403558207467520</v>
      </c>
      <c r="F1839" s="15"/>
      <c r="G1839" s="14" t="s">
        <v>11057</v>
      </c>
      <c r="H1839" s="8"/>
      <c r="I1839" s="15">
        <v>0</v>
      </c>
      <c r="J1839" s="15">
        <v>0</v>
      </c>
      <c r="K1839" s="12" t="str">
        <f>HYPERLINK("http://twitter.com","Twitter Web Client")</f>
        <v>Twitter Web Client</v>
      </c>
      <c r="L1839" s="16">
        <v>4</v>
      </c>
      <c r="M1839" s="16">
        <v>38</v>
      </c>
      <c r="N1839" s="16">
        <v>0</v>
      </c>
      <c r="O1839" s="17"/>
      <c r="P1839" s="18">
        <v>42507.969641203701</v>
      </c>
      <c r="Q1839" s="15" t="s">
        <v>10931</v>
      </c>
      <c r="R1839" s="7" t="s">
        <v>11059</v>
      </c>
      <c r="S1839" s="8"/>
      <c r="T1839" s="8"/>
      <c r="U1839" s="19" t="str">
        <f>HYPERLINK("https://pbs.twimg.com/profile_images/732817616604127232/19qCaBir.jpg","View")</f>
        <v>View</v>
      </c>
      <c r="V1839" s="8"/>
      <c r="W1839" s="8"/>
      <c r="X1839" s="8"/>
      <c r="Y1839" s="8"/>
      <c r="Z1839" s="8"/>
    </row>
    <row r="1840" spans="1:26" ht="12.75">
      <c r="A1840" s="11">
        <v>43745.831828703704</v>
      </c>
      <c r="B1840" s="12" t="str">
        <f>HYPERLINK("https://twitter.com/mofregkarouhsjm","@mofregkarouhsjm")</f>
        <v>@mofregkarouhsjm</v>
      </c>
      <c r="C1840" s="13" t="s">
        <v>11062</v>
      </c>
      <c r="D1840" s="7" t="s">
        <v>5650</v>
      </c>
      <c r="E1840" s="12" t="str">
        <f>HYPERLINK("https://twitter.com/mofregkarouhsjm/status/1181403298080940032","1181403298080940032")</f>
        <v>1181403298080940032</v>
      </c>
      <c r="F1840" s="8"/>
      <c r="G1840" s="14" t="s">
        <v>11063</v>
      </c>
      <c r="H1840" s="8"/>
      <c r="I1840" s="15">
        <v>0</v>
      </c>
      <c r="J1840" s="15">
        <v>0</v>
      </c>
      <c r="K1840" s="12" t="str">
        <f>HYPERLINK("http://twitter.com","Twitter Web Client")</f>
        <v>Twitter Web Client</v>
      </c>
      <c r="L1840" s="16">
        <v>4</v>
      </c>
      <c r="M1840" s="16">
        <v>42</v>
      </c>
      <c r="N1840" s="16">
        <v>0</v>
      </c>
      <c r="O1840" s="17"/>
      <c r="P1840" s="18">
        <v>42429.734780092593</v>
      </c>
      <c r="Q1840" s="7"/>
      <c r="R1840" s="13" t="s">
        <v>11065</v>
      </c>
      <c r="S1840" s="8"/>
      <c r="T1840" s="8"/>
      <c r="U1840" s="19" t="str">
        <f>HYPERLINK("https://pbs.twimg.com/profile_images/704563573486448640/1BEMUQED.jpg","View")</f>
        <v>View</v>
      </c>
      <c r="V1840" s="8"/>
      <c r="W1840" s="8"/>
      <c r="X1840" s="8"/>
      <c r="Y1840" s="8"/>
      <c r="Z1840" s="8"/>
    </row>
    <row r="1841" spans="1:26" ht="12.75">
      <c r="A1841" s="11">
        <v>43745.831550925926</v>
      </c>
      <c r="B1841" s="12" t="str">
        <f>HYPERLINK("https://twitter.com/zowibanfawzmyfc","@zowibanfawzmyfc")</f>
        <v>@zowibanfawzmyfc</v>
      </c>
      <c r="C1841" s="7" t="s">
        <v>11067</v>
      </c>
      <c r="D1841" s="7" t="s">
        <v>7909</v>
      </c>
      <c r="E1841" s="12" t="str">
        <f>HYPERLINK("https://twitter.com/zowibanfawzmyfc/status/1181403196553662464","1181403196553662464")</f>
        <v>1181403196553662464</v>
      </c>
      <c r="F1841" s="15"/>
      <c r="G1841" s="14" t="s">
        <v>11068</v>
      </c>
      <c r="H1841" s="8"/>
      <c r="I1841" s="15">
        <v>0</v>
      </c>
      <c r="J1841" s="15">
        <v>0</v>
      </c>
      <c r="K1841" s="12" t="str">
        <f>HYPERLINK("http://twitter.com","Twitter Web Client")</f>
        <v>Twitter Web Client</v>
      </c>
      <c r="L1841" s="16">
        <v>16</v>
      </c>
      <c r="M1841" s="16">
        <v>43</v>
      </c>
      <c r="N1841" s="16">
        <v>0</v>
      </c>
      <c r="O1841" s="17"/>
      <c r="P1841" s="18">
        <v>42532.535902777774</v>
      </c>
      <c r="Q1841" s="15" t="s">
        <v>4122</v>
      </c>
      <c r="R1841" s="7" t="s">
        <v>11069</v>
      </c>
      <c r="S1841" s="8"/>
      <c r="T1841" s="8"/>
      <c r="U1841" s="19" t="str">
        <f>HYPERLINK("https://pbs.twimg.com/profile_images/741719660811456513/9R7G300w.jpg","View")</f>
        <v>View</v>
      </c>
      <c r="V1841" s="8"/>
      <c r="W1841" s="8"/>
      <c r="X1841" s="8"/>
      <c r="Y1841" s="8"/>
      <c r="Z1841" s="8"/>
    </row>
    <row r="1842" spans="1:26" ht="12.75">
      <c r="A1842" s="11">
        <v>43745.828611111108</v>
      </c>
      <c r="B1842" s="12" t="str">
        <f>HYPERLINK("https://twitter.com/abdlerahmancqdc","@abdlerahmancqdc")</f>
        <v>@abdlerahmancqdc</v>
      </c>
      <c r="C1842" s="7" t="s">
        <v>11070</v>
      </c>
      <c r="D1842" s="7" t="s">
        <v>342</v>
      </c>
      <c r="E1842" s="12" t="str">
        <f>HYPERLINK("https://twitter.com/abdlerahmancqdc/status/1181402133171585024","1181402133171585024")</f>
        <v>1181402133171585024</v>
      </c>
      <c r="F1842" s="15"/>
      <c r="G1842" s="14" t="s">
        <v>11071</v>
      </c>
      <c r="H1842" s="8"/>
      <c r="I1842" s="15">
        <v>0</v>
      </c>
      <c r="J1842" s="15">
        <v>0</v>
      </c>
      <c r="K1842" s="12" t="str">
        <f>HYPERLINK("http://twitter.com","Twitter Web Client")</f>
        <v>Twitter Web Client</v>
      </c>
      <c r="L1842" s="16">
        <v>15</v>
      </c>
      <c r="M1842" s="16">
        <v>51</v>
      </c>
      <c r="N1842" s="16">
        <v>0</v>
      </c>
      <c r="O1842" s="17"/>
      <c r="P1842" s="18">
        <v>42529.713692129633</v>
      </c>
      <c r="Q1842" s="15" t="s">
        <v>10931</v>
      </c>
      <c r="R1842" s="7" t="s">
        <v>11074</v>
      </c>
      <c r="S1842" s="8"/>
      <c r="T1842" s="8"/>
      <c r="U1842" s="19" t="str">
        <f>HYPERLINK("https://pbs.twimg.com/profile_images/740696929919733760/-hXpdFNw.jpg","View")</f>
        <v>View</v>
      </c>
      <c r="V1842" s="8"/>
      <c r="W1842" s="8"/>
      <c r="X1842" s="8"/>
      <c r="Y1842" s="8"/>
      <c r="Z1842" s="8"/>
    </row>
    <row r="1843" spans="1:26" ht="12.75">
      <c r="A1843" s="11">
        <v>43745.824479166666</v>
      </c>
      <c r="B1843" s="12" t="str">
        <f>HYPERLINK("https://twitter.com/eyadboadanikpbw","@eyadboadanikpbw")</f>
        <v>@eyadboadanikpbw</v>
      </c>
      <c r="C1843" s="7" t="s">
        <v>11075</v>
      </c>
      <c r="D1843" s="7" t="s">
        <v>11076</v>
      </c>
      <c r="E1843" s="12" t="str">
        <f>HYPERLINK("https://twitter.com/eyadboadanikpbw/status/1181400636841218055","1181400636841218055")</f>
        <v>1181400636841218055</v>
      </c>
      <c r="F1843" s="15"/>
      <c r="G1843" s="14" t="s">
        <v>11077</v>
      </c>
      <c r="H1843" s="8"/>
      <c r="I1843" s="15">
        <v>0</v>
      </c>
      <c r="J1843" s="15">
        <v>0</v>
      </c>
      <c r="K1843" s="12" t="str">
        <f>HYPERLINK("http://twitter.com","Twitter Web Client")</f>
        <v>Twitter Web Client</v>
      </c>
      <c r="L1843" s="16">
        <v>3</v>
      </c>
      <c r="M1843" s="16">
        <v>42</v>
      </c>
      <c r="N1843" s="16">
        <v>0</v>
      </c>
      <c r="O1843" s="17"/>
      <c r="P1843" s="18">
        <v>42429.716053240743</v>
      </c>
      <c r="Q1843" s="7"/>
      <c r="R1843" s="7" t="s">
        <v>11079</v>
      </c>
      <c r="S1843" s="15"/>
      <c r="T1843" s="8"/>
      <c r="U1843" s="19" t="str">
        <f>HYPERLINK("https://pbs.twimg.com/profile_images/704556173752672257/0TNcb9Vb.jpg","View")</f>
        <v>View</v>
      </c>
      <c r="V1843" s="8"/>
      <c r="W1843" s="8"/>
      <c r="X1843" s="8"/>
      <c r="Y1843" s="8"/>
      <c r="Z1843" s="8"/>
    </row>
    <row r="1844" spans="1:26" ht="12.75">
      <c r="A1844" s="11">
        <v>43745.823749999996</v>
      </c>
      <c r="B1844" s="12" t="str">
        <f>HYPERLINK("https://twitter.com/mohamedbnhaxvut","@mohamedbnhaxvut")</f>
        <v>@mohamedbnhaxvut</v>
      </c>
      <c r="C1844" s="7" t="s">
        <v>11082</v>
      </c>
      <c r="D1844" s="7" t="s">
        <v>7927</v>
      </c>
      <c r="E1844" s="12" t="str">
        <f>HYPERLINK("https://twitter.com/mohamedbnhaxvut/status/1181400373162065920","1181400373162065920")</f>
        <v>1181400373162065920</v>
      </c>
      <c r="F1844" s="15"/>
      <c r="G1844" s="14" t="s">
        <v>11084</v>
      </c>
      <c r="H1844" s="8"/>
      <c r="I1844" s="15">
        <v>0</v>
      </c>
      <c r="J1844" s="15">
        <v>0</v>
      </c>
      <c r="K1844" s="12" t="str">
        <f>HYPERLINK("http://twitter.com","Twitter Web Client")</f>
        <v>Twitter Web Client</v>
      </c>
      <c r="L1844" s="16">
        <v>2</v>
      </c>
      <c r="M1844" s="16">
        <v>41</v>
      </c>
      <c r="N1844" s="16">
        <v>0</v>
      </c>
      <c r="O1844" s="17"/>
      <c r="P1844" s="18">
        <v>42429.489016203705</v>
      </c>
      <c r="Q1844" s="15"/>
      <c r="R1844" s="7" t="s">
        <v>11085</v>
      </c>
      <c r="S1844" s="8"/>
      <c r="T1844" s="8"/>
      <c r="U1844" s="19" t="str">
        <f>HYPERLINK("https://pbs.twimg.com/profile_images/704501208971481088/EbrFf-L7.jpg","View")</f>
        <v>View</v>
      </c>
      <c r="V1844" s="8"/>
      <c r="W1844" s="8"/>
      <c r="X1844" s="8"/>
      <c r="Y1844" s="8"/>
      <c r="Z1844" s="8"/>
    </row>
    <row r="1845" spans="1:26" ht="12.75">
      <c r="A1845" s="11">
        <v>43745.821631944447</v>
      </c>
      <c r="B1845" s="12" t="str">
        <f>HYPERLINK("https://twitter.com/betalfehedqozuh","@betalfehedqozuh")</f>
        <v>@betalfehedqozuh</v>
      </c>
      <c r="C1845" s="13" t="s">
        <v>11088</v>
      </c>
      <c r="D1845" s="7" t="s">
        <v>5721</v>
      </c>
      <c r="E1845" s="12" t="str">
        <f>HYPERLINK("https://twitter.com/betalfehedqozuh/status/1181399605549916160","1181399605549916160")</f>
        <v>1181399605549916160</v>
      </c>
      <c r="F1845" s="8"/>
      <c r="G1845" s="14" t="s">
        <v>11089</v>
      </c>
      <c r="H1845" s="8"/>
      <c r="I1845" s="15">
        <v>0</v>
      </c>
      <c r="J1845" s="15">
        <v>0</v>
      </c>
      <c r="K1845" s="12" t="str">
        <f>HYPERLINK("http://twitter.com","Twitter Web Client")</f>
        <v>Twitter Web Client</v>
      </c>
      <c r="L1845" s="16">
        <v>15</v>
      </c>
      <c r="M1845" s="16">
        <v>49</v>
      </c>
      <c r="N1845" s="16">
        <v>0</v>
      </c>
      <c r="O1845" s="17"/>
      <c r="P1845" s="18">
        <v>42529.711493055554</v>
      </c>
      <c r="Q1845" s="7" t="s">
        <v>4122</v>
      </c>
      <c r="R1845" s="13" t="s">
        <v>11092</v>
      </c>
      <c r="S1845" s="8"/>
      <c r="T1845" s="8"/>
      <c r="U1845" s="19" t="str">
        <f>HYPERLINK("https://pbs.twimg.com/profile_images/740696131722739712/uw8aZhfm.jpg","View")</f>
        <v>View</v>
      </c>
      <c r="V1845" s="8"/>
      <c r="W1845" s="8"/>
      <c r="X1845" s="8"/>
      <c r="Y1845" s="8"/>
      <c r="Z1845" s="8"/>
    </row>
    <row r="1846" spans="1:26" ht="12.75">
      <c r="A1846" s="11">
        <v>43745.820798611108</v>
      </c>
      <c r="B1846" s="12" t="str">
        <f>HYPERLINK("https://twitter.com/ayeshredeniobkn","@ayeshredeniobkn")</f>
        <v>@ayeshredeniobkn</v>
      </c>
      <c r="C1846" s="13" t="s">
        <v>11094</v>
      </c>
      <c r="D1846" s="7" t="s">
        <v>11095</v>
      </c>
      <c r="E1846" s="12" t="str">
        <f>HYPERLINK("https://twitter.com/ayeshredeniobkn/status/1181399300515008513","1181399300515008513")</f>
        <v>1181399300515008513</v>
      </c>
      <c r="F1846" s="8"/>
      <c r="G1846" s="14" t="s">
        <v>11096</v>
      </c>
      <c r="H1846" s="8"/>
      <c r="I1846" s="15">
        <v>0</v>
      </c>
      <c r="J1846" s="15">
        <v>0</v>
      </c>
      <c r="K1846" s="12" t="str">
        <f>HYPERLINK("http://twitter.com","Twitter Web Client")</f>
        <v>Twitter Web Client</v>
      </c>
      <c r="L1846" s="16">
        <v>7</v>
      </c>
      <c r="M1846" s="16">
        <v>41</v>
      </c>
      <c r="N1846" s="16">
        <v>0</v>
      </c>
      <c r="O1846" s="17"/>
      <c r="P1846" s="18">
        <v>42429.500428240739</v>
      </c>
      <c r="Q1846" s="8"/>
      <c r="R1846" s="13" t="s">
        <v>11097</v>
      </c>
      <c r="S1846" s="8"/>
      <c r="T1846" s="8"/>
      <c r="U1846" s="19" t="str">
        <f>HYPERLINK("https://pbs.twimg.com/profile_images/704505236170383360/uqzUhYLB.jpg","View")</f>
        <v>View</v>
      </c>
      <c r="V1846" s="8"/>
      <c r="W1846" s="8"/>
      <c r="X1846" s="8"/>
      <c r="Y1846" s="8"/>
      <c r="Z1846" s="8"/>
    </row>
    <row r="1847" spans="1:26" ht="12.75">
      <c r="A1847" s="11">
        <v>43745.81858796296</v>
      </c>
      <c r="B1847" s="12" t="str">
        <f>HYPERLINK("https://twitter.com/ElaineRonson","@ElaineRonson")</f>
        <v>@ElaineRonson</v>
      </c>
      <c r="C1847" s="13" t="s">
        <v>11101</v>
      </c>
      <c r="D1847" s="13" t="s">
        <v>11102</v>
      </c>
      <c r="E1847" s="12" t="str">
        <f>HYPERLINK("https://twitter.com/ElaineRonson/status/1181398501906944000","1181398501906944000")</f>
        <v>1181398501906944000</v>
      </c>
      <c r="F1847" s="8"/>
      <c r="G1847" s="15"/>
      <c r="H1847" s="8"/>
      <c r="I1847" s="15">
        <v>0</v>
      </c>
      <c r="J1847" s="15">
        <v>0</v>
      </c>
      <c r="K1847" s="12" t="str">
        <f>HYPERLINK("http://twitter.com/download/iphone","Twitter for iPhone")</f>
        <v>Twitter for iPhone</v>
      </c>
      <c r="L1847" s="16">
        <v>1175</v>
      </c>
      <c r="M1847" s="16">
        <v>1544</v>
      </c>
      <c r="N1847" s="16">
        <v>47</v>
      </c>
      <c r="O1847" s="17"/>
      <c r="P1847" s="18">
        <v>40711.558287037034</v>
      </c>
      <c r="Q1847" s="8" t="s">
        <v>11105</v>
      </c>
      <c r="R1847" s="8" t="s">
        <v>11106</v>
      </c>
      <c r="S1847" s="14" t="s">
        <v>11107</v>
      </c>
      <c r="T1847" s="8"/>
      <c r="U1847" s="19" t="str">
        <f>HYPERLINK("https://pbs.twimg.com/profile_images/1088438028727709696/2f1EFMZa.jpg","View")</f>
        <v>View</v>
      </c>
      <c r="V1847" s="8"/>
      <c r="W1847" s="8"/>
      <c r="X1847" s="8"/>
      <c r="Y1847" s="8"/>
      <c r="Z1847" s="8"/>
    </row>
    <row r="1848" spans="1:26" ht="12.75">
      <c r="A1848" s="11">
        <v>43745.818506944444</v>
      </c>
      <c r="B1848" s="12" t="str">
        <f>HYPERLINK("https://twitter.com/aidamodiosvm","@aidamodiosvm")</f>
        <v>@aidamodiosvm</v>
      </c>
      <c r="C1848" s="13" t="s">
        <v>11109</v>
      </c>
      <c r="D1848" s="7" t="s">
        <v>370</v>
      </c>
      <c r="E1848" s="12" t="str">
        <f>HYPERLINK("https://twitter.com/aidamodiosvm/status/1181398472618074112","1181398472618074112")</f>
        <v>1181398472618074112</v>
      </c>
      <c r="F1848" s="8"/>
      <c r="G1848" s="14" t="s">
        <v>11111</v>
      </c>
      <c r="H1848" s="8"/>
      <c r="I1848" s="15">
        <v>1</v>
      </c>
      <c r="J1848" s="15">
        <v>1</v>
      </c>
      <c r="K1848" s="12" t="str">
        <f>HYPERLINK("http://twitter.com","Twitter Web Client")</f>
        <v>Twitter Web Client</v>
      </c>
      <c r="L1848" s="16">
        <v>14</v>
      </c>
      <c r="M1848" s="16">
        <v>46</v>
      </c>
      <c r="N1848" s="16">
        <v>0</v>
      </c>
      <c r="O1848" s="17"/>
      <c r="P1848" s="18">
        <v>42533.670578703706</v>
      </c>
      <c r="Q1848" s="7" t="s">
        <v>11114</v>
      </c>
      <c r="R1848" s="13" t="s">
        <v>11115</v>
      </c>
      <c r="S1848" s="8"/>
      <c r="T1848" s="8"/>
      <c r="U1848" s="19" t="str">
        <f>HYPERLINK("https://pbs.twimg.com/profile_images/742130851908046850/a54UDQ3g.jpg","View")</f>
        <v>View</v>
      </c>
      <c r="V1848" s="8"/>
      <c r="W1848" s="8"/>
      <c r="X1848" s="8"/>
      <c r="Y1848" s="8"/>
      <c r="Z1848" s="8"/>
    </row>
    <row r="1849" spans="1:26" ht="12.75">
      <c r="A1849" s="11">
        <v>43745.81795138889</v>
      </c>
      <c r="B1849" s="12" t="str">
        <f>HYPERLINK("https://twitter.com/alianswigyluvh","@alianswigyluvh")</f>
        <v>@alianswigyluvh</v>
      </c>
      <c r="C1849" s="13" t="s">
        <v>11118</v>
      </c>
      <c r="D1849" s="13" t="s">
        <v>5742</v>
      </c>
      <c r="E1849" s="12" t="str">
        <f>HYPERLINK("https://twitter.com/alianswigyluvh/status/1181398268552601601","1181398268552601601")</f>
        <v>1181398268552601601</v>
      </c>
      <c r="F1849" s="8"/>
      <c r="G1849" s="14" t="s">
        <v>11120</v>
      </c>
      <c r="H1849" s="8"/>
      <c r="I1849" s="15">
        <v>0</v>
      </c>
      <c r="J1849" s="15">
        <v>0</v>
      </c>
      <c r="K1849" s="12" t="str">
        <f>HYPERLINK("http://twitter.com","Twitter Web Client")</f>
        <v>Twitter Web Client</v>
      </c>
      <c r="L1849" s="16">
        <v>2</v>
      </c>
      <c r="M1849" s="16">
        <v>42</v>
      </c>
      <c r="N1849" s="16">
        <v>0</v>
      </c>
      <c r="O1849" s="17"/>
      <c r="P1849" s="18">
        <v>42429.576296296298</v>
      </c>
      <c r="Q1849" s="8"/>
      <c r="R1849" s="8" t="s">
        <v>11121</v>
      </c>
      <c r="S1849" s="8"/>
      <c r="T1849" s="8"/>
      <c r="U1849" s="19" t="str">
        <f>HYPERLINK("https://pbs.twimg.com/profile_images/704530957873848320/EpA8v8bf.jpg","View")</f>
        <v>View</v>
      </c>
      <c r="V1849" s="8"/>
      <c r="W1849" s="8"/>
      <c r="X1849" s="8"/>
      <c r="Y1849" s="8"/>
      <c r="Z1849" s="8"/>
    </row>
    <row r="1850" spans="1:26" ht="12.75">
      <c r="A1850" s="11">
        <v>43745.817662037036</v>
      </c>
      <c r="B1850" s="12" t="str">
        <f>HYPERLINK("https://twitter.com/ebrahimyamazoed","@ebrahimyamazoed")</f>
        <v>@ebrahimyamazoed</v>
      </c>
      <c r="C1850" s="13" t="s">
        <v>11123</v>
      </c>
      <c r="D1850" s="7" t="s">
        <v>7944</v>
      </c>
      <c r="E1850" s="12" t="str">
        <f>HYPERLINK("https://twitter.com/ebrahimyamazoed/status/1181398165699940352","1181398165699940352")</f>
        <v>1181398165699940352</v>
      </c>
      <c r="F1850" s="8"/>
      <c r="G1850" s="14" t="s">
        <v>11124</v>
      </c>
      <c r="H1850" s="8"/>
      <c r="I1850" s="15">
        <v>0</v>
      </c>
      <c r="J1850" s="15">
        <v>0</v>
      </c>
      <c r="K1850" s="12" t="str">
        <f>HYPERLINK("http://twitter.com","Twitter Web Client")</f>
        <v>Twitter Web Client</v>
      </c>
      <c r="L1850" s="16">
        <v>3</v>
      </c>
      <c r="M1850" s="16">
        <v>39</v>
      </c>
      <c r="N1850" s="16">
        <v>0</v>
      </c>
      <c r="O1850" s="17"/>
      <c r="P1850" s="18">
        <v>42461.700659722221</v>
      </c>
      <c r="Q1850" s="7" t="s">
        <v>11125</v>
      </c>
      <c r="R1850" s="13" t="s">
        <v>11126</v>
      </c>
      <c r="S1850" s="8"/>
      <c r="T1850" s="8"/>
      <c r="U1850" s="19" t="str">
        <f>HYPERLINK("https://pbs.twimg.com/profile_images/716406601876447232/oir98cmZ.jpg","View")</f>
        <v>View</v>
      </c>
      <c r="V1850" s="8"/>
      <c r="W1850" s="8"/>
      <c r="X1850" s="8"/>
      <c r="Y1850" s="8"/>
      <c r="Z1850" s="8"/>
    </row>
    <row r="1851" spans="1:26" ht="12.75">
      <c r="A1851" s="11">
        <v>43745.816655092596</v>
      </c>
      <c r="B1851" s="12" t="str">
        <f>HYPERLINK("https://twitter.com/redakailanvqbn","@redakailanvqbn")</f>
        <v>@redakailanvqbn</v>
      </c>
      <c r="C1851" s="13" t="s">
        <v>11130</v>
      </c>
      <c r="D1851" s="13" t="s">
        <v>5748</v>
      </c>
      <c r="E1851" s="12" t="str">
        <f>HYPERLINK("https://twitter.com/redakailanvqbn/status/1181397801248399360","1181397801248399360")</f>
        <v>1181397801248399360</v>
      </c>
      <c r="F1851" s="8"/>
      <c r="G1851" s="14" t="s">
        <v>11132</v>
      </c>
      <c r="H1851" s="8"/>
      <c r="I1851" s="15">
        <v>0</v>
      </c>
      <c r="J1851" s="15">
        <v>0</v>
      </c>
      <c r="K1851" s="12" t="str">
        <f>HYPERLINK("http://twitter.com","Twitter Web Client")</f>
        <v>Twitter Web Client</v>
      </c>
      <c r="L1851" s="16">
        <v>10</v>
      </c>
      <c r="M1851" s="16">
        <v>48</v>
      </c>
      <c r="N1851" s="16">
        <v>0</v>
      </c>
      <c r="O1851" s="17"/>
      <c r="P1851" s="18">
        <v>42532.491527777776</v>
      </c>
      <c r="Q1851" s="8" t="s">
        <v>4135</v>
      </c>
      <c r="R1851" s="8" t="s">
        <v>11135</v>
      </c>
      <c r="S1851" s="8"/>
      <c r="T1851" s="8"/>
      <c r="U1851" s="19" t="str">
        <f>HYPERLINK("https://pbs.twimg.com/profile_images/741703580403519489/NkFbanoc.jpg","View")</f>
        <v>View</v>
      </c>
      <c r="V1851" s="8"/>
      <c r="W1851" s="8"/>
      <c r="X1851" s="8"/>
      <c r="Y1851" s="8"/>
      <c r="Z1851" s="8"/>
    </row>
    <row r="1852" spans="1:26" ht="12.75">
      <c r="A1852" s="11">
        <v>43745.81622685185</v>
      </c>
      <c r="B1852" s="12" t="str">
        <f>HYPERLINK("https://twitter.com/henrynathanmia","@henrynathanmia")</f>
        <v>@henrynathanmia</v>
      </c>
      <c r="C1852" s="7" t="s">
        <v>11137</v>
      </c>
      <c r="D1852" s="7" t="s">
        <v>11138</v>
      </c>
      <c r="E1852" s="12" t="str">
        <f>HYPERLINK("https://twitter.com/henrynathanmia/status/1181397646159831041","1181397646159831041")</f>
        <v>1181397646159831041</v>
      </c>
      <c r="F1852" s="8"/>
      <c r="G1852" s="8"/>
      <c r="H1852" s="8"/>
      <c r="I1852" s="15">
        <v>0</v>
      </c>
      <c r="J1852" s="15">
        <v>3</v>
      </c>
      <c r="K1852" s="12" t="str">
        <f>HYPERLINK("https://mobile.twitter.com","Twitter Web App")</f>
        <v>Twitter Web App</v>
      </c>
      <c r="L1852" s="16">
        <v>20</v>
      </c>
      <c r="M1852" s="16">
        <v>183</v>
      </c>
      <c r="N1852" s="16">
        <v>0</v>
      </c>
      <c r="O1852" s="17"/>
      <c r="P1852" s="18">
        <v>43732.16777777778</v>
      </c>
      <c r="Q1852" s="7" t="s">
        <v>11142</v>
      </c>
      <c r="R1852" s="7" t="s">
        <v>11143</v>
      </c>
      <c r="S1852" s="8"/>
      <c r="T1852" s="8"/>
      <c r="U1852" s="19" t="str">
        <f>HYPERLINK("https://pbs.twimg.com/profile_images/1177272949520371712/gE4sVKwY.jpg","View")</f>
        <v>View</v>
      </c>
      <c r="V1852" s="8"/>
      <c r="W1852" s="8"/>
      <c r="X1852" s="8"/>
      <c r="Y1852" s="8"/>
      <c r="Z1852" s="8"/>
    </row>
    <row r="1853" spans="1:26" ht="12.75">
      <c r="A1853" s="11">
        <v>43745.812962962962</v>
      </c>
      <c r="B1853" s="12" t="str">
        <f>HYPERLINK("https://twitter.com/hamzahyahrioehx","@hamzahyahrioehx")</f>
        <v>@hamzahyahrioehx</v>
      </c>
      <c r="C1853" s="13" t="s">
        <v>11144</v>
      </c>
      <c r="D1853" s="7" t="s">
        <v>5767</v>
      </c>
      <c r="E1853" s="12" t="str">
        <f>HYPERLINK("https://twitter.com/hamzahyahrioehx/status/1181396463538053120","1181396463538053120")</f>
        <v>1181396463538053120</v>
      </c>
      <c r="F1853" s="8"/>
      <c r="G1853" s="14" t="s">
        <v>11145</v>
      </c>
      <c r="H1853" s="8"/>
      <c r="I1853" s="15">
        <v>0</v>
      </c>
      <c r="J1853" s="15">
        <v>0</v>
      </c>
      <c r="K1853" s="12" t="str">
        <f>HYPERLINK("http://twitter.com","Twitter Web Client")</f>
        <v>Twitter Web Client</v>
      </c>
      <c r="L1853" s="16">
        <v>14</v>
      </c>
      <c r="M1853" s="16">
        <v>53</v>
      </c>
      <c r="N1853" s="16">
        <v>0</v>
      </c>
      <c r="O1853" s="17"/>
      <c r="P1853" s="18">
        <v>42529.716909722221</v>
      </c>
      <c r="Q1853" s="7" t="s">
        <v>3958</v>
      </c>
      <c r="R1853" s="13" t="s">
        <v>4531</v>
      </c>
      <c r="S1853" s="8"/>
      <c r="T1853" s="8"/>
      <c r="U1853" s="19" t="str">
        <f>HYPERLINK("https://pbs.twimg.com/profile_images/740698097861459968/2IL75B25.jpg","View")</f>
        <v>View</v>
      </c>
      <c r="V1853" s="8"/>
      <c r="W1853" s="8"/>
      <c r="X1853" s="8"/>
      <c r="Y1853" s="8"/>
      <c r="Z1853" s="8"/>
    </row>
    <row r="1854" spans="1:26" ht="12.75">
      <c r="A1854" s="11">
        <v>43745.812395833331</v>
      </c>
      <c r="B1854" s="12" t="str">
        <f>HYPERLINK("https://twitter.com/haiderrashoktvs","@haiderrashoktvs")</f>
        <v>@haiderrashoktvs</v>
      </c>
      <c r="C1854" s="7" t="s">
        <v>11150</v>
      </c>
      <c r="D1854" s="7" t="s">
        <v>385</v>
      </c>
      <c r="E1854" s="12" t="str">
        <f>HYPERLINK("https://twitter.com/haiderrashoktvs/status/1181396256372985862","1181396256372985862")</f>
        <v>1181396256372985862</v>
      </c>
      <c r="F1854" s="15"/>
      <c r="G1854" s="14" t="s">
        <v>11152</v>
      </c>
      <c r="H1854" s="8"/>
      <c r="I1854" s="15">
        <v>0</v>
      </c>
      <c r="J1854" s="15">
        <v>0</v>
      </c>
      <c r="K1854" s="12" t="str">
        <f>HYPERLINK("http://twitter.com","Twitter Web Client")</f>
        <v>Twitter Web Client</v>
      </c>
      <c r="L1854" s="16">
        <v>4</v>
      </c>
      <c r="M1854" s="16">
        <v>42</v>
      </c>
      <c r="N1854" s="16">
        <v>0</v>
      </c>
      <c r="O1854" s="17"/>
      <c r="P1854" s="18">
        <v>42429.54824074074</v>
      </c>
      <c r="Q1854" s="8"/>
      <c r="R1854" s="7" t="s">
        <v>11155</v>
      </c>
      <c r="S1854" s="8"/>
      <c r="T1854" s="8"/>
      <c r="U1854" s="19" t="str">
        <f>HYPERLINK("https://pbs.twimg.com/profile_images/704522501938929664/zkfP7Vm8.jpg","View")</f>
        <v>View</v>
      </c>
      <c r="V1854" s="8"/>
      <c r="W1854" s="8"/>
      <c r="X1854" s="8"/>
      <c r="Y1854" s="8"/>
      <c r="Z1854" s="8"/>
    </row>
    <row r="1855" spans="1:26" ht="12.75">
      <c r="A1855" s="11">
        <v>43745.809699074074</v>
      </c>
      <c r="B1855" s="12" t="str">
        <f>HYPERLINK("https://twitter.com/khalidmertanrvm","@khalidmertanrvm")</f>
        <v>@khalidmertanrvm</v>
      </c>
      <c r="C1855" s="13" t="s">
        <v>11157</v>
      </c>
      <c r="D1855" s="13" t="s">
        <v>11158</v>
      </c>
      <c r="E1855" s="12" t="str">
        <f>HYPERLINK("https://twitter.com/khalidmertanrvm/status/1181395280056475650","1181395280056475650")</f>
        <v>1181395280056475650</v>
      </c>
      <c r="F1855" s="8"/>
      <c r="G1855" s="14" t="s">
        <v>11159</v>
      </c>
      <c r="H1855" s="8"/>
      <c r="I1855" s="15">
        <v>0</v>
      </c>
      <c r="J1855" s="15">
        <v>0</v>
      </c>
      <c r="K1855" s="12" t="str">
        <f>HYPERLINK("http://twitter.com","Twitter Web Client")</f>
        <v>Twitter Web Client</v>
      </c>
      <c r="L1855" s="16">
        <v>11</v>
      </c>
      <c r="M1855" s="16">
        <v>42</v>
      </c>
      <c r="N1855" s="16">
        <v>0</v>
      </c>
      <c r="O1855" s="17"/>
      <c r="P1855" s="18">
        <v>42533.489270833335</v>
      </c>
      <c r="Q1855" s="7" t="s">
        <v>4031</v>
      </c>
      <c r="R1855" s="13" t="s">
        <v>11162</v>
      </c>
      <c r="S1855" s="8"/>
      <c r="T1855" s="8"/>
      <c r="U1855" s="19" t="str">
        <f>HYPERLINK("https://pbs.twimg.com/profile_images/742065147733237766/k9LdjgXW.jpg","View")</f>
        <v>View</v>
      </c>
      <c r="V1855" s="8"/>
      <c r="W1855" s="8"/>
      <c r="X1855" s="8"/>
      <c r="Y1855" s="8"/>
      <c r="Z1855" s="8"/>
    </row>
    <row r="1856" spans="1:26" ht="12.75">
      <c r="A1856" s="11">
        <v>43745.809259259258</v>
      </c>
      <c r="B1856" s="12" t="str">
        <f>HYPERLINK("https://twitter.com/mahammedtwipbqc","@mahammedtwipbqc")</f>
        <v>@mahammedtwipbqc</v>
      </c>
      <c r="C1856" s="7" t="s">
        <v>11164</v>
      </c>
      <c r="D1856" s="13" t="s">
        <v>5799</v>
      </c>
      <c r="E1856" s="12" t="str">
        <f>HYPERLINK("https://twitter.com/mahammedtwipbqc/status/1181395120505143297","1181395120505143297")</f>
        <v>1181395120505143297</v>
      </c>
      <c r="F1856" s="15"/>
      <c r="G1856" s="14" t="s">
        <v>11165</v>
      </c>
      <c r="H1856" s="8"/>
      <c r="I1856" s="15">
        <v>0</v>
      </c>
      <c r="J1856" s="15">
        <v>0</v>
      </c>
      <c r="K1856" s="12" t="str">
        <f>HYPERLINK("http://twitter.com","Twitter Web Client")</f>
        <v>Twitter Web Client</v>
      </c>
      <c r="L1856" s="16">
        <v>11</v>
      </c>
      <c r="M1856" s="16">
        <v>37</v>
      </c>
      <c r="N1856" s="16">
        <v>0</v>
      </c>
      <c r="O1856" s="17"/>
      <c r="P1856" s="18">
        <v>42529.696539351848</v>
      </c>
      <c r="Q1856" s="8" t="s">
        <v>11169</v>
      </c>
      <c r="R1856" s="7" t="s">
        <v>4464</v>
      </c>
      <c r="S1856" s="8"/>
      <c r="T1856" s="8"/>
      <c r="U1856" s="19" t="str">
        <f>HYPERLINK("https://pbs.twimg.com/profile_images/740690709435584512/YdyxAbDI.jpg","View")</f>
        <v>View</v>
      </c>
      <c r="V1856" s="8"/>
      <c r="W1856" s="8"/>
      <c r="X1856" s="8"/>
      <c r="Y1856" s="8"/>
      <c r="Z1856" s="8"/>
    </row>
    <row r="1857" spans="1:26" ht="12.75">
      <c r="A1857" s="11">
        <v>43745.808969907404</v>
      </c>
      <c r="B1857" s="12" t="str">
        <f>HYPERLINK("https://twitter.com/eyadquhtaniaxnr","@eyadquhtaniaxnr")</f>
        <v>@eyadquhtaniaxnr</v>
      </c>
      <c r="C1857" s="7" t="s">
        <v>11170</v>
      </c>
      <c r="D1857" s="13" t="s">
        <v>7961</v>
      </c>
      <c r="E1857" s="12" t="str">
        <f>HYPERLINK("https://twitter.com/eyadquhtaniaxnr/status/1181395016062787585","1181395016062787585")</f>
        <v>1181395016062787585</v>
      </c>
      <c r="F1857" s="15"/>
      <c r="G1857" s="14" t="s">
        <v>11172</v>
      </c>
      <c r="H1857" s="8"/>
      <c r="I1857" s="15">
        <v>0</v>
      </c>
      <c r="J1857" s="15">
        <v>0</v>
      </c>
      <c r="K1857" s="12" t="str">
        <f>HYPERLINK("http://twitter.com","Twitter Web Client")</f>
        <v>Twitter Web Client</v>
      </c>
      <c r="L1857" s="16">
        <v>3</v>
      </c>
      <c r="M1857" s="16">
        <v>41</v>
      </c>
      <c r="N1857" s="16">
        <v>0</v>
      </c>
      <c r="O1857" s="17"/>
      <c r="P1857" s="18">
        <v>42429.539652777778</v>
      </c>
      <c r="Q1857" s="8"/>
      <c r="R1857" s="7" t="s">
        <v>11174</v>
      </c>
      <c r="S1857" s="8"/>
      <c r="T1857" s="8"/>
      <c r="U1857" s="19" t="str">
        <f>HYPERLINK("https://pbs.twimg.com/profile_images/704519692162080768/dJQbWlWI.jpg","View")</f>
        <v>View</v>
      </c>
      <c r="V1857" s="8"/>
      <c r="W1857" s="8"/>
      <c r="X1857" s="8"/>
      <c r="Y1857" s="8"/>
      <c r="Z1857" s="8"/>
    </row>
    <row r="1858" spans="1:26" ht="12.75">
      <c r="A1858" s="11">
        <v>43745.808692129634</v>
      </c>
      <c r="B1858" s="12" t="str">
        <f>HYPERLINK("https://twitter.com/radihadidvnpi","@radihadidvnpi")</f>
        <v>@radihadidvnpi</v>
      </c>
      <c r="C1858" s="7" t="s">
        <v>11176</v>
      </c>
      <c r="D1858" s="7" t="s">
        <v>388</v>
      </c>
      <c r="E1858" s="12" t="str">
        <f>HYPERLINK("https://twitter.com/radihadidvnpi/status/1181394914279673859","1181394914279673859")</f>
        <v>1181394914279673859</v>
      </c>
      <c r="F1858" s="15"/>
      <c r="G1858" s="14" t="s">
        <v>11177</v>
      </c>
      <c r="H1858" s="8"/>
      <c r="I1858" s="15">
        <v>0</v>
      </c>
      <c r="J1858" s="15">
        <v>0</v>
      </c>
      <c r="K1858" s="12" t="str">
        <f>HYPERLINK("http://twitter.com","Twitter Web Client")</f>
        <v>Twitter Web Client</v>
      </c>
      <c r="L1858" s="16">
        <v>9</v>
      </c>
      <c r="M1858" s="16">
        <v>50</v>
      </c>
      <c r="N1858" s="16">
        <v>0</v>
      </c>
      <c r="O1858" s="17"/>
      <c r="P1858" s="18">
        <v>42532.731828703705</v>
      </c>
      <c r="Q1858" s="8" t="s">
        <v>11180</v>
      </c>
      <c r="R1858" s="7" t="s">
        <v>4008</v>
      </c>
      <c r="S1858" s="8"/>
      <c r="T1858" s="8"/>
      <c r="U1858" s="19" t="str">
        <f>HYPERLINK("https://pbs.twimg.com/profile_images/741790664690700289/fsju6aYI.jpg","View")</f>
        <v>View</v>
      </c>
      <c r="V1858" s="8"/>
      <c r="W1858" s="8"/>
      <c r="X1858" s="8"/>
      <c r="Y1858" s="8"/>
      <c r="Z1858" s="8"/>
    </row>
    <row r="1859" spans="1:26" ht="12.75">
      <c r="A1859" s="11">
        <v>43745.80841435185</v>
      </c>
      <c r="B1859" s="12" t="str">
        <f>HYPERLINK("https://twitter.com/fayyadathathjha","@fayyadathathjha")</f>
        <v>@fayyadathathjha</v>
      </c>
      <c r="C1859" s="13" t="s">
        <v>11183</v>
      </c>
      <c r="D1859" s="13" t="s">
        <v>11184</v>
      </c>
      <c r="E1859" s="12" t="str">
        <f>HYPERLINK("https://twitter.com/fayyadathathjha/status/1181394812588695554","1181394812588695554")</f>
        <v>1181394812588695554</v>
      </c>
      <c r="F1859" s="8"/>
      <c r="G1859" s="14" t="s">
        <v>11185</v>
      </c>
      <c r="H1859" s="8"/>
      <c r="I1859" s="15">
        <v>0</v>
      </c>
      <c r="J1859" s="15">
        <v>0</v>
      </c>
      <c r="K1859" s="12" t="str">
        <f>HYPERLINK("http://twitter.com","Twitter Web Client")</f>
        <v>Twitter Web Client</v>
      </c>
      <c r="L1859" s="16">
        <v>5</v>
      </c>
      <c r="M1859" s="16">
        <v>42</v>
      </c>
      <c r="N1859" s="16">
        <v>0</v>
      </c>
      <c r="O1859" s="17"/>
      <c r="P1859" s="18">
        <v>42429.777106481481</v>
      </c>
      <c r="Q1859" s="7"/>
      <c r="R1859" s="13" t="s">
        <v>4141</v>
      </c>
      <c r="S1859" s="8"/>
      <c r="T1859" s="8"/>
      <c r="U1859" s="19" t="str">
        <f>HYPERLINK("https://pbs.twimg.com/profile_images/704580349515280384/wpB87ZD5.jpg","View")</f>
        <v>View</v>
      </c>
      <c r="V1859" s="8"/>
      <c r="W1859" s="8"/>
      <c r="X1859" s="8"/>
      <c r="Y1859" s="8"/>
      <c r="Z1859" s="8"/>
    </row>
    <row r="1860" spans="1:26" ht="12.75">
      <c r="A1860" s="11">
        <v>43745.807835648149</v>
      </c>
      <c r="B1860" s="12" t="str">
        <f>HYPERLINK("https://twitter.com/helaloqailgqcm","@helaloqailgqcm")</f>
        <v>@helaloqailgqcm</v>
      </c>
      <c r="C1860" s="13" t="s">
        <v>11186</v>
      </c>
      <c r="D1860" s="7" t="s">
        <v>7971</v>
      </c>
      <c r="E1860" s="12" t="str">
        <f>HYPERLINK("https://twitter.com/helaloqailgqcm/status/1181394603729129473","1181394603729129473")</f>
        <v>1181394603729129473</v>
      </c>
      <c r="F1860" s="8"/>
      <c r="G1860" s="14" t="s">
        <v>11187</v>
      </c>
      <c r="H1860" s="8"/>
      <c r="I1860" s="15">
        <v>0</v>
      </c>
      <c r="J1860" s="15">
        <v>0</v>
      </c>
      <c r="K1860" s="12" t="str">
        <f>HYPERLINK("http://twitter.com","Twitter Web Client")</f>
        <v>Twitter Web Client</v>
      </c>
      <c r="L1860" s="16">
        <v>13</v>
      </c>
      <c r="M1860" s="16">
        <v>47</v>
      </c>
      <c r="N1860" s="16">
        <v>0</v>
      </c>
      <c r="O1860" s="17"/>
      <c r="P1860" s="18">
        <v>42533.493206018524</v>
      </c>
      <c r="Q1860" s="7" t="s">
        <v>11188</v>
      </c>
      <c r="R1860" s="13" t="s">
        <v>11189</v>
      </c>
      <c r="S1860" s="8"/>
      <c r="T1860" s="8"/>
      <c r="U1860" s="19" t="str">
        <f>HYPERLINK("https://pbs.twimg.com/profile_images/742066577307238400/0i7559X-.jpg","View")</f>
        <v>View</v>
      </c>
      <c r="V1860" s="8"/>
      <c r="W1860" s="8"/>
      <c r="X1860" s="8"/>
      <c r="Y1860" s="8"/>
      <c r="Z1860" s="8"/>
    </row>
    <row r="1861" spans="1:26" ht="12.75">
      <c r="A1861" s="11">
        <v>43745.807395833333</v>
      </c>
      <c r="B1861" s="12" t="str">
        <f>HYPERLINK("https://twitter.com/soltanomashayla","@soltanomashayla")</f>
        <v>@soltanomashayla</v>
      </c>
      <c r="C1861" s="7" t="s">
        <v>11190</v>
      </c>
      <c r="D1861" s="7" t="s">
        <v>394</v>
      </c>
      <c r="E1861" s="12" t="str">
        <f>HYPERLINK("https://twitter.com/soltanomashayla/status/1181394443850702850","1181394443850702850")</f>
        <v>1181394443850702850</v>
      </c>
      <c r="F1861" s="15"/>
      <c r="G1861" s="14" t="s">
        <v>11191</v>
      </c>
      <c r="H1861" s="8"/>
      <c r="I1861" s="15">
        <v>0</v>
      </c>
      <c r="J1861" s="15">
        <v>0</v>
      </c>
      <c r="K1861" s="12" t="str">
        <f>HYPERLINK("http://twitter.com","Twitter Web Client")</f>
        <v>Twitter Web Client</v>
      </c>
      <c r="L1861" s="16">
        <v>16</v>
      </c>
      <c r="M1861" s="16">
        <v>44</v>
      </c>
      <c r="N1861" s="16">
        <v>0</v>
      </c>
      <c r="O1861" s="17"/>
      <c r="P1861" s="18">
        <v>42529.004305555558</v>
      </c>
      <c r="Q1861" s="8" t="s">
        <v>11192</v>
      </c>
      <c r="R1861" s="7" t="s">
        <v>11193</v>
      </c>
      <c r="S1861" s="8"/>
      <c r="T1861" s="8"/>
      <c r="U1861" s="19" t="str">
        <f>HYPERLINK("https://pbs.twimg.com/profile_images/740439856057356288/4dgDCjoh.jpg","View")</f>
        <v>View</v>
      </c>
      <c r="V1861" s="8"/>
      <c r="W1861" s="8"/>
      <c r="X1861" s="8"/>
      <c r="Y1861" s="8"/>
      <c r="Z1861" s="8"/>
    </row>
    <row r="1862" spans="1:26" ht="12.75">
      <c r="A1862" s="11">
        <v>43745.806828703702</v>
      </c>
      <c r="B1862" s="12" t="str">
        <f>HYPERLINK("https://twitter.com/elewihamishybgq","@elewihamishybgq")</f>
        <v>@elewihamishybgq</v>
      </c>
      <c r="C1862" s="7" t="s">
        <v>11194</v>
      </c>
      <c r="D1862" s="13" t="s">
        <v>5820</v>
      </c>
      <c r="E1862" s="12" t="str">
        <f>HYPERLINK("https://twitter.com/elewihamishybgq/status/1181394238870900738","1181394238870900738")</f>
        <v>1181394238870900738</v>
      </c>
      <c r="F1862" s="15"/>
      <c r="G1862" s="14" t="s">
        <v>11195</v>
      </c>
      <c r="H1862" s="8"/>
      <c r="I1862" s="15">
        <v>0</v>
      </c>
      <c r="J1862" s="15">
        <v>0</v>
      </c>
      <c r="K1862" s="12" t="str">
        <f>HYPERLINK("http://twitter.com","Twitter Web Client")</f>
        <v>Twitter Web Client</v>
      </c>
      <c r="L1862" s="16">
        <v>8</v>
      </c>
      <c r="M1862" s="16">
        <v>44</v>
      </c>
      <c r="N1862" s="16">
        <v>0</v>
      </c>
      <c r="O1862" s="17"/>
      <c r="P1862" s="18">
        <v>42533.467083333337</v>
      </c>
      <c r="Q1862" s="8" t="s">
        <v>11196</v>
      </c>
      <c r="R1862" s="7" t="s">
        <v>11197</v>
      </c>
      <c r="S1862" s="8"/>
      <c r="T1862" s="8"/>
      <c r="U1862" s="19" t="str">
        <f>HYPERLINK("https://pbs.twimg.com/profile_images/742057104266166272/nPocZ1ix.jpg","View")</f>
        <v>View</v>
      </c>
      <c r="V1862" s="8"/>
      <c r="W1862" s="8"/>
      <c r="X1862" s="8"/>
      <c r="Y1862" s="8"/>
      <c r="Z1862" s="8"/>
    </row>
    <row r="1863" spans="1:26" ht="12.75">
      <c r="A1863" s="11">
        <v>43745.801921296297</v>
      </c>
      <c r="B1863" s="12" t="str">
        <f>HYPERLINK("https://twitter.com/hashemyafeaduup","@hashemyafeaduup")</f>
        <v>@hashemyafeaduup</v>
      </c>
      <c r="C1863" s="13" t="s">
        <v>11198</v>
      </c>
      <c r="D1863" s="13" t="s">
        <v>11199</v>
      </c>
      <c r="E1863" s="12" t="str">
        <f>HYPERLINK("https://twitter.com/hashemyafeaduup/status/1181392459840008192","1181392459840008192")</f>
        <v>1181392459840008192</v>
      </c>
      <c r="F1863" s="8"/>
      <c r="G1863" s="14" t="s">
        <v>11200</v>
      </c>
      <c r="H1863" s="8"/>
      <c r="I1863" s="15">
        <v>0</v>
      </c>
      <c r="J1863" s="15">
        <v>0</v>
      </c>
      <c r="K1863" s="12" t="str">
        <f>HYPERLINK("http://twitter.com","Twitter Web Client")</f>
        <v>Twitter Web Client</v>
      </c>
      <c r="L1863" s="16">
        <v>5</v>
      </c>
      <c r="M1863" s="16">
        <v>41</v>
      </c>
      <c r="N1863" s="16">
        <v>0</v>
      </c>
      <c r="O1863" s="17"/>
      <c r="P1863" s="18">
        <v>42429.540590277778</v>
      </c>
      <c r="Q1863" s="7"/>
      <c r="R1863" s="13" t="s">
        <v>11201</v>
      </c>
      <c r="S1863" s="8"/>
      <c r="T1863" s="8"/>
      <c r="U1863" s="19" t="str">
        <f>HYPERLINK("https://pbs.twimg.com/profile_images/704519997197041664/Eek0CCia.jpg","View")</f>
        <v>View</v>
      </c>
      <c r="V1863" s="8"/>
      <c r="W1863" s="8"/>
      <c r="X1863" s="8"/>
      <c r="Y1863" s="8"/>
      <c r="Z1863" s="8"/>
    </row>
    <row r="1864" spans="1:26" ht="12.75">
      <c r="A1864" s="11">
        <v>43745.797210648147</v>
      </c>
      <c r="B1864" s="12" t="str">
        <f>HYPERLINK("https://twitter.com/akramnasserbaig","@akramnasserbaig")</f>
        <v>@akramnasserbaig</v>
      </c>
      <c r="C1864" s="7" t="s">
        <v>11202</v>
      </c>
      <c r="D1864" s="7" t="s">
        <v>428</v>
      </c>
      <c r="E1864" s="12" t="str">
        <f>HYPERLINK("https://twitter.com/akramnasserbaig/status/1181390753613930508","1181390753613930508")</f>
        <v>1181390753613930508</v>
      </c>
      <c r="F1864" s="15"/>
      <c r="G1864" s="14" t="s">
        <v>11204</v>
      </c>
      <c r="H1864" s="8"/>
      <c r="I1864" s="15">
        <v>0</v>
      </c>
      <c r="J1864" s="15">
        <v>0</v>
      </c>
      <c r="K1864" s="12" t="str">
        <f>HYPERLINK("http://twitter.com","Twitter Web Client")</f>
        <v>Twitter Web Client</v>
      </c>
      <c r="L1864" s="16">
        <v>0</v>
      </c>
      <c r="M1864" s="16">
        <v>39</v>
      </c>
      <c r="N1864" s="16">
        <v>0</v>
      </c>
      <c r="O1864" s="17"/>
      <c r="P1864" s="18">
        <v>42474.777962962966</v>
      </c>
      <c r="Q1864" s="8" t="s">
        <v>3986</v>
      </c>
      <c r="R1864" s="7" t="s">
        <v>11206</v>
      </c>
      <c r="S1864" s="8"/>
      <c r="T1864" s="8"/>
      <c r="U1864" s="19" t="str">
        <f>HYPERLINK("https://pbs.twimg.com/profile_images/721184168235909120/BuC9XI6j.jpg","View")</f>
        <v>View</v>
      </c>
      <c r="V1864" s="8"/>
      <c r="W1864" s="8"/>
      <c r="X1864" s="8"/>
      <c r="Y1864" s="8"/>
      <c r="Z1864" s="8"/>
    </row>
    <row r="1865" spans="1:26" ht="12.75">
      <c r="A1865" s="11">
        <v>43745.795451388884</v>
      </c>
      <c r="B1865" s="12" t="str">
        <f>HYPERLINK("https://twitter.com/ayeshmahdiygcn","@ayeshmahdiygcn")</f>
        <v>@ayeshmahdiygcn</v>
      </c>
      <c r="C1865" s="13" t="s">
        <v>11208</v>
      </c>
      <c r="D1865" s="7" t="s">
        <v>434</v>
      </c>
      <c r="E1865" s="12" t="str">
        <f>HYPERLINK("https://twitter.com/ayeshmahdiygcn/status/1181390117962952704","1181390117962952704")</f>
        <v>1181390117962952704</v>
      </c>
      <c r="F1865" s="8"/>
      <c r="G1865" s="14" t="s">
        <v>11209</v>
      </c>
      <c r="H1865" s="8"/>
      <c r="I1865" s="15">
        <v>0</v>
      </c>
      <c r="J1865" s="15">
        <v>0</v>
      </c>
      <c r="K1865" s="12" t="str">
        <f>HYPERLINK("http://twitter.com","Twitter Web Client")</f>
        <v>Twitter Web Client</v>
      </c>
      <c r="L1865" s="16">
        <v>3</v>
      </c>
      <c r="M1865" s="16">
        <v>39</v>
      </c>
      <c r="N1865" s="16">
        <v>0</v>
      </c>
      <c r="O1865" s="17"/>
      <c r="P1865" s="18">
        <v>42459.994594907403</v>
      </c>
      <c r="Q1865" s="7" t="s">
        <v>11213</v>
      </c>
      <c r="R1865" s="13" t="s">
        <v>11214</v>
      </c>
      <c r="S1865" s="8"/>
      <c r="T1865" s="8"/>
      <c r="U1865" s="19" t="str">
        <f>HYPERLINK("https://pbs.twimg.com/profile_images/715700419784220672/0us6M7zQ.jpg","View")</f>
        <v>View</v>
      </c>
      <c r="V1865" s="8"/>
      <c r="W1865" s="8"/>
      <c r="X1865" s="8"/>
      <c r="Y1865" s="8"/>
      <c r="Z1865" s="8"/>
    </row>
    <row r="1866" spans="1:26" ht="12.75">
      <c r="A1866" s="11">
        <v>43745.795173611114</v>
      </c>
      <c r="B1866" s="12" t="str">
        <f>HYPERLINK("https://twitter.com/salahmeadyble","@salahmeadyble")</f>
        <v>@salahmeadyble</v>
      </c>
      <c r="C1866" s="13" t="s">
        <v>11216</v>
      </c>
      <c r="D1866" s="7" t="s">
        <v>11217</v>
      </c>
      <c r="E1866" s="12" t="str">
        <f>HYPERLINK("https://twitter.com/salahmeadyble/status/1181390016200790018","1181390016200790018")</f>
        <v>1181390016200790018</v>
      </c>
      <c r="F1866" s="8"/>
      <c r="G1866" s="14" t="s">
        <v>11218</v>
      </c>
      <c r="H1866" s="8"/>
      <c r="I1866" s="15">
        <v>0</v>
      </c>
      <c r="J1866" s="15">
        <v>0</v>
      </c>
      <c r="K1866" s="12" t="str">
        <f>HYPERLINK("http://twitter.com","Twitter Web Client")</f>
        <v>Twitter Web Client</v>
      </c>
      <c r="L1866" s="16">
        <v>3</v>
      </c>
      <c r="M1866" s="16">
        <v>37</v>
      </c>
      <c r="N1866" s="16">
        <v>0</v>
      </c>
      <c r="O1866" s="17"/>
      <c r="P1866" s="18">
        <v>42491.953773148147</v>
      </c>
      <c r="Q1866" s="7" t="s">
        <v>10913</v>
      </c>
      <c r="R1866" s="13" t="s">
        <v>11222</v>
      </c>
      <c r="S1866" s="8"/>
      <c r="T1866" s="8"/>
      <c r="U1866" s="19" t="str">
        <f>HYPERLINK("https://pbs.twimg.com/profile_images/727014283092086784/DCXWPjeK.jpg","View")</f>
        <v>View</v>
      </c>
      <c r="V1866" s="8"/>
      <c r="W1866" s="8"/>
      <c r="X1866" s="8"/>
      <c r="Y1866" s="8"/>
      <c r="Z1866" s="8"/>
    </row>
    <row r="1867" spans="1:26" ht="12.75">
      <c r="A1867" s="11">
        <v>43745.792708333334</v>
      </c>
      <c r="B1867" s="12" t="str">
        <f>HYPERLINK("https://twitter.com/ayeshmaterixmle","@ayeshmaterixmle")</f>
        <v>@ayeshmaterixmle</v>
      </c>
      <c r="C1867" s="7" t="s">
        <v>11223</v>
      </c>
      <c r="D1867" s="13" t="s">
        <v>455</v>
      </c>
      <c r="E1867" s="12" t="str">
        <f>HYPERLINK("https://twitter.com/ayeshmaterixmle/status/1181389123216691201","1181389123216691201")</f>
        <v>1181389123216691201</v>
      </c>
      <c r="F1867" s="15"/>
      <c r="G1867" s="14" t="s">
        <v>11226</v>
      </c>
      <c r="H1867" s="8"/>
      <c r="I1867" s="15">
        <v>0</v>
      </c>
      <c r="J1867" s="15">
        <v>0</v>
      </c>
      <c r="K1867" s="12" t="str">
        <f>HYPERLINK("http://twitter.com","Twitter Web Client")</f>
        <v>Twitter Web Client</v>
      </c>
      <c r="L1867" s="16">
        <v>11</v>
      </c>
      <c r="M1867" s="16">
        <v>43</v>
      </c>
      <c r="N1867" s="16">
        <v>0</v>
      </c>
      <c r="O1867" s="17"/>
      <c r="P1867" s="18">
        <v>42529.003217592588</v>
      </c>
      <c r="Q1867" s="8" t="s">
        <v>11227</v>
      </c>
      <c r="R1867" s="7" t="s">
        <v>10880</v>
      </c>
      <c r="S1867" s="8"/>
      <c r="T1867" s="8"/>
      <c r="U1867" s="19" t="str">
        <f>HYPERLINK("https://pbs.twimg.com/profile_images/740439459867529217/i4iJeuVp.jpg","View")</f>
        <v>View</v>
      </c>
      <c r="V1867" s="8"/>
      <c r="W1867" s="8"/>
      <c r="X1867" s="8"/>
      <c r="Y1867" s="8"/>
      <c r="Z1867" s="8"/>
    </row>
    <row r="1868" spans="1:26" ht="12.75">
      <c r="A1868" s="11">
        <v>43745.792141203703</v>
      </c>
      <c r="B1868" s="12" t="str">
        <f>HYPERLINK("https://twitter.com/magedsefeddurzn","@magedsefeddurzn")</f>
        <v>@magedsefeddurzn</v>
      </c>
      <c r="C1868" s="7" t="s">
        <v>11231</v>
      </c>
      <c r="D1868" s="7" t="s">
        <v>5872</v>
      </c>
      <c r="E1868" s="12" t="str">
        <f>HYPERLINK("https://twitter.com/magedsefeddurzn/status/1181388917863600128","1181388917863600128")</f>
        <v>1181388917863600128</v>
      </c>
      <c r="F1868" s="15"/>
      <c r="G1868" s="14" t="s">
        <v>11232</v>
      </c>
      <c r="H1868" s="8"/>
      <c r="I1868" s="15">
        <v>0</v>
      </c>
      <c r="J1868" s="15">
        <v>0</v>
      </c>
      <c r="K1868" s="12" t="str">
        <f>HYPERLINK("http://twitter.com","Twitter Web Client")</f>
        <v>Twitter Web Client</v>
      </c>
      <c r="L1868" s="16">
        <v>14</v>
      </c>
      <c r="M1868" s="16">
        <v>47</v>
      </c>
      <c r="N1868" s="16">
        <v>0</v>
      </c>
      <c r="O1868" s="17"/>
      <c r="P1868" s="18">
        <v>42529.505879629629</v>
      </c>
      <c r="Q1868" s="8" t="s">
        <v>11235</v>
      </c>
      <c r="R1868" s="7" t="s">
        <v>4510</v>
      </c>
      <c r="S1868" s="8"/>
      <c r="T1868" s="8"/>
      <c r="U1868" s="19" t="str">
        <f>HYPERLINK("https://pbs.twimg.com/profile_images/740621625683480577/PVwtpAoo.jpg","View")</f>
        <v>View</v>
      </c>
      <c r="V1868" s="8"/>
      <c r="W1868" s="8"/>
      <c r="X1868" s="8"/>
      <c r="Y1868" s="8"/>
      <c r="Z1868" s="8"/>
    </row>
    <row r="1869" spans="1:26" ht="12.75">
      <c r="A1869" s="11">
        <v>43745.790949074071</v>
      </c>
      <c r="B1869" s="12" t="str">
        <f>HYPERLINK("https://twitter.com/rakanneamitjzp","@rakanneamitjzp")</f>
        <v>@rakanneamitjzp</v>
      </c>
      <c r="C1869" s="13" t="s">
        <v>11244</v>
      </c>
      <c r="D1869" s="13" t="s">
        <v>11245</v>
      </c>
      <c r="E1869" s="12" t="str">
        <f>HYPERLINK("https://twitter.com/rakanneamitjzp/status/1181388482599690241","1181388482599690241")</f>
        <v>1181388482599690241</v>
      </c>
      <c r="F1869" s="8"/>
      <c r="G1869" s="14" t="s">
        <v>11246</v>
      </c>
      <c r="H1869" s="8"/>
      <c r="I1869" s="15">
        <v>0</v>
      </c>
      <c r="J1869" s="15">
        <v>0</v>
      </c>
      <c r="K1869" s="12" t="str">
        <f>HYPERLINK("http://twitter.com","Twitter Web Client")</f>
        <v>Twitter Web Client</v>
      </c>
      <c r="L1869" s="16">
        <v>5</v>
      </c>
      <c r="M1869" s="16">
        <v>41</v>
      </c>
      <c r="N1869" s="16">
        <v>0</v>
      </c>
      <c r="O1869" s="17"/>
      <c r="P1869" s="18">
        <v>42429.672048611115</v>
      </c>
      <c r="Q1869" s="8"/>
      <c r="R1869" s="8" t="s">
        <v>11249</v>
      </c>
      <c r="S1869" s="8"/>
      <c r="T1869" s="8"/>
      <c r="U1869" s="19" t="str">
        <f>HYPERLINK("https://pbs.twimg.com/profile_images/704540849556869120/moUgLB-f.jpg","View")</f>
        <v>View</v>
      </c>
      <c r="V1869" s="8"/>
      <c r="W1869" s="8"/>
      <c r="X1869" s="8"/>
      <c r="Y1869" s="8"/>
      <c r="Z1869" s="8"/>
    </row>
    <row r="1870" spans="1:26" ht="12.75">
      <c r="A1870" s="11">
        <v>43745.790671296301</v>
      </c>
      <c r="B1870" s="12" t="str">
        <f>HYPERLINK("https://twitter.com/yahiaowaidmpcm","@yahiaowaidmpcm")</f>
        <v>@yahiaowaidmpcm</v>
      </c>
      <c r="C1870" s="7" t="s">
        <v>11251</v>
      </c>
      <c r="D1870" s="7" t="s">
        <v>5887</v>
      </c>
      <c r="E1870" s="12" t="str">
        <f>HYPERLINK("https://twitter.com/yahiaowaidmpcm/status/1181388383018475527","1181388383018475527")</f>
        <v>1181388383018475527</v>
      </c>
      <c r="F1870" s="15"/>
      <c r="G1870" s="14" t="s">
        <v>11252</v>
      </c>
      <c r="H1870" s="8"/>
      <c r="I1870" s="15">
        <v>0</v>
      </c>
      <c r="J1870" s="15">
        <v>0</v>
      </c>
      <c r="K1870" s="12" t="str">
        <f>HYPERLINK("http://twitter.com","Twitter Web Client")</f>
        <v>Twitter Web Client</v>
      </c>
      <c r="L1870" s="16">
        <v>0</v>
      </c>
      <c r="M1870" s="16">
        <v>40</v>
      </c>
      <c r="N1870" s="16">
        <v>0</v>
      </c>
      <c r="O1870" s="17"/>
      <c r="P1870" s="18">
        <v>42465.220312500001</v>
      </c>
      <c r="Q1870" s="8" t="s">
        <v>4575</v>
      </c>
      <c r="R1870" s="7" t="s">
        <v>11254</v>
      </c>
      <c r="S1870" s="8"/>
      <c r="T1870" s="8"/>
      <c r="U1870" s="19" t="str">
        <f>HYPERLINK("https://pbs.twimg.com/profile_images/717870795180130304/x3jj5wMu.jpg","View")</f>
        <v>View</v>
      </c>
      <c r="V1870" s="8"/>
      <c r="W1870" s="8"/>
      <c r="X1870" s="8"/>
      <c r="Y1870" s="8"/>
      <c r="Z1870" s="8"/>
    </row>
    <row r="1871" spans="1:26" ht="12.75">
      <c r="A1871" s="11">
        <v>43745.788541666669</v>
      </c>
      <c r="B1871" s="12" t="str">
        <f>HYPERLINK("https://twitter.com/sororegeliujwn","@sororegeliujwn")</f>
        <v>@sororegeliujwn</v>
      </c>
      <c r="C1871" s="13" t="s">
        <v>11255</v>
      </c>
      <c r="D1871" s="13" t="s">
        <v>11256</v>
      </c>
      <c r="E1871" s="12" t="str">
        <f>HYPERLINK("https://twitter.com/sororegeliujwn/status/1181387613674070018","1181387613674070018")</f>
        <v>1181387613674070018</v>
      </c>
      <c r="F1871" s="8"/>
      <c r="G1871" s="14" t="s">
        <v>11259</v>
      </c>
      <c r="H1871" s="8"/>
      <c r="I1871" s="15">
        <v>0</v>
      </c>
      <c r="J1871" s="15">
        <v>0</v>
      </c>
      <c r="K1871" s="12" t="str">
        <f>HYPERLINK("http://twitter.com","Twitter Web Client")</f>
        <v>Twitter Web Client</v>
      </c>
      <c r="L1871" s="16">
        <v>3</v>
      </c>
      <c r="M1871" s="16">
        <v>42</v>
      </c>
      <c r="N1871" s="16">
        <v>0</v>
      </c>
      <c r="O1871" s="17"/>
      <c r="P1871" s="18">
        <v>42429.568020833336</v>
      </c>
      <c r="Q1871" s="8"/>
      <c r="R1871" s="8" t="s">
        <v>11155</v>
      </c>
      <c r="S1871" s="8"/>
      <c r="T1871" s="8"/>
      <c r="U1871" s="19" t="str">
        <f>HYPERLINK("https://pbs.twimg.com/profile_images/704529391989030912/ThTNype4.jpg","View")</f>
        <v>View</v>
      </c>
      <c r="V1871" s="8"/>
      <c r="W1871" s="8"/>
      <c r="X1871" s="8"/>
      <c r="Y1871" s="8"/>
      <c r="Z1871" s="8"/>
    </row>
    <row r="1872" spans="1:26" ht="12.75">
      <c r="A1872" s="11">
        <v>43745.784918981481</v>
      </c>
      <c r="B1872" s="12" t="str">
        <f>HYPERLINK("https://twitter.com/htandrew","@htandrew")</f>
        <v>@htandrew</v>
      </c>
      <c r="C1872" s="13" t="s">
        <v>11262</v>
      </c>
      <c r="D1872" s="13" t="s">
        <v>11263</v>
      </c>
      <c r="E1872" s="12" t="str">
        <f>HYPERLINK("https://twitter.com/htandrew/status/1181386299388899329","1181386299388899329")</f>
        <v>1181386299388899329</v>
      </c>
      <c r="F1872" s="14" t="s">
        <v>11264</v>
      </c>
      <c r="G1872" s="15"/>
      <c r="H1872" s="8"/>
      <c r="I1872" s="15">
        <v>1</v>
      </c>
      <c r="J1872" s="15">
        <v>2</v>
      </c>
      <c r="K1872" s="12" t="str">
        <f>HYPERLINK("http://twitter.com/download/android","Twitter for Android")</f>
        <v>Twitter for Android</v>
      </c>
      <c r="L1872" s="16">
        <v>3076</v>
      </c>
      <c r="M1872" s="16">
        <v>4954</v>
      </c>
      <c r="N1872" s="16">
        <v>7</v>
      </c>
      <c r="O1872" s="17"/>
      <c r="P1872" s="18">
        <v>40824.903379629628</v>
      </c>
      <c r="Q1872" s="8" t="s">
        <v>8323</v>
      </c>
      <c r="R1872" s="8" t="s">
        <v>11267</v>
      </c>
      <c r="S1872" s="8"/>
      <c r="T1872" s="8"/>
      <c r="U1872" s="19" t="str">
        <f>HYPERLINK("https://pbs.twimg.com/profile_images/920865722334695430/TnSmw1w9.jpg","View")</f>
        <v>View</v>
      </c>
      <c r="V1872" s="8"/>
      <c r="W1872" s="8"/>
      <c r="X1872" s="8"/>
      <c r="Y1872" s="8"/>
      <c r="Z1872" s="8"/>
    </row>
    <row r="1873" spans="1:26" ht="12.75">
      <c r="A1873" s="11">
        <v>43745.782951388886</v>
      </c>
      <c r="B1873" s="12" t="str">
        <f>HYPERLINK("https://twitter.com/salemnayefapsw","@salemnayefapsw")</f>
        <v>@salemnayefapsw</v>
      </c>
      <c r="C1873" s="7" t="s">
        <v>11269</v>
      </c>
      <c r="D1873" s="13" t="s">
        <v>5924</v>
      </c>
      <c r="E1873" s="12" t="str">
        <f>HYPERLINK("https://twitter.com/salemnayefapsw/status/1181385584260141056","1181385584260141056")</f>
        <v>1181385584260141056</v>
      </c>
      <c r="F1873" s="15"/>
      <c r="G1873" s="14" t="s">
        <v>11270</v>
      </c>
      <c r="H1873" s="8"/>
      <c r="I1873" s="15">
        <v>0</v>
      </c>
      <c r="J1873" s="15">
        <v>0</v>
      </c>
      <c r="K1873" s="12" t="str">
        <f>HYPERLINK("http://twitter.com","Twitter Web Client")</f>
        <v>Twitter Web Client</v>
      </c>
      <c r="L1873" s="16">
        <v>3</v>
      </c>
      <c r="M1873" s="16">
        <v>39</v>
      </c>
      <c r="N1873" s="16">
        <v>0</v>
      </c>
      <c r="O1873" s="17"/>
      <c r="P1873" s="18">
        <v>42429.690937499996</v>
      </c>
      <c r="Q1873" s="8"/>
      <c r="R1873" s="7" t="s">
        <v>11273</v>
      </c>
      <c r="S1873" s="8"/>
      <c r="T1873" s="8"/>
      <c r="U1873" s="19" t="str">
        <f>HYPERLINK("https://pbs.twimg.com/profile_images/704547932368977920/1CoEXc0w.jpg","View")</f>
        <v>View</v>
      </c>
      <c r="V1873" s="8"/>
      <c r="W1873" s="8"/>
      <c r="X1873" s="8"/>
      <c r="Y1873" s="8"/>
      <c r="Z1873" s="8"/>
    </row>
    <row r="1874" spans="1:26" ht="12.75">
      <c r="A1874" s="11">
        <v>43745.781759259262</v>
      </c>
      <c r="B1874" s="12" t="str">
        <f>HYPERLINK("https://twitter.com/ProClone324","@ProClone324")</f>
        <v>@ProClone324</v>
      </c>
      <c r="C1874" s="13" t="s">
        <v>11274</v>
      </c>
      <c r="D1874" s="7" t="s">
        <v>11275</v>
      </c>
      <c r="E1874" s="12" t="str">
        <f>HYPERLINK("https://twitter.com/ProClone324/status/1181385155098882048","1181385155098882048")</f>
        <v>1181385155098882048</v>
      </c>
      <c r="F1874" s="14" t="s">
        <v>11277</v>
      </c>
      <c r="G1874" s="15"/>
      <c r="H1874" s="8"/>
      <c r="I1874" s="15">
        <v>0</v>
      </c>
      <c r="J1874" s="15">
        <v>0</v>
      </c>
      <c r="K1874" s="12" t="str">
        <f>HYPERLINK("http://twitter.com/download/iphone","Twitter for iPhone")</f>
        <v>Twitter for iPhone</v>
      </c>
      <c r="L1874" s="16">
        <v>39</v>
      </c>
      <c r="M1874" s="16">
        <v>46</v>
      </c>
      <c r="N1874" s="16">
        <v>1</v>
      </c>
      <c r="O1874" s="17"/>
      <c r="P1874" s="18">
        <v>41754.593472222223</v>
      </c>
      <c r="Q1874" s="7"/>
      <c r="R1874" s="13"/>
      <c r="S1874" s="8"/>
      <c r="T1874" s="8"/>
      <c r="U1874" s="20" t="s">
        <v>354</v>
      </c>
      <c r="V1874" s="8"/>
      <c r="W1874" s="8"/>
      <c r="X1874" s="8"/>
      <c r="Y1874" s="8"/>
      <c r="Z1874" s="8"/>
    </row>
    <row r="1875" spans="1:26" ht="12.75">
      <c r="A1875" s="11">
        <v>43745.779513888891</v>
      </c>
      <c r="B1875" s="12" t="str">
        <f>HYPERLINK("https://twitter.com/okailmemaryqbpr","@okailmemaryqbpr")</f>
        <v>@okailmemaryqbpr</v>
      </c>
      <c r="C1875" s="13" t="s">
        <v>11281</v>
      </c>
      <c r="D1875" s="13" t="s">
        <v>11282</v>
      </c>
      <c r="E1875" s="12" t="str">
        <f>HYPERLINK("https://twitter.com/okailmemaryqbpr/status/1181384342293143554","1181384342293143554")</f>
        <v>1181384342293143554</v>
      </c>
      <c r="F1875" s="8"/>
      <c r="G1875" s="14" t="s">
        <v>11283</v>
      </c>
      <c r="H1875" s="8"/>
      <c r="I1875" s="15">
        <v>0</v>
      </c>
      <c r="J1875" s="15">
        <v>0</v>
      </c>
      <c r="K1875" s="12" t="str">
        <f>HYPERLINK("http://twitter.com","Twitter Web Client")</f>
        <v>Twitter Web Client</v>
      </c>
      <c r="L1875" s="16">
        <v>2</v>
      </c>
      <c r="M1875" s="16">
        <v>39</v>
      </c>
      <c r="N1875" s="16">
        <v>0</v>
      </c>
      <c r="O1875" s="17"/>
      <c r="P1875" s="18">
        <v>42467.09888888889</v>
      </c>
      <c r="Q1875" s="8" t="s">
        <v>11285</v>
      </c>
      <c r="R1875" s="8" t="s">
        <v>11286</v>
      </c>
      <c r="S1875" s="8"/>
      <c r="T1875" s="8"/>
      <c r="U1875" s="19" t="str">
        <f>HYPERLINK("https://pbs.twimg.com/profile_images/718302887261179909/kuvUsMVy.jpg","View")</f>
        <v>View</v>
      </c>
      <c r="V1875" s="8"/>
      <c r="W1875" s="8"/>
      <c r="X1875" s="8"/>
      <c r="Y1875" s="8"/>
      <c r="Z1875" s="8"/>
    </row>
    <row r="1876" spans="1:26" ht="12.75">
      <c r="A1876" s="11">
        <v>43745.779224537036</v>
      </c>
      <c r="B1876" s="12" t="str">
        <f>HYPERLINK("https://twitter.com/molkabhazalllkn","@molkabhazalllkn")</f>
        <v>@molkabhazalllkn</v>
      </c>
      <c r="C1876" s="7" t="s">
        <v>11290</v>
      </c>
      <c r="D1876" s="7" t="s">
        <v>5953</v>
      </c>
      <c r="E1876" s="12" t="str">
        <f>HYPERLINK("https://twitter.com/molkabhazalllkn/status/1181384234419793920","1181384234419793920")</f>
        <v>1181384234419793920</v>
      </c>
      <c r="F1876" s="15"/>
      <c r="G1876" s="14" t="s">
        <v>11291</v>
      </c>
      <c r="H1876" s="8"/>
      <c r="I1876" s="15">
        <v>0</v>
      </c>
      <c r="J1876" s="15">
        <v>0</v>
      </c>
      <c r="K1876" s="12" t="str">
        <f>HYPERLINK("http://twitter.com","Twitter Web Client")</f>
        <v>Twitter Web Client</v>
      </c>
      <c r="L1876" s="16">
        <v>0</v>
      </c>
      <c r="M1876" s="16">
        <v>40</v>
      </c>
      <c r="N1876" s="16">
        <v>0</v>
      </c>
      <c r="O1876" s="17"/>
      <c r="P1876" s="18">
        <v>42471.508217592593</v>
      </c>
      <c r="Q1876" s="8" t="s">
        <v>11293</v>
      </c>
      <c r="R1876" s="7" t="s">
        <v>11294</v>
      </c>
      <c r="S1876" s="8"/>
      <c r="T1876" s="8"/>
      <c r="U1876" s="19" t="str">
        <f>HYPERLINK("https://pbs.twimg.com/profile_images/719731390485569537/BI2T5t9S.jpg","View")</f>
        <v>View</v>
      </c>
      <c r="V1876" s="8"/>
      <c r="W1876" s="8"/>
      <c r="X1876" s="8"/>
      <c r="Y1876" s="8"/>
      <c r="Z1876" s="8"/>
    </row>
    <row r="1877" spans="1:26" ht="12.75">
      <c r="A1877" s="11">
        <v>43745.777685185181</v>
      </c>
      <c r="B1877" s="12" t="str">
        <f>HYPERLINK("https://twitter.com/raaddoayeadokx","@raaddoayeadokx")</f>
        <v>@raaddoayeadokx</v>
      </c>
      <c r="C1877" s="13" t="s">
        <v>11297</v>
      </c>
      <c r="D1877" s="7" t="s">
        <v>5968</v>
      </c>
      <c r="E1877" s="12" t="str">
        <f>HYPERLINK("https://twitter.com/raaddoayeadokx/status/1181383676841615360","1181383676841615360")</f>
        <v>1181383676841615360</v>
      </c>
      <c r="F1877" s="8"/>
      <c r="G1877" s="14" t="s">
        <v>11298</v>
      </c>
      <c r="H1877" s="8"/>
      <c r="I1877" s="15">
        <v>0</v>
      </c>
      <c r="J1877" s="15">
        <v>0</v>
      </c>
      <c r="K1877" s="12" t="str">
        <f>HYPERLINK("http://twitter.com","Twitter Web Client")</f>
        <v>Twitter Web Client</v>
      </c>
      <c r="L1877" s="16">
        <v>0</v>
      </c>
      <c r="M1877" s="16">
        <v>39</v>
      </c>
      <c r="N1877" s="16">
        <v>0</v>
      </c>
      <c r="O1877" s="17"/>
      <c r="P1877" s="18">
        <v>42469.514780092592</v>
      </c>
      <c r="Q1877" s="7" t="s">
        <v>11299</v>
      </c>
      <c r="R1877" s="13" t="s">
        <v>11301</v>
      </c>
      <c r="S1877" s="8"/>
      <c r="T1877" s="8"/>
      <c r="U1877" s="19" t="str">
        <f>HYPERLINK("https://pbs.twimg.com/profile_images/719331976386228224/0q1p1Ocy.jpg","View")</f>
        <v>View</v>
      </c>
      <c r="V1877" s="8"/>
      <c r="W1877" s="8"/>
      <c r="X1877" s="8"/>
      <c r="Y1877" s="8"/>
      <c r="Z1877" s="8"/>
    </row>
    <row r="1878" spans="1:26" ht="12.75">
      <c r="A1878" s="11">
        <v>43745.776284722218</v>
      </c>
      <c r="B1878" s="12" t="str">
        <f>HYPERLINK("https://twitter.com/fawwazhamidbdvt","@fawwazhamidbdvt")</f>
        <v>@fawwazhamidbdvt</v>
      </c>
      <c r="C1878" s="13" t="s">
        <v>11302</v>
      </c>
      <c r="D1878" s="13" t="s">
        <v>8044</v>
      </c>
      <c r="E1878" s="12" t="str">
        <f>HYPERLINK("https://twitter.com/fawwazhamidbdvt/status/1181383171121831936","1181383171121831936")</f>
        <v>1181383171121831936</v>
      </c>
      <c r="F1878" s="8"/>
      <c r="G1878" s="14" t="s">
        <v>11305</v>
      </c>
      <c r="H1878" s="8"/>
      <c r="I1878" s="15">
        <v>0</v>
      </c>
      <c r="J1878" s="15">
        <v>0</v>
      </c>
      <c r="K1878" s="12" t="str">
        <f>HYPERLINK("http://twitter.com","Twitter Web Client")</f>
        <v>Twitter Web Client</v>
      </c>
      <c r="L1878" s="16">
        <v>2</v>
      </c>
      <c r="M1878" s="16">
        <v>39</v>
      </c>
      <c r="N1878" s="16">
        <v>0</v>
      </c>
      <c r="O1878" s="17"/>
      <c r="P1878" s="18">
        <v>42469.600949074069</v>
      </c>
      <c r="Q1878" s="8" t="s">
        <v>4367</v>
      </c>
      <c r="R1878" s="8" t="s">
        <v>11307</v>
      </c>
      <c r="S1878" s="8"/>
      <c r="T1878" s="8"/>
      <c r="U1878" s="19" t="str">
        <f>HYPERLINK("https://pbs.twimg.com/profile_images/719365472974684160/GZIexu9n.jpg","View")</f>
        <v>View</v>
      </c>
      <c r="V1878" s="8"/>
      <c r="W1878" s="8"/>
      <c r="X1878" s="8"/>
      <c r="Y1878" s="8"/>
      <c r="Z1878" s="8"/>
    </row>
    <row r="1879" spans="1:26" ht="12.75">
      <c r="A1879" s="11">
        <v>43745.774733796294</v>
      </c>
      <c r="B1879" s="12" t="str">
        <f>HYPERLINK("https://twitter.com/asemgabrjzio","@asemgabrjzio")</f>
        <v>@asemgabrjzio</v>
      </c>
      <c r="C1879" s="7" t="s">
        <v>11309</v>
      </c>
      <c r="D1879" s="7" t="s">
        <v>530</v>
      </c>
      <c r="E1879" s="12" t="str">
        <f>HYPERLINK("https://twitter.com/asemgabrjzio/status/1181382609861001216","1181382609861001216")</f>
        <v>1181382609861001216</v>
      </c>
      <c r="F1879" s="15"/>
      <c r="G1879" s="14" t="s">
        <v>11310</v>
      </c>
      <c r="H1879" s="8"/>
      <c r="I1879" s="15">
        <v>0</v>
      </c>
      <c r="J1879" s="15">
        <v>0</v>
      </c>
      <c r="K1879" s="12" t="str">
        <f>HYPERLINK("http://twitter.com","Twitter Web Client")</f>
        <v>Twitter Web Client</v>
      </c>
      <c r="L1879" s="16">
        <v>1</v>
      </c>
      <c r="M1879" s="16">
        <v>39</v>
      </c>
      <c r="N1879" s="16">
        <v>0</v>
      </c>
      <c r="O1879" s="17"/>
      <c r="P1879" s="18">
        <v>42468.93368055555</v>
      </c>
      <c r="Q1879" s="8" t="s">
        <v>11312</v>
      </c>
      <c r="R1879" s="7" t="s">
        <v>11314</v>
      </c>
      <c r="S1879" s="8"/>
      <c r="T1879" s="8"/>
      <c r="U1879" s="19" t="str">
        <f>HYPERLINK("https://pbs.twimg.com/profile_images/719311314141765632/AixEAmug.jpg","View")</f>
        <v>View</v>
      </c>
      <c r="V1879" s="8"/>
      <c r="W1879" s="8"/>
      <c r="X1879" s="8"/>
      <c r="Y1879" s="8"/>
      <c r="Z1879" s="8"/>
    </row>
    <row r="1880" spans="1:26" ht="12.75">
      <c r="A1880" s="11">
        <v>43745.774456018524</v>
      </c>
      <c r="B1880" s="12" t="str">
        <f>HYPERLINK("https://twitter.com/wasimmertaahidm","@wasimmertaahidm")</f>
        <v>@wasimmertaahidm</v>
      </c>
      <c r="C1880" s="13" t="s">
        <v>11315</v>
      </c>
      <c r="D1880" s="7" t="s">
        <v>11316</v>
      </c>
      <c r="E1880" s="12" t="str">
        <f>HYPERLINK("https://twitter.com/wasimmertaahidm/status/1181382508648288256","1181382508648288256")</f>
        <v>1181382508648288256</v>
      </c>
      <c r="F1880" s="8"/>
      <c r="G1880" s="14" t="s">
        <v>11323</v>
      </c>
      <c r="H1880" s="8"/>
      <c r="I1880" s="15">
        <v>0</v>
      </c>
      <c r="J1880" s="15">
        <v>0</v>
      </c>
      <c r="K1880" s="12" t="str">
        <f>HYPERLINK("http://twitter.com","Twitter Web Client")</f>
        <v>Twitter Web Client</v>
      </c>
      <c r="L1880" s="16">
        <v>1</v>
      </c>
      <c r="M1880" s="16">
        <v>42</v>
      </c>
      <c r="N1880" s="16">
        <v>0</v>
      </c>
      <c r="O1880" s="17"/>
      <c r="P1880" s="18">
        <v>42428.923437500001</v>
      </c>
      <c r="Q1880" s="7"/>
      <c r="R1880" s="13" t="s">
        <v>11325</v>
      </c>
      <c r="S1880" s="8"/>
      <c r="T1880" s="8"/>
      <c r="U1880" s="19" t="str">
        <f>HYPERLINK("https://pbs.twimg.com/profile_images/704487069993852928/z-6MZpu2.jpg","View")</f>
        <v>View</v>
      </c>
      <c r="V1880" s="8"/>
      <c r="W1880" s="8"/>
      <c r="X1880" s="8"/>
      <c r="Y1880" s="8"/>
      <c r="Z1880" s="8"/>
    </row>
    <row r="1881" spans="1:26" ht="12.75">
      <c r="A1881" s="11">
        <v>43745.772187499999</v>
      </c>
      <c r="B1881" s="12" t="str">
        <f>HYPERLINK("https://twitter.com/AceBearstrom","@AceBearstrom")</f>
        <v>@AceBearstrom</v>
      </c>
      <c r="C1881" s="13" t="s">
        <v>11326</v>
      </c>
      <c r="D1881" s="7" t="s">
        <v>11328</v>
      </c>
      <c r="E1881" s="12" t="str">
        <f>HYPERLINK("https://twitter.com/AceBearstrom/status/1181381683951607808","1181381683951607808")</f>
        <v>1181381683951607808</v>
      </c>
      <c r="F1881" s="8"/>
      <c r="G1881" s="14" t="s">
        <v>11330</v>
      </c>
      <c r="H1881" s="8"/>
      <c r="I1881" s="15">
        <v>0</v>
      </c>
      <c r="J1881" s="15">
        <v>6</v>
      </c>
      <c r="K1881" s="12" t="str">
        <f>HYPERLINK("http://twitter.com","Twitter Web Client")</f>
        <v>Twitter Web Client</v>
      </c>
      <c r="L1881" s="16">
        <v>9662</v>
      </c>
      <c r="M1881" s="16">
        <v>9696</v>
      </c>
      <c r="N1881" s="16">
        <v>3</v>
      </c>
      <c r="O1881" s="17"/>
      <c r="P1881" s="18">
        <v>43180.877766203703</v>
      </c>
      <c r="Q1881" s="7"/>
      <c r="R1881" s="13" t="s">
        <v>11331</v>
      </c>
      <c r="S1881" s="8"/>
      <c r="T1881" s="8"/>
      <c r="U1881" s="19" t="str">
        <f>HYPERLINK("https://pbs.twimg.com/profile_images/1149680131780333571/mM0Y1e9Q.png","View")</f>
        <v>View</v>
      </c>
      <c r="V1881" s="8"/>
      <c r="W1881" s="8"/>
      <c r="X1881" s="8"/>
      <c r="Y1881" s="8"/>
      <c r="Z1881" s="8"/>
    </row>
    <row r="1882" spans="1:26" ht="12.75">
      <c r="A1882" s="11">
        <v>43745.771365740744</v>
      </c>
      <c r="B1882" s="12" t="str">
        <f>HYPERLINK("https://twitter.com/mahermoflehkewd","@mahermoflehkewd")</f>
        <v>@mahermoflehkewd</v>
      </c>
      <c r="C1882" s="13" t="s">
        <v>11334</v>
      </c>
      <c r="D1882" s="13" t="s">
        <v>6015</v>
      </c>
      <c r="E1882" s="12" t="str">
        <f>HYPERLINK("https://twitter.com/mahermoflehkewd/status/1181381388106371072","1181381388106371072")</f>
        <v>1181381388106371072</v>
      </c>
      <c r="F1882" s="8"/>
      <c r="G1882" s="14" t="s">
        <v>11335</v>
      </c>
      <c r="H1882" s="8"/>
      <c r="I1882" s="15">
        <v>0</v>
      </c>
      <c r="J1882" s="15">
        <v>0</v>
      </c>
      <c r="K1882" s="12" t="str">
        <f>HYPERLINK("http://twitter.com","Twitter Web Client")</f>
        <v>Twitter Web Client</v>
      </c>
      <c r="L1882" s="16">
        <v>12</v>
      </c>
      <c r="M1882" s="16">
        <v>52</v>
      </c>
      <c r="N1882" s="16">
        <v>0</v>
      </c>
      <c r="O1882" s="17"/>
      <c r="P1882" s="18">
        <v>42532.551365740743</v>
      </c>
      <c r="Q1882" s="7" t="s">
        <v>11039</v>
      </c>
      <c r="R1882" s="13" t="s">
        <v>4040</v>
      </c>
      <c r="S1882" s="8"/>
      <c r="T1882" s="8"/>
      <c r="U1882" s="19" t="str">
        <f>HYPERLINK("https://pbs.twimg.com/profile_images/741725261360693248/NFJQK3b8.jpg","View")</f>
        <v>View</v>
      </c>
      <c r="V1882" s="8"/>
      <c r="W1882" s="8"/>
      <c r="X1882" s="8"/>
      <c r="Y1882" s="8"/>
      <c r="Z1882" s="8"/>
    </row>
    <row r="1883" spans="1:26" ht="12.75">
      <c r="A1883" s="11">
        <v>43745.770196759258</v>
      </c>
      <c r="B1883" s="12" t="str">
        <f>HYPERLINK("https://twitter.com/mahmodbengodkbd","@mahmodbengodkbd")</f>
        <v>@mahmodbengodkbd</v>
      </c>
      <c r="C1883" s="13" t="s">
        <v>11340</v>
      </c>
      <c r="D1883" s="7" t="s">
        <v>11341</v>
      </c>
      <c r="E1883" s="12" t="str">
        <f>HYPERLINK("https://twitter.com/mahmodbengodkbd/status/1181380963097628672","1181380963097628672")</f>
        <v>1181380963097628672</v>
      </c>
      <c r="F1883" s="8"/>
      <c r="G1883" s="14" t="s">
        <v>11342</v>
      </c>
      <c r="H1883" s="8"/>
      <c r="I1883" s="15">
        <v>0</v>
      </c>
      <c r="J1883" s="15">
        <v>0</v>
      </c>
      <c r="K1883" s="12" t="str">
        <f>HYPERLINK("http://twitter.com","Twitter Web Client")</f>
        <v>Twitter Web Client</v>
      </c>
      <c r="L1883" s="16">
        <v>6</v>
      </c>
      <c r="M1883" s="16">
        <v>41</v>
      </c>
      <c r="N1883" s="16">
        <v>0</v>
      </c>
      <c r="O1883" s="17"/>
      <c r="P1883" s="18">
        <v>42428.935949074075</v>
      </c>
      <c r="Q1883" s="7"/>
      <c r="R1883" s="13" t="s">
        <v>11344</v>
      </c>
      <c r="S1883" s="8"/>
      <c r="T1883" s="8"/>
      <c r="U1883" s="19" t="str">
        <f>HYPERLINK("https://pbs.twimg.com/profile_images/704491217489420288/tkhAM7lS.jpg","View")</f>
        <v>View</v>
      </c>
      <c r="V1883" s="8"/>
      <c r="W1883" s="8"/>
      <c r="X1883" s="8"/>
      <c r="Y1883" s="8"/>
      <c r="Z1883" s="8"/>
    </row>
    <row r="1884" spans="1:26" ht="12.75">
      <c r="A1884" s="11">
        <v>43745.769189814819</v>
      </c>
      <c r="B1884" s="12" t="str">
        <f>HYPERLINK("https://twitter.com/nezalzaianizrja","@nezalzaianizrja")</f>
        <v>@nezalzaianizrja</v>
      </c>
      <c r="C1884" s="13" t="s">
        <v>11347</v>
      </c>
      <c r="D1884" s="7" t="s">
        <v>551</v>
      </c>
      <c r="E1884" s="12" t="str">
        <f>HYPERLINK("https://twitter.com/nezalzaianizrja/status/1181380600655175680","1181380600655175680")</f>
        <v>1181380600655175680</v>
      </c>
      <c r="F1884" s="8"/>
      <c r="G1884" s="14" t="s">
        <v>11348</v>
      </c>
      <c r="H1884" s="8"/>
      <c r="I1884" s="15">
        <v>0</v>
      </c>
      <c r="J1884" s="15">
        <v>0</v>
      </c>
      <c r="K1884" s="12" t="str">
        <f>HYPERLINK("http://twitter.com","Twitter Web Client")</f>
        <v>Twitter Web Client</v>
      </c>
      <c r="L1884" s="16">
        <v>3</v>
      </c>
      <c r="M1884" s="16">
        <v>40</v>
      </c>
      <c r="N1884" s="16">
        <v>0</v>
      </c>
      <c r="O1884" s="17"/>
      <c r="P1884" s="18">
        <v>42429.551886574074</v>
      </c>
      <c r="Q1884" s="7"/>
      <c r="R1884" s="13" t="s">
        <v>11155</v>
      </c>
      <c r="S1884" s="8"/>
      <c r="T1884" s="8"/>
      <c r="U1884" s="19" t="str">
        <f>HYPERLINK("https://pbs.twimg.com/profile_images/704523770954842112/RBfckp8q.jpg","View")</f>
        <v>View</v>
      </c>
      <c r="V1884" s="8"/>
      <c r="W1884" s="8"/>
      <c r="X1884" s="8"/>
      <c r="Y1884" s="8"/>
      <c r="Z1884" s="8"/>
    </row>
    <row r="1885" spans="1:26" ht="12.75">
      <c r="A1885" s="11">
        <v>43745.766180555554</v>
      </c>
      <c r="B1885" s="12" t="str">
        <f>HYPERLINK("https://twitter.com/samirzahranuora","@samirzahranuora")</f>
        <v>@samirzahranuora</v>
      </c>
      <c r="C1885" s="13" t="s">
        <v>11354</v>
      </c>
      <c r="D1885" s="7" t="s">
        <v>11355</v>
      </c>
      <c r="E1885" s="12" t="str">
        <f>HYPERLINK("https://twitter.com/samirzahranuora/status/1181379509204987904","1181379509204987904")</f>
        <v>1181379509204987904</v>
      </c>
      <c r="F1885" s="8"/>
      <c r="G1885" s="14" t="s">
        <v>11357</v>
      </c>
      <c r="H1885" s="8"/>
      <c r="I1885" s="15">
        <v>0</v>
      </c>
      <c r="J1885" s="15">
        <v>0</v>
      </c>
      <c r="K1885" s="12" t="str">
        <f>HYPERLINK("http://twitter.com","Twitter Web Client")</f>
        <v>Twitter Web Client</v>
      </c>
      <c r="L1885" s="16">
        <v>3</v>
      </c>
      <c r="M1885" s="16">
        <v>42</v>
      </c>
      <c r="N1885" s="16">
        <v>0</v>
      </c>
      <c r="O1885" s="17"/>
      <c r="P1885" s="18">
        <v>42429.537152777775</v>
      </c>
      <c r="Q1885" s="7"/>
      <c r="R1885" s="13" t="s">
        <v>11360</v>
      </c>
      <c r="S1885" s="8"/>
      <c r="T1885" s="8"/>
      <c r="U1885" s="19" t="str">
        <f>HYPERLINK("https://pbs.twimg.com/profile_images/704518748384960513/4rrPeWFC.jpg","View")</f>
        <v>View</v>
      </c>
      <c r="V1885" s="8"/>
      <c r="W1885" s="8"/>
      <c r="X1885" s="8"/>
      <c r="Y1885" s="8"/>
      <c r="Z1885" s="8"/>
    </row>
    <row r="1886" spans="1:26" ht="12.75">
      <c r="A1886" s="11">
        <v>43745.765208333338</v>
      </c>
      <c r="B1886" s="12" t="str">
        <f>HYPERLINK("https://twitter.com/jbourtweet","@jbourtweet")</f>
        <v>@jbourtweet</v>
      </c>
      <c r="C1886" s="13" t="s">
        <v>11361</v>
      </c>
      <c r="D1886" s="13" t="s">
        <v>11362</v>
      </c>
      <c r="E1886" s="12" t="str">
        <f>HYPERLINK("https://twitter.com/jbourtweet/status/1181379156334059521","1181379156334059521")</f>
        <v>1181379156334059521</v>
      </c>
      <c r="F1886" s="14" t="s">
        <v>11364</v>
      </c>
      <c r="G1886" s="15"/>
      <c r="H1886" s="8"/>
      <c r="I1886" s="15">
        <v>0</v>
      </c>
      <c r="J1886" s="15">
        <v>0</v>
      </c>
      <c r="K1886" s="12" t="str">
        <f>HYPERLINK("http://twitter.com/download/android","Twitter for Android")</f>
        <v>Twitter for Android</v>
      </c>
      <c r="L1886" s="16">
        <v>23</v>
      </c>
      <c r="M1886" s="16">
        <v>148</v>
      </c>
      <c r="N1886" s="16">
        <v>0</v>
      </c>
      <c r="O1886" s="17"/>
      <c r="P1886" s="18">
        <v>42534.14539351852</v>
      </c>
      <c r="Q1886" s="13"/>
      <c r="R1886" s="13"/>
      <c r="S1886" s="8"/>
      <c r="T1886" s="8"/>
      <c r="U1886" s="19" t="str">
        <f>HYPERLINK("https://pbs.twimg.com/profile_images/860195400380289024/T4IRmtsX.jpg","View")</f>
        <v>View</v>
      </c>
      <c r="V1886" s="8"/>
      <c r="W1886" s="8"/>
      <c r="X1886" s="8"/>
      <c r="Y1886" s="8"/>
      <c r="Z1886" s="8"/>
    </row>
    <row r="1887" spans="1:26" ht="12.75">
      <c r="A1887" s="11">
        <v>43745.761956018519</v>
      </c>
      <c r="B1887" s="12" t="str">
        <f>HYPERLINK("https://twitter.com/khedrkhalfidufy","@khedrkhalfidufy")</f>
        <v>@khedrkhalfidufy</v>
      </c>
      <c r="C1887" s="13" t="s">
        <v>11368</v>
      </c>
      <c r="D1887" s="13" t="s">
        <v>6066</v>
      </c>
      <c r="E1887" s="12" t="str">
        <f>HYPERLINK("https://twitter.com/khedrkhalfidufy/status/1181377978237902854","1181377978237902854")</f>
        <v>1181377978237902854</v>
      </c>
      <c r="F1887" s="8"/>
      <c r="G1887" s="14" t="s">
        <v>11369</v>
      </c>
      <c r="H1887" s="8"/>
      <c r="I1887" s="15">
        <v>0</v>
      </c>
      <c r="J1887" s="15">
        <v>0</v>
      </c>
      <c r="K1887" s="12" t="str">
        <f>HYPERLINK("http://twitter.com","Twitter Web Client")</f>
        <v>Twitter Web Client</v>
      </c>
      <c r="L1887" s="16">
        <v>3</v>
      </c>
      <c r="M1887" s="16">
        <v>39</v>
      </c>
      <c r="N1887" s="16">
        <v>0</v>
      </c>
      <c r="O1887" s="17"/>
      <c r="P1887" s="18">
        <v>42429.526550925926</v>
      </c>
      <c r="Q1887" s="7"/>
      <c r="R1887" s="13" t="s">
        <v>11370</v>
      </c>
      <c r="S1887" s="8"/>
      <c r="T1887" s="8"/>
      <c r="U1887" s="19" t="str">
        <f>HYPERLINK("https://pbs.twimg.com/profile_images/704515517315330048/dBMyhiH0.jpg","View")</f>
        <v>View</v>
      </c>
      <c r="V1887" s="8"/>
      <c r="W1887" s="8"/>
      <c r="X1887" s="8"/>
      <c r="Y1887" s="8"/>
      <c r="Z1887" s="8"/>
    </row>
    <row r="1888" spans="1:26" ht="12.75">
      <c r="A1888" s="11">
        <v>43745.761388888888</v>
      </c>
      <c r="B1888" s="12" t="str">
        <f>HYPERLINK("https://twitter.com/asemathathioebj","@asemathathioebj")</f>
        <v>@asemathathioebj</v>
      </c>
      <c r="C1888" s="13" t="s">
        <v>11374</v>
      </c>
      <c r="D1888" s="13" t="s">
        <v>588</v>
      </c>
      <c r="E1888" s="12" t="str">
        <f>HYPERLINK("https://twitter.com/asemathathioebj/status/1181377773555912704","1181377773555912704")</f>
        <v>1181377773555912704</v>
      </c>
      <c r="F1888" s="8"/>
      <c r="G1888" s="14" t="s">
        <v>11375</v>
      </c>
      <c r="H1888" s="8"/>
      <c r="I1888" s="15">
        <v>0</v>
      </c>
      <c r="J1888" s="15">
        <v>0</v>
      </c>
      <c r="K1888" s="12" t="str">
        <f>HYPERLINK("http://twitter.com","Twitter Web Client")</f>
        <v>Twitter Web Client</v>
      </c>
      <c r="L1888" s="16">
        <v>3</v>
      </c>
      <c r="M1888" s="16">
        <v>37</v>
      </c>
      <c r="N1888" s="16">
        <v>0</v>
      </c>
      <c r="O1888" s="17"/>
      <c r="P1888" s="18">
        <v>42496.926805555559</v>
      </c>
      <c r="Q1888" s="7" t="s">
        <v>964</v>
      </c>
      <c r="R1888" s="13" t="s">
        <v>11376</v>
      </c>
      <c r="S1888" s="8"/>
      <c r="T1888" s="8"/>
      <c r="U1888" s="19" t="str">
        <f>HYPERLINK("https://pbs.twimg.com/profile_images/728815988477677569/H_tKVbw3.jpg","View")</f>
        <v>View</v>
      </c>
      <c r="V1888" s="8"/>
      <c r="W1888" s="8"/>
      <c r="X1888" s="8"/>
      <c r="Y1888" s="8"/>
      <c r="Z1888" s="8"/>
    </row>
    <row r="1889" spans="1:26" ht="12.75">
      <c r="A1889" s="11">
        <v>43745.759675925925</v>
      </c>
      <c r="B1889" s="12" t="str">
        <f>HYPERLINK("https://twitter.com/abdelwahabzldjd","@abdelwahabzldjd")</f>
        <v>@abdelwahabzldjd</v>
      </c>
      <c r="C1889" s="7" t="s">
        <v>11377</v>
      </c>
      <c r="D1889" s="7" t="s">
        <v>10124</v>
      </c>
      <c r="E1889" s="12" t="str">
        <f>HYPERLINK("https://twitter.com/abdelwahabzldjd/status/1181377152488558593","1181377152488558593")</f>
        <v>1181377152488558593</v>
      </c>
      <c r="F1889" s="8"/>
      <c r="G1889" s="14" t="s">
        <v>11380</v>
      </c>
      <c r="H1889" s="8"/>
      <c r="I1889" s="15">
        <v>0</v>
      </c>
      <c r="J1889" s="15">
        <v>0</v>
      </c>
      <c r="K1889" s="12" t="str">
        <f>HYPERLINK("http://twitter.com","Twitter Web Client")</f>
        <v>Twitter Web Client</v>
      </c>
      <c r="L1889" s="16">
        <v>0</v>
      </c>
      <c r="M1889" s="16">
        <v>39</v>
      </c>
      <c r="N1889" s="16">
        <v>0</v>
      </c>
      <c r="O1889" s="17"/>
      <c r="P1889" s="18">
        <v>42470.924849537041</v>
      </c>
      <c r="Q1889" s="8" t="s">
        <v>4359</v>
      </c>
      <c r="R1889" s="7" t="s">
        <v>11383</v>
      </c>
      <c r="S1889" s="15"/>
      <c r="T1889" s="8"/>
      <c r="U1889" s="19" t="str">
        <f>HYPERLINK("https://pbs.twimg.com/profile_images/719682315715276800/P1yCWA49.jpg","View")</f>
        <v>View</v>
      </c>
      <c r="V1889" s="8"/>
      <c r="W1889" s="8"/>
      <c r="X1889" s="8"/>
      <c r="Y1889" s="8"/>
      <c r="Z1889" s="8"/>
    </row>
    <row r="1890" spans="1:26" ht="12.75">
      <c r="A1890" s="11">
        <v>43745.759398148148</v>
      </c>
      <c r="B1890" s="12" t="str">
        <f>HYPERLINK("https://twitter.com/aboubaidahhtotn","@aboubaidahhtotn")</f>
        <v>@aboubaidahhtotn</v>
      </c>
      <c r="C1890" s="13" t="s">
        <v>11385</v>
      </c>
      <c r="D1890" s="7" t="s">
        <v>7786</v>
      </c>
      <c r="E1890" s="12" t="str">
        <f>HYPERLINK("https://twitter.com/aboubaidahhtotn/status/1181377049761636353","1181377049761636353")</f>
        <v>1181377049761636353</v>
      </c>
      <c r="F1890" s="8"/>
      <c r="G1890" s="14" t="s">
        <v>11386</v>
      </c>
      <c r="H1890" s="8"/>
      <c r="I1890" s="15">
        <v>0</v>
      </c>
      <c r="J1890" s="15">
        <v>0</v>
      </c>
      <c r="K1890" s="12" t="str">
        <f>HYPERLINK("http://twitter.com","Twitter Web Client")</f>
        <v>Twitter Web Client</v>
      </c>
      <c r="L1890" s="16">
        <v>12</v>
      </c>
      <c r="M1890" s="16">
        <v>49</v>
      </c>
      <c r="N1890" s="16">
        <v>0</v>
      </c>
      <c r="O1890" s="17"/>
      <c r="P1890" s="18">
        <v>42533.514074074075</v>
      </c>
      <c r="Q1890" s="7" t="s">
        <v>11389</v>
      </c>
      <c r="R1890" s="13" t="s">
        <v>11390</v>
      </c>
      <c r="S1890" s="8"/>
      <c r="T1890" s="8"/>
      <c r="U1890" s="19" t="str">
        <f>HYPERLINK("https://pbs.twimg.com/profile_images/742074138404237312/dYwkT1Wf.jpg","View")</f>
        <v>View</v>
      </c>
      <c r="V1890" s="8"/>
      <c r="W1890" s="8"/>
      <c r="X1890" s="8"/>
      <c r="Y1890" s="8"/>
      <c r="Z1890" s="8"/>
    </row>
    <row r="1891" spans="1:26" ht="12.75">
      <c r="A1891" s="11">
        <v>43745.757835648154</v>
      </c>
      <c r="B1891" s="12" t="str">
        <f>HYPERLINK("https://twitter.com/fouadalesiraltw","@fouadalesiraltw")</f>
        <v>@fouadalesiraltw</v>
      </c>
      <c r="C1891" s="13" t="s">
        <v>11394</v>
      </c>
      <c r="D1891" s="13" t="s">
        <v>4320</v>
      </c>
      <c r="E1891" s="12" t="str">
        <f>HYPERLINK("https://twitter.com/fouadalesiraltw/status/1181376485061545984","1181376485061545984")</f>
        <v>1181376485061545984</v>
      </c>
      <c r="F1891" s="8"/>
      <c r="G1891" s="14" t="s">
        <v>11395</v>
      </c>
      <c r="H1891" s="8"/>
      <c r="I1891" s="15">
        <v>0</v>
      </c>
      <c r="J1891" s="15">
        <v>0</v>
      </c>
      <c r="K1891" s="12" t="str">
        <f>HYPERLINK("http://twitter.com","Twitter Web Client")</f>
        <v>Twitter Web Client</v>
      </c>
      <c r="L1891" s="16">
        <v>4</v>
      </c>
      <c r="M1891" s="16">
        <v>41</v>
      </c>
      <c r="N1891" s="16">
        <v>0</v>
      </c>
      <c r="O1891" s="17"/>
      <c r="P1891" s="18">
        <v>42428.943981481483</v>
      </c>
      <c r="Q1891" s="7"/>
      <c r="R1891" s="13" t="s">
        <v>11045</v>
      </c>
      <c r="S1891" s="8"/>
      <c r="T1891" s="8"/>
      <c r="U1891" s="19" t="str">
        <f>HYPERLINK("https://pbs.twimg.com/profile_images/704494595875409920/QHeMKBIY.jpg","View")</f>
        <v>View</v>
      </c>
      <c r="V1891" s="8"/>
      <c r="W1891" s="8"/>
      <c r="X1891" s="8"/>
      <c r="Y1891" s="8"/>
      <c r="Z1891" s="8"/>
    </row>
    <row r="1892" spans="1:26" ht="12.75">
      <c r="A1892" s="11">
        <v>43745.757557870369</v>
      </c>
      <c r="B1892" s="12" t="str">
        <f>HYPERLINK("https://twitter.com/abdellatifbkxlg","@abdellatifbkxlg")</f>
        <v>@abdellatifbkxlg</v>
      </c>
      <c r="C1892" s="13" t="s">
        <v>11399</v>
      </c>
      <c r="D1892" s="7" t="s">
        <v>11400</v>
      </c>
      <c r="E1892" s="12" t="str">
        <f>HYPERLINK("https://twitter.com/abdellatifbkxlg/status/1181376385748787200","1181376385748787200")</f>
        <v>1181376385748787200</v>
      </c>
      <c r="F1892" s="8"/>
      <c r="G1892" s="14" t="s">
        <v>11401</v>
      </c>
      <c r="H1892" s="8"/>
      <c r="I1892" s="15">
        <v>0</v>
      </c>
      <c r="J1892" s="15">
        <v>0</v>
      </c>
      <c r="K1892" s="12" t="str">
        <f>HYPERLINK("http://twitter.com","Twitter Web Client")</f>
        <v>Twitter Web Client</v>
      </c>
      <c r="L1892" s="16">
        <v>8</v>
      </c>
      <c r="M1892" s="16">
        <v>37</v>
      </c>
      <c r="N1892" s="16">
        <v>0</v>
      </c>
      <c r="O1892" s="17"/>
      <c r="P1892" s="18">
        <v>42529.448865740742</v>
      </c>
      <c r="Q1892" s="7" t="s">
        <v>4195</v>
      </c>
      <c r="R1892" s="13" t="s">
        <v>4113</v>
      </c>
      <c r="S1892" s="8"/>
      <c r="T1892" s="8"/>
      <c r="U1892" s="19" t="str">
        <f>HYPERLINK("https://pbs.twimg.com/profile_images/740600956811890688/SE-uD_z2.jpg","View")</f>
        <v>View</v>
      </c>
      <c r="V1892" s="8"/>
      <c r="W1892" s="8"/>
      <c r="X1892" s="8"/>
      <c r="Y1892" s="8"/>
      <c r="Z1892" s="8"/>
    </row>
    <row r="1893" spans="1:26" ht="12.75">
      <c r="A1893" s="11">
        <v>43745.756273148145</v>
      </c>
      <c r="B1893" s="12" t="str">
        <f>HYPERLINK("https://twitter.com/kaseddahhaslusy","@kaseddahhaslusy")</f>
        <v>@kaseddahhaslusy</v>
      </c>
      <c r="C1893" s="13" t="s">
        <v>11405</v>
      </c>
      <c r="D1893" s="13" t="s">
        <v>11406</v>
      </c>
      <c r="E1893" s="12" t="str">
        <f>HYPERLINK("https://twitter.com/kaseddahhaslusy/status/1181375917450502145","1181375917450502145")</f>
        <v>1181375917450502145</v>
      </c>
      <c r="F1893" s="8"/>
      <c r="G1893" s="14" t="s">
        <v>11407</v>
      </c>
      <c r="H1893" s="8"/>
      <c r="I1893" s="15">
        <v>0</v>
      </c>
      <c r="J1893" s="15">
        <v>0</v>
      </c>
      <c r="K1893" s="12" t="str">
        <f>HYPERLINK("http://twitter.com","Twitter Web Client")</f>
        <v>Twitter Web Client</v>
      </c>
      <c r="L1893" s="16">
        <v>7</v>
      </c>
      <c r="M1893" s="16">
        <v>47</v>
      </c>
      <c r="N1893" s="16">
        <v>0</v>
      </c>
      <c r="O1893" s="17"/>
      <c r="P1893" s="18">
        <v>42529.722199074073</v>
      </c>
      <c r="Q1893" s="7" t="s">
        <v>10931</v>
      </c>
      <c r="R1893" s="13" t="s">
        <v>11410</v>
      </c>
      <c r="S1893" s="8"/>
      <c r="T1893" s="8"/>
      <c r="U1893" s="19" t="str">
        <f>HYPERLINK("https://pbs.twimg.com/profile_images/740700010606661632/HTQ14HaI.jpg","View")</f>
        <v>View</v>
      </c>
      <c r="V1893" s="8"/>
      <c r="W1893" s="8"/>
      <c r="X1893" s="8"/>
      <c r="Y1893" s="8"/>
      <c r="Z1893" s="8"/>
    </row>
    <row r="1894" spans="1:26" ht="12.75">
      <c r="A1894" s="11">
        <v>43745.755706018521</v>
      </c>
      <c r="B1894" s="12" t="str">
        <f>HYPERLINK("https://twitter.com/hamidanbeatptdd","@hamidanbeatptdd")</f>
        <v>@hamidanbeatptdd</v>
      </c>
      <c r="C1894" s="13" t="s">
        <v>11411</v>
      </c>
      <c r="D1894" s="13" t="s">
        <v>7473</v>
      </c>
      <c r="E1894" s="12" t="str">
        <f>HYPERLINK("https://twitter.com/hamidanbeatptdd/status/1181375711178887168","1181375711178887168")</f>
        <v>1181375711178887168</v>
      </c>
      <c r="F1894" s="8"/>
      <c r="G1894" s="14" t="s">
        <v>11414</v>
      </c>
      <c r="H1894" s="8"/>
      <c r="I1894" s="15">
        <v>0</v>
      </c>
      <c r="J1894" s="15">
        <v>0</v>
      </c>
      <c r="K1894" s="12" t="str">
        <f>HYPERLINK("http://twitter.com","Twitter Web Client")</f>
        <v>Twitter Web Client</v>
      </c>
      <c r="L1894" s="16">
        <v>12</v>
      </c>
      <c r="M1894" s="16">
        <v>43</v>
      </c>
      <c r="N1894" s="16">
        <v>0</v>
      </c>
      <c r="O1894" s="17"/>
      <c r="P1894" s="18">
        <v>42529.021550925929</v>
      </c>
      <c r="Q1894" s="7" t="s">
        <v>11125</v>
      </c>
      <c r="R1894" s="13" t="s">
        <v>11415</v>
      </c>
      <c r="S1894" s="8"/>
      <c r="T1894" s="8"/>
      <c r="U1894" s="19" t="str">
        <f>HYPERLINK("https://pbs.twimg.com/profile_images/740446103565389824/YPrguZgX.jpg","View")</f>
        <v>View</v>
      </c>
      <c r="V1894" s="8"/>
      <c r="W1894" s="8"/>
      <c r="X1894" s="8"/>
      <c r="Y1894" s="8"/>
      <c r="Z1894" s="8"/>
    </row>
    <row r="1895" spans="1:26" ht="12.75">
      <c r="A1895" s="11">
        <v>43745.754965277782</v>
      </c>
      <c r="B1895" s="12" t="str">
        <f>HYPERLINK("https://twitter.com/ateyyabenhatomp","@ateyyabenhatomp")</f>
        <v>@ateyyabenhatomp</v>
      </c>
      <c r="C1895" s="13" t="s">
        <v>11417</v>
      </c>
      <c r="D1895" s="13" t="s">
        <v>5642</v>
      </c>
      <c r="E1895" s="12" t="str">
        <f>HYPERLINK("https://twitter.com/ateyyabenhatomp/status/1181375446144950283","1181375446144950283")</f>
        <v>1181375446144950283</v>
      </c>
      <c r="F1895" s="8"/>
      <c r="G1895" s="14" t="s">
        <v>11418</v>
      </c>
      <c r="H1895" s="8"/>
      <c r="I1895" s="15">
        <v>0</v>
      </c>
      <c r="J1895" s="15">
        <v>0</v>
      </c>
      <c r="K1895" s="12" t="str">
        <f>HYPERLINK("http://twitter.com","Twitter Web Client")</f>
        <v>Twitter Web Client</v>
      </c>
      <c r="L1895" s="16">
        <v>2</v>
      </c>
      <c r="M1895" s="16">
        <v>39</v>
      </c>
      <c r="N1895" s="16">
        <v>0</v>
      </c>
      <c r="O1895" s="17"/>
      <c r="P1895" s="18">
        <v>42468.77648148148</v>
      </c>
      <c r="Q1895" s="13" t="s">
        <v>11039</v>
      </c>
      <c r="R1895" s="13" t="s">
        <v>11294</v>
      </c>
      <c r="S1895" s="8"/>
      <c r="T1895" s="8"/>
      <c r="U1895" s="19" t="str">
        <f>HYPERLINK("https://pbs.twimg.com/profile_images/718667142665801728/r65rguhv.jpg","View")</f>
        <v>View</v>
      </c>
      <c r="V1895" s="8"/>
      <c r="W1895" s="8"/>
      <c r="X1895" s="8"/>
      <c r="Y1895" s="8"/>
      <c r="Z1895" s="8"/>
    </row>
    <row r="1896" spans="1:26" ht="12.75">
      <c r="A1896" s="11">
        <v>43745.753854166665</v>
      </c>
      <c r="B1896" s="12" t="str">
        <f>HYPERLINK("https://twitter.com/nafeawakedismr","@nafeawakedismr")</f>
        <v>@nafeawakedismr</v>
      </c>
      <c r="C1896" s="13" t="s">
        <v>11419</v>
      </c>
      <c r="D1896" s="7" t="s">
        <v>11420</v>
      </c>
      <c r="E1896" s="12" t="str">
        <f>HYPERLINK("https://twitter.com/nafeawakedismr/status/1181375041541419008","1181375041541419008")</f>
        <v>1181375041541419008</v>
      </c>
      <c r="F1896" s="8"/>
      <c r="G1896" s="14" t="s">
        <v>11421</v>
      </c>
      <c r="H1896" s="8"/>
      <c r="I1896" s="15">
        <v>0</v>
      </c>
      <c r="J1896" s="15">
        <v>0</v>
      </c>
      <c r="K1896" s="12" t="str">
        <f>HYPERLINK("http://twitter.com","Twitter Web Client")</f>
        <v>Twitter Web Client</v>
      </c>
      <c r="L1896" s="16">
        <v>2</v>
      </c>
      <c r="M1896" s="16">
        <v>39</v>
      </c>
      <c r="N1896" s="16">
        <v>0</v>
      </c>
      <c r="O1896" s="17"/>
      <c r="P1896" s="18">
        <v>42467.023298611108</v>
      </c>
      <c r="Q1896" s="7" t="s">
        <v>4354</v>
      </c>
      <c r="R1896" s="13" t="s">
        <v>11422</v>
      </c>
      <c r="S1896" s="8"/>
      <c r="T1896" s="8"/>
      <c r="U1896" s="19" t="str">
        <f>HYPERLINK("https://pbs.twimg.com/profile_images/718274876793090048/1Wo7SFfZ.jpg","View")</f>
        <v>View</v>
      </c>
      <c r="V1896" s="8"/>
      <c r="W1896" s="8"/>
      <c r="X1896" s="8"/>
      <c r="Y1896" s="8"/>
      <c r="Z1896" s="8"/>
    </row>
    <row r="1897" spans="1:26" ht="12.75">
      <c r="A1897" s="11">
        <v>43745.752581018518</v>
      </c>
      <c r="B1897" s="12" t="str">
        <f>HYPERLINK("https://twitter.com/abdellatifabtjh","@abdellatifabtjh")</f>
        <v>@abdellatifabtjh</v>
      </c>
      <c r="C1897" s="13" t="s">
        <v>11423</v>
      </c>
      <c r="D1897" s="7" t="s">
        <v>11424</v>
      </c>
      <c r="E1897" s="12" t="str">
        <f>HYPERLINK("https://twitter.com/abdellatifabtjh/status/1181374582244163585","1181374582244163585")</f>
        <v>1181374582244163585</v>
      </c>
      <c r="F1897" s="8"/>
      <c r="G1897" s="14" t="s">
        <v>11425</v>
      </c>
      <c r="H1897" s="8"/>
      <c r="I1897" s="15">
        <v>0</v>
      </c>
      <c r="J1897" s="15">
        <v>0</v>
      </c>
      <c r="K1897" s="12" t="str">
        <f>HYPERLINK("http://twitter.com","Twitter Web Client")</f>
        <v>Twitter Web Client</v>
      </c>
      <c r="L1897" s="16">
        <v>0</v>
      </c>
      <c r="M1897" s="16">
        <v>39</v>
      </c>
      <c r="N1897" s="16">
        <v>0</v>
      </c>
      <c r="O1897" s="17"/>
      <c r="P1897" s="18">
        <v>42464.057881944449</v>
      </c>
      <c r="Q1897" s="7" t="s">
        <v>11426</v>
      </c>
      <c r="R1897" s="13" t="s">
        <v>11427</v>
      </c>
      <c r="S1897" s="8"/>
      <c r="T1897" s="8"/>
      <c r="U1897" s="19" t="str">
        <f>HYPERLINK("https://pbs.twimg.com/profile_images/717200801316413441/Q4GHdzty.jpg","View")</f>
        <v>View</v>
      </c>
      <c r="V1897" s="8"/>
      <c r="W1897" s="8"/>
      <c r="X1897" s="8"/>
      <c r="Y1897" s="8"/>
      <c r="Z1897" s="8"/>
    </row>
    <row r="1898" spans="1:26" ht="12.75">
      <c r="A1898" s="11">
        <v>43745.751400462963</v>
      </c>
      <c r="B1898" s="12" t="str">
        <f>HYPERLINK("https://twitter.com/zowibanemriezxp","@zowibanemriezxp")</f>
        <v>@zowibanemriezxp</v>
      </c>
      <c r="C1898" s="13" t="s">
        <v>11428</v>
      </c>
      <c r="D1898" s="7" t="s">
        <v>11429</v>
      </c>
      <c r="E1898" s="12" t="str">
        <f>HYPERLINK("https://twitter.com/zowibanemriezxp/status/1181374152403488768","1181374152403488768")</f>
        <v>1181374152403488768</v>
      </c>
      <c r="F1898" s="8"/>
      <c r="G1898" s="14" t="s">
        <v>11430</v>
      </c>
      <c r="H1898" s="8"/>
      <c r="I1898" s="15">
        <v>0</v>
      </c>
      <c r="J1898" s="15">
        <v>0</v>
      </c>
      <c r="K1898" s="12" t="str">
        <f>HYPERLINK("http://twitter.com","Twitter Web Client")</f>
        <v>Twitter Web Client</v>
      </c>
      <c r="L1898" s="16">
        <v>2</v>
      </c>
      <c r="M1898" s="16">
        <v>41</v>
      </c>
      <c r="N1898" s="16">
        <v>0</v>
      </c>
      <c r="O1898" s="17"/>
      <c r="P1898" s="18">
        <v>42429.520914351851</v>
      </c>
      <c r="Q1898" s="7"/>
      <c r="R1898" s="13" t="s">
        <v>11431</v>
      </c>
      <c r="S1898" s="8"/>
      <c r="T1898" s="8"/>
      <c r="U1898" s="19" t="str">
        <f>HYPERLINK("https://pbs.twimg.com/profile_images/704512297968996352/Dikbj35v.jpg","View")</f>
        <v>View</v>
      </c>
      <c r="V1898" s="8"/>
      <c r="W1898" s="8"/>
      <c r="X1898" s="8"/>
      <c r="Y1898" s="8"/>
      <c r="Z1898" s="8"/>
    </row>
    <row r="1899" spans="1:26" ht="12.75">
      <c r="A1899" s="11">
        <v>43745.75068287037</v>
      </c>
      <c r="B1899" s="12" t="str">
        <f>HYPERLINK("https://twitter.com/nayefsahliddds","@nayefsahliddds")</f>
        <v>@nayefsahliddds</v>
      </c>
      <c r="C1899" s="13" t="s">
        <v>11432</v>
      </c>
      <c r="D1899" s="13" t="s">
        <v>4634</v>
      </c>
      <c r="E1899" s="12" t="str">
        <f>HYPERLINK("https://twitter.com/nayefsahliddds/status/1181373892184678400","1181373892184678400")</f>
        <v>1181373892184678400</v>
      </c>
      <c r="F1899" s="8"/>
      <c r="G1899" s="14" t="s">
        <v>11433</v>
      </c>
      <c r="H1899" s="8"/>
      <c r="I1899" s="15">
        <v>1</v>
      </c>
      <c r="J1899" s="15">
        <v>0</v>
      </c>
      <c r="K1899" s="12" t="str">
        <f>HYPERLINK("http://twitter.com","Twitter Web Client")</f>
        <v>Twitter Web Client</v>
      </c>
      <c r="L1899" s="16">
        <v>5</v>
      </c>
      <c r="M1899" s="16">
        <v>40</v>
      </c>
      <c r="N1899" s="16">
        <v>0</v>
      </c>
      <c r="O1899" s="17"/>
      <c r="P1899" s="18">
        <v>42429.759467592594</v>
      </c>
      <c r="Q1899" s="7"/>
      <c r="R1899" s="13" t="s">
        <v>4052</v>
      </c>
      <c r="S1899" s="8"/>
      <c r="T1899" s="8"/>
      <c r="U1899" s="19" t="str">
        <f>HYPERLINK("https://pbs.twimg.com/profile_images/704573028190035968/DYcmYeWz.jpg","View")</f>
        <v>View</v>
      </c>
      <c r="V1899" s="8"/>
      <c r="W1899" s="8"/>
      <c r="X1899" s="8"/>
      <c r="Y1899" s="8"/>
      <c r="Z1899" s="8"/>
    </row>
    <row r="1900" spans="1:26" ht="12.75">
      <c r="A1900" s="11">
        <v>43745.749837962961</v>
      </c>
      <c r="B1900" s="12" t="str">
        <f>HYPERLINK("https://twitter.com/wardanargawpszv","@wardanargawpszv")</f>
        <v>@wardanargawpszv</v>
      </c>
      <c r="C1900" s="13" t="s">
        <v>11437</v>
      </c>
      <c r="D1900" s="7" t="s">
        <v>601</v>
      </c>
      <c r="E1900" s="12" t="str">
        <f>HYPERLINK("https://twitter.com/wardanargawpszv/status/1181373587430789121","1181373587430789121")</f>
        <v>1181373587430789121</v>
      </c>
      <c r="F1900" s="8"/>
      <c r="G1900" s="14" t="s">
        <v>11438</v>
      </c>
      <c r="H1900" s="8"/>
      <c r="I1900" s="15">
        <v>0</v>
      </c>
      <c r="J1900" s="15">
        <v>0</v>
      </c>
      <c r="K1900" s="12" t="str">
        <f>HYPERLINK("http://twitter.com","Twitter Web Client")</f>
        <v>Twitter Web Client</v>
      </c>
      <c r="L1900" s="16">
        <v>11</v>
      </c>
      <c r="M1900" s="16">
        <v>50</v>
      </c>
      <c r="N1900" s="16">
        <v>0</v>
      </c>
      <c r="O1900" s="17"/>
      <c r="P1900" s="18">
        <v>42533.509571759263</v>
      </c>
      <c r="Q1900" s="7" t="s">
        <v>11312</v>
      </c>
      <c r="R1900" s="13" t="s">
        <v>11442</v>
      </c>
      <c r="S1900" s="8"/>
      <c r="T1900" s="8"/>
      <c r="U1900" s="19" t="str">
        <f>HYPERLINK("https://pbs.twimg.com/profile_images/742072500239097856/lOSh1ttP.jpg","View")</f>
        <v>View</v>
      </c>
      <c r="V1900" s="8"/>
      <c r="W1900" s="8"/>
      <c r="X1900" s="8"/>
      <c r="Y1900" s="8"/>
      <c r="Z1900" s="8"/>
    </row>
    <row r="1901" spans="1:26" ht="12.75">
      <c r="A1901" s="11">
        <v>43745.749548611115</v>
      </c>
      <c r="B1901" s="12" t="str">
        <f>HYPERLINK("https://twitter.com/banderzaaksegb","@banderzaaksegb")</f>
        <v>@banderzaaksegb</v>
      </c>
      <c r="C1901" s="13" t="s">
        <v>11444</v>
      </c>
      <c r="D1901" s="7" t="s">
        <v>11446</v>
      </c>
      <c r="E1901" s="12" t="str">
        <f>HYPERLINK("https://twitter.com/banderzaaksegb/status/1181373483437178880","1181373483437178880")</f>
        <v>1181373483437178880</v>
      </c>
      <c r="F1901" s="8"/>
      <c r="G1901" s="14" t="s">
        <v>11447</v>
      </c>
      <c r="H1901" s="8"/>
      <c r="I1901" s="15">
        <v>0</v>
      </c>
      <c r="J1901" s="15">
        <v>0</v>
      </c>
      <c r="K1901" s="12" t="str">
        <f>HYPERLINK("http://twitter.com","Twitter Web Client")</f>
        <v>Twitter Web Client</v>
      </c>
      <c r="L1901" s="16">
        <v>1</v>
      </c>
      <c r="M1901" s="16">
        <v>39</v>
      </c>
      <c r="N1901" s="16">
        <v>0</v>
      </c>
      <c r="O1901" s="17"/>
      <c r="P1901" s="18">
        <v>42460.496458333335</v>
      </c>
      <c r="Q1901" s="7" t="s">
        <v>11451</v>
      </c>
      <c r="R1901" s="13" t="s">
        <v>11452</v>
      </c>
      <c r="S1901" s="8"/>
      <c r="T1901" s="8"/>
      <c r="U1901" s="19" t="str">
        <f>HYPERLINK("https://pbs.twimg.com/profile_images/715750948447121408/hCGACl3x.jpg","View")</f>
        <v>View</v>
      </c>
      <c r="V1901" s="8"/>
      <c r="W1901" s="8"/>
      <c r="X1901" s="8"/>
      <c r="Y1901" s="8"/>
      <c r="Z1901" s="8"/>
    </row>
    <row r="1902" spans="1:26" ht="12.75">
      <c r="A1902" s="11">
        <v>43745.749108796299</v>
      </c>
      <c r="B1902" s="12" t="str">
        <f>HYPERLINK("https://twitter.com/reyadmatrafklmn","@reyadmatrafklmn")</f>
        <v>@reyadmatrafklmn</v>
      </c>
      <c r="C1902" s="13" t="s">
        <v>11453</v>
      </c>
      <c r="D1902" s="13" t="s">
        <v>2333</v>
      </c>
      <c r="E1902" s="12" t="str">
        <f>HYPERLINK("https://twitter.com/reyadmatrafklmn/status/1181373323923611650","1181373323923611650")</f>
        <v>1181373323923611650</v>
      </c>
      <c r="F1902" s="8"/>
      <c r="G1902" s="14" t="s">
        <v>11454</v>
      </c>
      <c r="H1902" s="8"/>
      <c r="I1902" s="15">
        <v>0</v>
      </c>
      <c r="J1902" s="15">
        <v>0</v>
      </c>
      <c r="K1902" s="12" t="str">
        <f>HYPERLINK("http://twitter.com","Twitter Web Client")</f>
        <v>Twitter Web Client</v>
      </c>
      <c r="L1902" s="16">
        <v>1</v>
      </c>
      <c r="M1902" s="16">
        <v>39</v>
      </c>
      <c r="N1902" s="16">
        <v>0</v>
      </c>
      <c r="O1902" s="17"/>
      <c r="P1902" s="18">
        <v>42472.753831018519</v>
      </c>
      <c r="Q1902" s="8" t="s">
        <v>11188</v>
      </c>
      <c r="R1902" s="8" t="s">
        <v>11457</v>
      </c>
      <c r="S1902" s="8"/>
      <c r="T1902" s="8"/>
      <c r="U1902" s="19" t="str">
        <f>HYPERLINK("https://pbs.twimg.com/profile_images/720397663984717824/jkOA45Dx.jpg","View")</f>
        <v>View</v>
      </c>
      <c r="V1902" s="8"/>
      <c r="W1902" s="8"/>
      <c r="X1902" s="8"/>
      <c r="Y1902" s="8"/>
      <c r="Z1902" s="8"/>
    </row>
    <row r="1903" spans="1:26" ht="12.75">
      <c r="A1903" s="11">
        <v>43745.748553240745</v>
      </c>
      <c r="B1903" s="12" t="str">
        <f>HYPERLINK("https://twitter.com/mahdikaabidmiz","@mahdikaabidmiz")</f>
        <v>@mahdikaabidmiz</v>
      </c>
      <c r="C1903" s="13" t="s">
        <v>11459</v>
      </c>
      <c r="D1903" s="13" t="s">
        <v>11460</v>
      </c>
      <c r="E1903" s="12" t="str">
        <f>HYPERLINK("https://twitter.com/mahdikaabidmiz/status/1181373120659279873","1181373120659279873")</f>
        <v>1181373120659279873</v>
      </c>
      <c r="F1903" s="8"/>
      <c r="G1903" s="14" t="s">
        <v>11461</v>
      </c>
      <c r="H1903" s="8"/>
      <c r="I1903" s="15">
        <v>0</v>
      </c>
      <c r="J1903" s="15">
        <v>0</v>
      </c>
      <c r="K1903" s="12" t="str">
        <f>HYPERLINK("http://twitter.com","Twitter Web Client")</f>
        <v>Twitter Web Client</v>
      </c>
      <c r="L1903" s="16">
        <v>0</v>
      </c>
      <c r="M1903" s="16">
        <v>39</v>
      </c>
      <c r="N1903" s="16">
        <v>0</v>
      </c>
      <c r="O1903" s="17"/>
      <c r="P1903" s="18">
        <v>42472.97142361111</v>
      </c>
      <c r="Q1903" s="8" t="s">
        <v>11465</v>
      </c>
      <c r="R1903" s="8" t="s">
        <v>11466</v>
      </c>
      <c r="S1903" s="8"/>
      <c r="T1903" s="8"/>
      <c r="U1903" s="19" t="str">
        <f>HYPERLINK("https://pbs.twimg.com/profile_images/720146800410275841/Rv45_ZLH.jpg","View")</f>
        <v>View</v>
      </c>
      <c r="V1903" s="8"/>
      <c r="W1903" s="8"/>
      <c r="X1903" s="8"/>
      <c r="Y1903" s="8"/>
      <c r="Z1903" s="8"/>
    </row>
    <row r="1904" spans="1:26" ht="12.75">
      <c r="A1904" s="11">
        <v>43745.74827546296</v>
      </c>
      <c r="B1904" s="12" t="str">
        <f>HYPERLINK("https://twitter.com/ramiwafirtnz","@ramiwafirtnz")</f>
        <v>@ramiwafirtnz</v>
      </c>
      <c r="C1904" s="13" t="s">
        <v>11467</v>
      </c>
      <c r="D1904" s="7" t="s">
        <v>11468</v>
      </c>
      <c r="E1904" s="12" t="str">
        <f>HYPERLINK("https://twitter.com/ramiwafirtnz/status/1181373020302139392","1181373020302139392")</f>
        <v>1181373020302139392</v>
      </c>
      <c r="F1904" s="8"/>
      <c r="G1904" s="14" t="s">
        <v>11470</v>
      </c>
      <c r="H1904" s="8"/>
      <c r="I1904" s="15">
        <v>0</v>
      </c>
      <c r="J1904" s="15">
        <v>0</v>
      </c>
      <c r="K1904" s="12" t="str">
        <f>HYPERLINK("http://twitter.com","Twitter Web Client")</f>
        <v>Twitter Web Client</v>
      </c>
      <c r="L1904" s="16">
        <v>4</v>
      </c>
      <c r="M1904" s="16">
        <v>41</v>
      </c>
      <c r="N1904" s="16">
        <v>0</v>
      </c>
      <c r="O1904" s="17"/>
      <c r="P1904" s="18">
        <v>42429.545740740738</v>
      </c>
      <c r="Q1904" s="7"/>
      <c r="R1904" s="13" t="s">
        <v>4308</v>
      </c>
      <c r="S1904" s="8"/>
      <c r="T1904" s="8"/>
      <c r="U1904" s="19" t="str">
        <f>HYPERLINK("https://pbs.twimg.com/profile_images/704521553187348480/dFFShJTl.jpg","View")</f>
        <v>View</v>
      </c>
      <c r="V1904" s="8"/>
      <c r="W1904" s="8"/>
      <c r="X1904" s="8"/>
      <c r="Y1904" s="8"/>
      <c r="Z1904" s="8"/>
    </row>
    <row r="1905" spans="1:26" ht="12.75">
      <c r="A1905" s="11">
        <v>43745.747719907406</v>
      </c>
      <c r="B1905" s="12" t="str">
        <f>HYPERLINK("https://twitter.com/magedyahridwfy","@magedyahridwfy")</f>
        <v>@magedyahridwfy</v>
      </c>
      <c r="C1905" s="13" t="s">
        <v>11474</v>
      </c>
      <c r="D1905" s="13" t="s">
        <v>11475</v>
      </c>
      <c r="E1905" s="12" t="str">
        <f>HYPERLINK("https://twitter.com/magedyahridwfy/status/1181372818979725312","1181372818979725312")</f>
        <v>1181372818979725312</v>
      </c>
      <c r="F1905" s="8"/>
      <c r="G1905" s="14" t="s">
        <v>11476</v>
      </c>
      <c r="H1905" s="8"/>
      <c r="I1905" s="15">
        <v>0</v>
      </c>
      <c r="J1905" s="15">
        <v>0</v>
      </c>
      <c r="K1905" s="12" t="str">
        <f>HYPERLINK("http://twitter.com","Twitter Web Client")</f>
        <v>Twitter Web Client</v>
      </c>
      <c r="L1905" s="16">
        <v>13</v>
      </c>
      <c r="M1905" s="16">
        <v>50</v>
      </c>
      <c r="N1905" s="16">
        <v>0</v>
      </c>
      <c r="O1905" s="17"/>
      <c r="P1905" s="18">
        <v>42532.545347222222</v>
      </c>
      <c r="Q1905" s="8" t="s">
        <v>10879</v>
      </c>
      <c r="R1905" s="8" t="s">
        <v>4355</v>
      </c>
      <c r="S1905" s="8"/>
      <c r="T1905" s="8"/>
      <c r="U1905" s="19" t="str">
        <f>HYPERLINK("https://pbs.twimg.com/profile_images/741723082121957376/VSXMFFXR.jpg","View")</f>
        <v>View</v>
      </c>
      <c r="V1905" s="8"/>
      <c r="W1905" s="8"/>
      <c r="X1905" s="8"/>
      <c r="Y1905" s="8"/>
      <c r="Z1905" s="8"/>
    </row>
    <row r="1906" spans="1:26" ht="12.75">
      <c r="A1906" s="11">
        <v>43745.747164351851</v>
      </c>
      <c r="B1906" s="12" t="str">
        <f>HYPERLINK("https://twitter.com/sorormenakerxom","@sorormenakerxom")</f>
        <v>@sorormenakerxom</v>
      </c>
      <c r="C1906" s="13" t="s">
        <v>11481</v>
      </c>
      <c r="D1906" s="13" t="s">
        <v>11483</v>
      </c>
      <c r="E1906" s="12" t="str">
        <f>HYPERLINK("https://twitter.com/sorormenakerxom/status/1181372615656648712","1181372615656648712")</f>
        <v>1181372615656648712</v>
      </c>
      <c r="F1906" s="8"/>
      <c r="G1906" s="14" t="s">
        <v>11484</v>
      </c>
      <c r="H1906" s="8"/>
      <c r="I1906" s="15">
        <v>0</v>
      </c>
      <c r="J1906" s="15">
        <v>0</v>
      </c>
      <c r="K1906" s="12" t="str">
        <f>HYPERLINK("http://twitter.com","Twitter Web Client")</f>
        <v>Twitter Web Client</v>
      </c>
      <c r="L1906" s="16">
        <v>1</v>
      </c>
      <c r="M1906" s="16">
        <v>39</v>
      </c>
      <c r="N1906" s="16">
        <v>0</v>
      </c>
      <c r="O1906" s="17"/>
      <c r="P1906" s="18">
        <v>42463.493333333332</v>
      </c>
      <c r="Q1906" s="8" t="s">
        <v>4300</v>
      </c>
      <c r="R1906" s="8" t="s">
        <v>11487</v>
      </c>
      <c r="S1906" s="8"/>
      <c r="T1906" s="8"/>
      <c r="U1906" s="19" t="str">
        <f>HYPERLINK("https://pbs.twimg.com/profile_images/716806999233732608/Ipg44nQX.jpg","View")</f>
        <v>View</v>
      </c>
      <c r="V1906" s="8"/>
      <c r="W1906" s="8"/>
      <c r="X1906" s="8"/>
      <c r="Y1906" s="8"/>
      <c r="Z1906" s="8"/>
    </row>
    <row r="1907" spans="1:26" ht="12.75">
      <c r="A1907" s="11">
        <v>43745.746759259258</v>
      </c>
      <c r="B1907" s="12" t="str">
        <f>HYPERLINK("https://twitter.com/wesamshahrixkns","@wesamshahrixkns")</f>
        <v>@wesamshahrixkns</v>
      </c>
      <c r="C1907" s="13" t="s">
        <v>11491</v>
      </c>
      <c r="D1907" s="13" t="s">
        <v>11492</v>
      </c>
      <c r="E1907" s="12" t="str">
        <f>HYPERLINK("https://twitter.com/wesamshahrixkns/status/1181372472135999489","1181372472135999489")</f>
        <v>1181372472135999489</v>
      </c>
      <c r="F1907" s="8"/>
      <c r="G1907" s="14" t="s">
        <v>11493</v>
      </c>
      <c r="H1907" s="8"/>
      <c r="I1907" s="15">
        <v>0</v>
      </c>
      <c r="J1907" s="15">
        <v>0</v>
      </c>
      <c r="K1907" s="12" t="str">
        <f>HYPERLINK("http://twitter.com","Twitter Web Client")</f>
        <v>Twitter Web Client</v>
      </c>
      <c r="L1907" s="16">
        <v>4</v>
      </c>
      <c r="M1907" s="16">
        <v>42</v>
      </c>
      <c r="N1907" s="16">
        <v>0</v>
      </c>
      <c r="O1907" s="17"/>
      <c r="P1907" s="18">
        <v>42429.512280092589</v>
      </c>
      <c r="Q1907" s="8"/>
      <c r="R1907" s="8" t="s">
        <v>11222</v>
      </c>
      <c r="S1907" s="8"/>
      <c r="T1907" s="8"/>
      <c r="U1907" s="19" t="str">
        <f>HYPERLINK("https://pbs.twimg.com/profile_images/704509095500521472/K6Bcz5PZ.jpg","View")</f>
        <v>View</v>
      </c>
      <c r="V1907" s="8"/>
      <c r="W1907" s="8"/>
      <c r="X1907" s="8"/>
      <c r="Y1907" s="8"/>
      <c r="Z1907" s="8"/>
    </row>
    <row r="1908" spans="1:26" ht="12.75">
      <c r="A1908" s="11">
        <v>43745.746562500004</v>
      </c>
      <c r="B1908" s="12" t="str">
        <f>HYPERLINK("https://twitter.com/edrisfarragfvsi","@edrisfarragfvsi")</f>
        <v>@edrisfarragfvsi</v>
      </c>
      <c r="C1908" s="13" t="s">
        <v>11494</v>
      </c>
      <c r="D1908" s="13" t="s">
        <v>5872</v>
      </c>
      <c r="E1908" s="12" t="str">
        <f>HYPERLINK("https://twitter.com/edrisfarragfvsi/status/1181372400161710080","1181372400161710080")</f>
        <v>1181372400161710080</v>
      </c>
      <c r="F1908" s="8"/>
      <c r="G1908" s="14" t="s">
        <v>11495</v>
      </c>
      <c r="H1908" s="8"/>
      <c r="I1908" s="15">
        <v>0</v>
      </c>
      <c r="J1908" s="15">
        <v>0</v>
      </c>
      <c r="K1908" s="12" t="str">
        <f>HYPERLINK("http://twitter.com","Twitter Web Client")</f>
        <v>Twitter Web Client</v>
      </c>
      <c r="L1908" s="16">
        <v>5</v>
      </c>
      <c r="M1908" s="16">
        <v>51</v>
      </c>
      <c r="N1908" s="16">
        <v>0</v>
      </c>
      <c r="O1908" s="17"/>
      <c r="P1908" s="18">
        <v>42532.739317129628</v>
      </c>
      <c r="Q1908" s="7" t="s">
        <v>11188</v>
      </c>
      <c r="R1908" s="13" t="s">
        <v>10883</v>
      </c>
      <c r="S1908" s="8"/>
      <c r="T1908" s="8"/>
      <c r="U1908" s="19" t="str">
        <f>HYPERLINK("https://pbs.twimg.com/profile_images/741793375712612353/H-Ov6UUG.jpg","View")</f>
        <v>View</v>
      </c>
      <c r="V1908" s="8"/>
      <c r="W1908" s="8"/>
      <c r="X1908" s="8"/>
      <c r="Y1908" s="8"/>
      <c r="Z1908" s="8"/>
    </row>
    <row r="1909" spans="1:26" ht="12.75">
      <c r="A1909" s="11">
        <v>43745.745810185181</v>
      </c>
      <c r="B1909" s="12" t="str">
        <f>HYPERLINK("https://twitter.com/kamelsamriufxy","@kamelsamriufxy")</f>
        <v>@kamelsamriufxy</v>
      </c>
      <c r="C1909" s="13" t="s">
        <v>11499</v>
      </c>
      <c r="D1909" s="13" t="s">
        <v>3690</v>
      </c>
      <c r="E1909" s="12" t="str">
        <f>HYPERLINK("https://twitter.com/kamelsamriufxy/status/1181372128333062144","1181372128333062144")</f>
        <v>1181372128333062144</v>
      </c>
      <c r="F1909" s="8"/>
      <c r="G1909" s="14" t="s">
        <v>11500</v>
      </c>
      <c r="H1909" s="8"/>
      <c r="I1909" s="15">
        <v>0</v>
      </c>
      <c r="J1909" s="15">
        <v>0</v>
      </c>
      <c r="K1909" s="12" t="str">
        <f>HYPERLINK("http://twitter.com","Twitter Web Client")</f>
        <v>Twitter Web Client</v>
      </c>
      <c r="L1909" s="16">
        <v>1</v>
      </c>
      <c r="M1909" s="16">
        <v>37</v>
      </c>
      <c r="N1909" s="16">
        <v>0</v>
      </c>
      <c r="O1909" s="17"/>
      <c r="P1909" s="18">
        <v>42495.924421296295</v>
      </c>
      <c r="Q1909" s="8" t="s">
        <v>10913</v>
      </c>
      <c r="R1909" s="8" t="s">
        <v>11501</v>
      </c>
      <c r="S1909" s="8"/>
      <c r="T1909" s="8"/>
      <c r="U1909" s="19" t="str">
        <f>HYPERLINK("https://pbs.twimg.com/profile_images/728453038201933825/yp4ZTQu8.jpg","View")</f>
        <v>View</v>
      </c>
      <c r="V1909" s="8"/>
      <c r="W1909" s="8"/>
      <c r="X1909" s="8"/>
      <c r="Y1909" s="8"/>
      <c r="Z1909" s="8"/>
    </row>
    <row r="1910" spans="1:26" ht="12.75">
      <c r="A1910" s="11">
        <v>43745.745416666672</v>
      </c>
      <c r="B1910" s="12" t="str">
        <f>HYPERLINK("https://twitter.com/esmaelhedadgepx","@esmaelhedadgepx")</f>
        <v>@esmaelhedadgepx</v>
      </c>
      <c r="C1910" s="13" t="s">
        <v>11504</v>
      </c>
      <c r="D1910" s="13" t="s">
        <v>276</v>
      </c>
      <c r="E1910" s="12" t="str">
        <f>HYPERLINK("https://twitter.com/esmaelhedadgepx/status/1181371983579242497","1181371983579242497")</f>
        <v>1181371983579242497</v>
      </c>
      <c r="F1910" s="8"/>
      <c r="G1910" s="14" t="s">
        <v>11506</v>
      </c>
      <c r="H1910" s="8"/>
      <c r="I1910" s="15">
        <v>0</v>
      </c>
      <c r="J1910" s="15">
        <v>0</v>
      </c>
      <c r="K1910" s="12" t="str">
        <f>HYPERLINK("http://twitter.com","Twitter Web Client")</f>
        <v>Twitter Web Client</v>
      </c>
      <c r="L1910" s="16">
        <v>3</v>
      </c>
      <c r="M1910" s="16">
        <v>40</v>
      </c>
      <c r="N1910" s="16">
        <v>0</v>
      </c>
      <c r="O1910" s="17"/>
      <c r="P1910" s="18">
        <v>42428.908854166672</v>
      </c>
      <c r="Q1910" s="8"/>
      <c r="R1910" s="8" t="s">
        <v>11507</v>
      </c>
      <c r="S1910" s="8"/>
      <c r="T1910" s="8"/>
      <c r="U1910" s="19" t="str">
        <f>HYPERLINK("https://pbs.twimg.com/profile_images/704481138774052864/4R6xmxiQ.jpg","View")</f>
        <v>View</v>
      </c>
      <c r="V1910" s="8"/>
      <c r="W1910" s="8"/>
      <c r="X1910" s="8"/>
      <c r="Y1910" s="8"/>
      <c r="Z1910" s="8"/>
    </row>
    <row r="1911" spans="1:26" ht="12.75">
      <c r="A1911" s="11">
        <v>43745.745023148149</v>
      </c>
      <c r="B1911" s="12" t="str">
        <f>HYPERLINK("https://twitter.com/khamisshemahymr","@khamisshemahymr")</f>
        <v>@khamisshemahymr</v>
      </c>
      <c r="C1911" s="13" t="s">
        <v>11509</v>
      </c>
      <c r="D1911" s="13" t="s">
        <v>11510</v>
      </c>
      <c r="E1911" s="12" t="str">
        <f>HYPERLINK("https://twitter.com/khamisshemahymr/status/1181371839626596353","1181371839626596353")</f>
        <v>1181371839626596353</v>
      </c>
      <c r="F1911" s="8"/>
      <c r="G1911" s="14" t="s">
        <v>11511</v>
      </c>
      <c r="H1911" s="8"/>
      <c r="I1911" s="15">
        <v>0</v>
      </c>
      <c r="J1911" s="15">
        <v>0</v>
      </c>
      <c r="K1911" s="12" t="str">
        <f>HYPERLINK("http://twitter.com","Twitter Web Client")</f>
        <v>Twitter Web Client</v>
      </c>
      <c r="L1911" s="16">
        <v>5</v>
      </c>
      <c r="M1911" s="16">
        <v>39</v>
      </c>
      <c r="N1911" s="16">
        <v>0</v>
      </c>
      <c r="O1911" s="17"/>
      <c r="P1911" s="18">
        <v>42495.870729166665</v>
      </c>
      <c r="Q1911" s="8" t="s">
        <v>10901</v>
      </c>
      <c r="R1911" s="8" t="s">
        <v>11514</v>
      </c>
      <c r="S1911" s="8"/>
      <c r="T1911" s="8"/>
      <c r="U1911" s="19" t="str">
        <f>HYPERLINK("https://pbs.twimg.com/profile_images/728433686635417600/k7ssAtmt.jpg","View")</f>
        <v>View</v>
      </c>
      <c r="V1911" s="8"/>
      <c r="W1911" s="8"/>
      <c r="X1911" s="8"/>
      <c r="Y1911" s="8"/>
      <c r="Z1911" s="8"/>
    </row>
    <row r="1912" spans="1:26" ht="12.75">
      <c r="A1912" s="11">
        <v>43745.744456018518</v>
      </c>
      <c r="B1912" s="12" t="str">
        <f>HYPERLINK("https://twitter.com/alolydebetykkud","@alolydebetykkud")</f>
        <v>@alolydebetykkud</v>
      </c>
      <c r="C1912" s="13" t="s">
        <v>11516</v>
      </c>
      <c r="D1912" s="13" t="s">
        <v>11517</v>
      </c>
      <c r="E1912" s="12" t="str">
        <f>HYPERLINK("https://twitter.com/alolydebetykkud/status/1181371637310070784","1181371637310070784")</f>
        <v>1181371637310070784</v>
      </c>
      <c r="F1912" s="8"/>
      <c r="G1912" s="14" t="s">
        <v>11518</v>
      </c>
      <c r="H1912" s="8"/>
      <c r="I1912" s="15">
        <v>0</v>
      </c>
      <c r="J1912" s="15">
        <v>0</v>
      </c>
      <c r="K1912" s="12" t="str">
        <f>HYPERLINK("http://twitter.com","Twitter Web Client")</f>
        <v>Twitter Web Client</v>
      </c>
      <c r="L1912" s="16">
        <v>11</v>
      </c>
      <c r="M1912" s="16">
        <v>50</v>
      </c>
      <c r="N1912" s="16">
        <v>0</v>
      </c>
      <c r="O1912" s="17"/>
      <c r="P1912" s="18">
        <v>42529.095671296294</v>
      </c>
      <c r="Q1912" s="8" t="s">
        <v>11188</v>
      </c>
      <c r="R1912" s="8" t="s">
        <v>11521</v>
      </c>
      <c r="S1912" s="8"/>
      <c r="T1912" s="8"/>
      <c r="U1912" s="19" t="str">
        <f>HYPERLINK("https://pbs.twimg.com/profile_images/740472961950470144/1QERK7kG.jpg","View")</f>
        <v>View</v>
      </c>
      <c r="V1912" s="8"/>
      <c r="W1912" s="8"/>
      <c r="X1912" s="8"/>
      <c r="Y1912" s="8"/>
      <c r="Z1912" s="8"/>
    </row>
    <row r="1913" spans="1:26" ht="12.75">
      <c r="A1913" s="11">
        <v>43745.744062500002</v>
      </c>
      <c r="B1913" s="12" t="str">
        <f>HYPERLINK("https://twitter.com/samirohaifcctom","@samirohaifcctom")</f>
        <v>@samirohaifcctom</v>
      </c>
      <c r="C1913" s="7" t="s">
        <v>11522</v>
      </c>
      <c r="D1913" s="7" t="s">
        <v>11523</v>
      </c>
      <c r="E1913" s="12" t="str">
        <f>HYPERLINK("https://twitter.com/samirohaifcctom/status/1181371493537783814","1181371493537783814")</f>
        <v>1181371493537783814</v>
      </c>
      <c r="F1913" s="8"/>
      <c r="G1913" s="14" t="s">
        <v>11524</v>
      </c>
      <c r="H1913" s="8"/>
      <c r="I1913" s="15">
        <v>0</v>
      </c>
      <c r="J1913" s="15">
        <v>0</v>
      </c>
      <c r="K1913" s="12" t="str">
        <f>HYPERLINK("http://twitter.com","Twitter Web Client")</f>
        <v>Twitter Web Client</v>
      </c>
      <c r="L1913" s="16">
        <v>3</v>
      </c>
      <c r="M1913" s="16">
        <v>37</v>
      </c>
      <c r="N1913" s="16">
        <v>0</v>
      </c>
      <c r="O1913" s="17"/>
      <c r="P1913" s="18">
        <v>42509.332673611112</v>
      </c>
      <c r="Q1913" s="8" t="s">
        <v>11525</v>
      </c>
      <c r="R1913" s="7" t="s">
        <v>11526</v>
      </c>
      <c r="S1913" s="8"/>
      <c r="T1913" s="8"/>
      <c r="U1913" s="19" t="str">
        <f>HYPERLINK("https://pbs.twimg.com/profile_images/733311102050832384/1T1XtJ75.jpg","View")</f>
        <v>View</v>
      </c>
      <c r="V1913" s="8"/>
      <c r="W1913" s="8"/>
      <c r="X1913" s="8"/>
      <c r="Y1913" s="8"/>
      <c r="Z1913" s="8"/>
    </row>
    <row r="1914" spans="1:26" ht="12.75">
      <c r="A1914" s="11">
        <v>43745.74386574074</v>
      </c>
      <c r="B1914" s="12" t="str">
        <f>HYPERLINK("https://twitter.com/fayezgesryfdoi","@fayezgesryfdoi")</f>
        <v>@fayezgesryfdoi</v>
      </c>
      <c r="C1914" s="13" t="s">
        <v>11527</v>
      </c>
      <c r="D1914" s="7" t="s">
        <v>11528</v>
      </c>
      <c r="E1914" s="12" t="str">
        <f>HYPERLINK("https://twitter.com/fayezgesryfdoi/status/1181371422054203393","1181371422054203393")</f>
        <v>1181371422054203393</v>
      </c>
      <c r="F1914" s="8"/>
      <c r="G1914" s="14" t="s">
        <v>11529</v>
      </c>
      <c r="H1914" s="8"/>
      <c r="I1914" s="15">
        <v>0</v>
      </c>
      <c r="J1914" s="15">
        <v>0</v>
      </c>
      <c r="K1914" s="12" t="str">
        <f>HYPERLINK("http://twitter.com","Twitter Web Client")</f>
        <v>Twitter Web Client</v>
      </c>
      <c r="L1914" s="16">
        <v>2</v>
      </c>
      <c r="M1914" s="16">
        <v>37</v>
      </c>
      <c r="N1914" s="16">
        <v>0</v>
      </c>
      <c r="O1914" s="17"/>
      <c r="P1914" s="18">
        <v>42485.833310185189</v>
      </c>
      <c r="Q1914" s="7" t="s">
        <v>4354</v>
      </c>
      <c r="R1914" s="13" t="s">
        <v>11410</v>
      </c>
      <c r="S1914" s="8"/>
      <c r="T1914" s="8"/>
      <c r="U1914" s="19" t="str">
        <f>HYPERLINK("https://pbs.twimg.com/profile_images/724796544621383684/9qA_ryLv.jpg","View")</f>
        <v>View</v>
      </c>
      <c r="V1914" s="8"/>
      <c r="W1914" s="8"/>
      <c r="X1914" s="8"/>
      <c r="Y1914" s="8"/>
      <c r="Z1914" s="8"/>
    </row>
    <row r="1915" spans="1:26" ht="12.75">
      <c r="A1915" s="11">
        <v>43745.742743055554</v>
      </c>
      <c r="B1915" s="12" t="str">
        <f>HYPERLINK("https://twitter.com/DrGJackBrown","@DrGJackBrown")</f>
        <v>@DrGJackBrown</v>
      </c>
      <c r="C1915" s="13" t="s">
        <v>11530</v>
      </c>
      <c r="D1915" s="13" t="s">
        <v>11531</v>
      </c>
      <c r="E1915" s="12" t="str">
        <f>HYPERLINK("https://twitter.com/DrGJackBrown/status/1181371014824919040","1181371014824919040")</f>
        <v>1181371014824919040</v>
      </c>
      <c r="F1915" s="14" t="s">
        <v>11532</v>
      </c>
      <c r="G1915" s="8"/>
      <c r="H1915" s="8"/>
      <c r="I1915" s="15">
        <v>163</v>
      </c>
      <c r="J1915" s="15">
        <v>259</v>
      </c>
      <c r="K1915" s="12" t="str">
        <f>HYPERLINK("https://mobile.twitter.com","Twitter Web App")</f>
        <v>Twitter Web App</v>
      </c>
      <c r="L1915" s="16">
        <v>33594</v>
      </c>
      <c r="M1915" s="16">
        <v>8683</v>
      </c>
      <c r="N1915" s="16">
        <v>213</v>
      </c>
      <c r="O1915" s="17"/>
      <c r="P1915" s="18">
        <v>40487.827280092592</v>
      </c>
      <c r="Q1915" s="8" t="s">
        <v>1804</v>
      </c>
      <c r="R1915" s="13" t="s">
        <v>11533</v>
      </c>
      <c r="S1915" s="14" t="s">
        <v>11534</v>
      </c>
      <c r="T1915" s="8"/>
      <c r="U1915" s="19" t="str">
        <f>HYPERLINK("https://pbs.twimg.com/profile_images/2061505119/profile_pic_-_5.jpg","View")</f>
        <v>View</v>
      </c>
      <c r="V1915" s="8"/>
      <c r="W1915" s="8"/>
      <c r="X1915" s="8"/>
      <c r="Y1915" s="8"/>
      <c r="Z1915" s="8"/>
    </row>
    <row r="1916" spans="1:26" ht="12.75">
      <c r="A1916" s="11">
        <v>43745.742719907408</v>
      </c>
      <c r="B1916" s="12" t="str">
        <f>HYPERLINK("https://twitter.com/omairlaficabp","@omairlaficabp")</f>
        <v>@omairlaficabp</v>
      </c>
      <c r="C1916" s="13" t="s">
        <v>11535</v>
      </c>
      <c r="D1916" s="13" t="s">
        <v>11537</v>
      </c>
      <c r="E1916" s="12" t="str">
        <f>HYPERLINK("https://twitter.com/omairlaficabp/status/1181371006813921281","1181371006813921281")</f>
        <v>1181371006813921281</v>
      </c>
      <c r="F1916" s="8"/>
      <c r="G1916" s="14" t="s">
        <v>11538</v>
      </c>
      <c r="H1916" s="8"/>
      <c r="I1916" s="15">
        <v>0</v>
      </c>
      <c r="J1916" s="15">
        <v>0</v>
      </c>
      <c r="K1916" s="12" t="str">
        <f>HYPERLINK("http://twitter.com","Twitter Web Client")</f>
        <v>Twitter Web Client</v>
      </c>
      <c r="L1916" s="16">
        <v>2</v>
      </c>
      <c r="M1916" s="16">
        <v>41</v>
      </c>
      <c r="N1916" s="16">
        <v>0</v>
      </c>
      <c r="O1916" s="17"/>
      <c r="P1916" s="18">
        <v>42429.735972222217</v>
      </c>
      <c r="Q1916" s="8"/>
      <c r="R1916" s="8" t="s">
        <v>11540</v>
      </c>
      <c r="S1916" s="8"/>
      <c r="T1916" s="8"/>
      <c r="U1916" s="19" t="str">
        <f>HYPERLINK("https://pbs.twimg.com/profile_images/704563923610148864/Y7tEZXuB.jpg","View")</f>
        <v>View</v>
      </c>
      <c r="V1916" s="8"/>
      <c r="W1916" s="8"/>
      <c r="X1916" s="8"/>
      <c r="Y1916" s="8"/>
      <c r="Z1916" s="8"/>
    </row>
    <row r="1917" spans="1:26" ht="12.75">
      <c r="A1917" s="11">
        <v>43745.742349537039</v>
      </c>
      <c r="B1917" s="12" t="str">
        <f>HYPERLINK("https://twitter.com/K3k3A","@K3k3A")</f>
        <v>@K3k3A</v>
      </c>
      <c r="C1917" s="13" t="s">
        <v>11543</v>
      </c>
      <c r="D1917" s="13" t="s">
        <v>11544</v>
      </c>
      <c r="E1917" s="12" t="str">
        <f>HYPERLINK("https://twitter.com/K3k3A/status/1181370870792642560","1181370870792642560")</f>
        <v>1181370870792642560</v>
      </c>
      <c r="F1917" s="8"/>
      <c r="G1917" s="15"/>
      <c r="H1917" s="8"/>
      <c r="I1917" s="15">
        <v>0</v>
      </c>
      <c r="J1917" s="15">
        <v>0</v>
      </c>
      <c r="K1917" s="12" t="str">
        <f>HYPERLINK("http://twitter.com/download/android","Twitter for Android")</f>
        <v>Twitter for Android</v>
      </c>
      <c r="L1917" s="16">
        <v>48</v>
      </c>
      <c r="M1917" s="16">
        <v>296</v>
      </c>
      <c r="N1917" s="16">
        <v>0</v>
      </c>
      <c r="O1917" s="17"/>
      <c r="P1917" s="18">
        <v>41311.647743055553</v>
      </c>
      <c r="Q1917" s="8"/>
      <c r="R1917" s="8" t="s">
        <v>11548</v>
      </c>
      <c r="S1917" s="8"/>
      <c r="T1917" s="8"/>
      <c r="U1917" s="19" t="str">
        <f>HYPERLINK("https://pbs.twimg.com/profile_images/827186202256105472/UD8eb_UM.jpg","View")</f>
        <v>View</v>
      </c>
      <c r="V1917" s="8"/>
      <c r="W1917" s="8"/>
      <c r="X1917" s="8"/>
      <c r="Y1917" s="8"/>
      <c r="Z1917" s="8"/>
    </row>
    <row r="1918" spans="1:26" ht="12.75">
      <c r="A1918" s="11">
        <v>43745.742326388892</v>
      </c>
      <c r="B1918" s="12" t="str">
        <f>HYPERLINK("https://twitter.com/abdullahferofmh","@abdullahferofmh")</f>
        <v>@abdullahferofmh</v>
      </c>
      <c r="C1918" s="13" t="s">
        <v>11549</v>
      </c>
      <c r="D1918" s="13" t="s">
        <v>11550</v>
      </c>
      <c r="E1918" s="12" t="str">
        <f>HYPERLINK("https://twitter.com/abdullahferofmh/status/1181370863096078336","1181370863096078336")</f>
        <v>1181370863096078336</v>
      </c>
      <c r="F1918" s="8"/>
      <c r="G1918" s="14" t="s">
        <v>11553</v>
      </c>
      <c r="H1918" s="8"/>
      <c r="I1918" s="15">
        <v>0</v>
      </c>
      <c r="J1918" s="15">
        <v>0</v>
      </c>
      <c r="K1918" s="12" t="str">
        <f>HYPERLINK("http://twitter.com","Twitter Web Client")</f>
        <v>Twitter Web Client</v>
      </c>
      <c r="L1918" s="16">
        <v>2</v>
      </c>
      <c r="M1918" s="16">
        <v>42</v>
      </c>
      <c r="N1918" s="16">
        <v>0</v>
      </c>
      <c r="O1918" s="17"/>
      <c r="P1918" s="18">
        <v>42429.698599537034</v>
      </c>
      <c r="Q1918" s="8"/>
      <c r="R1918" s="8" t="s">
        <v>11556</v>
      </c>
      <c r="S1918" s="8"/>
      <c r="T1918" s="8"/>
      <c r="U1918" s="19" t="str">
        <f>HYPERLINK("https://pbs.twimg.com/profile_images/704550784667619328/vkUtY_F4.jpg","View")</f>
        <v>View</v>
      </c>
      <c r="V1918" s="8"/>
      <c r="W1918" s="8"/>
      <c r="X1918" s="8"/>
      <c r="Y1918" s="8"/>
      <c r="Z1918" s="8"/>
    </row>
    <row r="1919" spans="1:26" ht="12.75">
      <c r="A1919" s="11">
        <v>43745.741365740745</v>
      </c>
      <c r="B1919" s="12" t="str">
        <f>HYPERLINK("https://twitter.com/thabetmehanwqxc","@thabetmehanwqxc")</f>
        <v>@thabetmehanwqxc</v>
      </c>
      <c r="C1919" s="13" t="s">
        <v>11558</v>
      </c>
      <c r="D1919" s="7" t="s">
        <v>2940</v>
      </c>
      <c r="E1919" s="12" t="str">
        <f>HYPERLINK("https://twitter.com/thabetmehanwqxc/status/1181370516856344577","1181370516856344577")</f>
        <v>1181370516856344577</v>
      </c>
      <c r="F1919" s="8"/>
      <c r="G1919" s="14" t="s">
        <v>11560</v>
      </c>
      <c r="H1919" s="8"/>
      <c r="I1919" s="15">
        <v>0</v>
      </c>
      <c r="J1919" s="15">
        <v>0</v>
      </c>
      <c r="K1919" s="12" t="str">
        <f>HYPERLINK("http://twitter.com","Twitter Web Client")</f>
        <v>Twitter Web Client</v>
      </c>
      <c r="L1919" s="16">
        <v>0</v>
      </c>
      <c r="M1919" s="16">
        <v>40</v>
      </c>
      <c r="N1919" s="16">
        <v>0</v>
      </c>
      <c r="O1919" s="17"/>
      <c r="P1919" s="18">
        <v>42459.863611111112</v>
      </c>
      <c r="Q1919" s="7" t="s">
        <v>11125</v>
      </c>
      <c r="R1919" s="13" t="s">
        <v>11201</v>
      </c>
      <c r="S1919" s="8"/>
      <c r="T1919" s="8"/>
      <c r="U1919" s="19" t="str">
        <f>HYPERLINK("https://pbs.twimg.com/profile_images/715415391829360640/Sj1DTlrt.jpg","View")</f>
        <v>View</v>
      </c>
      <c r="V1919" s="8"/>
      <c r="W1919" s="8"/>
      <c r="X1919" s="8"/>
      <c r="Y1919" s="8"/>
      <c r="Z1919" s="8"/>
    </row>
    <row r="1920" spans="1:26" ht="12.75">
      <c r="A1920" s="11">
        <v>43745.740972222222</v>
      </c>
      <c r="B1920" s="12" t="str">
        <f>HYPERLINK("https://twitter.com/abdelmegidfcvdj","@abdelmegidfcvdj")</f>
        <v>@abdelmegidfcvdj</v>
      </c>
      <c r="C1920" s="13" t="s">
        <v>11564</v>
      </c>
      <c r="D1920" s="13" t="s">
        <v>3824</v>
      </c>
      <c r="E1920" s="12" t="str">
        <f>HYPERLINK("https://twitter.com/abdelmegidfcvdj/status/1181370374396755968","1181370374396755968")</f>
        <v>1181370374396755968</v>
      </c>
      <c r="F1920" s="8"/>
      <c r="G1920" s="14" t="s">
        <v>11565</v>
      </c>
      <c r="H1920" s="8"/>
      <c r="I1920" s="15">
        <v>0</v>
      </c>
      <c r="J1920" s="15">
        <v>0</v>
      </c>
      <c r="K1920" s="12" t="str">
        <f>HYPERLINK("http://twitter.com","Twitter Web Client")</f>
        <v>Twitter Web Client</v>
      </c>
      <c r="L1920" s="16">
        <v>13</v>
      </c>
      <c r="M1920" s="16">
        <v>46</v>
      </c>
      <c r="N1920" s="16">
        <v>0</v>
      </c>
      <c r="O1920" s="17"/>
      <c r="P1920" s="18">
        <v>42532.593773148154</v>
      </c>
      <c r="Q1920" s="8" t="s">
        <v>10901</v>
      </c>
      <c r="R1920" s="8" t="s">
        <v>11566</v>
      </c>
      <c r="S1920" s="8"/>
      <c r="T1920" s="8"/>
      <c r="U1920" s="19" t="str">
        <f>HYPERLINK("https://pbs.twimg.com/profile_images/741740634843820032/jeJV3l0J.jpg","View")</f>
        <v>View</v>
      </c>
      <c r="V1920" s="8"/>
      <c r="W1920" s="8"/>
      <c r="X1920" s="8"/>
      <c r="Y1920" s="8"/>
      <c r="Z1920" s="8"/>
    </row>
    <row r="1921" spans="1:26" ht="12.75">
      <c r="A1921" s="11">
        <v>43745.740613425922</v>
      </c>
      <c r="B1921" s="12" t="str">
        <f>HYPERLINK("https://twitter.com/hanyshamanmqul","@hanyshamanmqul")</f>
        <v>@hanyshamanmqul</v>
      </c>
      <c r="C1921" s="13" t="s">
        <v>11569</v>
      </c>
      <c r="D1921" s="13" t="s">
        <v>11570</v>
      </c>
      <c r="E1921" s="12" t="str">
        <f>HYPERLINK("https://twitter.com/hanyshamanmqul/status/1181370244880850944","1181370244880850944")</f>
        <v>1181370244880850944</v>
      </c>
      <c r="F1921" s="8"/>
      <c r="G1921" s="14" t="s">
        <v>11571</v>
      </c>
      <c r="H1921" s="8"/>
      <c r="I1921" s="15">
        <v>0</v>
      </c>
      <c r="J1921" s="15">
        <v>0</v>
      </c>
      <c r="K1921" s="12" t="str">
        <f>HYPERLINK("http://twitter.com","Twitter Web Client")</f>
        <v>Twitter Web Client</v>
      </c>
      <c r="L1921" s="16">
        <v>3</v>
      </c>
      <c r="M1921" s="16">
        <v>42</v>
      </c>
      <c r="N1921" s="16">
        <v>0</v>
      </c>
      <c r="O1921" s="17"/>
      <c r="P1921" s="18">
        <v>42429.683449074073</v>
      </c>
      <c r="Q1921" s="7"/>
      <c r="R1921" s="13" t="s">
        <v>4301</v>
      </c>
      <c r="S1921" s="8"/>
      <c r="T1921" s="8"/>
      <c r="U1921" s="19" t="str">
        <f>HYPERLINK("https://pbs.twimg.com/profile_images/704544910100324352/iVXx7sg8.jpg","View")</f>
        <v>View</v>
      </c>
      <c r="V1921" s="8"/>
      <c r="W1921" s="8"/>
      <c r="X1921" s="8"/>
      <c r="Y1921" s="8"/>
      <c r="Z1921" s="8"/>
    </row>
    <row r="1922" spans="1:26" ht="12.75">
      <c r="A1922" s="11">
        <v>43745.740416666667</v>
      </c>
      <c r="B1922" s="12" t="str">
        <f>HYPERLINK("https://twitter.com/ibrahimmatatwkf","@ibrahimmatatwkf")</f>
        <v>@ibrahimmatatwkf</v>
      </c>
      <c r="C1922" s="13" t="s">
        <v>11576</v>
      </c>
      <c r="D1922" s="13" t="s">
        <v>11577</v>
      </c>
      <c r="E1922" s="12" t="str">
        <f>HYPERLINK("https://twitter.com/ibrahimmatatwkf/status/1181370172717895681","1181370172717895681")</f>
        <v>1181370172717895681</v>
      </c>
      <c r="F1922" s="8"/>
      <c r="G1922" s="14" t="s">
        <v>11579</v>
      </c>
      <c r="H1922" s="8"/>
      <c r="I1922" s="15">
        <v>0</v>
      </c>
      <c r="J1922" s="15">
        <v>0</v>
      </c>
      <c r="K1922" s="12" t="str">
        <f>HYPERLINK("http://twitter.com","Twitter Web Client")</f>
        <v>Twitter Web Client</v>
      </c>
      <c r="L1922" s="16">
        <v>6</v>
      </c>
      <c r="M1922" s="16">
        <v>41</v>
      </c>
      <c r="N1922" s="16">
        <v>0</v>
      </c>
      <c r="O1922" s="17"/>
      <c r="P1922" s="18">
        <v>42429.56994212963</v>
      </c>
      <c r="Q1922" s="8"/>
      <c r="R1922" s="13" t="s">
        <v>11370</v>
      </c>
      <c r="S1922" s="8"/>
      <c r="T1922" s="8"/>
      <c r="U1922" s="19" t="str">
        <f>HYPERLINK("https://pbs.twimg.com/profile_images/704530040004976640/MmXaVQUg.jpg","View")</f>
        <v>View</v>
      </c>
      <c r="V1922" s="8"/>
      <c r="W1922" s="8"/>
      <c r="X1922" s="8"/>
      <c r="Y1922" s="8"/>
      <c r="Z1922" s="8"/>
    </row>
    <row r="1923" spans="1:26" ht="12.75">
      <c r="A1923" s="11">
        <v>43745.740023148144</v>
      </c>
      <c r="B1923" s="12" t="str">
        <f>HYPERLINK("https://twitter.com/soudmekdadjzbl","@soudmekdadjzbl")</f>
        <v>@soudmekdadjzbl</v>
      </c>
      <c r="C1923" s="13" t="s">
        <v>11583</v>
      </c>
      <c r="D1923" s="13" t="s">
        <v>11584</v>
      </c>
      <c r="E1923" s="12" t="str">
        <f>HYPERLINK("https://twitter.com/soudmekdadjzbl/status/1181370030841356288","1181370030841356288")</f>
        <v>1181370030841356288</v>
      </c>
      <c r="F1923" s="8"/>
      <c r="G1923" s="14" t="s">
        <v>11585</v>
      </c>
      <c r="H1923" s="8"/>
      <c r="I1923" s="15">
        <v>0</v>
      </c>
      <c r="J1923" s="15">
        <v>0</v>
      </c>
      <c r="K1923" s="12" t="str">
        <f>HYPERLINK("http://twitter.com","Twitter Web Client")</f>
        <v>Twitter Web Client</v>
      </c>
      <c r="L1923" s="16">
        <v>5</v>
      </c>
      <c r="M1923" s="16">
        <v>42</v>
      </c>
      <c r="N1923" s="16">
        <v>0</v>
      </c>
      <c r="O1923" s="17"/>
      <c r="P1923" s="18">
        <v>42429.754247685181</v>
      </c>
      <c r="Q1923" s="8"/>
      <c r="R1923" s="8" t="s">
        <v>4398</v>
      </c>
      <c r="S1923" s="8"/>
      <c r="T1923" s="8"/>
      <c r="U1923" s="19" t="str">
        <f>HYPERLINK("https://pbs.twimg.com/profile_images/704571081894596608/gP6tL9de.jpg","View")</f>
        <v>View</v>
      </c>
      <c r="V1923" s="8"/>
      <c r="W1923" s="8"/>
      <c r="X1923" s="8"/>
      <c r="Y1923" s="8"/>
      <c r="Z1923" s="8"/>
    </row>
    <row r="1924" spans="1:26" ht="12.75">
      <c r="A1924" s="11">
        <v>43745.73982638889</v>
      </c>
      <c r="B1924" s="12" t="str">
        <f>HYPERLINK("https://twitter.com/samialfifictupg","@samialfifictupg")</f>
        <v>@samialfifictupg</v>
      </c>
      <c r="C1924" s="13" t="s">
        <v>11593</v>
      </c>
      <c r="D1924" s="13" t="s">
        <v>11594</v>
      </c>
      <c r="E1924" s="12" t="str">
        <f>HYPERLINK("https://twitter.com/samialfifictupg/status/1181369957776527361","1181369957776527361")</f>
        <v>1181369957776527361</v>
      </c>
      <c r="F1924" s="8"/>
      <c r="G1924" s="14" t="s">
        <v>11595</v>
      </c>
      <c r="H1924" s="8"/>
      <c r="I1924" s="15">
        <v>0</v>
      </c>
      <c r="J1924" s="15">
        <v>0</v>
      </c>
      <c r="K1924" s="12" t="str">
        <f>HYPERLINK("http://twitter.com","Twitter Web Client")</f>
        <v>Twitter Web Client</v>
      </c>
      <c r="L1924" s="16">
        <v>16</v>
      </c>
      <c r="M1924" s="16">
        <v>43</v>
      </c>
      <c r="N1924" s="16">
        <v>0</v>
      </c>
      <c r="O1924" s="17"/>
      <c r="P1924" s="18">
        <v>42529.493472222224</v>
      </c>
      <c r="Q1924" s="8" t="s">
        <v>11596</v>
      </c>
      <c r="R1924" s="8" t="s">
        <v>11273</v>
      </c>
      <c r="S1924" s="8"/>
      <c r="T1924" s="8"/>
      <c r="U1924" s="19" t="str">
        <f>HYPERLINK("https://pbs.twimg.com/profile_images/740617138164146176/afdzQZFr.jpg","View")</f>
        <v>View</v>
      </c>
      <c r="V1924" s="8"/>
      <c r="W1924" s="8"/>
      <c r="X1924" s="8"/>
      <c r="Y1924" s="8"/>
      <c r="Z1924" s="8"/>
    </row>
    <row r="1925" spans="1:26" ht="12.75">
      <c r="A1925" s="11">
        <v>43745.739270833335</v>
      </c>
      <c r="B1925" s="12" t="str">
        <f>HYPERLINK("https://twitter.com/alyouniexolfumn","@alyouniexolfumn")</f>
        <v>@alyouniexolfumn</v>
      </c>
      <c r="C1925" s="13" t="s">
        <v>11599</v>
      </c>
      <c r="D1925" s="7" t="s">
        <v>4362</v>
      </c>
      <c r="E1925" s="12" t="str">
        <f>HYPERLINK("https://twitter.com/alyouniexolfumn/status/1181369756244434944","1181369756244434944")</f>
        <v>1181369756244434944</v>
      </c>
      <c r="F1925" s="8"/>
      <c r="G1925" s="14" t="s">
        <v>11600</v>
      </c>
      <c r="H1925" s="8"/>
      <c r="I1925" s="15">
        <v>0</v>
      </c>
      <c r="J1925" s="15">
        <v>0</v>
      </c>
      <c r="K1925" s="12" t="str">
        <f>HYPERLINK("http://twitter.com","Twitter Web Client")</f>
        <v>Twitter Web Client</v>
      </c>
      <c r="L1925" s="16">
        <v>7</v>
      </c>
      <c r="M1925" s="16">
        <v>41</v>
      </c>
      <c r="N1925" s="16">
        <v>0</v>
      </c>
      <c r="O1925" s="17"/>
      <c r="P1925" s="18">
        <v>42529.473495370374</v>
      </c>
      <c r="Q1925" s="7" t="s">
        <v>4112</v>
      </c>
      <c r="R1925" s="13" t="s">
        <v>11601</v>
      </c>
      <c r="S1925" s="8"/>
      <c r="T1925" s="8"/>
      <c r="U1925" s="19" t="str">
        <f>HYPERLINK("https://pbs.twimg.com/profile_images/740609887688855558/DueFnqYV.jpg","View")</f>
        <v>View</v>
      </c>
      <c r="V1925" s="8"/>
      <c r="W1925" s="8"/>
      <c r="X1925" s="8"/>
      <c r="Y1925" s="8"/>
      <c r="Z1925" s="8"/>
    </row>
    <row r="1926" spans="1:26" ht="12.75">
      <c r="A1926" s="11">
        <v>43745.738819444443</v>
      </c>
      <c r="B1926" s="12" t="str">
        <f>HYPERLINK("https://twitter.com/KillingJokez","@KillingJokez")</f>
        <v>@KillingJokez</v>
      </c>
      <c r="C1926" s="7" t="s">
        <v>11602</v>
      </c>
      <c r="D1926" s="7" t="s">
        <v>11603</v>
      </c>
      <c r="E1926" s="12" t="str">
        <f>HYPERLINK("https://twitter.com/KillingJokez/status/1181369593220276224","1181369593220276224")</f>
        <v>1181369593220276224</v>
      </c>
      <c r="F1926" s="14" t="s">
        <v>11604</v>
      </c>
      <c r="G1926" s="14" t="s">
        <v>11605</v>
      </c>
      <c r="H1926" s="8"/>
      <c r="I1926" s="15">
        <v>1</v>
      </c>
      <c r="J1926" s="15">
        <v>3</v>
      </c>
      <c r="K1926" s="12" t="str">
        <f>HYPERLINK("https://mobile.twitter.com","Twitter Web App")</f>
        <v>Twitter Web App</v>
      </c>
      <c r="L1926" s="16">
        <v>4302</v>
      </c>
      <c r="M1926" s="16">
        <v>4056</v>
      </c>
      <c r="N1926" s="16">
        <v>11</v>
      </c>
      <c r="O1926" s="17"/>
      <c r="P1926" s="18">
        <v>41526.207291666666</v>
      </c>
      <c r="Q1926" s="8" t="s">
        <v>9901</v>
      </c>
      <c r="R1926" s="7" t="s">
        <v>11606</v>
      </c>
      <c r="S1926" s="8"/>
      <c r="T1926" s="8"/>
      <c r="U1926" s="19" t="str">
        <f>HYPERLINK("https://pbs.twimg.com/profile_images/1174663657533399041/W3i8Req4.jpg","View")</f>
        <v>View</v>
      </c>
      <c r="V1926" s="8"/>
      <c r="W1926" s="8"/>
      <c r="X1926" s="8"/>
      <c r="Y1926" s="8"/>
      <c r="Z1926" s="8"/>
    </row>
    <row r="1927" spans="1:26" ht="12.75">
      <c r="A1927" s="11">
        <v>43745.737847222219</v>
      </c>
      <c r="B1927" s="12" t="str">
        <f>HYPERLINK("https://twitter.com/moharramawaoupj","@moharramawaoupj")</f>
        <v>@moharramawaoupj</v>
      </c>
      <c r="C1927" s="13" t="s">
        <v>11609</v>
      </c>
      <c r="D1927" s="7" t="s">
        <v>11610</v>
      </c>
      <c r="E1927" s="12" t="str">
        <f>HYPERLINK("https://twitter.com/moharramawaoupj/status/1181369240835837952","1181369240835837952")</f>
        <v>1181369240835837952</v>
      </c>
      <c r="F1927" s="8"/>
      <c r="G1927" s="14" t="s">
        <v>11611</v>
      </c>
      <c r="H1927" s="8"/>
      <c r="I1927" s="15">
        <v>0</v>
      </c>
      <c r="J1927" s="15">
        <v>0</v>
      </c>
      <c r="K1927" s="12" t="str">
        <f>HYPERLINK("http://twitter.com","Twitter Web Client")</f>
        <v>Twitter Web Client</v>
      </c>
      <c r="L1927" s="16">
        <v>1</v>
      </c>
      <c r="M1927" s="16">
        <v>38</v>
      </c>
      <c r="N1927" s="16">
        <v>0</v>
      </c>
      <c r="O1927" s="17"/>
      <c r="P1927" s="18">
        <v>42496.920752314814</v>
      </c>
      <c r="Q1927" s="7" t="s">
        <v>11525</v>
      </c>
      <c r="R1927" s="13" t="s">
        <v>11613</v>
      </c>
      <c r="S1927" s="8"/>
      <c r="T1927" s="8"/>
      <c r="U1927" s="19" t="str">
        <f>HYPERLINK("https://pbs.twimg.com/profile_images/728814055335460864/2j-SRSqC.jpg","View")</f>
        <v>View</v>
      </c>
      <c r="V1927" s="8"/>
      <c r="W1927" s="8"/>
      <c r="X1927" s="8"/>
      <c r="Y1927" s="8"/>
      <c r="Z1927" s="8"/>
    </row>
    <row r="1928" spans="1:26" ht="12.75">
      <c r="A1928" s="11">
        <v>43745.737650462965</v>
      </c>
      <c r="B1928" s="12" t="str">
        <f>HYPERLINK("https://twitter.com/magedanziydyx","@magedanziydyx")</f>
        <v>@magedanziydyx</v>
      </c>
      <c r="C1928" s="7" t="s">
        <v>11614</v>
      </c>
      <c r="D1928" s="7" t="s">
        <v>11615</v>
      </c>
      <c r="E1928" s="12" t="str">
        <f>HYPERLINK("https://twitter.com/magedanziydyx/status/1181369168605646848","1181369168605646848")</f>
        <v>1181369168605646848</v>
      </c>
      <c r="F1928" s="15"/>
      <c r="G1928" s="14" t="s">
        <v>11616</v>
      </c>
      <c r="H1928" s="8"/>
      <c r="I1928" s="15">
        <v>0</v>
      </c>
      <c r="J1928" s="15">
        <v>0</v>
      </c>
      <c r="K1928" s="12" t="str">
        <f>HYPERLINK("http://twitter.com","Twitter Web Client")</f>
        <v>Twitter Web Client</v>
      </c>
      <c r="L1928" s="16">
        <v>15</v>
      </c>
      <c r="M1928" s="16">
        <v>42</v>
      </c>
      <c r="N1928" s="16">
        <v>0</v>
      </c>
      <c r="O1928" s="17"/>
      <c r="P1928" s="18">
        <v>42533.476041666669</v>
      </c>
      <c r="Q1928" s="8" t="s">
        <v>11619</v>
      </c>
      <c r="R1928" s="7" t="s">
        <v>11059</v>
      </c>
      <c r="S1928" s="8"/>
      <c r="T1928" s="8"/>
      <c r="U1928" s="19" t="str">
        <f>HYPERLINK("https://pbs.twimg.com/profile_images/742060351567581184/iWrSgNR8.jpg","View")</f>
        <v>View</v>
      </c>
      <c r="V1928" s="8"/>
      <c r="W1928" s="8"/>
      <c r="X1928" s="8"/>
      <c r="Y1928" s="8"/>
      <c r="Z1928" s="8"/>
    </row>
    <row r="1929" spans="1:26" ht="12.75">
      <c r="A1929" s="11">
        <v>43745.736087962963</v>
      </c>
      <c r="B1929" s="12" t="str">
        <f>HYPERLINK("https://twitter.com/elawihotyxijk","@elawihotyxijk")</f>
        <v>@elawihotyxijk</v>
      </c>
      <c r="C1929" s="13" t="s">
        <v>11620</v>
      </c>
      <c r="D1929" s="13" t="s">
        <v>11621</v>
      </c>
      <c r="E1929" s="12" t="str">
        <f>HYPERLINK("https://twitter.com/elawihotyxijk/status/1181368605172211712","1181368605172211712")</f>
        <v>1181368605172211712</v>
      </c>
      <c r="F1929" s="8"/>
      <c r="G1929" s="14" t="s">
        <v>11622</v>
      </c>
      <c r="H1929" s="8"/>
      <c r="I1929" s="15">
        <v>0</v>
      </c>
      <c r="J1929" s="15">
        <v>0</v>
      </c>
      <c r="K1929" s="12" t="str">
        <f>HYPERLINK("http://twitter.com","Twitter Web Client")</f>
        <v>Twitter Web Client</v>
      </c>
      <c r="L1929" s="16">
        <v>3</v>
      </c>
      <c r="M1929" s="16">
        <v>41</v>
      </c>
      <c r="N1929" s="16">
        <v>0</v>
      </c>
      <c r="O1929" s="17"/>
      <c r="P1929" s="18">
        <v>42429.718692129631</v>
      </c>
      <c r="Q1929" s="8"/>
      <c r="R1929" s="8" t="s">
        <v>4185</v>
      </c>
      <c r="S1929" s="8"/>
      <c r="T1929" s="8"/>
      <c r="U1929" s="19" t="str">
        <f>HYPERLINK("https://pbs.twimg.com/profile_images/704556860523814913/WbBrPoDk.jpg","View")</f>
        <v>View</v>
      </c>
      <c r="V1929" s="8"/>
      <c r="W1929" s="8"/>
      <c r="X1929" s="8"/>
      <c r="Y1929" s="8"/>
      <c r="Z1929" s="8"/>
    </row>
    <row r="1930" spans="1:26" ht="12.75">
      <c r="A1930" s="11">
        <v>43745.735891203702</v>
      </c>
      <c r="B1930" s="12" t="str">
        <f>HYPERLINK("https://twitter.com/slemanbansaniiu","@slemanbansaniiu")</f>
        <v>@slemanbansaniiu</v>
      </c>
      <c r="C1930" s="7" t="s">
        <v>11626</v>
      </c>
      <c r="D1930" s="13" t="s">
        <v>1168</v>
      </c>
      <c r="E1930" s="12" t="str">
        <f>HYPERLINK("https://twitter.com/slemanbansaniiu/status/1181368532002594818","1181368532002594818")</f>
        <v>1181368532002594818</v>
      </c>
      <c r="F1930" s="8"/>
      <c r="G1930" s="14" t="s">
        <v>11629</v>
      </c>
      <c r="H1930" s="8"/>
      <c r="I1930" s="15">
        <v>0</v>
      </c>
      <c r="J1930" s="15">
        <v>0</v>
      </c>
      <c r="K1930" s="12" t="str">
        <f>HYPERLINK("http://twitter.com","Twitter Web Client")</f>
        <v>Twitter Web Client</v>
      </c>
      <c r="L1930" s="16">
        <v>2</v>
      </c>
      <c r="M1930" s="16">
        <v>41</v>
      </c>
      <c r="N1930" s="16">
        <v>0</v>
      </c>
      <c r="O1930" s="17"/>
      <c r="P1930" s="18">
        <v>42429.552754629629</v>
      </c>
      <c r="Q1930" s="8"/>
      <c r="R1930" s="7" t="s">
        <v>11631</v>
      </c>
      <c r="S1930" s="8"/>
      <c r="T1930" s="8"/>
      <c r="U1930" s="19" t="str">
        <f>HYPERLINK("https://pbs.twimg.com/profile_images/704524072470913024/OVQ7LW__.jpg","View")</f>
        <v>View</v>
      </c>
      <c r="V1930" s="8"/>
      <c r="W1930" s="8"/>
      <c r="X1930" s="8"/>
      <c r="Y1930" s="8"/>
      <c r="Z1930" s="8"/>
    </row>
    <row r="1931" spans="1:26" ht="12.75">
      <c r="A1931" s="11">
        <v>43745.7347337963</v>
      </c>
      <c r="B1931" s="12" t="str">
        <f>HYPERLINK("https://twitter.com/soltanhalwaozfs","@soltanhalwaozfs")</f>
        <v>@soltanhalwaozfs</v>
      </c>
      <c r="C1931" s="7" t="s">
        <v>11633</v>
      </c>
      <c r="D1931" s="13" t="s">
        <v>11634</v>
      </c>
      <c r="E1931" s="12" t="str">
        <f>HYPERLINK("https://twitter.com/soltanhalwaozfs/status/1181368111469084672","1181368111469084672")</f>
        <v>1181368111469084672</v>
      </c>
      <c r="F1931" s="8"/>
      <c r="G1931" s="14" t="s">
        <v>11637</v>
      </c>
      <c r="H1931" s="8"/>
      <c r="I1931" s="15">
        <v>0</v>
      </c>
      <c r="J1931" s="15">
        <v>0</v>
      </c>
      <c r="K1931" s="12" t="str">
        <f>HYPERLINK("http://twitter.com","Twitter Web Client")</f>
        <v>Twitter Web Client</v>
      </c>
      <c r="L1931" s="16">
        <v>37</v>
      </c>
      <c r="M1931" s="16">
        <v>42</v>
      </c>
      <c r="N1931" s="16">
        <v>0</v>
      </c>
      <c r="O1931" s="17"/>
      <c r="P1931" s="18">
        <v>42429.513333333336</v>
      </c>
      <c r="Q1931" s="8"/>
      <c r="R1931" s="7" t="s">
        <v>11639</v>
      </c>
      <c r="S1931" s="8"/>
      <c r="T1931" s="8"/>
      <c r="U1931" s="19" t="str">
        <f>HYPERLINK("https://pbs.twimg.com/profile_images/704509416469618689/ML2AIYae.jpg","View")</f>
        <v>View</v>
      </c>
      <c r="V1931" s="8"/>
      <c r="W1931" s="8"/>
      <c r="X1931" s="8"/>
      <c r="Y1931" s="8"/>
      <c r="Z1931" s="8"/>
    </row>
    <row r="1932" spans="1:26" ht="12.75">
      <c r="A1932" s="11">
        <v>43745.734525462962</v>
      </c>
      <c r="B1932" s="12" t="str">
        <f>HYPERLINK("https://twitter.com/khalilathatpxiy","@khalilathatpxiy")</f>
        <v>@khalilathatpxiy</v>
      </c>
      <c r="C1932" s="7" t="s">
        <v>11642</v>
      </c>
      <c r="D1932" s="13" t="s">
        <v>4830</v>
      </c>
      <c r="E1932" s="12" t="str">
        <f>HYPERLINK("https://twitter.com/khalilathatpxiy/status/1181368039239016449","1181368039239016449")</f>
        <v>1181368039239016449</v>
      </c>
      <c r="F1932" s="8"/>
      <c r="G1932" s="14" t="s">
        <v>11643</v>
      </c>
      <c r="H1932" s="8"/>
      <c r="I1932" s="15">
        <v>0</v>
      </c>
      <c r="J1932" s="15">
        <v>0</v>
      </c>
      <c r="K1932" s="12" t="str">
        <f>HYPERLINK("http://twitter.com","Twitter Web Client")</f>
        <v>Twitter Web Client</v>
      </c>
      <c r="L1932" s="16">
        <v>11</v>
      </c>
      <c r="M1932" s="16">
        <v>45</v>
      </c>
      <c r="N1932" s="16">
        <v>0</v>
      </c>
      <c r="O1932" s="17"/>
      <c r="P1932" s="18">
        <v>42532.718333333338</v>
      </c>
      <c r="Q1932" s="8" t="s">
        <v>11647</v>
      </c>
      <c r="R1932" s="7" t="s">
        <v>11648</v>
      </c>
      <c r="S1932" s="8"/>
      <c r="T1932" s="8"/>
      <c r="U1932" s="19" t="str">
        <f>HYPERLINK("https://pbs.twimg.com/profile_images/741785767933050884/BA8xxyi_.jpg","View")</f>
        <v>View</v>
      </c>
      <c r="V1932" s="8"/>
      <c r="W1932" s="8"/>
      <c r="X1932" s="8"/>
      <c r="Y1932" s="8"/>
      <c r="Z1932" s="8"/>
    </row>
    <row r="1933" spans="1:26" ht="12.75">
      <c r="A1933" s="11">
        <v>43745.734328703707</v>
      </c>
      <c r="B1933" s="12" t="str">
        <f>HYPERLINK("https://twitter.com/mazenmoatyxlmkb","@mazenmoatyxlmkb")</f>
        <v>@mazenmoatyxlmkb</v>
      </c>
      <c r="C1933" s="13" t="s">
        <v>11649</v>
      </c>
      <c r="D1933" s="7" t="s">
        <v>11651</v>
      </c>
      <c r="E1933" s="12" t="str">
        <f>HYPERLINK("https://twitter.com/mazenmoatyxlmkb/status/1181367966769778688","1181367966769778688")</f>
        <v>1181367966769778688</v>
      </c>
      <c r="F1933" s="8"/>
      <c r="G1933" s="14" t="s">
        <v>11653</v>
      </c>
      <c r="H1933" s="8"/>
      <c r="I1933" s="15">
        <v>0</v>
      </c>
      <c r="J1933" s="15">
        <v>0</v>
      </c>
      <c r="K1933" s="12" t="str">
        <f>HYPERLINK("http://twitter.com","Twitter Web Client")</f>
        <v>Twitter Web Client</v>
      </c>
      <c r="L1933" s="16">
        <v>4</v>
      </c>
      <c r="M1933" s="16">
        <v>38</v>
      </c>
      <c r="N1933" s="16">
        <v>0</v>
      </c>
      <c r="O1933" s="17"/>
      <c r="P1933" s="18">
        <v>42509.120081018518</v>
      </c>
      <c r="Q1933" s="7" t="s">
        <v>11657</v>
      </c>
      <c r="R1933" s="13" t="s">
        <v>11601</v>
      </c>
      <c r="S1933" s="8"/>
      <c r="T1933" s="8"/>
      <c r="U1933" s="19" t="str">
        <f>HYPERLINK("https://pbs.twimg.com/profile_images/733234151512539136/jjc3cR4y.jpg","View")</f>
        <v>View</v>
      </c>
      <c r="V1933" s="8"/>
      <c r="W1933" s="8"/>
      <c r="X1933" s="8"/>
      <c r="Y1933" s="8"/>
      <c r="Z1933" s="8"/>
    </row>
    <row r="1934" spans="1:26" ht="12.75">
      <c r="A1934" s="11">
        <v>43745.733576388884</v>
      </c>
      <c r="B1934" s="12" t="str">
        <f>HYPERLINK("https://twitter.com/gebrelmotawntop","@gebrelmotawntop")</f>
        <v>@gebrelmotawntop</v>
      </c>
      <c r="C1934" s="13" t="s">
        <v>11661</v>
      </c>
      <c r="D1934" s="13" t="s">
        <v>5503</v>
      </c>
      <c r="E1934" s="12" t="str">
        <f>HYPERLINK("https://twitter.com/gebrelmotawntop/status/1181367691963187210","1181367691963187210")</f>
        <v>1181367691963187210</v>
      </c>
      <c r="F1934" s="8"/>
      <c r="G1934" s="14" t="s">
        <v>11663</v>
      </c>
      <c r="H1934" s="8"/>
      <c r="I1934" s="15">
        <v>0</v>
      </c>
      <c r="J1934" s="15">
        <v>0</v>
      </c>
      <c r="K1934" s="12" t="str">
        <f>HYPERLINK("http://twitter.com","Twitter Web Client")</f>
        <v>Twitter Web Client</v>
      </c>
      <c r="L1934" s="16">
        <v>18</v>
      </c>
      <c r="M1934" s="16">
        <v>49</v>
      </c>
      <c r="N1934" s="16">
        <v>0</v>
      </c>
      <c r="O1934" s="17"/>
      <c r="P1934" s="18">
        <v>42529.514201388884</v>
      </c>
      <c r="Q1934" s="8" t="s">
        <v>11664</v>
      </c>
      <c r="R1934" s="8" t="s">
        <v>11665</v>
      </c>
      <c r="S1934" s="8"/>
      <c r="T1934" s="8"/>
      <c r="U1934" s="19" t="str">
        <f>HYPERLINK("https://pbs.twimg.com/profile_images/740624639685218304/NKlJuCy6.jpg","View")</f>
        <v>View</v>
      </c>
      <c r="V1934" s="8"/>
      <c r="W1934" s="8"/>
      <c r="X1934" s="8"/>
      <c r="Y1934" s="8"/>
      <c r="Z1934" s="8"/>
    </row>
    <row r="1935" spans="1:26" ht="12.75">
      <c r="A1935" s="11">
        <v>43745.73336805556</v>
      </c>
      <c r="B1935" s="12" t="str">
        <f>HYPERLINK("https://twitter.com/shaddadkhatymdu","@shaddadkhatymdu")</f>
        <v>@shaddadkhatymdu</v>
      </c>
      <c r="C1935" s="13" t="s">
        <v>11667</v>
      </c>
      <c r="D1935" s="7" t="s">
        <v>3935</v>
      </c>
      <c r="E1935" s="12" t="str">
        <f>HYPERLINK("https://twitter.com/shaddadkhatymdu/status/1181367618504187906","1181367618504187906")</f>
        <v>1181367618504187906</v>
      </c>
      <c r="F1935" s="8"/>
      <c r="G1935" s="14" t="s">
        <v>11668</v>
      </c>
      <c r="H1935" s="8"/>
      <c r="I1935" s="15">
        <v>0</v>
      </c>
      <c r="J1935" s="15">
        <v>1</v>
      </c>
      <c r="K1935" s="12" t="str">
        <f>HYPERLINK("http://twitter.com","Twitter Web Client")</f>
        <v>Twitter Web Client</v>
      </c>
      <c r="L1935" s="16">
        <v>1</v>
      </c>
      <c r="M1935" s="16">
        <v>39</v>
      </c>
      <c r="N1935" s="16">
        <v>0</v>
      </c>
      <c r="O1935" s="17"/>
      <c r="P1935" s="18">
        <v>42509.521631944444</v>
      </c>
      <c r="Q1935" s="7" t="s">
        <v>11669</v>
      </c>
      <c r="R1935" s="13" t="s">
        <v>11301</v>
      </c>
      <c r="S1935" s="8"/>
      <c r="T1935" s="8"/>
      <c r="U1935" s="19" t="str">
        <f>HYPERLINK("https://pbs.twimg.com/profile_images/733379587397300224/ULvpxZwT.jpg","View")</f>
        <v>View</v>
      </c>
      <c r="V1935" s="8"/>
      <c r="W1935" s="8"/>
      <c r="X1935" s="8"/>
      <c r="Y1935" s="8"/>
      <c r="Z1935" s="8"/>
    </row>
    <row r="1936" spans="1:26" ht="12.75">
      <c r="A1936" s="11">
        <v>43745.732766203699</v>
      </c>
      <c r="B1936" s="12" t="str">
        <f>HYPERLINK("https://twitter.com/sakraaliazwu","@sakraaliazwu")</f>
        <v>@sakraaliazwu</v>
      </c>
      <c r="C1936" s="13" t="s">
        <v>11670</v>
      </c>
      <c r="D1936" s="13" t="s">
        <v>6194</v>
      </c>
      <c r="E1936" s="12" t="str">
        <f>HYPERLINK("https://twitter.com/sakraaliazwu/status/1181367400698191872","1181367400698191872")</f>
        <v>1181367400698191872</v>
      </c>
      <c r="F1936" s="8"/>
      <c r="G1936" s="14" t="s">
        <v>11671</v>
      </c>
      <c r="H1936" s="8"/>
      <c r="I1936" s="15">
        <v>0</v>
      </c>
      <c r="J1936" s="15">
        <v>0</v>
      </c>
      <c r="K1936" s="12" t="str">
        <f>HYPERLINK("http://twitter.com","Twitter Web Client")</f>
        <v>Twitter Web Client</v>
      </c>
      <c r="L1936" s="16">
        <v>4</v>
      </c>
      <c r="M1936" s="16">
        <v>42</v>
      </c>
      <c r="N1936" s="16">
        <v>0</v>
      </c>
      <c r="O1936" s="17"/>
      <c r="P1936" s="18">
        <v>42429.559259259258</v>
      </c>
      <c r="Q1936" s="8"/>
      <c r="R1936" s="8" t="s">
        <v>11487</v>
      </c>
      <c r="S1936" s="8"/>
      <c r="T1936" s="8"/>
      <c r="U1936" s="19" t="str">
        <f>HYPERLINK("https://pbs.twimg.com/profile_images/704526284731392000/amAHAD1_.jpg","View")</f>
        <v>View</v>
      </c>
      <c r="V1936" s="8"/>
      <c r="W1936" s="8"/>
      <c r="X1936" s="8"/>
      <c r="Y1936" s="8"/>
      <c r="Z1936" s="8"/>
    </row>
    <row r="1937" spans="1:26" ht="12.75">
      <c r="A1937" s="11">
        <v>43745.732199074075</v>
      </c>
      <c r="B1937" s="12" t="str">
        <f>HYPERLINK("https://twitter.com/oudahsowaidesrc","@oudahsowaidesrc")</f>
        <v>@oudahsowaidesrc</v>
      </c>
      <c r="C1937" s="13" t="s">
        <v>11673</v>
      </c>
      <c r="D1937" s="13" t="s">
        <v>11674</v>
      </c>
      <c r="E1937" s="12" t="str">
        <f>HYPERLINK("https://twitter.com/oudahsowaidesrc/status/1181367195256999942","1181367195256999942")</f>
        <v>1181367195256999942</v>
      </c>
      <c r="F1937" s="8"/>
      <c r="G1937" s="14" t="s">
        <v>11675</v>
      </c>
      <c r="H1937" s="8"/>
      <c r="I1937" s="15">
        <v>0</v>
      </c>
      <c r="J1937" s="15">
        <v>0</v>
      </c>
      <c r="K1937" s="12" t="str">
        <f>HYPERLINK("http://twitter.com","Twitter Web Client")</f>
        <v>Twitter Web Client</v>
      </c>
      <c r="L1937" s="16">
        <v>8</v>
      </c>
      <c r="M1937" s="16">
        <v>44</v>
      </c>
      <c r="N1937" s="16">
        <v>0</v>
      </c>
      <c r="O1937" s="17"/>
      <c r="P1937" s="18">
        <v>42529.009733796294</v>
      </c>
      <c r="Q1937" s="8" t="s">
        <v>11006</v>
      </c>
      <c r="R1937" s="8" t="s">
        <v>11676</v>
      </c>
      <c r="S1937" s="8"/>
      <c r="T1937" s="8"/>
      <c r="U1937" s="19" t="str">
        <f>HYPERLINK("https://pbs.twimg.com/profile_images/740441819864047617/tQHLtbo1.jpg","View")</f>
        <v>View</v>
      </c>
      <c r="V1937" s="8"/>
      <c r="W1937" s="8"/>
      <c r="X1937" s="8"/>
      <c r="Y1937" s="8"/>
      <c r="Z1937" s="8"/>
    </row>
    <row r="1938" spans="1:26" ht="12.75">
      <c r="A1938" s="11">
        <v>43745.732002314813</v>
      </c>
      <c r="B1938" s="12" t="str">
        <f>HYPERLINK("https://twitter.com/hamadakabdywraj","@hamadakabdywraj")</f>
        <v>@hamadakabdywraj</v>
      </c>
      <c r="C1938" s="13" t="s">
        <v>11677</v>
      </c>
      <c r="D1938" s="7" t="s">
        <v>6326</v>
      </c>
      <c r="E1938" s="12" t="str">
        <f>HYPERLINK("https://twitter.com/hamadakabdywraj/status/1181367122108268545","1181367122108268545")</f>
        <v>1181367122108268545</v>
      </c>
      <c r="F1938" s="8"/>
      <c r="G1938" s="14" t="s">
        <v>11678</v>
      </c>
      <c r="H1938" s="8"/>
      <c r="I1938" s="15">
        <v>0</v>
      </c>
      <c r="J1938" s="15">
        <v>0</v>
      </c>
      <c r="K1938" s="12" t="str">
        <f>HYPERLINK("http://twitter.com","Twitter Web Client")</f>
        <v>Twitter Web Client</v>
      </c>
      <c r="L1938" s="16">
        <v>7</v>
      </c>
      <c r="M1938" s="16">
        <v>47</v>
      </c>
      <c r="N1938" s="16">
        <v>0</v>
      </c>
      <c r="O1938" s="17"/>
      <c r="P1938" s="18">
        <v>42533.468101851853</v>
      </c>
      <c r="Q1938" s="7" t="s">
        <v>11285</v>
      </c>
      <c r="R1938" s="13" t="s">
        <v>11682</v>
      </c>
      <c r="S1938" s="8"/>
      <c r="T1938" s="8"/>
      <c r="U1938" s="19" t="str">
        <f>HYPERLINK("https://pbs.twimg.com/profile_images/742057470923841536/uAONKREr.jpg","View")</f>
        <v>View</v>
      </c>
      <c r="V1938" s="8"/>
      <c r="W1938" s="8"/>
      <c r="X1938" s="8"/>
      <c r="Y1938" s="8"/>
      <c r="Z1938" s="8"/>
    </row>
    <row r="1939" spans="1:26" ht="12.75">
      <c r="A1939" s="11">
        <v>43745.731805555552</v>
      </c>
      <c r="B1939" s="12" t="str">
        <f>HYPERLINK("https://twitter.com/omarabdelrangdw","@omarabdelrangdw")</f>
        <v>@omarabdelrangdw</v>
      </c>
      <c r="C1939" s="13" t="s">
        <v>11683</v>
      </c>
      <c r="D1939" s="13" t="s">
        <v>11684</v>
      </c>
      <c r="E1939" s="12" t="str">
        <f>HYPERLINK("https://twitter.com/omarabdelrangdw/status/1181367050603814913","1181367050603814913")</f>
        <v>1181367050603814913</v>
      </c>
      <c r="F1939" s="8"/>
      <c r="G1939" s="14" t="s">
        <v>11685</v>
      </c>
      <c r="H1939" s="8"/>
      <c r="I1939" s="15">
        <v>0</v>
      </c>
      <c r="J1939" s="15">
        <v>0</v>
      </c>
      <c r="K1939" s="12" t="str">
        <f>HYPERLINK("http://twitter.com","Twitter Web Client")</f>
        <v>Twitter Web Client</v>
      </c>
      <c r="L1939" s="16">
        <v>4</v>
      </c>
      <c r="M1939" s="16">
        <v>39</v>
      </c>
      <c r="N1939" s="16">
        <v>0</v>
      </c>
      <c r="O1939" s="17"/>
      <c r="P1939" s="18">
        <v>42458.442500000005</v>
      </c>
      <c r="Q1939" s="8" t="s">
        <v>11688</v>
      </c>
      <c r="R1939" s="8" t="s">
        <v>11689</v>
      </c>
      <c r="S1939" s="8"/>
      <c r="T1939" s="8"/>
      <c r="U1939" s="19" t="str">
        <f>HYPERLINK("https://pbs.twimg.com/profile_images/714985270379225089/TsXcF15L.jpg","View")</f>
        <v>View</v>
      </c>
      <c r="V1939" s="8"/>
      <c r="W1939" s="8"/>
      <c r="X1939" s="8"/>
      <c r="Y1939" s="8"/>
      <c r="Z1939" s="8"/>
    </row>
    <row r="1940" spans="1:26" ht="12.75">
      <c r="A1940" s="11">
        <v>43745.730775462958</v>
      </c>
      <c r="B1940" s="12" t="str">
        <f>HYPERLINK("https://twitter.com/fayedsebeatrev","@fayedsebeatrev")</f>
        <v>@fayedsebeatrev</v>
      </c>
      <c r="C1940" s="13" t="s">
        <v>11693</v>
      </c>
      <c r="D1940" s="13" t="s">
        <v>2455</v>
      </c>
      <c r="E1940" s="12" t="str">
        <f>HYPERLINK("https://twitter.com/fayedsebeatrev/status/1181366676815831040","1181366676815831040")</f>
        <v>1181366676815831040</v>
      </c>
      <c r="F1940" s="8"/>
      <c r="G1940" s="14" t="s">
        <v>11694</v>
      </c>
      <c r="H1940" s="8"/>
      <c r="I1940" s="15">
        <v>0</v>
      </c>
      <c r="J1940" s="15">
        <v>0</v>
      </c>
      <c r="K1940" s="12" t="str">
        <f>HYPERLINK("http://twitter.com","Twitter Web Client")</f>
        <v>Twitter Web Client</v>
      </c>
      <c r="L1940" s="16">
        <v>3</v>
      </c>
      <c r="M1940" s="16">
        <v>42</v>
      </c>
      <c r="N1940" s="16">
        <v>0</v>
      </c>
      <c r="O1940" s="17"/>
      <c r="P1940" s="18">
        <v>42429.484340277777</v>
      </c>
      <c r="Q1940" s="8"/>
      <c r="R1940" s="8" t="s">
        <v>4453</v>
      </c>
      <c r="S1940" s="8"/>
      <c r="T1940" s="8"/>
      <c r="U1940" s="19" t="str">
        <f>HYPERLINK("https://pbs.twimg.com/profile_images/704498430928752640/haYdWrlp.jpg","View")</f>
        <v>View</v>
      </c>
      <c r="V1940" s="8"/>
      <c r="W1940" s="8"/>
      <c r="X1940" s="8"/>
      <c r="Y1940" s="8"/>
      <c r="Z1940" s="8"/>
    </row>
    <row r="1941" spans="1:26" ht="12.75">
      <c r="A1941" s="11">
        <v>43745.729756944449</v>
      </c>
      <c r="B1941" s="12" t="str">
        <f>HYPERLINK("https://twitter.com/redamehaniavric","@redamehaniavric")</f>
        <v>@redamehaniavric</v>
      </c>
      <c r="C1941" s="13" t="s">
        <v>11699</v>
      </c>
      <c r="D1941" s="13" t="s">
        <v>11700</v>
      </c>
      <c r="E1941" s="12" t="str">
        <f>HYPERLINK("https://twitter.com/redamehaniavric/status/1181366308476276736","1181366308476276736")</f>
        <v>1181366308476276736</v>
      </c>
      <c r="F1941" s="8"/>
      <c r="G1941" s="14" t="s">
        <v>11701</v>
      </c>
      <c r="H1941" s="8"/>
      <c r="I1941" s="15">
        <v>0</v>
      </c>
      <c r="J1941" s="15">
        <v>0</v>
      </c>
      <c r="K1941" s="12" t="str">
        <f>HYPERLINK("http://twitter.com","Twitter Web Client")</f>
        <v>Twitter Web Client</v>
      </c>
      <c r="L1941" s="16">
        <v>3</v>
      </c>
      <c r="M1941" s="16">
        <v>39</v>
      </c>
      <c r="N1941" s="16">
        <v>0</v>
      </c>
      <c r="O1941" s="17"/>
      <c r="P1941" s="18">
        <v>42496.856550925921</v>
      </c>
      <c r="Q1941" s="8"/>
      <c r="R1941" s="8" t="s">
        <v>11703</v>
      </c>
      <c r="S1941" s="8"/>
      <c r="T1941" s="8"/>
      <c r="U1941" s="19" t="str">
        <f>HYPERLINK("https://pbs.twimg.com/profile_images/728790193784893442/FHRifO6_.jpg","View")</f>
        <v>View</v>
      </c>
      <c r="V1941" s="8"/>
      <c r="W1941" s="8"/>
      <c r="X1941" s="8"/>
      <c r="Y1941" s="8"/>
      <c r="Z1941" s="8"/>
    </row>
    <row r="1942" spans="1:26" ht="12.75">
      <c r="A1942" s="11">
        <v>43745.729398148149</v>
      </c>
      <c r="B1942" s="12" t="str">
        <f>HYPERLINK("https://twitter.com/ebadiowaisooycb","@ebadiowaisooycb")</f>
        <v>@ebadiowaisooycb</v>
      </c>
      <c r="C1942" s="13" t="s">
        <v>11706</v>
      </c>
      <c r="D1942" s="7" t="s">
        <v>4075</v>
      </c>
      <c r="E1942" s="12" t="str">
        <f>HYPERLINK("https://twitter.com/ebadiowaisooycb/status/1181366179077771264","1181366179077771264")</f>
        <v>1181366179077771264</v>
      </c>
      <c r="F1942" s="8"/>
      <c r="G1942" s="14" t="s">
        <v>11707</v>
      </c>
      <c r="H1942" s="8"/>
      <c r="I1942" s="15">
        <v>0</v>
      </c>
      <c r="J1942" s="15">
        <v>0</v>
      </c>
      <c r="K1942" s="12" t="str">
        <f>HYPERLINK("http://twitter.com","Twitter Web Client")</f>
        <v>Twitter Web Client</v>
      </c>
      <c r="L1942" s="16">
        <v>3</v>
      </c>
      <c r="M1942" s="16">
        <v>37</v>
      </c>
      <c r="N1942" s="16">
        <v>0</v>
      </c>
      <c r="O1942" s="17"/>
      <c r="P1942" s="18">
        <v>42496.920983796299</v>
      </c>
      <c r="Q1942" s="7"/>
      <c r="R1942" s="13" t="s">
        <v>11708</v>
      </c>
      <c r="S1942" s="8"/>
      <c r="T1942" s="8"/>
      <c r="U1942" s="19" t="str">
        <f>HYPERLINK("https://pbs.twimg.com/profile_images/728813910992760832/wJSdGT2i.jpg","View")</f>
        <v>View</v>
      </c>
      <c r="V1942" s="8"/>
      <c r="W1942" s="8"/>
      <c r="X1942" s="8"/>
      <c r="Y1942" s="8"/>
      <c r="Z1942" s="8"/>
    </row>
    <row r="1943" spans="1:26" ht="12.75">
      <c r="A1943" s="11">
        <v>43745.727939814809</v>
      </c>
      <c r="B1943" s="12" t="str">
        <f>HYPERLINK("https://twitter.com/tawfikferehxvsa","@tawfikferehxvsa")</f>
        <v>@tawfikferehxvsa</v>
      </c>
      <c r="C1943" s="13" t="s">
        <v>11709</v>
      </c>
      <c r="D1943" s="13" t="s">
        <v>11710</v>
      </c>
      <c r="E1943" s="12" t="str">
        <f>HYPERLINK("https://twitter.com/tawfikferehxvsa/status/1181365652210274304","1181365652210274304")</f>
        <v>1181365652210274304</v>
      </c>
      <c r="F1943" s="8"/>
      <c r="G1943" s="14" t="s">
        <v>11711</v>
      </c>
      <c r="H1943" s="8"/>
      <c r="I1943" s="15">
        <v>0</v>
      </c>
      <c r="J1943" s="15">
        <v>0</v>
      </c>
      <c r="K1943" s="12" t="str">
        <f>HYPERLINK("http://twitter.com","Twitter Web Client")</f>
        <v>Twitter Web Client</v>
      </c>
      <c r="L1943" s="16">
        <v>5</v>
      </c>
      <c r="M1943" s="16">
        <v>37</v>
      </c>
      <c r="N1943" s="16">
        <v>0</v>
      </c>
      <c r="O1943" s="17"/>
      <c r="P1943" s="18">
        <v>42507.935740740737</v>
      </c>
      <c r="Q1943" s="7" t="s">
        <v>4307</v>
      </c>
      <c r="R1943" s="13" t="s">
        <v>11714</v>
      </c>
      <c r="S1943" s="8"/>
      <c r="T1943" s="8"/>
      <c r="U1943" s="19" t="str">
        <f>HYPERLINK("https://pbs.twimg.com/profile_images/732807019695091713/txunigsN.jpg","View")</f>
        <v>View</v>
      </c>
      <c r="V1943" s="8"/>
      <c r="W1943" s="8"/>
      <c r="X1943" s="8"/>
      <c r="Y1943" s="8"/>
      <c r="Z1943" s="8"/>
    </row>
    <row r="1944" spans="1:26" ht="12.75">
      <c r="A1944" s="11">
        <v>43745.727743055555</v>
      </c>
      <c r="B1944" s="12" t="str">
        <f>HYPERLINK("https://twitter.com/normeadmeygpiec","@normeadmeygpiec")</f>
        <v>@normeadmeygpiec</v>
      </c>
      <c r="C1944" s="13" t="s">
        <v>11715</v>
      </c>
      <c r="D1944" s="13" t="s">
        <v>11716</v>
      </c>
      <c r="E1944" s="12" t="str">
        <f>HYPERLINK("https://twitter.com/normeadmeygpiec/status/1181365578956718080","1181365578956718080")</f>
        <v>1181365578956718080</v>
      </c>
      <c r="F1944" s="8"/>
      <c r="G1944" s="14" t="s">
        <v>11717</v>
      </c>
      <c r="H1944" s="8"/>
      <c r="I1944" s="15">
        <v>0</v>
      </c>
      <c r="J1944" s="15">
        <v>0</v>
      </c>
      <c r="K1944" s="12" t="str">
        <f>HYPERLINK("http://twitter.com","Twitter Web Client")</f>
        <v>Twitter Web Client</v>
      </c>
      <c r="L1944" s="16">
        <v>5</v>
      </c>
      <c r="M1944" s="16">
        <v>52</v>
      </c>
      <c r="N1944" s="16">
        <v>0</v>
      </c>
      <c r="O1944" s="17"/>
      <c r="P1944" s="18">
        <v>42529.725393518514</v>
      </c>
      <c r="Q1944" s="8" t="s">
        <v>4300</v>
      </c>
      <c r="R1944" s="8" t="s">
        <v>3987</v>
      </c>
      <c r="S1944" s="8"/>
      <c r="T1944" s="8"/>
      <c r="U1944" s="19" t="str">
        <f>HYPERLINK("https://pbs.twimg.com/profile_images/740701172105895937/Vot54Lko.jpg","View")</f>
        <v>View</v>
      </c>
      <c r="V1944" s="8"/>
      <c r="W1944" s="8"/>
      <c r="X1944" s="8"/>
      <c r="Y1944" s="8"/>
      <c r="Z1944" s="8"/>
    </row>
    <row r="1945" spans="1:26" ht="12.75">
      <c r="A1945" s="11">
        <v>43745.727546296301</v>
      </c>
      <c r="B1945" s="12" t="str">
        <f>HYPERLINK("https://twitter.com/fawwazbakarpvus","@fawwazbakarpvus")</f>
        <v>@fawwazbakarpvus</v>
      </c>
      <c r="C1945" s="13" t="s">
        <v>11723</v>
      </c>
      <c r="D1945" s="7" t="s">
        <v>11724</v>
      </c>
      <c r="E1945" s="12" t="str">
        <f>HYPERLINK("https://twitter.com/fawwazbakarpvus/status/1181365508614041600","1181365508614041600")</f>
        <v>1181365508614041600</v>
      </c>
      <c r="F1945" s="8"/>
      <c r="G1945" s="14" t="s">
        <v>11725</v>
      </c>
      <c r="H1945" s="8"/>
      <c r="I1945" s="15">
        <v>0</v>
      </c>
      <c r="J1945" s="15">
        <v>0</v>
      </c>
      <c r="K1945" s="12" t="str">
        <f>HYPERLINK("http://twitter.com","Twitter Web Client")</f>
        <v>Twitter Web Client</v>
      </c>
      <c r="L1945" s="16">
        <v>5</v>
      </c>
      <c r="M1945" s="16">
        <v>37</v>
      </c>
      <c r="N1945" s="16">
        <v>0</v>
      </c>
      <c r="O1945" s="17"/>
      <c r="P1945" s="18">
        <v>42508.051377314812</v>
      </c>
      <c r="Q1945" s="7" t="s">
        <v>11389</v>
      </c>
      <c r="R1945" s="13" t="s">
        <v>11045</v>
      </c>
      <c r="S1945" s="8"/>
      <c r="T1945" s="8"/>
      <c r="U1945" s="19" t="str">
        <f>HYPERLINK("https://pbs.twimg.com/profile_images/732847350952173568/H70QsbBF.jpg","View")</f>
        <v>View</v>
      </c>
      <c r="V1945" s="8"/>
      <c r="W1945" s="8"/>
      <c r="X1945" s="8"/>
      <c r="Y1945" s="8"/>
      <c r="Z1945" s="8"/>
    </row>
    <row r="1946" spans="1:26" ht="12.75">
      <c r="A1946" s="11">
        <v>43745.727349537032</v>
      </c>
      <c r="B1946" s="12" t="str">
        <f>HYPERLINK("https://twitter.com/alidabbahmcoe","@alidabbahmcoe")</f>
        <v>@alidabbahmcoe</v>
      </c>
      <c r="C1946" s="13" t="s">
        <v>11730</v>
      </c>
      <c r="D1946" s="13" t="s">
        <v>3046</v>
      </c>
      <c r="E1946" s="12" t="str">
        <f>HYPERLINK("https://twitter.com/alidabbahmcoe/status/1181365438141341696","1181365438141341696")</f>
        <v>1181365438141341696</v>
      </c>
      <c r="F1946" s="8"/>
      <c r="G1946" s="14" t="s">
        <v>11731</v>
      </c>
      <c r="H1946" s="8"/>
      <c r="I1946" s="15">
        <v>0</v>
      </c>
      <c r="J1946" s="15">
        <v>0</v>
      </c>
      <c r="K1946" s="12" t="str">
        <f>HYPERLINK("http://twitter.com","Twitter Web Client")</f>
        <v>Twitter Web Client</v>
      </c>
      <c r="L1946" s="16">
        <v>10</v>
      </c>
      <c r="M1946" s="16">
        <v>41</v>
      </c>
      <c r="N1946" s="16">
        <v>0</v>
      </c>
      <c r="O1946" s="17"/>
      <c r="P1946" s="18">
        <v>42532.477824074071</v>
      </c>
      <c r="Q1946" s="8" t="s">
        <v>4112</v>
      </c>
      <c r="R1946" s="8" t="s">
        <v>4398</v>
      </c>
      <c r="S1946" s="8"/>
      <c r="T1946" s="8"/>
      <c r="U1946" s="19" t="str">
        <f>HYPERLINK("https://pbs.twimg.com/profile_images/741698614582468608/Cy9EpL0B.jpg","View")</f>
        <v>View</v>
      </c>
      <c r="V1946" s="8"/>
      <c r="W1946" s="8"/>
      <c r="X1946" s="8"/>
      <c r="Y1946" s="8"/>
      <c r="Z1946" s="8"/>
    </row>
    <row r="1947" spans="1:26" ht="12.75">
      <c r="A1947" s="11">
        <v>43745.727152777778</v>
      </c>
      <c r="B1947" s="12" t="str">
        <f>HYPERLINK("https://twitter.com/zamelabdalymwnn","@zamelabdalymwnn")</f>
        <v>@zamelabdalymwnn</v>
      </c>
      <c r="C1947" s="13" t="s">
        <v>11735</v>
      </c>
      <c r="D1947" s="13" t="s">
        <v>11736</v>
      </c>
      <c r="E1947" s="12" t="str">
        <f>HYPERLINK("https://twitter.com/zamelabdalymwnn/status/1181365367404470273","1181365367404470273")</f>
        <v>1181365367404470273</v>
      </c>
      <c r="F1947" s="8"/>
      <c r="G1947" s="14" t="s">
        <v>11737</v>
      </c>
      <c r="H1947" s="8"/>
      <c r="I1947" s="15">
        <v>0</v>
      </c>
      <c r="J1947" s="15">
        <v>0</v>
      </c>
      <c r="K1947" s="12" t="str">
        <f>HYPERLINK("http://twitter.com","Twitter Web Client")</f>
        <v>Twitter Web Client</v>
      </c>
      <c r="L1947" s="16">
        <v>1</v>
      </c>
      <c r="M1947" s="16">
        <v>38</v>
      </c>
      <c r="N1947" s="16">
        <v>0</v>
      </c>
      <c r="O1947" s="17"/>
      <c r="P1947" s="18">
        <v>42479.70826388889</v>
      </c>
      <c r="Q1947" s="7" t="s">
        <v>4007</v>
      </c>
      <c r="R1947" s="13" t="s">
        <v>4355</v>
      </c>
      <c r="S1947" s="8"/>
      <c r="T1947" s="8"/>
      <c r="U1947" s="19" t="str">
        <f>HYPERLINK("https://pbs.twimg.com/profile_images/722575660619837441/FpcQpMho.jpg","View")</f>
        <v>View</v>
      </c>
      <c r="V1947" s="8"/>
      <c r="W1947" s="8"/>
      <c r="X1947" s="8"/>
      <c r="Y1947" s="8"/>
      <c r="Z1947" s="8"/>
    </row>
    <row r="1948" spans="1:26" ht="12.75">
      <c r="A1948" s="11">
        <v>43745.7262037037</v>
      </c>
      <c r="B1948" s="12" t="str">
        <f>HYPERLINK("https://twitter.com/nabilmarmyixrt","@nabilmarmyixrt")</f>
        <v>@nabilmarmyixrt</v>
      </c>
      <c r="C1948" s="13" t="s">
        <v>11739</v>
      </c>
      <c r="D1948" s="13" t="s">
        <v>11740</v>
      </c>
      <c r="E1948" s="12" t="str">
        <f>HYPERLINK("https://twitter.com/nabilmarmyixrt/status/1181365019637878786","1181365019637878786")</f>
        <v>1181365019637878786</v>
      </c>
      <c r="F1948" s="8"/>
      <c r="G1948" s="14" t="s">
        <v>11742</v>
      </c>
      <c r="H1948" s="8"/>
      <c r="I1948" s="15">
        <v>0</v>
      </c>
      <c r="J1948" s="15">
        <v>0</v>
      </c>
      <c r="K1948" s="12" t="str">
        <f>HYPERLINK("http://twitter.com","Twitter Web Client")</f>
        <v>Twitter Web Client</v>
      </c>
      <c r="L1948" s="16">
        <v>7</v>
      </c>
      <c r="M1948" s="16">
        <v>39</v>
      </c>
      <c r="N1948" s="16">
        <v>0</v>
      </c>
      <c r="O1948" s="17"/>
      <c r="P1948" s="18">
        <v>42495.916585648149</v>
      </c>
      <c r="Q1948" s="7" t="s">
        <v>11745</v>
      </c>
      <c r="R1948" s="13" t="s">
        <v>11746</v>
      </c>
      <c r="S1948" s="8"/>
      <c r="T1948" s="8"/>
      <c r="U1948" s="19" t="str">
        <f>HYPERLINK("https://pbs.twimg.com/profile_images/728450740256002048/tgkc4q1L.jpg","View")</f>
        <v>View</v>
      </c>
      <c r="V1948" s="8"/>
      <c r="W1948" s="8"/>
      <c r="X1948" s="8"/>
      <c r="Y1948" s="8"/>
      <c r="Z1948" s="8"/>
    </row>
    <row r="1949" spans="1:26" ht="12.75">
      <c r="A1949" s="11">
        <v>43745.725995370369</v>
      </c>
      <c r="B1949" s="12" t="str">
        <f>HYPERLINK("https://twitter.com/sohaibkarimyfvh","@sohaibkarimyfvh")</f>
        <v>@sohaibkarimyfvh</v>
      </c>
      <c r="C1949" s="13" t="s">
        <v>11749</v>
      </c>
      <c r="D1949" s="7" t="s">
        <v>11750</v>
      </c>
      <c r="E1949" s="12" t="str">
        <f>HYPERLINK("https://twitter.com/sohaibkarimyfvh/status/1181364948087316480","1181364948087316480")</f>
        <v>1181364948087316480</v>
      </c>
      <c r="F1949" s="8"/>
      <c r="G1949" s="14" t="s">
        <v>11751</v>
      </c>
      <c r="H1949" s="8"/>
      <c r="I1949" s="15">
        <v>0</v>
      </c>
      <c r="J1949" s="15">
        <v>0</v>
      </c>
      <c r="K1949" s="12" t="str">
        <f>HYPERLINK("http://twitter.com","Twitter Web Client")</f>
        <v>Twitter Web Client</v>
      </c>
      <c r="L1949" s="16">
        <v>11</v>
      </c>
      <c r="M1949" s="16">
        <v>48</v>
      </c>
      <c r="N1949" s="16">
        <v>0</v>
      </c>
      <c r="O1949" s="17"/>
      <c r="P1949" s="18">
        <v>42532.559317129635</v>
      </c>
      <c r="Q1949" s="7" t="s">
        <v>4463</v>
      </c>
      <c r="R1949" s="13" t="s">
        <v>11753</v>
      </c>
      <c r="S1949" s="8"/>
      <c r="T1949" s="8"/>
      <c r="U1949" s="19" t="str">
        <f>HYPERLINK("https://pbs.twimg.com/profile_images/741728141580849152/zMH0LtZE.jpg","View")</f>
        <v>View</v>
      </c>
      <c r="V1949" s="8"/>
      <c r="W1949" s="8"/>
      <c r="X1949" s="8"/>
      <c r="Y1949" s="8"/>
      <c r="Z1949" s="8"/>
    </row>
    <row r="1950" spans="1:26" ht="12.75">
      <c r="A1950" s="11">
        <v>43745.725243055553</v>
      </c>
      <c r="B1950" s="12" t="str">
        <f>HYPERLINK("https://twitter.com/abdlerahmangqcr","@abdlerahmangqcr")</f>
        <v>@abdlerahmangqcr</v>
      </c>
      <c r="C1950" s="13" t="s">
        <v>11754</v>
      </c>
      <c r="D1950" s="13" t="s">
        <v>11755</v>
      </c>
      <c r="E1950" s="12" t="str">
        <f>HYPERLINK("https://twitter.com/abdlerahmangqcr/status/1181364673603608576","1181364673603608576")</f>
        <v>1181364673603608576</v>
      </c>
      <c r="F1950" s="8"/>
      <c r="G1950" s="14" t="s">
        <v>11759</v>
      </c>
      <c r="H1950" s="8"/>
      <c r="I1950" s="15">
        <v>0</v>
      </c>
      <c r="J1950" s="15">
        <v>0</v>
      </c>
      <c r="K1950" s="12" t="str">
        <f>HYPERLINK("http://twitter.com","Twitter Web Client")</f>
        <v>Twitter Web Client</v>
      </c>
      <c r="L1950" s="16">
        <v>5</v>
      </c>
      <c r="M1950" s="16">
        <v>39</v>
      </c>
      <c r="N1950" s="16">
        <v>0</v>
      </c>
      <c r="O1950" s="17"/>
      <c r="P1950" s="18">
        <v>42466.762118055558</v>
      </c>
      <c r="Q1950" s="8" t="s">
        <v>11299</v>
      </c>
      <c r="R1950" s="8" t="s">
        <v>11214</v>
      </c>
      <c r="S1950" s="8"/>
      <c r="T1950" s="8"/>
      <c r="U1950" s="19" t="str">
        <f>HYPERLINK("https://pbs.twimg.com/profile_images/718253376123879424/8f9jw8WM.jpg","View")</f>
        <v>View</v>
      </c>
      <c r="V1950" s="8"/>
      <c r="W1950" s="8"/>
      <c r="X1950" s="8"/>
      <c r="Y1950" s="8"/>
      <c r="Z1950" s="8"/>
    </row>
    <row r="1951" spans="1:26" ht="12.75">
      <c r="A1951" s="11">
        <v>43745.724641203706</v>
      </c>
      <c r="B1951" s="12" t="str">
        <f>HYPERLINK("https://twitter.com/mohamedharajtqx","@mohamedharajtqx")</f>
        <v>@mohamedharajtqx</v>
      </c>
      <c r="C1951" s="13" t="s">
        <v>11762</v>
      </c>
      <c r="D1951" s="7" t="s">
        <v>9176</v>
      </c>
      <c r="E1951" s="12" t="str">
        <f>HYPERLINK("https://twitter.com/mohamedharajtqx/status/1181364455994773505","1181364455994773505")</f>
        <v>1181364455994773505</v>
      </c>
      <c r="F1951" s="8"/>
      <c r="G1951" s="14" t="s">
        <v>11763</v>
      </c>
      <c r="H1951" s="8"/>
      <c r="I1951" s="15">
        <v>0</v>
      </c>
      <c r="J1951" s="15">
        <v>0</v>
      </c>
      <c r="K1951" s="12" t="str">
        <f>HYPERLINK("http://twitter.com","Twitter Web Client")</f>
        <v>Twitter Web Client</v>
      </c>
      <c r="L1951" s="16">
        <v>10</v>
      </c>
      <c r="M1951" s="16">
        <v>43</v>
      </c>
      <c r="N1951" s="16">
        <v>0</v>
      </c>
      <c r="O1951" s="17"/>
      <c r="P1951" s="18">
        <v>42533.464363425926</v>
      </c>
      <c r="Q1951" s="7" t="s">
        <v>11765</v>
      </c>
      <c r="R1951" s="13" t="s">
        <v>10946</v>
      </c>
      <c r="S1951" s="8"/>
      <c r="T1951" s="8"/>
      <c r="U1951" s="19" t="str">
        <f>HYPERLINK("https://pbs.twimg.com/profile_images/742056118621470720/DE1AbgAe.jpg","View")</f>
        <v>View</v>
      </c>
      <c r="V1951" s="8"/>
      <c r="W1951" s="8"/>
      <c r="X1951" s="8"/>
      <c r="Y1951" s="8"/>
      <c r="Z1951" s="8"/>
    </row>
    <row r="1952" spans="1:26" ht="12.75">
      <c r="A1952" s="11">
        <v>43745.724247685182</v>
      </c>
      <c r="B1952" s="12" t="str">
        <f>HYPERLINK("https://twitter.com/ayeshzibanyvyjg","@ayeshzibanyvyjg")</f>
        <v>@ayeshzibanyvyjg</v>
      </c>
      <c r="C1952" s="13" t="s">
        <v>11768</v>
      </c>
      <c r="D1952" s="13" t="s">
        <v>11769</v>
      </c>
      <c r="E1952" s="12" t="str">
        <f>HYPERLINK("https://twitter.com/ayeshzibanyvyjg/status/1181364312037875718","1181364312037875718")</f>
        <v>1181364312037875718</v>
      </c>
      <c r="F1952" s="8"/>
      <c r="G1952" s="14" t="s">
        <v>11770</v>
      </c>
      <c r="H1952" s="8"/>
      <c r="I1952" s="15">
        <v>0</v>
      </c>
      <c r="J1952" s="15">
        <v>0</v>
      </c>
      <c r="K1952" s="12" t="str">
        <f>HYPERLINK("http://twitter.com","Twitter Web Client")</f>
        <v>Twitter Web Client</v>
      </c>
      <c r="L1952" s="16">
        <v>2</v>
      </c>
      <c r="M1952" s="16">
        <v>37</v>
      </c>
      <c r="N1952" s="16">
        <v>0</v>
      </c>
      <c r="O1952" s="17"/>
      <c r="P1952" s="18">
        <v>42489.886759259258</v>
      </c>
      <c r="Q1952" s="8" t="s">
        <v>10913</v>
      </c>
      <c r="R1952" s="8" t="s">
        <v>11771</v>
      </c>
      <c r="S1952" s="8"/>
      <c r="T1952" s="8"/>
      <c r="U1952" s="19" t="str">
        <f>HYPERLINK("https://pbs.twimg.com/profile_images/726264409396510720/cnU9EaGp.jpg","View")</f>
        <v>View</v>
      </c>
      <c r="V1952" s="8"/>
      <c r="W1952" s="8"/>
      <c r="X1952" s="8"/>
      <c r="Y1952" s="8"/>
      <c r="Z1952" s="8"/>
    </row>
    <row r="1953" spans="1:26" ht="12.75">
      <c r="A1953" s="11">
        <v>43745.723807870367</v>
      </c>
      <c r="B1953" s="12" t="str">
        <f>HYPERLINK("https://twitter.com/ramisalehzcri","@ramisalehzcri")</f>
        <v>@ramisalehzcri</v>
      </c>
      <c r="C1953" s="13" t="s">
        <v>11773</v>
      </c>
      <c r="D1953" s="13" t="s">
        <v>11774</v>
      </c>
      <c r="E1953" s="12" t="str">
        <f>HYPERLINK("https://twitter.com/ramisalehzcri/status/1181364153673539584","1181364153673539584")</f>
        <v>1181364153673539584</v>
      </c>
      <c r="F1953" s="8"/>
      <c r="G1953" s="14" t="s">
        <v>11775</v>
      </c>
      <c r="H1953" s="8"/>
      <c r="I1953" s="15">
        <v>0</v>
      </c>
      <c r="J1953" s="15">
        <v>0</v>
      </c>
      <c r="K1953" s="12" t="str">
        <f>HYPERLINK("http://twitter.com","Twitter Web Client")</f>
        <v>Twitter Web Client</v>
      </c>
      <c r="L1953" s="16">
        <v>3</v>
      </c>
      <c r="M1953" s="16">
        <v>39</v>
      </c>
      <c r="N1953" s="16">
        <v>0</v>
      </c>
      <c r="O1953" s="17"/>
      <c r="P1953" s="18">
        <v>42465.040462962963</v>
      </c>
      <c r="Q1953" s="8" t="s">
        <v>10920</v>
      </c>
      <c r="R1953" s="8" t="s">
        <v>11777</v>
      </c>
      <c r="S1953" s="8"/>
      <c r="T1953" s="8"/>
      <c r="U1953" s="19" t="str">
        <f>HYPERLINK("https://pbs.twimg.com/profile_images/717604368472797184/0H6Obbzy.jpg","View")</f>
        <v>View</v>
      </c>
      <c r="V1953" s="8"/>
      <c r="W1953" s="8"/>
      <c r="X1953" s="8"/>
      <c r="Y1953" s="8"/>
      <c r="Z1953" s="8"/>
    </row>
    <row r="1954" spans="1:26" ht="12.75">
      <c r="A1954" s="11">
        <v>43745.723599537036</v>
      </c>
      <c r="B1954" s="12" t="str">
        <f>HYPERLINK("https://twitter.com/tawfikararftyxm","@tawfikararftyxm")</f>
        <v>@tawfikararftyxm</v>
      </c>
      <c r="C1954" s="13" t="s">
        <v>11779</v>
      </c>
      <c r="D1954" s="7" t="s">
        <v>11780</v>
      </c>
      <c r="E1954" s="12" t="str">
        <f>HYPERLINK("https://twitter.com/tawfikararftyxm/status/1181364079690170373","1181364079690170373")</f>
        <v>1181364079690170373</v>
      </c>
      <c r="F1954" s="8"/>
      <c r="G1954" s="14" t="s">
        <v>11781</v>
      </c>
      <c r="H1954" s="8"/>
      <c r="I1954" s="15">
        <v>0</v>
      </c>
      <c r="J1954" s="15">
        <v>0</v>
      </c>
      <c r="K1954" s="12" t="str">
        <f>HYPERLINK("http://twitter.com","Twitter Web Client")</f>
        <v>Twitter Web Client</v>
      </c>
      <c r="L1954" s="16">
        <v>7</v>
      </c>
      <c r="M1954" s="16">
        <v>41</v>
      </c>
      <c r="N1954" s="16">
        <v>0</v>
      </c>
      <c r="O1954" s="17"/>
      <c r="P1954" s="18">
        <v>42507.980937500004</v>
      </c>
      <c r="Q1954" s="7" t="s">
        <v>11785</v>
      </c>
      <c r="R1954" s="13" t="s">
        <v>11786</v>
      </c>
      <c r="S1954" s="8"/>
      <c r="T1954" s="8"/>
      <c r="U1954" s="19" t="str">
        <f>HYPERLINK("https://pbs.twimg.com/profile_images/732822097421074432/s-qmaXWB.jpg","View")</f>
        <v>View</v>
      </c>
      <c r="V1954" s="8"/>
      <c r="W1954" s="8"/>
      <c r="X1954" s="8"/>
      <c r="Y1954" s="8"/>
      <c r="Z1954" s="8"/>
    </row>
    <row r="1955" spans="1:26" ht="12.75">
      <c r="A1955" s="11">
        <v>43745.723194444443</v>
      </c>
      <c r="B1955" s="12" t="str">
        <f>HYPERLINK("https://twitter.com/bekhitkattaojsu","@bekhitkattaojsu")</f>
        <v>@bekhitkattaojsu</v>
      </c>
      <c r="C1955" s="13" t="s">
        <v>11787</v>
      </c>
      <c r="D1955" s="13" t="s">
        <v>7971</v>
      </c>
      <c r="E1955" s="12" t="str">
        <f>HYPERLINK("https://twitter.com/bekhitkattaojsu/status/1181363930054172673","1181363930054172673")</f>
        <v>1181363930054172673</v>
      </c>
      <c r="F1955" s="8"/>
      <c r="G1955" s="14" t="s">
        <v>11788</v>
      </c>
      <c r="H1955" s="8"/>
      <c r="I1955" s="15">
        <v>0</v>
      </c>
      <c r="J1955" s="15">
        <v>0</v>
      </c>
      <c r="K1955" s="12" t="str">
        <f>HYPERLINK("http://twitter.com","Twitter Web Client")</f>
        <v>Twitter Web Client</v>
      </c>
      <c r="L1955" s="16">
        <v>4</v>
      </c>
      <c r="M1955" s="16">
        <v>40</v>
      </c>
      <c r="N1955" s="16">
        <v>0</v>
      </c>
      <c r="O1955" s="17"/>
      <c r="P1955" s="18">
        <v>42507.974699074075</v>
      </c>
      <c r="Q1955" s="8" t="s">
        <v>11792</v>
      </c>
      <c r="R1955" s="8" t="s">
        <v>11794</v>
      </c>
      <c r="S1955" s="8"/>
      <c r="T1955" s="8"/>
      <c r="U1955" s="19" t="str">
        <f>HYPERLINK("https://pbs.twimg.com/profile_images/732820513974800387/e85F-31H.jpg","View")</f>
        <v>View</v>
      </c>
      <c r="V1955" s="8"/>
      <c r="W1955" s="8"/>
      <c r="X1955" s="8"/>
      <c r="Y1955" s="8"/>
      <c r="Z1955" s="8"/>
    </row>
    <row r="1956" spans="1:26" ht="12.75">
      <c r="A1956" s="11">
        <v>43745.722800925927</v>
      </c>
      <c r="B1956" s="12" t="str">
        <f>HYPERLINK("https://twitter.com/basemowaisperx","@basemowaisperx")</f>
        <v>@basemowaisperx</v>
      </c>
      <c r="C1956" s="13" t="s">
        <v>11796</v>
      </c>
      <c r="D1956" s="13" t="s">
        <v>11797</v>
      </c>
      <c r="E1956" s="12" t="str">
        <f>HYPERLINK("https://twitter.com/basemowaisperx/status/1181363786835517440","1181363786835517440")</f>
        <v>1181363786835517440</v>
      </c>
      <c r="F1956" s="8"/>
      <c r="G1956" s="14" t="s">
        <v>11798</v>
      </c>
      <c r="H1956" s="8"/>
      <c r="I1956" s="15">
        <v>0</v>
      </c>
      <c r="J1956" s="15">
        <v>0</v>
      </c>
      <c r="K1956" s="12" t="str">
        <f>HYPERLINK("http://twitter.com","Twitter Web Client")</f>
        <v>Twitter Web Client</v>
      </c>
      <c r="L1956" s="16">
        <v>2</v>
      </c>
      <c r="M1956" s="16">
        <v>40</v>
      </c>
      <c r="N1956" s="16">
        <v>0</v>
      </c>
      <c r="O1956" s="17"/>
      <c r="P1956" s="18">
        <v>42474.768287037034</v>
      </c>
      <c r="Q1956" s="8" t="s">
        <v>11800</v>
      </c>
      <c r="R1956" s="8" t="s">
        <v>11802</v>
      </c>
      <c r="S1956" s="8"/>
      <c r="T1956" s="8"/>
      <c r="U1956" s="19" t="str">
        <f>HYPERLINK("https://pbs.twimg.com/profile_images/721182149664194562/_eyv2M1_.jpg","View")</f>
        <v>View</v>
      </c>
      <c r="V1956" s="8"/>
      <c r="W1956" s="8"/>
      <c r="X1956" s="8"/>
      <c r="Y1956" s="8"/>
      <c r="Z1956" s="8"/>
    </row>
    <row r="1957" spans="1:26" ht="12.75">
      <c r="A1957" s="11">
        <v>43745.721435185187</v>
      </c>
      <c r="B1957" s="12" t="str">
        <f>HYPERLINK("https://twitter.com/ebadahghaltlgap","@ebadahghaltlgap")</f>
        <v>@ebadahghaltlgap</v>
      </c>
      <c r="C1957" s="13" t="s">
        <v>11804</v>
      </c>
      <c r="D1957" s="13" t="s">
        <v>376</v>
      </c>
      <c r="E1957" s="12" t="str">
        <f>HYPERLINK("https://twitter.com/ebadahghaltlgap/status/1181363293656616961","1181363293656616961")</f>
        <v>1181363293656616961</v>
      </c>
      <c r="F1957" s="8"/>
      <c r="G1957" s="14" t="s">
        <v>11806</v>
      </c>
      <c r="H1957" s="8"/>
      <c r="I1957" s="15">
        <v>0</v>
      </c>
      <c r="J1957" s="15">
        <v>0</v>
      </c>
      <c r="K1957" s="12" t="str">
        <f>HYPERLINK("http://twitter.com","Twitter Web Client")</f>
        <v>Twitter Web Client</v>
      </c>
      <c r="L1957" s="16">
        <v>12</v>
      </c>
      <c r="M1957" s="16">
        <v>45</v>
      </c>
      <c r="N1957" s="16">
        <v>0</v>
      </c>
      <c r="O1957" s="17"/>
      <c r="P1957" s="18">
        <v>42533.497650462959</v>
      </c>
      <c r="Q1957" s="7" t="s">
        <v>11807</v>
      </c>
      <c r="R1957" s="13" t="s">
        <v>11808</v>
      </c>
      <c r="S1957" s="8"/>
      <c r="T1957" s="8"/>
      <c r="U1957" s="19" t="str">
        <f>HYPERLINK("https://pbs.twimg.com/profile_images/742068180181520384/E0x4wFED.jpg","View")</f>
        <v>View</v>
      </c>
      <c r="V1957" s="8"/>
      <c r="W1957" s="8"/>
      <c r="X1957" s="8"/>
      <c r="Y1957" s="8"/>
      <c r="Z1957" s="8"/>
    </row>
    <row r="1958" spans="1:26" ht="12.75">
      <c r="A1958" s="11">
        <v>43745.720625000002</v>
      </c>
      <c r="B1958" s="12" t="str">
        <f>HYPERLINK("https://twitter.com/yehiakhazmapwyx","@yehiakhazmapwyx")</f>
        <v>@yehiakhazmapwyx</v>
      </c>
      <c r="C1958" s="13" t="s">
        <v>11809</v>
      </c>
      <c r="D1958" s="13" t="s">
        <v>11810</v>
      </c>
      <c r="E1958" s="12" t="str">
        <f>HYPERLINK("https://twitter.com/yehiakhazmapwyx/status/1181362998297976832","1181362998297976832")</f>
        <v>1181362998297976832</v>
      </c>
      <c r="F1958" s="8"/>
      <c r="G1958" s="14" t="s">
        <v>11811</v>
      </c>
      <c r="H1958" s="8"/>
      <c r="I1958" s="15">
        <v>0</v>
      </c>
      <c r="J1958" s="15">
        <v>0</v>
      </c>
      <c r="K1958" s="12" t="str">
        <f>HYPERLINK("http://twitter.com","Twitter Web Client")</f>
        <v>Twitter Web Client</v>
      </c>
      <c r="L1958" s="16">
        <v>5</v>
      </c>
      <c r="M1958" s="16">
        <v>41</v>
      </c>
      <c r="N1958" s="16">
        <v>0</v>
      </c>
      <c r="O1958" s="17"/>
      <c r="P1958" s="18">
        <v>42429.530497685184</v>
      </c>
      <c r="Q1958" s="8"/>
      <c r="R1958" s="8" t="s">
        <v>11812</v>
      </c>
      <c r="S1958" s="8"/>
      <c r="T1958" s="8"/>
      <c r="U1958" s="19" t="str">
        <f>HYPERLINK("https://pbs.twimg.com/profile_images/704516840991678464/4wwDdrPF.jpg","View")</f>
        <v>View</v>
      </c>
      <c r="V1958" s="8"/>
      <c r="W1958" s="8"/>
      <c r="X1958" s="8"/>
      <c r="Y1958" s="8"/>
      <c r="Z1958" s="8"/>
    </row>
    <row r="1959" spans="1:26" ht="12.75">
      <c r="A1959" s="11">
        <v>43745.719664351855</v>
      </c>
      <c r="B1959" s="12" t="str">
        <f>HYPERLINK("https://twitter.com/mozidmehesnptnh","@mozidmehesnptnh")</f>
        <v>@mozidmehesnptnh</v>
      </c>
      <c r="C1959" s="13" t="s">
        <v>11814</v>
      </c>
      <c r="D1959" s="13" t="s">
        <v>11816</v>
      </c>
      <c r="E1959" s="12" t="str">
        <f>HYPERLINK("https://twitter.com/mozidmehesnptnh/status/1181362652695662593","1181362652695662593")</f>
        <v>1181362652695662593</v>
      </c>
      <c r="F1959" s="8"/>
      <c r="G1959" s="14" t="s">
        <v>11817</v>
      </c>
      <c r="H1959" s="8"/>
      <c r="I1959" s="15">
        <v>0</v>
      </c>
      <c r="J1959" s="15">
        <v>0</v>
      </c>
      <c r="K1959" s="12" t="str">
        <f>HYPERLINK("http://twitter.com","Twitter Web Client")</f>
        <v>Twitter Web Client</v>
      </c>
      <c r="L1959" s="16">
        <v>3</v>
      </c>
      <c r="M1959" s="16">
        <v>41</v>
      </c>
      <c r="N1959" s="16">
        <v>0</v>
      </c>
      <c r="O1959" s="17"/>
      <c r="P1959" s="18">
        <v>42429.706261574072</v>
      </c>
      <c r="Q1959" s="8"/>
      <c r="R1959" s="8" t="s">
        <v>11254</v>
      </c>
      <c r="S1959" s="8"/>
      <c r="T1959" s="8"/>
      <c r="U1959" s="19" t="str">
        <f>HYPERLINK("https://pbs.twimg.com/profile_images/704553043845640192/1_BD9N-o.jpg","View")</f>
        <v>View</v>
      </c>
      <c r="V1959" s="8"/>
      <c r="W1959" s="8"/>
      <c r="X1959" s="8"/>
      <c r="Y1959" s="8"/>
      <c r="Z1959" s="8"/>
    </row>
    <row r="1960" spans="1:26" ht="12.75">
      <c r="A1960" s="11">
        <v>43745.719270833331</v>
      </c>
      <c r="B1960" s="12" t="str">
        <f>HYPERLINK("https://twitter.com/moslemtolihbrkt","@moslemtolihbrkt")</f>
        <v>@moslemtolihbrkt</v>
      </c>
      <c r="C1960" s="13" t="s">
        <v>11820</v>
      </c>
      <c r="D1960" s="7" t="s">
        <v>4304</v>
      </c>
      <c r="E1960" s="12" t="str">
        <f>HYPERLINK("https://twitter.com/moslemtolihbrkt/status/1181362508558475264","1181362508558475264")</f>
        <v>1181362508558475264</v>
      </c>
      <c r="F1960" s="8"/>
      <c r="G1960" s="14" t="s">
        <v>11822</v>
      </c>
      <c r="H1960" s="8"/>
      <c r="I1960" s="15">
        <v>0</v>
      </c>
      <c r="J1960" s="15">
        <v>0</v>
      </c>
      <c r="K1960" s="12" t="str">
        <f>HYPERLINK("http://twitter.com","Twitter Web Client")</f>
        <v>Twitter Web Client</v>
      </c>
      <c r="L1960" s="16">
        <v>15</v>
      </c>
      <c r="M1960" s="16">
        <v>47</v>
      </c>
      <c r="N1960" s="16">
        <v>0</v>
      </c>
      <c r="O1960" s="17"/>
      <c r="P1960" s="18">
        <v>42532.569872685184</v>
      </c>
      <c r="Q1960" s="7" t="s">
        <v>4203</v>
      </c>
      <c r="R1960" s="13" t="s">
        <v>11325</v>
      </c>
      <c r="S1960" s="8"/>
      <c r="T1960" s="8"/>
      <c r="U1960" s="19" t="str">
        <f>HYPERLINK("https://pbs.twimg.com/profile_images/741731969780879360/KBcYL79t.jpg","View")</f>
        <v>View</v>
      </c>
      <c r="V1960" s="8"/>
      <c r="W1960" s="8"/>
      <c r="X1960" s="8"/>
      <c r="Y1960" s="8"/>
      <c r="Z1960" s="8"/>
    </row>
    <row r="1961" spans="1:26" ht="12.75">
      <c r="A1961" s="11">
        <v>43745.718240740738</v>
      </c>
      <c r="B1961" s="12" t="str">
        <f>HYPERLINK("https://twitter.com/ahmadrobaeyvbbx","@ahmadrobaeyvbbx")</f>
        <v>@ahmadrobaeyvbbx</v>
      </c>
      <c r="C1961" s="13" t="s">
        <v>11826</v>
      </c>
      <c r="D1961" s="13" t="s">
        <v>2985</v>
      </c>
      <c r="E1961" s="12" t="str">
        <f>HYPERLINK("https://twitter.com/ahmadrobaeyvbbx/status/1181362134627819520","1181362134627819520")</f>
        <v>1181362134627819520</v>
      </c>
      <c r="F1961" s="8"/>
      <c r="G1961" s="14" t="s">
        <v>11827</v>
      </c>
      <c r="H1961" s="8"/>
      <c r="I1961" s="15">
        <v>0</v>
      </c>
      <c r="J1961" s="15">
        <v>0</v>
      </c>
      <c r="K1961" s="12" t="str">
        <f>HYPERLINK("http://twitter.com","Twitter Web Client")</f>
        <v>Twitter Web Client</v>
      </c>
      <c r="L1961" s="16">
        <v>2</v>
      </c>
      <c r="M1961" s="16">
        <v>45</v>
      </c>
      <c r="N1961" s="16">
        <v>0</v>
      </c>
      <c r="O1961" s="17"/>
      <c r="P1961" s="18">
        <v>42529.72755787037</v>
      </c>
      <c r="Q1961" s="8" t="s">
        <v>3435</v>
      </c>
      <c r="R1961" s="8" t="s">
        <v>11390</v>
      </c>
      <c r="S1961" s="8"/>
      <c r="T1961" s="8"/>
      <c r="U1961" s="19" t="str">
        <f>HYPERLINK("https://pbs.twimg.com/profile_images/740701955715170304/P1s08Wdx.jpg","View")</f>
        <v>View</v>
      </c>
      <c r="V1961" s="8"/>
      <c r="W1961" s="8"/>
      <c r="X1961" s="8"/>
      <c r="Y1961" s="8"/>
      <c r="Z1961" s="8"/>
    </row>
    <row r="1962" spans="1:26" ht="12.75">
      <c r="A1962" s="11">
        <v>43745.718032407407</v>
      </c>
      <c r="B1962" s="12" t="str">
        <f>HYPERLINK("https://twitter.com/zaherhalwaneyje","@zaherhalwaneyje")</f>
        <v>@zaherhalwaneyje</v>
      </c>
      <c r="C1962" s="13" t="s">
        <v>11831</v>
      </c>
      <c r="D1962" s="13" t="s">
        <v>11832</v>
      </c>
      <c r="E1962" s="12" t="str">
        <f>HYPERLINK("https://twitter.com/zaherhalwaneyje/status/1181362062037045256","1181362062037045256")</f>
        <v>1181362062037045256</v>
      </c>
      <c r="F1962" s="8"/>
      <c r="G1962" s="14" t="s">
        <v>11835</v>
      </c>
      <c r="H1962" s="8"/>
      <c r="I1962" s="15">
        <v>0</v>
      </c>
      <c r="J1962" s="15">
        <v>1</v>
      </c>
      <c r="K1962" s="12" t="str">
        <f>HYPERLINK("http://twitter.com","Twitter Web Client")</f>
        <v>Twitter Web Client</v>
      </c>
      <c r="L1962" s="16">
        <v>17</v>
      </c>
      <c r="M1962" s="16">
        <v>46</v>
      </c>
      <c r="N1962" s="16">
        <v>0</v>
      </c>
      <c r="O1962" s="17"/>
      <c r="P1962" s="18">
        <v>42532.537048611106</v>
      </c>
      <c r="Q1962" s="8" t="s">
        <v>4064</v>
      </c>
      <c r="R1962" s="8" t="s">
        <v>11201</v>
      </c>
      <c r="S1962" s="8"/>
      <c r="T1962" s="8"/>
      <c r="U1962" s="19" t="str">
        <f>HYPERLINK("https://pbs.twimg.com/profile_images/741720074780823552/04tLkOX6.jpg","View")</f>
        <v>View</v>
      </c>
      <c r="V1962" s="8"/>
      <c r="W1962" s="8"/>
      <c r="X1962" s="8"/>
      <c r="Y1962" s="8"/>
      <c r="Z1962" s="8"/>
    </row>
    <row r="1963" spans="1:26" ht="12.75">
      <c r="A1963" s="11">
        <v>43745.717442129629</v>
      </c>
      <c r="B1963" s="12" t="str">
        <f>HYPERLINK("https://twitter.com/adnanabogarhuzy","@adnanabogarhuzy")</f>
        <v>@adnanabogarhuzy</v>
      </c>
      <c r="C1963" s="13" t="s">
        <v>11839</v>
      </c>
      <c r="D1963" s="7" t="s">
        <v>11840</v>
      </c>
      <c r="E1963" s="12" t="str">
        <f>HYPERLINK("https://twitter.com/adnanabogarhuzy/status/1181361847406137346","1181361847406137346")</f>
        <v>1181361847406137346</v>
      </c>
      <c r="F1963" s="8"/>
      <c r="G1963" s="14" t="s">
        <v>11842</v>
      </c>
      <c r="H1963" s="8"/>
      <c r="I1963" s="15">
        <v>0</v>
      </c>
      <c r="J1963" s="15">
        <v>0</v>
      </c>
      <c r="K1963" s="12" t="str">
        <f>HYPERLINK("http://twitter.com","Twitter Web Client")</f>
        <v>Twitter Web Client</v>
      </c>
      <c r="L1963" s="16">
        <v>5</v>
      </c>
      <c r="M1963" s="16">
        <v>41</v>
      </c>
      <c r="N1963" s="16">
        <v>0</v>
      </c>
      <c r="O1963" s="17"/>
      <c r="P1963" s="18">
        <v>42429.679884259254</v>
      </c>
      <c r="Q1963" s="7"/>
      <c r="R1963" s="13" t="s">
        <v>3972</v>
      </c>
      <c r="S1963" s="8"/>
      <c r="T1963" s="8"/>
      <c r="U1963" s="19" t="str">
        <f>HYPERLINK("https://pbs.twimg.com/profile_images/704543732494942208/RMpr2LDb.jpg","View")</f>
        <v>View</v>
      </c>
      <c r="V1963" s="8"/>
      <c r="W1963" s="8"/>
      <c r="X1963" s="8"/>
      <c r="Y1963" s="8"/>
      <c r="Z1963" s="8"/>
    </row>
    <row r="1964" spans="1:26" ht="12.75">
      <c r="A1964" s="11">
        <v>43745.717199074075</v>
      </c>
      <c r="B1964" s="12" t="str">
        <f>HYPERLINK("https://twitter.com/azzamabdelgrurn","@azzamabdelgrurn")</f>
        <v>@azzamabdelgrurn</v>
      </c>
      <c r="C1964" s="13" t="s">
        <v>11844</v>
      </c>
      <c r="D1964" s="13" t="s">
        <v>11845</v>
      </c>
      <c r="E1964" s="12" t="str">
        <f>HYPERLINK("https://twitter.com/azzamabdelgrurn/status/1181361759069843457","1181361759069843457")</f>
        <v>1181361759069843457</v>
      </c>
      <c r="F1964" s="8"/>
      <c r="G1964" s="14" t="s">
        <v>11848</v>
      </c>
      <c r="H1964" s="8"/>
      <c r="I1964" s="15">
        <v>0</v>
      </c>
      <c r="J1964" s="15">
        <v>0</v>
      </c>
      <c r="K1964" s="12" t="str">
        <f>HYPERLINK("http://twitter.com","Twitter Web Client")</f>
        <v>Twitter Web Client</v>
      </c>
      <c r="L1964" s="16">
        <v>16</v>
      </c>
      <c r="M1964" s="16">
        <v>51</v>
      </c>
      <c r="N1964" s="16">
        <v>0</v>
      </c>
      <c r="O1964" s="17"/>
      <c r="P1964" s="18">
        <v>42532.577638888892</v>
      </c>
      <c r="Q1964" s="8" t="s">
        <v>11850</v>
      </c>
      <c r="R1964" s="8" t="s">
        <v>11851</v>
      </c>
      <c r="S1964" s="8"/>
      <c r="T1964" s="8"/>
      <c r="U1964" s="19" t="str">
        <f>HYPERLINK("https://pbs.twimg.com/profile_images/741734783957536768/hanU-T2E.jpg","View")</f>
        <v>View</v>
      </c>
      <c r="V1964" s="8"/>
      <c r="W1964" s="8"/>
      <c r="X1964" s="8"/>
      <c r="Y1964" s="8"/>
      <c r="Z1964" s="8"/>
    </row>
    <row r="1965" spans="1:26" ht="12.75">
      <c r="A1965" s="11">
        <v>43745.716446759259</v>
      </c>
      <c r="B1965" s="12" t="str">
        <f>HYPERLINK("https://twitter.com/gebrelgesrygqzn","@gebrelgesrygqzn")</f>
        <v>@gebrelgesrygqzn</v>
      </c>
      <c r="C1965" s="13" t="s">
        <v>11853</v>
      </c>
      <c r="D1965" s="13" t="s">
        <v>11855</v>
      </c>
      <c r="E1965" s="12" t="str">
        <f>HYPERLINK("https://twitter.com/gebrelgesrygqzn/status/1181361486708592642","1181361486708592642")</f>
        <v>1181361486708592642</v>
      </c>
      <c r="F1965" s="8"/>
      <c r="G1965" s="14" t="s">
        <v>11856</v>
      </c>
      <c r="H1965" s="8"/>
      <c r="I1965" s="15">
        <v>0</v>
      </c>
      <c r="J1965" s="15">
        <v>0</v>
      </c>
      <c r="K1965" s="12" t="str">
        <f>HYPERLINK("http://twitter.com","Twitter Web Client")</f>
        <v>Twitter Web Client</v>
      </c>
      <c r="L1965" s="16">
        <v>15</v>
      </c>
      <c r="M1965" s="16">
        <v>49</v>
      </c>
      <c r="N1965" s="16">
        <v>0</v>
      </c>
      <c r="O1965" s="17"/>
      <c r="P1965" s="18">
        <v>42532.550509259258</v>
      </c>
      <c r="Q1965" s="8" t="s">
        <v>11858</v>
      </c>
      <c r="R1965" s="8" t="s">
        <v>11859</v>
      </c>
      <c r="S1965" s="8"/>
      <c r="T1965" s="8"/>
      <c r="U1965" s="19" t="str">
        <f>HYPERLINK("https://pbs.twimg.com/profile_images/741724947962269697/NdPpHWWK.jpg","View")</f>
        <v>View</v>
      </c>
      <c r="V1965" s="8"/>
      <c r="W1965" s="8"/>
      <c r="X1965" s="8"/>
      <c r="Y1965" s="8"/>
      <c r="Z1965" s="8"/>
    </row>
    <row r="1966" spans="1:26" ht="12.75">
      <c r="A1966" s="11">
        <v>43745.716249999998</v>
      </c>
      <c r="B1966" s="12" t="str">
        <f>HYPERLINK("https://twitter.com/mohsenbenmasfeh","@mohsenbenmasfeh")</f>
        <v>@mohsenbenmasfeh</v>
      </c>
      <c r="C1966" s="13" t="s">
        <v>11861</v>
      </c>
      <c r="D1966" s="7" t="s">
        <v>11862</v>
      </c>
      <c r="E1966" s="12" t="str">
        <f>HYPERLINK("https://twitter.com/mohsenbenmasfeh/status/1181361415153737728","1181361415153737728")</f>
        <v>1181361415153737728</v>
      </c>
      <c r="F1966" s="8"/>
      <c r="G1966" s="14" t="s">
        <v>11863</v>
      </c>
      <c r="H1966" s="8"/>
      <c r="I1966" s="15">
        <v>0</v>
      </c>
      <c r="J1966" s="15">
        <v>0</v>
      </c>
      <c r="K1966" s="12" t="str">
        <f>HYPERLINK("http://twitter.com","Twitter Web Client")</f>
        <v>Twitter Web Client</v>
      </c>
      <c r="L1966" s="16">
        <v>8</v>
      </c>
      <c r="M1966" s="16">
        <v>46</v>
      </c>
      <c r="N1966" s="16">
        <v>0</v>
      </c>
      <c r="O1966" s="17"/>
      <c r="P1966" s="18">
        <v>42529.540127314816</v>
      </c>
      <c r="Q1966" s="7" t="s">
        <v>11285</v>
      </c>
      <c r="R1966" s="13" t="s">
        <v>11866</v>
      </c>
      <c r="S1966" s="8"/>
      <c r="T1966" s="8"/>
      <c r="U1966" s="19" t="str">
        <f>HYPERLINK("https://pbs.twimg.com/profile_images/740634027498016768/3QIjflOJ.jpg","View")</f>
        <v>View</v>
      </c>
      <c r="V1966" s="8"/>
      <c r="W1966" s="8"/>
      <c r="X1966" s="8"/>
      <c r="Y1966" s="8"/>
      <c r="Z1966" s="8"/>
    </row>
    <row r="1967" spans="1:26" ht="12.75">
      <c r="A1967" s="11">
        <v>43745.716053240743</v>
      </c>
      <c r="B1967" s="12" t="str">
        <f>HYPERLINK("https://twitter.com/ebrahimmeshbvxn","@ebrahimmeshbvxn")</f>
        <v>@ebrahimmeshbvxn</v>
      </c>
      <c r="C1967" s="13" t="s">
        <v>11868</v>
      </c>
      <c r="D1967" s="13" t="s">
        <v>1011</v>
      </c>
      <c r="E1967" s="12" t="str">
        <f>HYPERLINK("https://twitter.com/ebrahimmeshbvxn/status/1181361342315466752","1181361342315466752")</f>
        <v>1181361342315466752</v>
      </c>
      <c r="F1967" s="8"/>
      <c r="G1967" s="14" t="s">
        <v>11869</v>
      </c>
      <c r="H1967" s="8"/>
      <c r="I1967" s="15">
        <v>0</v>
      </c>
      <c r="J1967" s="15">
        <v>0</v>
      </c>
      <c r="K1967" s="12" t="str">
        <f>HYPERLINK("http://twitter.com","Twitter Web Client")</f>
        <v>Twitter Web Client</v>
      </c>
      <c r="L1967" s="16">
        <v>4</v>
      </c>
      <c r="M1967" s="16">
        <v>41</v>
      </c>
      <c r="N1967" s="16">
        <v>0</v>
      </c>
      <c r="O1967" s="17"/>
      <c r="P1967" s="18">
        <v>42429.547407407408</v>
      </c>
      <c r="Q1967" s="8"/>
      <c r="R1967" s="8" t="s">
        <v>11872</v>
      </c>
      <c r="S1967" s="8"/>
      <c r="T1967" s="8"/>
      <c r="U1967" s="19" t="str">
        <f>HYPERLINK("https://pbs.twimg.com/profile_images/704522196652331009/hOY7pUAb.jpg","View")</f>
        <v>View</v>
      </c>
      <c r="V1967" s="8"/>
      <c r="W1967" s="8"/>
      <c r="X1967" s="8"/>
      <c r="Y1967" s="8"/>
      <c r="Z1967" s="8"/>
    </row>
    <row r="1968" spans="1:26" ht="12.75">
      <c r="A1968" s="11">
        <v>43745.715289351851</v>
      </c>
      <c r="B1968" s="12" t="str">
        <f>HYPERLINK("https://twitter.com/abdelwahedbmhfd","@abdelwahedbmhfd")</f>
        <v>@abdelwahedbmhfd</v>
      </c>
      <c r="C1968" s="13" t="s">
        <v>11873</v>
      </c>
      <c r="D1968" s="13" t="s">
        <v>11874</v>
      </c>
      <c r="E1968" s="12" t="str">
        <f>HYPERLINK("https://twitter.com/abdelwahedbmhfd/status/1181361067517194240","1181361067517194240")</f>
        <v>1181361067517194240</v>
      </c>
      <c r="F1968" s="8"/>
      <c r="G1968" s="14" t="s">
        <v>11876</v>
      </c>
      <c r="H1968" s="8"/>
      <c r="I1968" s="15">
        <v>0</v>
      </c>
      <c r="J1968" s="15">
        <v>0</v>
      </c>
      <c r="K1968" s="12" t="str">
        <f>HYPERLINK("http://twitter.com","Twitter Web Client")</f>
        <v>Twitter Web Client</v>
      </c>
      <c r="L1968" s="16">
        <v>4</v>
      </c>
      <c r="M1968" s="16">
        <v>40</v>
      </c>
      <c r="N1968" s="16">
        <v>0</v>
      </c>
      <c r="O1968" s="17"/>
      <c r="P1968" s="18">
        <v>42472.756608796291</v>
      </c>
      <c r="Q1968" s="8" t="s">
        <v>11879</v>
      </c>
      <c r="R1968" s="8" t="s">
        <v>11880</v>
      </c>
      <c r="S1968" s="8"/>
      <c r="T1968" s="8"/>
      <c r="U1968" s="19" t="str">
        <f>HYPERLINK("https://pbs.twimg.com/profile_images/720398500337352705/hwHfZ17c.jpg","View")</f>
        <v>View</v>
      </c>
      <c r="V1968" s="8"/>
      <c r="W1968" s="8"/>
      <c r="X1968" s="8"/>
      <c r="Y1968" s="8"/>
      <c r="Z1968" s="8"/>
    </row>
    <row r="1969" spans="1:26" ht="12.75">
      <c r="A1969" s="11">
        <v>43745.715092592596</v>
      </c>
      <c r="B1969" s="12" t="str">
        <f>HYPERLINK("https://twitter.com/zaferboadanwvwo","@zaferboadanwvwo")</f>
        <v>@zaferboadanwvwo</v>
      </c>
      <c r="C1969" s="13" t="s">
        <v>11881</v>
      </c>
      <c r="D1969" s="7" t="s">
        <v>11882</v>
      </c>
      <c r="E1969" s="12" t="str">
        <f>HYPERLINK("https://twitter.com/zaferboadanwvwo/status/1181360994347622400","1181360994347622400")</f>
        <v>1181360994347622400</v>
      </c>
      <c r="F1969" s="8"/>
      <c r="G1969" s="14" t="s">
        <v>11883</v>
      </c>
      <c r="H1969" s="8"/>
      <c r="I1969" s="15">
        <v>0</v>
      </c>
      <c r="J1969" s="15">
        <v>0</v>
      </c>
      <c r="K1969" s="12" t="str">
        <f>HYPERLINK("http://twitter.com","Twitter Web Client")</f>
        <v>Twitter Web Client</v>
      </c>
      <c r="L1969" s="16">
        <v>2</v>
      </c>
      <c r="M1969" s="16">
        <v>39</v>
      </c>
      <c r="N1969" s="16">
        <v>0</v>
      </c>
      <c r="O1969" s="17"/>
      <c r="P1969" s="18">
        <v>42467.941064814819</v>
      </c>
      <c r="Q1969" s="7" t="s">
        <v>11884</v>
      </c>
      <c r="R1969" s="13" t="s">
        <v>11885</v>
      </c>
      <c r="S1969" s="8"/>
      <c r="T1969" s="8"/>
      <c r="U1969" s="19" t="str">
        <f>HYPERLINK("https://pbs.twimg.com/profile_images/718600540897325056/q0tv-tEZ.jpg","View")</f>
        <v>View</v>
      </c>
      <c r="V1969" s="8"/>
      <c r="W1969" s="8"/>
      <c r="X1969" s="8"/>
      <c r="Y1969" s="8"/>
      <c r="Z1969" s="8"/>
    </row>
    <row r="1970" spans="1:26" ht="12.75">
      <c r="A1970" s="11">
        <v>43745.714687500003</v>
      </c>
      <c r="B1970" s="12" t="str">
        <f>HYPERLINK("https://twitter.com/bayanrefaeyonzp","@bayanrefaeyonzp")</f>
        <v>@bayanrefaeyonzp</v>
      </c>
      <c r="C1970" s="13" t="s">
        <v>11889</v>
      </c>
      <c r="D1970" s="13" t="s">
        <v>3793</v>
      </c>
      <c r="E1970" s="12" t="str">
        <f>HYPERLINK("https://twitter.com/bayanrefaeyonzp/status/1181360848356270080","1181360848356270080")</f>
        <v>1181360848356270080</v>
      </c>
      <c r="F1970" s="8"/>
      <c r="G1970" s="14" t="s">
        <v>11890</v>
      </c>
      <c r="H1970" s="8"/>
      <c r="I1970" s="15">
        <v>0</v>
      </c>
      <c r="J1970" s="15">
        <v>0</v>
      </c>
      <c r="K1970" s="12" t="str">
        <f>HYPERLINK("http://twitter.com","Twitter Web Client")</f>
        <v>Twitter Web Client</v>
      </c>
      <c r="L1970" s="16">
        <v>13</v>
      </c>
      <c r="M1970" s="16">
        <v>41</v>
      </c>
      <c r="N1970" s="16">
        <v>0</v>
      </c>
      <c r="O1970" s="17"/>
      <c r="P1970" s="18">
        <v>42533.657905092594</v>
      </c>
      <c r="Q1970" s="8" t="s">
        <v>11891</v>
      </c>
      <c r="R1970" s="8" t="s">
        <v>11892</v>
      </c>
      <c r="S1970" s="8"/>
      <c r="T1970" s="8"/>
      <c r="U1970" s="19" t="str">
        <f>HYPERLINK("https://pbs.twimg.com/profile_images/742126251889065984/IxfVjQgR.jpg","View")</f>
        <v>View</v>
      </c>
      <c r="V1970" s="8"/>
      <c r="W1970" s="8"/>
      <c r="X1970" s="8"/>
      <c r="Y1970" s="8"/>
      <c r="Z1970" s="8"/>
    </row>
    <row r="1971" spans="1:26" ht="12.75">
      <c r="A1971" s="11">
        <v>43745.712962962964</v>
      </c>
      <c r="B1971" s="12" t="str">
        <f>HYPERLINK("https://twitter.com/khodairagmaybun","@khodairagmaybun")</f>
        <v>@khodairagmaybun</v>
      </c>
      <c r="C1971" s="13" t="s">
        <v>11893</v>
      </c>
      <c r="D1971" s="13" t="s">
        <v>11894</v>
      </c>
      <c r="E1971" s="12" t="str">
        <f>HYPERLINK("https://twitter.com/khodairagmaybun/status/1181360224659263489","1181360224659263489")</f>
        <v>1181360224659263489</v>
      </c>
      <c r="F1971" s="8"/>
      <c r="G1971" s="14" t="s">
        <v>11895</v>
      </c>
      <c r="H1971" s="8"/>
      <c r="I1971" s="15">
        <v>0</v>
      </c>
      <c r="J1971" s="15">
        <v>0</v>
      </c>
      <c r="K1971" s="12" t="str">
        <f>HYPERLINK("http://twitter.com","Twitter Web Client")</f>
        <v>Twitter Web Client</v>
      </c>
      <c r="L1971" s="16">
        <v>5</v>
      </c>
      <c r="M1971" s="16">
        <v>41</v>
      </c>
      <c r="N1971" s="16">
        <v>0</v>
      </c>
      <c r="O1971" s="17"/>
      <c r="P1971" s="18">
        <v>42429.78597222222</v>
      </c>
      <c r="Q1971" s="8"/>
      <c r="R1971" s="8" t="s">
        <v>3972</v>
      </c>
      <c r="S1971" s="8"/>
      <c r="T1971" s="8"/>
      <c r="U1971" s="19" t="str">
        <f>HYPERLINK("https://pbs.twimg.com/profile_images/704585277076013057/UffblfXI.jpg","View")</f>
        <v>View</v>
      </c>
      <c r="V1971" s="8"/>
      <c r="W1971" s="8"/>
      <c r="X1971" s="8"/>
      <c r="Y1971" s="8"/>
      <c r="Z1971" s="8"/>
    </row>
    <row r="1972" spans="1:26" ht="12.75">
      <c r="A1972" s="11">
        <v>43745.712210648147</v>
      </c>
      <c r="B1972" s="12" t="str">
        <f>HYPERLINK("https://twitter.com/abbasomashbvdel","@abbasomashbvdel")</f>
        <v>@abbasomashbvdel</v>
      </c>
      <c r="C1972" s="7" t="s">
        <v>11896</v>
      </c>
      <c r="D1972" s="13" t="s">
        <v>11897</v>
      </c>
      <c r="E1972" s="12" t="str">
        <f>HYPERLINK("https://twitter.com/abbasomashbvdel/status/1181359952482504705","1181359952482504705")</f>
        <v>1181359952482504705</v>
      </c>
      <c r="F1972" s="8"/>
      <c r="G1972" s="14" t="s">
        <v>11899</v>
      </c>
      <c r="H1972" s="8"/>
      <c r="I1972" s="15">
        <v>0</v>
      </c>
      <c r="J1972" s="15">
        <v>0</v>
      </c>
      <c r="K1972" s="12" t="str">
        <f>HYPERLINK("http://twitter.com","Twitter Web Client")</f>
        <v>Twitter Web Client</v>
      </c>
      <c r="L1972" s="16">
        <v>1</v>
      </c>
      <c r="M1972" s="16">
        <v>38</v>
      </c>
      <c r="N1972" s="16">
        <v>0</v>
      </c>
      <c r="O1972" s="17"/>
      <c r="P1972" s="18">
        <v>42495.859224537038</v>
      </c>
      <c r="Q1972" s="7"/>
      <c r="R1972" s="13" t="s">
        <v>11901</v>
      </c>
      <c r="S1972" s="8"/>
      <c r="T1972" s="8"/>
      <c r="U1972" s="19" t="str">
        <f>HYPERLINK("https://pbs.twimg.com/profile_images/728429349305606144/5zh5SwZb.jpg","View")</f>
        <v>View</v>
      </c>
      <c r="V1972" s="8"/>
      <c r="W1972" s="8"/>
      <c r="X1972" s="8"/>
      <c r="Y1972" s="8"/>
      <c r="Z1972" s="8"/>
    </row>
    <row r="1973" spans="1:26" ht="12.75">
      <c r="A1973" s="11">
        <v>43745.709895833337</v>
      </c>
      <c r="B1973" s="12" t="str">
        <f>HYPERLINK("https://twitter.com/edizzle1980","@edizzle1980")</f>
        <v>@edizzle1980</v>
      </c>
      <c r="C1973" s="13" t="s">
        <v>11904</v>
      </c>
      <c r="D1973" s="7" t="s">
        <v>11905</v>
      </c>
      <c r="E1973" s="12" t="str">
        <f>HYPERLINK("https://twitter.com/edizzle1980/status/1181359113684606978","1181359113684606978")</f>
        <v>1181359113684606978</v>
      </c>
      <c r="F1973" s="8"/>
      <c r="G1973" s="15"/>
      <c r="H1973" s="8"/>
      <c r="I1973" s="15">
        <v>8</v>
      </c>
      <c r="J1973" s="15">
        <v>10</v>
      </c>
      <c r="K1973" s="12" t="str">
        <f>HYPERLINK("http://twitter.com/download/android","Twitter for Android")</f>
        <v>Twitter for Android</v>
      </c>
      <c r="L1973" s="16">
        <v>10955</v>
      </c>
      <c r="M1973" s="16">
        <v>11881</v>
      </c>
      <c r="N1973" s="16">
        <v>10</v>
      </c>
      <c r="O1973" s="17"/>
      <c r="P1973" s="18">
        <v>42829.643993055557</v>
      </c>
      <c r="Q1973" s="7" t="s">
        <v>11906</v>
      </c>
      <c r="R1973" s="13" t="s">
        <v>11907</v>
      </c>
      <c r="S1973" s="8"/>
      <c r="T1973" s="8"/>
      <c r="U1973" s="19" t="str">
        <f>HYPERLINK("https://pbs.twimg.com/profile_images/1164003255388725249/psOrN_QB.jpg","View")</f>
        <v>View</v>
      </c>
      <c r="V1973" s="8"/>
      <c r="W1973" s="8"/>
      <c r="X1973" s="8"/>
      <c r="Y1973" s="8"/>
      <c r="Z1973" s="8"/>
    </row>
    <row r="1974" spans="1:26" ht="12.75">
      <c r="A1974" s="11">
        <v>43745.708912037036</v>
      </c>
      <c r="B1974" s="12" t="str">
        <f>HYPERLINK("https://twitter.com/rabeahozaifhovm","@rabeahozaifhovm")</f>
        <v>@rabeahozaifhovm</v>
      </c>
      <c r="C1974" s="13" t="s">
        <v>11911</v>
      </c>
      <c r="D1974" s="7" t="s">
        <v>4690</v>
      </c>
      <c r="E1974" s="12" t="str">
        <f>HYPERLINK("https://twitter.com/rabeahozaifhovm/status/1181358755482607616","1181358755482607616")</f>
        <v>1181358755482607616</v>
      </c>
      <c r="F1974" s="8"/>
      <c r="G1974" s="14" t="s">
        <v>11912</v>
      </c>
      <c r="H1974" s="8"/>
      <c r="I1974" s="15">
        <v>0</v>
      </c>
      <c r="J1974" s="15">
        <v>0</v>
      </c>
      <c r="K1974" s="12" t="str">
        <f>HYPERLINK("http://twitter.com","Twitter Web Client")</f>
        <v>Twitter Web Client</v>
      </c>
      <c r="L1974" s="16">
        <v>5</v>
      </c>
      <c r="M1974" s="16">
        <v>40</v>
      </c>
      <c r="N1974" s="16">
        <v>0</v>
      </c>
      <c r="O1974" s="17"/>
      <c r="P1974" s="18">
        <v>42429.709988425922</v>
      </c>
      <c r="Q1974" s="7"/>
      <c r="R1974" s="13" t="s">
        <v>11254</v>
      </c>
      <c r="S1974" s="8"/>
      <c r="T1974" s="8"/>
      <c r="U1974" s="19" t="str">
        <f>HYPERLINK("https://pbs.twimg.com/profile_images/704554276861952001/7a5vJp1s.jpg","View")</f>
        <v>View</v>
      </c>
      <c r="V1974" s="8"/>
      <c r="W1974" s="8"/>
      <c r="X1974" s="8"/>
      <c r="Y1974" s="8"/>
      <c r="Z1974" s="8"/>
    </row>
    <row r="1975" spans="1:26" ht="12.75">
      <c r="A1975" s="11">
        <v>43745.708148148144</v>
      </c>
      <c r="B1975" s="12" t="str">
        <f>HYPERLINK("https://twitter.com/mortadashemzumx","@mortadashemzumx")</f>
        <v>@mortadashemzumx</v>
      </c>
      <c r="C1975" s="13" t="s">
        <v>11917</v>
      </c>
      <c r="D1975" s="7" t="s">
        <v>11918</v>
      </c>
      <c r="E1975" s="12" t="str">
        <f>HYPERLINK("https://twitter.com/mortadashemzumx/status/1181358479648448518","1181358479648448518")</f>
        <v>1181358479648448518</v>
      </c>
      <c r="F1975" s="8"/>
      <c r="G1975" s="14" t="s">
        <v>11919</v>
      </c>
      <c r="H1975" s="8"/>
      <c r="I1975" s="15">
        <v>0</v>
      </c>
      <c r="J1975" s="15">
        <v>0</v>
      </c>
      <c r="K1975" s="12" t="str">
        <f>HYPERLINK("http://twitter.com","Twitter Web Client")</f>
        <v>Twitter Web Client</v>
      </c>
      <c r="L1975" s="16">
        <v>14</v>
      </c>
      <c r="M1975" s="16">
        <v>40</v>
      </c>
      <c r="N1975" s="16">
        <v>0</v>
      </c>
      <c r="O1975" s="17"/>
      <c r="P1975" s="18">
        <v>42533.474259259259</v>
      </c>
      <c r="Q1975" s="7" t="s">
        <v>11922</v>
      </c>
      <c r="R1975" s="13" t="s">
        <v>4185</v>
      </c>
      <c r="S1975" s="8"/>
      <c r="T1975" s="8"/>
      <c r="U1975" s="19" t="str">
        <f>HYPERLINK("https://pbs.twimg.com/profile_images/742059707754553344/Mgj8R1bV.jpg","View")</f>
        <v>View</v>
      </c>
      <c r="V1975" s="8"/>
      <c r="W1975" s="8"/>
      <c r="X1975" s="8"/>
      <c r="Y1975" s="8"/>
      <c r="Z1975" s="8"/>
    </row>
    <row r="1976" spans="1:26" ht="12.75">
      <c r="A1976" s="11">
        <v>43745.706921296296</v>
      </c>
      <c r="B1976" s="12" t="str">
        <f>HYPERLINK("https://twitter.com/zowibanboadsrgs","@zowibanboadsrgs")</f>
        <v>@zowibanboadsrgs</v>
      </c>
      <c r="C1976" s="13" t="s">
        <v>11923</v>
      </c>
      <c r="D1976" s="7" t="s">
        <v>11924</v>
      </c>
      <c r="E1976" s="12" t="str">
        <f>HYPERLINK("https://twitter.com/zowibanboadsrgs/status/1181358035027054593","1181358035027054593")</f>
        <v>1181358035027054593</v>
      </c>
      <c r="F1976" s="8"/>
      <c r="G1976" s="14" t="s">
        <v>11925</v>
      </c>
      <c r="H1976" s="8"/>
      <c r="I1976" s="15">
        <v>0</v>
      </c>
      <c r="J1976" s="15">
        <v>0</v>
      </c>
      <c r="K1976" s="12" t="str">
        <f>HYPERLINK("http://twitter.com","Twitter Web Client")</f>
        <v>Twitter Web Client</v>
      </c>
      <c r="L1976" s="16">
        <v>1</v>
      </c>
      <c r="M1976" s="16">
        <v>39</v>
      </c>
      <c r="N1976" s="16">
        <v>0</v>
      </c>
      <c r="O1976" s="17"/>
      <c r="P1976" s="18">
        <v>42430.910949074074</v>
      </c>
      <c r="Q1976" s="7"/>
      <c r="R1976" s="13" t="s">
        <v>11928</v>
      </c>
      <c r="S1976" s="8"/>
      <c r="T1976" s="8"/>
      <c r="U1976" s="19" t="str">
        <f>HYPERLINK("https://pbs.twimg.com/profile_images/704964014506377216/pvDGB66j.jpg","View")</f>
        <v>View</v>
      </c>
      <c r="V1976" s="8"/>
      <c r="W1976" s="8"/>
      <c r="X1976" s="8"/>
      <c r="Y1976" s="8"/>
      <c r="Z1976" s="8"/>
    </row>
    <row r="1977" spans="1:26" ht="12.75">
      <c r="A1977" s="11">
        <v>43745.706724537042</v>
      </c>
      <c r="B1977" s="12" t="str">
        <f>HYPERLINK("https://twitter.com/nagibbensouzytv","@nagibbensouzytv")</f>
        <v>@nagibbensouzytv</v>
      </c>
      <c r="C1977" s="13" t="s">
        <v>11930</v>
      </c>
      <c r="D1977" s="13" t="s">
        <v>1651</v>
      </c>
      <c r="E1977" s="12" t="str">
        <f>HYPERLINK("https://twitter.com/nagibbensouzytv/status/1181357962675326976","1181357962675326976")</f>
        <v>1181357962675326976</v>
      </c>
      <c r="F1977" s="8"/>
      <c r="G1977" s="14" t="s">
        <v>11931</v>
      </c>
      <c r="H1977" s="8"/>
      <c r="I1977" s="15">
        <v>0</v>
      </c>
      <c r="J1977" s="15">
        <v>0</v>
      </c>
      <c r="K1977" s="12" t="str">
        <f>HYPERLINK("http://twitter.com","Twitter Web Client")</f>
        <v>Twitter Web Client</v>
      </c>
      <c r="L1977" s="16">
        <v>1</v>
      </c>
      <c r="M1977" s="16">
        <v>37</v>
      </c>
      <c r="N1977" s="16">
        <v>0</v>
      </c>
      <c r="O1977" s="17"/>
      <c r="P1977" s="18">
        <v>42489.749907407408</v>
      </c>
      <c r="Q1977" s="8" t="s">
        <v>11934</v>
      </c>
      <c r="R1977" s="8" t="s">
        <v>11935</v>
      </c>
      <c r="S1977" s="8"/>
      <c r="T1977" s="8"/>
      <c r="U1977" s="19" t="str">
        <f>HYPERLINK("https://pbs.twimg.com/profile_images/726215101339017216/IlOk2Yh-.jpg","View")</f>
        <v>View</v>
      </c>
      <c r="V1977" s="8"/>
      <c r="W1977" s="8"/>
      <c r="X1977" s="8"/>
      <c r="Y1977" s="8"/>
      <c r="Z1977" s="8"/>
    </row>
    <row r="1978" spans="1:26" ht="12.75">
      <c r="A1978" s="11">
        <v>43745.706331018519</v>
      </c>
      <c r="B1978" s="12" t="str">
        <f>HYPERLINK("https://twitter.com/muhammadsodazcl","@muhammadsodazcl")</f>
        <v>@muhammadsodazcl</v>
      </c>
      <c r="C1978" s="13" t="s">
        <v>11936</v>
      </c>
      <c r="D1978" s="7" t="s">
        <v>11937</v>
      </c>
      <c r="E1978" s="12" t="str">
        <f>HYPERLINK("https://twitter.com/muhammadsodazcl/status/1181357818777100288","1181357818777100288")</f>
        <v>1181357818777100288</v>
      </c>
      <c r="F1978" s="8"/>
      <c r="G1978" s="14" t="s">
        <v>11940</v>
      </c>
      <c r="H1978" s="8"/>
      <c r="I1978" s="15">
        <v>0</v>
      </c>
      <c r="J1978" s="15">
        <v>0</v>
      </c>
      <c r="K1978" s="12" t="str">
        <f>HYPERLINK("http://twitter.com","Twitter Web Client")</f>
        <v>Twitter Web Client</v>
      </c>
      <c r="L1978" s="16">
        <v>38</v>
      </c>
      <c r="M1978" s="16">
        <v>39</v>
      </c>
      <c r="N1978" s="16">
        <v>0</v>
      </c>
      <c r="O1978" s="17"/>
      <c r="P1978" s="18">
        <v>42473.798333333332</v>
      </c>
      <c r="Q1978" s="7" t="s">
        <v>11192</v>
      </c>
      <c r="R1978" s="13" t="s">
        <v>11942</v>
      </c>
      <c r="S1978" s="8"/>
      <c r="T1978" s="8"/>
      <c r="U1978" s="19" t="str">
        <f>HYPERLINK("https://pbs.twimg.com/profile_images/720767755427962880/eCZ97tnx.jpg","View")</f>
        <v>View</v>
      </c>
      <c r="V1978" s="8"/>
      <c r="W1978" s="8"/>
      <c r="X1978" s="8"/>
      <c r="Y1978" s="8"/>
      <c r="Z1978" s="8"/>
    </row>
    <row r="1979" spans="1:26" ht="12.75">
      <c r="A1979" s="11">
        <v>43745.706134259264</v>
      </c>
      <c r="B1979" s="12" t="str">
        <f>HYPERLINK("https://twitter.com/saedaalivzhq","@saedaalivzhq")</f>
        <v>@saedaalivzhq</v>
      </c>
      <c r="C1979" s="13" t="s">
        <v>11944</v>
      </c>
      <c r="D1979" s="13" t="s">
        <v>11945</v>
      </c>
      <c r="E1979" s="12" t="str">
        <f>HYPERLINK("https://twitter.com/saedaalivzhq/status/1181357749977919490","1181357749977919490")</f>
        <v>1181357749977919490</v>
      </c>
      <c r="F1979" s="8"/>
      <c r="G1979" s="14" t="s">
        <v>11946</v>
      </c>
      <c r="H1979" s="8"/>
      <c r="I1979" s="15">
        <v>0</v>
      </c>
      <c r="J1979" s="15">
        <v>0</v>
      </c>
      <c r="K1979" s="12" t="str">
        <f>HYPERLINK("http://twitter.com","Twitter Web Client")</f>
        <v>Twitter Web Client</v>
      </c>
      <c r="L1979" s="16">
        <v>3</v>
      </c>
      <c r="M1979" s="16">
        <v>41</v>
      </c>
      <c r="N1979" s="16">
        <v>0</v>
      </c>
      <c r="O1979" s="17"/>
      <c r="P1979" s="18">
        <v>42429.537939814814</v>
      </c>
      <c r="Q1979" s="8"/>
      <c r="R1979" s="8" t="s">
        <v>11949</v>
      </c>
      <c r="S1979" s="8"/>
      <c r="T1979" s="8"/>
      <c r="U1979" s="19" t="str">
        <f>HYPERLINK("https://pbs.twimg.com/profile_images/704519072877248512/Nx3DxeyU.jpg","View")</f>
        <v>View</v>
      </c>
      <c r="V1979" s="8"/>
      <c r="W1979" s="8"/>
      <c r="X1979" s="8"/>
      <c r="Y1979" s="8"/>
      <c r="Z1979" s="8"/>
    </row>
    <row r="1980" spans="1:26" ht="12.75">
      <c r="A1980" s="11">
        <v>43745.704745370371</v>
      </c>
      <c r="B1980" s="12" t="str">
        <f>HYPERLINK("https://twitter.com/mohannadbenepls","@mohannadbenepls")</f>
        <v>@mohannadbenepls</v>
      </c>
      <c r="C1980" s="13" t="s">
        <v>11954</v>
      </c>
      <c r="D1980" s="13" t="s">
        <v>11955</v>
      </c>
      <c r="E1980" s="12" t="str">
        <f>HYPERLINK("https://twitter.com/mohannadbenepls/status/1181357246904750081","1181357246904750081")</f>
        <v>1181357246904750081</v>
      </c>
      <c r="F1980" s="8"/>
      <c r="G1980" s="14" t="s">
        <v>11956</v>
      </c>
      <c r="H1980" s="8"/>
      <c r="I1980" s="15">
        <v>0</v>
      </c>
      <c r="J1980" s="15">
        <v>0</v>
      </c>
      <c r="K1980" s="12" t="str">
        <f>HYPERLINK("http://twitter.com","Twitter Web Client")</f>
        <v>Twitter Web Client</v>
      </c>
      <c r="L1980" s="16">
        <v>4</v>
      </c>
      <c r="M1980" s="16">
        <v>39</v>
      </c>
      <c r="N1980" s="16">
        <v>0</v>
      </c>
      <c r="O1980" s="17"/>
      <c r="P1980" s="18">
        <v>42496.850659722222</v>
      </c>
      <c r="Q1980" s="8"/>
      <c r="R1980" s="8" t="s">
        <v>11960</v>
      </c>
      <c r="S1980" s="8"/>
      <c r="T1980" s="8"/>
      <c r="U1980" s="19" t="str">
        <f>HYPERLINK("https://pbs.twimg.com/profile_images/728789273982341120/0oFe99h4.jpg","View")</f>
        <v>View</v>
      </c>
      <c r="V1980" s="8"/>
      <c r="W1980" s="8"/>
      <c r="X1980" s="8"/>
      <c r="Y1980" s="8"/>
      <c r="Z1980" s="8"/>
    </row>
    <row r="1981" spans="1:26" ht="12.75">
      <c r="A1981" s="11">
        <v>43745.704618055555</v>
      </c>
      <c r="B1981" s="12" t="str">
        <f>HYPERLINK("https://twitter.com/mostafafetijpth","@mostafafetijpth")</f>
        <v>@mostafafetijpth</v>
      </c>
      <c r="C1981" s="13" t="s">
        <v>11962</v>
      </c>
      <c r="D1981" s="13" t="s">
        <v>11963</v>
      </c>
      <c r="E1981" s="12" t="str">
        <f>HYPERLINK("https://twitter.com/mostafafetijpth/status/1181357199991476227","1181357199991476227")</f>
        <v>1181357199991476227</v>
      </c>
      <c r="F1981" s="8"/>
      <c r="G1981" s="14" t="s">
        <v>11966</v>
      </c>
      <c r="H1981" s="8"/>
      <c r="I1981" s="15">
        <v>0</v>
      </c>
      <c r="J1981" s="15">
        <v>0</v>
      </c>
      <c r="K1981" s="12" t="str">
        <f>HYPERLINK("http://twitter.com","Twitter Web Client")</f>
        <v>Twitter Web Client</v>
      </c>
      <c r="L1981" s="16">
        <v>3</v>
      </c>
      <c r="M1981" s="16">
        <v>42</v>
      </c>
      <c r="N1981" s="16">
        <v>0</v>
      </c>
      <c r="O1981" s="17"/>
      <c r="P1981" s="18">
        <v>42429.72278935185</v>
      </c>
      <c r="Q1981" s="8"/>
      <c r="R1981" s="8" t="s">
        <v>10921</v>
      </c>
      <c r="S1981" s="8"/>
      <c r="T1981" s="8"/>
      <c r="U1981" s="19" t="str">
        <f>HYPERLINK("https://pbs.twimg.com/profile_images/704558123776909312/FBatPjbF.jpg","View")</f>
        <v>View</v>
      </c>
      <c r="V1981" s="8"/>
      <c r="W1981" s="8"/>
      <c r="X1981" s="8"/>
      <c r="Y1981" s="8"/>
      <c r="Z1981" s="8"/>
    </row>
    <row r="1982" spans="1:26" ht="12.75">
      <c r="A1982" s="11">
        <v>43745.703333333338</v>
      </c>
      <c r="B1982" s="12" t="str">
        <f>HYPERLINK("https://twitter.com/careforworld","@careforworld")</f>
        <v>@careforworld</v>
      </c>
      <c r="C1982" s="13" t="s">
        <v>11970</v>
      </c>
      <c r="D1982" s="7" t="s">
        <v>11971</v>
      </c>
      <c r="E1982" s="12" t="str">
        <f>HYPERLINK("https://twitter.com/careforworld/status/1181356732666318848","1181356732666318848")</f>
        <v>1181356732666318848</v>
      </c>
      <c r="F1982" s="8"/>
      <c r="G1982" s="15"/>
      <c r="H1982" s="8"/>
      <c r="I1982" s="15">
        <v>0</v>
      </c>
      <c r="J1982" s="15">
        <v>2</v>
      </c>
      <c r="K1982" s="12" t="str">
        <f>HYPERLINK("http://twitter.com/#!/download/ipad","Twitter for iPad")</f>
        <v>Twitter for iPad</v>
      </c>
      <c r="L1982" s="16">
        <v>516</v>
      </c>
      <c r="M1982" s="16">
        <v>1318</v>
      </c>
      <c r="N1982" s="16">
        <v>3</v>
      </c>
      <c r="O1982" s="17"/>
      <c r="P1982" s="18">
        <v>41085.906493055554</v>
      </c>
      <c r="Q1982" s="7" t="s">
        <v>6317</v>
      </c>
      <c r="R1982" s="13" t="s">
        <v>11973</v>
      </c>
      <c r="S1982" s="8"/>
      <c r="T1982" s="8"/>
      <c r="U1982" s="19" t="str">
        <f>HYPERLINK("https://pbs.twimg.com/profile_images/1092908818604924929/jn0Et9xb.jpg","View")</f>
        <v>View</v>
      </c>
      <c r="V1982" s="8"/>
      <c r="W1982" s="8"/>
      <c r="X1982" s="8"/>
      <c r="Y1982" s="8"/>
      <c r="Z1982" s="8"/>
    </row>
    <row r="1983" spans="1:26" ht="12.75">
      <c r="A1983" s="11">
        <v>43745.703298611115</v>
      </c>
      <c r="B1983" s="12" t="str">
        <f>HYPERLINK("https://twitter.com/sherifmesbesiht","@sherifmesbesiht")</f>
        <v>@sherifmesbesiht</v>
      </c>
      <c r="C1983" s="13" t="s">
        <v>11975</v>
      </c>
      <c r="D1983" s="13" t="s">
        <v>10785</v>
      </c>
      <c r="E1983" s="12" t="str">
        <f>HYPERLINK("https://twitter.com/sherifmesbesiht/status/1181356720808955904","1181356720808955904")</f>
        <v>1181356720808955904</v>
      </c>
      <c r="F1983" s="8"/>
      <c r="G1983" s="14" t="s">
        <v>11976</v>
      </c>
      <c r="H1983" s="8"/>
      <c r="I1983" s="15">
        <v>0</v>
      </c>
      <c r="J1983" s="15">
        <v>0</v>
      </c>
      <c r="K1983" s="12" t="str">
        <f>HYPERLINK("http://twitter.com","Twitter Web Client")</f>
        <v>Twitter Web Client</v>
      </c>
      <c r="L1983" s="16">
        <v>3</v>
      </c>
      <c r="M1983" s="16">
        <v>41</v>
      </c>
      <c r="N1983" s="16">
        <v>0</v>
      </c>
      <c r="O1983" s="17"/>
      <c r="P1983" s="18">
        <v>42429.494999999995</v>
      </c>
      <c r="Q1983" s="8"/>
      <c r="R1983" s="8" t="s">
        <v>11980</v>
      </c>
      <c r="S1983" s="8"/>
      <c r="T1983" s="8"/>
      <c r="U1983" s="19" t="str">
        <f>HYPERLINK("https://pbs.twimg.com/profile_images/704503530288238592/fT3ZPiEj.jpg","View")</f>
        <v>View</v>
      </c>
      <c r="V1983" s="8"/>
      <c r="W1983" s="8"/>
      <c r="X1983" s="8"/>
      <c r="Y1983" s="8"/>
      <c r="Z1983" s="8"/>
    </row>
    <row r="1984" spans="1:26" ht="12.75">
      <c r="A1984" s="11">
        <v>43745.702997685185</v>
      </c>
      <c r="B1984" s="12" t="str">
        <f>HYPERLINK("https://twitter.com/okailalshekkxub","@okailalshekkxub")</f>
        <v>@okailalshekkxub</v>
      </c>
      <c r="C1984" s="13" t="s">
        <v>11981</v>
      </c>
      <c r="D1984" s="7" t="s">
        <v>11982</v>
      </c>
      <c r="E1984" s="12" t="str">
        <f>HYPERLINK("https://twitter.com/okailalshekkxub/status/1181356611778027520","1181356611778027520")</f>
        <v>1181356611778027520</v>
      </c>
      <c r="F1984" s="8"/>
      <c r="G1984" s="14" t="s">
        <v>11984</v>
      </c>
      <c r="H1984" s="8"/>
      <c r="I1984" s="15">
        <v>0</v>
      </c>
      <c r="J1984" s="15">
        <v>0</v>
      </c>
      <c r="K1984" s="12" t="str">
        <f>HYPERLINK("http://twitter.com","Twitter Web Client")</f>
        <v>Twitter Web Client</v>
      </c>
      <c r="L1984" s="16">
        <v>3</v>
      </c>
      <c r="M1984" s="16">
        <v>41</v>
      </c>
      <c r="N1984" s="16">
        <v>0</v>
      </c>
      <c r="O1984" s="17"/>
      <c r="P1984" s="18">
        <v>42428.909710648149</v>
      </c>
      <c r="Q1984" s="7"/>
      <c r="R1984" s="13" t="s">
        <v>11986</v>
      </c>
      <c r="S1984" s="8"/>
      <c r="T1984" s="8"/>
      <c r="U1984" s="19" t="str">
        <f>HYPERLINK("https://pbs.twimg.com/profile_images/704481477119967232/tJWjvvtZ.jpg","View")</f>
        <v>View</v>
      </c>
      <c r="V1984" s="8"/>
      <c r="W1984" s="8"/>
      <c r="X1984" s="8"/>
      <c r="Y1984" s="8"/>
      <c r="Z1984" s="8"/>
    </row>
    <row r="1985" spans="1:26" ht="12.75">
      <c r="A1985" s="11">
        <v>43745.701469907406</v>
      </c>
      <c r="B1985" s="12" t="str">
        <f>HYPERLINK("https://twitter.com/abdelrehemaduti","@abdelrehemaduti")</f>
        <v>@abdelrehemaduti</v>
      </c>
      <c r="C1985" s="13" t="s">
        <v>11988</v>
      </c>
      <c r="D1985" s="7" t="s">
        <v>1625</v>
      </c>
      <c r="E1985" s="12" t="str">
        <f>HYPERLINK("https://twitter.com/abdelrehemaduti/status/1181356057492443137","1181356057492443137")</f>
        <v>1181356057492443137</v>
      </c>
      <c r="F1985" s="8"/>
      <c r="G1985" s="14" t="s">
        <v>11989</v>
      </c>
      <c r="H1985" s="8"/>
      <c r="I1985" s="15">
        <v>0</v>
      </c>
      <c r="J1985" s="15">
        <v>0</v>
      </c>
      <c r="K1985" s="12" t="str">
        <f>HYPERLINK("http://twitter.com","Twitter Web Client")</f>
        <v>Twitter Web Client</v>
      </c>
      <c r="L1985" s="16">
        <v>20</v>
      </c>
      <c r="M1985" s="16">
        <v>37</v>
      </c>
      <c r="N1985" s="16">
        <v>0</v>
      </c>
      <c r="O1985" s="17"/>
      <c r="P1985" s="18">
        <v>42533.448773148149</v>
      </c>
      <c r="Q1985" s="7" t="s">
        <v>11993</v>
      </c>
      <c r="R1985" s="13" t="s">
        <v>4081</v>
      </c>
      <c r="S1985" s="8"/>
      <c r="T1985" s="8"/>
      <c r="U1985" s="19" t="str">
        <f>HYPERLINK("https://pbs.twimg.com/profile_images/742050470345199616/1JWwfmID.jpg","View")</f>
        <v>View</v>
      </c>
      <c r="V1985" s="8"/>
      <c r="W1985" s="8"/>
      <c r="X1985" s="8"/>
      <c r="Y1985" s="8"/>
      <c r="Z1985" s="8"/>
    </row>
    <row r="1986" spans="1:26" ht="12.75">
      <c r="A1986" s="11">
        <v>43745.700891203705</v>
      </c>
      <c r="B1986" s="12" t="str">
        <f>HYPERLINK("https://twitter.com/salemherefiaeil","@salemherefiaeil")</f>
        <v>@salemherefiaeil</v>
      </c>
      <c r="C1986" s="13" t="s">
        <v>11999</v>
      </c>
      <c r="D1986" s="13" t="s">
        <v>4133</v>
      </c>
      <c r="E1986" s="12" t="str">
        <f>HYPERLINK("https://twitter.com/salemherefiaeil/status/1181355848377028609","1181355848377028609")</f>
        <v>1181355848377028609</v>
      </c>
      <c r="F1986" s="8"/>
      <c r="G1986" s="14" t="s">
        <v>12001</v>
      </c>
      <c r="H1986" s="8"/>
      <c r="I1986" s="15">
        <v>0</v>
      </c>
      <c r="J1986" s="15">
        <v>0</v>
      </c>
      <c r="K1986" s="12" t="str">
        <f>HYPERLINK("http://twitter.com","Twitter Web Client")</f>
        <v>Twitter Web Client</v>
      </c>
      <c r="L1986" s="16">
        <v>3</v>
      </c>
      <c r="M1986" s="16">
        <v>41</v>
      </c>
      <c r="N1986" s="16">
        <v>0</v>
      </c>
      <c r="O1986" s="17"/>
      <c r="P1986" s="18">
        <v>42429.523634259254</v>
      </c>
      <c r="Q1986" s="8"/>
      <c r="R1986" s="8" t="s">
        <v>4107</v>
      </c>
      <c r="S1986" s="8"/>
      <c r="T1986" s="8"/>
      <c r="U1986" s="19" t="str">
        <f>HYPERLINK("https://pbs.twimg.com/profile_images/704513307055661057/4srr2vt_.jpg","View")</f>
        <v>View</v>
      </c>
      <c r="V1986" s="8"/>
      <c r="W1986" s="8"/>
      <c r="X1986" s="8"/>
      <c r="Y1986" s="8"/>
      <c r="Z1986" s="8"/>
    </row>
    <row r="1987" spans="1:26" ht="12.75">
      <c r="A1987" s="11">
        <v>43745.700752314813</v>
      </c>
      <c r="B1987" s="12" t="str">
        <f>HYPERLINK("https://twitter.com/ebrahimkhataict","@ebrahimkhataict")</f>
        <v>@ebrahimkhataict</v>
      </c>
      <c r="C1987" s="13" t="s">
        <v>12005</v>
      </c>
      <c r="D1987" s="7" t="s">
        <v>12006</v>
      </c>
      <c r="E1987" s="12" t="str">
        <f>HYPERLINK("https://twitter.com/ebrahimkhataict/status/1181355798166945794","1181355798166945794")</f>
        <v>1181355798166945794</v>
      </c>
      <c r="F1987" s="8"/>
      <c r="G1987" s="14" t="s">
        <v>12007</v>
      </c>
      <c r="H1987" s="8"/>
      <c r="I1987" s="15">
        <v>0</v>
      </c>
      <c r="J1987" s="15">
        <v>0</v>
      </c>
      <c r="K1987" s="12" t="str">
        <f>HYPERLINK("http://twitter.com","Twitter Web Client")</f>
        <v>Twitter Web Client</v>
      </c>
      <c r="L1987" s="16">
        <v>2</v>
      </c>
      <c r="M1987" s="16">
        <v>40</v>
      </c>
      <c r="N1987" s="16">
        <v>0</v>
      </c>
      <c r="O1987" s="17"/>
      <c r="P1987" s="18">
        <v>42429.785185185188</v>
      </c>
      <c r="Q1987" s="7"/>
      <c r="R1987" s="13" t="s">
        <v>4503</v>
      </c>
      <c r="S1987" s="8"/>
      <c r="T1987" s="8"/>
      <c r="U1987" s="19" t="str">
        <f>HYPERLINK("https://pbs.twimg.com/profile_images/704584600723570689/Tafx7cVb.jpg","View")</f>
        <v>View</v>
      </c>
      <c r="V1987" s="8"/>
      <c r="W1987" s="8"/>
      <c r="X1987" s="8"/>
      <c r="Y1987" s="8"/>
      <c r="Z1987" s="8"/>
    </row>
    <row r="1988" spans="1:26" ht="12.75">
      <c r="A1988" s="11">
        <v>43745.700474537036</v>
      </c>
      <c r="B1988" s="12" t="str">
        <f>HYPERLINK("https://twitter.com/walidghefaluvnp","@walidghefaluvnp")</f>
        <v>@walidghefaluvnp</v>
      </c>
      <c r="C1988" s="13" t="s">
        <v>12011</v>
      </c>
      <c r="D1988" s="7" t="s">
        <v>12012</v>
      </c>
      <c r="E1988" s="12" t="str">
        <f>HYPERLINK("https://twitter.com/walidghefaluvnp/status/1181355698665525249","1181355698665525249")</f>
        <v>1181355698665525249</v>
      </c>
      <c r="F1988" s="8"/>
      <c r="G1988" s="14" t="s">
        <v>12013</v>
      </c>
      <c r="H1988" s="8"/>
      <c r="I1988" s="15">
        <v>0</v>
      </c>
      <c r="J1988" s="15">
        <v>0</v>
      </c>
      <c r="K1988" s="12" t="str">
        <f>HYPERLINK("http://twitter.com","Twitter Web Client")</f>
        <v>Twitter Web Client</v>
      </c>
      <c r="L1988" s="16">
        <v>13</v>
      </c>
      <c r="M1988" s="16">
        <v>44</v>
      </c>
      <c r="N1988" s="16">
        <v>0</v>
      </c>
      <c r="O1988" s="17"/>
      <c r="P1988" s="18">
        <v>42529.529513888891</v>
      </c>
      <c r="Q1988" s="7" t="s">
        <v>4547</v>
      </c>
      <c r="R1988" s="13" t="s">
        <v>3978</v>
      </c>
      <c r="S1988" s="8"/>
      <c r="T1988" s="8"/>
      <c r="U1988" s="19" t="str">
        <f>HYPERLINK("https://pbs.twimg.com/profile_images/740630187226845184/fW7dlAeT.jpg","View")</f>
        <v>View</v>
      </c>
      <c r="V1988" s="8"/>
      <c r="W1988" s="8"/>
      <c r="X1988" s="8"/>
      <c r="Y1988" s="8"/>
      <c r="Z1988" s="8"/>
    </row>
    <row r="1989" spans="1:26" ht="12.75">
      <c r="A1989" s="11">
        <v>43745.69935185185</v>
      </c>
      <c r="B1989" s="12" t="str">
        <f>HYPERLINK("https://twitter.com/awwadawadyxzuc","@awwadawadyxzuc")</f>
        <v>@awwadawadyxzuc</v>
      </c>
      <c r="C1989" s="13" t="s">
        <v>12016</v>
      </c>
      <c r="D1989" s="13" t="s">
        <v>3332</v>
      </c>
      <c r="E1989" s="12" t="str">
        <f>HYPERLINK("https://twitter.com/awwadawadyxzuc/status/1181355290576461824","1181355290576461824")</f>
        <v>1181355290576461824</v>
      </c>
      <c r="F1989" s="8"/>
      <c r="G1989" s="14" t="s">
        <v>12017</v>
      </c>
      <c r="H1989" s="8"/>
      <c r="I1989" s="15">
        <v>0</v>
      </c>
      <c r="J1989" s="15">
        <v>0</v>
      </c>
      <c r="K1989" s="12" t="str">
        <f>HYPERLINK("http://twitter.com","Twitter Web Client")</f>
        <v>Twitter Web Client</v>
      </c>
      <c r="L1989" s="16">
        <v>1</v>
      </c>
      <c r="M1989" s="16">
        <v>39</v>
      </c>
      <c r="N1989" s="16">
        <v>0</v>
      </c>
      <c r="O1989" s="17"/>
      <c r="P1989" s="18">
        <v>42471.503194444449</v>
      </c>
      <c r="Q1989" s="7" t="s">
        <v>11884</v>
      </c>
      <c r="R1989" s="13" t="s">
        <v>3987</v>
      </c>
      <c r="S1989" s="8"/>
      <c r="T1989" s="8"/>
      <c r="U1989" s="19" t="str">
        <f>HYPERLINK("https://pbs.twimg.com/profile_images/719730577507819522/rqO96Y9D.jpg","View")</f>
        <v>View</v>
      </c>
      <c r="V1989" s="8"/>
      <c r="W1989" s="8"/>
      <c r="X1989" s="8"/>
      <c r="Y1989" s="8"/>
      <c r="Z1989" s="8"/>
    </row>
    <row r="1990" spans="1:26" ht="12.75">
      <c r="A1990" s="11">
        <v>43745.698900462958</v>
      </c>
      <c r="B1990" s="12" t="str">
        <f>HYPERLINK("https://twitter.com/khamisswigyggtx","@khamisswigyggtx")</f>
        <v>@khamisswigyggtx</v>
      </c>
      <c r="C1990" s="13" t="s">
        <v>12018</v>
      </c>
      <c r="D1990" s="13" t="s">
        <v>12019</v>
      </c>
      <c r="E1990" s="12" t="str">
        <f>HYPERLINK("https://twitter.com/khamisswigyggtx/status/1181355128495968258","1181355128495968258")</f>
        <v>1181355128495968258</v>
      </c>
      <c r="F1990" s="8"/>
      <c r="G1990" s="14" t="s">
        <v>12020</v>
      </c>
      <c r="H1990" s="8"/>
      <c r="I1990" s="15">
        <v>0</v>
      </c>
      <c r="J1990" s="15">
        <v>0</v>
      </c>
      <c r="K1990" s="12" t="str">
        <f>HYPERLINK("http://twitter.com","Twitter Web Client")</f>
        <v>Twitter Web Client</v>
      </c>
      <c r="L1990" s="16">
        <v>3</v>
      </c>
      <c r="M1990" s="16">
        <v>40</v>
      </c>
      <c r="N1990" s="16">
        <v>0</v>
      </c>
      <c r="O1990" s="17"/>
      <c r="P1990" s="18">
        <v>42428.93277777778</v>
      </c>
      <c r="Q1990" s="8"/>
      <c r="R1990" s="8" t="s">
        <v>12023</v>
      </c>
      <c r="S1990" s="8"/>
      <c r="T1990" s="8"/>
      <c r="U1990" s="19" t="str">
        <f>HYPERLINK("https://pbs.twimg.com/profile_images/704490121513594880/WRlRL5U4.jpg","View")</f>
        <v>View</v>
      </c>
      <c r="V1990" s="8"/>
      <c r="W1990" s="8"/>
      <c r="X1990" s="8"/>
      <c r="Y1990" s="8"/>
      <c r="Z1990" s="8"/>
    </row>
    <row r="1991" spans="1:26" ht="12.75">
      <c r="A1991" s="11">
        <v>43745.698761574073</v>
      </c>
      <c r="B1991" s="12" t="str">
        <f>HYPERLINK("https://twitter.com/abdelrazzakpsfb","@abdelrazzakpsfb")</f>
        <v>@abdelrazzakpsfb</v>
      </c>
      <c r="C1991" s="7" t="s">
        <v>12026</v>
      </c>
      <c r="D1991" s="7" t="s">
        <v>12027</v>
      </c>
      <c r="E1991" s="12" t="str">
        <f>HYPERLINK("https://twitter.com/abdelrazzakpsfb/status/1181355078185312256","1181355078185312256")</f>
        <v>1181355078185312256</v>
      </c>
      <c r="F1991" s="8"/>
      <c r="G1991" s="14" t="s">
        <v>12028</v>
      </c>
      <c r="H1991" s="8"/>
      <c r="I1991" s="15">
        <v>0</v>
      </c>
      <c r="J1991" s="15">
        <v>0</v>
      </c>
      <c r="K1991" s="12" t="str">
        <f>HYPERLINK("http://twitter.com","Twitter Web Client")</f>
        <v>Twitter Web Client</v>
      </c>
      <c r="L1991" s="16">
        <v>4</v>
      </c>
      <c r="M1991" s="16">
        <v>40</v>
      </c>
      <c r="N1991" s="16">
        <v>0</v>
      </c>
      <c r="O1991" s="17"/>
      <c r="P1991" s="18">
        <v>42428.933645833335</v>
      </c>
      <c r="Q1991" s="8"/>
      <c r="R1991" s="8" t="s">
        <v>12029</v>
      </c>
      <c r="S1991" s="8"/>
      <c r="T1991" s="8"/>
      <c r="U1991" s="19" t="str">
        <f>HYPERLINK("https://pbs.twimg.com/profile_images/704490541363232768/q-zXI4If.jpg","View")</f>
        <v>View</v>
      </c>
      <c r="V1991" s="8"/>
      <c r="W1991" s="8"/>
      <c r="X1991" s="8"/>
      <c r="Y1991" s="8"/>
      <c r="Z1991" s="8"/>
    </row>
    <row r="1992" spans="1:26" ht="12.75">
      <c r="A1992" s="11">
        <v>43745.698622685188</v>
      </c>
      <c r="B1992" s="12" t="str">
        <f>HYPERLINK("https://twitter.com/rayandabibscub","@rayandabibscub")</f>
        <v>@rayandabibscub</v>
      </c>
      <c r="C1992" s="13" t="s">
        <v>12030</v>
      </c>
      <c r="D1992" s="13" t="s">
        <v>872</v>
      </c>
      <c r="E1992" s="12" t="str">
        <f>HYPERLINK("https://twitter.com/rayandabibscub/status/1181355027119706112","1181355027119706112")</f>
        <v>1181355027119706112</v>
      </c>
      <c r="F1992" s="8"/>
      <c r="G1992" s="14" t="s">
        <v>12031</v>
      </c>
      <c r="H1992" s="8"/>
      <c r="I1992" s="15">
        <v>0</v>
      </c>
      <c r="J1992" s="15">
        <v>0</v>
      </c>
      <c r="K1992" s="12" t="str">
        <f>HYPERLINK("http://twitter.com","Twitter Web Client")</f>
        <v>Twitter Web Client</v>
      </c>
      <c r="L1992" s="16">
        <v>6</v>
      </c>
      <c r="M1992" s="16">
        <v>48</v>
      </c>
      <c r="N1992" s="16">
        <v>0</v>
      </c>
      <c r="O1992" s="17"/>
      <c r="P1992" s="18">
        <v>42532.507233796292</v>
      </c>
      <c r="Q1992" s="8" t="s">
        <v>4530</v>
      </c>
      <c r="R1992" s="8" t="s">
        <v>11121</v>
      </c>
      <c r="S1992" s="8"/>
      <c r="T1992" s="8"/>
      <c r="U1992" s="19" t="str">
        <f>HYPERLINK("https://pbs.twimg.com/profile_images/741709271679827973/E-Wpgqd9.jpg","View")</f>
        <v>View</v>
      </c>
      <c r="V1992" s="8"/>
      <c r="W1992" s="8"/>
      <c r="X1992" s="8"/>
      <c r="Y1992" s="8"/>
      <c r="Z1992" s="8"/>
    </row>
    <row r="1993" spans="1:26" ht="12.75">
      <c r="A1993" s="11">
        <v>43745.698495370365</v>
      </c>
      <c r="B1993" s="12" t="str">
        <f>HYPERLINK("https://twitter.com/esmaelattarshal","@esmaelattarshal")</f>
        <v>@esmaelattarshal</v>
      </c>
      <c r="C1993" s="13" t="s">
        <v>12035</v>
      </c>
      <c r="D1993" s="7" t="s">
        <v>2188</v>
      </c>
      <c r="E1993" s="12" t="str">
        <f>HYPERLINK("https://twitter.com/esmaelattarshal/status/1181354978767708161","1181354978767708161")</f>
        <v>1181354978767708161</v>
      </c>
      <c r="F1993" s="8"/>
      <c r="G1993" s="14" t="s">
        <v>12038</v>
      </c>
      <c r="H1993" s="8"/>
      <c r="I1993" s="15">
        <v>0</v>
      </c>
      <c r="J1993" s="15">
        <v>0</v>
      </c>
      <c r="K1993" s="12" t="str">
        <f>HYPERLINK("http://twitter.com","Twitter Web Client")</f>
        <v>Twitter Web Client</v>
      </c>
      <c r="L1993" s="16">
        <v>7</v>
      </c>
      <c r="M1993" s="16">
        <v>50</v>
      </c>
      <c r="N1993" s="16">
        <v>0</v>
      </c>
      <c r="O1993" s="17"/>
      <c r="P1993" s="18">
        <v>42532.735462962963</v>
      </c>
      <c r="Q1993" s="7" t="s">
        <v>12040</v>
      </c>
      <c r="R1993" s="13" t="s">
        <v>12041</v>
      </c>
      <c r="S1993" s="8"/>
      <c r="T1993" s="8"/>
      <c r="U1993" s="19" t="str">
        <f>HYPERLINK("https://pbs.twimg.com/profile_images/741791978275393537/ltnyPdI_.jpg","View")</f>
        <v>View</v>
      </c>
      <c r="V1993" s="8"/>
      <c r="W1993" s="8"/>
      <c r="X1993" s="8"/>
      <c r="Y1993" s="8"/>
      <c r="Z1993" s="8"/>
    </row>
    <row r="1994" spans="1:26" ht="12.75">
      <c r="A1994" s="11">
        <v>43745.698344907403</v>
      </c>
      <c r="B1994" s="12" t="str">
        <f>HYPERLINK("https://twitter.com/ghanemshahrzekm","@ghanemshahrzekm")</f>
        <v>@ghanemshahrzekm</v>
      </c>
      <c r="C1994" s="13" t="s">
        <v>12043</v>
      </c>
      <c r="D1994" s="13" t="s">
        <v>7305</v>
      </c>
      <c r="E1994" s="12" t="str">
        <f>HYPERLINK("https://twitter.com/ghanemshahrzekm/status/1181354927907577859","1181354927907577859")</f>
        <v>1181354927907577859</v>
      </c>
      <c r="F1994" s="8"/>
      <c r="G1994" s="14" t="s">
        <v>12044</v>
      </c>
      <c r="H1994" s="8"/>
      <c r="I1994" s="15">
        <v>0</v>
      </c>
      <c r="J1994" s="15">
        <v>0</v>
      </c>
      <c r="K1994" s="12" t="str">
        <f>HYPERLINK("http://twitter.com","Twitter Web Client")</f>
        <v>Twitter Web Client</v>
      </c>
      <c r="L1994" s="16">
        <v>14</v>
      </c>
      <c r="M1994" s="16">
        <v>45</v>
      </c>
      <c r="N1994" s="16">
        <v>0</v>
      </c>
      <c r="O1994" s="17"/>
      <c r="P1994" s="18">
        <v>42532.541851851856</v>
      </c>
      <c r="Q1994" s="8" t="s">
        <v>12047</v>
      </c>
      <c r="R1994" s="8" t="s">
        <v>12048</v>
      </c>
      <c r="S1994" s="8"/>
      <c r="T1994" s="8"/>
      <c r="U1994" s="19" t="str">
        <f>HYPERLINK("https://pbs.twimg.com/profile_images/741721814603341825/ssqd29BV.jpg","View")</f>
        <v>View</v>
      </c>
      <c r="V1994" s="8"/>
      <c r="W1994" s="8"/>
      <c r="X1994" s="8"/>
      <c r="Y1994" s="8"/>
      <c r="Z1994" s="8"/>
    </row>
    <row r="1995" spans="1:26" ht="12.75">
      <c r="A1995" s="11">
        <v>43745.697291666671</v>
      </c>
      <c r="B1995" s="12" t="str">
        <f>HYPERLINK("https://twitter.com/naseryahrilmggt","@naseryahrilmggt")</f>
        <v>@naseryahrilmggt</v>
      </c>
      <c r="C1995" s="13" t="s">
        <v>12054</v>
      </c>
      <c r="D1995" s="13" t="s">
        <v>5350</v>
      </c>
      <c r="E1995" s="12" t="str">
        <f>HYPERLINK("https://twitter.com/naseryahrilmggt/status/1181354545034731525","1181354545034731525")</f>
        <v>1181354545034731525</v>
      </c>
      <c r="F1995" s="8"/>
      <c r="G1995" s="14" t="s">
        <v>12055</v>
      </c>
      <c r="H1995" s="8"/>
      <c r="I1995" s="15">
        <v>0</v>
      </c>
      <c r="J1995" s="15">
        <v>0</v>
      </c>
      <c r="K1995" s="12" t="str">
        <f>HYPERLINK("http://twitter.com","Twitter Web Client")</f>
        <v>Twitter Web Client</v>
      </c>
      <c r="L1995" s="16">
        <v>3</v>
      </c>
      <c r="M1995" s="16">
        <v>40</v>
      </c>
      <c r="N1995" s="16">
        <v>0</v>
      </c>
      <c r="O1995" s="17"/>
      <c r="P1995" s="18">
        <v>42508.071354166663</v>
      </c>
      <c r="Q1995" s="13" t="s">
        <v>11850</v>
      </c>
      <c r="R1995" s="13" t="s">
        <v>12057</v>
      </c>
      <c r="S1995" s="8"/>
      <c r="T1995" s="8"/>
      <c r="U1995" s="19" t="str">
        <f>HYPERLINK("https://pbs.twimg.com/profile_images/732855214299066368/Isqg_La1.jpg","View")</f>
        <v>View</v>
      </c>
      <c r="V1995" s="8"/>
      <c r="W1995" s="8"/>
      <c r="X1995" s="8"/>
      <c r="Y1995" s="8"/>
      <c r="Z1995" s="8"/>
    </row>
    <row r="1996" spans="1:26" ht="12.75">
      <c r="A1996" s="11">
        <v>43745.696006944447</v>
      </c>
      <c r="B1996" s="12" t="str">
        <f>HYPERLINK("https://twitter.com/moagebmeataakji","@moagebmeataakji")</f>
        <v>@moagebmeataakji</v>
      </c>
      <c r="C1996" s="13" t="s">
        <v>12087</v>
      </c>
      <c r="D1996" s="13" t="s">
        <v>12088</v>
      </c>
      <c r="E1996" s="12" t="str">
        <f>HYPERLINK("https://twitter.com/moagebmeataakji/status/1181354079823552512","1181354079823552512")</f>
        <v>1181354079823552512</v>
      </c>
      <c r="F1996" s="8"/>
      <c r="G1996" s="14" t="s">
        <v>12089</v>
      </c>
      <c r="H1996" s="8"/>
      <c r="I1996" s="15">
        <v>0</v>
      </c>
      <c r="J1996" s="15">
        <v>0</v>
      </c>
      <c r="K1996" s="12" t="str">
        <f>HYPERLINK("http://twitter.com","Twitter Web Client")</f>
        <v>Twitter Web Client</v>
      </c>
      <c r="L1996" s="16">
        <v>10</v>
      </c>
      <c r="M1996" s="16">
        <v>39</v>
      </c>
      <c r="N1996" s="16">
        <v>0</v>
      </c>
      <c r="O1996" s="17"/>
      <c r="P1996" s="18">
        <v>42508.070196759261</v>
      </c>
      <c r="Q1996" s="8" t="s">
        <v>11312</v>
      </c>
      <c r="R1996" s="8" t="s">
        <v>11794</v>
      </c>
      <c r="S1996" s="8"/>
      <c r="T1996" s="8"/>
      <c r="U1996" s="19" t="str">
        <f>HYPERLINK("https://pbs.twimg.com/profile_images/732854462117617664/HhRHjeWi.jpg","View")</f>
        <v>View</v>
      </c>
      <c r="V1996" s="8"/>
      <c r="W1996" s="8"/>
      <c r="X1996" s="8"/>
      <c r="Y1996" s="8"/>
      <c r="Z1996" s="8"/>
    </row>
    <row r="1997" spans="1:26" ht="12.75">
      <c r="A1997" s="11">
        <v>43745.694189814814</v>
      </c>
      <c r="B1997" s="12" t="str">
        <f>HYPERLINK("https://twitter.com/adianbarigjnm","@adianbarigjnm")</f>
        <v>@adianbarigjnm</v>
      </c>
      <c r="C1997" s="13" t="s">
        <v>12092</v>
      </c>
      <c r="D1997" s="13" t="s">
        <v>12093</v>
      </c>
      <c r="E1997" s="12" t="str">
        <f>HYPERLINK("https://twitter.com/adianbarigjnm/status/1181353418352447490","1181353418352447490")</f>
        <v>1181353418352447490</v>
      </c>
      <c r="F1997" s="8"/>
      <c r="G1997" s="14" t="s">
        <v>12096</v>
      </c>
      <c r="H1997" s="8"/>
      <c r="I1997" s="15">
        <v>0</v>
      </c>
      <c r="J1997" s="15">
        <v>0</v>
      </c>
      <c r="K1997" s="12" t="str">
        <f>HYPERLINK("http://twitter.com","Twitter Web Client")</f>
        <v>Twitter Web Client</v>
      </c>
      <c r="L1997" s="16">
        <v>0</v>
      </c>
      <c r="M1997" s="16">
        <v>39</v>
      </c>
      <c r="N1997" s="16">
        <v>0</v>
      </c>
      <c r="O1997" s="17"/>
      <c r="P1997" s="18">
        <v>42469.50990740741</v>
      </c>
      <c r="Q1997" s="8" t="s">
        <v>11879</v>
      </c>
      <c r="R1997" s="8" t="s">
        <v>11682</v>
      </c>
      <c r="S1997" s="8"/>
      <c r="T1997" s="8"/>
      <c r="U1997" s="19" t="str">
        <f>HYPERLINK("https://pbs.twimg.com/profile_images/719330509969612801/nzJ8SQiN.jpg","View")</f>
        <v>View</v>
      </c>
      <c r="V1997" s="8"/>
      <c r="W1997" s="8"/>
      <c r="X1997" s="8"/>
      <c r="Y1997" s="8"/>
      <c r="Z1997" s="8"/>
    </row>
    <row r="1998" spans="1:26" ht="12.75">
      <c r="A1998" s="11">
        <v>43745.694131944445</v>
      </c>
      <c r="B1998" s="12" t="str">
        <f>HYPERLINK("https://twitter.com/RareBirdCreativ","@RareBirdCreativ")</f>
        <v>@RareBirdCreativ</v>
      </c>
      <c r="C1998" s="13" t="s">
        <v>12097</v>
      </c>
      <c r="D1998" s="13" t="s">
        <v>12098</v>
      </c>
      <c r="E1998" s="12" t="str">
        <f>HYPERLINK("https://twitter.com/RareBirdCreativ/status/1181353397246713858","1181353397246713858")</f>
        <v>1181353397246713858</v>
      </c>
      <c r="F1998" s="8"/>
      <c r="G1998" s="15"/>
      <c r="H1998" s="8"/>
      <c r="I1998" s="15">
        <v>0</v>
      </c>
      <c r="J1998" s="15">
        <v>1</v>
      </c>
      <c r="K1998" s="12" t="str">
        <f>HYPERLINK("http://twitter.com/download/iphone","Twitter for iPhone")</f>
        <v>Twitter for iPhone</v>
      </c>
      <c r="L1998" s="16">
        <v>1822</v>
      </c>
      <c r="M1998" s="16">
        <v>958</v>
      </c>
      <c r="N1998" s="16">
        <v>133</v>
      </c>
      <c r="O1998" s="17"/>
      <c r="P1998" s="18">
        <v>39686.390590277777</v>
      </c>
      <c r="Q1998" s="8" t="s">
        <v>12099</v>
      </c>
      <c r="R1998" s="8" t="s">
        <v>12100</v>
      </c>
      <c r="S1998" s="8"/>
      <c r="T1998" s="8"/>
      <c r="U1998" s="19" t="str">
        <f>HYPERLINK("https://pbs.twimg.com/profile_images/367609198/StephLowder_Jun09.jpg","View")</f>
        <v>View</v>
      </c>
      <c r="V1998" s="8"/>
      <c r="W1998" s="8"/>
      <c r="X1998" s="8"/>
      <c r="Y1998" s="8"/>
      <c r="Z1998" s="8"/>
    </row>
    <row r="1999" spans="1:26" ht="12.75">
      <c r="A1999" s="11">
        <v>43745.693912037037</v>
      </c>
      <c r="B1999" s="12" t="str">
        <f>HYPERLINK("https://twitter.com/zennayeflxbj","@zennayeflxbj")</f>
        <v>@zennayeflxbj</v>
      </c>
      <c r="C1999" s="13" t="s">
        <v>12103</v>
      </c>
      <c r="D1999" s="13" t="s">
        <v>11460</v>
      </c>
      <c r="E1999" s="12" t="str">
        <f>HYPERLINK("https://twitter.com/zennayeflxbj/status/1181353317554966528","1181353317554966528")</f>
        <v>1181353317554966528</v>
      </c>
      <c r="F1999" s="8"/>
      <c r="G1999" s="14" t="s">
        <v>12105</v>
      </c>
      <c r="H1999" s="8"/>
      <c r="I1999" s="15">
        <v>0</v>
      </c>
      <c r="J1999" s="15">
        <v>0</v>
      </c>
      <c r="K1999" s="12" t="str">
        <f>HYPERLINK("http://twitter.com","Twitter Web Client")</f>
        <v>Twitter Web Client</v>
      </c>
      <c r="L1999" s="16">
        <v>13</v>
      </c>
      <c r="M1999" s="16">
        <v>44</v>
      </c>
      <c r="N1999" s="16">
        <v>0</v>
      </c>
      <c r="O1999" s="17"/>
      <c r="P1999" s="18">
        <v>42532.488807870366</v>
      </c>
      <c r="Q1999" s="8" t="s">
        <v>11227</v>
      </c>
      <c r="R1999" s="8" t="s">
        <v>4001</v>
      </c>
      <c r="S1999" s="8"/>
      <c r="T1999" s="8"/>
      <c r="U1999" s="19" t="str">
        <f>HYPERLINK("https://pbs.twimg.com/profile_images/741702595585134593/dWk4Dytu.jpg","View")</f>
        <v>View</v>
      </c>
      <c r="V1999" s="8"/>
      <c r="W1999" s="8"/>
      <c r="X1999" s="8"/>
      <c r="Y1999" s="8"/>
      <c r="Z1999" s="8"/>
    </row>
    <row r="2000" spans="1:26" ht="12.75">
      <c r="A2000" s="11">
        <v>43745.693761574075</v>
      </c>
      <c r="B2000" s="12" t="str">
        <f>HYPERLINK("https://twitter.com/khalifzaiannjvo","@khalifzaiannjvo")</f>
        <v>@khalifzaiannjvo</v>
      </c>
      <c r="C2000" s="13" t="s">
        <v>12107</v>
      </c>
      <c r="D2000" s="7" t="s">
        <v>12109</v>
      </c>
      <c r="E2000" s="12" t="str">
        <f>HYPERLINK("https://twitter.com/khalifzaiannjvo/status/1181353266417942528","1181353266417942528")</f>
        <v>1181353266417942528</v>
      </c>
      <c r="F2000" s="8"/>
      <c r="G2000" s="14" t="s">
        <v>12110</v>
      </c>
      <c r="H2000" s="8"/>
      <c r="I2000" s="15">
        <v>0</v>
      </c>
      <c r="J2000" s="15">
        <v>0</v>
      </c>
      <c r="K2000" s="12" t="str">
        <f>HYPERLINK("http://twitter.com","Twitter Web Client")</f>
        <v>Twitter Web Client</v>
      </c>
      <c r="L2000" s="16">
        <v>2</v>
      </c>
      <c r="M2000" s="16">
        <v>39</v>
      </c>
      <c r="N2000" s="16">
        <v>0</v>
      </c>
      <c r="O2000" s="17"/>
      <c r="P2000" s="18">
        <v>42470.901597222226</v>
      </c>
      <c r="Q2000" s="7" t="s">
        <v>11884</v>
      </c>
      <c r="R2000" s="13" t="s">
        <v>11162</v>
      </c>
      <c r="S2000" s="8"/>
      <c r="T2000" s="8"/>
      <c r="U2000" s="19" t="str">
        <f>HYPERLINK("https://pbs.twimg.com/profile_images/719661915597705217/kp097yRX.jpg","View")</f>
        <v>View</v>
      </c>
      <c r="V2000" s="8"/>
      <c r="W2000" s="8"/>
      <c r="X2000" s="8"/>
      <c r="Y2000" s="8"/>
      <c r="Z2000" s="8"/>
    </row>
    <row r="2001" spans="1:26" ht="12.75">
      <c r="A2001" s="11">
        <v>43745.693194444444</v>
      </c>
      <c r="B2001" s="12" t="str">
        <f>HYPERLINK("https://twitter.com/ahmedmakharxmgu","@ahmedmakharxmgu")</f>
        <v>@ahmedmakharxmgu</v>
      </c>
      <c r="C2001" s="13" t="s">
        <v>12113</v>
      </c>
      <c r="D2001" s="7" t="s">
        <v>12115</v>
      </c>
      <c r="E2001" s="12" t="str">
        <f>HYPERLINK("https://twitter.com/ahmedmakharxmgu/status/1181353060825796608","1181353060825796608")</f>
        <v>1181353060825796608</v>
      </c>
      <c r="F2001" s="8"/>
      <c r="G2001" s="14" t="s">
        <v>12116</v>
      </c>
      <c r="H2001" s="8"/>
      <c r="I2001" s="15">
        <v>0</v>
      </c>
      <c r="J2001" s="15">
        <v>0</v>
      </c>
      <c r="K2001" s="12" t="str">
        <f>HYPERLINK("http://twitter.com","Twitter Web Client")</f>
        <v>Twitter Web Client</v>
      </c>
      <c r="L2001" s="16">
        <v>2</v>
      </c>
      <c r="M2001" s="16">
        <v>37</v>
      </c>
      <c r="N2001" s="16">
        <v>0</v>
      </c>
      <c r="O2001" s="17"/>
      <c r="P2001" s="18">
        <v>42483.916631944448</v>
      </c>
      <c r="Q2001" s="7" t="s">
        <v>12118</v>
      </c>
      <c r="R2001" s="13" t="s">
        <v>4008</v>
      </c>
      <c r="S2001" s="8"/>
      <c r="T2001" s="8"/>
      <c r="U2001" s="19" t="str">
        <f>HYPERLINK("https://pbs.twimg.com/profile_images/724100986839674882/TowCiGtF.jpg","View")</f>
        <v>View</v>
      </c>
      <c r="V2001" s="8"/>
      <c r="W2001" s="8"/>
      <c r="X2001" s="8"/>
      <c r="Y2001" s="8"/>
      <c r="Z2001" s="8"/>
    </row>
    <row r="2002" spans="1:26" ht="12.75">
      <c r="A2002" s="11">
        <v>43745.692916666667</v>
      </c>
      <c r="B2002" s="12" t="str">
        <f>HYPERLINK("https://twitter.com/ghalebfarrangxy","@ghalebfarrangxy")</f>
        <v>@ghalebfarrangxy</v>
      </c>
      <c r="C2002" s="13" t="s">
        <v>12119</v>
      </c>
      <c r="D2002" s="13" t="s">
        <v>10772</v>
      </c>
      <c r="E2002" s="12" t="str">
        <f>HYPERLINK("https://twitter.com/ghalebfarrangxy/status/1181352959944331264","1181352959944331264")</f>
        <v>1181352959944331264</v>
      </c>
      <c r="F2002" s="8"/>
      <c r="G2002" s="14" t="s">
        <v>12121</v>
      </c>
      <c r="H2002" s="8"/>
      <c r="I2002" s="15">
        <v>0</v>
      </c>
      <c r="J2002" s="15">
        <v>0</v>
      </c>
      <c r="K2002" s="12" t="str">
        <f>HYPERLINK("http://twitter.com","Twitter Web Client")</f>
        <v>Twitter Web Client</v>
      </c>
      <c r="L2002" s="16">
        <v>5</v>
      </c>
      <c r="M2002" s="16">
        <v>43</v>
      </c>
      <c r="N2002" s="16">
        <v>0</v>
      </c>
      <c r="O2002" s="17"/>
      <c r="P2002" s="18">
        <v>42429.685462962967</v>
      </c>
      <c r="Q2002" s="8"/>
      <c r="R2002" s="8" t="s">
        <v>12123</v>
      </c>
      <c r="S2002" s="8"/>
      <c r="T2002" s="8"/>
      <c r="U2002" s="19" t="str">
        <f>HYPERLINK("https://pbs.twimg.com/profile_images/704545542769156096/YT3h60YR.jpg","View")</f>
        <v>View</v>
      </c>
      <c r="V2002" s="8"/>
      <c r="W2002" s="8"/>
      <c r="X2002" s="8"/>
      <c r="Y2002" s="8"/>
      <c r="Z2002" s="8"/>
    </row>
    <row r="2003" spans="1:26" ht="12.75">
      <c r="A2003" s="11">
        <v>43745.691261574073</v>
      </c>
      <c r="B2003" s="12" t="str">
        <f>HYPERLINK("https://twitter.com/AngryDemdotcom","@AngryDemdotcom")</f>
        <v>@AngryDemdotcom</v>
      </c>
      <c r="C2003" s="13" t="s">
        <v>12126</v>
      </c>
      <c r="D2003" s="7" t="s">
        <v>12127</v>
      </c>
      <c r="E2003" s="12" t="str">
        <f>HYPERLINK("https://twitter.com/AngryDemdotcom/status/1181352360234409987","1181352360234409987")</f>
        <v>1181352360234409987</v>
      </c>
      <c r="F2003" s="8" t="s">
        <v>12128</v>
      </c>
      <c r="G2003" s="15"/>
      <c r="H2003" s="8"/>
      <c r="I2003" s="15">
        <v>0</v>
      </c>
      <c r="J2003" s="15">
        <v>2</v>
      </c>
      <c r="K2003" s="12" t="str">
        <f>HYPERLINK("http://twitter.com/download/iphone","Twitter for iPhone")</f>
        <v>Twitter for iPhone</v>
      </c>
      <c r="L2003" s="16">
        <v>9758</v>
      </c>
      <c r="M2003" s="16">
        <v>9846</v>
      </c>
      <c r="N2003" s="16">
        <v>170</v>
      </c>
      <c r="O2003" s="17"/>
      <c r="P2003" s="18">
        <v>40611.529861111107</v>
      </c>
      <c r="Q2003" s="7" t="s">
        <v>1728</v>
      </c>
      <c r="R2003" s="13" t="s">
        <v>12129</v>
      </c>
      <c r="S2003" s="14" t="s">
        <v>12130</v>
      </c>
      <c r="T2003" s="8"/>
      <c r="U2003" s="19" t="str">
        <f>HYPERLINK("https://pbs.twimg.com/profile_images/796519783470661633/fO5Y6Gjs.jpg","View")</f>
        <v>View</v>
      </c>
      <c r="V2003" s="8"/>
      <c r="W2003" s="8"/>
      <c r="X2003" s="8"/>
      <c r="Y2003" s="8"/>
      <c r="Z2003" s="8"/>
    </row>
    <row r="2004" spans="1:26" ht="12.75">
      <c r="A2004" s="11">
        <v>43745.690335648149</v>
      </c>
      <c r="B2004" s="12" t="str">
        <f>HYPERLINK("https://twitter.com/Oh4peacesake","@Oh4peacesake")</f>
        <v>@Oh4peacesake</v>
      </c>
      <c r="C2004" s="13" t="s">
        <v>12133</v>
      </c>
      <c r="D2004" s="13" t="s">
        <v>12134</v>
      </c>
      <c r="E2004" s="12" t="str">
        <f>HYPERLINK("https://twitter.com/Oh4peacesake/status/1181352023960125440","1181352023960125440")</f>
        <v>1181352023960125440</v>
      </c>
      <c r="F2004" s="8"/>
      <c r="G2004" s="15"/>
      <c r="H2004" s="8"/>
      <c r="I2004" s="15">
        <v>1</v>
      </c>
      <c r="J2004" s="15">
        <v>2</v>
      </c>
      <c r="K2004" s="12" t="str">
        <f>HYPERLINK("http://twitter.com/download/iphone","Twitter for iPhone")</f>
        <v>Twitter for iPhone</v>
      </c>
      <c r="L2004" s="16">
        <v>2586</v>
      </c>
      <c r="M2004" s="16">
        <v>2041</v>
      </c>
      <c r="N2004" s="16">
        <v>3</v>
      </c>
      <c r="O2004" s="17"/>
      <c r="P2004" s="18">
        <v>41382.377766203703</v>
      </c>
      <c r="Q2004" s="7" t="s">
        <v>12135</v>
      </c>
      <c r="R2004" s="13" t="s">
        <v>12136</v>
      </c>
      <c r="S2004" s="14" t="s">
        <v>12137</v>
      </c>
      <c r="T2004" s="8"/>
      <c r="U2004" s="19" t="str">
        <f>HYPERLINK("https://pbs.twimg.com/profile_images/1167673244247298053/W14Nw0j_.jpg","View")</f>
        <v>View</v>
      </c>
      <c r="V2004" s="8"/>
      <c r="W2004" s="8"/>
      <c r="X2004" s="8"/>
      <c r="Y2004" s="8"/>
      <c r="Z2004" s="8"/>
    </row>
    <row r="2005" spans="1:26" ht="12.75">
      <c r="A2005" s="11">
        <v>43745.687314814815</v>
      </c>
      <c r="B2005" s="12" t="str">
        <f>HYPERLINK("https://twitter.com/Voni_Kay_","@Voni_Kay_")</f>
        <v>@Voni_Kay_</v>
      </c>
      <c r="C2005" s="13" t="s">
        <v>12138</v>
      </c>
      <c r="D2005" s="13" t="s">
        <v>12139</v>
      </c>
      <c r="E2005" s="12" t="str">
        <f>HYPERLINK("https://twitter.com/Voni_Kay_/status/1181350929284714496","1181350929284714496")</f>
        <v>1181350929284714496</v>
      </c>
      <c r="F2005" s="8"/>
      <c r="G2005" s="15"/>
      <c r="H2005" s="8"/>
      <c r="I2005" s="15">
        <v>2</v>
      </c>
      <c r="J2005" s="15">
        <v>8</v>
      </c>
      <c r="K2005" s="12" t="str">
        <f>HYPERLINK("http://twitter.com/download/android","Twitter for Android")</f>
        <v>Twitter for Android</v>
      </c>
      <c r="L2005" s="16">
        <v>1275</v>
      </c>
      <c r="M2005" s="16">
        <v>1688</v>
      </c>
      <c r="N2005" s="16">
        <v>34</v>
      </c>
      <c r="O2005" s="17"/>
      <c r="P2005" s="18">
        <v>41087.750937500001</v>
      </c>
      <c r="Q2005" s="8" t="s">
        <v>12140</v>
      </c>
      <c r="R2005" s="8" t="s">
        <v>12141</v>
      </c>
      <c r="S2005" s="8"/>
      <c r="T2005" s="8"/>
      <c r="U2005" s="19" t="str">
        <f>HYPERLINK("https://pbs.twimg.com/profile_images/1117409190148964352/6nYStxmF.jpg","View")</f>
        <v>View</v>
      </c>
      <c r="V2005" s="8"/>
      <c r="W2005" s="8"/>
      <c r="X2005" s="8"/>
      <c r="Y2005" s="8"/>
      <c r="Z2005" s="8"/>
    </row>
    <row r="2006" spans="1:26" ht="12.75">
      <c r="A2006" s="11">
        <v>43745.686828703707</v>
      </c>
      <c r="B2006" s="12" t="str">
        <f>HYPERLINK("https://twitter.com/AhmediZame","@AhmediZame")</f>
        <v>@AhmediZame</v>
      </c>
      <c r="C2006" s="13" t="s">
        <v>12142</v>
      </c>
      <c r="D2006" s="13" t="s">
        <v>12143</v>
      </c>
      <c r="E2006" s="12" t="str">
        <f>HYPERLINK("https://twitter.com/AhmediZame/status/1181350751760719874","1181350751760719874")</f>
        <v>1181350751760719874</v>
      </c>
      <c r="F2006" s="8"/>
      <c r="G2006" s="14" t="s">
        <v>12144</v>
      </c>
      <c r="H2006" s="8"/>
      <c r="I2006" s="15">
        <v>0</v>
      </c>
      <c r="J2006" s="15">
        <v>0</v>
      </c>
      <c r="K2006" s="12" t="str">
        <f>HYPERLINK("http://twitter.com","Twitter Web Client")</f>
        <v>Twitter Web Client</v>
      </c>
      <c r="L2006" s="16">
        <v>363</v>
      </c>
      <c r="M2006" s="16">
        <v>35</v>
      </c>
      <c r="N2006" s="16">
        <v>0</v>
      </c>
      <c r="O2006" s="17"/>
      <c r="P2006" s="18">
        <v>42069.771481481483</v>
      </c>
      <c r="Q2006" s="8"/>
      <c r="R2006" s="8"/>
      <c r="S2006" s="8"/>
      <c r="T2006" s="8"/>
      <c r="U2006" s="19" t="str">
        <f>HYPERLINK("https://pbs.twimg.com/profile_images/574035656629874688/UV-N22Kj.jpeg","View")</f>
        <v>View</v>
      </c>
      <c r="V2006" s="8"/>
      <c r="W2006" s="8"/>
      <c r="X2006" s="8"/>
      <c r="Y2006" s="8"/>
      <c r="Z2006" s="8"/>
    </row>
    <row r="2007" spans="1:26" ht="12.75">
      <c r="A2007" s="11">
        <v>43745.686608796299</v>
      </c>
      <c r="B2007" s="12" t="str">
        <f>HYPERLINK("https://twitter.com/gnatalieca","@gnatalieca")</f>
        <v>@gnatalieca</v>
      </c>
      <c r="C2007" s="13" t="s">
        <v>12148</v>
      </c>
      <c r="D2007" s="13" t="s">
        <v>12149</v>
      </c>
      <c r="E2007" s="12" t="str">
        <f>HYPERLINK("https://twitter.com/gnatalieca/status/1181350670978338816","1181350670978338816")</f>
        <v>1181350670978338816</v>
      </c>
      <c r="F2007" s="8"/>
      <c r="G2007" s="15"/>
      <c r="H2007" s="8"/>
      <c r="I2007" s="15">
        <v>0</v>
      </c>
      <c r="J2007" s="15">
        <v>0</v>
      </c>
      <c r="K2007" s="12" t="str">
        <f>HYPERLINK("http://twitter.com/download/iphone","Twitter for iPhone")</f>
        <v>Twitter for iPhone</v>
      </c>
      <c r="L2007" s="16">
        <v>1399</v>
      </c>
      <c r="M2007" s="16">
        <v>1881</v>
      </c>
      <c r="N2007" s="16">
        <v>2</v>
      </c>
      <c r="O2007" s="17"/>
      <c r="P2007" s="18">
        <v>42998.59039351852</v>
      </c>
      <c r="Q2007" s="8" t="s">
        <v>857</v>
      </c>
      <c r="R2007" s="8" t="s">
        <v>12152</v>
      </c>
      <c r="S2007" s="8"/>
      <c r="T2007" s="8"/>
      <c r="U2007" s="19" t="str">
        <f>HYPERLINK("https://pbs.twimg.com/profile_images/1101670822261846016/ithwXkiO.jpg","View")</f>
        <v>View</v>
      </c>
      <c r="V2007" s="8"/>
      <c r="W2007" s="8"/>
      <c r="X2007" s="8"/>
      <c r="Y2007" s="8"/>
      <c r="Z2007" s="8"/>
    </row>
    <row r="2008" spans="1:26" ht="12.75">
      <c r="A2008" s="11">
        <v>43745.686388888891</v>
      </c>
      <c r="B2008" s="12" t="str">
        <f>HYPERLINK("https://twitter.com/ahmadeldahmane1","@ahmadeldahmane1")</f>
        <v>@ahmadeldahmane1</v>
      </c>
      <c r="C2008" s="13" t="s">
        <v>12153</v>
      </c>
      <c r="D2008" s="13" t="s">
        <v>12154</v>
      </c>
      <c r="E2008" s="12" t="str">
        <f>HYPERLINK("https://twitter.com/ahmadeldahmane1/status/1181350595061600256","1181350595061600256")</f>
        <v>1181350595061600256</v>
      </c>
      <c r="F2008" s="8"/>
      <c r="G2008" s="14" t="s">
        <v>12155</v>
      </c>
      <c r="H2008" s="8"/>
      <c r="I2008" s="15">
        <v>0</v>
      </c>
      <c r="J2008" s="15">
        <v>0</v>
      </c>
      <c r="K2008" s="12" t="str">
        <f>HYPERLINK("http://twitter.com","Twitter Web Client")</f>
        <v>Twitter Web Client</v>
      </c>
      <c r="L2008" s="16">
        <v>8</v>
      </c>
      <c r="M2008" s="16">
        <v>43</v>
      </c>
      <c r="N2008" s="16">
        <v>0</v>
      </c>
      <c r="O2008" s="17"/>
      <c r="P2008" s="18">
        <v>42529.000324074077</v>
      </c>
      <c r="Q2008" s="8"/>
      <c r="R2008" s="8" t="s">
        <v>12158</v>
      </c>
      <c r="S2008" s="8"/>
      <c r="T2008" s="8"/>
      <c r="U2008" s="19" t="str">
        <f>HYPERLINK("https://pbs.twimg.com/profile_images/740438485862088706/9LRCtkng.jpg","View")</f>
        <v>View</v>
      </c>
      <c r="V2008" s="8"/>
      <c r="W2008" s="8"/>
      <c r="X2008" s="8"/>
      <c r="Y2008" s="8"/>
      <c r="Z2008" s="8"/>
    </row>
    <row r="2009" spans="1:26" ht="12.75">
      <c r="A2009" s="11">
        <v>43745.686180555553</v>
      </c>
      <c r="B2009" s="12" t="str">
        <f>HYPERLINK("https://twitter.com/GhasanGhasan20","@GhasanGhasan20")</f>
        <v>@GhasanGhasan20</v>
      </c>
      <c r="C2009" s="13" t="s">
        <v>12165</v>
      </c>
      <c r="D2009" s="13" t="s">
        <v>12166</v>
      </c>
      <c r="E2009" s="12" t="str">
        <f>HYPERLINK("https://twitter.com/GhasanGhasan20/status/1181350516380463109","1181350516380463109")</f>
        <v>1181350516380463109</v>
      </c>
      <c r="F2009" s="8"/>
      <c r="G2009" s="14" t="s">
        <v>12167</v>
      </c>
      <c r="H2009" s="8"/>
      <c r="I2009" s="15">
        <v>0</v>
      </c>
      <c r="J2009" s="15">
        <v>0</v>
      </c>
      <c r="K2009" s="12" t="str">
        <f>HYPERLINK("http://twitter.com","Twitter Web Client")</f>
        <v>Twitter Web Client</v>
      </c>
      <c r="L2009" s="16">
        <v>0</v>
      </c>
      <c r="M2009" s="16">
        <v>43</v>
      </c>
      <c r="N2009" s="16">
        <v>0</v>
      </c>
      <c r="O2009" s="17"/>
      <c r="P2009" s="18">
        <v>42536.085509259261</v>
      </c>
      <c r="Q2009" s="7"/>
      <c r="R2009" s="13" t="s">
        <v>12170</v>
      </c>
      <c r="S2009" s="8"/>
      <c r="T2009" s="8"/>
      <c r="U2009" s="19" t="str">
        <f>HYPERLINK("https://pbs.twimg.com/profile_images/743006062459158528/K5b_syQI.jpg","View")</f>
        <v>View</v>
      </c>
      <c r="V2009" s="8"/>
      <c r="W2009" s="8"/>
      <c r="X2009" s="8"/>
      <c r="Y2009" s="8"/>
      <c r="Z2009" s="8"/>
    </row>
    <row r="2010" spans="1:26" ht="12.75">
      <c r="A2010" s="11">
        <v>43745.685740740737</v>
      </c>
      <c r="B2010" s="12" t="str">
        <f>HYPERLINK("https://twitter.com/mohammedmonthey","@mohammedmonthey")</f>
        <v>@mohammedmonthey</v>
      </c>
      <c r="C2010" s="13" t="s">
        <v>12172</v>
      </c>
      <c r="D2010" s="13" t="s">
        <v>3752</v>
      </c>
      <c r="E2010" s="12" t="str">
        <f>HYPERLINK("https://twitter.com/mohammedmonthey/status/1181350357726834689","1181350357726834689")</f>
        <v>1181350357726834689</v>
      </c>
      <c r="F2010" s="8"/>
      <c r="G2010" s="14" t="s">
        <v>12173</v>
      </c>
      <c r="H2010" s="8"/>
      <c r="I2010" s="15">
        <v>0</v>
      </c>
      <c r="J2010" s="15">
        <v>0</v>
      </c>
      <c r="K2010" s="12" t="str">
        <f>HYPERLINK("http://twitter.com","Twitter Web Client")</f>
        <v>Twitter Web Client</v>
      </c>
      <c r="L2010" s="16">
        <v>0</v>
      </c>
      <c r="M2010" s="16">
        <v>28</v>
      </c>
      <c r="N2010" s="16">
        <v>0</v>
      </c>
      <c r="O2010" s="17"/>
      <c r="P2010" s="18">
        <v>41849.669236111113</v>
      </c>
      <c r="Q2010" s="8"/>
      <c r="R2010" s="8"/>
      <c r="S2010" s="8"/>
      <c r="T2010" s="8"/>
      <c r="U2010" s="19" t="str">
        <f>HYPERLINK("https://pbs.twimg.com/profile_images/494258576366387200/GPiId2Ct.jpeg","View")</f>
        <v>View</v>
      </c>
      <c r="V2010" s="8"/>
      <c r="W2010" s="8"/>
      <c r="X2010" s="8"/>
      <c r="Y2010" s="8"/>
      <c r="Z2010" s="8"/>
    </row>
    <row r="2011" spans="1:26" ht="12.75">
      <c r="A2011" s="11">
        <v>43745.683981481481</v>
      </c>
      <c r="B2011" s="12" t="str">
        <f>HYPERLINK("https://twitter.com/abdulaziayed","@abdulaziayed")</f>
        <v>@abdulaziayed</v>
      </c>
      <c r="C2011" s="13" t="s">
        <v>12183</v>
      </c>
      <c r="D2011" s="13" t="s">
        <v>535</v>
      </c>
      <c r="E2011" s="12" t="str">
        <f>HYPERLINK("https://twitter.com/abdulaziayed/status/1181349718779158528","1181349718779158528")</f>
        <v>1181349718779158528</v>
      </c>
      <c r="F2011" s="8"/>
      <c r="G2011" s="14" t="s">
        <v>12184</v>
      </c>
      <c r="H2011" s="8"/>
      <c r="I2011" s="15">
        <v>0</v>
      </c>
      <c r="J2011" s="15">
        <v>0</v>
      </c>
      <c r="K2011" s="12" t="str">
        <f>HYPERLINK("http://twitter.com","Twitter Web Client")</f>
        <v>Twitter Web Client</v>
      </c>
      <c r="L2011" s="16">
        <v>1</v>
      </c>
      <c r="M2011" s="16">
        <v>42</v>
      </c>
      <c r="N2011" s="16">
        <v>0</v>
      </c>
      <c r="O2011" s="17"/>
      <c r="P2011" s="18">
        <v>42076.292488425926</v>
      </c>
      <c r="Q2011" s="8"/>
      <c r="R2011" s="8"/>
      <c r="S2011" s="8"/>
      <c r="T2011" s="8"/>
      <c r="U2011" s="19" t="str">
        <f>HYPERLINK("https://pbs.twimg.com/profile_images/576383143877341184/QArtc_Hd.jpeg","View")</f>
        <v>View</v>
      </c>
      <c r="V2011" s="8"/>
      <c r="W2011" s="8"/>
      <c r="X2011" s="8"/>
      <c r="Y2011" s="8"/>
      <c r="Z2011" s="8"/>
    </row>
    <row r="2012" spans="1:26" ht="12.75">
      <c r="A2012" s="11">
        <v>43745.683599537035</v>
      </c>
      <c r="B2012" s="12" t="str">
        <f>HYPERLINK("https://twitter.com/HerreMorker","@HerreMorker")</f>
        <v>@HerreMorker</v>
      </c>
      <c r="C2012" s="13" t="s">
        <v>12189</v>
      </c>
      <c r="D2012" s="13" t="s">
        <v>12190</v>
      </c>
      <c r="E2012" s="12" t="str">
        <f>HYPERLINK("https://twitter.com/HerreMorker/status/1181349581965205505","1181349581965205505")</f>
        <v>1181349581965205505</v>
      </c>
      <c r="F2012" s="8" t="s">
        <v>12192</v>
      </c>
      <c r="G2012" s="15"/>
      <c r="H2012" s="8"/>
      <c r="I2012" s="15">
        <v>0</v>
      </c>
      <c r="J2012" s="15">
        <v>2</v>
      </c>
      <c r="K2012" s="12" t="str">
        <f>HYPERLINK("http://twitter.com/download/android","Twitter for Android")</f>
        <v>Twitter for Android</v>
      </c>
      <c r="L2012" s="16">
        <v>1368</v>
      </c>
      <c r="M2012" s="16">
        <v>3430</v>
      </c>
      <c r="N2012" s="16">
        <v>40</v>
      </c>
      <c r="O2012" s="17"/>
      <c r="P2012" s="18">
        <v>40905.463912037041</v>
      </c>
      <c r="Q2012" s="8" t="s">
        <v>12194</v>
      </c>
      <c r="R2012" s="8" t="s">
        <v>12195</v>
      </c>
      <c r="S2012" s="8"/>
      <c r="T2012" s="8"/>
      <c r="U2012" s="19" t="str">
        <f>HYPERLINK("https://pbs.twimg.com/profile_images/1145062272966057990/OiVhD19N.jpg","View")</f>
        <v>View</v>
      </c>
      <c r="V2012" s="8"/>
      <c r="W2012" s="8"/>
      <c r="X2012" s="8"/>
      <c r="Y2012" s="8"/>
      <c r="Z2012" s="8"/>
    </row>
    <row r="2013" spans="1:26" ht="12.75">
      <c r="A2013" s="11">
        <v>43745.683541666665</v>
      </c>
      <c r="B2013" s="12" t="str">
        <f>HYPERLINK("https://twitter.com/imranassedi","@imranassedi")</f>
        <v>@imranassedi</v>
      </c>
      <c r="C2013" s="13" t="s">
        <v>12196</v>
      </c>
      <c r="D2013" s="13" t="s">
        <v>12197</v>
      </c>
      <c r="E2013" s="12" t="str">
        <f>HYPERLINK("https://twitter.com/imranassedi/status/1181349561517903882","1181349561517903882")</f>
        <v>1181349561517903882</v>
      </c>
      <c r="F2013" s="8"/>
      <c r="G2013" s="14" t="s">
        <v>12198</v>
      </c>
      <c r="H2013" s="8"/>
      <c r="I2013" s="15">
        <v>0</v>
      </c>
      <c r="J2013" s="15">
        <v>0</v>
      </c>
      <c r="K2013" s="12" t="str">
        <f>HYPERLINK("http://twitter.com","Twitter Web Client")</f>
        <v>Twitter Web Client</v>
      </c>
      <c r="L2013" s="16">
        <v>1</v>
      </c>
      <c r="M2013" s="16">
        <v>31</v>
      </c>
      <c r="N2013" s="16">
        <v>0</v>
      </c>
      <c r="O2013" s="17"/>
      <c r="P2013" s="18">
        <v>42069.696400462963</v>
      </c>
      <c r="Q2013" s="7"/>
      <c r="R2013" s="13"/>
      <c r="S2013" s="8"/>
      <c r="T2013" s="8"/>
      <c r="U2013" s="19" t="str">
        <f>HYPERLINK("https://pbs.twimg.com/profile_images/574008195531730944/zmTzZ6TX.jpeg","View")</f>
        <v>View</v>
      </c>
      <c r="V2013" s="8"/>
      <c r="W2013" s="8"/>
      <c r="X2013" s="8"/>
      <c r="Y2013" s="8"/>
      <c r="Z2013" s="8"/>
    </row>
    <row r="2014" spans="1:26" ht="12.75">
      <c r="A2014" s="11">
        <v>43745.682141203702</v>
      </c>
      <c r="B2014" s="12" t="str">
        <f>HYPERLINK("https://twitter.com/al3ashawa77","@al3ashawa77")</f>
        <v>@al3ashawa77</v>
      </c>
      <c r="C2014" s="7" t="s">
        <v>12203</v>
      </c>
      <c r="D2014" s="13" t="s">
        <v>12204</v>
      </c>
      <c r="E2014" s="12" t="str">
        <f>HYPERLINK("https://twitter.com/al3ashawa77/status/1181349053013078017","1181349053013078017")</f>
        <v>1181349053013078017</v>
      </c>
      <c r="F2014" s="15"/>
      <c r="G2014" s="14" t="s">
        <v>12205</v>
      </c>
      <c r="H2014" s="8"/>
      <c r="I2014" s="15">
        <v>0</v>
      </c>
      <c r="J2014" s="15">
        <v>0</v>
      </c>
      <c r="K2014" s="12" t="str">
        <f>HYPERLINK("http://twitter.com","Twitter Web Client")</f>
        <v>Twitter Web Client</v>
      </c>
      <c r="L2014" s="16">
        <v>3</v>
      </c>
      <c r="M2014" s="16">
        <v>52</v>
      </c>
      <c r="N2014" s="16">
        <v>0</v>
      </c>
      <c r="O2014" s="17"/>
      <c r="P2014" s="18">
        <v>42070.12364583333</v>
      </c>
      <c r="Q2014" s="8"/>
      <c r="R2014" s="7"/>
      <c r="S2014" s="8"/>
      <c r="T2014" s="8"/>
      <c r="U2014" s="19" t="str">
        <f>HYPERLINK("https://pbs.twimg.com/profile_images/574162309716709376/7exmBTpm.jpeg","View")</f>
        <v>View</v>
      </c>
      <c r="V2014" s="8"/>
      <c r="W2014" s="8"/>
      <c r="X2014" s="8"/>
      <c r="Y2014" s="8"/>
      <c r="Z2014" s="8"/>
    </row>
    <row r="2015" spans="1:26" ht="12.75">
      <c r="A2015" s="11">
        <v>43745.681712962964</v>
      </c>
      <c r="B2015" s="12" t="str">
        <f>HYPERLINK("https://twitter.com/el3amare33","@el3amare33")</f>
        <v>@el3amare33</v>
      </c>
      <c r="C2015" s="7" t="s">
        <v>12208</v>
      </c>
      <c r="D2015" s="13" t="s">
        <v>6640</v>
      </c>
      <c r="E2015" s="12" t="str">
        <f>HYPERLINK("https://twitter.com/el3amare33/status/1181348896750129154","1181348896750129154")</f>
        <v>1181348896750129154</v>
      </c>
      <c r="F2015" s="15"/>
      <c r="G2015" s="14" t="s">
        <v>12209</v>
      </c>
      <c r="H2015" s="8"/>
      <c r="I2015" s="15">
        <v>0</v>
      </c>
      <c r="J2015" s="15">
        <v>0</v>
      </c>
      <c r="K2015" s="12" t="str">
        <f>HYPERLINK("http://twitter.com","Twitter Web Client")</f>
        <v>Twitter Web Client</v>
      </c>
      <c r="L2015" s="16">
        <v>6</v>
      </c>
      <c r="M2015" s="16">
        <v>38</v>
      </c>
      <c r="N2015" s="16">
        <v>0</v>
      </c>
      <c r="O2015" s="17"/>
      <c r="P2015" s="18">
        <v>42075.357314814813</v>
      </c>
      <c r="Q2015" s="8"/>
      <c r="R2015" s="7"/>
      <c r="S2015" s="8"/>
      <c r="T2015" s="8"/>
      <c r="U2015" s="19" t="str">
        <f>HYPERLINK("https://pbs.twimg.com/profile_images/576043773337034754/uejQpgr8.jpeg","View")</f>
        <v>View</v>
      </c>
      <c r="V2015" s="8"/>
      <c r="W2015" s="8"/>
      <c r="X2015" s="8"/>
      <c r="Y2015" s="8"/>
      <c r="Z2015" s="8"/>
    </row>
    <row r="2016" spans="1:26" ht="12.75">
      <c r="A2016" s="11">
        <v>43745.681493055556</v>
      </c>
      <c r="B2016" s="12" t="str">
        <f>HYPERLINK("https://twitter.com/kaliied234","@kaliied234")</f>
        <v>@kaliied234</v>
      </c>
      <c r="C2016" s="7" t="s">
        <v>12214</v>
      </c>
      <c r="D2016" s="13" t="s">
        <v>12215</v>
      </c>
      <c r="E2016" s="12" t="str">
        <f>HYPERLINK("https://twitter.com/kaliied234/status/1181348817909813250","1181348817909813250")</f>
        <v>1181348817909813250</v>
      </c>
      <c r="F2016" s="15"/>
      <c r="G2016" s="14" t="s">
        <v>12216</v>
      </c>
      <c r="H2016" s="8"/>
      <c r="I2016" s="15">
        <v>0</v>
      </c>
      <c r="J2016" s="15">
        <v>0</v>
      </c>
      <c r="K2016" s="12" t="str">
        <f>HYPERLINK("http://twitter.com","Twitter Web Client")</f>
        <v>Twitter Web Client</v>
      </c>
      <c r="L2016" s="16">
        <v>13</v>
      </c>
      <c r="M2016" s="16">
        <v>48</v>
      </c>
      <c r="N2016" s="16">
        <v>0</v>
      </c>
      <c r="O2016" s="17"/>
      <c r="P2016" s="18">
        <v>42075.246817129635</v>
      </c>
      <c r="Q2016" s="8"/>
      <c r="R2016" s="7"/>
      <c r="S2016" s="8"/>
      <c r="T2016" s="8"/>
      <c r="U2016" s="19" t="str">
        <f>HYPERLINK("https://pbs.twimg.com/profile_images/576003721420652545/BfNnXm7g.jpeg","View")</f>
        <v>View</v>
      </c>
      <c r="V2016" s="8"/>
      <c r="W2016" s="8"/>
      <c r="X2016" s="8"/>
      <c r="Y2016" s="8"/>
      <c r="Z2016" s="8"/>
    </row>
    <row r="2017" spans="1:26" ht="12.75">
      <c r="A2017" s="11">
        <v>43745.681354166663</v>
      </c>
      <c r="B2017" s="12" t="str">
        <f>HYPERLINK("https://twitter.com/Louangie","@Louangie")</f>
        <v>@Louangie</v>
      </c>
      <c r="C2017" s="7" t="s">
        <v>12220</v>
      </c>
      <c r="D2017" s="13" t="s">
        <v>12221</v>
      </c>
      <c r="E2017" s="12" t="str">
        <f>HYPERLINK("https://twitter.com/Louangie/status/1181348768362434560","1181348768362434560")</f>
        <v>1181348768362434560</v>
      </c>
      <c r="F2017" s="15"/>
      <c r="G2017" s="15"/>
      <c r="H2017" s="8"/>
      <c r="I2017" s="15">
        <v>0</v>
      </c>
      <c r="J2017" s="15">
        <v>0</v>
      </c>
      <c r="K2017" s="12" t="str">
        <f>HYPERLINK("http://twitter.com/download/iphone","Twitter for iPhone")</f>
        <v>Twitter for iPhone</v>
      </c>
      <c r="L2017" s="16">
        <v>13034</v>
      </c>
      <c r="M2017" s="16">
        <v>13983</v>
      </c>
      <c r="N2017" s="16">
        <v>539</v>
      </c>
      <c r="O2017" s="17"/>
      <c r="P2017" s="18">
        <v>40015.237060185187</v>
      </c>
      <c r="Q2017" s="8"/>
      <c r="R2017" s="7" t="s">
        <v>12222</v>
      </c>
      <c r="S2017" s="8"/>
      <c r="T2017" s="8"/>
      <c r="U2017" s="19" t="str">
        <f>HYPERLINK("https://pbs.twimg.com/profile_images/934459594339909632/gV4VtK5l.jpg","View")</f>
        <v>View</v>
      </c>
      <c r="V2017" s="8"/>
      <c r="W2017" s="8"/>
      <c r="X2017" s="8"/>
      <c r="Y2017" s="8"/>
      <c r="Z2017" s="8"/>
    </row>
    <row r="2018" spans="1:26" ht="12.75">
      <c r="A2018" s="11">
        <v>43745.681122685186</v>
      </c>
      <c r="B2018" s="12" t="str">
        <f>HYPERLINK("https://twitter.com/AldkhsarSaliem","@AldkhsarSaliem")</f>
        <v>@AldkhsarSaliem</v>
      </c>
      <c r="C2018" s="13" t="s">
        <v>12227</v>
      </c>
      <c r="D2018" s="7" t="s">
        <v>11755</v>
      </c>
      <c r="E2018" s="12" t="str">
        <f>HYPERLINK("https://twitter.com/AldkhsarSaliem/status/1181348683507482625","1181348683507482625")</f>
        <v>1181348683507482625</v>
      </c>
      <c r="F2018" s="8"/>
      <c r="G2018" s="14" t="s">
        <v>12230</v>
      </c>
      <c r="H2018" s="8"/>
      <c r="I2018" s="15">
        <v>0</v>
      </c>
      <c r="J2018" s="15">
        <v>0</v>
      </c>
      <c r="K2018" s="12" t="str">
        <f>HYPERLINK("http://twitter.com","Twitter Web Client")</f>
        <v>Twitter Web Client</v>
      </c>
      <c r="L2018" s="16">
        <v>5</v>
      </c>
      <c r="M2018" s="16">
        <v>40</v>
      </c>
      <c r="N2018" s="16">
        <v>0</v>
      </c>
      <c r="O2018" s="17"/>
      <c r="P2018" s="18">
        <v>42073.254629629635</v>
      </c>
      <c r="Q2018" s="7"/>
      <c r="R2018" s="13"/>
      <c r="S2018" s="8"/>
      <c r="T2018" s="8"/>
      <c r="U2018" s="19" t="str">
        <f>HYPERLINK("https://pbs.twimg.com/profile_images/575294650451238913/sPhkxd_U.jpeg","View")</f>
        <v>View</v>
      </c>
      <c r="V2018" s="8"/>
      <c r="W2018" s="8"/>
      <c r="X2018" s="8"/>
      <c r="Y2018" s="8"/>
      <c r="Z2018" s="8"/>
    </row>
    <row r="2019" spans="1:26" ht="12.75">
      <c r="A2019" s="11">
        <v>43745.680081018523</v>
      </c>
      <c r="B2019" s="12" t="str">
        <f>HYPERLINK("https://twitter.com/yahyaib42365220","@yahyaib42365220")</f>
        <v>@yahyaib42365220</v>
      </c>
      <c r="C2019" s="7" t="s">
        <v>12234</v>
      </c>
      <c r="D2019" s="13" t="s">
        <v>3117</v>
      </c>
      <c r="E2019" s="12" t="str">
        <f>HYPERLINK("https://twitter.com/yahyaib42365220/status/1181348308528316416","1181348308528316416")</f>
        <v>1181348308528316416</v>
      </c>
      <c r="F2019" s="15"/>
      <c r="G2019" s="14" t="s">
        <v>12235</v>
      </c>
      <c r="H2019" s="8"/>
      <c r="I2019" s="15">
        <v>0</v>
      </c>
      <c r="J2019" s="15">
        <v>0</v>
      </c>
      <c r="K2019" s="12" t="str">
        <f>HYPERLINK("http://twitter.com","Twitter Web Client")</f>
        <v>Twitter Web Client</v>
      </c>
      <c r="L2019" s="16">
        <v>2</v>
      </c>
      <c r="M2019" s="16">
        <v>42</v>
      </c>
      <c r="N2019" s="16">
        <v>0</v>
      </c>
      <c r="O2019" s="17"/>
      <c r="P2019" s="18">
        <v>42071.567731481482</v>
      </c>
      <c r="Q2019" s="8"/>
      <c r="R2019" s="7"/>
      <c r="S2019" s="8"/>
      <c r="T2019" s="8"/>
      <c r="U2019" s="19" t="str">
        <f>HYPERLINK("https://pbs.twimg.com/profile_images/574670552012492800/6YO2D64e.jpeg","View")</f>
        <v>View</v>
      </c>
      <c r="V2019" s="8"/>
      <c r="W2019" s="8"/>
      <c r="X2019" s="8"/>
      <c r="Y2019" s="8"/>
      <c r="Z2019" s="8"/>
    </row>
    <row r="2020" spans="1:26" ht="12.75">
      <c r="A2020" s="11">
        <v>43745.679710648154</v>
      </c>
      <c r="B2020" s="12" t="str">
        <f>HYPERLINK("https://twitter.com/d_dakhilal","@d_dakhilal")</f>
        <v>@d_dakhilal</v>
      </c>
      <c r="C2020" s="13" t="s">
        <v>12241</v>
      </c>
      <c r="D2020" s="13" t="s">
        <v>12242</v>
      </c>
      <c r="E2020" s="12" t="str">
        <f>HYPERLINK("https://twitter.com/d_dakhilal/status/1181348171269718016","1181348171269718016")</f>
        <v>1181348171269718016</v>
      </c>
      <c r="F2020" s="8"/>
      <c r="G2020" s="14" t="s">
        <v>12243</v>
      </c>
      <c r="H2020" s="8"/>
      <c r="I2020" s="15">
        <v>0</v>
      </c>
      <c r="J2020" s="15">
        <v>0</v>
      </c>
      <c r="K2020" s="12" t="str">
        <f>HYPERLINK("http://twitter.com","Twitter Web Client")</f>
        <v>Twitter Web Client</v>
      </c>
      <c r="L2020" s="16">
        <v>0</v>
      </c>
      <c r="M2020" s="16">
        <v>38</v>
      </c>
      <c r="N2020" s="16">
        <v>0</v>
      </c>
      <c r="O2020" s="17"/>
      <c r="P2020" s="18">
        <v>41848.161631944444</v>
      </c>
      <c r="Q2020" s="8"/>
      <c r="R2020" s="8"/>
      <c r="S2020" s="8"/>
      <c r="T2020" s="8"/>
      <c r="U2020" s="19" t="str">
        <f>HYPERLINK("https://pbs.twimg.com/profile_images/493711392663293952/egH9U9yh.jpeg","View")</f>
        <v>View</v>
      </c>
      <c r="V2020" s="8"/>
      <c r="W2020" s="8"/>
      <c r="X2020" s="8"/>
      <c r="Y2020" s="8"/>
      <c r="Z2020" s="8"/>
    </row>
    <row r="2021" spans="1:26" ht="12.75">
      <c r="A2021" s="11">
        <v>43745.677581018521</v>
      </c>
      <c r="B2021" s="12" t="str">
        <f>HYPERLINK("https://twitter.com/alemaami_66","@alemaami_66")</f>
        <v>@alemaami_66</v>
      </c>
      <c r="C2021" s="13" t="s">
        <v>12269</v>
      </c>
      <c r="D2021" s="7" t="s">
        <v>12270</v>
      </c>
      <c r="E2021" s="12" t="str">
        <f>HYPERLINK("https://twitter.com/alemaami_66/status/1181347403280125952","1181347403280125952")</f>
        <v>1181347403280125952</v>
      </c>
      <c r="F2021" s="8"/>
      <c r="G2021" s="14" t="s">
        <v>12271</v>
      </c>
      <c r="H2021" s="8"/>
      <c r="I2021" s="15">
        <v>0</v>
      </c>
      <c r="J2021" s="15">
        <v>0</v>
      </c>
      <c r="K2021" s="12" t="str">
        <f>HYPERLINK("http://twitter.com","Twitter Web Client")</f>
        <v>Twitter Web Client</v>
      </c>
      <c r="L2021" s="16">
        <v>10</v>
      </c>
      <c r="M2021" s="16">
        <v>36</v>
      </c>
      <c r="N2021" s="16">
        <v>0</v>
      </c>
      <c r="O2021" s="17"/>
      <c r="P2021" s="18">
        <v>42074.636724537035</v>
      </c>
      <c r="Q2021" s="7"/>
      <c r="R2021" s="13"/>
      <c r="S2021" s="8"/>
      <c r="T2021" s="8"/>
      <c r="U2021" s="19" t="str">
        <f>HYPERLINK("https://pbs.twimg.com/profile_images/575782694686097409/5rL50aIh.jpeg","View")</f>
        <v>View</v>
      </c>
      <c r="V2021" s="8"/>
      <c r="W2021" s="8"/>
      <c r="X2021" s="8"/>
      <c r="Y2021" s="8"/>
      <c r="Z2021" s="8"/>
    </row>
    <row r="2022" spans="1:26" ht="12.75">
      <c r="A2022" s="11">
        <v>43745.676990740743</v>
      </c>
      <c r="B2022" s="12" t="str">
        <f>HYPERLINK("https://twitter.com/faisalr14630305","@faisalr14630305")</f>
        <v>@faisalr14630305</v>
      </c>
      <c r="C2022" s="7" t="s">
        <v>12275</v>
      </c>
      <c r="D2022" s="13" t="s">
        <v>12277</v>
      </c>
      <c r="E2022" s="12" t="str">
        <f>HYPERLINK("https://twitter.com/faisalr14630305/status/1181347189370626049","1181347189370626049")</f>
        <v>1181347189370626049</v>
      </c>
      <c r="F2022" s="8"/>
      <c r="G2022" s="14" t="s">
        <v>12278</v>
      </c>
      <c r="H2022" s="8"/>
      <c r="I2022" s="15">
        <v>0</v>
      </c>
      <c r="J2022" s="15">
        <v>0</v>
      </c>
      <c r="K2022" s="12" t="str">
        <f>HYPERLINK("http://twitter.com","Twitter Web Client")</f>
        <v>Twitter Web Client</v>
      </c>
      <c r="L2022" s="16">
        <v>2</v>
      </c>
      <c r="M2022" s="16">
        <v>36</v>
      </c>
      <c r="N2022" s="16">
        <v>0</v>
      </c>
      <c r="O2022" s="17"/>
      <c r="P2022" s="18">
        <v>42065.402604166666</v>
      </c>
      <c r="Q2022" s="7"/>
      <c r="R2022" s="13"/>
      <c r="S2022" s="8"/>
      <c r="T2022" s="8"/>
      <c r="U2022" s="19" t="str">
        <f>HYPERLINK("https://pbs.twimg.com/profile_images/572451485217067008/v8CW1hv_.jpeg","View")</f>
        <v>View</v>
      </c>
      <c r="V2022" s="8"/>
      <c r="W2022" s="8"/>
      <c r="X2022" s="8"/>
      <c r="Y2022" s="8"/>
      <c r="Z2022" s="8"/>
    </row>
    <row r="2023" spans="1:26" ht="12.75">
      <c r="A2023" s="11">
        <v>43745.675243055557</v>
      </c>
      <c r="B2023" s="12" t="str">
        <f>HYPERLINK("https://twitter.com/supernayefabdu1","@supernayefabdu1")</f>
        <v>@supernayefabdu1</v>
      </c>
      <c r="C2023" s="13" t="s">
        <v>12281</v>
      </c>
      <c r="D2023" s="13" t="s">
        <v>12282</v>
      </c>
      <c r="E2023" s="12" t="str">
        <f>HYPERLINK("https://twitter.com/supernayefabdu1/status/1181346556018122753","1181346556018122753")</f>
        <v>1181346556018122753</v>
      </c>
      <c r="F2023" s="8"/>
      <c r="G2023" s="14" t="s">
        <v>12283</v>
      </c>
      <c r="H2023" s="8"/>
      <c r="I2023" s="15">
        <v>0</v>
      </c>
      <c r="J2023" s="15">
        <v>0</v>
      </c>
      <c r="K2023" s="12" t="str">
        <f>HYPERLINK("http://twitter.com","Twitter Web Client")</f>
        <v>Twitter Web Client</v>
      </c>
      <c r="L2023" s="16">
        <v>10</v>
      </c>
      <c r="M2023" s="16">
        <v>44</v>
      </c>
      <c r="N2023" s="16">
        <v>0</v>
      </c>
      <c r="O2023" s="17"/>
      <c r="P2023" s="18">
        <v>42072.603009259255</v>
      </c>
      <c r="Q2023" s="8"/>
      <c r="R2023" s="8"/>
      <c r="S2023" s="8"/>
      <c r="T2023" s="8"/>
      <c r="U2023" s="19" t="str">
        <f>HYPERLINK("https://pbs.twimg.com/profile_images/575047024665493505/KGml0yW7.jpeg","View")</f>
        <v>View</v>
      </c>
      <c r="V2023" s="8"/>
      <c r="W2023" s="8"/>
      <c r="X2023" s="8"/>
      <c r="Y2023" s="8"/>
      <c r="Z2023" s="8"/>
    </row>
    <row r="2024" spans="1:26" ht="12.75">
      <c r="A2024" s="11">
        <v>43745.674664351856</v>
      </c>
      <c r="B2024" s="12" t="str">
        <f>HYPERLINK("https://twitter.com/abdulwahidalnas","@abdulwahidalnas")</f>
        <v>@abdulwahidalnas</v>
      </c>
      <c r="C2024" s="13" t="s">
        <v>12285</v>
      </c>
      <c r="D2024" s="13" t="s">
        <v>12286</v>
      </c>
      <c r="E2024" s="12" t="str">
        <f>HYPERLINK("https://twitter.com/abdulwahidalnas/status/1181346342276358145","1181346342276358145")</f>
        <v>1181346342276358145</v>
      </c>
      <c r="F2024" s="8"/>
      <c r="G2024" s="14" t="s">
        <v>12289</v>
      </c>
      <c r="H2024" s="8"/>
      <c r="I2024" s="15">
        <v>0</v>
      </c>
      <c r="J2024" s="15">
        <v>0</v>
      </c>
      <c r="K2024" s="12" t="str">
        <f>HYPERLINK("http://twitter.com","Twitter Web Client")</f>
        <v>Twitter Web Client</v>
      </c>
      <c r="L2024" s="16">
        <v>0</v>
      </c>
      <c r="M2024" s="16">
        <v>28</v>
      </c>
      <c r="N2024" s="16">
        <v>0</v>
      </c>
      <c r="O2024" s="17"/>
      <c r="P2024" s="18">
        <v>41821.229398148149</v>
      </c>
      <c r="Q2024" s="8"/>
      <c r="R2024" s="8"/>
      <c r="S2024" s="8"/>
      <c r="T2024" s="8"/>
      <c r="U2024" s="19" t="str">
        <f>HYPERLINK("https://pbs.twimg.com/profile_images/483951011749326848/unqpq9mA.jpeg","View")</f>
        <v>View</v>
      </c>
      <c r="V2024" s="8"/>
      <c r="W2024" s="8"/>
      <c r="X2024" s="8"/>
      <c r="Y2024" s="8"/>
      <c r="Z2024" s="8"/>
    </row>
    <row r="2025" spans="1:26" ht="12.75">
      <c r="A2025" s="11">
        <v>43745.673333333332</v>
      </c>
      <c r="B2025" s="12" t="str">
        <f>HYPERLINK("https://twitter.com/elzaharan33","@elzaharan33")</f>
        <v>@elzaharan33</v>
      </c>
      <c r="C2025" s="13" t="s">
        <v>12293</v>
      </c>
      <c r="D2025" s="13" t="s">
        <v>12294</v>
      </c>
      <c r="E2025" s="12" t="str">
        <f>HYPERLINK("https://twitter.com/elzaharan33/status/1181345862187917317","1181345862187917317")</f>
        <v>1181345862187917317</v>
      </c>
      <c r="F2025" s="8"/>
      <c r="G2025" s="14" t="s">
        <v>12295</v>
      </c>
      <c r="H2025" s="8"/>
      <c r="I2025" s="15">
        <v>0</v>
      </c>
      <c r="J2025" s="15">
        <v>0</v>
      </c>
      <c r="K2025" s="12" t="str">
        <f>HYPERLINK("http://twitter.com","Twitter Web Client")</f>
        <v>Twitter Web Client</v>
      </c>
      <c r="L2025" s="16">
        <v>16</v>
      </c>
      <c r="M2025" s="16">
        <v>37</v>
      </c>
      <c r="N2025" s="16">
        <v>0</v>
      </c>
      <c r="O2025" s="17"/>
      <c r="P2025" s="18">
        <v>42075.391006944439</v>
      </c>
      <c r="Q2025" s="8"/>
      <c r="R2025" s="8"/>
      <c r="S2025" s="8"/>
      <c r="T2025" s="8"/>
      <c r="U2025" s="19" t="str">
        <f>HYPERLINK("https://pbs.twimg.com/profile_images/576056051931303936/1Nat7X22.jpeg","View")</f>
        <v>View</v>
      </c>
      <c r="V2025" s="8"/>
      <c r="W2025" s="8"/>
      <c r="X2025" s="8"/>
      <c r="Y2025" s="8"/>
      <c r="Z2025" s="8"/>
    </row>
    <row r="2026" spans="1:26" ht="12.75">
      <c r="A2026" s="11">
        <v>43745.672465277778</v>
      </c>
      <c r="B2026" s="12" t="str">
        <f>HYPERLINK("https://twitter.com/muosa3ee32","@muosa3ee32")</f>
        <v>@muosa3ee32</v>
      </c>
      <c r="C2026" s="13" t="s">
        <v>12304</v>
      </c>
      <c r="D2026" s="7" t="s">
        <v>12305</v>
      </c>
      <c r="E2026" s="12" t="str">
        <f>HYPERLINK("https://twitter.com/muosa3ee32/status/1181345548223369216","1181345548223369216")</f>
        <v>1181345548223369216</v>
      </c>
      <c r="F2026" s="8"/>
      <c r="G2026" s="14" t="s">
        <v>12306</v>
      </c>
      <c r="H2026" s="8"/>
      <c r="I2026" s="15">
        <v>0</v>
      </c>
      <c r="J2026" s="15">
        <v>0</v>
      </c>
      <c r="K2026" s="12" t="str">
        <f>HYPERLINK("http://twitter.com","Twitter Web Client")</f>
        <v>Twitter Web Client</v>
      </c>
      <c r="L2026" s="16">
        <v>11</v>
      </c>
      <c r="M2026" s="16">
        <v>48</v>
      </c>
      <c r="N2026" s="16">
        <v>0</v>
      </c>
      <c r="O2026" s="17"/>
      <c r="P2026" s="18">
        <v>42072.361805555556</v>
      </c>
      <c r="Q2026" s="7"/>
      <c r="R2026" s="13"/>
      <c r="S2026" s="8"/>
      <c r="T2026" s="8"/>
      <c r="U2026" s="19" t="str">
        <f>HYPERLINK("https://pbs.twimg.com/profile_images/574958239416090626/xQYyJP_y.jpeg","View")</f>
        <v>View</v>
      </c>
      <c r="V2026" s="8"/>
      <c r="W2026" s="8"/>
      <c r="X2026" s="8"/>
      <c r="Y2026" s="8"/>
      <c r="Z2026" s="8"/>
    </row>
    <row r="2027" spans="1:26" ht="12.75">
      <c r="A2027" s="11">
        <v>43745.672291666662</v>
      </c>
      <c r="B2027" s="12" t="str">
        <f>HYPERLINK("https://twitter.com/fergusrulz","@fergusrulz")</f>
        <v>@fergusrulz</v>
      </c>
      <c r="C2027" s="13" t="s">
        <v>12311</v>
      </c>
      <c r="D2027" s="7" t="s">
        <v>12312</v>
      </c>
      <c r="E2027" s="12" t="str">
        <f>HYPERLINK("https://twitter.com/fergusrulz/status/1181345484457201664","1181345484457201664")</f>
        <v>1181345484457201664</v>
      </c>
      <c r="F2027" s="8"/>
      <c r="G2027" s="15"/>
      <c r="H2027" s="8"/>
      <c r="I2027" s="15">
        <v>0</v>
      </c>
      <c r="J2027" s="15">
        <v>3</v>
      </c>
      <c r="K2027" s="12" t="str">
        <f>HYPERLINK("http://twitter.com/download/android","Twitter for Android")</f>
        <v>Twitter for Android</v>
      </c>
      <c r="L2027" s="16">
        <v>5024</v>
      </c>
      <c r="M2027" s="16">
        <v>5145</v>
      </c>
      <c r="N2027" s="16">
        <v>8</v>
      </c>
      <c r="O2027" s="17"/>
      <c r="P2027" s="18">
        <v>40738.887048611112</v>
      </c>
      <c r="Q2027" s="7" t="s">
        <v>12315</v>
      </c>
      <c r="R2027" s="13" t="s">
        <v>12316</v>
      </c>
      <c r="S2027" s="8"/>
      <c r="T2027" s="8"/>
      <c r="U2027" s="19" t="str">
        <f>HYPERLINK("https://pbs.twimg.com/profile_images/1177367184751808512/VR1NIiMm.jpg","View")</f>
        <v>View</v>
      </c>
      <c r="V2027" s="8"/>
      <c r="W2027" s="8"/>
      <c r="X2027" s="8"/>
      <c r="Y2027" s="8"/>
      <c r="Z2027" s="8"/>
    </row>
    <row r="2028" spans="1:26" ht="12.75">
      <c r="A2028" s="11">
        <v>43745.672094907408</v>
      </c>
      <c r="B2028" s="12" t="str">
        <f>HYPERLINK("https://twitter.com/alialza80463669","@alialza80463669")</f>
        <v>@alialza80463669</v>
      </c>
      <c r="C2028" s="13" t="s">
        <v>12317</v>
      </c>
      <c r="D2028" s="13" t="s">
        <v>12318</v>
      </c>
      <c r="E2028" s="12" t="str">
        <f>HYPERLINK("https://twitter.com/alialza80463669/status/1181345413539999744","1181345413539999744")</f>
        <v>1181345413539999744</v>
      </c>
      <c r="F2028" s="8"/>
      <c r="G2028" s="14" t="s">
        <v>12319</v>
      </c>
      <c r="H2028" s="8"/>
      <c r="I2028" s="15">
        <v>0</v>
      </c>
      <c r="J2028" s="15">
        <v>0</v>
      </c>
      <c r="K2028" s="12" t="str">
        <f>HYPERLINK("http://twitter.com","Twitter Web Client")</f>
        <v>Twitter Web Client</v>
      </c>
      <c r="L2028" s="16">
        <v>0</v>
      </c>
      <c r="M2028" s="16">
        <v>42</v>
      </c>
      <c r="N2028" s="16">
        <v>0</v>
      </c>
      <c r="O2028" s="17"/>
      <c r="P2028" s="18">
        <v>42071.480810185181</v>
      </c>
      <c r="Q2028" s="8"/>
      <c r="R2028" s="8"/>
      <c r="S2028" s="8"/>
      <c r="T2028" s="8"/>
      <c r="U2028" s="19" t="str">
        <f>HYPERLINK("https://pbs.twimg.com/profile_images/574642976820887552/3oQU6JlQ.jpeg","View")</f>
        <v>View</v>
      </c>
      <c r="V2028" s="8"/>
      <c r="W2028" s="8"/>
      <c r="X2028" s="8"/>
      <c r="Y2028" s="8"/>
      <c r="Z2028" s="8"/>
    </row>
    <row r="2029" spans="1:26" ht="12.75">
      <c r="A2029" s="11">
        <v>43745.668379629627</v>
      </c>
      <c r="B2029" s="12" t="str">
        <f>HYPERLINK("https://twitter.com/HamzaOyusuf","@HamzaOyusuf")</f>
        <v>@HamzaOyusuf</v>
      </c>
      <c r="C2029" s="13" t="s">
        <v>3155</v>
      </c>
      <c r="D2029" s="7" t="s">
        <v>5820</v>
      </c>
      <c r="E2029" s="12" t="str">
        <f>HYPERLINK("https://twitter.com/HamzaOyusuf/status/1181344065843056640","1181344065843056640")</f>
        <v>1181344065843056640</v>
      </c>
      <c r="F2029" s="8"/>
      <c r="G2029" s="14" t="s">
        <v>12320</v>
      </c>
      <c r="H2029" s="8"/>
      <c r="I2029" s="15">
        <v>0</v>
      </c>
      <c r="J2029" s="15">
        <v>0</v>
      </c>
      <c r="K2029" s="12" t="str">
        <f>HYPERLINK("http://twitter.com","Twitter Web Client")</f>
        <v>Twitter Web Client</v>
      </c>
      <c r="L2029" s="16">
        <v>6</v>
      </c>
      <c r="M2029" s="16">
        <v>41</v>
      </c>
      <c r="N2029" s="16">
        <v>0</v>
      </c>
      <c r="O2029" s="17"/>
      <c r="P2029" s="18">
        <v>42072.175358796296</v>
      </c>
      <c r="Q2029" s="7"/>
      <c r="R2029" s="13"/>
      <c r="S2029" s="8"/>
      <c r="T2029" s="8"/>
      <c r="U2029" s="19" t="str">
        <f>HYPERLINK("https://pbs.twimg.com/profile_images/574892891249627136/mexS1woM.jpeg","View")</f>
        <v>View</v>
      </c>
      <c r="V2029" s="8"/>
      <c r="W2029" s="8"/>
      <c r="X2029" s="8"/>
      <c r="Y2029" s="8"/>
      <c r="Z2029" s="8"/>
    </row>
    <row r="2030" spans="1:26" ht="12.75">
      <c r="A2030" s="11">
        <v>43745.66815972222</v>
      </c>
      <c r="B2030" s="12" t="str">
        <f>HYPERLINK("https://twitter.com/abdullaharifi4","@abdullaharifi4")</f>
        <v>@abdullaharifi4</v>
      </c>
      <c r="C2030" s="13" t="s">
        <v>12321</v>
      </c>
      <c r="D2030" s="7" t="s">
        <v>12322</v>
      </c>
      <c r="E2030" s="12" t="str">
        <f>HYPERLINK("https://twitter.com/abdullaharifi4/status/1181343987187228672","1181343987187228672")</f>
        <v>1181343987187228672</v>
      </c>
      <c r="F2030" s="8"/>
      <c r="G2030" s="14" t="s">
        <v>12325</v>
      </c>
      <c r="H2030" s="8"/>
      <c r="I2030" s="15">
        <v>0</v>
      </c>
      <c r="J2030" s="15">
        <v>0</v>
      </c>
      <c r="K2030" s="12" t="str">
        <f>HYPERLINK("http://twitter.com","Twitter Web Client")</f>
        <v>Twitter Web Client</v>
      </c>
      <c r="L2030" s="16">
        <v>1</v>
      </c>
      <c r="M2030" s="16">
        <v>41</v>
      </c>
      <c r="N2030" s="16">
        <v>0</v>
      </c>
      <c r="O2030" s="17"/>
      <c r="P2030" s="18">
        <v>42023.321180555555</v>
      </c>
      <c r="Q2030" s="7"/>
      <c r="R2030" s="13"/>
      <c r="S2030" s="8"/>
      <c r="T2030" s="8"/>
      <c r="U2030" s="19" t="str">
        <f>HYPERLINK("https://pbs.twimg.com/profile_images/557202602383798273/F0yXGJLx.jpeg","View")</f>
        <v>View</v>
      </c>
      <c r="V2030" s="8"/>
      <c r="W2030" s="8"/>
      <c r="X2030" s="8"/>
      <c r="Y2030" s="8"/>
      <c r="Z2030" s="8"/>
    </row>
    <row r="2031" spans="1:26" ht="12.75">
      <c r="A2031" s="11">
        <v>43745.665625000001</v>
      </c>
      <c r="B2031" s="12" t="str">
        <f>HYPERLINK("https://twitter.com/FaisalasiriYa","@FaisalasiriYa")</f>
        <v>@FaisalasiriYa</v>
      </c>
      <c r="C2031" s="13" t="s">
        <v>77</v>
      </c>
      <c r="D2031" s="13" t="s">
        <v>12354</v>
      </c>
      <c r="E2031" s="12" t="str">
        <f>HYPERLINK("https://twitter.com/FaisalasiriYa/status/1181343067401523202","1181343067401523202")</f>
        <v>1181343067401523202</v>
      </c>
      <c r="F2031" s="8"/>
      <c r="G2031" s="14" t="s">
        <v>12355</v>
      </c>
      <c r="H2031" s="8"/>
      <c r="I2031" s="15">
        <v>0</v>
      </c>
      <c r="J2031" s="15">
        <v>0</v>
      </c>
      <c r="K2031" s="12" t="str">
        <f>HYPERLINK("http://twitter.com","Twitter Web Client")</f>
        <v>Twitter Web Client</v>
      </c>
      <c r="L2031" s="16">
        <v>7</v>
      </c>
      <c r="M2031" s="16">
        <v>43</v>
      </c>
      <c r="N2031" s="16">
        <v>0</v>
      </c>
      <c r="O2031" s="17"/>
      <c r="P2031" s="18">
        <v>42072.597152777773</v>
      </c>
      <c r="Q2031" s="8"/>
      <c r="R2031" s="8"/>
      <c r="S2031" s="8"/>
      <c r="T2031" s="8"/>
      <c r="U2031" s="19" t="str">
        <f>HYPERLINK("https://pbs.twimg.com/profile_images/575043766739861504/kTyr8RmK.jpeg","View")</f>
        <v>View</v>
      </c>
      <c r="V2031" s="8"/>
      <c r="W2031" s="8"/>
      <c r="X2031" s="8"/>
      <c r="Y2031" s="8"/>
      <c r="Z2031" s="8"/>
    </row>
    <row r="2032" spans="1:26" ht="12.75">
      <c r="A2032" s="11">
        <v>43745.665347222224</v>
      </c>
      <c r="B2032" s="12" t="str">
        <f>HYPERLINK("https://twitter.com/elmutairy6_tt","@elmutairy6_tt")</f>
        <v>@elmutairy6_tt</v>
      </c>
      <c r="C2032" s="13" t="s">
        <v>12356</v>
      </c>
      <c r="D2032" s="7" t="s">
        <v>12357</v>
      </c>
      <c r="E2032" s="12" t="str">
        <f>HYPERLINK("https://twitter.com/elmutairy6_tt/status/1181342966067191808","1181342966067191808")</f>
        <v>1181342966067191808</v>
      </c>
      <c r="F2032" s="8"/>
      <c r="G2032" s="14" t="s">
        <v>12358</v>
      </c>
      <c r="H2032" s="8"/>
      <c r="I2032" s="15">
        <v>0</v>
      </c>
      <c r="J2032" s="15">
        <v>0</v>
      </c>
      <c r="K2032" s="12" t="str">
        <f>HYPERLINK("http://twitter.com","Twitter Web Client")</f>
        <v>Twitter Web Client</v>
      </c>
      <c r="L2032" s="16">
        <v>4</v>
      </c>
      <c r="M2032" s="16">
        <v>40</v>
      </c>
      <c r="N2032" s="16">
        <v>0</v>
      </c>
      <c r="O2032" s="17"/>
      <c r="P2032" s="18">
        <v>42075.187673611115</v>
      </c>
      <c r="Q2032" s="7"/>
      <c r="R2032" s="13"/>
      <c r="S2032" s="8"/>
      <c r="T2032" s="8"/>
      <c r="U2032" s="19" t="str">
        <f>HYPERLINK("https://pbs.twimg.com/profile_images/575982239122522112/joue_qNV.jpeg","View")</f>
        <v>View</v>
      </c>
      <c r="V2032" s="8"/>
      <c r="W2032" s="8"/>
      <c r="X2032" s="8"/>
      <c r="Y2032" s="8"/>
      <c r="Z2032" s="8"/>
    </row>
    <row r="2033" spans="1:26" ht="12.75">
      <c r="A2033" s="11">
        <v>43745.663611111115</v>
      </c>
      <c r="B2033" s="12" t="str">
        <f>HYPERLINK("https://twitter.com/mohammedalsab14","@mohammedalsab14")</f>
        <v>@mohammedalsab14</v>
      </c>
      <c r="C2033" s="13" t="s">
        <v>12359</v>
      </c>
      <c r="D2033" s="13" t="s">
        <v>12360</v>
      </c>
      <c r="E2033" s="12" t="str">
        <f>HYPERLINK("https://twitter.com/mohammedalsab14/status/1181342338716704768","1181342338716704768")</f>
        <v>1181342338716704768</v>
      </c>
      <c r="F2033" s="8"/>
      <c r="G2033" s="14" t="s">
        <v>12361</v>
      </c>
      <c r="H2033" s="8"/>
      <c r="I2033" s="15">
        <v>0</v>
      </c>
      <c r="J2033" s="15">
        <v>0</v>
      </c>
      <c r="K2033" s="12" t="str">
        <f>HYPERLINK("http://twitter.com","Twitter Web Client")</f>
        <v>Twitter Web Client</v>
      </c>
      <c r="L2033" s="16">
        <v>3</v>
      </c>
      <c r="M2033" s="16">
        <v>35</v>
      </c>
      <c r="N2033" s="16">
        <v>0</v>
      </c>
      <c r="O2033" s="17"/>
      <c r="P2033" s="18">
        <v>42065.316886574074</v>
      </c>
      <c r="Q2033" s="8"/>
      <c r="R2033" s="8"/>
      <c r="S2033" s="8"/>
      <c r="T2033" s="8"/>
      <c r="U2033" s="19" t="str">
        <f>HYPERLINK("https://pbs.twimg.com/profile_images/572429580112109568/6NGhoF7e.jpeg","View")</f>
        <v>View</v>
      </c>
      <c r="V2033" s="8"/>
      <c r="W2033" s="8"/>
      <c r="X2033" s="8"/>
      <c r="Y2033" s="8"/>
      <c r="Z2033" s="8"/>
    </row>
    <row r="2034" spans="1:26" ht="12.75">
      <c r="A2034" s="11">
        <v>43745.663391203707</v>
      </c>
      <c r="B2034" s="12" t="str">
        <f>HYPERLINK("https://twitter.com/gramallahghamdi","@gramallahghamdi")</f>
        <v>@gramallahghamdi</v>
      </c>
      <c r="C2034" s="13" t="s">
        <v>12362</v>
      </c>
      <c r="D2034" s="13" t="s">
        <v>12363</v>
      </c>
      <c r="E2034" s="12" t="str">
        <f>HYPERLINK("https://twitter.com/gramallahghamdi/status/1181342259666673665","1181342259666673665")</f>
        <v>1181342259666673665</v>
      </c>
      <c r="F2034" s="8"/>
      <c r="G2034" s="14" t="s">
        <v>12366</v>
      </c>
      <c r="H2034" s="8"/>
      <c r="I2034" s="15">
        <v>0</v>
      </c>
      <c r="J2034" s="15">
        <v>0</v>
      </c>
      <c r="K2034" s="12" t="str">
        <f>HYPERLINK("http://twitter.com","Twitter Web Client")</f>
        <v>Twitter Web Client</v>
      </c>
      <c r="L2034" s="16">
        <v>0</v>
      </c>
      <c r="M2034" s="16">
        <v>41</v>
      </c>
      <c r="N2034" s="16">
        <v>0</v>
      </c>
      <c r="O2034" s="17"/>
      <c r="P2034" s="18">
        <v>42023.061481481476</v>
      </c>
      <c r="Q2034" s="8"/>
      <c r="R2034" s="8"/>
      <c r="S2034" s="8"/>
      <c r="T2034" s="8"/>
      <c r="U2034" s="19" t="str">
        <f>HYPERLINK("https://pbs.twimg.com/profile_images/557108686699524098/zuBQS1TJ.jpeg","View")</f>
        <v>View</v>
      </c>
      <c r="V2034" s="8"/>
      <c r="W2034" s="8"/>
      <c r="X2034" s="8"/>
      <c r="Y2034" s="8"/>
      <c r="Z2034" s="8"/>
    </row>
    <row r="2035" spans="1:26" ht="12.75">
      <c r="A2035" s="11">
        <v>43745.662280092598</v>
      </c>
      <c r="B2035" s="12" t="str">
        <f>HYPERLINK("https://twitter.com/moses_oasiri","@moses_oasiri")</f>
        <v>@moses_oasiri</v>
      </c>
      <c r="C2035" s="13" t="s">
        <v>12372</v>
      </c>
      <c r="D2035" s="13" t="s">
        <v>12373</v>
      </c>
      <c r="E2035" s="12" t="str">
        <f>HYPERLINK("https://twitter.com/moses_oasiri/status/1181341855662968833","1181341855662968833")</f>
        <v>1181341855662968833</v>
      </c>
      <c r="F2035" s="8"/>
      <c r="G2035" s="14" t="s">
        <v>12375</v>
      </c>
      <c r="H2035" s="8"/>
      <c r="I2035" s="15">
        <v>0</v>
      </c>
      <c r="J2035" s="15">
        <v>0</v>
      </c>
      <c r="K2035" s="12" t="str">
        <f>HYPERLINK("http://twitter.com","Twitter Web Client")</f>
        <v>Twitter Web Client</v>
      </c>
      <c r="L2035" s="16">
        <v>10</v>
      </c>
      <c r="M2035" s="16">
        <v>40</v>
      </c>
      <c r="N2035" s="16">
        <v>0</v>
      </c>
      <c r="O2035" s="17"/>
      <c r="P2035" s="18">
        <v>42073.239363425921</v>
      </c>
      <c r="Q2035" s="8"/>
      <c r="R2035" s="8"/>
      <c r="S2035" s="8"/>
      <c r="T2035" s="8"/>
      <c r="U2035" s="19" t="str">
        <f>HYPERLINK("https://pbs.twimg.com/profile_images/575277380022861824/E9cdWcW3.jpeg","View")</f>
        <v>View</v>
      </c>
      <c r="V2035" s="8"/>
      <c r="W2035" s="8"/>
      <c r="X2035" s="8"/>
      <c r="Y2035" s="8"/>
      <c r="Z2035" s="8"/>
    </row>
    <row r="2036" spans="1:26" ht="12.75">
      <c r="A2036" s="11">
        <v>43745.661886574075</v>
      </c>
      <c r="B2036" s="12" t="str">
        <f>HYPERLINK("https://twitter.com/biglyuge","@biglyuge")</f>
        <v>@biglyuge</v>
      </c>
      <c r="C2036" s="13" t="s">
        <v>12377</v>
      </c>
      <c r="D2036" s="13" t="s">
        <v>12378</v>
      </c>
      <c r="E2036" s="12" t="str">
        <f>HYPERLINK("https://twitter.com/biglyuge/status/1181341715312963590","1181341715312963590")</f>
        <v>1181341715312963590</v>
      </c>
      <c r="F2036" s="14" t="s">
        <v>12379</v>
      </c>
      <c r="G2036" s="15"/>
      <c r="H2036" s="8"/>
      <c r="I2036" s="15">
        <v>0</v>
      </c>
      <c r="J2036" s="15">
        <v>0</v>
      </c>
      <c r="K2036" s="12" t="str">
        <f>HYPERLINK("http://twitter.com/#!/download/ipad","Twitter for iPad")</f>
        <v>Twitter for iPad</v>
      </c>
      <c r="L2036" s="16">
        <v>1539</v>
      </c>
      <c r="M2036" s="16">
        <v>1618</v>
      </c>
      <c r="N2036" s="16">
        <v>1</v>
      </c>
      <c r="O2036" s="17"/>
      <c r="P2036" s="18">
        <v>42746.298726851848</v>
      </c>
      <c r="Q2036" s="8"/>
      <c r="R2036" s="8" t="s">
        <v>12383</v>
      </c>
      <c r="S2036" s="8"/>
      <c r="T2036" s="8"/>
      <c r="U2036" s="19" t="str">
        <f>HYPERLINK("https://pbs.twimg.com/profile_images/1055110799713198082/kkVY78jE.jpg","View")</f>
        <v>View</v>
      </c>
      <c r="V2036" s="8"/>
      <c r="W2036" s="8"/>
      <c r="X2036" s="8"/>
      <c r="Y2036" s="8"/>
      <c r="Z2036" s="8"/>
    </row>
    <row r="2037" spans="1:26" ht="12.75">
      <c r="A2037" s="11">
        <v>43745.661493055552</v>
      </c>
      <c r="B2037" s="12" t="str">
        <f>HYPERLINK("https://twitter.com/What_Ned_Said","@What_Ned_Said")</f>
        <v>@What_Ned_Said</v>
      </c>
      <c r="C2037" s="13" t="s">
        <v>12387</v>
      </c>
      <c r="D2037" s="13" t="s">
        <v>12388</v>
      </c>
      <c r="E2037" s="12" t="str">
        <f>HYPERLINK("https://twitter.com/What_Ned_Said/status/1181341572509646848","1181341572509646848")</f>
        <v>1181341572509646848</v>
      </c>
      <c r="F2037" s="8"/>
      <c r="G2037" s="15"/>
      <c r="H2037" s="8"/>
      <c r="I2037" s="15">
        <v>0</v>
      </c>
      <c r="J2037" s="15">
        <v>0</v>
      </c>
      <c r="K2037" s="12" t="str">
        <f>HYPERLINK("https://mobile.twitter.com","Twitter Web App")</f>
        <v>Twitter Web App</v>
      </c>
      <c r="L2037" s="16">
        <v>254</v>
      </c>
      <c r="M2037" s="16">
        <v>571</v>
      </c>
      <c r="N2037" s="16">
        <v>1</v>
      </c>
      <c r="O2037" s="17"/>
      <c r="P2037" s="18">
        <v>43043.221817129626</v>
      </c>
      <c r="Q2037" s="8" t="s">
        <v>12389</v>
      </c>
      <c r="R2037" s="8" t="s">
        <v>12390</v>
      </c>
      <c r="S2037" s="14" t="s">
        <v>12391</v>
      </c>
      <c r="T2037" s="8"/>
      <c r="U2037" s="19" t="str">
        <f>HYPERLINK("https://pbs.twimg.com/profile_images/1110841476290932738/eoTdRiRk.png","View")</f>
        <v>View</v>
      </c>
      <c r="V2037" s="8"/>
      <c r="W2037" s="8"/>
      <c r="X2037" s="8"/>
      <c r="Y2037" s="8"/>
      <c r="Z2037" s="8"/>
    </row>
    <row r="2038" spans="1:26" ht="12.75">
      <c r="A2038" s="11">
        <v>43745.661400462966</v>
      </c>
      <c r="B2038" s="12" t="str">
        <f>HYPERLINK("https://twitter.com/alshayaban34523","@alshayaban34523")</f>
        <v>@alshayaban34523</v>
      </c>
      <c r="C2038" s="7" t="s">
        <v>12395</v>
      </c>
      <c r="D2038" s="13" t="s">
        <v>12396</v>
      </c>
      <c r="E2038" s="12" t="str">
        <f>HYPERLINK("https://twitter.com/alshayaban34523/status/1181341536275042304","1181341536275042304")</f>
        <v>1181341536275042304</v>
      </c>
      <c r="F2038" s="15"/>
      <c r="G2038" s="14" t="s">
        <v>12397</v>
      </c>
      <c r="H2038" s="8"/>
      <c r="I2038" s="15">
        <v>0</v>
      </c>
      <c r="J2038" s="15">
        <v>0</v>
      </c>
      <c r="K2038" s="12" t="str">
        <f>HYPERLINK("http://twitter.com","Twitter Web Client")</f>
        <v>Twitter Web Client</v>
      </c>
      <c r="L2038" s="16">
        <v>6</v>
      </c>
      <c r="M2038" s="16">
        <v>46</v>
      </c>
      <c r="N2038" s="16">
        <v>0</v>
      </c>
      <c r="O2038" s="17"/>
      <c r="P2038" s="18">
        <v>42074.374050925922</v>
      </c>
      <c r="Q2038" s="8"/>
      <c r="R2038" s="7"/>
      <c r="S2038" s="8"/>
      <c r="T2038" s="8"/>
      <c r="U2038" s="19" t="str">
        <f>HYPERLINK("https://pbs.twimg.com/profile_images/575687558320934912/4rFJKUS0.jpeg","View")</f>
        <v>View</v>
      </c>
      <c r="V2038" s="8"/>
      <c r="W2038" s="8"/>
      <c r="X2038" s="8"/>
      <c r="Y2038" s="8"/>
      <c r="Z2038" s="8"/>
    </row>
    <row r="2039" spans="1:26" ht="12.75">
      <c r="A2039" s="11">
        <v>43745.660833333328</v>
      </c>
      <c r="B2039" s="12" t="str">
        <f>HYPERLINK("https://twitter.com/el3atebii433","@el3atebii433")</f>
        <v>@el3atebii433</v>
      </c>
      <c r="C2039" s="13" t="s">
        <v>12408</v>
      </c>
      <c r="D2039" s="7" t="s">
        <v>12409</v>
      </c>
      <c r="E2039" s="12" t="str">
        <f>HYPERLINK("https://twitter.com/el3atebii433/status/1181341331047768065","1181341331047768065")</f>
        <v>1181341331047768065</v>
      </c>
      <c r="F2039" s="8"/>
      <c r="G2039" s="14" t="s">
        <v>12410</v>
      </c>
      <c r="H2039" s="8"/>
      <c r="I2039" s="15">
        <v>0</v>
      </c>
      <c r="J2039" s="15">
        <v>0</v>
      </c>
      <c r="K2039" s="12" t="str">
        <f>HYPERLINK("http://twitter.com","Twitter Web Client")</f>
        <v>Twitter Web Client</v>
      </c>
      <c r="L2039" s="16">
        <v>1</v>
      </c>
      <c r="M2039" s="16">
        <v>44</v>
      </c>
      <c r="N2039" s="16">
        <v>0</v>
      </c>
      <c r="O2039" s="17"/>
      <c r="P2039" s="18">
        <v>42075.258136574077</v>
      </c>
      <c r="Q2039" s="7"/>
      <c r="R2039" s="13"/>
      <c r="S2039" s="8"/>
      <c r="T2039" s="8"/>
      <c r="U2039" s="19" t="str">
        <f>HYPERLINK("https://pbs.twimg.com/profile_images/576007917356236800/u53Th4BP.jpg","View")</f>
        <v>View</v>
      </c>
      <c r="V2039" s="8"/>
      <c r="W2039" s="8"/>
      <c r="X2039" s="8"/>
      <c r="Y2039" s="8"/>
      <c r="Z2039" s="8"/>
    </row>
    <row r="2040" spans="1:26" ht="12.75">
      <c r="A2040" s="11">
        <v>43745.660231481481</v>
      </c>
      <c r="B2040" s="12" t="str">
        <f>HYPERLINK("https://twitter.com/hamadanzi1","@hamadanzi1")</f>
        <v>@hamadanzi1</v>
      </c>
      <c r="C2040" s="13" t="s">
        <v>12413</v>
      </c>
      <c r="D2040" s="13" t="s">
        <v>12414</v>
      </c>
      <c r="E2040" s="12" t="str">
        <f>HYPERLINK("https://twitter.com/hamadanzi1/status/1181341114646831104","1181341114646831104")</f>
        <v>1181341114646831104</v>
      </c>
      <c r="F2040" s="8"/>
      <c r="G2040" s="14" t="s">
        <v>12415</v>
      </c>
      <c r="H2040" s="8"/>
      <c r="I2040" s="15">
        <v>0</v>
      </c>
      <c r="J2040" s="15">
        <v>0</v>
      </c>
      <c r="K2040" s="12" t="str">
        <f>HYPERLINK("http://twitter.com","Twitter Web Client")</f>
        <v>Twitter Web Client</v>
      </c>
      <c r="L2040" s="16">
        <v>15</v>
      </c>
      <c r="M2040" s="16">
        <v>43</v>
      </c>
      <c r="N2040" s="16">
        <v>0</v>
      </c>
      <c r="O2040" s="17"/>
      <c r="P2040" s="18">
        <v>42072.653437500005</v>
      </c>
      <c r="Q2040" s="7"/>
      <c r="R2040" s="13"/>
      <c r="S2040" s="8"/>
      <c r="T2040" s="8"/>
      <c r="U2040" s="19" t="str">
        <f>HYPERLINK("https://pbs.twimg.com/profile_images/575064510769205248/H1J7-tro.jpeg","View")</f>
        <v>View</v>
      </c>
      <c r="V2040" s="8"/>
      <c r="W2040" s="8"/>
      <c r="X2040" s="8"/>
      <c r="Y2040" s="8"/>
      <c r="Z2040" s="8"/>
    </row>
    <row r="2041" spans="1:26" ht="12.75">
      <c r="A2041" s="11">
        <v>43745.659259259264</v>
      </c>
      <c r="B2041" s="12" t="str">
        <f>HYPERLINK("https://twitter.com/overeid2014","@overeid2014")</f>
        <v>@overeid2014</v>
      </c>
      <c r="C2041" s="7" t="s">
        <v>12423</v>
      </c>
      <c r="D2041" s="13" t="s">
        <v>572</v>
      </c>
      <c r="E2041" s="12" t="str">
        <f>HYPERLINK("https://twitter.com/overeid2014/status/1181340762535026688","1181340762535026688")</f>
        <v>1181340762535026688</v>
      </c>
      <c r="F2041" s="15"/>
      <c r="G2041" s="14" t="s">
        <v>12424</v>
      </c>
      <c r="H2041" s="8"/>
      <c r="I2041" s="15">
        <v>0</v>
      </c>
      <c r="J2041" s="15">
        <v>0</v>
      </c>
      <c r="K2041" s="12" t="str">
        <f>HYPERLINK("http://twitter.com","Twitter Web Client")</f>
        <v>Twitter Web Client</v>
      </c>
      <c r="L2041" s="16">
        <v>2</v>
      </c>
      <c r="M2041" s="16">
        <v>29</v>
      </c>
      <c r="N2041" s="16">
        <v>0</v>
      </c>
      <c r="O2041" s="17"/>
      <c r="P2041" s="18">
        <v>41850.411979166667</v>
      </c>
      <c r="Q2041" s="8"/>
      <c r="R2041" s="7"/>
      <c r="S2041" s="8"/>
      <c r="T2041" s="8"/>
      <c r="U2041" s="19" t="str">
        <f>HYPERLINK("https://pbs.twimg.com/profile_images/494526341207699457/WFpt1ALn.jpeg","View")</f>
        <v>View</v>
      </c>
      <c r="V2041" s="8"/>
      <c r="W2041" s="8"/>
      <c r="X2041" s="8"/>
      <c r="Y2041" s="8"/>
      <c r="Z2041" s="8"/>
    </row>
    <row r="2042" spans="1:26" ht="12.75">
      <c r="A2042" s="11">
        <v>43745.658877314811</v>
      </c>
      <c r="B2042" s="12" t="str">
        <f>HYPERLINK("https://twitter.com/IahmariSaid","@IahmariSaid")</f>
        <v>@IahmariSaid</v>
      </c>
      <c r="C2042" s="7" t="s">
        <v>12426</v>
      </c>
      <c r="D2042" s="13" t="s">
        <v>12427</v>
      </c>
      <c r="E2042" s="12" t="str">
        <f>HYPERLINK("https://twitter.com/IahmariSaid/status/1181340622730518529","1181340622730518529")</f>
        <v>1181340622730518529</v>
      </c>
      <c r="F2042" s="15"/>
      <c r="G2042" s="14" t="s">
        <v>12428</v>
      </c>
      <c r="H2042" s="8"/>
      <c r="I2042" s="15">
        <v>0</v>
      </c>
      <c r="J2042" s="15">
        <v>0</v>
      </c>
      <c r="K2042" s="12" t="str">
        <f>HYPERLINK("http://twitter.com","Twitter Web Client")</f>
        <v>Twitter Web Client</v>
      </c>
      <c r="L2042" s="16">
        <v>0</v>
      </c>
      <c r="M2042" s="16">
        <v>41</v>
      </c>
      <c r="N2042" s="16">
        <v>0</v>
      </c>
      <c r="O2042" s="17"/>
      <c r="P2042" s="18">
        <v>42070.826886574076</v>
      </c>
      <c r="Q2042" s="8"/>
      <c r="R2042" s="7"/>
      <c r="S2042" s="8"/>
      <c r="T2042" s="8"/>
      <c r="U2042" s="19" t="str">
        <f>HYPERLINK("https://pbs.twimg.com/profile_images/574417644377391107/UQsnu7NT.jpeg","View")</f>
        <v>View</v>
      </c>
      <c r="V2042" s="8"/>
      <c r="W2042" s="8"/>
      <c r="X2042" s="8"/>
      <c r="Y2042" s="8"/>
      <c r="Z2042" s="8"/>
    </row>
    <row r="2043" spans="1:26" ht="12.75">
      <c r="A2043" s="11">
        <v>43745.658472222218</v>
      </c>
      <c r="B2043" s="12" t="str">
        <f>HYPERLINK("https://twitter.com/leahkrevit","@leahkrevit")</f>
        <v>@leahkrevit</v>
      </c>
      <c r="C2043" s="7" t="s">
        <v>12429</v>
      </c>
      <c r="D2043" s="13" t="s">
        <v>12430</v>
      </c>
      <c r="E2043" s="12" t="str">
        <f>HYPERLINK("https://twitter.com/leahkrevit/status/1181340476311519232","1181340476311519232")</f>
        <v>1181340476311519232</v>
      </c>
      <c r="F2043" s="15"/>
      <c r="G2043" s="14" t="s">
        <v>12431</v>
      </c>
      <c r="H2043" s="8"/>
      <c r="I2043" s="15">
        <v>5</v>
      </c>
      <c r="J2043" s="15">
        <v>13</v>
      </c>
      <c r="K2043" s="12" t="str">
        <f>HYPERLINK("http://twitter.com/download/android","Twitter for Android")</f>
        <v>Twitter for Android</v>
      </c>
      <c r="L2043" s="16">
        <v>6190</v>
      </c>
      <c r="M2043" s="16">
        <v>5839</v>
      </c>
      <c r="N2043" s="16">
        <v>14</v>
      </c>
      <c r="O2043" s="17"/>
      <c r="P2043" s="18">
        <v>39947.604155092595</v>
      </c>
      <c r="Q2043" s="8" t="s">
        <v>12435</v>
      </c>
      <c r="R2043" s="7" t="s">
        <v>12436</v>
      </c>
      <c r="S2043" s="8"/>
      <c r="T2043" s="8"/>
      <c r="U2043" s="19" t="str">
        <f>HYPERLINK("https://pbs.twimg.com/profile_images/1173292942020218880/wBAJtR8j.jpg","View")</f>
        <v>View</v>
      </c>
      <c r="V2043" s="8"/>
      <c r="W2043" s="8"/>
      <c r="X2043" s="8"/>
      <c r="Y2043" s="8"/>
      <c r="Z2043" s="8"/>
    </row>
    <row r="2044" spans="1:26" ht="12.75">
      <c r="A2044" s="11">
        <v>43745.656076388885</v>
      </c>
      <c r="B2044" s="12" t="str">
        <f>HYPERLINK("https://twitter.com/awadiotaibi","@awadiotaibi")</f>
        <v>@awadiotaibi</v>
      </c>
      <c r="C2044" s="7" t="s">
        <v>12449</v>
      </c>
      <c r="D2044" s="13" t="s">
        <v>10611</v>
      </c>
      <c r="E2044" s="12" t="str">
        <f>HYPERLINK("https://twitter.com/awadiotaibi/status/1181339607188869121","1181339607188869121")</f>
        <v>1181339607188869121</v>
      </c>
      <c r="F2044" s="15"/>
      <c r="G2044" s="14" t="s">
        <v>12451</v>
      </c>
      <c r="H2044" s="8"/>
      <c r="I2044" s="15">
        <v>0</v>
      </c>
      <c r="J2044" s="15">
        <v>0</v>
      </c>
      <c r="K2044" s="12" t="str">
        <f>HYPERLINK("http://twitter.com","Twitter Web Client")</f>
        <v>Twitter Web Client</v>
      </c>
      <c r="L2044" s="16">
        <v>1</v>
      </c>
      <c r="M2044" s="16">
        <v>34</v>
      </c>
      <c r="N2044" s="16">
        <v>0</v>
      </c>
      <c r="O2044" s="17"/>
      <c r="P2044" s="18">
        <v>42084.341122685189</v>
      </c>
      <c r="Q2044" s="8"/>
      <c r="R2044" s="7"/>
      <c r="S2044" s="8"/>
      <c r="T2044" s="8"/>
      <c r="U2044" s="19" t="str">
        <f>HYPERLINK("https://pbs.twimg.com/profile_images/579299859548614657/LJhNQDrP.jpg","View")</f>
        <v>View</v>
      </c>
      <c r="V2044" s="8"/>
      <c r="W2044" s="8"/>
      <c r="X2044" s="8"/>
      <c r="Y2044" s="8"/>
      <c r="Z2044" s="8"/>
    </row>
    <row r="2045" spans="1:26" ht="12.75">
      <c r="A2045" s="11">
        <v>43745.655856481477</v>
      </c>
      <c r="B2045" s="12" t="str">
        <f>HYPERLINK("https://twitter.com/dheifallahqarn2","@dheifallahqarn2")</f>
        <v>@dheifallahqarn2</v>
      </c>
      <c r="C2045" s="7" t="s">
        <v>12454</v>
      </c>
      <c r="D2045" s="13" t="s">
        <v>12455</v>
      </c>
      <c r="E2045" s="12" t="str">
        <f>HYPERLINK("https://twitter.com/dheifallahqarn2/status/1181339528986058754","1181339528986058754")</f>
        <v>1181339528986058754</v>
      </c>
      <c r="F2045" s="15"/>
      <c r="G2045" s="14" t="s">
        <v>12456</v>
      </c>
      <c r="H2045" s="8"/>
      <c r="I2045" s="15">
        <v>0</v>
      </c>
      <c r="J2045" s="15">
        <v>0</v>
      </c>
      <c r="K2045" s="12" t="str">
        <f>HYPERLINK("http://twitter.com","Twitter Web Client")</f>
        <v>Twitter Web Client</v>
      </c>
      <c r="L2045" s="16">
        <v>14</v>
      </c>
      <c r="M2045" s="16">
        <v>32</v>
      </c>
      <c r="N2045" s="16">
        <v>0</v>
      </c>
      <c r="O2045" s="17"/>
      <c r="P2045" s="18">
        <v>42072.221597222218</v>
      </c>
      <c r="Q2045" s="8"/>
      <c r="R2045" s="7"/>
      <c r="S2045" s="8"/>
      <c r="T2045" s="8"/>
      <c r="U2045" s="19" t="str">
        <f>HYPERLINK("https://pbs.twimg.com/profile_images/574908405862658049/8Qct79J6.jpeg","View")</f>
        <v>View</v>
      </c>
      <c r="V2045" s="8"/>
      <c r="W2045" s="8"/>
      <c r="X2045" s="8"/>
      <c r="Y2045" s="8"/>
      <c r="Z2045" s="8"/>
    </row>
    <row r="2046" spans="1:26" ht="12.75">
      <c r="A2046" s="11">
        <v>43745.655636574069</v>
      </c>
      <c r="B2046" s="12" t="str">
        <f>HYPERLINK("https://twitter.com/el3awa_rr","@el3awa_rr")</f>
        <v>@el3awa_rr</v>
      </c>
      <c r="C2046" s="13" t="s">
        <v>12462</v>
      </c>
      <c r="D2046" s="13" t="s">
        <v>7184</v>
      </c>
      <c r="E2046" s="12" t="str">
        <f>HYPERLINK("https://twitter.com/el3awa_rr/status/1181339450242211840","1181339450242211840")</f>
        <v>1181339450242211840</v>
      </c>
      <c r="F2046" s="8"/>
      <c r="G2046" s="14" t="s">
        <v>12464</v>
      </c>
      <c r="H2046" s="8"/>
      <c r="I2046" s="15">
        <v>0</v>
      </c>
      <c r="J2046" s="15">
        <v>0</v>
      </c>
      <c r="K2046" s="12" t="str">
        <f>HYPERLINK("http://twitter.com","Twitter Web Client")</f>
        <v>Twitter Web Client</v>
      </c>
      <c r="L2046" s="16">
        <v>5</v>
      </c>
      <c r="M2046" s="16">
        <v>33</v>
      </c>
      <c r="N2046" s="16">
        <v>0</v>
      </c>
      <c r="O2046" s="17"/>
      <c r="P2046" s="18">
        <v>42076.282048611116</v>
      </c>
      <c r="Q2046" s="8"/>
      <c r="R2046" s="8"/>
      <c r="S2046" s="8"/>
      <c r="T2046" s="8"/>
      <c r="U2046" s="19" t="str">
        <f>HYPERLINK("https://pbs.twimg.com/profile_images/576378951280435200/VoWvpB53.jpeg","View")</f>
        <v>View</v>
      </c>
      <c r="V2046" s="8"/>
      <c r="W2046" s="8"/>
      <c r="X2046" s="8"/>
      <c r="Y2046" s="8"/>
      <c r="Z2046" s="8"/>
    </row>
    <row r="2047" spans="1:26" ht="12.75">
      <c r="A2047" s="11">
        <v>43745.654386574075</v>
      </c>
      <c r="B2047" s="12" t="str">
        <f>HYPERLINK("https://twitter.com/MutaiSaeed","@MutaiSaeed")</f>
        <v>@MutaiSaeed</v>
      </c>
      <c r="C2047" s="7" t="s">
        <v>12473</v>
      </c>
      <c r="D2047" s="13" t="s">
        <v>12474</v>
      </c>
      <c r="E2047" s="12" t="str">
        <f>HYPERLINK("https://twitter.com/MutaiSaeed/status/1181338995508305920","1181338995508305920")</f>
        <v>1181338995508305920</v>
      </c>
      <c r="F2047" s="15"/>
      <c r="G2047" s="14" t="s">
        <v>12475</v>
      </c>
      <c r="H2047" s="8"/>
      <c r="I2047" s="15">
        <v>0</v>
      </c>
      <c r="J2047" s="15">
        <v>0</v>
      </c>
      <c r="K2047" s="12" t="str">
        <f>HYPERLINK("http://twitter.com","Twitter Web Client")</f>
        <v>Twitter Web Client</v>
      </c>
      <c r="L2047" s="16">
        <v>12</v>
      </c>
      <c r="M2047" s="16">
        <v>37</v>
      </c>
      <c r="N2047" s="16">
        <v>0</v>
      </c>
      <c r="O2047" s="17"/>
      <c r="P2047" s="18">
        <v>42072.360520833332</v>
      </c>
      <c r="Q2047" s="8"/>
      <c r="R2047" s="7"/>
      <c r="S2047" s="8"/>
      <c r="T2047" s="8"/>
      <c r="U2047" s="19" t="str">
        <f>HYPERLINK("https://pbs.twimg.com/profile_images/574958440365207554/E0BXeras.jpeg","View")</f>
        <v>View</v>
      </c>
      <c r="V2047" s="8"/>
      <c r="W2047" s="8"/>
      <c r="X2047" s="8"/>
      <c r="Y2047" s="8"/>
      <c r="Z2047" s="8"/>
    </row>
    <row r="2048" spans="1:26" ht="12.75">
      <c r="A2048" s="11">
        <v>43745.652858796297</v>
      </c>
      <c r="B2048" s="12" t="str">
        <f>HYPERLINK("https://twitter.com/Ra7emMohamed52","@Ra7emMohamed52")</f>
        <v>@Ra7emMohamed52</v>
      </c>
      <c r="C2048" s="13" t="s">
        <v>12487</v>
      </c>
      <c r="D2048" s="13" t="s">
        <v>12488</v>
      </c>
      <c r="E2048" s="12" t="str">
        <f>HYPERLINK("https://twitter.com/Ra7emMohamed52/status/1181338441944109056","1181338441944109056")</f>
        <v>1181338441944109056</v>
      </c>
      <c r="F2048" s="8"/>
      <c r="G2048" s="14" t="s">
        <v>12490</v>
      </c>
      <c r="H2048" s="8"/>
      <c r="I2048" s="15">
        <v>0</v>
      </c>
      <c r="J2048" s="15">
        <v>0</v>
      </c>
      <c r="K2048" s="12" t="str">
        <f>HYPERLINK("http://twitter.com","Twitter Web Client")</f>
        <v>Twitter Web Client</v>
      </c>
      <c r="L2048" s="16">
        <v>0</v>
      </c>
      <c r="M2048" s="16">
        <v>31</v>
      </c>
      <c r="N2048" s="16">
        <v>0</v>
      </c>
      <c r="O2048" s="17"/>
      <c r="P2048" s="18">
        <v>41843.331250000003</v>
      </c>
      <c r="Q2048" s="8"/>
      <c r="R2048" s="8"/>
      <c r="S2048" s="8"/>
      <c r="T2048" s="8"/>
      <c r="U2048" s="19" t="str">
        <f>HYPERLINK("https://pbs.twimg.com/profile_images/491960250677723136/rIeRtOHJ.jpeg","View")</f>
        <v>View</v>
      </c>
      <c r="V2048" s="8"/>
      <c r="W2048" s="8"/>
      <c r="X2048" s="8"/>
      <c r="Y2048" s="8"/>
      <c r="Z2048" s="8"/>
    </row>
    <row r="2049" spans="1:26" ht="12.75">
      <c r="A2049" s="11">
        <v>43745.652349537035</v>
      </c>
      <c r="B2049" s="12" t="str">
        <f>HYPERLINK("https://twitter.com/hillelharbihil1","@hillelharbihil1")</f>
        <v>@hillelharbihil1</v>
      </c>
      <c r="C2049" s="7" t="s">
        <v>12498</v>
      </c>
      <c r="D2049" s="13" t="s">
        <v>12499</v>
      </c>
      <c r="E2049" s="12" t="str">
        <f>HYPERLINK("https://twitter.com/hillelharbihil1/status/1181338257709252608","1181338257709252608")</f>
        <v>1181338257709252608</v>
      </c>
      <c r="F2049" s="15"/>
      <c r="G2049" s="14" t="s">
        <v>12500</v>
      </c>
      <c r="H2049" s="8"/>
      <c r="I2049" s="15">
        <v>0</v>
      </c>
      <c r="J2049" s="15">
        <v>0</v>
      </c>
      <c r="K2049" s="12" t="str">
        <f>HYPERLINK("http://twitter.com","Twitter Web Client")</f>
        <v>Twitter Web Client</v>
      </c>
      <c r="L2049" s="16">
        <v>1</v>
      </c>
      <c r="M2049" s="16">
        <v>36</v>
      </c>
      <c r="N2049" s="16">
        <v>0</v>
      </c>
      <c r="O2049" s="17"/>
      <c r="P2049" s="18">
        <v>42065.182511574079</v>
      </c>
      <c r="Q2049" s="8"/>
      <c r="R2049" s="7"/>
      <c r="S2049" s="8"/>
      <c r="T2049" s="8"/>
      <c r="U2049" s="19" t="str">
        <f>HYPERLINK("https://pbs.twimg.com/profile_images/572371699589332992/oJfK31lr.jpeg","View")</f>
        <v>View</v>
      </c>
      <c r="V2049" s="8"/>
      <c r="W2049" s="8"/>
      <c r="X2049" s="8"/>
      <c r="Y2049" s="8"/>
      <c r="Z2049" s="8"/>
    </row>
    <row r="2050" spans="1:26" ht="12.75">
      <c r="A2050" s="11">
        <v>43745.651342592595</v>
      </c>
      <c r="B2050" s="12" t="str">
        <f>HYPERLINK("https://twitter.com/NancyWonderful","@NancyWonderful")</f>
        <v>@NancyWonderful</v>
      </c>
      <c r="C2050" s="7" t="s">
        <v>12504</v>
      </c>
      <c r="D2050" s="13" t="s">
        <v>12505</v>
      </c>
      <c r="E2050" s="12" t="str">
        <f>HYPERLINK("https://twitter.com/NancyWonderful/status/1181337892901326850","1181337892901326850")</f>
        <v>1181337892901326850</v>
      </c>
      <c r="F2050" s="15" t="s">
        <v>12506</v>
      </c>
      <c r="G2050" s="15"/>
      <c r="H2050" s="8"/>
      <c r="I2050" s="15">
        <v>0</v>
      </c>
      <c r="J2050" s="15">
        <v>0</v>
      </c>
      <c r="K2050" s="12" t="str">
        <f>HYPERLINK("https://mobile.twitter.com","Twitter Web App")</f>
        <v>Twitter Web App</v>
      </c>
      <c r="L2050" s="16">
        <v>4474</v>
      </c>
      <c r="M2050" s="16">
        <v>2173</v>
      </c>
      <c r="N2050" s="16">
        <v>297</v>
      </c>
      <c r="O2050" s="17"/>
      <c r="P2050" s="18">
        <v>39939.400740740741</v>
      </c>
      <c r="Q2050" s="8"/>
      <c r="R2050" s="7" t="s">
        <v>12508</v>
      </c>
      <c r="S2050" s="8"/>
      <c r="T2050" s="8"/>
      <c r="U2050" s="19" t="str">
        <f>HYPERLINK("https://pbs.twimg.com/profile_images/200562810/tibet_2_026.jpg","View")</f>
        <v>View</v>
      </c>
      <c r="V2050" s="8"/>
      <c r="W2050" s="8"/>
      <c r="X2050" s="8"/>
      <c r="Y2050" s="8"/>
      <c r="Z2050" s="8"/>
    </row>
    <row r="2051" spans="1:26" ht="12.75">
      <c r="A2051" s="11">
        <v>43745.649039351847</v>
      </c>
      <c r="B2051" s="12" t="str">
        <f>HYPERLINK("https://twitter.com/alimefreh2","@alimefreh2")</f>
        <v>@alimefreh2</v>
      </c>
      <c r="C2051" s="13" t="s">
        <v>12517</v>
      </c>
      <c r="D2051" s="13" t="s">
        <v>10637</v>
      </c>
      <c r="E2051" s="12" t="str">
        <f>HYPERLINK("https://twitter.com/alimefreh2/status/1181337060000620549","1181337060000620549")</f>
        <v>1181337060000620549</v>
      </c>
      <c r="F2051" s="8"/>
      <c r="G2051" s="14" t="s">
        <v>12520</v>
      </c>
      <c r="H2051" s="8"/>
      <c r="I2051" s="15">
        <v>0</v>
      </c>
      <c r="J2051" s="15">
        <v>0</v>
      </c>
      <c r="K2051" s="12" t="str">
        <f>HYPERLINK("http://twitter.com","Twitter Web Client")</f>
        <v>Twitter Web Client</v>
      </c>
      <c r="L2051" s="16">
        <v>0</v>
      </c>
      <c r="M2051" s="16">
        <v>36</v>
      </c>
      <c r="N2051" s="16">
        <v>0</v>
      </c>
      <c r="O2051" s="17"/>
      <c r="P2051" s="18">
        <v>42026.086828703701</v>
      </c>
      <c r="Q2051" s="8"/>
      <c r="R2051" s="8"/>
      <c r="S2051" s="8"/>
      <c r="T2051" s="8"/>
      <c r="U2051" s="19" t="str">
        <f>HYPERLINK("https://pbs.twimg.com/profile_images/558203801501302784/2MDPcwNh.jpeg","View")</f>
        <v>View</v>
      </c>
      <c r="V2051" s="8"/>
      <c r="W2051" s="8"/>
      <c r="X2051" s="8"/>
      <c r="Y2051" s="8"/>
      <c r="Z2051" s="8"/>
    </row>
    <row r="2052" spans="1:26" ht="12.75">
      <c r="A2052" s="11">
        <v>43745.648831018523</v>
      </c>
      <c r="B2052" s="12" t="str">
        <f>HYPERLINK("https://twitter.com/iruilan","@iruilan")</f>
        <v>@iruilan</v>
      </c>
      <c r="C2052" s="13" t="s">
        <v>12523</v>
      </c>
      <c r="D2052" s="13" t="s">
        <v>12525</v>
      </c>
      <c r="E2052" s="12" t="str">
        <f>HYPERLINK("https://twitter.com/iruilan/status/1181336981692981249","1181336981692981249")</f>
        <v>1181336981692981249</v>
      </c>
      <c r="F2052" s="8"/>
      <c r="G2052" s="14" t="s">
        <v>12526</v>
      </c>
      <c r="H2052" s="8"/>
      <c r="I2052" s="15">
        <v>0</v>
      </c>
      <c r="J2052" s="15">
        <v>0</v>
      </c>
      <c r="K2052" s="12" t="str">
        <f>HYPERLINK("http://twitter.com","Twitter Web Client")</f>
        <v>Twitter Web Client</v>
      </c>
      <c r="L2052" s="16">
        <v>6</v>
      </c>
      <c r="M2052" s="16">
        <v>41</v>
      </c>
      <c r="N2052" s="16">
        <v>0</v>
      </c>
      <c r="O2052" s="17"/>
      <c r="P2052" s="18">
        <v>42069.808472222227</v>
      </c>
      <c r="Q2052" s="8"/>
      <c r="R2052" s="8"/>
      <c r="S2052" s="8"/>
      <c r="T2052" s="8"/>
      <c r="U2052" s="19" t="str">
        <f>HYPERLINK("https://pbs.twimg.com/profile_images/574049435870593024/0ZBr8Ep-.jpeg","View")</f>
        <v>View</v>
      </c>
      <c r="V2052" s="8"/>
      <c r="W2052" s="8"/>
      <c r="X2052" s="8"/>
      <c r="Y2052" s="8"/>
      <c r="Z2052" s="8"/>
    </row>
    <row r="2053" spans="1:26" ht="12.75">
      <c r="A2053" s="11">
        <v>43745.647581018522</v>
      </c>
      <c r="B2053" s="12" t="str">
        <f>HYPERLINK("https://twitter.com/elabdal423","@elabdal423")</f>
        <v>@elabdal423</v>
      </c>
      <c r="C2053" s="7" t="s">
        <v>12537</v>
      </c>
      <c r="D2053" s="13" t="s">
        <v>12538</v>
      </c>
      <c r="E2053" s="12" t="str">
        <f>HYPERLINK("https://twitter.com/elabdal423/status/1181336531501486080","1181336531501486080")</f>
        <v>1181336531501486080</v>
      </c>
      <c r="F2053" s="15"/>
      <c r="G2053" s="14" t="s">
        <v>12539</v>
      </c>
      <c r="H2053" s="8"/>
      <c r="I2053" s="15">
        <v>0</v>
      </c>
      <c r="J2053" s="15">
        <v>0</v>
      </c>
      <c r="K2053" s="12" t="str">
        <f>HYPERLINK("http://twitter.com","Twitter Web Client")</f>
        <v>Twitter Web Client</v>
      </c>
      <c r="L2053" s="16">
        <v>14</v>
      </c>
      <c r="M2053" s="16">
        <v>42</v>
      </c>
      <c r="N2053" s="16">
        <v>0</v>
      </c>
      <c r="O2053" s="17"/>
      <c r="P2053" s="18">
        <v>42073.405138888891</v>
      </c>
      <c r="Q2053" s="8"/>
      <c r="R2053" s="7"/>
      <c r="S2053" s="8"/>
      <c r="T2053" s="8"/>
      <c r="U2053" s="19" t="str">
        <f>HYPERLINK("https://pbs.twimg.com/profile_images/575336376264101890/5IhtMObS.jpeg","View")</f>
        <v>View</v>
      </c>
      <c r="V2053" s="8"/>
      <c r="W2053" s="8"/>
      <c r="X2053" s="8"/>
      <c r="Y2053" s="8"/>
      <c r="Z2053" s="8"/>
    </row>
    <row r="2054" spans="1:26" ht="12.75">
      <c r="A2054" s="11">
        <v>43745.64671296296</v>
      </c>
      <c r="B2054" s="12" t="str">
        <f>HYPERLINK("https://twitter.com/YosifAlhzzal","@YosifAlhzzal")</f>
        <v>@YosifAlhzzal</v>
      </c>
      <c r="C2054" s="13" t="s">
        <v>12545</v>
      </c>
      <c r="D2054" s="13" t="s">
        <v>12546</v>
      </c>
      <c r="E2054" s="12" t="str">
        <f>HYPERLINK("https://twitter.com/YosifAlhzzal/status/1181336216509259777","1181336216509259777")</f>
        <v>1181336216509259777</v>
      </c>
      <c r="F2054" s="8"/>
      <c r="G2054" s="14" t="s">
        <v>12547</v>
      </c>
      <c r="H2054" s="8"/>
      <c r="I2054" s="15">
        <v>0</v>
      </c>
      <c r="J2054" s="15">
        <v>0</v>
      </c>
      <c r="K2054" s="12" t="str">
        <f>HYPERLINK("http://twitter.com","Twitter Web Client")</f>
        <v>Twitter Web Client</v>
      </c>
      <c r="L2054" s="16">
        <v>8</v>
      </c>
      <c r="M2054" s="16">
        <v>40</v>
      </c>
      <c r="N2054" s="16">
        <v>0</v>
      </c>
      <c r="O2054" s="17"/>
      <c r="P2054" s="18">
        <v>42072.219537037032</v>
      </c>
      <c r="Q2054" s="8"/>
      <c r="R2054" s="13"/>
      <c r="S2054" s="15"/>
      <c r="T2054" s="8"/>
      <c r="U2054" s="19" t="str">
        <f>HYPERLINK("https://pbs.twimg.com/profile_images/574912097894584323/bzebak1w.jpeg","View")</f>
        <v>View</v>
      </c>
      <c r="V2054" s="8"/>
      <c r="W2054" s="8"/>
      <c r="X2054" s="8"/>
      <c r="Y2054" s="8"/>
      <c r="Z2054" s="8"/>
    </row>
    <row r="2055" spans="1:26" ht="12.75">
      <c r="A2055" s="11">
        <v>43745.646122685182</v>
      </c>
      <c r="B2055" s="12" t="str">
        <f>HYPERLINK("https://twitter.com/faizuifahid","@faizuifahid")</f>
        <v>@faizuifahid</v>
      </c>
      <c r="C2055" s="7" t="s">
        <v>12548</v>
      </c>
      <c r="D2055" s="13" t="s">
        <v>10980</v>
      </c>
      <c r="E2055" s="12" t="str">
        <f>HYPERLINK("https://twitter.com/faizuifahid/status/1181336002234847232","1181336002234847232")</f>
        <v>1181336002234847232</v>
      </c>
      <c r="F2055" s="15"/>
      <c r="G2055" s="14" t="s">
        <v>12549</v>
      </c>
      <c r="H2055" s="8"/>
      <c r="I2055" s="15">
        <v>0</v>
      </c>
      <c r="J2055" s="15">
        <v>0</v>
      </c>
      <c r="K2055" s="12" t="str">
        <f>HYPERLINK("http://twitter.com","Twitter Web Client")</f>
        <v>Twitter Web Client</v>
      </c>
      <c r="L2055" s="16">
        <v>2</v>
      </c>
      <c r="M2055" s="16">
        <v>26</v>
      </c>
      <c r="N2055" s="16">
        <v>0</v>
      </c>
      <c r="O2055" s="17"/>
      <c r="P2055" s="18">
        <v>42083.561064814814</v>
      </c>
      <c r="Q2055" s="8"/>
      <c r="R2055" s="7"/>
      <c r="S2055" s="8"/>
      <c r="T2055" s="8"/>
      <c r="U2055" s="19" t="str">
        <f>HYPERLINK("https://pbs.twimg.com/profile_images/579016974803472384/6vNNifLB.jpeg","View")</f>
        <v>View</v>
      </c>
      <c r="V2055" s="8"/>
      <c r="W2055" s="8"/>
      <c r="X2055" s="8"/>
      <c r="Y2055" s="8"/>
      <c r="Z2055" s="8"/>
    </row>
    <row r="2056" spans="1:26" ht="12.75">
      <c r="A2056" s="11">
        <v>43745.645474537036</v>
      </c>
      <c r="B2056" s="12" t="str">
        <f>HYPERLINK("https://twitter.com/ahmedmarei991","@ahmedmarei991")</f>
        <v>@ahmedmarei991</v>
      </c>
      <c r="C2056" s="13" t="s">
        <v>12559</v>
      </c>
      <c r="D2056" s="13" t="s">
        <v>3393</v>
      </c>
      <c r="E2056" s="12" t="str">
        <f>HYPERLINK("https://twitter.com/ahmedmarei991/status/1181335764539453440","1181335764539453440")</f>
        <v>1181335764539453440</v>
      </c>
      <c r="F2056" s="8"/>
      <c r="G2056" s="14" t="s">
        <v>12563</v>
      </c>
      <c r="H2056" s="8"/>
      <c r="I2056" s="15">
        <v>0</v>
      </c>
      <c r="J2056" s="15">
        <v>0</v>
      </c>
      <c r="K2056" s="12" t="str">
        <f>HYPERLINK("http://twitter.com","Twitter Web Client")</f>
        <v>Twitter Web Client</v>
      </c>
      <c r="L2056" s="16">
        <v>6</v>
      </c>
      <c r="M2056" s="16">
        <v>44</v>
      </c>
      <c r="N2056" s="16">
        <v>0</v>
      </c>
      <c r="O2056" s="17"/>
      <c r="P2056" s="18">
        <v>42268.758912037039</v>
      </c>
      <c r="Q2056" s="8"/>
      <c r="R2056" s="8"/>
      <c r="S2056" s="8"/>
      <c r="T2056" s="8"/>
      <c r="U2056" s="19" t="str">
        <f>HYPERLINK("https://pbs.twimg.com/profile_images/646338890622636032/AygzuA0J.jpg","View")</f>
        <v>View</v>
      </c>
      <c r="V2056" s="8"/>
      <c r="W2056" s="8"/>
      <c r="X2056" s="8"/>
      <c r="Y2056" s="8"/>
      <c r="Z2056" s="8"/>
    </row>
    <row r="2057" spans="1:26" ht="12.75">
      <c r="A2057" s="11">
        <v>43745.645254629635</v>
      </c>
      <c r="B2057" s="12" t="str">
        <f>HYPERLINK("https://twitter.com/mubaraksamail1","@mubaraksamail1")</f>
        <v>@mubaraksamail1</v>
      </c>
      <c r="C2057" s="7" t="s">
        <v>323</v>
      </c>
      <c r="D2057" s="7" t="s">
        <v>12566</v>
      </c>
      <c r="E2057" s="12" t="str">
        <f>HYPERLINK("https://twitter.com/mubaraksamail1/status/1181335685707522050","1181335685707522050")</f>
        <v>1181335685707522050</v>
      </c>
      <c r="F2057" s="15"/>
      <c r="G2057" s="14" t="s">
        <v>12567</v>
      </c>
      <c r="H2057" s="8"/>
      <c r="I2057" s="15">
        <v>0</v>
      </c>
      <c r="J2057" s="15">
        <v>0</v>
      </c>
      <c r="K2057" s="12" t="str">
        <f>HYPERLINK("http://twitter.com","Twitter Web Client")</f>
        <v>Twitter Web Client</v>
      </c>
      <c r="L2057" s="16">
        <v>0</v>
      </c>
      <c r="M2057" s="16">
        <v>41</v>
      </c>
      <c r="N2057" s="16">
        <v>0</v>
      </c>
      <c r="O2057" s="17"/>
      <c r="P2057" s="18">
        <v>42074.727824074071</v>
      </c>
      <c r="Q2057" s="8"/>
      <c r="R2057" s="7"/>
      <c r="S2057" s="8"/>
      <c r="T2057" s="8"/>
      <c r="U2057" s="19" t="str">
        <f>HYPERLINK("https://pbs.twimg.com/profile_images/575817870359187456/PfGytgZ5.jpg","View")</f>
        <v>View</v>
      </c>
      <c r="V2057" s="8"/>
      <c r="W2057" s="8"/>
      <c r="X2057" s="8"/>
      <c r="Y2057" s="8"/>
      <c r="Z2057" s="8"/>
    </row>
    <row r="2058" spans="1:26" ht="12.75">
      <c r="A2058" s="11">
        <v>43745.643842592588</v>
      </c>
      <c r="B2058" s="12" t="str">
        <f>HYPERLINK("https://twitter.com/mahbobimalki342","@mahbobimalki342")</f>
        <v>@mahbobimalki342</v>
      </c>
      <c r="C2058" s="13" t="s">
        <v>12592</v>
      </c>
      <c r="D2058" s="13" t="s">
        <v>12593</v>
      </c>
      <c r="E2058" s="12" t="str">
        <f>HYPERLINK("https://twitter.com/mahbobimalki342/status/1181335174073786369","1181335174073786369")</f>
        <v>1181335174073786369</v>
      </c>
      <c r="F2058" s="8"/>
      <c r="G2058" s="14" t="s">
        <v>12594</v>
      </c>
      <c r="H2058" s="8"/>
      <c r="I2058" s="15">
        <v>0</v>
      </c>
      <c r="J2058" s="15">
        <v>0</v>
      </c>
      <c r="K2058" s="12" t="str">
        <f>HYPERLINK("http://twitter.com","Twitter Web Client")</f>
        <v>Twitter Web Client</v>
      </c>
      <c r="L2058" s="16">
        <v>12</v>
      </c>
      <c r="M2058" s="16">
        <v>106</v>
      </c>
      <c r="N2058" s="16">
        <v>0</v>
      </c>
      <c r="O2058" s="17"/>
      <c r="P2058" s="18">
        <v>41483.56108796296</v>
      </c>
      <c r="Q2058" s="8"/>
      <c r="R2058" s="8" t="s">
        <v>12598</v>
      </c>
      <c r="S2058" s="8"/>
      <c r="T2058" s="8"/>
      <c r="U2058" s="19" t="str">
        <f>HYPERLINK("https://pbs.twimg.com/profile_images/824986794919878657/rcvZpw3i.jpg","View")</f>
        <v>View</v>
      </c>
      <c r="V2058" s="8"/>
      <c r="W2058" s="8"/>
      <c r="X2058" s="8"/>
      <c r="Y2058" s="8"/>
      <c r="Z2058" s="8"/>
    </row>
    <row r="2059" spans="1:26" ht="12.75">
      <c r="A2059" s="11">
        <v>43745.64362268518</v>
      </c>
      <c r="B2059" s="12" t="str">
        <f>HYPERLINK("https://twitter.com/asam33a55","@asam33a55")</f>
        <v>@asam33a55</v>
      </c>
      <c r="C2059" s="7" t="s">
        <v>12599</v>
      </c>
      <c r="D2059" s="13" t="s">
        <v>2210</v>
      </c>
      <c r="E2059" s="12" t="str">
        <f>HYPERLINK("https://twitter.com/asam33a55/status/1181335095824846849","1181335095824846849")</f>
        <v>1181335095824846849</v>
      </c>
      <c r="F2059" s="15"/>
      <c r="G2059" s="14" t="s">
        <v>12600</v>
      </c>
      <c r="H2059" s="8"/>
      <c r="I2059" s="15">
        <v>0</v>
      </c>
      <c r="J2059" s="15">
        <v>0</v>
      </c>
      <c r="K2059" s="12" t="str">
        <f>HYPERLINK("http://twitter.com","Twitter Web Client")</f>
        <v>Twitter Web Client</v>
      </c>
      <c r="L2059" s="16">
        <v>5</v>
      </c>
      <c r="M2059" s="16">
        <v>38</v>
      </c>
      <c r="N2059" s="16">
        <v>0</v>
      </c>
      <c r="O2059" s="17"/>
      <c r="P2059" s="18">
        <v>42065.629166666666</v>
      </c>
      <c r="Q2059" s="8"/>
      <c r="R2059" s="7"/>
      <c r="S2059" s="8"/>
      <c r="T2059" s="8"/>
      <c r="U2059" s="19" t="str">
        <f>HYPERLINK("https://pbs.twimg.com/profile_images/572533657961652224/m2NU41Ta.jpeg","View")</f>
        <v>View</v>
      </c>
      <c r="V2059" s="8"/>
      <c r="W2059" s="8"/>
      <c r="X2059" s="8"/>
      <c r="Y2059" s="8"/>
      <c r="Z2059" s="8"/>
    </row>
    <row r="2060" spans="1:26" ht="12.75">
      <c r="A2060" s="11">
        <v>43745.643252314811</v>
      </c>
      <c r="B2060" s="12" t="str">
        <f>HYPERLINK("https://twitter.com/alhalale1044","@alhalale1044")</f>
        <v>@alhalale1044</v>
      </c>
      <c r="C2060" s="7" t="s">
        <v>12603</v>
      </c>
      <c r="D2060" s="13" t="s">
        <v>12605</v>
      </c>
      <c r="E2060" s="12" t="str">
        <f>HYPERLINK("https://twitter.com/alhalale1044/status/1181334959732269056","1181334959732269056")</f>
        <v>1181334959732269056</v>
      </c>
      <c r="F2060" s="15"/>
      <c r="G2060" s="14" t="s">
        <v>12606</v>
      </c>
      <c r="H2060" s="8"/>
      <c r="I2060" s="15">
        <v>0</v>
      </c>
      <c r="J2060" s="15">
        <v>0</v>
      </c>
      <c r="K2060" s="12" t="str">
        <f>HYPERLINK("http://twitter.com","Twitter Web Client")</f>
        <v>Twitter Web Client</v>
      </c>
      <c r="L2060" s="16">
        <v>2</v>
      </c>
      <c r="M2060" s="16">
        <v>32</v>
      </c>
      <c r="N2060" s="16">
        <v>0</v>
      </c>
      <c r="O2060" s="17"/>
      <c r="P2060" s="18">
        <v>42074.27412037037</v>
      </c>
      <c r="Q2060" s="8"/>
      <c r="R2060" s="7"/>
      <c r="S2060" s="8"/>
      <c r="T2060" s="8"/>
      <c r="U2060" s="19" t="str">
        <f>HYPERLINK("https://pbs.twimg.com/profile_images/575651267843751936/br1_XIMJ.jpeg","View")</f>
        <v>View</v>
      </c>
      <c r="V2060" s="8"/>
      <c r="W2060" s="8"/>
      <c r="X2060" s="8"/>
      <c r="Y2060" s="8"/>
      <c r="Z2060" s="8"/>
    </row>
    <row r="2061" spans="1:26" ht="12.75">
      <c r="A2061" s="11">
        <v>43745.643032407403</v>
      </c>
      <c r="B2061" s="12" t="str">
        <f>HYPERLINK("https://twitter.com/hassanamoudi1","@hassanamoudi1")</f>
        <v>@hassanamoudi1</v>
      </c>
      <c r="C2061" s="7" t="s">
        <v>2552</v>
      </c>
      <c r="D2061" s="13" t="s">
        <v>12609</v>
      </c>
      <c r="E2061" s="12" t="str">
        <f>HYPERLINK("https://twitter.com/hassanamoudi1/status/1181334881156108304","1181334881156108304")</f>
        <v>1181334881156108304</v>
      </c>
      <c r="F2061" s="15"/>
      <c r="G2061" s="14" t="s">
        <v>12610</v>
      </c>
      <c r="H2061" s="8"/>
      <c r="I2061" s="15">
        <v>0</v>
      </c>
      <c r="J2061" s="15">
        <v>0</v>
      </c>
      <c r="K2061" s="12" t="str">
        <f>HYPERLINK("http://twitter.com","Twitter Web Client")</f>
        <v>Twitter Web Client</v>
      </c>
      <c r="L2061" s="16">
        <v>0</v>
      </c>
      <c r="M2061" s="16">
        <v>37</v>
      </c>
      <c r="N2061" s="16">
        <v>0</v>
      </c>
      <c r="O2061" s="17"/>
      <c r="P2061" s="18">
        <v>42078.448506944449</v>
      </c>
      <c r="Q2061" s="8"/>
      <c r="R2061" s="7"/>
      <c r="S2061" s="8"/>
      <c r="T2061" s="8"/>
      <c r="U2061" s="19" t="str">
        <f>HYPERLINK("https://pbs.twimg.com/profile_images/577165061950590976/cECAClU7.jpeg","View")</f>
        <v>View</v>
      </c>
      <c r="V2061" s="8"/>
      <c r="W2061" s="8"/>
      <c r="X2061" s="8"/>
      <c r="Y2061" s="8"/>
      <c r="Z2061" s="8"/>
    </row>
    <row r="2062" spans="1:26" ht="12.75">
      <c r="A2062" s="11">
        <v>43745.642430555556</v>
      </c>
      <c r="B2062" s="12" t="str">
        <f>HYPERLINK("https://twitter.com/hanydawhan","@hanydawhan")</f>
        <v>@hanydawhan</v>
      </c>
      <c r="C2062" s="13" t="s">
        <v>12618</v>
      </c>
      <c r="D2062" s="13" t="s">
        <v>835</v>
      </c>
      <c r="E2062" s="12" t="str">
        <f>HYPERLINK("https://twitter.com/hanydawhan/status/1181334663857655817","1181334663857655817")</f>
        <v>1181334663857655817</v>
      </c>
      <c r="F2062" s="8"/>
      <c r="G2062" s="14" t="s">
        <v>12619</v>
      </c>
      <c r="H2062" s="8"/>
      <c r="I2062" s="15">
        <v>0</v>
      </c>
      <c r="J2062" s="15">
        <v>0</v>
      </c>
      <c r="K2062" s="12" t="str">
        <f>HYPERLINK("http://twitter.com","Twitter Web Client")</f>
        <v>Twitter Web Client</v>
      </c>
      <c r="L2062" s="16">
        <v>0</v>
      </c>
      <c r="M2062" s="16">
        <v>28</v>
      </c>
      <c r="N2062" s="16">
        <v>0</v>
      </c>
      <c r="O2062" s="17"/>
      <c r="P2062" s="18">
        <v>41823.338043981479</v>
      </c>
      <c r="Q2062" s="8"/>
      <c r="R2062" s="8"/>
      <c r="S2062" s="8"/>
      <c r="T2062" s="8"/>
      <c r="U2062" s="19" t="str">
        <f>HYPERLINK("https://pbs.twimg.com/profile_images/484715078290112513/zIxDtwQ0.jpeg","View")</f>
        <v>View</v>
      </c>
      <c r="V2062" s="8"/>
      <c r="W2062" s="8"/>
      <c r="X2062" s="8"/>
      <c r="Y2062" s="8"/>
      <c r="Z2062" s="8"/>
    </row>
    <row r="2063" spans="1:26" ht="12.75">
      <c r="A2063" s="11">
        <v>43745.641840277778</v>
      </c>
      <c r="B2063" s="12" t="str">
        <f>HYPERLINK("https://twitter.com/AldelaagRazk","@AldelaagRazk")</f>
        <v>@AldelaagRazk</v>
      </c>
      <c r="C2063" s="7" t="s">
        <v>12623</v>
      </c>
      <c r="D2063" s="13" t="s">
        <v>4434</v>
      </c>
      <c r="E2063" s="12" t="str">
        <f>HYPERLINK("https://twitter.com/AldelaagRazk/status/1181334447662272515","1181334447662272515")</f>
        <v>1181334447662272515</v>
      </c>
      <c r="F2063" s="15"/>
      <c r="G2063" s="14" t="s">
        <v>12624</v>
      </c>
      <c r="H2063" s="8"/>
      <c r="I2063" s="15">
        <v>0</v>
      </c>
      <c r="J2063" s="15">
        <v>0</v>
      </c>
      <c r="K2063" s="12" t="str">
        <f>HYPERLINK("http://twitter.com","Twitter Web Client")</f>
        <v>Twitter Web Client</v>
      </c>
      <c r="L2063" s="16">
        <v>5</v>
      </c>
      <c r="M2063" s="16">
        <v>38</v>
      </c>
      <c r="N2063" s="16">
        <v>0</v>
      </c>
      <c r="O2063" s="17"/>
      <c r="P2063" s="18">
        <v>42077.167314814811</v>
      </c>
      <c r="Q2063" s="8"/>
      <c r="R2063" s="7"/>
      <c r="S2063" s="8"/>
      <c r="T2063" s="8"/>
      <c r="U2063" s="19" t="str">
        <f>HYPERLINK("https://pbs.twimg.com/profile_images/577266823751585793/rz8Llmkn.jpg","View")</f>
        <v>View</v>
      </c>
      <c r="V2063" s="8"/>
      <c r="W2063" s="8"/>
      <c r="X2063" s="8"/>
      <c r="Y2063" s="8"/>
      <c r="Z2063" s="8"/>
    </row>
    <row r="2064" spans="1:26" ht="12.75">
      <c r="A2064" s="11">
        <v>43745.64162037037</v>
      </c>
      <c r="B2064" s="12" t="str">
        <f>HYPERLINK("https://twitter.com/FaisaVlhan","@FaisaVlhan")</f>
        <v>@FaisaVlhan</v>
      </c>
      <c r="C2064" s="13" t="s">
        <v>12627</v>
      </c>
      <c r="D2064" s="7" t="s">
        <v>12628</v>
      </c>
      <c r="E2064" s="12" t="str">
        <f>HYPERLINK("https://twitter.com/FaisaVlhan/status/1181334368725458951","1181334368725458951")</f>
        <v>1181334368725458951</v>
      </c>
      <c r="F2064" s="8"/>
      <c r="G2064" s="14" t="s">
        <v>12629</v>
      </c>
      <c r="H2064" s="8"/>
      <c r="I2064" s="15">
        <v>0</v>
      </c>
      <c r="J2064" s="15">
        <v>0</v>
      </c>
      <c r="K2064" s="12" t="str">
        <f>HYPERLINK("http://twitter.com","Twitter Web Client")</f>
        <v>Twitter Web Client</v>
      </c>
      <c r="L2064" s="16">
        <v>2</v>
      </c>
      <c r="M2064" s="16">
        <v>31</v>
      </c>
      <c r="N2064" s="16">
        <v>0</v>
      </c>
      <c r="O2064" s="17"/>
      <c r="P2064" s="18">
        <v>42069.7190625</v>
      </c>
      <c r="Q2064" s="7"/>
      <c r="R2064" s="13"/>
      <c r="S2064" s="8"/>
      <c r="T2064" s="8"/>
      <c r="U2064" s="19" t="str">
        <f>HYPERLINK("https://pbs.twimg.com/profile_images/574016141615456257/_LtoIUb2.jpeg","View")</f>
        <v>View</v>
      </c>
      <c r="V2064" s="8"/>
      <c r="W2064" s="8"/>
      <c r="X2064" s="8"/>
      <c r="Y2064" s="8"/>
      <c r="Z2064" s="8"/>
    </row>
    <row r="2065" spans="1:26" ht="12.75">
      <c r="A2065" s="11">
        <v>43745.641180555554</v>
      </c>
      <c r="B2065" s="12" t="str">
        <f>HYPERLINK("https://twitter.com/kamees7454","@kamees7454")</f>
        <v>@kamees7454</v>
      </c>
      <c r="C2065" s="13" t="s">
        <v>12636</v>
      </c>
      <c r="D2065" s="13" t="s">
        <v>12637</v>
      </c>
      <c r="E2065" s="12" t="str">
        <f>HYPERLINK("https://twitter.com/kamees7454/status/1181334210990215168","1181334210990215168")</f>
        <v>1181334210990215168</v>
      </c>
      <c r="F2065" s="8"/>
      <c r="G2065" s="14" t="s">
        <v>12638</v>
      </c>
      <c r="H2065" s="8"/>
      <c r="I2065" s="15">
        <v>0</v>
      </c>
      <c r="J2065" s="15">
        <v>0</v>
      </c>
      <c r="K2065" s="12" t="str">
        <f>HYPERLINK("http://twitter.com","Twitter Web Client")</f>
        <v>Twitter Web Client</v>
      </c>
      <c r="L2065" s="16">
        <v>7</v>
      </c>
      <c r="M2065" s="16">
        <v>33</v>
      </c>
      <c r="N2065" s="16">
        <v>0</v>
      </c>
      <c r="O2065" s="17"/>
      <c r="P2065" s="18">
        <v>42074.50163194444</v>
      </c>
      <c r="Q2065" s="8"/>
      <c r="R2065" s="8"/>
      <c r="S2065" s="8"/>
      <c r="T2065" s="8"/>
      <c r="U2065" s="19" t="str">
        <f>HYPERLINK("https://pbs.twimg.com/profile_images/575733665080041472/lRu9d-2s.jpeg","View")</f>
        <v>View</v>
      </c>
      <c r="V2065" s="8"/>
      <c r="W2065" s="8"/>
      <c r="X2065" s="8"/>
      <c r="Y2065" s="8"/>
      <c r="Z2065" s="8"/>
    </row>
    <row r="2066" spans="1:26" ht="12.75">
      <c r="A2066" s="11">
        <v>43745.640752314815</v>
      </c>
      <c r="B2066" s="12" t="str">
        <f>HYPERLINK("https://twitter.com/alnagar_433","@alnagar_433")</f>
        <v>@alnagar_433</v>
      </c>
      <c r="C2066" s="7" t="s">
        <v>12642</v>
      </c>
      <c r="D2066" s="13" t="s">
        <v>7277</v>
      </c>
      <c r="E2066" s="12" t="str">
        <f>HYPERLINK("https://twitter.com/alnagar_433/status/1181334053053698054","1181334053053698054")</f>
        <v>1181334053053698054</v>
      </c>
      <c r="F2066" s="15"/>
      <c r="G2066" s="14" t="s">
        <v>12643</v>
      </c>
      <c r="H2066" s="8"/>
      <c r="I2066" s="15">
        <v>0</v>
      </c>
      <c r="J2066" s="15">
        <v>0</v>
      </c>
      <c r="K2066" s="12" t="str">
        <f>HYPERLINK("http://twitter.com","Twitter Web Client")</f>
        <v>Twitter Web Client</v>
      </c>
      <c r="L2066" s="16">
        <v>5</v>
      </c>
      <c r="M2066" s="16">
        <v>37</v>
      </c>
      <c r="N2066" s="16">
        <v>0</v>
      </c>
      <c r="O2066" s="17"/>
      <c r="P2066" s="18">
        <v>42083.647835648153</v>
      </c>
      <c r="Q2066" s="8"/>
      <c r="R2066" s="7"/>
      <c r="S2066" s="8"/>
      <c r="T2066" s="8"/>
      <c r="U2066" s="19" t="str">
        <f>HYPERLINK("https://pbs.twimg.com/profile_images/579048147843969024/JXg_fr8S.jpeg","View")</f>
        <v>View</v>
      </c>
      <c r="V2066" s="8"/>
      <c r="W2066" s="8"/>
      <c r="X2066" s="8"/>
      <c r="Y2066" s="8"/>
      <c r="Z2066" s="8"/>
    </row>
    <row r="2067" spans="1:26" ht="12.75">
      <c r="A2067" s="11">
        <v>43745.640138888892</v>
      </c>
      <c r="B2067" s="12" t="str">
        <f>HYPERLINK("https://twitter.com/fawazan44","@fawazan44")</f>
        <v>@fawazan44</v>
      </c>
      <c r="C2067" s="7" t="s">
        <v>12644</v>
      </c>
      <c r="D2067" s="13" t="s">
        <v>12645</v>
      </c>
      <c r="E2067" s="12" t="str">
        <f>HYPERLINK("https://twitter.com/fawazan44/status/1181333833003741186","1181333833003741186")</f>
        <v>1181333833003741186</v>
      </c>
      <c r="F2067" s="8"/>
      <c r="G2067" s="14" t="s">
        <v>12646</v>
      </c>
      <c r="H2067" s="8"/>
      <c r="I2067" s="15">
        <v>0</v>
      </c>
      <c r="J2067" s="15">
        <v>0</v>
      </c>
      <c r="K2067" s="12" t="str">
        <f>HYPERLINK("http://twitter.com","Twitter Web Client")</f>
        <v>Twitter Web Client</v>
      </c>
      <c r="L2067" s="16">
        <v>8</v>
      </c>
      <c r="M2067" s="16">
        <v>35</v>
      </c>
      <c r="N2067" s="16">
        <v>0</v>
      </c>
      <c r="O2067" s="17"/>
      <c r="P2067" s="18">
        <v>42079.716203703705</v>
      </c>
      <c r="Q2067" s="8"/>
      <c r="R2067" s="7"/>
      <c r="S2067" s="8"/>
      <c r="T2067" s="8"/>
      <c r="U2067" s="19" t="str">
        <f>HYPERLINK("https://pbs.twimg.com/profile_images/577623358017179648/mQ3G3in2.jpeg","View")</f>
        <v>View</v>
      </c>
      <c r="V2067" s="8"/>
      <c r="W2067" s="8"/>
      <c r="X2067" s="8"/>
      <c r="Y2067" s="8"/>
      <c r="Z2067" s="8"/>
    </row>
    <row r="2068" spans="1:26" ht="12.75">
      <c r="A2068" s="11">
        <v>43745.63927083333</v>
      </c>
      <c r="B2068" s="12" t="str">
        <f>HYPERLINK("https://twitter.com/AlyaaAbdallah20","@AlyaaAbdallah20")</f>
        <v>@AlyaaAbdallah20</v>
      </c>
      <c r="C2068" s="7" t="s">
        <v>12651</v>
      </c>
      <c r="D2068" s="13" t="s">
        <v>12652</v>
      </c>
      <c r="E2068" s="12" t="str">
        <f>HYPERLINK("https://twitter.com/AlyaaAbdallah20/status/1181333518623875072","1181333518623875072")</f>
        <v>1181333518623875072</v>
      </c>
      <c r="F2068" s="8"/>
      <c r="G2068" s="14" t="s">
        <v>12655</v>
      </c>
      <c r="H2068" s="8"/>
      <c r="I2068" s="15">
        <v>0</v>
      </c>
      <c r="J2068" s="15">
        <v>0</v>
      </c>
      <c r="K2068" s="12" t="str">
        <f>HYPERLINK("http://twitter.com","Twitter Web Client")</f>
        <v>Twitter Web Client</v>
      </c>
      <c r="L2068" s="16">
        <v>0</v>
      </c>
      <c r="M2068" s="16">
        <v>43</v>
      </c>
      <c r="N2068" s="16">
        <v>0</v>
      </c>
      <c r="O2068" s="17"/>
      <c r="P2068" s="18">
        <v>42529.171122685184</v>
      </c>
      <c r="Q2068" s="8"/>
      <c r="R2068" s="7" t="s">
        <v>12658</v>
      </c>
      <c r="S2068" s="8"/>
      <c r="T2068" s="8"/>
      <c r="U2068" s="19" t="str">
        <f>HYPERLINK("https://pbs.twimg.com/profile_images/740500439809073152/V2pE1BmR.jpg","View")</f>
        <v>View</v>
      </c>
      <c r="V2068" s="8"/>
      <c r="W2068" s="8"/>
      <c r="X2068" s="8"/>
      <c r="Y2068" s="8"/>
      <c r="Z2068" s="8"/>
    </row>
    <row r="2069" spans="1:26" ht="12.75">
      <c r="A2069" s="11">
        <v>43745.638680555552</v>
      </c>
      <c r="B2069" s="12" t="str">
        <f>HYPERLINK("https://twitter.com/AllosmySaad","@AllosmySaad")</f>
        <v>@AllosmySaad</v>
      </c>
      <c r="C2069" s="13" t="s">
        <v>12664</v>
      </c>
      <c r="D2069" s="13" t="s">
        <v>12665</v>
      </c>
      <c r="E2069" s="12" t="str">
        <f>HYPERLINK("https://twitter.com/AllosmySaad/status/1181333302462033920","1181333302462033920")</f>
        <v>1181333302462033920</v>
      </c>
      <c r="F2069" s="8"/>
      <c r="G2069" s="14" t="s">
        <v>12666</v>
      </c>
      <c r="H2069" s="8"/>
      <c r="I2069" s="15">
        <v>0</v>
      </c>
      <c r="J2069" s="15">
        <v>0</v>
      </c>
      <c r="K2069" s="12" t="str">
        <f>HYPERLINK("http://twitter.com","Twitter Web Client")</f>
        <v>Twitter Web Client</v>
      </c>
      <c r="L2069" s="16">
        <v>15</v>
      </c>
      <c r="M2069" s="16">
        <v>45</v>
      </c>
      <c r="N2069" s="16">
        <v>0</v>
      </c>
      <c r="O2069" s="17"/>
      <c r="P2069" s="18">
        <v>42071.599872685183</v>
      </c>
      <c r="Q2069" s="8"/>
      <c r="R2069" s="8"/>
      <c r="S2069" s="8"/>
      <c r="T2069" s="8"/>
      <c r="U2069" s="19" t="str">
        <f>HYPERLINK("https://pbs.twimg.com/profile_images/574714513422876672/7CWhunZj.jpeg","View")</f>
        <v>View</v>
      </c>
      <c r="V2069" s="8"/>
      <c r="W2069" s="8"/>
      <c r="X2069" s="8"/>
      <c r="Y2069" s="8"/>
      <c r="Z2069" s="8"/>
    </row>
    <row r="2070" spans="1:26" ht="12.75">
      <c r="A2070" s="11">
        <v>43745.638240740736</v>
      </c>
      <c r="B2070" s="12" t="str">
        <f>HYPERLINK("https://twitter.com/alma7ara33","@alma7ara33")</f>
        <v>@alma7ara33</v>
      </c>
      <c r="C2070" s="7" t="s">
        <v>12667</v>
      </c>
      <c r="D2070" s="13" t="s">
        <v>12668</v>
      </c>
      <c r="E2070" s="12" t="str">
        <f>HYPERLINK("https://twitter.com/alma7ara33/status/1181333144273920001","1181333144273920001")</f>
        <v>1181333144273920001</v>
      </c>
      <c r="F2070" s="8"/>
      <c r="G2070" s="14" t="s">
        <v>12669</v>
      </c>
      <c r="H2070" s="8"/>
      <c r="I2070" s="15">
        <v>0</v>
      </c>
      <c r="J2070" s="15">
        <v>0</v>
      </c>
      <c r="K2070" s="12" t="str">
        <f>HYPERLINK("http://twitter.com","Twitter Web Client")</f>
        <v>Twitter Web Client</v>
      </c>
      <c r="L2070" s="16">
        <v>4</v>
      </c>
      <c r="M2070" s="16">
        <v>38</v>
      </c>
      <c r="N2070" s="16">
        <v>0</v>
      </c>
      <c r="O2070" s="17"/>
      <c r="P2070" s="18">
        <v>42083.258877314816</v>
      </c>
      <c r="Q2070" s="8"/>
      <c r="R2070" s="7"/>
      <c r="S2070" s="8"/>
      <c r="T2070" s="8"/>
      <c r="U2070" s="19" t="str">
        <f>HYPERLINK("https://pbs.twimg.com/profile_images/578907239584395264/t_ySBVeY.jpeg","View")</f>
        <v>View</v>
      </c>
      <c r="V2070" s="8"/>
      <c r="W2070" s="8"/>
      <c r="X2070" s="8"/>
      <c r="Y2070" s="8"/>
      <c r="Z2070" s="8"/>
    </row>
    <row r="2071" spans="1:26" ht="12.75">
      <c r="A2071" s="11">
        <v>43745.637754629628</v>
      </c>
      <c r="B2071" s="12" t="str">
        <f>HYPERLINK("https://twitter.com/AjmiuHussein","@AjmiuHussein")</f>
        <v>@AjmiuHussein</v>
      </c>
      <c r="C2071" s="7" t="s">
        <v>12674</v>
      </c>
      <c r="D2071" s="13" t="s">
        <v>12675</v>
      </c>
      <c r="E2071" s="12" t="str">
        <f>HYPERLINK("https://twitter.com/AjmiuHussein/status/1181332968645828608","1181332968645828608")</f>
        <v>1181332968645828608</v>
      </c>
      <c r="F2071" s="8"/>
      <c r="G2071" s="14" t="s">
        <v>12676</v>
      </c>
      <c r="H2071" s="8"/>
      <c r="I2071" s="15">
        <v>0</v>
      </c>
      <c r="J2071" s="15">
        <v>0</v>
      </c>
      <c r="K2071" s="12" t="str">
        <f>HYPERLINK("http://twitter.com","Twitter Web Client")</f>
        <v>Twitter Web Client</v>
      </c>
      <c r="L2071" s="16">
        <v>1</v>
      </c>
      <c r="M2071" s="16">
        <v>17</v>
      </c>
      <c r="N2071" s="16">
        <v>0</v>
      </c>
      <c r="O2071" s="17"/>
      <c r="P2071" s="18">
        <v>42072.832812499997</v>
      </c>
      <c r="Q2071" s="8"/>
      <c r="R2071" s="7"/>
      <c r="S2071" s="8"/>
      <c r="T2071" s="8"/>
      <c r="U2071" s="19" t="str">
        <f>HYPERLINK("https://pbs.twimg.com/profile_images/575129389064548352/AGlW6Xpg.jpeg","View")</f>
        <v>View</v>
      </c>
      <c r="V2071" s="8"/>
      <c r="W2071" s="8"/>
      <c r="X2071" s="8"/>
      <c r="Y2071" s="8"/>
      <c r="Z2071" s="8"/>
    </row>
    <row r="2072" spans="1:26" ht="12.75">
      <c r="A2072" s="11">
        <v>43745.635706018518</v>
      </c>
      <c r="B2072" s="12" t="str">
        <f>HYPERLINK("https://twitter.com/sultansaeedan2","@sultansaeedan2")</f>
        <v>@sultansaeedan2</v>
      </c>
      <c r="C2072" s="13" t="s">
        <v>12679</v>
      </c>
      <c r="D2072" s="13" t="s">
        <v>38</v>
      </c>
      <c r="E2072" s="12" t="str">
        <f>HYPERLINK("https://twitter.com/sultansaeedan2/status/1181332225163501568","1181332225163501568")</f>
        <v>1181332225163501568</v>
      </c>
      <c r="F2072" s="8"/>
      <c r="G2072" s="14" t="s">
        <v>12680</v>
      </c>
      <c r="H2072" s="8"/>
      <c r="I2072" s="15">
        <v>0</v>
      </c>
      <c r="J2072" s="15">
        <v>0</v>
      </c>
      <c r="K2072" s="12" t="str">
        <f>HYPERLINK("http://twitter.com","Twitter Web Client")</f>
        <v>Twitter Web Client</v>
      </c>
      <c r="L2072" s="16">
        <v>1</v>
      </c>
      <c r="M2072" s="16">
        <v>42</v>
      </c>
      <c r="N2072" s="16">
        <v>0</v>
      </c>
      <c r="O2072" s="17"/>
      <c r="P2072" s="18">
        <v>42076.727222222224</v>
      </c>
      <c r="Q2072" s="7"/>
      <c r="R2072" s="13"/>
      <c r="S2072" s="8"/>
      <c r="T2072" s="8"/>
      <c r="U2072" s="19" t="str">
        <f>HYPERLINK("https://pbs.twimg.com/profile_images/957840141183324160/8os28h6d.jpg","View")</f>
        <v>View</v>
      </c>
      <c r="V2072" s="8"/>
      <c r="W2072" s="8"/>
      <c r="X2072" s="8"/>
      <c r="Y2072" s="8"/>
      <c r="Z2072" s="8"/>
    </row>
    <row r="2073" spans="1:26" ht="12.75">
      <c r="A2073" s="11">
        <v>43745.63548611111</v>
      </c>
      <c r="B2073" s="12" t="str">
        <f>HYPERLINK("https://twitter.com/coolsaasediy","@coolsaasediy")</f>
        <v>@coolsaasediy</v>
      </c>
      <c r="C2073" s="7" t="s">
        <v>12684</v>
      </c>
      <c r="D2073" s="13" t="s">
        <v>12685</v>
      </c>
      <c r="E2073" s="12" t="str">
        <f>HYPERLINK("https://twitter.com/coolsaasediy/status/1181332146633527296","1181332146633527296")</f>
        <v>1181332146633527296</v>
      </c>
      <c r="F2073" s="8"/>
      <c r="G2073" s="14" t="s">
        <v>12686</v>
      </c>
      <c r="H2073" s="8"/>
      <c r="I2073" s="15">
        <v>0</v>
      </c>
      <c r="J2073" s="15">
        <v>0</v>
      </c>
      <c r="K2073" s="12" t="str">
        <f>HYPERLINK("http://twitter.com","Twitter Web Client")</f>
        <v>Twitter Web Client</v>
      </c>
      <c r="L2073" s="16">
        <v>1</v>
      </c>
      <c r="M2073" s="16">
        <v>27</v>
      </c>
      <c r="N2073" s="16">
        <v>0</v>
      </c>
      <c r="O2073" s="17"/>
      <c r="P2073" s="18">
        <v>41828.513391203705</v>
      </c>
      <c r="Q2073" s="8"/>
      <c r="R2073" s="7"/>
      <c r="S2073" s="8"/>
      <c r="T2073" s="8"/>
      <c r="U2073" s="19" t="str">
        <f>HYPERLINK("https://pbs.twimg.com/profile_images/486591351933251584/6J5dtnAE.jpeg","View")</f>
        <v>View</v>
      </c>
      <c r="V2073" s="8"/>
      <c r="W2073" s="8"/>
      <c r="X2073" s="8"/>
      <c r="Y2073" s="8"/>
      <c r="Z2073" s="8"/>
    </row>
    <row r="2074" spans="1:26" ht="12.75">
      <c r="A2074" s="11">
        <v>43745.635324074072</v>
      </c>
      <c r="B2074" s="12" t="str">
        <f>HYPERLINK("https://twitter.com/ssolomo31919655","@ssolomo31919655")</f>
        <v>@ssolomo31919655</v>
      </c>
      <c r="C2074" s="13" t="s">
        <v>12690</v>
      </c>
      <c r="D2074" s="13" t="s">
        <v>12691</v>
      </c>
      <c r="E2074" s="12" t="str">
        <f>HYPERLINK("https://twitter.com/ssolomo31919655/status/1181332088005578755","1181332088005578755")</f>
        <v>1181332088005578755</v>
      </c>
      <c r="F2074" s="8"/>
      <c r="G2074" s="14" t="s">
        <v>12692</v>
      </c>
      <c r="H2074" s="8"/>
      <c r="I2074" s="15">
        <v>0</v>
      </c>
      <c r="J2074" s="15">
        <v>0</v>
      </c>
      <c r="K2074" s="12" t="str">
        <f>HYPERLINK("http://twitter.com","Twitter Web Client")</f>
        <v>Twitter Web Client</v>
      </c>
      <c r="L2074" s="16">
        <v>1</v>
      </c>
      <c r="M2074" s="16">
        <v>27</v>
      </c>
      <c r="N2074" s="16">
        <v>0</v>
      </c>
      <c r="O2074" s="17"/>
      <c r="P2074" s="18">
        <v>41825.171759259261</v>
      </c>
      <c r="Q2074" s="8"/>
      <c r="R2074" s="8"/>
      <c r="S2074" s="8"/>
      <c r="T2074" s="8"/>
      <c r="U2074" s="19" t="str">
        <f>HYPERLINK("https://pbs.twimg.com/profile_images/485379805487976449/2IZwXJ8I.jpeg","View")</f>
        <v>View</v>
      </c>
      <c r="V2074" s="8"/>
      <c r="W2074" s="8"/>
      <c r="X2074" s="8"/>
      <c r="Y2074" s="8"/>
      <c r="Z2074" s="8"/>
    </row>
    <row r="2075" spans="1:26" ht="12.75">
      <c r="A2075" s="11">
        <v>43745.635162037041</v>
      </c>
      <c r="B2075" s="12" t="str">
        <f>HYPERLINK("https://twitter.com/almawsawee5","@almawsawee5")</f>
        <v>@almawsawee5</v>
      </c>
      <c r="C2075" s="7" t="s">
        <v>12696</v>
      </c>
      <c r="D2075" s="13" t="s">
        <v>11634</v>
      </c>
      <c r="E2075" s="12" t="str">
        <f>HYPERLINK("https://twitter.com/almawsawee5/status/1181332028924530690","1181332028924530690")</f>
        <v>1181332028924530690</v>
      </c>
      <c r="F2075" s="8"/>
      <c r="G2075" s="14" t="s">
        <v>12697</v>
      </c>
      <c r="H2075" s="8"/>
      <c r="I2075" s="15">
        <v>0</v>
      </c>
      <c r="J2075" s="15">
        <v>0</v>
      </c>
      <c r="K2075" s="12" t="str">
        <f>HYPERLINK("http://twitter.com","Twitter Web Client")</f>
        <v>Twitter Web Client</v>
      </c>
      <c r="L2075" s="16">
        <v>1</v>
      </c>
      <c r="M2075" s="16">
        <v>42</v>
      </c>
      <c r="N2075" s="16">
        <v>0</v>
      </c>
      <c r="O2075" s="17"/>
      <c r="P2075" s="18">
        <v>42071.437407407408</v>
      </c>
      <c r="Q2075" s="8"/>
      <c r="R2075" s="7"/>
      <c r="S2075" s="8"/>
      <c r="T2075" s="8"/>
      <c r="U2075" s="19" t="str">
        <f>HYPERLINK("https://pbs.twimg.com/profile_images/574623189289975809/cDac8lIB.jpeg","View")</f>
        <v>View</v>
      </c>
      <c r="V2075" s="8"/>
      <c r="W2075" s="8"/>
      <c r="X2075" s="8"/>
      <c r="Y2075" s="8"/>
      <c r="Z2075" s="8"/>
    </row>
    <row r="2076" spans="1:26" ht="12.75">
      <c r="A2076" s="11">
        <v>43745.634421296301</v>
      </c>
      <c r="B2076" s="12" t="str">
        <f>HYPERLINK("https://twitter.com/SSNBubblehead","@SSNBubblehead")</f>
        <v>@SSNBubblehead</v>
      </c>
      <c r="C2076" s="13" t="s">
        <v>12699</v>
      </c>
      <c r="D2076" s="13" t="s">
        <v>12700</v>
      </c>
      <c r="E2076" s="12" t="str">
        <f>HYPERLINK("https://twitter.com/SSNBubblehead/status/1181331759209816065","1181331759209816065")</f>
        <v>1181331759209816065</v>
      </c>
      <c r="F2076" s="8"/>
      <c r="G2076" s="15"/>
      <c r="H2076" s="8"/>
      <c r="I2076" s="15">
        <v>1</v>
      </c>
      <c r="J2076" s="15">
        <v>12</v>
      </c>
      <c r="K2076" s="12" t="str">
        <f>HYPERLINK("https://mobile.twitter.com","Twitter Web App")</f>
        <v>Twitter Web App</v>
      </c>
      <c r="L2076" s="16">
        <v>3099</v>
      </c>
      <c r="M2076" s="16">
        <v>2932</v>
      </c>
      <c r="N2076" s="16">
        <v>33</v>
      </c>
      <c r="O2076" s="17"/>
      <c r="P2076" s="18">
        <v>39551.579548611109</v>
      </c>
      <c r="Q2076" s="8" t="s">
        <v>12701</v>
      </c>
      <c r="R2076" s="8" t="s">
        <v>12702</v>
      </c>
      <c r="S2076" s="8"/>
      <c r="T2076" s="8"/>
      <c r="U2076" s="19" t="str">
        <f>HYPERLINK("https://pbs.twimg.com/profile_images/1178689590581968902/fODMb0rs.jpg","View")</f>
        <v>View</v>
      </c>
      <c r="V2076" s="8"/>
      <c r="W2076" s="8"/>
      <c r="X2076" s="8"/>
      <c r="Y2076" s="8"/>
      <c r="Z2076" s="8"/>
    </row>
    <row r="2077" spans="1:26" ht="12.75">
      <c r="A2077" s="11">
        <v>43745.634143518517</v>
      </c>
      <c r="B2077" s="12" t="str">
        <f>HYPERLINK("https://twitter.com/mefremaliki","@mefremaliki")</f>
        <v>@mefremaliki</v>
      </c>
      <c r="C2077" s="7" t="s">
        <v>12703</v>
      </c>
      <c r="D2077" s="13" t="s">
        <v>12704</v>
      </c>
      <c r="E2077" s="12" t="str">
        <f>HYPERLINK("https://twitter.com/mefremaliki/status/1181331658097807361","1181331658097807361")</f>
        <v>1181331658097807361</v>
      </c>
      <c r="F2077" s="8"/>
      <c r="G2077" s="14" t="s">
        <v>12707</v>
      </c>
      <c r="H2077" s="8"/>
      <c r="I2077" s="15">
        <v>0</v>
      </c>
      <c r="J2077" s="15">
        <v>0</v>
      </c>
      <c r="K2077" s="12" t="str">
        <f>HYPERLINK("http://twitter.com","Twitter Web Client")</f>
        <v>Twitter Web Client</v>
      </c>
      <c r="L2077" s="16">
        <v>3</v>
      </c>
      <c r="M2077" s="16">
        <v>32</v>
      </c>
      <c r="N2077" s="16">
        <v>0</v>
      </c>
      <c r="O2077" s="17"/>
      <c r="P2077" s="18">
        <v>42083.578240740739</v>
      </c>
      <c r="Q2077" s="8"/>
      <c r="R2077" s="7"/>
      <c r="S2077" s="8"/>
      <c r="T2077" s="8"/>
      <c r="U2077" s="19" t="str">
        <f>HYPERLINK("https://pbs.twimg.com/profile_images/579023108679573504/x4sKQD-l.jpeg","View")</f>
        <v>View</v>
      </c>
      <c r="V2077" s="8"/>
      <c r="W2077" s="8"/>
      <c r="X2077" s="8"/>
      <c r="Y2077" s="8"/>
      <c r="Z2077" s="8"/>
    </row>
    <row r="2078" spans="1:26" ht="12.75">
      <c r="A2078" s="11">
        <v>43745.632245370369</v>
      </c>
      <c r="B2078" s="12" t="str">
        <f>HYPERLINK("https://twitter.com/el3uotai33","@el3uotai33")</f>
        <v>@el3uotai33</v>
      </c>
      <c r="C2078" s="7" t="s">
        <v>12713</v>
      </c>
      <c r="D2078" s="13" t="s">
        <v>12714</v>
      </c>
      <c r="E2078" s="12" t="str">
        <f>HYPERLINK("https://twitter.com/el3uotai33/status/1181330971204952064","1181330971204952064")</f>
        <v>1181330971204952064</v>
      </c>
      <c r="F2078" s="15"/>
      <c r="G2078" s="14" t="s">
        <v>12716</v>
      </c>
      <c r="H2078" s="8"/>
      <c r="I2078" s="15">
        <v>0</v>
      </c>
      <c r="J2078" s="15">
        <v>0</v>
      </c>
      <c r="K2078" s="12" t="str">
        <f>HYPERLINK("http://twitter.com","Twitter Web Client")</f>
        <v>Twitter Web Client</v>
      </c>
      <c r="L2078" s="16">
        <v>16</v>
      </c>
      <c r="M2078" s="16">
        <v>41</v>
      </c>
      <c r="N2078" s="16">
        <v>0</v>
      </c>
      <c r="O2078" s="17"/>
      <c r="P2078" s="18">
        <v>42072.283020833333</v>
      </c>
      <c r="Q2078" s="8"/>
      <c r="R2078" s="7"/>
      <c r="S2078" s="8"/>
      <c r="T2078" s="8"/>
      <c r="U2078" s="19" t="str">
        <f>HYPERLINK("https://pbs.twimg.com/profile_images/574929645742620673/iySKWfDJ.jpeg","View")</f>
        <v>View</v>
      </c>
      <c r="V2078" s="8"/>
      <c r="W2078" s="8"/>
      <c r="X2078" s="8"/>
      <c r="Y2078" s="8"/>
      <c r="Z2078" s="8"/>
    </row>
    <row r="2079" spans="1:26" ht="12.75">
      <c r="A2079" s="11">
        <v>43745.63180555556</v>
      </c>
      <c r="B2079" s="12" t="str">
        <f>HYPERLINK("https://twitter.com/ghraibanzi2014","@ghraibanzi2014")</f>
        <v>@ghraibanzi2014</v>
      </c>
      <c r="C2079" s="7" t="s">
        <v>12718</v>
      </c>
      <c r="D2079" s="13" t="s">
        <v>3467</v>
      </c>
      <c r="E2079" s="12" t="str">
        <f>HYPERLINK("https://twitter.com/ghraibanzi2014/status/1181330812668710913","1181330812668710913")</f>
        <v>1181330812668710913</v>
      </c>
      <c r="F2079" s="8"/>
      <c r="G2079" s="14" t="s">
        <v>12719</v>
      </c>
      <c r="H2079" s="8"/>
      <c r="I2079" s="15">
        <v>0</v>
      </c>
      <c r="J2079" s="15">
        <v>0</v>
      </c>
      <c r="K2079" s="12" t="str">
        <f>HYPERLINK("http://twitter.com","Twitter Web Client")</f>
        <v>Twitter Web Client</v>
      </c>
      <c r="L2079" s="16">
        <v>1</v>
      </c>
      <c r="M2079" s="16">
        <v>23</v>
      </c>
      <c r="N2079" s="16">
        <v>0</v>
      </c>
      <c r="O2079" s="17"/>
      <c r="P2079" s="18">
        <v>41825.156724537039</v>
      </c>
      <c r="Q2079" s="8"/>
      <c r="R2079" s="7"/>
      <c r="S2079" s="8"/>
      <c r="T2079" s="8"/>
      <c r="U2079" s="19" t="str">
        <f>HYPERLINK("https://pbs.twimg.com/profile_images/485374709953863680/H1ABTB8d.jpeg","View")</f>
        <v>View</v>
      </c>
      <c r="V2079" s="8"/>
      <c r="W2079" s="8"/>
      <c r="X2079" s="8"/>
      <c r="Y2079" s="8"/>
      <c r="Z2079" s="8"/>
    </row>
    <row r="2080" spans="1:26" ht="12.75">
      <c r="A2080" s="11">
        <v>43745.631481481483</v>
      </c>
      <c r="B2080" s="12" t="str">
        <f>HYPERLINK("https://twitter.com/alibamkabl1","@alibamkabl1")</f>
        <v>@alibamkabl1</v>
      </c>
      <c r="C2080" s="7" t="s">
        <v>12722</v>
      </c>
      <c r="D2080" s="13" t="s">
        <v>12723</v>
      </c>
      <c r="E2080" s="12" t="str">
        <f>HYPERLINK("https://twitter.com/alibamkabl1/status/1181330696037642241","1181330696037642241")</f>
        <v>1181330696037642241</v>
      </c>
      <c r="F2080" s="8"/>
      <c r="G2080" s="14" t="s">
        <v>12724</v>
      </c>
      <c r="H2080" s="8"/>
      <c r="I2080" s="15">
        <v>0</v>
      </c>
      <c r="J2080" s="15">
        <v>0</v>
      </c>
      <c r="K2080" s="12" t="str">
        <f>HYPERLINK("http://twitter.com","Twitter Web Client")</f>
        <v>Twitter Web Client</v>
      </c>
      <c r="L2080" s="16">
        <v>1</v>
      </c>
      <c r="M2080" s="16">
        <v>36</v>
      </c>
      <c r="N2080" s="16">
        <v>0</v>
      </c>
      <c r="O2080" s="17"/>
      <c r="P2080" s="18">
        <v>42022.254432870366</v>
      </c>
      <c r="Q2080" s="8"/>
      <c r="R2080" s="7"/>
      <c r="S2080" s="8"/>
      <c r="T2080" s="8"/>
      <c r="U2080" s="19" t="str">
        <f>HYPERLINK("https://pbs.twimg.com/profile_images/556815503952343042/Uza9-GM1.jpeg","View")</f>
        <v>View</v>
      </c>
      <c r="V2080" s="8"/>
      <c r="W2080" s="8"/>
      <c r="X2080" s="8"/>
      <c r="Y2080" s="8"/>
      <c r="Z2080" s="8"/>
    </row>
    <row r="2081" spans="1:26" ht="12.75">
      <c r="A2081" s="11">
        <v>43745.631053240737</v>
      </c>
      <c r="B2081" s="12" t="str">
        <f>HYPERLINK("https://twitter.com/sadeek033","@sadeek033")</f>
        <v>@sadeek033</v>
      </c>
      <c r="C2081" s="13" t="s">
        <v>12728</v>
      </c>
      <c r="D2081" s="13" t="s">
        <v>12729</v>
      </c>
      <c r="E2081" s="12" t="str">
        <f>HYPERLINK("https://twitter.com/sadeek033/status/1181330538927464448","1181330538927464448")</f>
        <v>1181330538927464448</v>
      </c>
      <c r="F2081" s="8"/>
      <c r="G2081" s="14" t="s">
        <v>12730</v>
      </c>
      <c r="H2081" s="8"/>
      <c r="I2081" s="15">
        <v>0</v>
      </c>
      <c r="J2081" s="15">
        <v>0</v>
      </c>
      <c r="K2081" s="12" t="str">
        <f>HYPERLINK("http://twitter.com","Twitter Web Client")</f>
        <v>Twitter Web Client</v>
      </c>
      <c r="L2081" s="16">
        <v>1</v>
      </c>
      <c r="M2081" s="16">
        <v>34</v>
      </c>
      <c r="N2081" s="16">
        <v>0</v>
      </c>
      <c r="O2081" s="17"/>
      <c r="P2081" s="18">
        <v>42077.259756944448</v>
      </c>
      <c r="Q2081" s="8"/>
      <c r="R2081" s="8"/>
      <c r="S2081" s="8"/>
      <c r="T2081" s="8"/>
      <c r="U2081" s="19" t="str">
        <f>HYPERLINK("https://pbs.twimg.com/profile_images/576733694796288000/zR45P9c4.jpeg","View")</f>
        <v>View</v>
      </c>
      <c r="V2081" s="8"/>
      <c r="W2081" s="8"/>
      <c r="X2081" s="8"/>
      <c r="Y2081" s="8"/>
      <c r="Z2081" s="8"/>
    </row>
    <row r="2082" spans="1:26" ht="12.75">
      <c r="A2082" s="11">
        <v>43745.630046296297</v>
      </c>
      <c r="B2082" s="12" t="str">
        <f>HYPERLINK("https://twitter.com/MansourUghazi","@MansourUghazi")</f>
        <v>@MansourUghazi</v>
      </c>
      <c r="C2082" s="7" t="s">
        <v>12738</v>
      </c>
      <c r="D2082" s="13" t="s">
        <v>12739</v>
      </c>
      <c r="E2082" s="12" t="str">
        <f>HYPERLINK("https://twitter.com/MansourUghazi/status/1181330174106845184","1181330174106845184")</f>
        <v>1181330174106845184</v>
      </c>
      <c r="F2082" s="8"/>
      <c r="G2082" s="14" t="s">
        <v>12740</v>
      </c>
      <c r="H2082" s="8"/>
      <c r="I2082" s="15">
        <v>0</v>
      </c>
      <c r="J2082" s="15">
        <v>0</v>
      </c>
      <c r="K2082" s="12" t="str">
        <f>HYPERLINK("http://twitter.com","Twitter Web Client")</f>
        <v>Twitter Web Client</v>
      </c>
      <c r="L2082" s="16">
        <v>0</v>
      </c>
      <c r="M2082" s="16">
        <v>37</v>
      </c>
      <c r="N2082" s="16">
        <v>0</v>
      </c>
      <c r="O2082" s="17"/>
      <c r="P2082" s="18">
        <v>42080.86418981482</v>
      </c>
      <c r="Q2082" s="8"/>
      <c r="R2082" s="7"/>
      <c r="S2082" s="8"/>
      <c r="T2082" s="8"/>
      <c r="U2082" s="19" t="str">
        <f>HYPERLINK("https://pbs.twimg.com/profile_images/578040478383276032/36V7ILB7.jpeg","View")</f>
        <v>View</v>
      </c>
      <c r="V2082" s="8"/>
      <c r="W2082" s="8"/>
      <c r="X2082" s="8"/>
      <c r="Y2082" s="8"/>
      <c r="Z2082" s="8"/>
    </row>
    <row r="2083" spans="1:26" ht="12.75">
      <c r="A2083" s="11">
        <v>43745.629236111112</v>
      </c>
      <c r="B2083" s="12" t="str">
        <f>HYPERLINK("https://twitter.com/eldusry7_66","@eldusry7_66")</f>
        <v>@eldusry7_66</v>
      </c>
      <c r="C2083" s="13" t="s">
        <v>12745</v>
      </c>
      <c r="D2083" s="7" t="s">
        <v>12746</v>
      </c>
      <c r="E2083" s="12" t="str">
        <f>HYPERLINK("https://twitter.com/eldusry7_66/status/1181329881059221505","1181329881059221505")</f>
        <v>1181329881059221505</v>
      </c>
      <c r="F2083" s="8"/>
      <c r="G2083" s="14" t="s">
        <v>12748</v>
      </c>
      <c r="H2083" s="8"/>
      <c r="I2083" s="15">
        <v>0</v>
      </c>
      <c r="J2083" s="15">
        <v>0</v>
      </c>
      <c r="K2083" s="12" t="str">
        <f>HYPERLINK("http://twitter.com","Twitter Web Client")</f>
        <v>Twitter Web Client</v>
      </c>
      <c r="L2083" s="16">
        <v>7</v>
      </c>
      <c r="M2083" s="16">
        <v>43</v>
      </c>
      <c r="N2083" s="16">
        <v>0</v>
      </c>
      <c r="O2083" s="17"/>
      <c r="P2083" s="18">
        <v>42076.543287037042</v>
      </c>
      <c r="Q2083" s="7"/>
      <c r="R2083" s="13"/>
      <c r="S2083" s="8"/>
      <c r="T2083" s="8"/>
      <c r="U2083" s="19" t="str">
        <f>HYPERLINK("https://pbs.twimg.com/profile_images/576473552867590144/6F4d6LrA.jpeg","View")</f>
        <v>View</v>
      </c>
      <c r="V2083" s="8"/>
      <c r="W2083" s="8"/>
      <c r="X2083" s="8"/>
      <c r="Y2083" s="8"/>
      <c r="Z2083" s="8"/>
    </row>
    <row r="2084" spans="1:26" ht="12.75">
      <c r="A2084" s="11">
        <v>43745.628495370373</v>
      </c>
      <c r="B2084" s="12" t="str">
        <f>HYPERLINK("https://twitter.com/thegatesofhell3","@thegatesofhell3")</f>
        <v>@thegatesofhell3</v>
      </c>
      <c r="C2084" s="13" t="s">
        <v>12754</v>
      </c>
      <c r="D2084" s="13" t="s">
        <v>12755</v>
      </c>
      <c r="E2084" s="12" t="str">
        <f>HYPERLINK("https://twitter.com/thegatesofhell3/status/1181329611642175488","1181329611642175488")</f>
        <v>1181329611642175488</v>
      </c>
      <c r="F2084" s="8"/>
      <c r="G2084" s="15"/>
      <c r="H2084" s="8"/>
      <c r="I2084" s="15">
        <v>0</v>
      </c>
      <c r="J2084" s="15">
        <v>0</v>
      </c>
      <c r="K2084" s="12" t="str">
        <f>HYPERLINK("https://mobile.twitter.com","Twitter Web App")</f>
        <v>Twitter Web App</v>
      </c>
      <c r="L2084" s="16">
        <v>1722</v>
      </c>
      <c r="M2084" s="16">
        <v>1981</v>
      </c>
      <c r="N2084" s="16">
        <v>0</v>
      </c>
      <c r="O2084" s="17"/>
      <c r="P2084" s="18">
        <v>43674.870717592596</v>
      </c>
      <c r="Q2084" s="7"/>
      <c r="R2084" s="13" t="s">
        <v>12758</v>
      </c>
      <c r="S2084" s="8"/>
      <c r="T2084" s="8"/>
      <c r="U2084" s="19" t="str">
        <f>HYPERLINK("https://pbs.twimg.com/profile_images/1155696871349919744/e79wY6YB.jpg","View")</f>
        <v>View</v>
      </c>
      <c r="V2084" s="8"/>
      <c r="W2084" s="8"/>
      <c r="X2084" s="8"/>
      <c r="Y2084" s="8"/>
      <c r="Z2084" s="8"/>
    </row>
    <row r="2085" spans="1:26" ht="12.75">
      <c r="A2085" s="11">
        <v>43745.628263888888</v>
      </c>
      <c r="B2085" s="12" t="str">
        <f>HYPERLINK("https://twitter.com/AldrebiyMahmood","@AldrebiyMahmood")</f>
        <v>@AldrebiyMahmood</v>
      </c>
      <c r="C2085" s="7" t="s">
        <v>12761</v>
      </c>
      <c r="D2085" s="13" t="s">
        <v>12762</v>
      </c>
      <c r="E2085" s="12" t="str">
        <f>HYPERLINK("https://twitter.com/AldrebiyMahmood/status/1181329530247618562","1181329530247618562")</f>
        <v>1181329530247618562</v>
      </c>
      <c r="F2085" s="8"/>
      <c r="G2085" s="14" t="s">
        <v>12763</v>
      </c>
      <c r="H2085" s="8"/>
      <c r="I2085" s="15">
        <v>0</v>
      </c>
      <c r="J2085" s="15">
        <v>0</v>
      </c>
      <c r="K2085" s="12" t="str">
        <f>HYPERLINK("http://twitter.com","Twitter Web Client")</f>
        <v>Twitter Web Client</v>
      </c>
      <c r="L2085" s="16">
        <v>4</v>
      </c>
      <c r="M2085" s="16">
        <v>41</v>
      </c>
      <c r="N2085" s="16">
        <v>0</v>
      </c>
      <c r="O2085" s="17"/>
      <c r="P2085" s="18">
        <v>42071.192187499997</v>
      </c>
      <c r="Q2085" s="8"/>
      <c r="R2085" s="7"/>
      <c r="S2085" s="8"/>
      <c r="T2085" s="8"/>
      <c r="U2085" s="19" t="str">
        <f>HYPERLINK("https://pbs.twimg.com/profile_images/574557157611302912/ufqiSUZr.jpeg","View")</f>
        <v>View</v>
      </c>
      <c r="V2085" s="8"/>
      <c r="W2085" s="8"/>
      <c r="X2085" s="8"/>
      <c r="Y2085" s="8"/>
      <c r="Z2085" s="8"/>
    </row>
    <row r="2086" spans="1:26" ht="12.75">
      <c r="A2086" s="11">
        <v>43745.627835648149</v>
      </c>
      <c r="B2086" s="12" t="str">
        <f>HYPERLINK("https://twitter.com/rashedelghais","@rashedelghais")</f>
        <v>@rashedelghais</v>
      </c>
      <c r="C2086" s="7" t="s">
        <v>12767</v>
      </c>
      <c r="D2086" s="13" t="s">
        <v>6594</v>
      </c>
      <c r="E2086" s="12" t="str">
        <f>HYPERLINK("https://twitter.com/rashedelghais/status/1181329373837873152","1181329373837873152")</f>
        <v>1181329373837873152</v>
      </c>
      <c r="F2086" s="8"/>
      <c r="G2086" s="14" t="s">
        <v>12768</v>
      </c>
      <c r="H2086" s="8"/>
      <c r="I2086" s="15">
        <v>0</v>
      </c>
      <c r="J2086" s="15">
        <v>0</v>
      </c>
      <c r="K2086" s="12" t="str">
        <f>HYPERLINK("http://twitter.com","Twitter Web Client")</f>
        <v>Twitter Web Client</v>
      </c>
      <c r="L2086" s="16">
        <v>0</v>
      </c>
      <c r="M2086" s="16">
        <v>28</v>
      </c>
      <c r="N2086" s="16">
        <v>0</v>
      </c>
      <c r="O2086" s="17"/>
      <c r="P2086" s="18">
        <v>41822.209143518521</v>
      </c>
      <c r="Q2086" s="8"/>
      <c r="R2086" s="7"/>
      <c r="S2086" s="8"/>
      <c r="T2086" s="8"/>
      <c r="U2086" s="19" t="str">
        <f>HYPERLINK("https://pbs.twimg.com/profile_images/484305957946548225/TD4kBVAD.jpeg","View")</f>
        <v>View</v>
      </c>
      <c r="V2086" s="8"/>
      <c r="W2086" s="8"/>
      <c r="X2086" s="8"/>
      <c r="Y2086" s="8"/>
      <c r="Z2086" s="8"/>
    </row>
    <row r="2087" spans="1:26" ht="12.75">
      <c r="A2087" s="11">
        <v>43745.626643518517</v>
      </c>
      <c r="B2087" s="12" t="str">
        <f>HYPERLINK("https://twitter.com/hamid_hazmi","@hamid_hazmi")</f>
        <v>@hamid_hazmi</v>
      </c>
      <c r="C2087" s="13" t="s">
        <v>336</v>
      </c>
      <c r="D2087" s="7" t="s">
        <v>3535</v>
      </c>
      <c r="E2087" s="12" t="str">
        <f>HYPERLINK("https://twitter.com/hamid_hazmi/status/1181328943594557441","1181328943594557441")</f>
        <v>1181328943594557441</v>
      </c>
      <c r="F2087" s="8"/>
      <c r="G2087" s="14" t="s">
        <v>12775</v>
      </c>
      <c r="H2087" s="8"/>
      <c r="I2087" s="15">
        <v>0</v>
      </c>
      <c r="J2087" s="15">
        <v>0</v>
      </c>
      <c r="K2087" s="12" t="str">
        <f>HYPERLINK("http://twitter.com","Twitter Web Client")</f>
        <v>Twitter Web Client</v>
      </c>
      <c r="L2087" s="16">
        <v>1</v>
      </c>
      <c r="M2087" s="16">
        <v>30</v>
      </c>
      <c r="N2087" s="16">
        <v>0</v>
      </c>
      <c r="O2087" s="17"/>
      <c r="P2087" s="18">
        <v>42022.357581018514</v>
      </c>
      <c r="Q2087" s="7"/>
      <c r="R2087" s="13"/>
      <c r="S2087" s="8"/>
      <c r="T2087" s="8"/>
      <c r="U2087" s="19" t="str">
        <f>HYPERLINK("https://pbs.twimg.com/profile_images/556852877503635456/lxFtKsXn.jpeg","View")</f>
        <v>View</v>
      </c>
      <c r="V2087" s="8"/>
      <c r="W2087" s="8"/>
      <c r="X2087" s="8"/>
      <c r="Y2087" s="8"/>
      <c r="Z2087" s="8"/>
    </row>
    <row r="2088" spans="1:26" ht="12.75">
      <c r="A2088" s="11">
        <v>43745.626423611116</v>
      </c>
      <c r="B2088" s="12" t="str">
        <f>HYPERLINK("https://twitter.com/aladwsar_hoss","@aladwsar_hoss")</f>
        <v>@aladwsar_hoss</v>
      </c>
      <c r="C2088" s="13" t="s">
        <v>12779</v>
      </c>
      <c r="D2088" s="13" t="s">
        <v>12780</v>
      </c>
      <c r="E2088" s="12" t="str">
        <f>HYPERLINK("https://twitter.com/aladwsar_hoss/status/1181328864527736832","1181328864527736832")</f>
        <v>1181328864527736832</v>
      </c>
      <c r="F2088" s="8"/>
      <c r="G2088" s="14" t="s">
        <v>12782</v>
      </c>
      <c r="H2088" s="8"/>
      <c r="I2088" s="15">
        <v>0</v>
      </c>
      <c r="J2088" s="15">
        <v>0</v>
      </c>
      <c r="K2088" s="12" t="str">
        <f>HYPERLINK("http://twitter.com","Twitter Web Client")</f>
        <v>Twitter Web Client</v>
      </c>
      <c r="L2088" s="16">
        <v>1</v>
      </c>
      <c r="M2088" s="16">
        <v>47</v>
      </c>
      <c r="N2088" s="16">
        <v>0</v>
      </c>
      <c r="O2088" s="17"/>
      <c r="P2088" s="18">
        <v>42087.259571759263</v>
      </c>
      <c r="Q2088" s="8"/>
      <c r="R2088" s="8"/>
      <c r="S2088" s="8"/>
      <c r="T2088" s="8"/>
      <c r="U2088" s="19" t="str">
        <f>HYPERLINK("https://pbs.twimg.com/profile_images/580356970080698368/y6ulZmBs.jpg","View")</f>
        <v>View</v>
      </c>
      <c r="V2088" s="8"/>
      <c r="W2088" s="8"/>
      <c r="X2088" s="8"/>
      <c r="Y2088" s="8"/>
      <c r="Z2088" s="8"/>
    </row>
    <row r="2089" spans="1:26" ht="12.75">
      <c r="A2089" s="11">
        <v>43745.626041666663</v>
      </c>
      <c r="B2089" s="12" t="str">
        <f>HYPERLINK("https://twitter.com/mishalbinhadi1","@mishalbinhadi1")</f>
        <v>@mishalbinhadi1</v>
      </c>
      <c r="C2089" s="13" t="s">
        <v>12785</v>
      </c>
      <c r="D2089" s="13" t="s">
        <v>12786</v>
      </c>
      <c r="E2089" s="12" t="str">
        <f>HYPERLINK("https://twitter.com/mishalbinhadi1/status/1181328725528530945","1181328725528530945")</f>
        <v>1181328725528530945</v>
      </c>
      <c r="F2089" s="8"/>
      <c r="G2089" s="14" t="s">
        <v>12787</v>
      </c>
      <c r="H2089" s="8"/>
      <c r="I2089" s="15">
        <v>0</v>
      </c>
      <c r="J2089" s="15">
        <v>0</v>
      </c>
      <c r="K2089" s="12" t="str">
        <f>HYPERLINK("http://twitter.com","Twitter Web Client")</f>
        <v>Twitter Web Client</v>
      </c>
      <c r="L2089" s="16">
        <v>0</v>
      </c>
      <c r="M2089" s="16">
        <v>37</v>
      </c>
      <c r="N2089" s="16">
        <v>0</v>
      </c>
      <c r="O2089" s="17"/>
      <c r="P2089" s="18">
        <v>42080.762488425928</v>
      </c>
      <c r="Q2089" s="8"/>
      <c r="R2089" s="8"/>
      <c r="S2089" s="8"/>
      <c r="T2089" s="8"/>
      <c r="U2089" s="19" t="str">
        <f>HYPERLINK("https://pbs.twimg.com/profile_images/578002891958448128/dYMqUNmj.jpeg","View")</f>
        <v>View</v>
      </c>
      <c r="V2089" s="8"/>
      <c r="W2089" s="8"/>
      <c r="X2089" s="8"/>
      <c r="Y2089" s="8"/>
      <c r="Z2089" s="8"/>
    </row>
    <row r="2090" spans="1:26" ht="12.75">
      <c r="A2090" s="11">
        <v>43745.624803240746</v>
      </c>
      <c r="B2090" s="12" t="str">
        <f>HYPERLINK("https://twitter.com/DheifallhIayed","@DheifallhIayed")</f>
        <v>@DheifallhIayed</v>
      </c>
      <c r="C2090" s="7" t="s">
        <v>12789</v>
      </c>
      <c r="D2090" s="13" t="s">
        <v>12790</v>
      </c>
      <c r="E2090" s="12" t="str">
        <f>HYPERLINK("https://twitter.com/DheifallhIayed/status/1181328275567710208","1181328275567710208")</f>
        <v>1181328275567710208</v>
      </c>
      <c r="F2090" s="8"/>
      <c r="G2090" s="14" t="s">
        <v>12791</v>
      </c>
      <c r="H2090" s="8"/>
      <c r="I2090" s="15">
        <v>0</v>
      </c>
      <c r="J2090" s="15">
        <v>0</v>
      </c>
      <c r="K2090" s="12" t="str">
        <f>HYPERLINK("http://twitter.com","Twitter Web Client")</f>
        <v>Twitter Web Client</v>
      </c>
      <c r="L2090" s="16">
        <v>6</v>
      </c>
      <c r="M2090" s="16">
        <v>44</v>
      </c>
      <c r="N2090" s="16">
        <v>0</v>
      </c>
      <c r="O2090" s="17"/>
      <c r="P2090" s="18">
        <v>42074.257187499999</v>
      </c>
      <c r="Q2090" s="8"/>
      <c r="R2090" s="7"/>
      <c r="S2090" s="8"/>
      <c r="T2090" s="8"/>
      <c r="U2090" s="19" t="str">
        <f>HYPERLINK("https://pbs.twimg.com/profile_images/575647111900831747/FbVq0frQ.jpeg","View")</f>
        <v>View</v>
      </c>
      <c r="V2090" s="8"/>
      <c r="W2090" s="8"/>
      <c r="X2090" s="8"/>
      <c r="Y2090" s="8"/>
      <c r="Z2090" s="8"/>
    </row>
    <row r="2091" spans="1:26" ht="12.75">
      <c r="A2091" s="11">
        <v>43745.624594907407</v>
      </c>
      <c r="B2091" s="12" t="str">
        <f>HYPERLINK("https://twitter.com/AshaakHamad","@AshaakHamad")</f>
        <v>@AshaakHamad</v>
      </c>
      <c r="C2091" s="13" t="s">
        <v>12792</v>
      </c>
      <c r="D2091" s="13" t="s">
        <v>11918</v>
      </c>
      <c r="E2091" s="12" t="str">
        <f>HYPERLINK("https://twitter.com/AshaakHamad/status/1181328197763391497","1181328197763391497")</f>
        <v>1181328197763391497</v>
      </c>
      <c r="F2091" s="8"/>
      <c r="G2091" s="14" t="s">
        <v>12793</v>
      </c>
      <c r="H2091" s="8"/>
      <c r="I2091" s="15">
        <v>0</v>
      </c>
      <c r="J2091" s="15">
        <v>0</v>
      </c>
      <c r="K2091" s="12" t="str">
        <f>HYPERLINK("http://twitter.com","Twitter Web Client")</f>
        <v>Twitter Web Client</v>
      </c>
      <c r="L2091" s="16">
        <v>6</v>
      </c>
      <c r="M2091" s="16">
        <v>45</v>
      </c>
      <c r="N2091" s="16">
        <v>0</v>
      </c>
      <c r="O2091" s="17"/>
      <c r="P2091" s="18">
        <v>42074.227152777778</v>
      </c>
      <c r="Q2091" s="8"/>
      <c r="R2091" s="8"/>
      <c r="S2091" s="8"/>
      <c r="T2091" s="8"/>
      <c r="U2091" s="19" t="str">
        <f>HYPERLINK("https://pbs.twimg.com/profile_images/575666550323073028/1VXsQmKw.jpeg","View")</f>
        <v>View</v>
      </c>
      <c r="V2091" s="8"/>
      <c r="W2091" s="8"/>
      <c r="X2091" s="8"/>
      <c r="Y2091" s="8"/>
      <c r="Z2091" s="8"/>
    </row>
    <row r="2092" spans="1:26" ht="12.75">
      <c r="A2092" s="11">
        <v>43745.623842592591</v>
      </c>
      <c r="B2092" s="12" t="str">
        <f>HYPERLINK("https://twitter.com/rajahahmadi20a5","@rajahahmadi20a5")</f>
        <v>@rajahahmadi20a5</v>
      </c>
      <c r="C2092" s="7" t="s">
        <v>12799</v>
      </c>
      <c r="D2092" s="13" t="s">
        <v>9796</v>
      </c>
      <c r="E2092" s="12" t="str">
        <f>HYPERLINK("https://twitter.com/rajahahmadi20a5/status/1181327927708934144","1181327927708934144")</f>
        <v>1181327927708934144</v>
      </c>
      <c r="F2092" s="15"/>
      <c r="G2092" s="14" t="s">
        <v>12800</v>
      </c>
      <c r="H2092" s="8"/>
      <c r="I2092" s="15">
        <v>0</v>
      </c>
      <c r="J2092" s="15">
        <v>0</v>
      </c>
      <c r="K2092" s="12" t="str">
        <f>HYPERLINK("http://twitter.com","Twitter Web Client")</f>
        <v>Twitter Web Client</v>
      </c>
      <c r="L2092" s="16">
        <v>0</v>
      </c>
      <c r="M2092" s="16">
        <v>26</v>
      </c>
      <c r="N2092" s="16">
        <v>0</v>
      </c>
      <c r="O2092" s="17"/>
      <c r="P2092" s="18">
        <v>41849.383414351854</v>
      </c>
      <c r="Q2092" s="8"/>
      <c r="R2092" s="7"/>
      <c r="S2092" s="8"/>
      <c r="T2092" s="8"/>
      <c r="U2092" s="19" t="str">
        <f>HYPERLINK("https://pbs.twimg.com/profile_images/494154578070216704/deaSSmMO.jpeg","View")</f>
        <v>View</v>
      </c>
      <c r="V2092" s="8"/>
      <c r="W2092" s="8"/>
      <c r="X2092" s="8"/>
      <c r="Y2092" s="8"/>
      <c r="Z2092" s="8"/>
    </row>
    <row r="2093" spans="1:26" ht="12.75">
      <c r="A2093" s="11">
        <v>43745.622974537036</v>
      </c>
      <c r="B2093" s="12" t="str">
        <f>HYPERLINK("https://twitter.com/hamadsalemhama4","@hamadsalemhama4")</f>
        <v>@hamadsalemhama4</v>
      </c>
      <c r="C2093" s="13" t="s">
        <v>12803</v>
      </c>
      <c r="D2093" s="7" t="s">
        <v>12804</v>
      </c>
      <c r="E2093" s="12" t="str">
        <f>HYPERLINK("https://twitter.com/hamadsalemhama4/status/1181327614050541569","1181327614050541569")</f>
        <v>1181327614050541569</v>
      </c>
      <c r="F2093" s="8"/>
      <c r="G2093" s="14" t="s">
        <v>12806</v>
      </c>
      <c r="H2093" s="8"/>
      <c r="I2093" s="15">
        <v>0</v>
      </c>
      <c r="J2093" s="15">
        <v>0</v>
      </c>
      <c r="K2093" s="12" t="str">
        <f>HYPERLINK("http://twitter.com","Twitter Web Client")</f>
        <v>Twitter Web Client</v>
      </c>
      <c r="L2093" s="16">
        <v>0</v>
      </c>
      <c r="M2093" s="16">
        <v>37</v>
      </c>
      <c r="N2093" s="16">
        <v>0</v>
      </c>
      <c r="O2093" s="17"/>
      <c r="P2093" s="18">
        <v>42080.10119212963</v>
      </c>
      <c r="Q2093" s="7"/>
      <c r="R2093" s="13"/>
      <c r="S2093" s="8"/>
      <c r="T2093" s="8"/>
      <c r="U2093" s="19" t="str">
        <f>HYPERLINK("https://pbs.twimg.com/profile_images/577762995297656832/3rxFG_gx.jpeg","View")</f>
        <v>View</v>
      </c>
      <c r="V2093" s="8"/>
      <c r="W2093" s="8"/>
      <c r="X2093" s="8"/>
      <c r="Y2093" s="8"/>
      <c r="Z2093" s="8"/>
    </row>
    <row r="2094" spans="1:26" ht="12.75">
      <c r="A2094" s="11">
        <v>43745.622858796298</v>
      </c>
      <c r="B2094" s="12" t="str">
        <f>HYPERLINK("https://twitter.com/farhananzi2","@farhananzi2")</f>
        <v>@farhananzi2</v>
      </c>
      <c r="C2094" s="7" t="s">
        <v>12809</v>
      </c>
      <c r="D2094" s="13" t="s">
        <v>12810</v>
      </c>
      <c r="E2094" s="12" t="str">
        <f>HYPERLINK("https://twitter.com/farhananzi2/status/1181327568567459841","1181327568567459841")</f>
        <v>1181327568567459841</v>
      </c>
      <c r="F2094" s="15"/>
      <c r="G2094" s="14" t="s">
        <v>12812</v>
      </c>
      <c r="H2094" s="8"/>
      <c r="I2094" s="15">
        <v>0</v>
      </c>
      <c r="J2094" s="15">
        <v>0</v>
      </c>
      <c r="K2094" s="12" t="str">
        <f>HYPERLINK("http://twitter.com","Twitter Web Client")</f>
        <v>Twitter Web Client</v>
      </c>
      <c r="L2094" s="16">
        <v>9</v>
      </c>
      <c r="M2094" s="16">
        <v>36</v>
      </c>
      <c r="N2094" s="16">
        <v>0</v>
      </c>
      <c r="O2094" s="17"/>
      <c r="P2094" s="18">
        <v>42068.415636574078</v>
      </c>
      <c r="Q2094" s="8"/>
      <c r="R2094" s="7"/>
      <c r="S2094" s="8"/>
      <c r="T2094" s="8"/>
      <c r="U2094" s="19" t="str">
        <f>HYPERLINK("https://pbs.twimg.com/profile_images/573543363963527168/fx5F7Mx2.jpeg","View")</f>
        <v>View</v>
      </c>
      <c r="V2094" s="8"/>
      <c r="W2094" s="8"/>
      <c r="X2094" s="8"/>
      <c r="Y2094" s="8"/>
      <c r="Z2094" s="8"/>
    </row>
    <row r="2095" spans="1:26" ht="12.75">
      <c r="A2095" s="11">
        <v>43745.622604166667</v>
      </c>
      <c r="B2095" s="12" t="str">
        <f>HYPERLINK("https://twitter.com/kamamiie324","@kamamiie324")</f>
        <v>@kamamiie324</v>
      </c>
      <c r="C2095" s="13" t="s">
        <v>12815</v>
      </c>
      <c r="D2095" s="7" t="s">
        <v>2804</v>
      </c>
      <c r="E2095" s="12" t="str">
        <f>HYPERLINK("https://twitter.com/kamamiie324/status/1181327476938727424","1181327476938727424")</f>
        <v>1181327476938727424</v>
      </c>
      <c r="F2095" s="8"/>
      <c r="G2095" s="14" t="s">
        <v>12816</v>
      </c>
      <c r="H2095" s="8"/>
      <c r="I2095" s="15">
        <v>0</v>
      </c>
      <c r="J2095" s="15">
        <v>0</v>
      </c>
      <c r="K2095" s="12" t="str">
        <f>HYPERLINK("http://twitter.com","Twitter Web Client")</f>
        <v>Twitter Web Client</v>
      </c>
      <c r="L2095" s="16">
        <v>5</v>
      </c>
      <c r="M2095" s="16">
        <v>33</v>
      </c>
      <c r="N2095" s="16">
        <v>0</v>
      </c>
      <c r="O2095" s="17"/>
      <c r="P2095" s="18">
        <v>42076.219965277778</v>
      </c>
      <c r="Q2095" s="7"/>
      <c r="R2095" s="13"/>
      <c r="S2095" s="8"/>
      <c r="T2095" s="8"/>
      <c r="U2095" s="19" t="str">
        <f>HYPERLINK("https://pbs.twimg.com/profile_images/576356575826194432/T0YE0Oj_.jpeg","View")</f>
        <v>View</v>
      </c>
      <c r="V2095" s="8"/>
      <c r="W2095" s="8"/>
      <c r="X2095" s="8"/>
      <c r="Y2095" s="8"/>
      <c r="Z2095" s="8"/>
    </row>
    <row r="2096" spans="1:26" ht="12.75">
      <c r="A2096" s="11">
        <v>43745.621215277773</v>
      </c>
      <c r="B2096" s="12" t="str">
        <f>HYPERLINK("https://twitter.com/lkay54","@lkay54")</f>
        <v>@lkay54</v>
      </c>
      <c r="C2096" s="13" t="s">
        <v>12820</v>
      </c>
      <c r="D2096" s="13" t="s">
        <v>12821</v>
      </c>
      <c r="E2096" s="12" t="str">
        <f>HYPERLINK("https://twitter.com/lkay54/status/1181326976587575297","1181326976587575297")</f>
        <v>1181326976587575297</v>
      </c>
      <c r="F2096" s="8"/>
      <c r="G2096" s="15"/>
      <c r="H2096" s="8"/>
      <c r="I2096" s="15">
        <v>0</v>
      </c>
      <c r="J2096" s="15">
        <v>0</v>
      </c>
      <c r="K2096" s="12" t="str">
        <f>HYPERLINK("http://twitter.com/download/iphone","Twitter for iPhone")</f>
        <v>Twitter for iPhone</v>
      </c>
      <c r="L2096" s="16">
        <v>1384</v>
      </c>
      <c r="M2096" s="16">
        <v>1195</v>
      </c>
      <c r="N2096" s="16">
        <v>102</v>
      </c>
      <c r="O2096" s="17"/>
      <c r="P2096" s="18">
        <v>41001.571273148147</v>
      </c>
      <c r="Q2096" s="8" t="s">
        <v>12822</v>
      </c>
      <c r="R2096" s="8" t="s">
        <v>12823</v>
      </c>
      <c r="S2096" s="14" t="s">
        <v>12824</v>
      </c>
      <c r="T2096" s="8"/>
      <c r="U2096" s="19" t="str">
        <f>HYPERLINK("https://pbs.twimg.com/profile_images/839245580907864064/p5k9ptnN.jpg","View")</f>
        <v>View</v>
      </c>
      <c r="V2096" s="8"/>
      <c r="W2096" s="8"/>
      <c r="X2096" s="8"/>
      <c r="Y2096" s="8"/>
      <c r="Z2096" s="8"/>
    </row>
    <row r="2097" spans="1:26" ht="12.75">
      <c r="A2097" s="11">
        <v>43745.621076388888</v>
      </c>
      <c r="B2097" s="12" t="str">
        <f>HYPERLINK("https://twitter.com/suwaiidalmutai6","@suwaiidalmutai6")</f>
        <v>@suwaiidalmutai6</v>
      </c>
      <c r="C2097" s="13" t="s">
        <v>12826</v>
      </c>
      <c r="D2097" s="13" t="s">
        <v>12827</v>
      </c>
      <c r="E2097" s="12" t="str">
        <f>HYPERLINK("https://twitter.com/suwaiidalmutai6/status/1181326925249351681","1181326925249351681")</f>
        <v>1181326925249351681</v>
      </c>
      <c r="F2097" s="8"/>
      <c r="G2097" s="14" t="s">
        <v>12828</v>
      </c>
      <c r="H2097" s="8"/>
      <c r="I2097" s="15">
        <v>0</v>
      </c>
      <c r="J2097" s="15">
        <v>0</v>
      </c>
      <c r="K2097" s="12" t="str">
        <f>HYPERLINK("http://twitter.com","Twitter Web Client")</f>
        <v>Twitter Web Client</v>
      </c>
      <c r="L2097" s="16">
        <v>4</v>
      </c>
      <c r="M2097" s="16">
        <v>41</v>
      </c>
      <c r="N2097" s="16">
        <v>0</v>
      </c>
      <c r="O2097" s="17"/>
      <c r="P2097" s="18">
        <v>42070.172731481478</v>
      </c>
      <c r="Q2097" s="8"/>
      <c r="R2097" s="8"/>
      <c r="S2097" s="8"/>
      <c r="T2097" s="8"/>
      <c r="U2097" s="19" t="str">
        <f>HYPERLINK("https://pbs.twimg.com/profile_images/574181140346490881/OC4c9Rjn.jpeg","View")</f>
        <v>View</v>
      </c>
      <c r="V2097" s="8"/>
      <c r="W2097" s="8"/>
      <c r="X2097" s="8"/>
      <c r="Y2097" s="8"/>
      <c r="Z2097" s="8"/>
    </row>
    <row r="2098" spans="1:26" ht="12.75">
      <c r="A2098" s="11">
        <v>43745.621064814812</v>
      </c>
      <c r="B2098" s="12" t="str">
        <f>HYPERLINK("https://twitter.com/andThisAndThat","@andThisAndThat")</f>
        <v>@andThisAndThat</v>
      </c>
      <c r="C2098" s="13" t="s">
        <v>12830</v>
      </c>
      <c r="D2098" s="13" t="s">
        <v>12831</v>
      </c>
      <c r="E2098" s="12" t="str">
        <f>HYPERLINK("https://twitter.com/andThisAndThat/status/1181326922460078081","1181326922460078081")</f>
        <v>1181326922460078081</v>
      </c>
      <c r="F2098" s="8" t="s">
        <v>12832</v>
      </c>
      <c r="G2098" s="8"/>
      <c r="H2098" s="8"/>
      <c r="I2098" s="15">
        <v>0</v>
      </c>
      <c r="J2098" s="15">
        <v>0</v>
      </c>
      <c r="K2098" s="12" t="str">
        <f>HYPERLINK("http://twitter.com/download/android","Twitter for Android")</f>
        <v>Twitter for Android</v>
      </c>
      <c r="L2098" s="16">
        <v>1888</v>
      </c>
      <c r="M2098" s="16">
        <v>2012</v>
      </c>
      <c r="N2098" s="16">
        <v>27</v>
      </c>
      <c r="O2098" s="17"/>
      <c r="P2098" s="18">
        <v>40860.909502314811</v>
      </c>
      <c r="Q2098" s="13" t="s">
        <v>12833</v>
      </c>
      <c r="R2098" s="13" t="s">
        <v>12834</v>
      </c>
      <c r="S2098" s="8"/>
      <c r="T2098" s="8"/>
      <c r="U2098" s="19" t="str">
        <f>HYPERLINK("https://pbs.twimg.com/profile_images/592387510929494016/TppZLQv-.jpg","View")</f>
        <v>View</v>
      </c>
      <c r="V2098" s="8"/>
      <c r="W2098" s="8"/>
      <c r="X2098" s="8"/>
      <c r="Y2098" s="8"/>
      <c r="Z2098" s="8"/>
    </row>
    <row r="2099" spans="1:26" ht="12.75">
      <c r="A2099" s="11">
        <v>43745.618414351848</v>
      </c>
      <c r="B2099" s="12" t="str">
        <f>HYPERLINK("https://twitter.com/talal945_gg","@talal945_gg")</f>
        <v>@talal945_gg</v>
      </c>
      <c r="C2099" s="13" t="s">
        <v>12850</v>
      </c>
      <c r="D2099" s="13" t="s">
        <v>12853</v>
      </c>
      <c r="E2099" s="12" t="str">
        <f>HYPERLINK("https://twitter.com/talal945_gg/status/1181325960857231361","1181325960857231361")</f>
        <v>1181325960857231361</v>
      </c>
      <c r="F2099" s="8"/>
      <c r="G2099" s="14" t="s">
        <v>12854</v>
      </c>
      <c r="H2099" s="8"/>
      <c r="I2099" s="15">
        <v>0</v>
      </c>
      <c r="J2099" s="15">
        <v>0</v>
      </c>
      <c r="K2099" s="12" t="str">
        <f>HYPERLINK("http://twitter.com","Twitter Web Client")</f>
        <v>Twitter Web Client</v>
      </c>
      <c r="L2099" s="16">
        <v>2</v>
      </c>
      <c r="M2099" s="16">
        <v>33</v>
      </c>
      <c r="N2099" s="16">
        <v>0</v>
      </c>
      <c r="O2099" s="17"/>
      <c r="P2099" s="18">
        <v>42064.406435185185</v>
      </c>
      <c r="Q2099" s="8"/>
      <c r="R2099" s="8"/>
      <c r="S2099" s="8"/>
      <c r="T2099" s="8"/>
      <c r="U2099" s="19" t="str">
        <f>HYPERLINK("https://pbs.twimg.com/profile_images/572090559179677696/jitcT5jl.jpeg","View")</f>
        <v>View</v>
      </c>
      <c r="V2099" s="8"/>
      <c r="W2099" s="8"/>
      <c r="X2099" s="8"/>
      <c r="Y2099" s="8"/>
      <c r="Z2099" s="8"/>
    </row>
    <row r="2100" spans="1:26" ht="12.75">
      <c r="A2100" s="11">
        <v>43745.617731481485</v>
      </c>
      <c r="B2100" s="12" t="str">
        <f>HYPERLINK("https://twitter.com/elbarky447","@elbarky447")</f>
        <v>@elbarky447</v>
      </c>
      <c r="C2100" s="13" t="s">
        <v>12857</v>
      </c>
      <c r="D2100" s="7" t="s">
        <v>12858</v>
      </c>
      <c r="E2100" s="12" t="str">
        <f>HYPERLINK("https://twitter.com/elbarky447/status/1181325714357927937","1181325714357927937")</f>
        <v>1181325714357927937</v>
      </c>
      <c r="F2100" s="8"/>
      <c r="G2100" s="14" t="s">
        <v>12859</v>
      </c>
      <c r="H2100" s="8"/>
      <c r="I2100" s="15">
        <v>0</v>
      </c>
      <c r="J2100" s="15">
        <v>0</v>
      </c>
      <c r="K2100" s="12" t="str">
        <f>HYPERLINK("http://twitter.com","Twitter Web Client")</f>
        <v>Twitter Web Client</v>
      </c>
      <c r="L2100" s="16">
        <v>15</v>
      </c>
      <c r="M2100" s="16">
        <v>47</v>
      </c>
      <c r="N2100" s="16">
        <v>0</v>
      </c>
      <c r="O2100" s="17"/>
      <c r="P2100" s="18">
        <v>42073.649363425924</v>
      </c>
      <c r="Q2100" s="7"/>
      <c r="R2100" s="13"/>
      <c r="S2100" s="8"/>
      <c r="T2100" s="8"/>
      <c r="U2100" s="19" t="str">
        <f>HYPERLINK("https://pbs.twimg.com/profile_images/575424862807724034/vS7weASX.jpeg","View")</f>
        <v>View</v>
      </c>
      <c r="V2100" s="8"/>
      <c r="W2100" s="8"/>
      <c r="X2100" s="8"/>
      <c r="Y2100" s="8"/>
      <c r="Z2100" s="8"/>
    </row>
    <row r="2101" spans="1:26" ht="12.75">
      <c r="A2101" s="11">
        <v>43745.615277777775</v>
      </c>
      <c r="B2101" s="12" t="str">
        <f>HYPERLINK("https://twitter.com/abdullahqahta1","@abdullahqahta1")</f>
        <v>@abdullahqahta1</v>
      </c>
      <c r="C2101" s="13" t="s">
        <v>12867</v>
      </c>
      <c r="D2101" s="13" t="s">
        <v>12868</v>
      </c>
      <c r="E2101" s="12" t="str">
        <f>HYPERLINK("https://twitter.com/abdullahqahta1/status/1181324823387164672","1181324823387164672")</f>
        <v>1181324823387164672</v>
      </c>
      <c r="F2101" s="8"/>
      <c r="G2101" s="14" t="s">
        <v>12870</v>
      </c>
      <c r="H2101" s="8"/>
      <c r="I2101" s="15">
        <v>0</v>
      </c>
      <c r="J2101" s="15">
        <v>0</v>
      </c>
      <c r="K2101" s="12" t="str">
        <f>HYPERLINK("http://twitter.com","Twitter Web Client")</f>
        <v>Twitter Web Client</v>
      </c>
      <c r="L2101" s="16">
        <v>0</v>
      </c>
      <c r="M2101" s="16">
        <v>30</v>
      </c>
      <c r="N2101" s="16">
        <v>0</v>
      </c>
      <c r="O2101" s="17"/>
      <c r="P2101" s="18">
        <v>42084.822569444441</v>
      </c>
      <c r="Q2101" s="8"/>
      <c r="R2101" s="8"/>
      <c r="S2101" s="8"/>
      <c r="T2101" s="8"/>
      <c r="U2101" s="19" t="str">
        <f>HYPERLINK("https://pbs.twimg.com/profile_images/579474213087494144/ZGQsjnQP.jpg","View")</f>
        <v>View</v>
      </c>
      <c r="V2101" s="8"/>
      <c r="W2101" s="8"/>
      <c r="X2101" s="8"/>
      <c r="Y2101" s="8"/>
      <c r="Z2101" s="8"/>
    </row>
    <row r="2102" spans="1:26" ht="12.75">
      <c r="A2102" s="11">
        <v>43745.614768518513</v>
      </c>
      <c r="B2102" s="12" t="str">
        <f>HYPERLINK("https://twitter.com/MMuslimatwi","@MMuslimatwi")</f>
        <v>@MMuslimatwi</v>
      </c>
      <c r="C2102" s="13" t="s">
        <v>12873</v>
      </c>
      <c r="D2102" s="13" t="s">
        <v>5924</v>
      </c>
      <c r="E2102" s="12" t="str">
        <f>HYPERLINK("https://twitter.com/MMuslimatwi/status/1181324636816060416","1181324636816060416")</f>
        <v>1181324636816060416</v>
      </c>
      <c r="F2102" s="8"/>
      <c r="G2102" s="14" t="s">
        <v>12876</v>
      </c>
      <c r="H2102" s="8"/>
      <c r="I2102" s="15">
        <v>0</v>
      </c>
      <c r="J2102" s="15">
        <v>0</v>
      </c>
      <c r="K2102" s="12" t="str">
        <f>HYPERLINK("http://twitter.com","Twitter Web Client")</f>
        <v>Twitter Web Client</v>
      </c>
      <c r="L2102" s="16">
        <v>1</v>
      </c>
      <c r="M2102" s="16">
        <v>24</v>
      </c>
      <c r="N2102" s="16">
        <v>0</v>
      </c>
      <c r="O2102" s="17"/>
      <c r="P2102" s="18">
        <v>41824.207141203704</v>
      </c>
      <c r="Q2102" s="8"/>
      <c r="R2102" s="8"/>
      <c r="S2102" s="8"/>
      <c r="T2102" s="8"/>
      <c r="U2102" s="19" t="str">
        <f>HYPERLINK("https://pbs.twimg.com/profile_images/485030926653472769/GsUCiqVL.jpeg","View")</f>
        <v>View</v>
      </c>
      <c r="V2102" s="8"/>
      <c r="W2102" s="8"/>
      <c r="X2102" s="8"/>
      <c r="Y2102" s="8"/>
      <c r="Z2102" s="8"/>
    </row>
    <row r="2103" spans="1:26" ht="12.75">
      <c r="A2103" s="11">
        <v>43745.614629629628</v>
      </c>
      <c r="B2103" s="12" t="str">
        <f>HYPERLINK("https://twitter.com/rashidalobeidi3","@rashidalobeidi3")</f>
        <v>@rashidalobeidi3</v>
      </c>
      <c r="C2103" s="13" t="s">
        <v>12879</v>
      </c>
      <c r="D2103" s="7" t="s">
        <v>12880</v>
      </c>
      <c r="E2103" s="12" t="str">
        <f>HYPERLINK("https://twitter.com/rashidalobeidi3/status/1181324589193994244","1181324589193994244")</f>
        <v>1181324589193994244</v>
      </c>
      <c r="F2103" s="8"/>
      <c r="G2103" s="14" t="s">
        <v>12881</v>
      </c>
      <c r="H2103" s="8"/>
      <c r="I2103" s="15">
        <v>0</v>
      </c>
      <c r="J2103" s="15">
        <v>0</v>
      </c>
      <c r="K2103" s="12" t="str">
        <f>HYPERLINK("http://twitter.com","Twitter Web Client")</f>
        <v>Twitter Web Client</v>
      </c>
      <c r="L2103" s="16">
        <v>0</v>
      </c>
      <c r="M2103" s="16">
        <v>34</v>
      </c>
      <c r="N2103" s="16">
        <v>0</v>
      </c>
      <c r="O2103" s="17"/>
      <c r="P2103" s="18">
        <v>42087.524918981479</v>
      </c>
      <c r="Q2103" s="7"/>
      <c r="R2103" s="13"/>
      <c r="S2103" s="8"/>
      <c r="T2103" s="8"/>
      <c r="U2103" s="19" t="str">
        <f>HYPERLINK("https://pbs.twimg.com/profile_images/580454031392391168/SlsAVzoS.jpg","View")</f>
        <v>View</v>
      </c>
      <c r="V2103" s="8"/>
      <c r="W2103" s="8"/>
      <c r="X2103" s="8"/>
      <c r="Y2103" s="8"/>
      <c r="Z2103" s="8"/>
    </row>
    <row r="2104" spans="1:26" ht="12.75">
      <c r="A2104" s="11">
        <v>43745.614317129628</v>
      </c>
      <c r="B2104" s="12" t="str">
        <f>HYPERLINK("https://twitter.com/materomutair","@materomutair")</f>
        <v>@materomutair</v>
      </c>
      <c r="C2104" s="13" t="s">
        <v>12885</v>
      </c>
      <c r="D2104" s="13" t="s">
        <v>1089</v>
      </c>
      <c r="E2104" s="12" t="str">
        <f>HYPERLINK("https://twitter.com/materomutair/status/1181324476610482177","1181324476610482177")</f>
        <v>1181324476610482177</v>
      </c>
      <c r="F2104" s="8"/>
      <c r="G2104" s="14" t="s">
        <v>12886</v>
      </c>
      <c r="H2104" s="8"/>
      <c r="I2104" s="15">
        <v>0</v>
      </c>
      <c r="J2104" s="15">
        <v>0</v>
      </c>
      <c r="K2104" s="12" t="str">
        <f>HYPERLINK("http://twitter.com","Twitter Web Client")</f>
        <v>Twitter Web Client</v>
      </c>
      <c r="L2104" s="16">
        <v>0</v>
      </c>
      <c r="M2104" s="16">
        <v>31</v>
      </c>
      <c r="N2104" s="16">
        <v>1</v>
      </c>
      <c r="O2104" s="17"/>
      <c r="P2104" s="18">
        <v>42067.174756944441</v>
      </c>
      <c r="Q2104" s="7"/>
      <c r="R2104" s="13"/>
      <c r="S2104" s="8"/>
      <c r="T2104" s="8"/>
      <c r="U2104" s="19" t="str">
        <f>HYPERLINK("https://pbs.twimg.com/profile_images/573094123156058112/Flw-N96T.jpeg","View")</f>
        <v>View</v>
      </c>
      <c r="V2104" s="8"/>
      <c r="W2104" s="8"/>
      <c r="X2104" s="8"/>
      <c r="Y2104" s="8"/>
      <c r="Z2104" s="8"/>
    </row>
    <row r="2105" spans="1:26" ht="12.75">
      <c r="A2105" s="11">
        <v>43745.614062499997</v>
      </c>
      <c r="B2105" s="12" t="str">
        <f>HYPERLINK("https://twitter.com/elsaaeed33","@elsaaeed33")</f>
        <v>@elsaaeed33</v>
      </c>
      <c r="C2105" s="13" t="s">
        <v>12890</v>
      </c>
      <c r="D2105" s="13" t="s">
        <v>12891</v>
      </c>
      <c r="E2105" s="12" t="str">
        <f>HYPERLINK("https://twitter.com/elsaaeed33/status/1181324382104358913","1181324382104358913")</f>
        <v>1181324382104358913</v>
      </c>
      <c r="F2105" s="8"/>
      <c r="G2105" s="14" t="s">
        <v>12892</v>
      </c>
      <c r="H2105" s="8"/>
      <c r="I2105" s="15">
        <v>0</v>
      </c>
      <c r="J2105" s="15">
        <v>0</v>
      </c>
      <c r="K2105" s="12" t="str">
        <f>HYPERLINK("http://twitter.com","Twitter Web Client")</f>
        <v>Twitter Web Client</v>
      </c>
      <c r="L2105" s="16">
        <v>7</v>
      </c>
      <c r="M2105" s="16">
        <v>34</v>
      </c>
      <c r="N2105" s="16">
        <v>0</v>
      </c>
      <c r="O2105" s="17"/>
      <c r="P2105" s="18">
        <v>42073.265879629631</v>
      </c>
      <c r="Q2105" s="8"/>
      <c r="R2105" s="8"/>
      <c r="S2105" s="8"/>
      <c r="T2105" s="8"/>
      <c r="U2105" s="19" t="str">
        <f>HYPERLINK("https://pbs.twimg.com/profile_images/575285803573620738/Q8k4qlK4.jpeg","View")</f>
        <v>View</v>
      </c>
      <c r="V2105" s="8"/>
      <c r="W2105" s="8"/>
      <c r="X2105" s="8"/>
      <c r="Y2105" s="8"/>
      <c r="Z2105" s="8"/>
    </row>
    <row r="2106" spans="1:26" ht="12.75">
      <c r="A2106" s="11">
        <v>43745.613634259258</v>
      </c>
      <c r="B2106" s="12" t="str">
        <f>HYPERLINK("https://twitter.com/fahadsodanger20","@fahadsodanger20")</f>
        <v>@fahadsodanger20</v>
      </c>
      <c r="C2106" s="13" t="s">
        <v>12898</v>
      </c>
      <c r="D2106" s="13" t="s">
        <v>12899</v>
      </c>
      <c r="E2106" s="12" t="str">
        <f>HYPERLINK("https://twitter.com/fahadsodanger20/status/1181324229159075841","1181324229159075841")</f>
        <v>1181324229159075841</v>
      </c>
      <c r="F2106" s="8"/>
      <c r="G2106" s="15"/>
      <c r="H2106" s="8"/>
      <c r="I2106" s="15">
        <v>3</v>
      </c>
      <c r="J2106" s="15">
        <v>2</v>
      </c>
      <c r="K2106" s="12" t="str">
        <f>HYPERLINK("http://twitter.com/download/iphone","Twitter for iPhone")</f>
        <v>Twitter for iPhone</v>
      </c>
      <c r="L2106" s="16">
        <v>594</v>
      </c>
      <c r="M2106" s="16">
        <v>251</v>
      </c>
      <c r="N2106" s="16">
        <v>0</v>
      </c>
      <c r="O2106" s="17"/>
      <c r="P2106" s="18">
        <v>43605.70684027778</v>
      </c>
      <c r="Q2106" s="8"/>
      <c r="R2106" s="8" t="s">
        <v>12900</v>
      </c>
      <c r="S2106" s="8"/>
      <c r="T2106" s="8"/>
      <c r="U2106" s="19" t="str">
        <f>HYPERLINK("https://pbs.twimg.com/profile_images/1163178188442390535/Xcn8FV--.jpg","View")</f>
        <v>View</v>
      </c>
      <c r="V2106" s="8"/>
      <c r="W2106" s="8"/>
      <c r="X2106" s="8"/>
      <c r="Y2106" s="8"/>
      <c r="Z2106" s="8"/>
    </row>
    <row r="2107" spans="1:26" ht="12.75">
      <c r="A2107" s="11">
        <v>43745.613599537042</v>
      </c>
      <c r="B2107" s="12" t="str">
        <f>HYPERLINK("https://twitter.com/Eldr3ani863M7md","@Eldr3ani863M7md")</f>
        <v>@Eldr3ani863M7md</v>
      </c>
      <c r="C2107" s="13" t="s">
        <v>12902</v>
      </c>
      <c r="D2107" s="13" t="s">
        <v>657</v>
      </c>
      <c r="E2107" s="12" t="str">
        <f>HYPERLINK("https://twitter.com/Eldr3ani863M7md/status/1181324213766033410","1181324213766033410")</f>
        <v>1181324213766033410</v>
      </c>
      <c r="F2107" s="8"/>
      <c r="G2107" s="14" t="s">
        <v>12903</v>
      </c>
      <c r="H2107" s="8"/>
      <c r="I2107" s="15">
        <v>0</v>
      </c>
      <c r="J2107" s="15">
        <v>0</v>
      </c>
      <c r="K2107" s="12" t="str">
        <f>HYPERLINK("http://twitter.com","Twitter Web Client")</f>
        <v>Twitter Web Client</v>
      </c>
      <c r="L2107" s="16">
        <v>1</v>
      </c>
      <c r="M2107" s="16">
        <v>28</v>
      </c>
      <c r="N2107" s="16">
        <v>0</v>
      </c>
      <c r="O2107" s="17"/>
      <c r="P2107" s="18">
        <v>41827.349652777775</v>
      </c>
      <c r="Q2107" s="8"/>
      <c r="R2107" s="8"/>
      <c r="S2107" s="8"/>
      <c r="T2107" s="8"/>
      <c r="U2107" s="19" t="str">
        <f>HYPERLINK("https://pbs.twimg.com/profile_images/486169562837045248/LrZQ0CGJ.jpeg","View")</f>
        <v>View</v>
      </c>
      <c r="V2107" s="8"/>
      <c r="W2107" s="8"/>
      <c r="X2107" s="8"/>
      <c r="Y2107" s="8"/>
      <c r="Z2107" s="8"/>
    </row>
    <row r="2108" spans="1:26" ht="12.75">
      <c r="A2108" s="11">
        <v>43745.61347222222</v>
      </c>
      <c r="B2108" s="12" t="str">
        <f>HYPERLINK("https://twitter.com/OasmaSultan","@OasmaSultan")</f>
        <v>@OasmaSultan</v>
      </c>
      <c r="C2108" s="13" t="s">
        <v>6686</v>
      </c>
      <c r="D2108" s="13" t="s">
        <v>1902</v>
      </c>
      <c r="E2108" s="12" t="str">
        <f>HYPERLINK("https://twitter.com/OasmaSultan/status/1181324168383610881","1181324168383610881")</f>
        <v>1181324168383610881</v>
      </c>
      <c r="F2108" s="8"/>
      <c r="G2108" s="14" t="s">
        <v>12907</v>
      </c>
      <c r="H2108" s="8"/>
      <c r="I2108" s="15">
        <v>0</v>
      </c>
      <c r="J2108" s="15">
        <v>0</v>
      </c>
      <c r="K2108" s="12" t="str">
        <f>HYPERLINK("http://twitter.com","Twitter Web Client")</f>
        <v>Twitter Web Client</v>
      </c>
      <c r="L2108" s="16">
        <v>0</v>
      </c>
      <c r="M2108" s="16">
        <v>38</v>
      </c>
      <c r="N2108" s="16">
        <v>0</v>
      </c>
      <c r="O2108" s="17"/>
      <c r="P2108" s="18">
        <v>42073.755104166667</v>
      </c>
      <c r="Q2108" s="8"/>
      <c r="R2108" s="8"/>
      <c r="S2108" s="8"/>
      <c r="T2108" s="8"/>
      <c r="U2108" s="19" t="str">
        <f>HYPERLINK("https://pbs.twimg.com/profile_images/575464957287923713/tBtPtVOu.jpeg","View")</f>
        <v>View</v>
      </c>
      <c r="V2108" s="8"/>
      <c r="W2108" s="8"/>
      <c r="X2108" s="8"/>
      <c r="Y2108" s="8"/>
      <c r="Z2108" s="8"/>
    </row>
    <row r="2109" spans="1:26" ht="12.75">
      <c r="A2109" s="11">
        <v>43745.613437499997</v>
      </c>
      <c r="B2109" s="12" t="str">
        <f>HYPERLINK("https://twitter.com/8_steveo","@8_steveo")</f>
        <v>@8_steveo</v>
      </c>
      <c r="C2109" s="13" t="s">
        <v>12914</v>
      </c>
      <c r="D2109" s="13" t="s">
        <v>12915</v>
      </c>
      <c r="E2109" s="12" t="str">
        <f>HYPERLINK("https://twitter.com/8_steveo/status/1181324154374541312","1181324154374541312")</f>
        <v>1181324154374541312</v>
      </c>
      <c r="F2109" s="8"/>
      <c r="G2109" s="15"/>
      <c r="H2109" s="8"/>
      <c r="I2109" s="15">
        <v>0</v>
      </c>
      <c r="J2109" s="15">
        <v>0</v>
      </c>
      <c r="K2109" s="12" t="str">
        <f>HYPERLINK("https://mobile.twitter.com","Twitter Web App")</f>
        <v>Twitter Web App</v>
      </c>
      <c r="L2109" s="16">
        <v>16</v>
      </c>
      <c r="M2109" s="16">
        <v>549</v>
      </c>
      <c r="N2109" s="16">
        <v>1</v>
      </c>
      <c r="O2109" s="17"/>
      <c r="P2109" s="18">
        <v>43556.760671296295</v>
      </c>
      <c r="Q2109" s="7" t="s">
        <v>12916</v>
      </c>
      <c r="R2109" s="13" t="s">
        <v>12917</v>
      </c>
      <c r="S2109" s="8"/>
      <c r="T2109" s="8"/>
      <c r="U2109" s="19" t="str">
        <f>HYPERLINK("https://pbs.twimg.com/profile_images/1174792378999160832/5KBMZ9y7.jpg","View")</f>
        <v>View</v>
      </c>
      <c r="V2109" s="8"/>
      <c r="W2109" s="8"/>
      <c r="X2109" s="8"/>
      <c r="Y2109" s="8"/>
      <c r="Z2109" s="8"/>
    </row>
    <row r="2110" spans="1:26" ht="12.75">
      <c r="A2110" s="11">
        <v>43745.610960648148</v>
      </c>
      <c r="B2110" s="12" t="str">
        <f>HYPERLINK("https://twitter.com/KasemKoraity","@KasemKoraity")</f>
        <v>@KasemKoraity</v>
      </c>
      <c r="C2110" s="13" t="s">
        <v>12928</v>
      </c>
      <c r="D2110" s="13" t="s">
        <v>2918</v>
      </c>
      <c r="E2110" s="12" t="str">
        <f>HYPERLINK("https://twitter.com/KasemKoraity/status/1181323260216172544","1181323260216172544")</f>
        <v>1181323260216172544</v>
      </c>
      <c r="F2110" s="8"/>
      <c r="G2110" s="14" t="s">
        <v>12929</v>
      </c>
      <c r="H2110" s="8"/>
      <c r="I2110" s="15">
        <v>0</v>
      </c>
      <c r="J2110" s="15">
        <v>0</v>
      </c>
      <c r="K2110" s="12" t="str">
        <f>HYPERLINK("http://twitter.com","Twitter Web Client")</f>
        <v>Twitter Web Client</v>
      </c>
      <c r="L2110" s="16">
        <v>2</v>
      </c>
      <c r="M2110" s="16">
        <v>31</v>
      </c>
      <c r="N2110" s="16">
        <v>0</v>
      </c>
      <c r="O2110" s="17"/>
      <c r="P2110" s="18">
        <v>41828.247824074075</v>
      </c>
      <c r="Q2110" s="7"/>
      <c r="R2110" s="13"/>
      <c r="S2110" s="8"/>
      <c r="T2110" s="8"/>
      <c r="U2110" s="19" t="str">
        <f>HYPERLINK("https://pbs.twimg.com/profile_images/486494382715961344/YCPv_Tjb.jpeg","View")</f>
        <v>View</v>
      </c>
      <c r="V2110" s="8"/>
      <c r="W2110" s="8"/>
      <c r="X2110" s="8"/>
      <c r="Y2110" s="8"/>
      <c r="Z2110" s="8"/>
    </row>
    <row r="2111" spans="1:26" ht="12.75">
      <c r="A2111" s="11">
        <v>43745.610069444447</v>
      </c>
      <c r="B2111" s="12" t="str">
        <f>HYPERLINK("https://twitter.com/alharabiie787","@alharabiie787")</f>
        <v>@alharabiie787</v>
      </c>
      <c r="C2111" s="13" t="s">
        <v>12930</v>
      </c>
      <c r="D2111" s="7" t="s">
        <v>6675</v>
      </c>
      <c r="E2111" s="12" t="str">
        <f>HYPERLINK("https://twitter.com/alharabiie787/status/1181322936571109376","1181322936571109376")</f>
        <v>1181322936571109376</v>
      </c>
      <c r="F2111" s="8"/>
      <c r="G2111" s="14" t="s">
        <v>12931</v>
      </c>
      <c r="H2111" s="8"/>
      <c r="I2111" s="15">
        <v>0</v>
      </c>
      <c r="J2111" s="15">
        <v>0</v>
      </c>
      <c r="K2111" s="12" t="str">
        <f>HYPERLINK("http://twitter.com","Twitter Web Client")</f>
        <v>Twitter Web Client</v>
      </c>
      <c r="L2111" s="16">
        <v>19</v>
      </c>
      <c r="M2111" s="16">
        <v>42</v>
      </c>
      <c r="N2111" s="16">
        <v>0</v>
      </c>
      <c r="O2111" s="17"/>
      <c r="P2111" s="18">
        <v>42071.613981481481</v>
      </c>
      <c r="Q2111" s="7"/>
      <c r="R2111" s="13"/>
      <c r="S2111" s="8"/>
      <c r="T2111" s="8"/>
      <c r="U2111" s="19" t="str">
        <f>HYPERLINK("https://pbs.twimg.com/profile_images/574687219467689984/E-IffZxm.jpeg","View")</f>
        <v>View</v>
      </c>
      <c r="V2111" s="8"/>
      <c r="W2111" s="8"/>
      <c r="X2111" s="8"/>
      <c r="Y2111" s="8"/>
      <c r="Z2111" s="8"/>
    </row>
    <row r="2112" spans="1:26" ht="12.75">
      <c r="A2112" s="11">
        <v>43745.609328703707</v>
      </c>
      <c r="B2112" s="12" t="str">
        <f>HYPERLINK("https://twitter.com/elgareed433","@elgareed433")</f>
        <v>@elgareed433</v>
      </c>
      <c r="C2112" s="13" t="s">
        <v>12934</v>
      </c>
      <c r="D2112" s="13" t="s">
        <v>12935</v>
      </c>
      <c r="E2112" s="12" t="str">
        <f>HYPERLINK("https://twitter.com/elgareed433/status/1181322668248883200","1181322668248883200")</f>
        <v>1181322668248883200</v>
      </c>
      <c r="F2112" s="8"/>
      <c r="G2112" s="14" t="s">
        <v>12937</v>
      </c>
      <c r="H2112" s="8"/>
      <c r="I2112" s="15">
        <v>0</v>
      </c>
      <c r="J2112" s="15">
        <v>0</v>
      </c>
      <c r="K2112" s="12" t="str">
        <f>HYPERLINK("http://twitter.com","Twitter Web Client")</f>
        <v>Twitter Web Client</v>
      </c>
      <c r="L2112" s="16">
        <v>3</v>
      </c>
      <c r="M2112" s="16">
        <v>46</v>
      </c>
      <c r="N2112" s="16">
        <v>0</v>
      </c>
      <c r="O2112" s="17"/>
      <c r="P2112" s="18">
        <v>42073.427222222221</v>
      </c>
      <c r="Q2112" s="8"/>
      <c r="R2112" s="8"/>
      <c r="S2112" s="8"/>
      <c r="T2112" s="8"/>
      <c r="U2112" s="19" t="str">
        <f>HYPERLINK("https://pbs.twimg.com/profile_images/575344284796252160/c4PTUG2R.jpeg","View")</f>
        <v>View</v>
      </c>
      <c r="V2112" s="8"/>
      <c r="W2112" s="8"/>
      <c r="X2112" s="8"/>
      <c r="Y2112" s="8"/>
      <c r="Z2112" s="8"/>
    </row>
    <row r="2113" spans="1:26" ht="12.75">
      <c r="A2113" s="11">
        <v>43745.608958333338</v>
      </c>
      <c r="B2113" s="12" t="str">
        <f>HYPERLINK("https://twitter.com/RafatAlblaa","@RafatAlblaa")</f>
        <v>@RafatAlblaa</v>
      </c>
      <c r="C2113" s="13" t="s">
        <v>12940</v>
      </c>
      <c r="D2113" s="13" t="s">
        <v>12941</v>
      </c>
      <c r="E2113" s="12" t="str">
        <f>HYPERLINK("https://twitter.com/RafatAlblaa/status/1181322532500189191","1181322532500189191")</f>
        <v>1181322532500189191</v>
      </c>
      <c r="F2113" s="8"/>
      <c r="G2113" s="14" t="s">
        <v>12942</v>
      </c>
      <c r="H2113" s="8"/>
      <c r="I2113" s="15">
        <v>0</v>
      </c>
      <c r="J2113" s="15">
        <v>0</v>
      </c>
      <c r="K2113" s="12" t="str">
        <f>HYPERLINK("http://twitter.com","Twitter Web Client")</f>
        <v>Twitter Web Client</v>
      </c>
      <c r="L2113" s="16">
        <v>7</v>
      </c>
      <c r="M2113" s="16">
        <v>40</v>
      </c>
      <c r="N2113" s="16">
        <v>0</v>
      </c>
      <c r="O2113" s="17"/>
      <c r="P2113" s="18">
        <v>42072.218900462962</v>
      </c>
      <c r="Q2113" s="8"/>
      <c r="R2113" s="8"/>
      <c r="S2113" s="8"/>
      <c r="T2113" s="8"/>
      <c r="U2113" s="19" t="str">
        <f>HYPERLINK("https://pbs.twimg.com/profile_images/574912142119280641/s8hIeH3A.jpeg","View")</f>
        <v>View</v>
      </c>
      <c r="V2113" s="8"/>
      <c r="W2113" s="8"/>
      <c r="X2113" s="8"/>
      <c r="Y2113" s="8"/>
      <c r="Z2113" s="8"/>
    </row>
    <row r="2114" spans="1:26" ht="12.75">
      <c r="A2114" s="11">
        <v>43745.608055555553</v>
      </c>
      <c r="B2114" s="12" t="str">
        <f>HYPERLINK("https://twitter.com/mohammedkherst2","@mohammedkherst2")</f>
        <v>@mohammedkherst2</v>
      </c>
      <c r="C2114" s="13" t="s">
        <v>12948</v>
      </c>
      <c r="D2114" s="7" t="s">
        <v>12949</v>
      </c>
      <c r="E2114" s="12" t="str">
        <f>HYPERLINK("https://twitter.com/mohammedkherst2/status/1181322207227715584","1181322207227715584")</f>
        <v>1181322207227715584</v>
      </c>
      <c r="F2114" s="8"/>
      <c r="G2114" s="14" t="s">
        <v>12951</v>
      </c>
      <c r="H2114" s="8"/>
      <c r="I2114" s="15">
        <v>0</v>
      </c>
      <c r="J2114" s="15">
        <v>0</v>
      </c>
      <c r="K2114" s="12" t="str">
        <f>HYPERLINK("http://twitter.com","Twitter Web Client")</f>
        <v>Twitter Web Client</v>
      </c>
      <c r="L2114" s="16">
        <v>1</v>
      </c>
      <c r="M2114" s="16">
        <v>33</v>
      </c>
      <c r="N2114" s="16">
        <v>0</v>
      </c>
      <c r="O2114" s="17"/>
      <c r="P2114" s="18">
        <v>41850.389780092592</v>
      </c>
      <c r="Q2114" s="7"/>
      <c r="R2114" s="13"/>
      <c r="S2114" s="8"/>
      <c r="T2114" s="8"/>
      <c r="U2114" s="19" t="str">
        <f>HYPERLINK("https://pbs.twimg.com/profile_images/494518296134172676/Aig5MBkG.jpeg","View")</f>
        <v>View</v>
      </c>
      <c r="V2114" s="8"/>
      <c r="W2114" s="8"/>
      <c r="X2114" s="8"/>
      <c r="Y2114" s="8"/>
      <c r="Z2114" s="8"/>
    </row>
    <row r="2115" spans="1:26" ht="12.75">
      <c r="A2115" s="11">
        <v>43745.607025462959</v>
      </c>
      <c r="B2115" s="12" t="str">
        <f>HYPERLINK("https://twitter.com/abboudslaves","@abboudslaves")</f>
        <v>@abboudslaves</v>
      </c>
      <c r="C2115" s="13" t="s">
        <v>12957</v>
      </c>
      <c r="D2115" s="7" t="s">
        <v>10383</v>
      </c>
      <c r="E2115" s="12" t="str">
        <f>HYPERLINK("https://twitter.com/abboudslaves/status/1181321832126910464","1181321832126910464")</f>
        <v>1181321832126910464</v>
      </c>
      <c r="F2115" s="8"/>
      <c r="G2115" s="14" t="s">
        <v>12958</v>
      </c>
      <c r="H2115" s="8"/>
      <c r="I2115" s="15">
        <v>0</v>
      </c>
      <c r="J2115" s="15">
        <v>0</v>
      </c>
      <c r="K2115" s="12" t="str">
        <f>HYPERLINK("http://twitter.com","Twitter Web Client")</f>
        <v>Twitter Web Client</v>
      </c>
      <c r="L2115" s="16">
        <v>1</v>
      </c>
      <c r="M2115" s="16">
        <v>42</v>
      </c>
      <c r="N2115" s="16">
        <v>0</v>
      </c>
      <c r="O2115" s="17"/>
      <c r="P2115" s="18">
        <v>42071.197372685187</v>
      </c>
      <c r="Q2115" s="7"/>
      <c r="R2115" s="13"/>
      <c r="S2115" s="8"/>
      <c r="T2115" s="8"/>
      <c r="U2115" s="19" t="str">
        <f>HYPERLINK("https://pbs.twimg.com/profile_images/574536367989895168/QP1hnp-C.jpeg","View")</f>
        <v>View</v>
      </c>
      <c r="V2115" s="8"/>
      <c r="W2115" s="8"/>
      <c r="X2115" s="8"/>
      <c r="Y2115" s="8"/>
      <c r="Z2115" s="8"/>
    </row>
    <row r="2116" spans="1:26" ht="12.75">
      <c r="A2116" s="11">
        <v>43745.606898148151</v>
      </c>
      <c r="B2116" s="12" t="str">
        <f>HYPERLINK("https://twitter.com/ayassa3232","@ayassa3232")</f>
        <v>@ayassa3232</v>
      </c>
      <c r="C2116" s="7" t="s">
        <v>12960</v>
      </c>
      <c r="D2116" s="7" t="s">
        <v>932</v>
      </c>
      <c r="E2116" s="12" t="str">
        <f>HYPERLINK("https://twitter.com/ayassa3232/status/1181321786262216705","1181321786262216705")</f>
        <v>1181321786262216705</v>
      </c>
      <c r="F2116" s="8"/>
      <c r="G2116" s="14" t="s">
        <v>12961</v>
      </c>
      <c r="H2116" s="8"/>
      <c r="I2116" s="15">
        <v>0</v>
      </c>
      <c r="J2116" s="15">
        <v>0</v>
      </c>
      <c r="K2116" s="12" t="str">
        <f>HYPERLINK("http://twitter.com","Twitter Web Client")</f>
        <v>Twitter Web Client</v>
      </c>
      <c r="L2116" s="16">
        <v>5</v>
      </c>
      <c r="M2116" s="16">
        <v>36</v>
      </c>
      <c r="N2116" s="16">
        <v>0</v>
      </c>
      <c r="O2116" s="17"/>
      <c r="P2116" s="18">
        <v>42077.252534722225</v>
      </c>
      <c r="Q2116" s="7"/>
      <c r="R2116" s="7"/>
      <c r="S2116" s="8"/>
      <c r="T2116" s="8"/>
      <c r="U2116" s="19" t="str">
        <f>HYPERLINK("https://pbs.twimg.com/profile_images/576730540402855936/aZ4EQHeE.jpeg","View")</f>
        <v>View</v>
      </c>
      <c r="V2116" s="8"/>
      <c r="W2116" s="8"/>
      <c r="X2116" s="8"/>
      <c r="Y2116" s="8"/>
      <c r="Z2116" s="8"/>
    </row>
    <row r="2117" spans="1:26" ht="12.75">
      <c r="A2117" s="11">
        <v>43745.606770833328</v>
      </c>
      <c r="B2117" s="12" t="str">
        <f>HYPERLINK("https://twitter.com/elmaza3al00","@elmaza3al00")</f>
        <v>@elmaza3al00</v>
      </c>
      <c r="C2117" s="13" t="s">
        <v>12962</v>
      </c>
      <c r="D2117" s="7" t="s">
        <v>12963</v>
      </c>
      <c r="E2117" s="12" t="str">
        <f>HYPERLINK("https://twitter.com/elmaza3al00/status/1181321739097296896","1181321739097296896")</f>
        <v>1181321739097296896</v>
      </c>
      <c r="F2117" s="8"/>
      <c r="G2117" s="14" t="s">
        <v>12964</v>
      </c>
      <c r="H2117" s="8"/>
      <c r="I2117" s="15">
        <v>0</v>
      </c>
      <c r="J2117" s="15">
        <v>0</v>
      </c>
      <c r="K2117" s="12" t="str">
        <f>HYPERLINK("http://twitter.com","Twitter Web Client")</f>
        <v>Twitter Web Client</v>
      </c>
      <c r="L2117" s="16">
        <v>13</v>
      </c>
      <c r="M2117" s="16">
        <v>37</v>
      </c>
      <c r="N2117" s="16">
        <v>0</v>
      </c>
      <c r="O2117" s="17"/>
      <c r="P2117" s="18">
        <v>42075.2262962963</v>
      </c>
      <c r="Q2117" s="7"/>
      <c r="R2117" s="13"/>
      <c r="S2117" s="8"/>
      <c r="T2117" s="8"/>
      <c r="U2117" s="19" t="str">
        <f>HYPERLINK("https://pbs.twimg.com/profile_images/575996270680010752/CnVfKy3e.jpeg","View")</f>
        <v>View</v>
      </c>
      <c r="V2117" s="8"/>
      <c r="W2117" s="8"/>
      <c r="X2117" s="8"/>
      <c r="Y2117" s="8"/>
      <c r="Z2117" s="8"/>
    </row>
    <row r="2118" spans="1:26" ht="12.75">
      <c r="A2118" s="11">
        <v>43745.605219907404</v>
      </c>
      <c r="B2118" s="12" t="str">
        <f>HYPERLINK("https://twitter.com/elrawely55","@elrawely55")</f>
        <v>@elrawely55</v>
      </c>
      <c r="C2118" s="13" t="s">
        <v>12968</v>
      </c>
      <c r="D2118" s="7" t="s">
        <v>3634</v>
      </c>
      <c r="E2118" s="12" t="str">
        <f>HYPERLINK("https://twitter.com/elrawely55/status/1181321176724971520","1181321176724971520")</f>
        <v>1181321176724971520</v>
      </c>
      <c r="F2118" s="8"/>
      <c r="G2118" s="14" t="s">
        <v>12969</v>
      </c>
      <c r="H2118" s="8"/>
      <c r="I2118" s="15">
        <v>0</v>
      </c>
      <c r="J2118" s="15">
        <v>0</v>
      </c>
      <c r="K2118" s="12" t="str">
        <f>HYPERLINK("http://twitter.com","Twitter Web Client")</f>
        <v>Twitter Web Client</v>
      </c>
      <c r="L2118" s="16">
        <v>12</v>
      </c>
      <c r="M2118" s="16">
        <v>34</v>
      </c>
      <c r="N2118" s="16">
        <v>0</v>
      </c>
      <c r="O2118" s="17"/>
      <c r="P2118" s="18">
        <v>42076.532430555555</v>
      </c>
      <c r="Q2118" s="7"/>
      <c r="R2118" s="13"/>
      <c r="S2118" s="8"/>
      <c r="T2118" s="8"/>
      <c r="U2118" s="19" t="str">
        <f>HYPERLINK("https://pbs.twimg.com/profile_images/576469626336337922/tfb3TGFs.jpeg","View")</f>
        <v>View</v>
      </c>
      <c r="V2118" s="8"/>
      <c r="W2118" s="8"/>
      <c r="X2118" s="8"/>
      <c r="Y2118" s="8"/>
      <c r="Z2118" s="8"/>
    </row>
    <row r="2119" spans="1:26" ht="12.75">
      <c r="A2119" s="11">
        <v>43745.604965277773</v>
      </c>
      <c r="B2119" s="12" t="str">
        <f>HYPERLINK("https://twitter.com/sauieahl","@sauieahl")</f>
        <v>@sauieahl</v>
      </c>
      <c r="C2119" s="7" t="s">
        <v>144</v>
      </c>
      <c r="D2119" s="13" t="s">
        <v>494</v>
      </c>
      <c r="E2119" s="12" t="str">
        <f>HYPERLINK("https://twitter.com/sauieahl/status/1181321085243056133","1181321085243056133")</f>
        <v>1181321085243056133</v>
      </c>
      <c r="F2119" s="15"/>
      <c r="G2119" s="14" t="s">
        <v>12972</v>
      </c>
      <c r="H2119" s="8"/>
      <c r="I2119" s="15">
        <v>0</v>
      </c>
      <c r="J2119" s="15">
        <v>0</v>
      </c>
      <c r="K2119" s="12" t="str">
        <f>HYPERLINK("http://twitter.com","Twitter Web Client")</f>
        <v>Twitter Web Client</v>
      </c>
      <c r="L2119" s="16">
        <v>0</v>
      </c>
      <c r="M2119" s="16">
        <v>35</v>
      </c>
      <c r="N2119" s="16">
        <v>0</v>
      </c>
      <c r="O2119" s="17"/>
      <c r="P2119" s="18">
        <v>42068.505844907406</v>
      </c>
      <c r="Q2119" s="13"/>
      <c r="R2119" s="8"/>
      <c r="S2119" s="8"/>
      <c r="T2119" s="8"/>
      <c r="U2119" s="19" t="str">
        <f>HYPERLINK("https://pbs.twimg.com/profile_images/573576645912629249/ux5v0IMU.jpeg","View")</f>
        <v>View</v>
      </c>
      <c r="V2119" s="8"/>
      <c r="W2119" s="8"/>
      <c r="X2119" s="8"/>
      <c r="Y2119" s="8"/>
      <c r="Z2119" s="8"/>
    </row>
    <row r="2120" spans="1:26" ht="12.75">
      <c r="A2120" s="11">
        <v>43745.60456018518</v>
      </c>
      <c r="B2120" s="12" t="str">
        <f>HYPERLINK("https://twitter.com/khalifa_mobarak","@khalifa_mobarak")</f>
        <v>@khalifa_mobarak</v>
      </c>
      <c r="C2120" s="7" t="s">
        <v>12977</v>
      </c>
      <c r="D2120" s="7" t="s">
        <v>300</v>
      </c>
      <c r="E2120" s="12" t="str">
        <f>HYPERLINK("https://twitter.com/khalifa_mobarak/status/1181320937477672960","1181320937477672960")</f>
        <v>1181320937477672960</v>
      </c>
      <c r="F2120" s="8"/>
      <c r="G2120" s="14" t="s">
        <v>12978</v>
      </c>
      <c r="H2120" s="8"/>
      <c r="I2120" s="15">
        <v>0</v>
      </c>
      <c r="J2120" s="15">
        <v>0</v>
      </c>
      <c r="K2120" s="12" t="str">
        <f>HYPERLINK("http://twitter.com","Twitter Web Client")</f>
        <v>Twitter Web Client</v>
      </c>
      <c r="L2120" s="16">
        <v>1</v>
      </c>
      <c r="M2120" s="16">
        <v>37</v>
      </c>
      <c r="N2120" s="16">
        <v>0</v>
      </c>
      <c r="O2120" s="17"/>
      <c r="P2120" s="18">
        <v>42082.201631944445</v>
      </c>
      <c r="Q2120" s="8"/>
      <c r="R2120" s="8"/>
      <c r="S2120" s="8"/>
      <c r="T2120" s="8"/>
      <c r="U2120" s="19" t="str">
        <f>HYPERLINK("https://pbs.twimg.com/profile_images/578531042111434752/cuhfSlUJ.jpeg","View")</f>
        <v>View</v>
      </c>
      <c r="V2120" s="8"/>
      <c r="W2120" s="8"/>
      <c r="X2120" s="8"/>
      <c r="Y2120" s="8"/>
      <c r="Z2120" s="8"/>
    </row>
    <row r="2121" spans="1:26" ht="12.75">
      <c r="A2121" s="11">
        <v>43745.604178240741</v>
      </c>
      <c r="B2121" s="12" t="str">
        <f>HYPERLINK("https://twitter.com/aymanbinmohamm2","@aymanbinmohamm2")</f>
        <v>@aymanbinmohamm2</v>
      </c>
      <c r="C2121" s="7" t="s">
        <v>12980</v>
      </c>
      <c r="D2121" s="7" t="s">
        <v>12981</v>
      </c>
      <c r="E2121" s="12" t="str">
        <f>HYPERLINK("https://twitter.com/aymanbinmohamm2/status/1181320802085539843","1181320802085539843")</f>
        <v>1181320802085539843</v>
      </c>
      <c r="F2121" s="8"/>
      <c r="G2121" s="14" t="s">
        <v>12982</v>
      </c>
      <c r="H2121" s="8"/>
      <c r="I2121" s="15">
        <v>0</v>
      </c>
      <c r="J2121" s="15">
        <v>0</v>
      </c>
      <c r="K2121" s="12" t="str">
        <f>HYPERLINK("http://twitter.com","Twitter Web Client")</f>
        <v>Twitter Web Client</v>
      </c>
      <c r="L2121" s="16">
        <v>0</v>
      </c>
      <c r="M2121" s="16">
        <v>42</v>
      </c>
      <c r="N2121" s="16">
        <v>0</v>
      </c>
      <c r="O2121" s="17"/>
      <c r="P2121" s="18">
        <v>42071.207048611112</v>
      </c>
      <c r="Q2121" s="7"/>
      <c r="R2121" s="7"/>
      <c r="S2121" s="8"/>
      <c r="T2121" s="8"/>
      <c r="U2121" s="19" t="str">
        <f>HYPERLINK("https://pbs.twimg.com/profile_images/574539817700040704/tWad4c5E.jpeg","View")</f>
        <v>View</v>
      </c>
      <c r="V2121" s="8"/>
      <c r="W2121" s="8"/>
      <c r="X2121" s="8"/>
      <c r="Y2121" s="8"/>
      <c r="Z2121" s="8"/>
    </row>
    <row r="2122" spans="1:26" ht="12.75">
      <c r="A2122" s="11">
        <v>43745.604050925926</v>
      </c>
      <c r="B2122" s="12" t="str">
        <f>HYPERLINK("https://twitter.com/khaleda50479531","@khaleda50479531")</f>
        <v>@khaleda50479531</v>
      </c>
      <c r="C2122" s="13" t="s">
        <v>12984</v>
      </c>
      <c r="D2122" s="13" t="s">
        <v>12986</v>
      </c>
      <c r="E2122" s="12" t="str">
        <f>HYPERLINK("https://twitter.com/khaleda50479531/status/1181320756246061057","1181320756246061057")</f>
        <v>1181320756246061057</v>
      </c>
      <c r="F2122" s="8"/>
      <c r="G2122" s="14" t="s">
        <v>12987</v>
      </c>
      <c r="H2122" s="8"/>
      <c r="I2122" s="15">
        <v>0</v>
      </c>
      <c r="J2122" s="15">
        <v>0</v>
      </c>
      <c r="K2122" s="12" t="str">
        <f>HYPERLINK("http://twitter.com","Twitter Web Client")</f>
        <v>Twitter Web Client</v>
      </c>
      <c r="L2122" s="16">
        <v>6</v>
      </c>
      <c r="M2122" s="16">
        <v>42</v>
      </c>
      <c r="N2122" s="16">
        <v>0</v>
      </c>
      <c r="O2122" s="17"/>
      <c r="P2122" s="18">
        <v>42071.578333333338</v>
      </c>
      <c r="Q2122" s="8"/>
      <c r="R2122" s="8"/>
      <c r="S2122" s="8"/>
      <c r="T2122" s="8"/>
      <c r="U2122" s="19" t="str">
        <f>HYPERLINK("https://pbs.twimg.com/profile_images/574674387988705280/JbqsTLKV.jpeg","View")</f>
        <v>View</v>
      </c>
      <c r="V2122" s="8"/>
      <c r="W2122" s="8"/>
      <c r="X2122" s="8"/>
      <c r="Y2122" s="8"/>
      <c r="Z2122" s="8"/>
    </row>
    <row r="2123" spans="1:26" ht="12.75">
      <c r="A2123" s="11">
        <v>43745.603518518517</v>
      </c>
      <c r="B2123" s="12" t="str">
        <f>HYPERLINK("https://twitter.com/faisalshathri1","@faisalshathri1")</f>
        <v>@faisalshathri1</v>
      </c>
      <c r="C2123" s="13" t="s">
        <v>12992</v>
      </c>
      <c r="D2123" s="13" t="s">
        <v>12994</v>
      </c>
      <c r="E2123" s="12" t="str">
        <f>HYPERLINK("https://twitter.com/faisalshathri1/status/1181320561470984192","1181320561470984192")</f>
        <v>1181320561470984192</v>
      </c>
      <c r="F2123" s="8"/>
      <c r="G2123" s="14" t="s">
        <v>12996</v>
      </c>
      <c r="H2123" s="8"/>
      <c r="I2123" s="15">
        <v>1</v>
      </c>
      <c r="J2123" s="15">
        <v>1</v>
      </c>
      <c r="K2123" s="12" t="str">
        <f>HYPERLINK("http://twitter.com","Twitter Web Client")</f>
        <v>Twitter Web Client</v>
      </c>
      <c r="L2123" s="16">
        <v>2</v>
      </c>
      <c r="M2123" s="16">
        <v>37</v>
      </c>
      <c r="N2123" s="16">
        <v>0</v>
      </c>
      <c r="O2123" s="17"/>
      <c r="P2123" s="18">
        <v>42079.826342592598</v>
      </c>
      <c r="Q2123" s="8"/>
      <c r="R2123" s="8"/>
      <c r="S2123" s="8"/>
      <c r="T2123" s="8"/>
      <c r="U2123" s="19" t="str">
        <f>HYPERLINK("https://pbs.twimg.com/profile_images/577663728130203648/ZACEmAOa.jpeg","View")</f>
        <v>View</v>
      </c>
      <c r="V2123" s="8"/>
      <c r="W2123" s="8"/>
      <c r="X2123" s="8"/>
      <c r="Y2123" s="8"/>
      <c r="Z2123" s="8"/>
    </row>
    <row r="2124" spans="1:26" ht="12.75">
      <c r="A2124" s="11">
        <v>43745.603391203702</v>
      </c>
      <c r="B2124" s="12" t="str">
        <f>HYPERLINK("https://twitter.com/abdullahbinfal2","@abdullahbinfal2")</f>
        <v>@abdullahbinfal2</v>
      </c>
      <c r="C2124" s="13" t="s">
        <v>12999</v>
      </c>
      <c r="D2124" s="7" t="s">
        <v>13000</v>
      </c>
      <c r="E2124" s="12" t="str">
        <f>HYPERLINK("https://twitter.com/abdullahbinfal2/status/1181320517103636487","1181320517103636487")</f>
        <v>1181320517103636487</v>
      </c>
      <c r="F2124" s="8"/>
      <c r="G2124" s="14" t="s">
        <v>13003</v>
      </c>
      <c r="H2124" s="8"/>
      <c r="I2124" s="15">
        <v>0</v>
      </c>
      <c r="J2124" s="15">
        <v>0</v>
      </c>
      <c r="K2124" s="12" t="str">
        <f>HYPERLINK("http://twitter.com","Twitter Web Client")</f>
        <v>Twitter Web Client</v>
      </c>
      <c r="L2124" s="16">
        <v>4</v>
      </c>
      <c r="M2124" s="16">
        <v>41</v>
      </c>
      <c r="N2124" s="16">
        <v>0</v>
      </c>
      <c r="O2124" s="17"/>
      <c r="P2124" s="18">
        <v>42073.715428240743</v>
      </c>
      <c r="Q2124" s="7"/>
      <c r="R2124" s="13"/>
      <c r="S2124" s="8"/>
      <c r="T2124" s="8"/>
      <c r="U2124" s="19" t="str">
        <f>HYPERLINK("https://pbs.twimg.com/profile_images/575449029804343296/MufakFZ9.jpeg","View")</f>
        <v>View</v>
      </c>
      <c r="V2124" s="8"/>
      <c r="W2124" s="8"/>
      <c r="X2124" s="8"/>
      <c r="Y2124" s="8"/>
      <c r="Z2124" s="8"/>
    </row>
    <row r="2125" spans="1:26" ht="12.75">
      <c r="A2125" s="11">
        <v>43745.603148148148</v>
      </c>
      <c r="B2125" s="12" t="str">
        <f>HYPERLINK("https://twitter.com/FahdHatlan9","@FahdHatlan9")</f>
        <v>@FahdHatlan9</v>
      </c>
      <c r="C2125" s="13" t="s">
        <v>13009</v>
      </c>
      <c r="D2125" s="13" t="s">
        <v>13010</v>
      </c>
      <c r="E2125" s="12" t="str">
        <f>HYPERLINK("https://twitter.com/FahdHatlan9/status/1181320427399995393","1181320427399995393")</f>
        <v>1181320427399995393</v>
      </c>
      <c r="F2125" s="8"/>
      <c r="G2125" s="14" t="s">
        <v>13011</v>
      </c>
      <c r="H2125" s="8"/>
      <c r="I2125" s="15">
        <v>0</v>
      </c>
      <c r="J2125" s="15">
        <v>0</v>
      </c>
      <c r="K2125" s="12" t="str">
        <f>HYPERLINK("http://twitter.com","Twitter Web Client")</f>
        <v>Twitter Web Client</v>
      </c>
      <c r="L2125" s="16">
        <v>2</v>
      </c>
      <c r="M2125" s="16">
        <v>35</v>
      </c>
      <c r="N2125" s="16">
        <v>0</v>
      </c>
      <c r="O2125" s="17"/>
      <c r="P2125" s="18">
        <v>42078.261018518519</v>
      </c>
      <c r="Q2125" s="8"/>
      <c r="R2125" s="8"/>
      <c r="S2125" s="8"/>
      <c r="T2125" s="8"/>
      <c r="U2125" s="19" t="str">
        <f>HYPERLINK("https://pbs.twimg.com/profile_images/577096389068353536/ZbCNqbE1.jpeg","View")</f>
        <v>View</v>
      </c>
      <c r="V2125" s="8"/>
      <c r="W2125" s="8"/>
      <c r="X2125" s="8"/>
      <c r="Y2125" s="8"/>
      <c r="Z2125" s="8"/>
    </row>
    <row r="2126" spans="1:26" ht="12.75">
      <c r="A2126" s="11">
        <v>43745.602743055555</v>
      </c>
      <c r="B2126" s="12" t="str">
        <f>HYPERLINK("https://twitter.com/AdveryKazem","@AdveryKazem")</f>
        <v>@AdveryKazem</v>
      </c>
      <c r="C2126" s="13" t="s">
        <v>13019</v>
      </c>
      <c r="D2126" s="13" t="s">
        <v>13020</v>
      </c>
      <c r="E2126" s="12" t="str">
        <f>HYPERLINK("https://twitter.com/AdveryKazem/status/1181320279861141505","1181320279861141505")</f>
        <v>1181320279861141505</v>
      </c>
      <c r="F2126" s="8"/>
      <c r="G2126" s="14" t="s">
        <v>13021</v>
      </c>
      <c r="H2126" s="8"/>
      <c r="I2126" s="15">
        <v>0</v>
      </c>
      <c r="J2126" s="15">
        <v>0</v>
      </c>
      <c r="K2126" s="12" t="str">
        <f>HYPERLINK("http://twitter.com","Twitter Web Client")</f>
        <v>Twitter Web Client</v>
      </c>
      <c r="L2126" s="16">
        <v>3</v>
      </c>
      <c r="M2126" s="16">
        <v>36</v>
      </c>
      <c r="N2126" s="16">
        <v>0</v>
      </c>
      <c r="O2126" s="17"/>
      <c r="P2126" s="18">
        <v>42082.209826388891</v>
      </c>
      <c r="Q2126" s="8"/>
      <c r="R2126" s="8"/>
      <c r="S2126" s="8"/>
      <c r="T2126" s="8"/>
      <c r="U2126" s="19" t="str">
        <f>HYPERLINK("https://pbs.twimg.com/profile_images/578532419835457536/KauZiFsJ.jpeg","View")</f>
        <v>View</v>
      </c>
      <c r="V2126" s="8"/>
      <c r="W2126" s="8"/>
      <c r="X2126" s="8"/>
      <c r="Y2126" s="8"/>
      <c r="Z2126" s="8"/>
    </row>
    <row r="2127" spans="1:26" ht="12.75">
      <c r="A2127" s="11">
        <v>43745.602233796293</v>
      </c>
      <c r="B2127" s="12" t="str">
        <f>HYPERLINK("https://twitter.com/congrat72539157","@congrat72539157")</f>
        <v>@congrat72539157</v>
      </c>
      <c r="C2127" s="13" t="s">
        <v>13033</v>
      </c>
      <c r="D2127" s="13" t="s">
        <v>5689</v>
      </c>
      <c r="E2127" s="12" t="str">
        <f>HYPERLINK("https://twitter.com/congrat72539157/status/1181320097811648512","1181320097811648512")</f>
        <v>1181320097811648512</v>
      </c>
      <c r="F2127" s="8"/>
      <c r="G2127" s="14" t="s">
        <v>13034</v>
      </c>
      <c r="H2127" s="8"/>
      <c r="I2127" s="15">
        <v>0</v>
      </c>
      <c r="J2127" s="15">
        <v>0</v>
      </c>
      <c r="K2127" s="12" t="str">
        <f>HYPERLINK("http://twitter.com","Twitter Web Client")</f>
        <v>Twitter Web Client</v>
      </c>
      <c r="L2127" s="16">
        <v>6</v>
      </c>
      <c r="M2127" s="16">
        <v>44</v>
      </c>
      <c r="N2127" s="16">
        <v>0</v>
      </c>
      <c r="O2127" s="17"/>
      <c r="P2127" s="18">
        <v>42268.548043981486</v>
      </c>
      <c r="Q2127" s="8"/>
      <c r="R2127" s="8"/>
      <c r="S2127" s="8"/>
      <c r="T2127" s="8"/>
      <c r="U2127" s="19" t="str">
        <f>HYPERLINK("https://pbs.twimg.com/profile_images/646053811593699328/-7rVvV7a.jpg","View")</f>
        <v>View</v>
      </c>
      <c r="V2127" s="8"/>
      <c r="W2127" s="8"/>
      <c r="X2127" s="8"/>
      <c r="Y2127" s="8"/>
      <c r="Z2127" s="8"/>
    </row>
    <row r="2128" spans="1:26" ht="12.75">
      <c r="A2128" s="11">
        <v>43745.601446759261</v>
      </c>
      <c r="B2128" s="12" t="str">
        <f>HYPERLINK("https://twitter.com/abbaselfaisal","@abbaselfaisal")</f>
        <v>@abbaselfaisal</v>
      </c>
      <c r="C2128" s="13" t="s">
        <v>13038</v>
      </c>
      <c r="D2128" s="13" t="s">
        <v>13039</v>
      </c>
      <c r="E2128" s="12" t="str">
        <f>HYPERLINK("https://twitter.com/abbaselfaisal/status/1181319809474158593","1181319809474158593")</f>
        <v>1181319809474158593</v>
      </c>
      <c r="F2128" s="8"/>
      <c r="G2128" s="14" t="s">
        <v>13041</v>
      </c>
      <c r="H2128" s="8"/>
      <c r="I2128" s="15">
        <v>0</v>
      </c>
      <c r="J2128" s="15">
        <v>0</v>
      </c>
      <c r="K2128" s="12" t="str">
        <f>HYPERLINK("http://twitter.com","Twitter Web Client")</f>
        <v>Twitter Web Client</v>
      </c>
      <c r="L2128" s="16">
        <v>0</v>
      </c>
      <c r="M2128" s="16">
        <v>30</v>
      </c>
      <c r="N2128" s="16">
        <v>0</v>
      </c>
      <c r="O2128" s="17"/>
      <c r="P2128" s="18">
        <v>41822.211562500001</v>
      </c>
      <c r="Q2128" s="8"/>
      <c r="R2128" s="8"/>
      <c r="S2128" s="8"/>
      <c r="T2128" s="8"/>
      <c r="U2128" s="19" t="str">
        <f>HYPERLINK("https://pbs.twimg.com/profile_images/484306871302361088/qk49UU5u.jpeg","View")</f>
        <v>View</v>
      </c>
      <c r="V2128" s="8"/>
      <c r="W2128" s="8"/>
      <c r="X2128" s="8"/>
      <c r="Y2128" s="8"/>
      <c r="Z2128" s="8"/>
    </row>
    <row r="2129" spans="1:26" ht="12.75">
      <c r="A2129" s="11">
        <v>43745.600775462968</v>
      </c>
      <c r="B2129" s="12" t="str">
        <f>HYPERLINK("https://twitter.com/alarasee4_sew3","@alarasee4_sew3")</f>
        <v>@alarasee4_sew3</v>
      </c>
      <c r="C2129" s="13" t="s">
        <v>13046</v>
      </c>
      <c r="D2129" s="13" t="s">
        <v>4420</v>
      </c>
      <c r="E2129" s="12" t="str">
        <f>HYPERLINK("https://twitter.com/alarasee4_sew3/status/1181319568343670784","1181319568343670784")</f>
        <v>1181319568343670784</v>
      </c>
      <c r="F2129" s="8"/>
      <c r="G2129" s="14" t="s">
        <v>13047</v>
      </c>
      <c r="H2129" s="8"/>
      <c r="I2129" s="15">
        <v>0</v>
      </c>
      <c r="J2129" s="15">
        <v>0</v>
      </c>
      <c r="K2129" s="12" t="str">
        <f>HYPERLINK("http://twitter.com","Twitter Web Client")</f>
        <v>Twitter Web Client</v>
      </c>
      <c r="L2129" s="16">
        <v>0</v>
      </c>
      <c r="M2129" s="16">
        <v>49</v>
      </c>
      <c r="N2129" s="16">
        <v>0</v>
      </c>
      <c r="O2129" s="17"/>
      <c r="P2129" s="18">
        <v>42084.258483796293</v>
      </c>
      <c r="Q2129" s="7"/>
      <c r="R2129" s="13"/>
      <c r="S2129" s="15"/>
      <c r="T2129" s="8"/>
      <c r="U2129" s="19" t="str">
        <f>HYPERLINK("https://pbs.twimg.com/profile_images/579269430409998336/V7FqHo4k.jpg","View")</f>
        <v>View</v>
      </c>
      <c r="V2129" s="8"/>
      <c r="W2129" s="8"/>
      <c r="X2129" s="8"/>
      <c r="Y2129" s="8"/>
      <c r="Z2129" s="8"/>
    </row>
    <row r="2130" spans="1:26" ht="12.75">
      <c r="A2130" s="11">
        <v>43745.600648148145</v>
      </c>
      <c r="B2130" s="12" t="str">
        <f>HYPERLINK("https://twitter.com/alieashahrani","@alieashahrani")</f>
        <v>@alieashahrani</v>
      </c>
      <c r="C2130" s="13" t="s">
        <v>13051</v>
      </c>
      <c r="D2130" s="7" t="s">
        <v>13052</v>
      </c>
      <c r="E2130" s="12" t="str">
        <f>HYPERLINK("https://twitter.com/alieashahrani/status/1181319522239893509","1181319522239893509")</f>
        <v>1181319522239893509</v>
      </c>
      <c r="F2130" s="8"/>
      <c r="G2130" s="14" t="s">
        <v>13053</v>
      </c>
      <c r="H2130" s="8"/>
      <c r="I2130" s="15">
        <v>0</v>
      </c>
      <c r="J2130" s="15">
        <v>0</v>
      </c>
      <c r="K2130" s="12" t="str">
        <f>HYPERLINK("http://twitter.com","Twitter Web Client")</f>
        <v>Twitter Web Client</v>
      </c>
      <c r="L2130" s="16">
        <v>2</v>
      </c>
      <c r="M2130" s="16">
        <v>34</v>
      </c>
      <c r="N2130" s="16">
        <v>0</v>
      </c>
      <c r="O2130" s="17"/>
      <c r="P2130" s="18">
        <v>42084.827800925923</v>
      </c>
      <c r="Q2130" s="7"/>
      <c r="R2130" s="13"/>
      <c r="S2130" s="8"/>
      <c r="T2130" s="8"/>
      <c r="U2130" s="19" t="str">
        <f>HYPERLINK("https://pbs.twimg.com/profile_images/579476311015485441/KPHfe88Q.jpg","View")</f>
        <v>View</v>
      </c>
      <c r="V2130" s="8"/>
      <c r="W2130" s="8"/>
      <c r="X2130" s="8"/>
      <c r="Y2130" s="8"/>
      <c r="Z2130" s="8"/>
    </row>
    <row r="2131" spans="1:26" ht="12.75">
      <c r="A2131" s="11">
        <v>43745.599988425922</v>
      </c>
      <c r="B2131" s="12" t="str">
        <f>HYPERLINK("https://twitter.com/eabbud_alarkan","@eabbud_alarkan")</f>
        <v>@eabbud_alarkan</v>
      </c>
      <c r="C2131" s="13" t="s">
        <v>13056</v>
      </c>
      <c r="D2131" s="13" t="s">
        <v>13057</v>
      </c>
      <c r="E2131" s="12" t="str">
        <f>HYPERLINK("https://twitter.com/eabbud_alarkan/status/1181319283571351552","1181319283571351552")</f>
        <v>1181319283571351552</v>
      </c>
      <c r="F2131" s="8"/>
      <c r="G2131" s="14" t="s">
        <v>13058</v>
      </c>
      <c r="H2131" s="8"/>
      <c r="I2131" s="15">
        <v>0</v>
      </c>
      <c r="J2131" s="15">
        <v>0</v>
      </c>
      <c r="K2131" s="12" t="str">
        <f>HYPERLINK("http://twitter.com","Twitter Web Client")</f>
        <v>Twitter Web Client</v>
      </c>
      <c r="L2131" s="16">
        <v>22</v>
      </c>
      <c r="M2131" s="16">
        <v>104</v>
      </c>
      <c r="N2131" s="16">
        <v>0</v>
      </c>
      <c r="O2131" s="17"/>
      <c r="P2131" s="18">
        <v>41482.598310185189</v>
      </c>
      <c r="Q2131" s="8"/>
      <c r="R2131" s="8" t="s">
        <v>13059</v>
      </c>
      <c r="S2131" s="8"/>
      <c r="T2131" s="8"/>
      <c r="U2131" s="19" t="str">
        <f>HYPERLINK("https://pbs.twimg.com/profile_images/825102377879556096/SvE92XKG.jpg","View")</f>
        <v>View</v>
      </c>
      <c r="V2131" s="8"/>
      <c r="W2131" s="8"/>
      <c r="X2131" s="8"/>
      <c r="Y2131" s="8"/>
      <c r="Z2131" s="8"/>
    </row>
    <row r="2132" spans="1:26" ht="12.75">
      <c r="A2132" s="11">
        <v>43745.599606481483</v>
      </c>
      <c r="B2132" s="12" t="str">
        <f>HYPERLINK("https://twitter.com/elmoham443","@elmoham443")</f>
        <v>@elmoham443</v>
      </c>
      <c r="C2132" s="13" t="s">
        <v>13060</v>
      </c>
      <c r="D2132" s="13" t="s">
        <v>13061</v>
      </c>
      <c r="E2132" s="12" t="str">
        <f>HYPERLINK("https://twitter.com/elmoham443/status/1181319144400179200","1181319144400179200")</f>
        <v>1181319144400179200</v>
      </c>
      <c r="F2132" s="8"/>
      <c r="G2132" s="14" t="s">
        <v>13062</v>
      </c>
      <c r="H2132" s="8"/>
      <c r="I2132" s="15">
        <v>0</v>
      </c>
      <c r="J2132" s="15">
        <v>0</v>
      </c>
      <c r="K2132" s="12" t="str">
        <f>HYPERLINK("http://twitter.com","Twitter Web Client")</f>
        <v>Twitter Web Client</v>
      </c>
      <c r="L2132" s="16">
        <v>7</v>
      </c>
      <c r="M2132" s="16">
        <v>50</v>
      </c>
      <c r="N2132" s="16">
        <v>0</v>
      </c>
      <c r="O2132" s="17"/>
      <c r="P2132" s="18">
        <v>42072.655578703707</v>
      </c>
      <c r="Q2132" s="8"/>
      <c r="R2132" s="8"/>
      <c r="S2132" s="8"/>
      <c r="T2132" s="8"/>
      <c r="U2132" s="19" t="str">
        <f>HYPERLINK("https://pbs.twimg.com/profile_images/575064805129592832/69oNkP9j.jpeg","View")</f>
        <v>View</v>
      </c>
      <c r="V2132" s="8"/>
      <c r="W2132" s="8"/>
      <c r="X2132" s="8"/>
      <c r="Y2132" s="8"/>
      <c r="Z2132" s="8"/>
    </row>
    <row r="2133" spans="1:26" ht="12.75">
      <c r="A2133" s="11">
        <v>43745.599375000005</v>
      </c>
      <c r="B2133" s="12" t="str">
        <f>HYPERLINK("https://twitter.com/AlkahilaSaad","@AlkahilaSaad")</f>
        <v>@AlkahilaSaad</v>
      </c>
      <c r="C2133" s="7" t="s">
        <v>13065</v>
      </c>
      <c r="D2133" s="7" t="s">
        <v>13066</v>
      </c>
      <c r="E2133" s="12" t="str">
        <f>HYPERLINK("https://twitter.com/AlkahilaSaad/status/1181319058588946432","1181319058588946432")</f>
        <v>1181319058588946432</v>
      </c>
      <c r="F2133" s="8"/>
      <c r="G2133" s="14" t="s">
        <v>13067</v>
      </c>
      <c r="H2133" s="8"/>
      <c r="I2133" s="15">
        <v>0</v>
      </c>
      <c r="J2133" s="15">
        <v>0</v>
      </c>
      <c r="K2133" s="12" t="str">
        <f>HYPERLINK("http://twitter.com","Twitter Web Client")</f>
        <v>Twitter Web Client</v>
      </c>
      <c r="L2133" s="16">
        <v>3</v>
      </c>
      <c r="M2133" s="16">
        <v>25</v>
      </c>
      <c r="N2133" s="16">
        <v>0</v>
      </c>
      <c r="O2133" s="17"/>
      <c r="P2133" s="18">
        <v>42022.177083333328</v>
      </c>
      <c r="Q2133" s="8"/>
      <c r="R2133" s="8"/>
      <c r="S2133" s="8"/>
      <c r="T2133" s="8"/>
      <c r="U2133" s="19" t="str">
        <f>HYPERLINK("https://pbs.twimg.com/profile_images/556787438756954112/ffEkxycm.jpeg","View")</f>
        <v>View</v>
      </c>
      <c r="V2133" s="8"/>
      <c r="W2133" s="8"/>
      <c r="X2133" s="8"/>
      <c r="Y2133" s="8"/>
      <c r="Z2133" s="8"/>
    </row>
    <row r="2134" spans="1:26" ht="12.75">
      <c r="A2134" s="11">
        <v>43745.599120370374</v>
      </c>
      <c r="B2134" s="12" t="str">
        <f>HYPERLINK("https://twitter.com/otuieabi","@otuieabi")</f>
        <v>@otuieabi</v>
      </c>
      <c r="C2134" s="13" t="s">
        <v>13070</v>
      </c>
      <c r="D2134" s="13" t="s">
        <v>13071</v>
      </c>
      <c r="E2134" s="12" t="str">
        <f>HYPERLINK("https://twitter.com/otuieabi/status/1181318969602523136","1181318969602523136")</f>
        <v>1181318969602523136</v>
      </c>
      <c r="F2134" s="8"/>
      <c r="G2134" s="14" t="s">
        <v>13072</v>
      </c>
      <c r="H2134" s="8"/>
      <c r="I2134" s="15">
        <v>0</v>
      </c>
      <c r="J2134" s="15">
        <v>0</v>
      </c>
      <c r="K2134" s="12" t="str">
        <f>HYPERLINK("http://twitter.com","Twitter Web Client")</f>
        <v>Twitter Web Client</v>
      </c>
      <c r="L2134" s="16">
        <v>2</v>
      </c>
      <c r="M2134" s="16">
        <v>35</v>
      </c>
      <c r="N2134" s="16">
        <v>0</v>
      </c>
      <c r="O2134" s="17"/>
      <c r="P2134" s="18">
        <v>42069.152407407411</v>
      </c>
      <c r="Q2134" s="8"/>
      <c r="R2134" s="13"/>
      <c r="S2134" s="15"/>
      <c r="T2134" s="8"/>
      <c r="U2134" s="19" t="str">
        <f>HYPERLINK("https://pbs.twimg.com/profile_images/573811756465717248/LpJJUof5.jpeg","View")</f>
        <v>View</v>
      </c>
      <c r="V2134" s="8"/>
      <c r="W2134" s="8"/>
      <c r="X2134" s="8"/>
      <c r="Y2134" s="8"/>
      <c r="Z2134" s="8"/>
    </row>
    <row r="2135" spans="1:26" ht="12.75">
      <c r="A2135" s="11">
        <v>43745.598819444444</v>
      </c>
      <c r="B2135" s="12" t="str">
        <f>HYPERLINK("https://twitter.com/JJasseral","@JJasseral")</f>
        <v>@JJasseral</v>
      </c>
      <c r="C2135" s="13" t="s">
        <v>13076</v>
      </c>
      <c r="D2135" s="13" t="s">
        <v>13077</v>
      </c>
      <c r="E2135" s="12" t="str">
        <f>HYPERLINK("https://twitter.com/JJasseral/status/1181318861020372992","1181318861020372992")</f>
        <v>1181318861020372992</v>
      </c>
      <c r="F2135" s="8"/>
      <c r="G2135" s="14" t="s">
        <v>13078</v>
      </c>
      <c r="H2135" s="8"/>
      <c r="I2135" s="15">
        <v>0</v>
      </c>
      <c r="J2135" s="15">
        <v>0</v>
      </c>
      <c r="K2135" s="12" t="str">
        <f>HYPERLINK("http://twitter.com","Twitter Web Client")</f>
        <v>Twitter Web Client</v>
      </c>
      <c r="L2135" s="16">
        <v>0</v>
      </c>
      <c r="M2135" s="16">
        <v>35</v>
      </c>
      <c r="N2135" s="16">
        <v>0</v>
      </c>
      <c r="O2135" s="17"/>
      <c r="P2135" s="18">
        <v>41843.138368055559</v>
      </c>
      <c r="Q2135" s="8"/>
      <c r="R2135" s="8"/>
      <c r="S2135" s="8"/>
      <c r="T2135" s="8"/>
      <c r="U2135" s="19" t="str">
        <f>HYPERLINK("https://pbs.twimg.com/profile_images/491891173716267008/7J7QNDWG.jpeg","View")</f>
        <v>View</v>
      </c>
      <c r="V2135" s="8"/>
      <c r="W2135" s="8"/>
      <c r="X2135" s="8"/>
      <c r="Y2135" s="8"/>
      <c r="Z2135" s="8"/>
    </row>
    <row r="2136" spans="1:26" ht="12.75">
      <c r="A2136" s="11">
        <v>43745.598703703705</v>
      </c>
      <c r="B2136" s="12" t="str">
        <f>HYPERLINK("https://twitter.com/fahdalstami","@fahdalstami")</f>
        <v>@fahdalstami</v>
      </c>
      <c r="C2136" s="13" t="s">
        <v>13081</v>
      </c>
      <c r="D2136" s="13" t="s">
        <v>13082</v>
      </c>
      <c r="E2136" s="12" t="str">
        <f>HYPERLINK("https://twitter.com/fahdalstami/status/1181318816237789187","1181318816237789187")</f>
        <v>1181318816237789187</v>
      </c>
      <c r="F2136" s="8"/>
      <c r="G2136" s="14" t="s">
        <v>13083</v>
      </c>
      <c r="H2136" s="8"/>
      <c r="I2136" s="15">
        <v>0</v>
      </c>
      <c r="J2136" s="15">
        <v>0</v>
      </c>
      <c r="K2136" s="12" t="str">
        <f>HYPERLINK("http://twitter.com","Twitter Web Client")</f>
        <v>Twitter Web Client</v>
      </c>
      <c r="L2136" s="16">
        <v>1</v>
      </c>
      <c r="M2136" s="16">
        <v>42</v>
      </c>
      <c r="N2136" s="16">
        <v>0</v>
      </c>
      <c r="O2136" s="17"/>
      <c r="P2136" s="18">
        <v>42071.20376157407</v>
      </c>
      <c r="Q2136" s="8"/>
      <c r="R2136" s="8"/>
      <c r="S2136" s="8"/>
      <c r="T2136" s="8"/>
      <c r="U2136" s="19" t="str">
        <f>HYPERLINK("https://pbs.twimg.com/profile_images/574538628694564864/WIg01Yle.jpeg","View")</f>
        <v>View</v>
      </c>
      <c r="V2136" s="8"/>
      <c r="W2136" s="8"/>
      <c r="X2136" s="8"/>
      <c r="Y2136" s="8"/>
      <c r="Z2136" s="8"/>
    </row>
    <row r="2137" spans="1:26" ht="12.75">
      <c r="A2137" s="11">
        <v>43745.598449074074</v>
      </c>
      <c r="B2137" s="12" t="str">
        <f>HYPERLINK("https://twitter.com/abdaala_salh","@abdaala_salh")</f>
        <v>@abdaala_salh</v>
      </c>
      <c r="C2137" s="13" t="s">
        <v>13084</v>
      </c>
      <c r="D2137" s="7" t="s">
        <v>4110</v>
      </c>
      <c r="E2137" s="12" t="str">
        <f>HYPERLINK("https://twitter.com/abdaala_salh/status/1181318724416151553","1181318724416151553")</f>
        <v>1181318724416151553</v>
      </c>
      <c r="F2137" s="8"/>
      <c r="G2137" s="14" t="s">
        <v>13085</v>
      </c>
      <c r="H2137" s="8"/>
      <c r="I2137" s="15">
        <v>0</v>
      </c>
      <c r="J2137" s="15">
        <v>0</v>
      </c>
      <c r="K2137" s="12" t="str">
        <f>HYPERLINK("http://twitter.com","Twitter Web Client")</f>
        <v>Twitter Web Client</v>
      </c>
      <c r="L2137" s="16">
        <v>3</v>
      </c>
      <c r="M2137" s="16">
        <v>42</v>
      </c>
      <c r="N2137" s="16">
        <v>0</v>
      </c>
      <c r="O2137" s="17"/>
      <c r="P2137" s="18">
        <v>41845.767812500002</v>
      </c>
      <c r="Q2137" s="7"/>
      <c r="R2137" s="13"/>
      <c r="S2137" s="8"/>
      <c r="T2137" s="8"/>
      <c r="U2137" s="19" t="str">
        <f>HYPERLINK("https://pbs.twimg.com/profile_images/492843349481500672/2MWgQm21.jpeg","View")</f>
        <v>View</v>
      </c>
      <c r="V2137" s="8"/>
      <c r="W2137" s="8"/>
      <c r="X2137" s="8"/>
      <c r="Y2137" s="8"/>
      <c r="Z2137" s="8"/>
    </row>
    <row r="2138" spans="1:26" ht="12.75">
      <c r="A2138" s="11">
        <v>43745.597407407404</v>
      </c>
      <c r="B2138" s="12" t="str">
        <f>HYPERLINK("https://twitter.com/alazaa_yy","@alazaa_yy")</f>
        <v>@alazaa_yy</v>
      </c>
      <c r="C2138" s="13" t="s">
        <v>13086</v>
      </c>
      <c r="D2138" s="7" t="s">
        <v>13087</v>
      </c>
      <c r="E2138" s="12" t="str">
        <f>HYPERLINK("https://twitter.com/alazaa_yy/status/1181318349315280907","1181318349315280907")</f>
        <v>1181318349315280907</v>
      </c>
      <c r="F2138" s="8"/>
      <c r="G2138" s="14" t="s">
        <v>13088</v>
      </c>
      <c r="H2138" s="8"/>
      <c r="I2138" s="15">
        <v>0</v>
      </c>
      <c r="J2138" s="15">
        <v>0</v>
      </c>
      <c r="K2138" s="12" t="str">
        <f>HYPERLINK("http://twitter.com","Twitter Web Client")</f>
        <v>Twitter Web Client</v>
      </c>
      <c r="L2138" s="16">
        <v>9</v>
      </c>
      <c r="M2138" s="16">
        <v>38</v>
      </c>
      <c r="N2138" s="16">
        <v>0</v>
      </c>
      <c r="O2138" s="17"/>
      <c r="P2138" s="18">
        <v>42074.639918981484</v>
      </c>
      <c r="Q2138" s="7"/>
      <c r="R2138" s="13"/>
      <c r="S2138" s="8"/>
      <c r="T2138" s="8"/>
      <c r="U2138" s="19" t="str">
        <f>HYPERLINK("https://pbs.twimg.com/profile_images/575783906873511936/YpnUj5i0.jpeg","View")</f>
        <v>View</v>
      </c>
      <c r="V2138" s="8"/>
      <c r="W2138" s="8"/>
      <c r="X2138" s="8"/>
      <c r="Y2138" s="8"/>
      <c r="Z2138" s="8"/>
    </row>
    <row r="2139" spans="1:26" ht="12.75">
      <c r="A2139" s="11">
        <v>43745.597025462965</v>
      </c>
      <c r="B2139" s="12" t="str">
        <f>HYPERLINK("https://twitter.com/alyahyaa444","@alyahyaa444")</f>
        <v>@alyahyaa444</v>
      </c>
      <c r="C2139" s="13" t="s">
        <v>13092</v>
      </c>
      <c r="D2139" s="7" t="s">
        <v>13093</v>
      </c>
      <c r="E2139" s="12" t="str">
        <f>HYPERLINK("https://twitter.com/alyahyaa444/status/1181318210521649154","1181318210521649154")</f>
        <v>1181318210521649154</v>
      </c>
      <c r="F2139" s="8"/>
      <c r="G2139" s="14" t="s">
        <v>13094</v>
      </c>
      <c r="H2139" s="8"/>
      <c r="I2139" s="15">
        <v>0</v>
      </c>
      <c r="J2139" s="15">
        <v>0</v>
      </c>
      <c r="K2139" s="12" t="str">
        <f>HYPERLINK("http://twitter.com","Twitter Web Client")</f>
        <v>Twitter Web Client</v>
      </c>
      <c r="L2139" s="16">
        <v>3</v>
      </c>
      <c r="M2139" s="16">
        <v>36</v>
      </c>
      <c r="N2139" s="16">
        <v>0</v>
      </c>
      <c r="O2139" s="17"/>
      <c r="P2139" s="18">
        <v>42065.310486111106</v>
      </c>
      <c r="Q2139" s="7"/>
      <c r="R2139" s="13"/>
      <c r="S2139" s="8"/>
      <c r="T2139" s="8"/>
      <c r="U2139" s="19" t="str">
        <f>HYPERLINK("https://pbs.twimg.com/profile_images/572418072909078528/_im7-iW3.jpeg","View")</f>
        <v>View</v>
      </c>
      <c r="V2139" s="8"/>
      <c r="W2139" s="8"/>
      <c r="X2139" s="8"/>
      <c r="Y2139" s="8"/>
      <c r="Z2139" s="8"/>
    </row>
    <row r="2140" spans="1:26" ht="12.75">
      <c r="A2140" s="11">
        <v>43745.59642361111</v>
      </c>
      <c r="B2140" s="12" t="str">
        <f>HYPERLINK("https://twitter.com/arakh3014","@arakh3014")</f>
        <v>@arakh3014</v>
      </c>
      <c r="C2140" s="7" t="s">
        <v>13097</v>
      </c>
      <c r="D2140" s="7" t="s">
        <v>13098</v>
      </c>
      <c r="E2140" s="12" t="str">
        <f>HYPERLINK("https://twitter.com/arakh3014/status/1181317991310471169","1181317991310471169")</f>
        <v>1181317991310471169</v>
      </c>
      <c r="F2140" s="14" t="s">
        <v>13101</v>
      </c>
      <c r="G2140" s="14" t="s">
        <v>13103</v>
      </c>
      <c r="H2140" s="8"/>
      <c r="I2140" s="15">
        <v>0</v>
      </c>
      <c r="J2140" s="15">
        <v>0</v>
      </c>
      <c r="K2140" s="12" t="str">
        <f>HYPERLINK("http://twitter.com/download/android","Twitter for Android")</f>
        <v>Twitter for Android</v>
      </c>
      <c r="L2140" s="16">
        <v>1275</v>
      </c>
      <c r="M2140" s="16">
        <v>986</v>
      </c>
      <c r="N2140" s="16">
        <v>4</v>
      </c>
      <c r="O2140" s="17"/>
      <c r="P2140" s="18">
        <v>42068.355416666665</v>
      </c>
      <c r="Q2140" s="8"/>
      <c r="R2140" s="8"/>
      <c r="S2140" s="8"/>
      <c r="T2140" s="8"/>
      <c r="U2140" s="19" t="str">
        <f>HYPERLINK("https://pbs.twimg.com/profile_images/1053061627959001089/h0zQg87D.jpg","View")</f>
        <v>View</v>
      </c>
      <c r="V2140" s="8"/>
      <c r="W2140" s="8"/>
      <c r="X2140" s="8"/>
      <c r="Y2140" s="8"/>
      <c r="Z2140" s="8"/>
    </row>
    <row r="2141" spans="1:26" ht="12.75">
      <c r="A2141" s="11">
        <v>43745.595150462963</v>
      </c>
      <c r="B2141" s="12" t="str">
        <f>HYPERLINK("https://twitter.com/salimealerdadi","@salimealerdadi")</f>
        <v>@salimealerdadi</v>
      </c>
      <c r="C2141" s="13" t="s">
        <v>13110</v>
      </c>
      <c r="D2141" s="7" t="s">
        <v>13112</v>
      </c>
      <c r="E2141" s="12" t="str">
        <f>HYPERLINK("https://twitter.com/salimealerdadi/status/1181317530415177729","1181317530415177729")</f>
        <v>1181317530415177729</v>
      </c>
      <c r="F2141" s="8"/>
      <c r="G2141" s="14" t="s">
        <v>13114</v>
      </c>
      <c r="H2141" s="8"/>
      <c r="I2141" s="15">
        <v>0</v>
      </c>
      <c r="J2141" s="15">
        <v>0</v>
      </c>
      <c r="K2141" s="12" t="str">
        <f>HYPERLINK("http://twitter.com","Twitter Web Client")</f>
        <v>Twitter Web Client</v>
      </c>
      <c r="L2141" s="16">
        <v>13</v>
      </c>
      <c r="M2141" s="16">
        <v>43</v>
      </c>
      <c r="N2141" s="16">
        <v>0</v>
      </c>
      <c r="O2141" s="17"/>
      <c r="P2141" s="18">
        <v>42073.414942129632</v>
      </c>
      <c r="Q2141" s="7"/>
      <c r="R2141" s="13"/>
      <c r="S2141" s="8"/>
      <c r="T2141" s="8"/>
      <c r="U2141" s="19" t="str">
        <f>HYPERLINK("https://pbs.twimg.com/profile_images/575340519951200256/KOFVy9nP.jpeg","View")</f>
        <v>View</v>
      </c>
      <c r="V2141" s="8"/>
      <c r="W2141" s="8"/>
      <c r="X2141" s="8"/>
      <c r="Y2141" s="8"/>
      <c r="Z2141" s="8"/>
    </row>
    <row r="2142" spans="1:26" ht="12.75">
      <c r="A2142" s="11">
        <v>43745.595034722224</v>
      </c>
      <c r="B2142" s="12" t="str">
        <f>HYPERLINK("https://twitter.com/abdelbassetalab","@abdelbassetalab")</f>
        <v>@abdelbassetalab</v>
      </c>
      <c r="C2142" s="13" t="s">
        <v>13116</v>
      </c>
      <c r="D2142" s="7" t="s">
        <v>7811</v>
      </c>
      <c r="E2142" s="12" t="str">
        <f>HYPERLINK("https://twitter.com/abdelbassetalab/status/1181317487218089984","1181317487218089984")</f>
        <v>1181317487218089984</v>
      </c>
      <c r="F2142" s="8"/>
      <c r="G2142" s="14" t="s">
        <v>13117</v>
      </c>
      <c r="H2142" s="8"/>
      <c r="I2142" s="15">
        <v>0</v>
      </c>
      <c r="J2142" s="15">
        <v>0</v>
      </c>
      <c r="K2142" s="12" t="str">
        <f>HYPERLINK("http://twitter.com","Twitter Web Client")</f>
        <v>Twitter Web Client</v>
      </c>
      <c r="L2142" s="16">
        <v>0</v>
      </c>
      <c r="M2142" s="16">
        <v>24</v>
      </c>
      <c r="N2142" s="16">
        <v>0</v>
      </c>
      <c r="O2142" s="17"/>
      <c r="P2142" s="18">
        <v>41828.230069444442</v>
      </c>
      <c r="Q2142" s="7"/>
      <c r="R2142" s="13"/>
      <c r="S2142" s="8"/>
      <c r="T2142" s="8"/>
      <c r="U2142" s="19" t="str">
        <f>HYPERLINK("https://pbs.twimg.com/profile_images/486487895838969856/zoA5AvHj.jpeg","View")</f>
        <v>View</v>
      </c>
      <c r="V2142" s="8"/>
      <c r="W2142" s="8"/>
      <c r="X2142" s="8"/>
      <c r="Y2142" s="8"/>
      <c r="Z2142" s="8"/>
    </row>
    <row r="2143" spans="1:26" ht="12.75">
      <c r="A2143" s="11">
        <v>43745.594259259262</v>
      </c>
      <c r="B2143" s="12" t="str">
        <f>HYPERLINK("https://twitter.com/hassanhjani","@hassanhjani")</f>
        <v>@hassanhjani</v>
      </c>
      <c r="C2143" s="13" t="s">
        <v>13121</v>
      </c>
      <c r="D2143" s="7" t="s">
        <v>8044</v>
      </c>
      <c r="E2143" s="12" t="str">
        <f>HYPERLINK("https://twitter.com/hassanhjani/status/1181317205591560192","1181317205591560192")</f>
        <v>1181317205591560192</v>
      </c>
      <c r="F2143" s="8"/>
      <c r="G2143" s="14" t="s">
        <v>13122</v>
      </c>
      <c r="H2143" s="8"/>
      <c r="I2143" s="15">
        <v>0</v>
      </c>
      <c r="J2143" s="15">
        <v>0</v>
      </c>
      <c r="K2143" s="12" t="str">
        <f>HYPERLINK("http://twitter.com","Twitter Web Client")</f>
        <v>Twitter Web Client</v>
      </c>
      <c r="L2143" s="16">
        <v>0</v>
      </c>
      <c r="M2143" s="16">
        <v>39</v>
      </c>
      <c r="N2143" s="16">
        <v>0</v>
      </c>
      <c r="O2143" s="17"/>
      <c r="P2143" s="18">
        <v>42088.738796296297</v>
      </c>
      <c r="Q2143" s="7"/>
      <c r="R2143" s="13"/>
      <c r="S2143" s="8"/>
      <c r="T2143" s="8"/>
      <c r="U2143" s="19" t="str">
        <f>HYPERLINK("https://pbs.twimg.com/profile_images/580898766506561536/nGWl8hHL.jpg","View")</f>
        <v>View</v>
      </c>
      <c r="V2143" s="8"/>
      <c r="W2143" s="8"/>
      <c r="X2143" s="8"/>
      <c r="Y2143" s="8"/>
      <c r="Z2143" s="8"/>
    </row>
    <row r="2144" spans="1:26" ht="12.75">
      <c r="A2144" s="11">
        <v>43745.593877314815</v>
      </c>
      <c r="B2144" s="12" t="str">
        <f>HYPERLINK("https://twitter.com/naifalo01684290","@naifalo01684290")</f>
        <v>@naifalo01684290</v>
      </c>
      <c r="C2144" s="13" t="s">
        <v>5387</v>
      </c>
      <c r="D2144" s="13" t="s">
        <v>12729</v>
      </c>
      <c r="E2144" s="12" t="str">
        <f>HYPERLINK("https://twitter.com/naifalo01684290/status/1181317069603840002","1181317069603840002")</f>
        <v>1181317069603840002</v>
      </c>
      <c r="F2144" s="8"/>
      <c r="G2144" s="14" t="s">
        <v>13127</v>
      </c>
      <c r="H2144" s="8"/>
      <c r="I2144" s="15">
        <v>0</v>
      </c>
      <c r="J2144" s="15">
        <v>0</v>
      </c>
      <c r="K2144" s="12" t="str">
        <f>HYPERLINK("http://twitter.com","Twitter Web Client")</f>
        <v>Twitter Web Client</v>
      </c>
      <c r="L2144" s="16">
        <v>0</v>
      </c>
      <c r="M2144" s="16">
        <v>29</v>
      </c>
      <c r="N2144" s="16">
        <v>0</v>
      </c>
      <c r="O2144" s="17"/>
      <c r="P2144" s="18">
        <v>42022.343344907407</v>
      </c>
      <c r="Q2144" s="8"/>
      <c r="R2144" s="8"/>
      <c r="S2144" s="8"/>
      <c r="T2144" s="8"/>
      <c r="U2144" s="19" t="str">
        <f>HYPERLINK("https://pbs.twimg.com/profile_images/556848025172049921/tpWG7-YE.jpeg","View")</f>
        <v>View</v>
      </c>
      <c r="V2144" s="8"/>
      <c r="W2144" s="8"/>
      <c r="X2144" s="8"/>
      <c r="Y2144" s="8"/>
      <c r="Z2144" s="8"/>
    </row>
    <row r="2145" spans="1:26" ht="12.75">
      <c r="A2145" s="11">
        <v>43745.593344907407</v>
      </c>
      <c r="B2145" s="12" t="str">
        <f>HYPERLINK("https://twitter.com/magedaldosari","@magedaldosari")</f>
        <v>@magedaldosari</v>
      </c>
      <c r="C2145" s="13" t="s">
        <v>13129</v>
      </c>
      <c r="D2145" s="13" t="s">
        <v>13130</v>
      </c>
      <c r="E2145" s="12" t="str">
        <f>HYPERLINK("https://twitter.com/magedaldosari/status/1181316876288299008","1181316876288299008")</f>
        <v>1181316876288299008</v>
      </c>
      <c r="F2145" s="8"/>
      <c r="G2145" s="14" t="s">
        <v>13131</v>
      </c>
      <c r="H2145" s="8"/>
      <c r="I2145" s="15">
        <v>0</v>
      </c>
      <c r="J2145" s="15">
        <v>0</v>
      </c>
      <c r="K2145" s="12" t="str">
        <f>HYPERLINK("http://twitter.com","Twitter Web Client")</f>
        <v>Twitter Web Client</v>
      </c>
      <c r="L2145" s="16">
        <v>2</v>
      </c>
      <c r="M2145" s="16">
        <v>38</v>
      </c>
      <c r="N2145" s="16">
        <v>0</v>
      </c>
      <c r="O2145" s="17"/>
      <c r="P2145" s="18">
        <v>42080.173657407402</v>
      </c>
      <c r="Q2145" s="8"/>
      <c r="R2145" s="8"/>
      <c r="S2145" s="8"/>
      <c r="T2145" s="8"/>
      <c r="U2145" s="19" t="str">
        <f>HYPERLINK("https://pbs.twimg.com/profile_images/577789222226038785/-AtVwLW2.jpeg","View")</f>
        <v>View</v>
      </c>
      <c r="V2145" s="8"/>
      <c r="W2145" s="8"/>
      <c r="X2145" s="8"/>
      <c r="Y2145" s="8"/>
      <c r="Z2145" s="8"/>
    </row>
    <row r="2146" spans="1:26" ht="12.75">
      <c r="A2146" s="11">
        <v>43745.592847222222</v>
      </c>
      <c r="B2146" s="12" t="str">
        <f>HYPERLINK("https://twitter.com/ganam48_88","@ganam48_88")</f>
        <v>@ganam48_88</v>
      </c>
      <c r="C2146" s="13" t="s">
        <v>13132</v>
      </c>
      <c r="D2146" s="13" t="s">
        <v>13133</v>
      </c>
      <c r="E2146" s="12" t="str">
        <f>HYPERLINK("https://twitter.com/ganam48_88/status/1181316695421587456","1181316695421587456")</f>
        <v>1181316695421587456</v>
      </c>
      <c r="F2146" s="8"/>
      <c r="G2146" s="14" t="s">
        <v>13134</v>
      </c>
      <c r="H2146" s="8"/>
      <c r="I2146" s="15">
        <v>0</v>
      </c>
      <c r="J2146" s="15">
        <v>0</v>
      </c>
      <c r="K2146" s="12" t="str">
        <f>HYPERLINK("http://twitter.com","Twitter Web Client")</f>
        <v>Twitter Web Client</v>
      </c>
      <c r="L2146" s="16">
        <v>10</v>
      </c>
      <c r="M2146" s="16">
        <v>34</v>
      </c>
      <c r="N2146" s="16">
        <v>0</v>
      </c>
      <c r="O2146" s="17"/>
      <c r="P2146" s="18">
        <v>42077.301504629635</v>
      </c>
      <c r="Q2146" s="7"/>
      <c r="R2146" s="13"/>
      <c r="S2146" s="15"/>
      <c r="T2146" s="8"/>
      <c r="U2146" s="19" t="str">
        <f>HYPERLINK("https://pbs.twimg.com/profile_images/576748289132904448/f-gcUfq5.jpeg","View")</f>
        <v>View</v>
      </c>
      <c r="V2146" s="8"/>
      <c r="W2146" s="8"/>
      <c r="X2146" s="8"/>
      <c r="Y2146" s="8"/>
      <c r="Z2146" s="8"/>
    </row>
    <row r="2147" spans="1:26" ht="12.75">
      <c r="A2147" s="11">
        <v>43745.592592592591</v>
      </c>
      <c r="B2147" s="12" t="str">
        <f>HYPERLINK("https://twitter.com/bandaerealiea","@bandaerealiea")</f>
        <v>@bandaerealiea</v>
      </c>
      <c r="C2147" s="13" t="s">
        <v>13138</v>
      </c>
      <c r="D2147" s="13" t="s">
        <v>13139</v>
      </c>
      <c r="E2147" s="12" t="str">
        <f>HYPERLINK("https://twitter.com/bandaerealiea/status/1181316600823209984","1181316600823209984")</f>
        <v>1181316600823209984</v>
      </c>
      <c r="F2147" s="8"/>
      <c r="G2147" s="14" t="s">
        <v>13140</v>
      </c>
      <c r="H2147" s="8"/>
      <c r="I2147" s="15">
        <v>0</v>
      </c>
      <c r="J2147" s="15">
        <v>0</v>
      </c>
      <c r="K2147" s="12" t="str">
        <f>HYPERLINK("http://twitter.com","Twitter Web Client")</f>
        <v>Twitter Web Client</v>
      </c>
      <c r="L2147" s="16">
        <v>4</v>
      </c>
      <c r="M2147" s="16">
        <v>33</v>
      </c>
      <c r="N2147" s="16">
        <v>0</v>
      </c>
      <c r="O2147" s="17"/>
      <c r="P2147" s="18">
        <v>41646.660081018519</v>
      </c>
      <c r="Q2147" s="8"/>
      <c r="R2147" s="8"/>
      <c r="S2147" s="8"/>
      <c r="T2147" s="8"/>
      <c r="U2147" s="19" t="str">
        <f>HYPERLINK("https://pbs.twimg.com/profile_images/420740589835911168/dzO8iR-C.jpeg","View")</f>
        <v>View</v>
      </c>
      <c r="V2147" s="8"/>
      <c r="W2147" s="8"/>
      <c r="X2147" s="8"/>
      <c r="Y2147" s="8"/>
      <c r="Z2147" s="8"/>
    </row>
    <row r="2148" spans="1:26" ht="12.75">
      <c r="A2148" s="11">
        <v>43745.592465277776</v>
      </c>
      <c r="B2148" s="12" t="str">
        <f>HYPERLINK("https://twitter.com/abdullashahran1","@abdullashahran1")</f>
        <v>@abdullashahran1</v>
      </c>
      <c r="C2148" s="13" t="s">
        <v>13141</v>
      </c>
      <c r="D2148" s="13" t="s">
        <v>3339</v>
      </c>
      <c r="E2148" s="12" t="str">
        <f>HYPERLINK("https://twitter.com/abdullashahran1/status/1181316555868643333","1181316555868643333")</f>
        <v>1181316555868643333</v>
      </c>
      <c r="F2148" s="8"/>
      <c r="G2148" s="14" t="s">
        <v>13142</v>
      </c>
      <c r="H2148" s="8"/>
      <c r="I2148" s="15">
        <v>0</v>
      </c>
      <c r="J2148" s="15">
        <v>0</v>
      </c>
      <c r="K2148" s="12" t="str">
        <f>HYPERLINK("http://twitter.com","Twitter Web Client")</f>
        <v>Twitter Web Client</v>
      </c>
      <c r="L2148" s="16">
        <v>5</v>
      </c>
      <c r="M2148" s="16">
        <v>39</v>
      </c>
      <c r="N2148" s="16">
        <v>0</v>
      </c>
      <c r="O2148" s="17"/>
      <c r="P2148" s="18">
        <v>42072.34207175926</v>
      </c>
      <c r="Q2148" s="8"/>
      <c r="R2148" s="8"/>
      <c r="S2148" s="8"/>
      <c r="T2148" s="8"/>
      <c r="U2148" s="19" t="str">
        <f>HYPERLINK("https://pbs.twimg.com/profile_images/574951622796689408/CbAWZ157.jpeg","View")</f>
        <v>View</v>
      </c>
      <c r="V2148" s="8"/>
      <c r="W2148" s="8"/>
      <c r="X2148" s="8"/>
      <c r="Y2148" s="8"/>
      <c r="Z2148" s="8"/>
    </row>
    <row r="2149" spans="1:26" ht="12.75">
      <c r="A2149" s="11">
        <v>43745.59170138889</v>
      </c>
      <c r="B2149" s="12" t="str">
        <f>HYPERLINK("https://twitter.com/al7azamiie73","@al7azamiie73")</f>
        <v>@al7azamiie73</v>
      </c>
      <c r="C2149" s="13" t="s">
        <v>13146</v>
      </c>
      <c r="D2149" s="7" t="s">
        <v>3252</v>
      </c>
      <c r="E2149" s="12" t="str">
        <f>HYPERLINK("https://twitter.com/al7azamiie73/status/1181316280768454657","1181316280768454657")</f>
        <v>1181316280768454657</v>
      </c>
      <c r="F2149" s="8"/>
      <c r="G2149" s="14" t="s">
        <v>13147</v>
      </c>
      <c r="H2149" s="8"/>
      <c r="I2149" s="15">
        <v>0</v>
      </c>
      <c r="J2149" s="15">
        <v>0</v>
      </c>
      <c r="K2149" s="12" t="str">
        <f>HYPERLINK("http://twitter.com","Twitter Web Client")</f>
        <v>Twitter Web Client</v>
      </c>
      <c r="L2149" s="16">
        <v>2</v>
      </c>
      <c r="M2149" s="16">
        <v>46</v>
      </c>
      <c r="N2149" s="16">
        <v>0</v>
      </c>
      <c r="O2149" s="17"/>
      <c r="P2149" s="18">
        <v>42071.407824074078</v>
      </c>
      <c r="Q2149" s="7"/>
      <c r="R2149" s="13"/>
      <c r="S2149" s="8"/>
      <c r="T2149" s="8"/>
      <c r="U2149" s="19" t="str">
        <f>HYPERLINK("https://pbs.twimg.com/profile_images/574612524764540928/0L7fqQ4-.jpeg","View")</f>
        <v>View</v>
      </c>
      <c r="V2149" s="8"/>
      <c r="W2149" s="8"/>
      <c r="X2149" s="8"/>
      <c r="Y2149" s="8"/>
      <c r="Z2149" s="8"/>
    </row>
    <row r="2150" spans="1:26" ht="12.75">
      <c r="A2150" s="11">
        <v>43745.590682870374</v>
      </c>
      <c r="B2150" s="12" t="str">
        <f>HYPERLINK("https://twitter.com/rashee44","@rashee44")</f>
        <v>@rashee44</v>
      </c>
      <c r="C2150" s="13" t="s">
        <v>13148</v>
      </c>
      <c r="D2150" s="13" t="s">
        <v>13149</v>
      </c>
      <c r="E2150" s="12" t="str">
        <f>HYPERLINK("https://twitter.com/rashee44/status/1181315909761273856","1181315909761273856")</f>
        <v>1181315909761273856</v>
      </c>
      <c r="F2150" s="8"/>
      <c r="G2150" s="14" t="s">
        <v>13150</v>
      </c>
      <c r="H2150" s="8"/>
      <c r="I2150" s="15">
        <v>0</v>
      </c>
      <c r="J2150" s="15">
        <v>0</v>
      </c>
      <c r="K2150" s="12" t="str">
        <f>HYPERLINK("http://twitter.com","Twitter Web Client")</f>
        <v>Twitter Web Client</v>
      </c>
      <c r="L2150" s="16">
        <v>3</v>
      </c>
      <c r="M2150" s="16">
        <v>35</v>
      </c>
      <c r="N2150" s="16">
        <v>0</v>
      </c>
      <c r="O2150" s="17"/>
      <c r="P2150" s="18">
        <v>42066.292118055557</v>
      </c>
      <c r="Q2150" s="8"/>
      <c r="R2150" s="8"/>
      <c r="S2150" s="8"/>
      <c r="T2150" s="8"/>
      <c r="U2150" s="19" t="str">
        <f>HYPERLINK("https://pbs.twimg.com/profile_images/572773803801866240/weKgu5OB.jpeg","View")</f>
        <v>View</v>
      </c>
      <c r="V2150" s="8"/>
      <c r="W2150" s="8"/>
      <c r="X2150" s="8"/>
      <c r="Y2150" s="8"/>
      <c r="Z2150" s="8"/>
    </row>
    <row r="2151" spans="1:26" ht="12.75">
      <c r="A2151" s="11">
        <v>43745.590555555551</v>
      </c>
      <c r="B2151" s="12" t="str">
        <f>HYPERLINK("https://twitter.com/elhama_alhadee","@elhama_alhadee")</f>
        <v>@elhama_alhadee</v>
      </c>
      <c r="C2151" s="13" t="s">
        <v>13151</v>
      </c>
      <c r="D2151" s="7" t="s">
        <v>13152</v>
      </c>
      <c r="E2151" s="12" t="str">
        <f>HYPERLINK("https://twitter.com/elhama_alhadee/status/1181315863477137414","1181315863477137414")</f>
        <v>1181315863477137414</v>
      </c>
      <c r="F2151" s="8"/>
      <c r="G2151" s="14" t="s">
        <v>13153</v>
      </c>
      <c r="H2151" s="8"/>
      <c r="I2151" s="15">
        <v>0</v>
      </c>
      <c r="J2151" s="15">
        <v>0</v>
      </c>
      <c r="K2151" s="12" t="str">
        <f>HYPERLINK("http://twitter.com","Twitter Web Client")</f>
        <v>Twitter Web Client</v>
      </c>
      <c r="L2151" s="16">
        <v>8</v>
      </c>
      <c r="M2151" s="16">
        <v>36</v>
      </c>
      <c r="N2151" s="16">
        <v>0</v>
      </c>
      <c r="O2151" s="17"/>
      <c r="P2151" s="18">
        <v>42075.208969907406</v>
      </c>
      <c r="Q2151" s="7"/>
      <c r="R2151" s="13"/>
      <c r="S2151" s="8"/>
      <c r="T2151" s="8"/>
      <c r="U2151" s="19" t="str">
        <f>HYPERLINK("https://pbs.twimg.com/profile_images/575989978229972992/MwdbUuok.jpeg","View")</f>
        <v>View</v>
      </c>
      <c r="V2151" s="8"/>
      <c r="W2151" s="8"/>
      <c r="X2151" s="8"/>
      <c r="Y2151" s="8"/>
      <c r="Z2151" s="8"/>
    </row>
    <row r="2152" spans="1:26" ht="12.75">
      <c r="A2152" s="11">
        <v>43745.589768518519</v>
      </c>
      <c r="B2152" s="12" t="str">
        <f>HYPERLINK("https://twitter.com/alibamkabl2","@alibamkabl2")</f>
        <v>@alibamkabl2</v>
      </c>
      <c r="C2152" s="13" t="s">
        <v>13169</v>
      </c>
      <c r="D2152" s="13" t="s">
        <v>13170</v>
      </c>
      <c r="E2152" s="12" t="str">
        <f>HYPERLINK("https://twitter.com/alibamkabl2/status/1181315581187907585","1181315581187907585")</f>
        <v>1181315581187907585</v>
      </c>
      <c r="F2152" s="8"/>
      <c r="G2152" s="14" t="s">
        <v>13173</v>
      </c>
      <c r="H2152" s="8"/>
      <c r="I2152" s="15">
        <v>0</v>
      </c>
      <c r="J2152" s="15">
        <v>0</v>
      </c>
      <c r="K2152" s="12" t="str">
        <f>HYPERLINK("http://twitter.com","Twitter Web Client")</f>
        <v>Twitter Web Client</v>
      </c>
      <c r="L2152" s="16">
        <v>0</v>
      </c>
      <c r="M2152" s="16">
        <v>36</v>
      </c>
      <c r="N2152" s="16">
        <v>0</v>
      </c>
      <c r="O2152" s="17"/>
      <c r="P2152" s="18">
        <v>42022.254664351851</v>
      </c>
      <c r="Q2152" s="8"/>
      <c r="R2152" s="8"/>
      <c r="S2152" s="8"/>
      <c r="T2152" s="8"/>
      <c r="U2152" s="19" t="str">
        <f>HYPERLINK("https://pbs.twimg.com/profile_images/556816168313315328/Slj5JH9o.jpeg","View")</f>
        <v>View</v>
      </c>
      <c r="V2152" s="8"/>
      <c r="W2152" s="8"/>
      <c r="X2152" s="8"/>
      <c r="Y2152" s="8"/>
      <c r="Z2152" s="8"/>
    </row>
    <row r="2153" spans="1:26" ht="12.75">
      <c r="A2153" s="11">
        <v>43745.589270833334</v>
      </c>
      <c r="B2153" s="12" t="str">
        <f>HYPERLINK("https://twitter.com/al7arab4444","@al7arab4444")</f>
        <v>@al7arab4444</v>
      </c>
      <c r="C2153" s="13" t="s">
        <v>13177</v>
      </c>
      <c r="D2153" s="13" t="s">
        <v>13178</v>
      </c>
      <c r="E2153" s="12" t="str">
        <f>HYPERLINK("https://twitter.com/al7arab4444/status/1181315397770870784","1181315397770870784")</f>
        <v>1181315397770870784</v>
      </c>
      <c r="F2153" s="8"/>
      <c r="G2153" s="14" t="s">
        <v>13179</v>
      </c>
      <c r="H2153" s="8"/>
      <c r="I2153" s="15">
        <v>0</v>
      </c>
      <c r="J2153" s="15">
        <v>0</v>
      </c>
      <c r="K2153" s="12" t="str">
        <f>HYPERLINK("http://twitter.com","Twitter Web Client")</f>
        <v>Twitter Web Client</v>
      </c>
      <c r="L2153" s="16">
        <v>2</v>
      </c>
      <c r="M2153" s="16">
        <v>39</v>
      </c>
      <c r="N2153" s="16">
        <v>0</v>
      </c>
      <c r="O2153" s="17"/>
      <c r="P2153" s="18">
        <v>42066.181863425925</v>
      </c>
      <c r="Q2153" s="8"/>
      <c r="R2153" s="8"/>
      <c r="S2153" s="8"/>
      <c r="T2153" s="8"/>
      <c r="U2153" s="19" t="str">
        <f>HYPERLINK("https://pbs.twimg.com/profile_images/572733829182267392/W83r1Emb.jpeg","View")</f>
        <v>View</v>
      </c>
      <c r="V2153" s="8"/>
      <c r="W2153" s="8"/>
      <c r="X2153" s="8"/>
      <c r="Y2153" s="8"/>
      <c r="Z2153" s="8"/>
    </row>
    <row r="2154" spans="1:26" ht="12.75">
      <c r="A2154" s="11">
        <v>43745.589085648149</v>
      </c>
      <c r="B2154" s="12" t="str">
        <f>HYPERLINK("https://twitter.com/JakeCarah","@JakeCarah")</f>
        <v>@JakeCarah</v>
      </c>
      <c r="C2154" s="13" t="s">
        <v>13183</v>
      </c>
      <c r="D2154" s="13" t="s">
        <v>13184</v>
      </c>
      <c r="E2154" s="12" t="str">
        <f>HYPERLINK("https://twitter.com/JakeCarah/status/1181315330791985153","1181315330791985153")</f>
        <v>1181315330791985153</v>
      </c>
      <c r="F2154" s="8"/>
      <c r="G2154" s="14" t="s">
        <v>13185</v>
      </c>
      <c r="H2154" s="8"/>
      <c r="I2154" s="15">
        <v>0</v>
      </c>
      <c r="J2154" s="15">
        <v>1</v>
      </c>
      <c r="K2154" s="12" t="str">
        <f>HYPERLINK("http://twitter.com/download/iphone","Twitter for iPhone")</f>
        <v>Twitter for iPhone</v>
      </c>
      <c r="L2154" s="16">
        <v>303</v>
      </c>
      <c r="M2154" s="16">
        <v>1457</v>
      </c>
      <c r="N2154" s="16">
        <v>15</v>
      </c>
      <c r="O2154" s="17"/>
      <c r="P2154" s="18">
        <v>39743.422986111109</v>
      </c>
      <c r="Q2154" s="8" t="s">
        <v>13189</v>
      </c>
      <c r="R2154" s="8" t="s">
        <v>13190</v>
      </c>
      <c r="S2154" s="14" t="s">
        <v>13191</v>
      </c>
      <c r="T2154" s="8"/>
      <c r="U2154" s="19" t="str">
        <f>HYPERLINK("https://pbs.twimg.com/profile_images/1032612017855758337/Fu8nSLcn.jpg","View")</f>
        <v>View</v>
      </c>
      <c r="V2154" s="8"/>
      <c r="W2154" s="8"/>
      <c r="X2154" s="8"/>
      <c r="Y2154" s="8"/>
      <c r="Z2154" s="8"/>
    </row>
    <row r="2155" spans="1:26" ht="12.75">
      <c r="A2155" s="11">
        <v>43745.589004629626</v>
      </c>
      <c r="B2155" s="12" t="str">
        <f>HYPERLINK("https://twitter.com/M7medHady","@M7medHady")</f>
        <v>@M7medHady</v>
      </c>
      <c r="C2155" s="13" t="s">
        <v>13193</v>
      </c>
      <c r="D2155" s="13" t="s">
        <v>13194</v>
      </c>
      <c r="E2155" s="12" t="str">
        <f>HYPERLINK("https://twitter.com/M7medHady/status/1181315303181094912","1181315303181094912")</f>
        <v>1181315303181094912</v>
      </c>
      <c r="F2155" s="8"/>
      <c r="G2155" s="14" t="s">
        <v>13195</v>
      </c>
      <c r="H2155" s="8"/>
      <c r="I2155" s="15">
        <v>0</v>
      </c>
      <c r="J2155" s="15">
        <v>0</v>
      </c>
      <c r="K2155" s="12" t="str">
        <f>HYPERLINK("http://twitter.com","Twitter Web Client")</f>
        <v>Twitter Web Client</v>
      </c>
      <c r="L2155" s="16">
        <v>1</v>
      </c>
      <c r="M2155" s="16">
        <v>37</v>
      </c>
      <c r="N2155" s="16">
        <v>0</v>
      </c>
      <c r="O2155" s="17"/>
      <c r="P2155" s="18">
        <v>42080.572754629626</v>
      </c>
      <c r="Q2155" s="8"/>
      <c r="R2155" s="8"/>
      <c r="S2155" s="8"/>
      <c r="T2155" s="8"/>
      <c r="U2155" s="19" t="str">
        <f>HYPERLINK("https://pbs.twimg.com/profile_images/577933695857745920/Fs9bLpDc.jpeg","View")</f>
        <v>View</v>
      </c>
      <c r="V2155" s="8"/>
      <c r="W2155" s="8"/>
      <c r="X2155" s="8"/>
      <c r="Y2155" s="8"/>
      <c r="Z2155" s="8"/>
    </row>
    <row r="2156" spans="1:26" ht="12.75">
      <c r="A2156" s="11">
        <v>43745.588888888888</v>
      </c>
      <c r="B2156" s="12" t="str">
        <f>HYPERLINK("https://twitter.com/mohammedosari1","@mohammedosari1")</f>
        <v>@mohammedosari1</v>
      </c>
      <c r="C2156" s="13" t="s">
        <v>13197</v>
      </c>
      <c r="D2156" s="13" t="s">
        <v>13199</v>
      </c>
      <c r="E2156" s="12" t="str">
        <f>HYPERLINK("https://twitter.com/mohammedosari1/status/1181315259757469696","1181315259757469696")</f>
        <v>1181315259757469696</v>
      </c>
      <c r="F2156" s="8"/>
      <c r="G2156" s="14" t="s">
        <v>13200</v>
      </c>
      <c r="H2156" s="8"/>
      <c r="I2156" s="15">
        <v>0</v>
      </c>
      <c r="J2156" s="15">
        <v>0</v>
      </c>
      <c r="K2156" s="12" t="str">
        <f>HYPERLINK("http://twitter.com","Twitter Web Client")</f>
        <v>Twitter Web Client</v>
      </c>
      <c r="L2156" s="16">
        <v>2</v>
      </c>
      <c r="M2156" s="16">
        <v>34</v>
      </c>
      <c r="N2156" s="16">
        <v>0</v>
      </c>
      <c r="O2156" s="17"/>
      <c r="P2156" s="18">
        <v>42085.259432870371</v>
      </c>
      <c r="Q2156" s="8"/>
      <c r="R2156" s="8"/>
      <c r="S2156" s="8"/>
      <c r="T2156" s="8"/>
      <c r="U2156" s="19" t="str">
        <f>HYPERLINK("https://pbs.twimg.com/profile_images/579641941110886401/NLQtxI-a.jpg","View")</f>
        <v>View</v>
      </c>
      <c r="V2156" s="8"/>
      <c r="W2156" s="8"/>
      <c r="X2156" s="8"/>
      <c r="Y2156" s="8"/>
      <c r="Z2156" s="8"/>
    </row>
    <row r="2157" spans="1:26" ht="12.75">
      <c r="A2157" s="11">
        <v>43745.588819444441</v>
      </c>
      <c r="B2157" s="12" t="str">
        <f>HYPERLINK("https://twitter.com/janetcho","@janetcho")</f>
        <v>@janetcho</v>
      </c>
      <c r="C2157" s="13" t="s">
        <v>13203</v>
      </c>
      <c r="D2157" s="7" t="s">
        <v>13204</v>
      </c>
      <c r="E2157" s="12" t="str">
        <f>HYPERLINK("https://twitter.com/janetcho/status/1181315236218974208","1181315236218974208")</f>
        <v>1181315236218974208</v>
      </c>
      <c r="F2157" s="8"/>
      <c r="G2157" s="14" t="s">
        <v>13205</v>
      </c>
      <c r="H2157" s="8"/>
      <c r="I2157" s="15">
        <v>1</v>
      </c>
      <c r="J2157" s="15">
        <v>0</v>
      </c>
      <c r="K2157" s="12" t="str">
        <f>HYPERLINK("http://twitter.com/download/iphone","Twitter for iPhone")</f>
        <v>Twitter for iPhone</v>
      </c>
      <c r="L2157" s="16">
        <v>5141</v>
      </c>
      <c r="M2157" s="16">
        <v>2690</v>
      </c>
      <c r="N2157" s="16">
        <v>363</v>
      </c>
      <c r="O2157" s="17" t="s">
        <v>984</v>
      </c>
      <c r="P2157" s="18">
        <v>39855.427743055552</v>
      </c>
      <c r="Q2157" s="7" t="s">
        <v>13206</v>
      </c>
      <c r="R2157" s="13" t="s">
        <v>13207</v>
      </c>
      <c r="S2157" s="14" t="s">
        <v>13208</v>
      </c>
      <c r="T2157" s="8"/>
      <c r="U2157" s="19" t="str">
        <f>HYPERLINK("https://pbs.twimg.com/profile_images/326933139/cho_janet.JPG","View")</f>
        <v>View</v>
      </c>
      <c r="V2157" s="8"/>
      <c r="W2157" s="8"/>
      <c r="X2157" s="8"/>
      <c r="Y2157" s="8"/>
      <c r="Z2157" s="8"/>
    </row>
    <row r="2158" spans="1:26" ht="12.75">
      <c r="A2158" s="11">
        <v>43745.588009259256</v>
      </c>
      <c r="B2158" s="12" t="str">
        <f>HYPERLINK("https://twitter.com/massaduhani","@massaduhani")</f>
        <v>@massaduhani</v>
      </c>
      <c r="C2158" s="13" t="s">
        <v>7881</v>
      </c>
      <c r="D2158" s="13" t="s">
        <v>13213</v>
      </c>
      <c r="E2158" s="12" t="str">
        <f>HYPERLINK("https://twitter.com/massaduhani/status/1181314940730314752","1181314940730314752")</f>
        <v>1181314940730314752</v>
      </c>
      <c r="F2158" s="8"/>
      <c r="G2158" s="14" t="s">
        <v>13214</v>
      </c>
      <c r="H2158" s="8"/>
      <c r="I2158" s="15">
        <v>0</v>
      </c>
      <c r="J2158" s="15">
        <v>0</v>
      </c>
      <c r="K2158" s="12" t="str">
        <f>HYPERLINK("http://twitter.com","Twitter Web Client")</f>
        <v>Twitter Web Client</v>
      </c>
      <c r="L2158" s="16">
        <v>1</v>
      </c>
      <c r="M2158" s="16">
        <v>43</v>
      </c>
      <c r="N2158" s="16">
        <v>0</v>
      </c>
      <c r="O2158" s="17"/>
      <c r="P2158" s="18">
        <v>42074.558587962965</v>
      </c>
      <c r="Q2158" s="8"/>
      <c r="R2158" s="8"/>
      <c r="S2158" s="8"/>
      <c r="T2158" s="8"/>
      <c r="U2158" s="19" t="str">
        <f>HYPERLINK("https://pbs.twimg.com/profile_images/575755796518019072/YdysW-ee.jpeg","View")</f>
        <v>View</v>
      </c>
      <c r="V2158" s="8"/>
      <c r="W2158" s="8"/>
      <c r="X2158" s="8"/>
      <c r="Y2158" s="8"/>
      <c r="Z2158" s="8"/>
    </row>
    <row r="2159" spans="1:26" ht="12.75">
      <c r="A2159" s="11">
        <v>43745.587881944448</v>
      </c>
      <c r="B2159" s="12" t="str">
        <f>HYPERLINK("https://twitter.com/elmataraad3","@elmataraad3")</f>
        <v>@elmataraad3</v>
      </c>
      <c r="C2159" s="13" t="s">
        <v>13215</v>
      </c>
      <c r="D2159" s="7" t="s">
        <v>13216</v>
      </c>
      <c r="E2159" s="12" t="str">
        <f>HYPERLINK("https://twitter.com/elmataraad3/status/1181314897310826496","1181314897310826496")</f>
        <v>1181314897310826496</v>
      </c>
      <c r="F2159" s="8"/>
      <c r="G2159" s="14" t="s">
        <v>13218</v>
      </c>
      <c r="H2159" s="8"/>
      <c r="I2159" s="15">
        <v>0</v>
      </c>
      <c r="J2159" s="15">
        <v>0</v>
      </c>
      <c r="K2159" s="12" t="str">
        <f>HYPERLINK("http://twitter.com","Twitter Web Client")</f>
        <v>Twitter Web Client</v>
      </c>
      <c r="L2159" s="16">
        <v>7</v>
      </c>
      <c r="M2159" s="16">
        <v>41</v>
      </c>
      <c r="N2159" s="16">
        <v>0</v>
      </c>
      <c r="O2159" s="17"/>
      <c r="P2159" s="18">
        <v>42073.423993055556</v>
      </c>
      <c r="Q2159" s="7"/>
      <c r="R2159" s="13"/>
      <c r="S2159" s="8"/>
      <c r="T2159" s="8"/>
      <c r="U2159" s="19" t="str">
        <f>HYPERLINK("https://pbs.twimg.com/profile_images/575343113478107137/lHwT9pof.jpeg","View")</f>
        <v>View</v>
      </c>
      <c r="V2159" s="8"/>
      <c r="W2159" s="8"/>
      <c r="X2159" s="8"/>
      <c r="Y2159" s="8"/>
      <c r="Z2159" s="8"/>
    </row>
    <row r="2160" spans="1:26" ht="12.75">
      <c r="A2160" s="11">
        <v>43745.587511574078</v>
      </c>
      <c r="B2160" s="12" t="str">
        <f>HYPERLINK("https://twitter.com/alnkhley","@alnkhley")</f>
        <v>@alnkhley</v>
      </c>
      <c r="C2160" s="13" t="s">
        <v>13223</v>
      </c>
      <c r="D2160" s="13" t="s">
        <v>4893</v>
      </c>
      <c r="E2160" s="12" t="str">
        <f>HYPERLINK("https://twitter.com/alnkhley/status/1181314762740846592","1181314762740846592")</f>
        <v>1181314762740846592</v>
      </c>
      <c r="F2160" s="8"/>
      <c r="G2160" s="14" t="s">
        <v>13225</v>
      </c>
      <c r="H2160" s="8"/>
      <c r="I2160" s="15">
        <v>0</v>
      </c>
      <c r="J2160" s="15">
        <v>0</v>
      </c>
      <c r="K2160" s="12" t="str">
        <f>HYPERLINK("http://twitter.com","Twitter Web Client")</f>
        <v>Twitter Web Client</v>
      </c>
      <c r="L2160" s="16">
        <v>11</v>
      </c>
      <c r="M2160" s="16">
        <v>44</v>
      </c>
      <c r="N2160" s="16">
        <v>0</v>
      </c>
      <c r="O2160" s="17"/>
      <c r="P2160" s="18">
        <v>42071.218344907407</v>
      </c>
      <c r="Q2160" s="8"/>
      <c r="R2160" s="8"/>
      <c r="S2160" s="8"/>
      <c r="T2160" s="8"/>
      <c r="U2160" s="19" t="str">
        <f>HYPERLINK("https://pbs.twimg.com/profile_images/574558488849858562/cx1qGbuj.jpeg","View")</f>
        <v>View</v>
      </c>
      <c r="V2160" s="8"/>
      <c r="W2160" s="8"/>
      <c r="X2160" s="8"/>
      <c r="Y2160" s="8"/>
      <c r="Z2160" s="8"/>
    </row>
    <row r="2161" spans="1:26" ht="12.75">
      <c r="A2161" s="11"/>
      <c r="B2161" s="15"/>
      <c r="C2161" s="13"/>
      <c r="D2161" s="13"/>
      <c r="E2161" s="15"/>
      <c r="F2161" s="8"/>
      <c r="G2161" s="15"/>
      <c r="H2161" s="8"/>
      <c r="I2161" s="15"/>
      <c r="J2161" s="15"/>
      <c r="K2161" s="15"/>
      <c r="L2161" s="16"/>
      <c r="M2161" s="16"/>
      <c r="N2161" s="16"/>
      <c r="O2161" s="17"/>
      <c r="P2161" s="20"/>
      <c r="Q2161" s="8"/>
      <c r="R2161" s="8"/>
      <c r="S2161" s="8"/>
      <c r="T2161" s="8"/>
      <c r="U2161" s="20"/>
      <c r="V2161" s="8"/>
      <c r="W2161" s="8"/>
      <c r="X2161" s="8"/>
      <c r="Y2161" s="8"/>
      <c r="Z2161" s="8"/>
    </row>
    <row r="2162" spans="1:26" ht="12.75"/>
    <row r="2163" spans="1:26" ht="12.75"/>
    <row r="2164" spans="1:26" ht="12.75"/>
    <row r="2165" spans="1:26" ht="12.75"/>
    <row r="2166" spans="1:26" ht="12.75"/>
    <row r="2167" spans="1:26" ht="12.75"/>
    <row r="2168" spans="1:26" ht="12.75"/>
    <row r="2169" spans="1:26" ht="12.75"/>
    <row r="2170" spans="1:26" ht="12.75"/>
    <row r="2171" spans="1:26" ht="12.75"/>
    <row r="2172" spans="1:26" ht="12.75"/>
    <row r="2173" spans="1:26" ht="12.75"/>
    <row r="2174" spans="1:26" ht="12.75"/>
    <row r="2175" spans="1:26" ht="12.75"/>
    <row r="2176" spans="1:26" ht="12.75"/>
    <row r="2177" ht="12.75"/>
    <row r="2178" ht="12.75"/>
    <row r="2179" ht="12.75"/>
    <row r="2180" ht="12.75"/>
    <row r="2181" ht="12.75"/>
    <row r="2182" ht="12.75"/>
    <row r="2183" ht="12.75"/>
    <row r="2184" ht="12.75"/>
    <row r="2185" ht="12.75"/>
    <row r="2186" ht="12.75"/>
    <row r="2187" ht="12.75"/>
    <row r="2188" ht="12.75"/>
    <row r="2189" ht="12.75"/>
    <row r="2190" ht="12.75"/>
    <row r="2191" ht="12.75"/>
    <row r="2192" ht="12.75"/>
    <row r="2193" ht="12.75"/>
    <row r="2194" ht="12.75"/>
    <row r="2195" ht="12.75"/>
    <row r="2196" ht="12.75"/>
    <row r="2197" ht="12.75"/>
    <row r="2198" ht="12.75"/>
    <row r="2199" ht="12.75"/>
    <row r="2200" ht="12.75"/>
    <row r="2201" ht="12.75"/>
    <row r="2202" ht="12.75"/>
    <row r="2203" ht="12.75"/>
    <row r="2204" ht="12.75"/>
    <row r="2205" ht="12.75"/>
    <row r="2206" ht="12.75"/>
    <row r="2207" ht="12.75"/>
    <row r="2208" ht="12.75"/>
    <row r="2209" ht="12.75"/>
    <row r="2210" ht="12.75"/>
    <row r="2211" ht="12.75"/>
    <row r="2212" ht="12.75"/>
    <row r="2213" ht="12.75"/>
    <row r="2214" ht="12.75"/>
    <row r="2215" ht="12.75"/>
    <row r="2216" ht="12.75"/>
    <row r="2217" ht="12.75"/>
    <row r="2218" ht="12.75"/>
    <row r="2219" ht="12.75"/>
    <row r="2220" ht="12.75"/>
    <row r="2221" ht="12.75"/>
    <row r="2222" ht="12.75"/>
    <row r="2223" ht="12.75"/>
    <row r="2224" ht="12.75"/>
    <row r="2225" ht="12.75"/>
    <row r="2226" ht="12.75"/>
    <row r="2227" ht="12.75"/>
    <row r="2228" ht="12.75"/>
    <row r="2229" ht="12.75"/>
    <row r="2230" ht="12.75"/>
    <row r="2231" ht="12.75"/>
    <row r="2232" ht="12.75"/>
    <row r="2233" ht="12.75"/>
    <row r="2234" ht="12.75"/>
    <row r="2235" ht="12.75"/>
    <row r="2236" ht="12.75"/>
    <row r="2237" ht="12.75"/>
    <row r="2238" ht="12.75"/>
    <row r="2239" ht="12.75"/>
    <row r="2240" ht="12.75"/>
    <row r="2241" ht="12.75"/>
    <row r="2242" ht="12.75"/>
    <row r="2243" ht="12.75"/>
    <row r="2244" ht="12.75"/>
    <row r="2245" ht="12.75"/>
    <row r="2246" ht="12.75"/>
    <row r="2247" ht="12.75"/>
    <row r="2248" ht="12.75"/>
    <row r="2249" ht="12.75"/>
    <row r="2250" ht="12.75"/>
    <row r="2251" ht="12.75"/>
    <row r="2252" ht="12.75"/>
    <row r="2253" ht="12.75"/>
    <row r="2254" ht="12.75"/>
    <row r="2255" ht="12.75"/>
    <row r="2256" ht="12.75"/>
    <row r="2257" ht="12.75"/>
    <row r="2258" ht="12.75"/>
    <row r="2259" ht="12.75"/>
    <row r="2260" ht="12.75"/>
    <row r="2261" ht="12.75"/>
    <row r="2262" ht="12.75"/>
    <row r="2263" ht="12.75"/>
    <row r="2264" ht="12.75"/>
    <row r="2265" ht="12.75"/>
    <row r="2266" ht="12.75"/>
    <row r="2267" ht="12.75"/>
    <row r="2268" ht="12.75"/>
    <row r="2269" ht="12.75"/>
    <row r="2270" ht="12.75"/>
    <row r="2271" ht="12.75"/>
    <row r="2272" ht="12.75"/>
    <row r="2273" ht="12.75"/>
    <row r="2274" ht="12.75"/>
    <row r="2275" ht="12.75"/>
    <row r="2276" ht="12.75"/>
    <row r="2277" ht="12.75"/>
    <row r="2278" ht="12.75"/>
    <row r="2279" ht="12.75"/>
    <row r="2280" ht="12.75"/>
    <row r="2281" ht="12.75"/>
    <row r="2282" ht="12.75"/>
    <row r="2283" ht="12.75"/>
    <row r="2284" ht="12.75"/>
    <row r="2285" ht="12.75"/>
    <row r="2286" ht="12.75"/>
    <row r="2287" ht="12.75"/>
    <row r="2288" ht="12.75"/>
    <row r="2289" ht="12.75"/>
    <row r="2290" ht="12.75"/>
    <row r="2291" ht="12.75"/>
    <row r="2292" ht="12.75"/>
    <row r="2293" ht="12.75"/>
    <row r="2294" ht="12.75"/>
    <row r="2295" ht="12.75"/>
    <row r="2296" ht="12.75"/>
    <row r="2297" ht="12.75"/>
    <row r="2298" ht="12.75"/>
    <row r="2299" ht="12.75"/>
    <row r="2300" ht="12.75"/>
    <row r="2301" ht="12.75"/>
    <row r="2302" ht="12.75"/>
    <row r="2303" ht="12.75"/>
    <row r="2304" ht="12.75"/>
    <row r="2305" ht="12.75"/>
    <row r="2306" ht="12.75"/>
    <row r="2307" ht="12.75"/>
    <row r="2308" ht="12.75"/>
    <row r="2309" ht="12.75"/>
    <row r="2310" ht="12.75"/>
    <row r="2311" ht="12.75"/>
    <row r="2312" ht="12.75"/>
    <row r="2313" ht="12.75"/>
    <row r="2314" ht="12.75"/>
    <row r="2315" ht="12.75"/>
    <row r="2316" ht="12.75"/>
    <row r="2317" ht="12.75"/>
    <row r="2318" ht="12.75"/>
    <row r="2319" ht="12.75"/>
    <row r="2320" ht="12.75"/>
    <row r="2321" ht="12.75"/>
    <row r="2322" ht="12.75"/>
    <row r="2323" ht="12.75"/>
    <row r="2324" ht="12.75"/>
    <row r="2325" ht="12.75"/>
    <row r="2326" ht="12.75"/>
    <row r="2327" ht="12.75"/>
    <row r="2328" ht="12.75"/>
    <row r="2329" ht="12.75"/>
    <row r="2330" ht="12.75"/>
    <row r="2331" ht="12.75"/>
    <row r="2332" ht="12.75"/>
    <row r="2333" ht="12.75"/>
    <row r="2334" ht="12.75"/>
    <row r="2335" ht="12.75"/>
    <row r="2336" ht="12.75"/>
    <row r="2337" ht="12.75"/>
    <row r="2338" ht="12.75"/>
    <row r="2339" ht="12.75"/>
    <row r="2340" ht="12.75"/>
    <row r="2341" ht="12.75"/>
    <row r="2342" ht="12.75"/>
    <row r="2343" ht="12.75"/>
    <row r="2344" ht="12.75"/>
    <row r="2345" ht="12.75"/>
    <row r="2346" ht="12.75"/>
    <row r="2347" ht="12.75"/>
    <row r="2348" ht="12.75"/>
    <row r="2349" ht="12.75"/>
    <row r="2350" ht="12.75"/>
    <row r="2351" ht="12.75"/>
    <row r="2352" ht="12.75"/>
    <row r="2353" ht="12.75"/>
    <row r="2354" ht="12.75"/>
    <row r="2355" ht="12.75"/>
    <row r="2356" ht="12.75"/>
    <row r="2357" ht="12.75"/>
    <row r="2358" ht="12.75"/>
    <row r="2359" ht="12.75"/>
    <row r="2360" ht="12.75"/>
    <row r="2361" ht="12.75"/>
    <row r="2362" ht="12.75"/>
    <row r="2363" ht="12.75"/>
    <row r="2364" ht="12.75"/>
    <row r="2365" ht="12.75"/>
    <row r="2366" ht="12.75"/>
    <row r="2367" ht="12.75"/>
    <row r="2368" ht="12.75"/>
    <row r="2369" ht="12.75"/>
    <row r="2370" ht="12.75"/>
    <row r="2371" ht="12.75"/>
    <row r="2372" ht="12.75"/>
    <row r="2373" ht="12.75"/>
    <row r="2374" ht="12.75"/>
    <row r="2375" ht="12.75"/>
    <row r="2376" ht="12.75"/>
    <row r="2377" ht="12.75"/>
    <row r="2378" ht="12.75"/>
    <row r="2379" ht="12.75"/>
    <row r="2380" ht="12.75"/>
    <row r="2381" ht="12.75"/>
    <row r="2382" ht="12.75"/>
    <row r="2383" ht="12.75"/>
    <row r="2384" ht="12.75"/>
    <row r="2385" ht="12.75"/>
    <row r="2386" ht="12.75"/>
    <row r="2387" ht="12.75"/>
    <row r="2388" ht="12.75"/>
    <row r="2389" ht="12.75"/>
    <row r="2390" ht="12.75"/>
    <row r="2391" ht="12.75"/>
    <row r="2392" ht="12.75"/>
    <row r="2393" ht="12.75"/>
    <row r="2394" ht="12.75"/>
    <row r="2395" ht="12.75"/>
    <row r="2396" ht="12.75"/>
    <row r="2397" ht="12.75"/>
    <row r="2398" ht="12.75"/>
    <row r="2399" ht="12.75"/>
    <row r="2400" ht="12.75"/>
    <row r="2401" ht="12.75"/>
    <row r="2402" ht="12.75"/>
    <row r="2403" ht="12.75"/>
    <row r="2404" ht="12.75"/>
    <row r="2405" ht="12.75"/>
    <row r="2406" ht="12.75"/>
    <row r="2407" ht="12.75"/>
    <row r="2408" ht="12.75"/>
    <row r="2409" ht="12.75"/>
    <row r="2410" ht="12.75"/>
    <row r="2411" ht="12.75"/>
    <row r="2412" ht="12.75"/>
    <row r="2413" ht="12.75"/>
    <row r="2414" ht="12.75"/>
    <row r="2415" ht="12.75"/>
    <row r="2416" ht="12.75"/>
    <row r="2417" ht="12.75"/>
    <row r="2418" ht="12.75"/>
    <row r="2419" ht="12.75"/>
    <row r="2420" ht="12.75"/>
    <row r="2421" ht="12.75"/>
    <row r="2422" ht="12.75"/>
    <row r="2423" ht="12.75"/>
    <row r="2424" ht="12.75"/>
    <row r="2425" ht="12.75"/>
    <row r="2426" ht="12.75"/>
    <row r="2427" ht="12.75"/>
    <row r="2428" ht="12.75"/>
    <row r="2429" ht="12.75"/>
    <row r="2430" ht="12.75"/>
    <row r="2431" ht="12.75"/>
    <row r="2432" ht="12.75"/>
    <row r="2433" ht="12.75"/>
    <row r="2434" ht="12.75"/>
    <row r="2435" ht="12.75"/>
    <row r="2436" ht="12.75"/>
    <row r="2437" ht="12.75"/>
    <row r="2438" ht="12.75"/>
    <row r="2439" ht="12.75"/>
    <row r="2440" ht="12.75"/>
    <row r="2441" ht="12.75"/>
    <row r="2442" ht="12.75"/>
    <row r="2443" ht="12.75"/>
    <row r="2444" ht="12.75"/>
    <row r="2445" ht="12.75"/>
    <row r="2446" ht="12.75"/>
    <row r="2447" ht="12.75"/>
    <row r="2448" ht="12.75"/>
    <row r="2449" ht="12.75"/>
    <row r="2450" ht="12.75"/>
    <row r="2451" ht="12.75"/>
    <row r="2452" ht="12.75"/>
    <row r="2453" ht="12.75"/>
    <row r="2454" ht="12.75"/>
    <row r="2455" ht="12.75"/>
    <row r="2456" ht="12.75"/>
    <row r="2457" ht="12.75"/>
    <row r="2458" ht="12.75"/>
    <row r="2459" ht="12.75"/>
    <row r="2460" ht="12.75"/>
    <row r="2461" ht="12.75"/>
    <row r="2462" ht="12.75"/>
    <row r="2463" ht="12.75"/>
    <row r="2464" ht="12.75"/>
    <row r="2465" ht="12.75"/>
    <row r="2466" ht="12.75"/>
    <row r="2467" ht="12.75"/>
    <row r="2468" ht="12.75"/>
    <row r="2469" ht="12.75"/>
    <row r="2470" ht="12.75"/>
    <row r="2471" ht="12.75"/>
    <row r="2472" ht="12.75"/>
    <row r="2473" ht="12.75"/>
    <row r="2474" ht="12.75"/>
    <row r="2475" ht="12.75"/>
    <row r="2476" ht="12.75"/>
    <row r="2477" ht="12.75"/>
    <row r="2478" ht="12.75"/>
    <row r="2479" ht="12.75"/>
    <row r="2480" ht="12.75"/>
    <row r="2481" ht="12.75"/>
    <row r="2482" ht="12.75"/>
    <row r="2483" ht="12.75"/>
    <row r="2484" ht="12.75"/>
    <row r="2485" ht="12.75"/>
    <row r="2486" ht="12.75"/>
    <row r="2487" ht="12.75"/>
    <row r="2488" ht="12.75"/>
    <row r="2489" ht="12.75"/>
    <row r="2490" ht="12.75"/>
    <row r="2491" ht="12.75"/>
    <row r="2492" ht="12.75"/>
    <row r="2493" ht="12.75"/>
    <row r="2494" ht="12.75"/>
    <row r="2495" ht="12.75"/>
    <row r="2496" ht="12.75"/>
    <row r="2497" ht="12.75"/>
    <row r="2498" ht="12.75"/>
    <row r="2499" ht="12.75"/>
    <row r="2500" ht="12.75"/>
    <row r="2501" ht="12.75"/>
    <row r="2502" ht="12.75"/>
    <row r="2503" ht="12.75"/>
    <row r="2504" ht="12.75"/>
    <row r="2505" ht="12.75"/>
    <row r="2506" ht="12.75"/>
    <row r="2507" ht="12.75"/>
    <row r="2508" ht="12.75"/>
    <row r="2509" ht="12.75"/>
    <row r="2510" ht="12.75"/>
    <row r="2511" ht="12.75"/>
    <row r="2512" ht="12.75"/>
    <row r="2513" ht="12.75"/>
    <row r="2514" ht="12.75"/>
    <row r="2515" ht="12.75"/>
    <row r="2516" ht="12.75"/>
    <row r="2517" ht="12.75"/>
    <row r="2518" ht="12.75"/>
    <row r="2519" ht="12.75"/>
    <row r="2520" ht="12.75"/>
    <row r="2521" ht="12.75"/>
    <row r="2522" ht="12.75"/>
    <row r="2523" ht="12.75"/>
    <row r="2524" ht="12.75"/>
    <row r="2525" ht="12.75"/>
    <row r="2526" ht="12.75"/>
    <row r="2527" ht="12.75"/>
    <row r="2528" ht="12.75"/>
    <row r="2529" ht="12.75"/>
    <row r="2530" ht="12.75"/>
    <row r="2531" ht="12.75"/>
    <row r="2532" ht="12.75"/>
    <row r="2533" ht="12.75"/>
    <row r="2534" ht="12.75"/>
    <row r="2535" ht="12.75"/>
    <row r="2536" ht="12.75"/>
    <row r="2537" ht="12.75"/>
    <row r="2538" ht="12.75"/>
    <row r="2539" ht="12.75"/>
    <row r="2540" ht="12.75"/>
    <row r="2541" ht="12.75"/>
    <row r="2542" ht="12.75"/>
    <row r="2543" ht="12.75"/>
    <row r="2544" ht="12.75"/>
    <row r="2545" ht="12.75"/>
    <row r="2546" ht="12.75"/>
    <row r="2547" ht="12.75"/>
    <row r="2548" ht="12.75"/>
    <row r="2549" ht="12.75"/>
    <row r="2550" ht="12.75"/>
    <row r="2551" ht="12.75"/>
    <row r="2552" ht="12.75"/>
    <row r="2553" ht="12.75"/>
    <row r="2554" ht="12.75"/>
    <row r="2555" ht="12.75"/>
    <row r="2556" ht="12.75"/>
    <row r="2557" ht="12.75"/>
    <row r="2558" ht="12.75"/>
    <row r="2559" ht="12.75"/>
    <row r="2560" ht="12.75"/>
    <row r="2561" ht="12.75"/>
    <row r="2562" ht="12.75"/>
    <row r="2563" ht="12.75"/>
    <row r="2564" ht="12.75"/>
    <row r="2565" ht="12.75"/>
    <row r="2566" ht="12.75"/>
    <row r="2567" ht="12.75"/>
    <row r="2568" ht="12.75"/>
    <row r="2569" ht="12.75"/>
    <row r="2570" ht="12.75"/>
    <row r="2571" ht="12.75"/>
    <row r="2572" ht="12.75"/>
    <row r="2573" ht="12.75"/>
    <row r="2574" ht="12.75"/>
    <row r="2575" ht="12.75"/>
    <row r="2576" ht="12.75"/>
    <row r="2577" ht="12.75"/>
    <row r="2578" ht="12.75"/>
    <row r="2579" ht="12.75"/>
    <row r="2580" ht="12.75"/>
    <row r="2581" ht="12.75"/>
    <row r="2582" ht="12.75"/>
    <row r="2583" ht="12.75"/>
    <row r="2584" ht="12.75"/>
    <row r="2585" ht="12.75"/>
    <row r="2586" ht="12.75"/>
    <row r="2587" ht="12.75"/>
    <row r="2588" ht="12.75"/>
    <row r="2589" ht="12.75"/>
    <row r="2590" ht="12.75"/>
    <row r="2591" ht="12.75"/>
    <row r="2592" ht="12.75"/>
    <row r="2593" ht="12.75"/>
    <row r="2594" ht="12.75"/>
    <row r="2595" ht="12.75"/>
    <row r="2596" ht="12.75"/>
    <row r="2597" ht="12.75"/>
    <row r="2598" ht="12.75"/>
    <row r="2599" ht="12.75"/>
    <row r="2600" ht="12.75"/>
    <row r="2601" ht="12.75"/>
    <row r="2602" ht="12.75"/>
    <row r="2603" ht="12.75"/>
    <row r="2604" ht="12.75"/>
    <row r="2605" ht="12.75"/>
    <row r="2606" ht="12.75"/>
    <row r="2607" ht="12.75"/>
    <row r="2608" ht="12.75"/>
    <row r="2609" ht="12.75"/>
    <row r="2610" ht="12.75"/>
    <row r="2611" ht="12.75"/>
    <row r="2612" ht="12.75"/>
    <row r="2613" ht="12.75"/>
    <row r="2614" ht="12.75"/>
    <row r="2615" ht="12.75"/>
    <row r="2616" ht="12.75"/>
    <row r="2617" ht="12.75"/>
    <row r="2618" ht="12.75"/>
    <row r="2619" ht="12.75"/>
    <row r="2620" ht="12.75"/>
    <row r="2621" ht="12.75"/>
    <row r="2622" ht="12.75"/>
    <row r="2623" ht="12.75"/>
    <row r="2624" ht="12.75"/>
    <row r="2625" ht="12.75"/>
    <row r="2626" ht="12.75"/>
    <row r="2627" ht="12.75"/>
    <row r="2628" ht="12.75"/>
    <row r="2629" ht="12.75"/>
    <row r="2630" ht="12.75"/>
    <row r="2631" ht="12.75"/>
    <row r="2632" ht="12.75"/>
    <row r="2633" ht="12.75"/>
    <row r="2634" ht="12.75"/>
    <row r="2635" ht="12.75"/>
    <row r="2636" ht="12.75"/>
    <row r="2637" ht="12.75"/>
    <row r="2638" ht="12.75"/>
    <row r="2639" ht="12.75"/>
    <row r="2640" ht="12.75"/>
    <row r="2641" ht="12.75"/>
    <row r="2642" ht="12.75"/>
    <row r="2643" ht="12.75"/>
    <row r="2644" ht="12.75"/>
    <row r="2645" ht="12.75"/>
    <row r="2646" ht="12.75"/>
    <row r="2647" ht="12.75"/>
    <row r="2648" ht="12.75"/>
    <row r="2649" ht="12.75"/>
    <row r="2650" ht="12.75"/>
    <row r="2651" ht="12.75"/>
    <row r="2652" ht="12.75"/>
    <row r="2653" ht="12.75"/>
    <row r="2654" ht="12.75"/>
    <row r="2655" ht="12.75"/>
    <row r="2656" ht="12.75"/>
    <row r="2657" ht="12.75"/>
    <row r="2658" ht="12.75"/>
    <row r="2659" ht="12.75"/>
    <row r="2660" ht="12.75"/>
    <row r="2661" ht="12.75"/>
    <row r="2662" ht="12.75"/>
    <row r="2663" ht="12.75"/>
    <row r="2664" ht="12.75"/>
    <row r="2665" ht="12.75"/>
    <row r="2666" ht="12.75"/>
    <row r="2667" ht="12.75"/>
    <row r="2668" ht="12.75"/>
    <row r="2669" ht="12.75"/>
    <row r="2670" ht="12.75"/>
    <row r="2671" ht="12.75"/>
    <row r="2672" ht="12.75"/>
    <row r="2673" ht="12.75"/>
    <row r="2674" ht="12.75"/>
    <row r="2675" ht="12.75"/>
    <row r="2676" ht="12.75"/>
    <row r="2677" ht="12.75"/>
    <row r="2678" ht="12.75"/>
    <row r="2679" ht="12.75"/>
    <row r="2680" ht="12.75"/>
    <row r="2681" ht="12.75"/>
    <row r="2682" ht="12.75"/>
    <row r="2683" ht="12.75"/>
    <row r="2684" ht="12.75"/>
    <row r="2685" ht="12.75"/>
    <row r="2686" ht="12.75"/>
    <row r="2687" ht="12.75"/>
    <row r="2688" ht="12.75"/>
    <row r="2689" ht="12.75"/>
    <row r="2690" ht="12.75"/>
    <row r="2691" ht="12.75"/>
    <row r="2692" ht="12.75"/>
    <row r="2693" ht="12.75"/>
    <row r="2694" ht="12.75"/>
    <row r="2695" ht="12.75"/>
    <row r="2696" ht="12.75"/>
    <row r="2697" ht="12.75"/>
    <row r="2698" ht="12.75"/>
    <row r="2699" ht="12.75"/>
    <row r="2700" ht="12.75"/>
    <row r="2701" ht="12.75"/>
    <row r="2702" ht="12.75"/>
    <row r="2703" ht="12.75"/>
    <row r="2704" ht="12.75"/>
    <row r="2705" ht="12.75"/>
    <row r="2706" ht="12.75"/>
    <row r="2707" ht="12.75"/>
    <row r="2708" ht="12.75"/>
    <row r="2709" ht="12.75"/>
    <row r="2710" ht="12.75"/>
    <row r="2711" ht="12.75"/>
    <row r="2712" ht="12.75"/>
    <row r="2713" ht="12.75"/>
    <row r="2714" ht="12.75"/>
    <row r="2715" ht="12.75"/>
    <row r="2716" ht="12.75"/>
    <row r="2717" ht="12.75"/>
    <row r="2718" ht="12.75"/>
    <row r="2719" ht="12.75"/>
    <row r="2720" ht="12.75"/>
    <row r="2721" ht="12.75"/>
    <row r="2722" ht="12.75"/>
    <row r="2723" ht="12.75"/>
    <row r="2724" ht="12.75"/>
    <row r="2725" ht="12.75"/>
    <row r="2726" ht="12.75"/>
    <row r="2727" ht="12.75"/>
    <row r="2728" ht="12.75"/>
    <row r="2729" ht="12.75"/>
    <row r="2730" ht="12.75"/>
    <row r="2731" ht="12.75"/>
    <row r="2732" ht="12.75"/>
    <row r="2733" ht="12.75"/>
    <row r="2734" ht="12.75"/>
    <row r="2735" ht="12.75"/>
    <row r="2736" ht="12.75"/>
    <row r="2737" ht="12.75"/>
    <row r="2738" ht="12.75"/>
    <row r="2739" ht="12.75"/>
    <row r="2740" ht="12.75"/>
    <row r="2741" ht="12.75"/>
    <row r="2742" ht="12.75"/>
    <row r="2743" ht="12.75"/>
    <row r="2744" ht="12.75"/>
    <row r="2745" ht="12.75"/>
    <row r="2746" ht="12.75"/>
    <row r="2747" ht="12.75"/>
    <row r="2748" ht="12.75"/>
    <row r="2749" ht="12.75"/>
    <row r="2750" ht="12.75"/>
    <row r="2751" ht="12.75"/>
    <row r="2752" ht="12.75"/>
    <row r="2753" ht="12.75"/>
    <row r="2754" ht="12.75"/>
    <row r="2755" ht="12.75"/>
    <row r="2756" ht="12.75"/>
    <row r="2757" ht="12.75"/>
    <row r="2758" ht="12.75"/>
    <row r="2759" ht="12.75"/>
    <row r="2760" ht="12.75"/>
    <row r="2761" ht="12.75"/>
    <row r="2762" ht="12.75"/>
    <row r="2763" ht="12.75"/>
    <row r="2764" ht="12.75"/>
    <row r="2765" ht="12.75"/>
    <row r="2766" ht="12.75"/>
    <row r="2767" ht="12.75"/>
    <row r="2768" ht="12.75"/>
    <row r="2769" ht="12.75"/>
    <row r="2770" ht="12.75"/>
    <row r="2771" ht="12.75"/>
    <row r="2772" ht="12.75"/>
    <row r="2773" ht="12.75"/>
    <row r="2774" ht="12.75"/>
    <row r="2775" ht="12.75"/>
    <row r="2776" ht="12.75"/>
    <row r="2777" ht="12.75"/>
    <row r="2778" ht="12.75"/>
    <row r="2779" ht="12.75"/>
    <row r="2780" ht="12.75"/>
    <row r="2781" ht="12.75"/>
    <row r="2782" ht="12.75"/>
    <row r="2783" ht="12.75"/>
    <row r="2784" ht="12.75"/>
    <row r="2785" ht="12.75"/>
    <row r="2786" ht="12.75"/>
    <row r="2787" ht="12.75"/>
    <row r="2788" ht="12.75"/>
    <row r="2789" ht="12.75"/>
    <row r="2790" ht="12.75"/>
    <row r="2791" ht="12.75"/>
    <row r="2792" ht="12.75"/>
    <row r="2793" ht="12.75"/>
    <row r="2794" ht="12.75"/>
    <row r="2795" ht="12.75"/>
    <row r="2796" ht="12.75"/>
    <row r="2797" ht="12.75"/>
    <row r="2798" ht="12.75"/>
    <row r="2799" ht="12.75"/>
    <row r="2800" ht="12.75"/>
    <row r="2801" ht="12.75"/>
    <row r="2802" ht="12.75"/>
    <row r="2803" ht="12.75"/>
    <row r="2804" ht="12.75"/>
    <row r="2805" ht="12.75"/>
    <row r="2806" ht="12.75"/>
    <row r="2807" ht="12.75"/>
    <row r="2808" ht="12.75"/>
    <row r="2809" ht="12.75"/>
    <row r="2810" ht="12.75"/>
    <row r="2811" ht="12.75"/>
    <row r="2812" ht="12.75"/>
    <row r="2813" ht="12.75"/>
    <row r="2814" ht="12.75"/>
    <row r="2815" ht="12.75"/>
    <row r="2816" ht="12.75"/>
    <row r="2817" ht="12.75"/>
    <row r="2818" ht="12.75"/>
    <row r="2819" ht="12.75"/>
    <row r="2820" ht="12.75"/>
    <row r="2821" ht="12.75"/>
    <row r="2822" ht="12.75"/>
    <row r="2823" ht="12.75"/>
    <row r="2824" ht="12.75"/>
    <row r="2825" ht="12.75"/>
    <row r="2826" ht="12.75"/>
    <row r="2827" ht="12.75"/>
    <row r="2828" ht="12.75"/>
    <row r="2829" ht="12.75"/>
    <row r="2830" ht="12.75"/>
    <row r="2831" ht="12.75"/>
    <row r="2832" ht="12.75"/>
    <row r="2833" ht="12.75"/>
    <row r="2834" ht="12.75"/>
    <row r="2835" ht="12.75"/>
    <row r="2836" ht="12.75"/>
    <row r="2837" ht="12.75"/>
    <row r="2838" ht="12.75"/>
    <row r="2839" ht="12.75"/>
    <row r="2840" ht="12.75"/>
    <row r="2841" ht="12.75"/>
    <row r="2842" ht="12.75"/>
    <row r="2843" ht="12.75"/>
    <row r="2844" ht="12.75"/>
    <row r="2845" ht="12.75"/>
    <row r="2846" ht="12.75"/>
    <row r="2847" ht="12.75"/>
    <row r="2848" ht="12.75"/>
    <row r="2849" ht="12.75"/>
    <row r="2850" ht="12.75"/>
    <row r="2851" ht="12.75"/>
    <row r="2852" ht="12.75"/>
    <row r="2853" ht="12.75"/>
    <row r="2854" ht="12.75"/>
    <row r="2855" ht="12.75"/>
    <row r="2856" ht="12.75"/>
    <row r="2857" ht="12.75"/>
    <row r="2858" ht="12.75"/>
    <row r="2859" ht="12.75"/>
    <row r="2860" ht="12.75"/>
    <row r="2861" ht="12.75"/>
    <row r="2862" ht="12.75"/>
    <row r="2863" ht="12.75"/>
    <row r="2864" ht="12.75"/>
    <row r="2865" ht="12.75"/>
    <row r="2866" ht="12.75"/>
    <row r="2867" ht="12.75"/>
    <row r="2868" ht="12.75"/>
    <row r="2869" ht="12.75"/>
    <row r="2870" ht="12.75"/>
    <row r="2871" ht="12.75"/>
    <row r="2872" ht="12.75"/>
    <row r="2873" ht="12.75"/>
    <row r="2874" ht="12.75"/>
    <row r="2875" ht="12.75"/>
    <row r="2876" ht="12.75"/>
    <row r="2877" ht="12.75"/>
    <row r="2878" ht="12.75"/>
    <row r="2879" ht="12.75"/>
    <row r="2880" ht="12.75"/>
    <row r="2881" ht="12.75"/>
    <row r="2882" ht="12.75"/>
    <row r="2883" ht="12.75"/>
    <row r="2884" ht="12.75"/>
    <row r="2885" ht="12.75"/>
    <row r="2886" ht="12.75"/>
    <row r="2887" ht="12.75"/>
    <row r="2888" ht="12.75"/>
    <row r="2889" ht="12.75"/>
    <row r="2890" ht="12.75"/>
    <row r="2891" ht="12.75"/>
    <row r="2892" ht="12.75"/>
    <row r="2893" ht="12.75"/>
    <row r="2894" ht="12.75"/>
    <row r="2895" ht="12.75"/>
    <row r="2896" ht="12.75"/>
    <row r="2897" ht="12.75"/>
    <row r="2898" ht="12.75"/>
    <row r="2899" ht="12.75"/>
    <row r="2900" ht="12.75"/>
    <row r="2901" ht="12.75"/>
    <row r="2902" ht="12.75"/>
    <row r="2903" ht="12.75"/>
    <row r="2904" ht="12.75"/>
    <row r="2905" ht="12.75"/>
    <row r="2906" ht="12.75"/>
    <row r="2907" ht="12.75"/>
    <row r="2908" ht="12.75"/>
    <row r="2909" ht="12.75"/>
    <row r="2910" ht="12.75"/>
    <row r="2911" ht="12.75"/>
    <row r="2912" ht="12.75"/>
    <row r="2913" ht="12.75"/>
    <row r="2914" ht="12.75"/>
    <row r="2915" ht="12.75"/>
    <row r="2916" ht="12.75"/>
    <row r="2917" ht="12.75"/>
    <row r="2918" ht="12.75"/>
    <row r="2919" ht="12.75"/>
    <row r="2920" ht="12.75"/>
    <row r="2921" ht="12.75"/>
    <row r="2922" ht="12.75"/>
    <row r="2923" ht="12.75"/>
    <row r="2924" ht="12.75"/>
    <row r="2925" ht="12.75"/>
    <row r="2926" ht="12.75"/>
    <row r="2927" ht="12.75"/>
    <row r="2928" ht="12.75"/>
    <row r="2929" ht="12.75"/>
    <row r="2930" ht="12.75"/>
    <row r="2931" ht="12.75"/>
    <row r="2932" ht="12.75"/>
    <row r="2933" ht="12.75"/>
    <row r="2934" ht="12.75"/>
    <row r="2935" ht="12.75"/>
    <row r="2936" ht="12.75"/>
    <row r="2937" ht="12.75"/>
    <row r="2938" ht="12.75"/>
    <row r="2939" ht="12.75"/>
    <row r="2940" ht="12.75"/>
    <row r="2941" ht="12.75"/>
    <row r="2942" ht="12.75"/>
    <row r="2943" ht="12.75"/>
    <row r="2944" ht="12.75"/>
    <row r="2945" ht="12.75"/>
    <row r="2946" ht="12.75"/>
    <row r="2947" ht="12.75"/>
    <row r="2948" ht="12.75"/>
    <row r="2949" ht="12.75"/>
    <row r="2950" ht="12.75"/>
    <row r="2951" ht="12.75"/>
    <row r="2952" ht="12.75"/>
    <row r="2953" ht="12.75"/>
    <row r="2954" ht="12.75"/>
    <row r="2955" ht="12.75"/>
    <row r="2956" ht="12.75"/>
    <row r="2957" ht="12.75"/>
    <row r="2958" ht="12.75"/>
    <row r="2959" ht="12.75"/>
    <row r="2960" ht="12.75"/>
    <row r="2961" ht="12.75"/>
    <row r="2962" ht="12.75"/>
    <row r="2963" ht="12.75"/>
    <row r="2964" ht="12.75"/>
    <row r="2965" ht="12.75"/>
    <row r="2966" ht="12.75"/>
    <row r="2967" ht="12.75"/>
    <row r="2968" ht="12.75"/>
    <row r="2969" ht="12.75"/>
    <row r="2970" ht="12.75"/>
    <row r="2971" ht="12.75"/>
    <row r="2972" ht="12.75"/>
    <row r="2973" ht="12.75"/>
    <row r="2974" ht="12.75"/>
    <row r="2975" ht="12.75"/>
    <row r="2976" ht="12.75"/>
    <row r="2977" ht="12.75"/>
    <row r="2978" ht="12.75"/>
    <row r="2979" ht="12.75"/>
    <row r="2980" ht="12.75"/>
    <row r="2981" ht="12.75"/>
    <row r="2982" ht="12.75"/>
    <row r="2983" ht="12.75"/>
    <row r="2984" ht="12.75"/>
    <row r="2985" ht="12.75"/>
    <row r="2986" ht="12.75"/>
    <row r="2987" ht="12.75"/>
    <row r="2988" ht="12.75"/>
    <row r="2989" ht="12.75"/>
    <row r="2990" ht="12.75"/>
    <row r="2991" ht="12.75"/>
    <row r="2992" ht="12.75"/>
    <row r="2993" ht="12.75"/>
    <row r="2994" ht="12.75"/>
    <row r="2995" ht="12.75"/>
    <row r="2996" ht="12.75"/>
    <row r="2997" ht="12.75"/>
    <row r="2998" ht="12.75"/>
    <row r="2999" ht="12.75"/>
    <row r="3000" ht="12.75"/>
    <row r="3001" ht="12.75"/>
    <row r="3002" ht="12.75"/>
    <row r="3003" ht="12.75"/>
    <row r="3004" ht="12.75"/>
    <row r="3005" ht="12.75"/>
    <row r="3006" ht="12.75"/>
    <row r="3007" ht="12.75"/>
    <row r="3008" ht="12.75"/>
    <row r="3009" ht="12.75"/>
    <row r="3010" ht="12.75"/>
    <row r="3011" ht="12.75"/>
    <row r="3012" ht="12.75"/>
    <row r="3013" ht="12.75"/>
    <row r="3014" ht="12.75"/>
    <row r="3015" ht="12.75"/>
    <row r="3016" ht="12.75"/>
    <row r="3017" ht="12.75"/>
    <row r="3018" ht="12.75"/>
    <row r="3019" ht="12.75"/>
    <row r="3020" ht="12.75"/>
    <row r="3021" ht="12.75"/>
    <row r="3022" ht="12.75"/>
    <row r="3023" ht="12.75"/>
    <row r="3024" ht="12.75"/>
    <row r="3025" ht="12.75"/>
    <row r="3026" ht="12.75"/>
    <row r="3027" ht="12.75"/>
    <row r="3028" ht="12.75"/>
    <row r="3029" ht="12.75"/>
    <row r="3030" ht="12.75"/>
    <row r="3031" ht="12.75"/>
    <row r="3032" ht="12.75"/>
    <row r="3033" ht="12.75"/>
    <row r="3034" ht="12.75"/>
    <row r="3035" ht="12.75"/>
    <row r="3036" ht="12.75"/>
    <row r="3037" ht="12.75"/>
    <row r="3038" ht="12.75"/>
    <row r="3039" ht="12.75"/>
    <row r="3040" ht="12.75"/>
    <row r="3041" ht="12.75"/>
    <row r="3042" ht="12.75"/>
    <row r="3043" ht="12.75"/>
    <row r="3044" ht="12.75"/>
    <row r="3045" ht="12.75"/>
    <row r="3046" ht="12.75"/>
    <row r="3047" ht="12.75"/>
    <row r="3048" ht="12.75"/>
    <row r="3049" ht="12.75"/>
    <row r="3050" ht="12.75"/>
    <row r="3051" ht="12.75"/>
    <row r="3052" ht="12.75"/>
    <row r="3053" ht="12.75"/>
    <row r="3054" ht="12.75"/>
    <row r="3055" ht="12.75"/>
    <row r="3056" ht="12.75"/>
    <row r="3057" ht="12.75"/>
    <row r="3058" ht="12.75"/>
    <row r="3059" ht="12.75"/>
    <row r="3060" ht="12.75"/>
    <row r="3061" ht="12.75"/>
    <row r="3062" ht="12.75"/>
    <row r="3063" ht="12.75"/>
    <row r="3064" ht="12.75"/>
    <row r="3065" ht="12.75"/>
    <row r="3066" ht="12.75"/>
    <row r="3067" ht="12.75"/>
    <row r="3068" ht="12.75"/>
    <row r="3069" ht="12.75"/>
    <row r="3070" ht="12.75"/>
    <row r="3071" ht="12.75"/>
    <row r="3072" ht="12.75"/>
    <row r="3073" ht="12.75"/>
    <row r="3074" ht="12.75"/>
    <row r="3075" ht="12.75"/>
    <row r="3076" ht="12.75"/>
    <row r="3077" ht="12.75"/>
    <row r="3078" ht="12.75"/>
    <row r="3079" ht="12.75"/>
    <row r="3080" ht="12.75"/>
    <row r="3081" ht="12.75"/>
    <row r="3082" ht="12.75"/>
    <row r="3083" ht="12.75"/>
    <row r="3084" ht="12.75"/>
    <row r="3085" ht="12.75"/>
    <row r="3086" ht="12.75"/>
    <row r="3087" ht="12.75"/>
    <row r="3088" ht="12.75"/>
    <row r="3089" ht="12.75"/>
    <row r="3090" ht="12.75"/>
    <row r="3091" ht="12.75"/>
    <row r="3092" ht="12.75"/>
    <row r="3093" ht="12.75"/>
    <row r="3094" ht="12.75"/>
    <row r="3095" ht="12.75"/>
    <row r="3096" ht="12.75"/>
    <row r="3097" ht="12.75"/>
    <row r="3098" ht="12.75"/>
    <row r="3099" ht="12.75"/>
    <row r="3100" ht="12.75"/>
    <row r="3101" ht="12.75"/>
    <row r="3102" ht="12.75"/>
    <row r="3103" ht="12.75"/>
    <row r="3104" ht="12.75"/>
    <row r="3105" ht="12.75"/>
    <row r="3106" ht="12.75"/>
    <row r="3107" ht="12.75"/>
    <row r="3108" ht="12.75"/>
    <row r="3109" ht="12.75"/>
    <row r="3110" ht="12.75"/>
    <row r="3111" ht="12.75"/>
    <row r="3112" ht="12.75"/>
    <row r="3113" ht="12.75"/>
    <row r="3114" ht="12.75"/>
    <row r="3115" ht="12.75"/>
    <row r="3116" ht="12.75"/>
    <row r="3117" ht="12.75"/>
    <row r="3118" ht="12.75"/>
    <row r="3119" ht="12.75"/>
    <row r="3120" ht="12.75"/>
    <row r="3121" ht="12.75"/>
    <row r="3122" ht="12.75"/>
    <row r="3123" ht="12.75"/>
    <row r="3124" ht="12.75"/>
    <row r="3125" ht="12.75"/>
    <row r="3126" ht="12.75"/>
    <row r="3127" ht="12.75"/>
    <row r="3128" ht="12.75"/>
    <row r="3129" ht="12.75"/>
    <row r="3130" ht="12.75"/>
    <row r="3131" ht="12.75"/>
    <row r="3132" ht="12.75"/>
    <row r="3133" ht="12.75"/>
    <row r="3134" ht="12.75"/>
    <row r="3135" ht="12.75"/>
    <row r="3136" ht="12.75"/>
    <row r="3137" ht="12.75"/>
    <row r="3138" ht="12.75"/>
    <row r="3139" ht="12.75"/>
    <row r="3140" ht="12.75"/>
    <row r="3141" ht="12.75"/>
    <row r="3142" ht="12.75"/>
    <row r="3143" ht="12.75"/>
    <row r="3144" ht="12.75"/>
    <row r="3145" ht="12.75"/>
    <row r="3146" ht="12.75"/>
    <row r="3147" ht="12.75"/>
    <row r="3148" ht="12.75"/>
    <row r="3149" ht="12.75"/>
    <row r="3150" ht="12.75"/>
    <row r="3151" ht="12.75"/>
    <row r="3152" ht="12.75"/>
    <row r="3153" ht="12.75"/>
    <row r="3154" ht="12.75"/>
    <row r="3155" ht="12.75"/>
    <row r="3156" ht="12.75"/>
    <row r="3157" ht="12.75"/>
    <row r="3158" ht="12.75"/>
    <row r="3159" ht="12.75"/>
    <row r="3160" ht="12.75"/>
    <row r="3161" ht="12.75"/>
    <row r="3162" ht="12.75"/>
    <row r="3163" ht="12.75"/>
    <row r="3164" ht="12.75"/>
    <row r="3165" ht="12.75"/>
    <row r="3166" ht="12.75"/>
    <row r="3167" ht="12.75"/>
    <row r="3168" ht="12.75"/>
    <row r="3169" ht="12.75"/>
    <row r="3170" ht="12.75"/>
    <row r="3171" ht="12.75"/>
    <row r="3172" ht="12.75"/>
    <row r="3173" ht="12.75"/>
    <row r="3174" ht="12.75"/>
    <row r="3175" ht="12.75"/>
    <row r="3176" ht="12.75"/>
    <row r="3177" ht="12.75"/>
    <row r="3178" ht="12.75"/>
    <row r="3179" ht="12.75"/>
    <row r="3180" ht="12.75"/>
    <row r="3181" ht="12.75"/>
    <row r="3182" ht="12.75"/>
    <row r="3183" ht="12.75"/>
    <row r="3184" ht="12.75"/>
    <row r="3185" ht="12.75"/>
    <row r="3186" ht="12.75"/>
    <row r="3187" ht="12.75"/>
    <row r="3188" ht="12.75"/>
    <row r="3189" ht="12.75"/>
    <row r="3190" ht="12.75"/>
    <row r="3191" ht="12.75"/>
    <row r="3192" ht="12.75"/>
    <row r="3193" ht="12.75"/>
    <row r="3194" ht="12.75"/>
    <row r="3195" ht="12.75"/>
    <row r="3196" ht="12.75"/>
    <row r="3197" ht="12.75"/>
    <row r="3198" ht="12.75"/>
    <row r="3199" ht="12.75"/>
    <row r="3200" ht="12.75"/>
    <row r="3201" ht="12.75"/>
    <row r="3202" ht="12.75"/>
    <row r="3203" ht="12.75"/>
    <row r="3204" ht="12.75"/>
    <row r="3205" ht="12.75"/>
    <row r="3206" ht="12.75"/>
    <row r="3207" ht="12.75"/>
    <row r="3208" ht="12.75"/>
    <row r="3209" ht="12.75"/>
    <row r="3210" ht="12.75"/>
    <row r="3211" ht="12.75"/>
    <row r="3212" ht="12.75"/>
    <row r="3213" ht="12.75"/>
    <row r="3214" ht="12.75"/>
    <row r="3215" ht="12.75"/>
    <row r="3216" ht="12.75"/>
    <row r="3217" ht="12.75"/>
    <row r="3218" ht="12.75"/>
    <row r="3219" ht="12.75"/>
    <row r="3220" ht="12.75"/>
    <row r="3221" ht="12.75"/>
    <row r="3222" ht="12.75"/>
    <row r="3223" ht="12.75"/>
    <row r="3224" ht="12.75"/>
    <row r="3225" ht="12.75"/>
    <row r="3226" ht="12.75"/>
    <row r="3227" ht="12.75"/>
    <row r="3228" ht="12.75"/>
    <row r="3229" ht="12.75"/>
    <row r="3230" ht="12.75"/>
    <row r="3231" ht="12.75"/>
    <row r="3232" ht="12.75"/>
    <row r="3233" ht="12.75"/>
    <row r="3234" ht="12.75"/>
    <row r="3235" ht="12.75"/>
    <row r="3236" ht="12.75"/>
    <row r="3237" ht="12.75"/>
    <row r="3238" ht="12.75"/>
    <row r="3239" ht="12.75"/>
    <row r="3240" ht="12.75"/>
    <row r="3241" ht="12.75"/>
    <row r="3242" ht="12.75"/>
    <row r="3243" ht="12.75"/>
    <row r="3244" ht="12.75"/>
    <row r="3245" ht="12.75"/>
    <row r="3246" ht="12.75"/>
    <row r="3247" ht="12.75"/>
    <row r="3248" ht="12.75"/>
    <row r="3249" ht="12.75"/>
    <row r="3250" ht="12.75"/>
    <row r="3251" ht="12.75"/>
    <row r="3252" ht="12.75"/>
    <row r="3253" ht="12.75"/>
    <row r="3254" ht="12.75"/>
    <row r="3255" ht="12.75"/>
    <row r="3256" ht="12.75"/>
    <row r="3257" ht="12.75"/>
    <row r="3258" ht="12.75"/>
    <row r="3259" ht="12.75"/>
    <row r="3260" ht="12.75"/>
    <row r="3261" ht="12.75"/>
    <row r="3262" ht="12.75"/>
    <row r="3263" ht="12.75"/>
    <row r="3264" ht="12.75"/>
    <row r="3265" ht="12.75"/>
    <row r="3266" ht="12.75"/>
    <row r="3267" ht="12.75"/>
    <row r="3268" ht="12.75"/>
    <row r="3269" ht="12.75"/>
    <row r="3270" ht="12.75"/>
    <row r="3271" ht="12.75"/>
    <row r="3272" ht="12.75"/>
    <row r="3273" ht="12.75"/>
    <row r="3274" ht="12.75"/>
    <row r="3275" ht="12.75"/>
    <row r="3276" ht="12.75"/>
    <row r="3277" ht="12.75"/>
    <row r="3278" ht="12.75"/>
    <row r="3279" ht="12.75"/>
    <row r="3280" ht="12.75"/>
    <row r="3281" ht="12.75"/>
    <row r="3282" ht="12.75"/>
    <row r="3283" ht="12.75"/>
    <row r="3284" ht="12.75"/>
    <row r="3285" ht="12.75"/>
    <row r="3286" ht="12.75"/>
    <row r="3287" ht="12.75"/>
    <row r="3288" ht="12.75"/>
    <row r="3289" ht="12.75"/>
    <row r="3290" ht="12.75"/>
    <row r="3291" ht="12.75"/>
    <row r="3292" ht="12.75"/>
    <row r="3293" ht="12.75"/>
    <row r="3294" ht="12.75"/>
    <row r="3295" ht="12.75"/>
    <row r="3296" ht="12.75"/>
    <row r="3297" ht="12.75"/>
    <row r="3298" ht="12.75"/>
    <row r="3299" ht="12.75"/>
    <row r="3300" ht="12.75"/>
    <row r="3301" ht="12.75"/>
    <row r="3302" ht="12.75"/>
    <row r="3303" ht="12.75"/>
    <row r="3304" ht="12.75"/>
    <row r="3305" ht="12.75"/>
    <row r="3306" ht="12.75"/>
    <row r="3307" ht="12.75"/>
    <row r="3308" ht="12.75"/>
    <row r="3309" ht="12.75"/>
    <row r="3310" ht="12.75"/>
    <row r="3311" ht="12.75"/>
    <row r="3312" ht="12.75"/>
    <row r="3313" ht="12.75"/>
    <row r="3314" ht="12.75"/>
    <row r="3315" ht="12.75"/>
    <row r="3316" ht="12.75"/>
    <row r="3317" ht="12.75"/>
    <row r="3318" ht="12.75"/>
    <row r="3319" ht="12.75"/>
    <row r="3320" ht="12.75"/>
    <row r="3321" ht="12.75"/>
    <row r="3322" ht="12.75"/>
    <row r="3323" ht="12.75"/>
    <row r="3324" ht="12.75"/>
    <row r="3325" ht="12.75"/>
    <row r="3326" ht="12.75"/>
    <row r="3327" ht="12.75"/>
    <row r="3328" ht="12.75"/>
    <row r="3329" ht="12.75"/>
    <row r="3330" ht="12.75"/>
    <row r="3331" ht="12.75"/>
    <row r="3332" ht="12.75"/>
    <row r="3333" ht="12.75"/>
    <row r="3334" ht="12.75"/>
    <row r="3335" ht="12.75"/>
    <row r="3336" ht="12.75"/>
    <row r="3337" ht="12.75"/>
    <row r="3338" ht="12.75"/>
    <row r="3339" ht="12.75"/>
    <row r="3340" ht="12.75"/>
    <row r="3341" ht="12.75"/>
    <row r="3342" ht="12.75"/>
    <row r="3343" ht="12.75"/>
    <row r="3344" ht="12.75"/>
    <row r="3345" ht="12.75"/>
    <row r="3346" ht="12.75"/>
    <row r="3347" ht="12.75"/>
    <row r="3348" ht="12.75"/>
    <row r="3349" ht="12.75"/>
    <row r="3350" ht="12.75"/>
    <row r="3351" ht="12.75"/>
    <row r="3352" ht="12.75"/>
    <row r="3353" ht="12.75"/>
    <row r="3354" ht="12.75"/>
    <row r="3355" ht="12.75"/>
    <row r="3356" ht="12.75"/>
    <row r="3357" ht="12.75"/>
    <row r="3358" ht="12.75"/>
    <row r="3359" ht="12.75"/>
    <row r="3360" ht="12.75"/>
    <row r="3361" ht="12.75"/>
    <row r="3362" ht="12.75"/>
    <row r="3363" ht="12.75"/>
    <row r="3364" ht="12.75"/>
    <row r="3365" ht="12.75"/>
    <row r="3366" ht="12.75"/>
    <row r="3367" ht="12.75"/>
    <row r="3368" ht="12.75"/>
    <row r="3369" ht="12.75"/>
    <row r="3370" ht="12.75"/>
    <row r="3371" ht="12.75"/>
    <row r="3372" ht="12.75"/>
    <row r="3373" ht="12.75"/>
    <row r="3374" ht="12.75"/>
    <row r="3375" ht="12.75"/>
    <row r="3376" ht="12.75"/>
    <row r="3377" ht="12.75"/>
    <row r="3378" ht="12.75"/>
    <row r="3379" ht="12.75"/>
    <row r="3380" ht="12.75"/>
    <row r="3381" ht="12.75"/>
    <row r="3382" ht="12.75"/>
    <row r="3383" ht="12.75"/>
    <row r="3384" ht="12.75"/>
    <row r="3385" ht="12.75"/>
    <row r="3386" ht="12.75"/>
    <row r="3387" ht="12.75"/>
    <row r="3388" ht="12.75"/>
    <row r="3389" ht="12.75"/>
    <row r="3390" ht="12.75"/>
    <row r="3391" ht="12.75"/>
    <row r="3392" ht="12.75"/>
    <row r="3393" ht="12.75"/>
    <row r="3394" ht="12.75"/>
    <row r="3395" ht="12.75"/>
    <row r="3396" ht="12.75"/>
    <row r="3397" ht="12.75"/>
    <row r="3398" ht="12.75"/>
    <row r="3399" ht="12.75"/>
    <row r="3400" ht="12.75"/>
    <row r="3401" ht="12.75"/>
    <row r="3402" ht="12.75"/>
    <row r="3403" ht="12.75"/>
    <row r="3404" ht="12.75"/>
    <row r="3405" ht="12.75"/>
    <row r="3406" ht="12.75"/>
    <row r="3407" ht="12.75"/>
    <row r="3408" ht="12.75"/>
    <row r="3409" ht="12.75"/>
    <row r="3410" ht="12.75"/>
    <row r="3411" ht="12.75"/>
    <row r="3412" ht="12.75"/>
    <row r="3413" ht="12.75"/>
    <row r="3414" ht="12.75"/>
    <row r="3415" ht="12.75"/>
    <row r="3416" ht="12.75"/>
    <row r="3417" ht="12.75"/>
    <row r="3418" ht="12.75"/>
    <row r="3419" ht="12.75"/>
    <row r="3420" ht="12.75"/>
    <row r="3421" ht="12.75"/>
    <row r="3422" ht="12.75"/>
    <row r="3423" ht="12.75"/>
    <row r="3424" ht="12.75"/>
    <row r="3425" ht="12.75"/>
    <row r="3426" ht="12.75"/>
    <row r="3427" ht="12.75"/>
    <row r="3428" ht="12.75"/>
    <row r="3429" ht="12.75"/>
    <row r="3430" ht="12.75"/>
    <row r="3431" ht="12.75"/>
    <row r="3432" ht="12.75"/>
    <row r="3433" ht="12.75"/>
    <row r="3434" ht="12.75"/>
    <row r="3435" ht="12.75"/>
    <row r="3436" ht="12.75"/>
    <row r="3437" ht="12.75"/>
    <row r="3438" ht="12.75"/>
    <row r="3439" ht="12.75"/>
    <row r="3440" ht="12.75"/>
    <row r="3441" ht="12.75"/>
    <row r="3442" ht="12.75"/>
    <row r="3443" ht="12.75"/>
    <row r="3444" ht="12.75"/>
    <row r="3445" ht="12.75"/>
    <row r="3446" ht="12.75"/>
    <row r="3447" ht="12.75"/>
    <row r="3448" ht="12.75"/>
    <row r="3449" ht="12.75"/>
    <row r="3450" ht="12.75"/>
    <row r="3451" ht="12.75"/>
    <row r="3452" ht="12.75"/>
    <row r="3453" ht="12.75"/>
    <row r="3454" ht="12.75"/>
    <row r="3455" ht="12.75"/>
    <row r="3456" ht="12.75"/>
    <row r="3457" ht="12.75"/>
    <row r="3458" ht="12.75"/>
    <row r="3459" ht="12.75"/>
    <row r="3460" ht="12.75"/>
    <row r="3461" ht="12.75"/>
    <row r="3462" ht="12.75"/>
    <row r="3463" ht="12.75"/>
    <row r="3464" ht="12.75"/>
    <row r="3465" ht="12.75"/>
    <row r="3466" ht="12.75"/>
    <row r="3467" ht="12.75"/>
    <row r="3468" ht="12.75"/>
    <row r="3469" ht="12.75"/>
    <row r="3470" ht="12.75"/>
    <row r="3471" ht="12.75"/>
    <row r="3472" ht="12.75"/>
    <row r="3473" ht="12.75"/>
    <row r="3474" ht="12.75"/>
    <row r="3475" ht="12.75"/>
    <row r="3476" ht="12.75"/>
    <row r="3477" ht="12.75"/>
    <row r="3478" ht="12.75"/>
    <row r="3479" ht="12.75"/>
    <row r="3480" ht="12.75"/>
    <row r="3481" ht="12.75"/>
    <row r="3482" ht="12.75"/>
    <row r="3483" ht="12.75"/>
    <row r="3484" ht="12.75"/>
    <row r="3485" ht="12.75"/>
    <row r="3486" ht="12.75"/>
    <row r="3487" ht="12.75"/>
    <row r="3488" ht="12.75"/>
    <row r="3489" ht="12.75"/>
    <row r="3490" ht="12.75"/>
    <row r="3491" ht="12.75"/>
    <row r="3492" ht="12.75"/>
    <row r="3493" ht="12.75"/>
    <row r="3494" ht="12.75"/>
    <row r="3495" ht="12.75"/>
    <row r="3496" ht="12.75"/>
    <row r="3497" ht="12.75"/>
    <row r="3498" ht="12.75"/>
    <row r="3499" ht="12.75"/>
    <row r="3500" ht="12.75"/>
    <row r="3501" ht="12.75"/>
    <row r="3502" ht="12.75"/>
    <row r="3503" ht="12.75"/>
    <row r="3504" ht="12.75"/>
    <row r="3505" ht="12.75"/>
    <row r="3506" ht="12.75"/>
    <row r="3507" ht="12.75"/>
    <row r="3508" ht="12.75"/>
    <row r="3509" ht="12.75"/>
    <row r="3510" ht="12.75"/>
    <row r="3511" ht="12.75"/>
    <row r="3512" ht="12.75"/>
    <row r="3513" ht="12.75"/>
    <row r="3514" ht="12.75"/>
    <row r="3515" ht="12.75"/>
    <row r="3516" ht="12.75"/>
    <row r="3517" ht="12.75"/>
    <row r="3518" ht="12.75"/>
    <row r="3519" ht="12.75"/>
    <row r="3520" ht="12.75"/>
    <row r="3521" ht="12.75"/>
    <row r="3522" ht="12.75"/>
    <row r="3523" ht="12.75"/>
    <row r="3524" ht="12.75"/>
    <row r="3525" ht="12.75"/>
    <row r="3526" ht="12.75"/>
    <row r="3527" ht="12.75"/>
    <row r="3528" ht="12.75"/>
    <row r="3529" ht="12.75"/>
    <row r="3530" ht="12.75"/>
    <row r="3531" ht="12.75"/>
    <row r="3532" ht="12.75"/>
    <row r="3533" ht="12.75"/>
    <row r="3534" ht="12.75"/>
    <row r="3535" ht="12.75"/>
    <row r="3536" ht="12.75"/>
    <row r="3537" ht="12.75"/>
    <row r="3538" ht="12.75"/>
    <row r="3539" ht="12.75"/>
    <row r="3540" ht="12.75"/>
    <row r="3541" ht="12.75"/>
    <row r="3542" ht="12.75"/>
    <row r="3543" ht="12.75"/>
    <row r="3544" ht="12.75"/>
    <row r="3545" ht="12.75"/>
    <row r="3546" ht="12.75"/>
    <row r="3547" ht="12.75"/>
    <row r="3548" ht="12.75"/>
    <row r="3549" ht="12.75"/>
    <row r="3550" ht="12.75"/>
    <row r="3551" ht="12.75"/>
    <row r="3552" ht="12.75"/>
    <row r="3553" ht="12.75"/>
    <row r="3554" ht="12.75"/>
    <row r="3555" ht="12.75"/>
    <row r="3556" ht="12.75"/>
    <row r="3557" ht="12.75"/>
    <row r="3558" ht="12.75"/>
    <row r="3559" ht="12.75"/>
    <row r="3560" ht="12.75"/>
    <row r="3561" ht="12.75"/>
    <row r="3562" ht="12.75"/>
    <row r="3563" ht="12.75"/>
    <row r="3564" ht="12.75"/>
    <row r="3565" ht="12.75"/>
    <row r="3566" ht="12.75"/>
    <row r="3567" ht="12.75"/>
    <row r="3568" ht="12.75"/>
    <row r="3569" ht="12.75"/>
    <row r="3570" ht="12.75"/>
    <row r="3571" ht="12.75"/>
    <row r="3572" ht="12.75"/>
    <row r="3573" ht="12.75"/>
    <row r="3574" ht="12.75"/>
    <row r="3575" ht="12.75"/>
    <row r="3576" ht="12.75"/>
    <row r="3577" ht="12.75"/>
    <row r="3578" ht="12.75"/>
    <row r="3579" ht="12.75"/>
    <row r="3580" ht="12.75"/>
    <row r="3581" ht="12.75"/>
    <row r="3582" ht="12.75"/>
    <row r="3583" ht="12.75"/>
    <row r="3584" ht="12.75"/>
    <row r="3585" ht="12.75"/>
    <row r="3586" ht="12.75"/>
    <row r="3587" ht="12.75"/>
    <row r="3588" ht="12.75"/>
    <row r="3589" ht="12.75"/>
    <row r="3590" ht="12.75"/>
    <row r="3591" ht="12.75"/>
    <row r="3592" ht="12.75"/>
    <row r="3593" ht="12.75"/>
    <row r="3594" ht="12.75"/>
    <row r="3595" ht="12.75"/>
    <row r="3596" ht="12.75"/>
    <row r="3597" ht="12.75"/>
    <row r="3598" ht="12.75"/>
    <row r="3599" ht="12.75"/>
    <row r="3600" ht="12.75"/>
    <row r="3601" ht="12.75"/>
    <row r="3602" ht="12.75"/>
    <row r="3603" ht="12.75"/>
    <row r="3604" ht="12.75"/>
    <row r="3605" ht="12.75"/>
    <row r="3606" ht="12.75"/>
    <row r="3607" ht="12.75"/>
    <row r="3608" ht="12.75"/>
    <row r="3609" ht="12.75"/>
    <row r="3610" ht="12.75"/>
    <row r="3611" ht="12.75"/>
    <row r="3612" ht="12.75"/>
    <row r="3613" ht="12.75"/>
    <row r="3614" ht="12.75"/>
    <row r="3615" ht="12.75"/>
    <row r="3616" ht="12.75"/>
    <row r="3617" ht="12.75"/>
    <row r="3618" ht="12.75"/>
    <row r="3619" ht="12.75"/>
    <row r="3620" ht="12.75"/>
    <row r="3621" ht="12.75"/>
    <row r="3622" ht="12.75"/>
    <row r="3623" ht="12.75"/>
    <row r="3624" ht="12.75"/>
    <row r="3625" ht="12.75"/>
    <row r="3626" ht="12.75"/>
    <row r="3627" ht="12.75"/>
    <row r="3628" ht="12.75"/>
    <row r="3629" ht="12.75"/>
    <row r="3630" ht="12.75"/>
    <row r="3631" ht="12.75"/>
    <row r="3632" ht="12.75"/>
    <row r="3633" ht="12.75"/>
    <row r="3634" ht="12.75"/>
    <row r="3635" ht="12.75"/>
    <row r="3636" ht="12.75"/>
    <row r="3637" ht="12.75"/>
    <row r="3638" ht="12.75"/>
    <row r="3639" ht="12.75"/>
    <row r="3640" ht="12.75"/>
    <row r="3641" ht="12.75"/>
    <row r="3642" ht="12.75"/>
    <row r="3643" ht="12.75"/>
    <row r="3644" ht="12.75"/>
    <row r="3645" ht="12.75"/>
    <row r="3646" ht="12.75"/>
    <row r="3647" ht="12.75"/>
    <row r="3648" ht="12.75"/>
    <row r="3649" ht="12.75"/>
    <row r="3650" ht="12.75"/>
    <row r="3651" ht="12.75"/>
    <row r="3652" ht="12.75"/>
    <row r="3653" ht="12.75"/>
    <row r="3654" ht="12.75"/>
    <row r="3655" ht="12.75"/>
    <row r="3656" ht="12.75"/>
    <row r="3657" ht="12.75"/>
    <row r="3658" ht="12.75"/>
    <row r="3659" ht="12.75"/>
    <row r="3660" ht="12.75"/>
    <row r="3661" ht="12.75"/>
    <row r="3662" ht="12.75"/>
    <row r="3663" ht="12.75"/>
    <row r="3664" ht="12.75"/>
    <row r="3665" ht="12.75"/>
    <row r="3666" ht="12.75"/>
    <row r="3667" ht="12.75"/>
    <row r="3668" ht="12.75"/>
    <row r="3669" ht="12.75"/>
    <row r="3670" ht="12.75"/>
    <row r="3671" ht="12.75"/>
    <row r="3672" ht="12.75"/>
    <row r="3673" ht="12.75"/>
    <row r="3674" ht="12.75"/>
    <row r="3675" ht="12.75"/>
    <row r="3676" ht="12.75"/>
    <row r="3677" ht="12.75"/>
    <row r="3678" ht="12.75"/>
    <row r="3679" ht="12.75"/>
    <row r="3680" ht="12.75"/>
    <row r="3681" ht="12.75"/>
    <row r="3682" ht="12.75"/>
    <row r="3683" ht="12.75"/>
    <row r="3684" ht="12.75"/>
    <row r="3685" ht="12.75"/>
    <row r="3686" ht="12.75"/>
    <row r="3687" ht="12.75"/>
    <row r="3688" ht="12.75"/>
    <row r="3689" ht="12.75"/>
    <row r="3690" ht="12.75"/>
    <row r="3691" ht="12.75"/>
    <row r="3692" ht="12.75"/>
    <row r="3693" ht="12.75"/>
    <row r="3694" ht="12.75"/>
    <row r="3695" ht="12.75"/>
    <row r="3696" ht="12.75"/>
    <row r="3697" ht="12.75"/>
    <row r="3698" ht="12.75"/>
    <row r="3699" ht="12.75"/>
    <row r="3700" ht="12.75"/>
    <row r="3701" ht="12.75"/>
    <row r="3702" ht="12.75"/>
    <row r="3703" ht="12.75"/>
    <row r="3704" ht="12.75"/>
    <row r="3705" ht="12.75"/>
    <row r="3706" ht="12.75"/>
    <row r="3707" ht="12.75"/>
    <row r="3708" ht="12.75"/>
    <row r="3709" ht="12.75"/>
    <row r="3710" ht="12.75"/>
    <row r="3711" ht="12.75"/>
    <row r="3712" ht="12.75"/>
    <row r="3713" ht="12.75"/>
    <row r="3714" ht="12.75"/>
    <row r="3715" ht="12.75"/>
    <row r="3716" ht="12.75"/>
    <row r="3717" ht="12.75"/>
    <row r="3718" ht="12.75"/>
    <row r="3719" ht="12.75"/>
    <row r="3720" ht="12.75"/>
    <row r="3721" ht="12.75"/>
    <row r="3722" ht="12.75"/>
    <row r="3723" ht="12.75"/>
    <row r="3724" ht="12.75"/>
    <row r="3725" ht="12.75"/>
    <row r="3726" ht="12.75"/>
    <row r="3727" ht="12.75"/>
    <row r="3728" ht="12.75"/>
    <row r="3729" ht="12.75"/>
    <row r="3730" ht="12.75"/>
    <row r="3731" ht="12.75"/>
    <row r="3732" ht="12.75"/>
    <row r="3733" ht="12.75"/>
    <row r="3734" ht="12.75"/>
    <row r="3735" ht="12.75"/>
    <row r="3736" ht="12.75"/>
    <row r="3737" ht="12.75"/>
    <row r="3738" ht="12.75"/>
    <row r="3739" ht="12.75"/>
    <row r="3740" ht="12.75"/>
    <row r="3741" ht="12.75"/>
    <row r="3742" ht="12.75"/>
    <row r="3743" ht="12.75"/>
    <row r="3744" ht="12.75"/>
    <row r="3745" ht="12.75"/>
    <row r="3746" ht="12.75"/>
    <row r="3747" ht="12.75"/>
    <row r="3748" ht="12.75"/>
    <row r="3749" ht="12.75"/>
    <row r="3750" ht="12.75"/>
    <row r="3751" ht="12.75"/>
    <row r="3752" ht="12.75"/>
    <row r="3753" ht="12.75"/>
    <row r="3754" ht="12.75"/>
    <row r="3755" ht="12.75"/>
    <row r="3756" ht="12.75"/>
    <row r="3757" ht="12.75"/>
    <row r="3758" ht="12.75"/>
    <row r="3759" ht="12.75"/>
    <row r="3760" ht="12.75"/>
    <row r="3761" ht="12.75"/>
    <row r="3762" ht="12.75"/>
    <row r="3763" ht="12.75"/>
    <row r="3764" ht="12.75"/>
    <row r="3765" ht="12.75"/>
    <row r="3766" ht="12.75"/>
    <row r="3767" ht="12.75"/>
    <row r="3768" ht="12.75"/>
    <row r="3769" ht="12.75"/>
    <row r="3770" ht="12.75"/>
    <row r="3771" ht="12.75"/>
    <row r="3772" ht="12.75"/>
    <row r="3773" ht="12.75"/>
    <row r="3774" ht="12.75"/>
    <row r="3775" ht="12.75"/>
    <row r="3776" ht="12.75"/>
    <row r="3777" ht="12.75"/>
    <row r="3778" ht="12.75"/>
    <row r="3779" ht="12.75"/>
    <row r="3780" ht="12.75"/>
    <row r="3781" ht="12.75"/>
    <row r="3782" ht="12.75"/>
    <row r="3783" ht="12.75"/>
    <row r="3784" ht="12.75"/>
    <row r="3785" ht="12.75"/>
    <row r="3786" ht="12.75"/>
    <row r="3787" ht="12.75"/>
    <row r="3788" ht="12.75"/>
    <row r="3789" ht="12.75"/>
    <row r="3790" ht="12.75"/>
    <row r="3791" ht="12.75"/>
  </sheetData>
  <hyperlinks>
    <hyperlink ref="G3" r:id="rId1" xr:uid="{00000000-0004-0000-0100-000000000000}"/>
    <hyperlink ref="G4" r:id="rId2" xr:uid="{00000000-0004-0000-0100-000001000000}"/>
    <hyperlink ref="G6" r:id="rId3" xr:uid="{00000000-0004-0000-0100-000002000000}"/>
    <hyperlink ref="G8" r:id="rId4" xr:uid="{00000000-0004-0000-0100-000003000000}"/>
    <hyperlink ref="G9" r:id="rId5" xr:uid="{00000000-0004-0000-0100-000004000000}"/>
    <hyperlink ref="G10" r:id="rId6" xr:uid="{00000000-0004-0000-0100-000005000000}"/>
    <hyperlink ref="S10" r:id="rId7" xr:uid="{00000000-0004-0000-0100-000006000000}"/>
    <hyperlink ref="G11" r:id="rId8" xr:uid="{00000000-0004-0000-0100-000007000000}"/>
    <hyperlink ref="G12" r:id="rId9" xr:uid="{00000000-0004-0000-0100-000008000000}"/>
    <hyperlink ref="G14" r:id="rId10" xr:uid="{00000000-0004-0000-0100-000009000000}"/>
    <hyperlink ref="G15" r:id="rId11" xr:uid="{00000000-0004-0000-0100-00000A000000}"/>
    <hyperlink ref="G16" r:id="rId12" xr:uid="{00000000-0004-0000-0100-00000B000000}"/>
    <hyperlink ref="G17" r:id="rId13" xr:uid="{00000000-0004-0000-0100-00000C000000}"/>
    <hyperlink ref="G18" r:id="rId14" xr:uid="{00000000-0004-0000-0100-00000D000000}"/>
    <hyperlink ref="G19" r:id="rId15" xr:uid="{00000000-0004-0000-0100-00000E000000}"/>
    <hyperlink ref="G21" r:id="rId16" xr:uid="{00000000-0004-0000-0100-00000F000000}"/>
    <hyperlink ref="G22" r:id="rId17" xr:uid="{00000000-0004-0000-0100-000010000000}"/>
    <hyperlink ref="G23" r:id="rId18" xr:uid="{00000000-0004-0000-0100-000011000000}"/>
    <hyperlink ref="G24" r:id="rId19" xr:uid="{00000000-0004-0000-0100-000012000000}"/>
    <hyperlink ref="G25" r:id="rId20" xr:uid="{00000000-0004-0000-0100-000013000000}"/>
    <hyperlink ref="G26" r:id="rId21" xr:uid="{00000000-0004-0000-0100-000014000000}"/>
    <hyperlink ref="G28" r:id="rId22" xr:uid="{00000000-0004-0000-0100-000015000000}"/>
    <hyperlink ref="G29" r:id="rId23" xr:uid="{00000000-0004-0000-0100-000016000000}"/>
    <hyperlink ref="S29" r:id="rId24" xr:uid="{00000000-0004-0000-0100-000017000000}"/>
    <hyperlink ref="G30" r:id="rId25" xr:uid="{00000000-0004-0000-0100-000018000000}"/>
    <hyperlink ref="G31" r:id="rId26" xr:uid="{00000000-0004-0000-0100-000019000000}"/>
    <hyperlink ref="G32" r:id="rId27" xr:uid="{00000000-0004-0000-0100-00001A000000}"/>
    <hyperlink ref="G33" r:id="rId28" xr:uid="{00000000-0004-0000-0100-00001B000000}"/>
    <hyperlink ref="G34" r:id="rId29" xr:uid="{00000000-0004-0000-0100-00001C000000}"/>
    <hyperlink ref="G35" r:id="rId30" xr:uid="{00000000-0004-0000-0100-00001D000000}"/>
    <hyperlink ref="G36" r:id="rId31" xr:uid="{00000000-0004-0000-0100-00001E000000}"/>
    <hyperlink ref="S37" r:id="rId32" xr:uid="{00000000-0004-0000-0100-00001F000000}"/>
    <hyperlink ref="G38" r:id="rId33" xr:uid="{00000000-0004-0000-0100-000020000000}"/>
    <hyperlink ref="G39" r:id="rId34" xr:uid="{00000000-0004-0000-0100-000021000000}"/>
    <hyperlink ref="G40" r:id="rId35" xr:uid="{00000000-0004-0000-0100-000022000000}"/>
    <hyperlink ref="G41" r:id="rId36" xr:uid="{00000000-0004-0000-0100-000023000000}"/>
    <hyperlink ref="G42" r:id="rId37" xr:uid="{00000000-0004-0000-0100-000024000000}"/>
    <hyperlink ref="G43" r:id="rId38" xr:uid="{00000000-0004-0000-0100-000025000000}"/>
    <hyperlink ref="G44" r:id="rId39" xr:uid="{00000000-0004-0000-0100-000026000000}"/>
    <hyperlink ref="G45" r:id="rId40" xr:uid="{00000000-0004-0000-0100-000027000000}"/>
    <hyperlink ref="G46" r:id="rId41" xr:uid="{00000000-0004-0000-0100-000028000000}"/>
    <hyperlink ref="G47" r:id="rId42" xr:uid="{00000000-0004-0000-0100-000029000000}"/>
    <hyperlink ref="G48" r:id="rId43" xr:uid="{00000000-0004-0000-0100-00002A000000}"/>
    <hyperlink ref="G49" r:id="rId44" xr:uid="{00000000-0004-0000-0100-00002B000000}"/>
    <hyperlink ref="G50" r:id="rId45" xr:uid="{00000000-0004-0000-0100-00002C000000}"/>
    <hyperlink ref="G51" r:id="rId46" xr:uid="{00000000-0004-0000-0100-00002D000000}"/>
    <hyperlink ref="G52" r:id="rId47" xr:uid="{00000000-0004-0000-0100-00002E000000}"/>
    <hyperlink ref="G53" r:id="rId48" xr:uid="{00000000-0004-0000-0100-00002F000000}"/>
    <hyperlink ref="G54" r:id="rId49" xr:uid="{00000000-0004-0000-0100-000030000000}"/>
    <hyperlink ref="G55" r:id="rId50" xr:uid="{00000000-0004-0000-0100-000031000000}"/>
    <hyperlink ref="G56" r:id="rId51" xr:uid="{00000000-0004-0000-0100-000032000000}"/>
    <hyperlink ref="G57" r:id="rId52" xr:uid="{00000000-0004-0000-0100-000033000000}"/>
    <hyperlink ref="G58" r:id="rId53" xr:uid="{00000000-0004-0000-0100-000034000000}"/>
    <hyperlink ref="G59" r:id="rId54" xr:uid="{00000000-0004-0000-0100-000035000000}"/>
    <hyperlink ref="G60" r:id="rId55" xr:uid="{00000000-0004-0000-0100-000036000000}"/>
    <hyperlink ref="F61" r:id="rId56" xr:uid="{00000000-0004-0000-0100-000037000000}"/>
    <hyperlink ref="G61" r:id="rId57" xr:uid="{00000000-0004-0000-0100-000038000000}"/>
    <hyperlink ref="G62" r:id="rId58" xr:uid="{00000000-0004-0000-0100-000039000000}"/>
    <hyperlink ref="G63" r:id="rId59" xr:uid="{00000000-0004-0000-0100-00003A000000}"/>
    <hyperlink ref="G64" r:id="rId60" xr:uid="{00000000-0004-0000-0100-00003B000000}"/>
    <hyperlink ref="G65" r:id="rId61" xr:uid="{00000000-0004-0000-0100-00003C000000}"/>
    <hyperlink ref="G66" r:id="rId62" xr:uid="{00000000-0004-0000-0100-00003D000000}"/>
    <hyperlink ref="S68" r:id="rId63" xr:uid="{00000000-0004-0000-0100-00003E000000}"/>
    <hyperlink ref="G69" r:id="rId64" xr:uid="{00000000-0004-0000-0100-00003F000000}"/>
    <hyperlink ref="G70" r:id="rId65" xr:uid="{00000000-0004-0000-0100-000040000000}"/>
    <hyperlink ref="G71" r:id="rId66" xr:uid="{00000000-0004-0000-0100-000041000000}"/>
    <hyperlink ref="G72" r:id="rId67" xr:uid="{00000000-0004-0000-0100-000042000000}"/>
    <hyperlink ref="G73" r:id="rId68" xr:uid="{00000000-0004-0000-0100-000043000000}"/>
    <hyperlink ref="G74" r:id="rId69" xr:uid="{00000000-0004-0000-0100-000044000000}"/>
    <hyperlink ref="G75" r:id="rId70" xr:uid="{00000000-0004-0000-0100-000045000000}"/>
    <hyperlink ref="G76" r:id="rId71" xr:uid="{00000000-0004-0000-0100-000046000000}"/>
    <hyperlink ref="G77" r:id="rId72" xr:uid="{00000000-0004-0000-0100-000047000000}"/>
    <hyperlink ref="G78" r:id="rId73" xr:uid="{00000000-0004-0000-0100-000048000000}"/>
    <hyperlink ref="G79" r:id="rId74" xr:uid="{00000000-0004-0000-0100-000049000000}"/>
    <hyperlink ref="G80" r:id="rId75" xr:uid="{00000000-0004-0000-0100-00004A000000}"/>
    <hyperlink ref="G82" r:id="rId76" xr:uid="{00000000-0004-0000-0100-00004B000000}"/>
    <hyperlink ref="G83" r:id="rId77" xr:uid="{00000000-0004-0000-0100-00004C000000}"/>
    <hyperlink ref="G84" r:id="rId78" xr:uid="{00000000-0004-0000-0100-00004D000000}"/>
    <hyperlink ref="G85" r:id="rId79" xr:uid="{00000000-0004-0000-0100-00004E000000}"/>
    <hyperlink ref="G86" r:id="rId80" xr:uid="{00000000-0004-0000-0100-00004F000000}"/>
    <hyperlink ref="G89" r:id="rId81" xr:uid="{00000000-0004-0000-0100-000050000000}"/>
    <hyperlink ref="G90" r:id="rId82" xr:uid="{00000000-0004-0000-0100-000051000000}"/>
    <hyperlink ref="G91" r:id="rId83" xr:uid="{00000000-0004-0000-0100-000052000000}"/>
    <hyperlink ref="G92" r:id="rId84" xr:uid="{00000000-0004-0000-0100-000053000000}"/>
    <hyperlink ref="G93" r:id="rId85" xr:uid="{00000000-0004-0000-0100-000054000000}"/>
    <hyperlink ref="G94" r:id="rId86" xr:uid="{00000000-0004-0000-0100-000055000000}"/>
    <hyperlink ref="G96" r:id="rId87" xr:uid="{00000000-0004-0000-0100-000056000000}"/>
    <hyperlink ref="G97" r:id="rId88" xr:uid="{00000000-0004-0000-0100-000057000000}"/>
    <hyperlink ref="F98" r:id="rId89" xr:uid="{00000000-0004-0000-0100-000058000000}"/>
    <hyperlink ref="S98" r:id="rId90" xr:uid="{00000000-0004-0000-0100-000059000000}"/>
    <hyperlink ref="G99" r:id="rId91" xr:uid="{00000000-0004-0000-0100-00005A000000}"/>
    <hyperlink ref="G100" r:id="rId92" xr:uid="{00000000-0004-0000-0100-00005B000000}"/>
    <hyperlink ref="G101" r:id="rId93" xr:uid="{00000000-0004-0000-0100-00005C000000}"/>
    <hyperlink ref="G102" r:id="rId94" xr:uid="{00000000-0004-0000-0100-00005F000000}"/>
    <hyperlink ref="G103" r:id="rId95" xr:uid="{00000000-0004-0000-0100-000060000000}"/>
    <hyperlink ref="G104" r:id="rId96" xr:uid="{00000000-0004-0000-0100-000061000000}"/>
    <hyperlink ref="G105" r:id="rId97" xr:uid="{00000000-0004-0000-0100-000064000000}"/>
    <hyperlink ref="G106" r:id="rId98" xr:uid="{00000000-0004-0000-0100-000065000000}"/>
    <hyperlink ref="G107" r:id="rId99" xr:uid="{00000000-0004-0000-0100-000066000000}"/>
    <hyperlink ref="G108" r:id="rId100" xr:uid="{00000000-0004-0000-0100-000067000000}"/>
    <hyperlink ref="G109" r:id="rId101" xr:uid="{00000000-0004-0000-0100-000068000000}"/>
    <hyperlink ref="G111" r:id="rId102" xr:uid="{00000000-0004-0000-0100-000069000000}"/>
    <hyperlink ref="G112" r:id="rId103" xr:uid="{00000000-0004-0000-0100-00006A000000}"/>
    <hyperlink ref="G113" r:id="rId104" xr:uid="{00000000-0004-0000-0100-00006B000000}"/>
    <hyperlink ref="G114" r:id="rId105" xr:uid="{00000000-0004-0000-0100-00006C000000}"/>
    <hyperlink ref="G115" r:id="rId106" xr:uid="{00000000-0004-0000-0100-00006D000000}"/>
    <hyperlink ref="G116" r:id="rId107" xr:uid="{00000000-0004-0000-0100-00006E000000}"/>
    <hyperlink ref="G117" r:id="rId108" xr:uid="{00000000-0004-0000-0100-00006F000000}"/>
    <hyperlink ref="G118" r:id="rId109" xr:uid="{00000000-0004-0000-0100-000073000000}"/>
    <hyperlink ref="G119" r:id="rId110" xr:uid="{00000000-0004-0000-0100-000074000000}"/>
    <hyperlink ref="G120" r:id="rId111" xr:uid="{00000000-0004-0000-0100-000075000000}"/>
    <hyperlink ref="G121" r:id="rId112" xr:uid="{00000000-0004-0000-0100-000076000000}"/>
    <hyperlink ref="G122" r:id="rId113" xr:uid="{00000000-0004-0000-0100-000077000000}"/>
    <hyperlink ref="G123" r:id="rId114" xr:uid="{00000000-0004-0000-0100-000078000000}"/>
    <hyperlink ref="G124" r:id="rId115" xr:uid="{00000000-0004-0000-0100-000079000000}"/>
    <hyperlink ref="G126" r:id="rId116" xr:uid="{00000000-0004-0000-0100-00007A000000}"/>
    <hyperlink ref="G127" r:id="rId117" xr:uid="{00000000-0004-0000-0100-00007B000000}"/>
    <hyperlink ref="G128" r:id="rId118" xr:uid="{00000000-0004-0000-0100-00007C000000}"/>
    <hyperlink ref="G129" r:id="rId119" xr:uid="{00000000-0004-0000-0100-00007D000000}"/>
    <hyperlink ref="G130" r:id="rId120" xr:uid="{00000000-0004-0000-0100-00007E000000}"/>
    <hyperlink ref="G131" r:id="rId121" xr:uid="{00000000-0004-0000-0100-00007F000000}"/>
    <hyperlink ref="Q131" r:id="rId122" xr:uid="{00000000-0004-0000-0100-000080000000}"/>
    <hyperlink ref="G132" r:id="rId123" xr:uid="{00000000-0004-0000-0100-000081000000}"/>
    <hyperlink ref="G134" r:id="rId124" xr:uid="{00000000-0004-0000-0100-000082000000}"/>
    <hyperlink ref="G135" r:id="rId125" xr:uid="{00000000-0004-0000-0100-000083000000}"/>
    <hyperlink ref="G136" r:id="rId126" xr:uid="{00000000-0004-0000-0100-000084000000}"/>
    <hyperlink ref="G137" r:id="rId127" xr:uid="{00000000-0004-0000-0100-000085000000}"/>
    <hyperlink ref="G138" r:id="rId128" xr:uid="{00000000-0004-0000-0100-000086000000}"/>
    <hyperlink ref="G139" r:id="rId129" xr:uid="{00000000-0004-0000-0100-000087000000}"/>
    <hyperlink ref="G141" r:id="rId130" xr:uid="{00000000-0004-0000-0100-000088000000}"/>
    <hyperlink ref="G142" r:id="rId131" xr:uid="{00000000-0004-0000-0100-000089000000}"/>
    <hyperlink ref="G143" r:id="rId132" xr:uid="{00000000-0004-0000-0100-00008E000000}"/>
    <hyperlink ref="G144" r:id="rId133" xr:uid="{00000000-0004-0000-0100-00008F000000}"/>
    <hyperlink ref="G145" r:id="rId134" xr:uid="{00000000-0004-0000-0100-000090000000}"/>
    <hyperlink ref="G146" r:id="rId135" xr:uid="{00000000-0004-0000-0100-000091000000}"/>
    <hyperlink ref="G147" r:id="rId136" xr:uid="{00000000-0004-0000-0100-000092000000}"/>
    <hyperlink ref="G148" r:id="rId137" xr:uid="{00000000-0004-0000-0100-000093000000}"/>
    <hyperlink ref="G149" r:id="rId138" xr:uid="{00000000-0004-0000-0100-000096000000}"/>
    <hyperlink ref="G150" r:id="rId139" xr:uid="{00000000-0004-0000-0100-00009A000000}"/>
    <hyperlink ref="G151" r:id="rId140" xr:uid="{00000000-0004-0000-0100-00009B000000}"/>
    <hyperlink ref="G152" r:id="rId141" xr:uid="{00000000-0004-0000-0100-00009E000000}"/>
    <hyperlink ref="G153" r:id="rId142" xr:uid="{00000000-0004-0000-0100-00009F000000}"/>
    <hyperlink ref="G154" r:id="rId143" xr:uid="{00000000-0004-0000-0100-0000A1000000}"/>
    <hyperlink ref="G155" r:id="rId144" xr:uid="{00000000-0004-0000-0100-0000A8000000}"/>
    <hyperlink ref="G156" r:id="rId145" xr:uid="{00000000-0004-0000-0100-0000A9000000}"/>
    <hyperlink ref="G157" r:id="rId146" xr:uid="{00000000-0004-0000-0100-0000AA000000}"/>
    <hyperlink ref="G158" r:id="rId147" xr:uid="{00000000-0004-0000-0100-0000AB000000}"/>
    <hyperlink ref="G159" r:id="rId148" xr:uid="{00000000-0004-0000-0100-0000AC000000}"/>
    <hyperlink ref="G160" r:id="rId149" xr:uid="{00000000-0004-0000-0100-0000AD000000}"/>
    <hyperlink ref="G161" r:id="rId150" xr:uid="{00000000-0004-0000-0100-0000AE000000}"/>
    <hyperlink ref="G162" r:id="rId151" xr:uid="{00000000-0004-0000-0100-0000AF000000}"/>
    <hyperlink ref="G163" r:id="rId152" xr:uid="{00000000-0004-0000-0100-0000B0000000}"/>
    <hyperlink ref="G164" r:id="rId153" xr:uid="{00000000-0004-0000-0100-0000B2000000}"/>
    <hyperlink ref="S164" r:id="rId154" xr:uid="{00000000-0004-0000-0100-0000B3000000}"/>
    <hyperlink ref="G165" r:id="rId155" xr:uid="{00000000-0004-0000-0100-0000B4000000}"/>
    <hyperlink ref="G166" r:id="rId156" xr:uid="{00000000-0004-0000-0100-0000B5000000}"/>
    <hyperlink ref="G167" r:id="rId157" xr:uid="{00000000-0004-0000-0100-0000B8000000}"/>
    <hyperlink ref="G168" r:id="rId158" xr:uid="{00000000-0004-0000-0100-0000B9000000}"/>
    <hyperlink ref="G169" r:id="rId159" xr:uid="{00000000-0004-0000-0100-0000BA000000}"/>
    <hyperlink ref="G170" r:id="rId160" xr:uid="{00000000-0004-0000-0100-0000BB000000}"/>
    <hyperlink ref="G172" r:id="rId161" xr:uid="{00000000-0004-0000-0100-0000BD000000}"/>
    <hyperlink ref="G173" r:id="rId162" xr:uid="{00000000-0004-0000-0100-0000BE000000}"/>
    <hyperlink ref="G174" r:id="rId163" xr:uid="{00000000-0004-0000-0100-0000BF000000}"/>
    <hyperlink ref="G175" r:id="rId164" xr:uid="{00000000-0004-0000-0100-0000C0000000}"/>
    <hyperlink ref="G176" r:id="rId165" xr:uid="{00000000-0004-0000-0100-0000C1000000}"/>
    <hyperlink ref="G177" r:id="rId166" xr:uid="{00000000-0004-0000-0100-0000C3000000}"/>
    <hyperlink ref="G178" r:id="rId167" xr:uid="{00000000-0004-0000-0100-0000C4000000}"/>
    <hyperlink ref="G179" r:id="rId168" xr:uid="{00000000-0004-0000-0100-0000C5000000}"/>
    <hyperlink ref="G180" r:id="rId169" xr:uid="{00000000-0004-0000-0100-0000C6000000}"/>
    <hyperlink ref="G181" r:id="rId170" xr:uid="{00000000-0004-0000-0100-0000C7000000}"/>
    <hyperlink ref="G182" r:id="rId171" xr:uid="{00000000-0004-0000-0100-0000C8000000}"/>
    <hyperlink ref="G183" r:id="rId172" xr:uid="{00000000-0004-0000-0100-0000C9000000}"/>
    <hyperlink ref="G184" r:id="rId173" xr:uid="{00000000-0004-0000-0100-0000CA000000}"/>
    <hyperlink ref="G185" r:id="rId174" xr:uid="{00000000-0004-0000-0100-0000CB000000}"/>
    <hyperlink ref="G186" r:id="rId175" xr:uid="{00000000-0004-0000-0100-0000CC000000}"/>
    <hyperlink ref="G187" r:id="rId176" xr:uid="{00000000-0004-0000-0100-0000CD000000}"/>
    <hyperlink ref="G188" r:id="rId177" xr:uid="{00000000-0004-0000-0100-0000CE000000}"/>
    <hyperlink ref="G189" r:id="rId178" xr:uid="{00000000-0004-0000-0100-0000CF000000}"/>
    <hyperlink ref="G190" r:id="rId179" xr:uid="{00000000-0004-0000-0100-0000D0000000}"/>
    <hyperlink ref="G191" r:id="rId180" xr:uid="{00000000-0004-0000-0100-0000D1000000}"/>
    <hyperlink ref="G192" r:id="rId181" xr:uid="{00000000-0004-0000-0100-0000D2000000}"/>
    <hyperlink ref="G193" r:id="rId182" xr:uid="{00000000-0004-0000-0100-0000D3000000}"/>
    <hyperlink ref="G194" r:id="rId183" xr:uid="{00000000-0004-0000-0100-0000D4000000}"/>
    <hyperlink ref="G196" r:id="rId184" xr:uid="{00000000-0004-0000-0100-0000D5000000}"/>
    <hyperlink ref="G197" r:id="rId185" xr:uid="{00000000-0004-0000-0100-0000D6000000}"/>
    <hyperlink ref="G198" r:id="rId186" xr:uid="{00000000-0004-0000-0100-0000D7000000}"/>
    <hyperlink ref="G199" r:id="rId187" xr:uid="{00000000-0004-0000-0100-0000D8000000}"/>
    <hyperlink ref="G200" r:id="rId188" xr:uid="{00000000-0004-0000-0100-0000D9000000}"/>
    <hyperlink ref="G201" r:id="rId189" xr:uid="{00000000-0004-0000-0100-0000DA000000}"/>
    <hyperlink ref="G202" r:id="rId190" xr:uid="{00000000-0004-0000-0100-0000DB000000}"/>
    <hyperlink ref="G203" r:id="rId191" xr:uid="{00000000-0004-0000-0100-0000DC000000}"/>
    <hyperlink ref="G204" r:id="rId192" xr:uid="{00000000-0004-0000-0100-0000DD000000}"/>
    <hyperlink ref="G205" r:id="rId193" xr:uid="{00000000-0004-0000-0100-0000DE000000}"/>
    <hyperlink ref="G206" r:id="rId194" xr:uid="{00000000-0004-0000-0100-0000DF000000}"/>
    <hyperlink ref="G207" r:id="rId195" xr:uid="{00000000-0004-0000-0100-0000E0000000}"/>
    <hyperlink ref="G208" r:id="rId196" xr:uid="{00000000-0004-0000-0100-0000E1000000}"/>
    <hyperlink ref="G209" r:id="rId197" xr:uid="{00000000-0004-0000-0100-0000E3000000}"/>
    <hyperlink ref="G210" r:id="rId198" xr:uid="{00000000-0004-0000-0100-0000E4000000}"/>
    <hyperlink ref="G211" r:id="rId199" xr:uid="{00000000-0004-0000-0100-0000E5000000}"/>
    <hyperlink ref="G212" r:id="rId200" xr:uid="{00000000-0004-0000-0100-0000E6000000}"/>
    <hyperlink ref="G213" r:id="rId201" xr:uid="{00000000-0004-0000-0100-0000E7000000}"/>
    <hyperlink ref="G214" r:id="rId202" xr:uid="{00000000-0004-0000-0100-0000E8000000}"/>
    <hyperlink ref="G215" r:id="rId203" xr:uid="{00000000-0004-0000-0100-0000E9000000}"/>
    <hyperlink ref="G216" r:id="rId204" xr:uid="{00000000-0004-0000-0100-0000EA000000}"/>
    <hyperlink ref="G217" r:id="rId205" xr:uid="{00000000-0004-0000-0100-0000EB000000}"/>
    <hyperlink ref="G218" r:id="rId206" xr:uid="{00000000-0004-0000-0100-0000EC000000}"/>
    <hyperlink ref="G219" r:id="rId207" xr:uid="{00000000-0004-0000-0100-0000ED000000}"/>
    <hyperlink ref="G220" r:id="rId208" xr:uid="{00000000-0004-0000-0100-0000EE000000}"/>
    <hyperlink ref="G221" r:id="rId209" xr:uid="{00000000-0004-0000-0100-0000EF000000}"/>
    <hyperlink ref="G222" r:id="rId210" xr:uid="{00000000-0004-0000-0100-0000F0000000}"/>
    <hyperlink ref="G223" r:id="rId211" xr:uid="{00000000-0004-0000-0100-0000F1000000}"/>
    <hyperlink ref="G224" r:id="rId212" xr:uid="{00000000-0004-0000-0100-0000F3000000}"/>
    <hyperlink ref="G225" r:id="rId213" xr:uid="{00000000-0004-0000-0100-0000F4000000}"/>
    <hyperlink ref="G226" r:id="rId214" xr:uid="{00000000-0004-0000-0100-0000F5000000}"/>
    <hyperlink ref="G227" r:id="rId215" xr:uid="{00000000-0004-0000-0100-0000F6000000}"/>
    <hyperlink ref="G228" r:id="rId216" xr:uid="{00000000-0004-0000-0100-0000F7000000}"/>
    <hyperlink ref="G229" r:id="rId217" xr:uid="{00000000-0004-0000-0100-0000F8000000}"/>
    <hyperlink ref="G230" r:id="rId218" xr:uid="{00000000-0004-0000-0100-0000F9000000}"/>
    <hyperlink ref="G231" r:id="rId219" xr:uid="{00000000-0004-0000-0100-0000FA000000}"/>
    <hyperlink ref="G232" r:id="rId220" xr:uid="{00000000-0004-0000-0100-0000FB000000}"/>
    <hyperlink ref="G233" r:id="rId221" xr:uid="{00000000-0004-0000-0100-0000FC000000}"/>
    <hyperlink ref="G234" r:id="rId222" xr:uid="{00000000-0004-0000-0100-0000FD000000}"/>
    <hyperlink ref="G235" r:id="rId223" xr:uid="{00000000-0004-0000-0100-0000FE000000}"/>
    <hyperlink ref="G236" r:id="rId224" xr:uid="{00000000-0004-0000-0100-0000FF000000}"/>
    <hyperlink ref="G237" r:id="rId225" xr:uid="{00000000-0004-0000-0100-000000010000}"/>
    <hyperlink ref="G238" r:id="rId226" xr:uid="{00000000-0004-0000-0100-000003010000}"/>
    <hyperlink ref="G239" r:id="rId227" xr:uid="{00000000-0004-0000-0100-000004010000}"/>
    <hyperlink ref="G240" r:id="rId228" xr:uid="{00000000-0004-0000-0100-000005010000}"/>
    <hyperlink ref="G241" r:id="rId229" xr:uid="{00000000-0004-0000-0100-000008010000}"/>
    <hyperlink ref="G242" r:id="rId230" xr:uid="{00000000-0004-0000-0100-000009010000}"/>
    <hyperlink ref="G243" r:id="rId231" xr:uid="{00000000-0004-0000-0100-00000A010000}"/>
    <hyperlink ref="G244" r:id="rId232" xr:uid="{00000000-0004-0000-0100-00000B010000}"/>
    <hyperlink ref="G245" r:id="rId233" xr:uid="{00000000-0004-0000-0100-00000C010000}"/>
    <hyperlink ref="G246" r:id="rId234" xr:uid="{00000000-0004-0000-0100-00000D010000}"/>
    <hyperlink ref="G247" r:id="rId235" xr:uid="{00000000-0004-0000-0100-00000E010000}"/>
    <hyperlink ref="G248" r:id="rId236" xr:uid="{00000000-0004-0000-0100-00000F010000}"/>
    <hyperlink ref="G249" r:id="rId237" xr:uid="{00000000-0004-0000-0100-000010010000}"/>
    <hyperlink ref="G250" r:id="rId238" xr:uid="{00000000-0004-0000-0100-000011010000}"/>
    <hyperlink ref="G251" r:id="rId239" xr:uid="{00000000-0004-0000-0100-000012010000}"/>
    <hyperlink ref="G252" r:id="rId240" xr:uid="{00000000-0004-0000-0100-000013010000}"/>
    <hyperlink ref="G253" r:id="rId241" xr:uid="{00000000-0004-0000-0100-000014010000}"/>
    <hyperlink ref="G254" r:id="rId242" xr:uid="{00000000-0004-0000-0100-000015010000}"/>
    <hyperlink ref="G255" r:id="rId243" xr:uid="{00000000-0004-0000-0100-000016010000}"/>
    <hyperlink ref="G256" r:id="rId244" xr:uid="{00000000-0004-0000-0100-000017010000}"/>
    <hyperlink ref="G257" r:id="rId245" xr:uid="{00000000-0004-0000-0100-000018010000}"/>
    <hyperlink ref="G258" r:id="rId246" xr:uid="{00000000-0004-0000-0100-000019010000}"/>
    <hyperlink ref="G259" r:id="rId247" xr:uid="{00000000-0004-0000-0100-00001A010000}"/>
    <hyperlink ref="G260" r:id="rId248" xr:uid="{00000000-0004-0000-0100-00001B010000}"/>
    <hyperlink ref="G261" r:id="rId249" xr:uid="{00000000-0004-0000-0100-00001C010000}"/>
    <hyperlink ref="G262" r:id="rId250" xr:uid="{00000000-0004-0000-0100-00001D010000}"/>
    <hyperlink ref="G263" r:id="rId251" xr:uid="{00000000-0004-0000-0100-00001E010000}"/>
    <hyperlink ref="G264" r:id="rId252" xr:uid="{00000000-0004-0000-0100-00001F010000}"/>
    <hyperlink ref="G265" r:id="rId253" xr:uid="{00000000-0004-0000-0100-000020010000}"/>
    <hyperlink ref="G266" r:id="rId254" xr:uid="{00000000-0004-0000-0100-000021010000}"/>
    <hyperlink ref="G267" r:id="rId255" xr:uid="{00000000-0004-0000-0100-000022010000}"/>
    <hyperlink ref="G268" r:id="rId256" xr:uid="{00000000-0004-0000-0100-000023010000}"/>
    <hyperlink ref="G269" r:id="rId257" xr:uid="{00000000-0004-0000-0100-000024010000}"/>
    <hyperlink ref="G270" r:id="rId258" xr:uid="{00000000-0004-0000-0100-000025010000}"/>
    <hyperlink ref="G271" r:id="rId259" xr:uid="{00000000-0004-0000-0100-000026010000}"/>
    <hyperlink ref="G272" r:id="rId260" xr:uid="{00000000-0004-0000-0100-000027010000}"/>
    <hyperlink ref="G273" r:id="rId261" xr:uid="{00000000-0004-0000-0100-000028010000}"/>
    <hyperlink ref="G274" r:id="rId262" xr:uid="{00000000-0004-0000-0100-00002A010000}"/>
    <hyperlink ref="G275" r:id="rId263" xr:uid="{00000000-0004-0000-0100-00002B010000}"/>
    <hyperlink ref="G276" r:id="rId264" xr:uid="{00000000-0004-0000-0100-00002C010000}"/>
    <hyperlink ref="G277" r:id="rId265" xr:uid="{00000000-0004-0000-0100-00002D010000}"/>
    <hyperlink ref="G278" r:id="rId266" xr:uid="{00000000-0004-0000-0100-00002E010000}"/>
    <hyperlink ref="G279" r:id="rId267" xr:uid="{00000000-0004-0000-0100-00002F010000}"/>
    <hyperlink ref="G280" r:id="rId268" xr:uid="{00000000-0004-0000-0100-000030010000}"/>
    <hyperlink ref="G281" r:id="rId269" xr:uid="{00000000-0004-0000-0100-000031010000}"/>
    <hyperlink ref="G282" r:id="rId270" xr:uid="{00000000-0004-0000-0100-000032010000}"/>
    <hyperlink ref="G283" r:id="rId271" xr:uid="{00000000-0004-0000-0100-000033010000}"/>
    <hyperlink ref="G284" r:id="rId272" xr:uid="{00000000-0004-0000-0100-000034010000}"/>
    <hyperlink ref="G285" r:id="rId273" xr:uid="{00000000-0004-0000-0100-000035010000}"/>
    <hyperlink ref="G286" r:id="rId274" xr:uid="{00000000-0004-0000-0100-000036010000}"/>
    <hyperlink ref="G287" r:id="rId275" xr:uid="{00000000-0004-0000-0100-000037010000}"/>
    <hyperlink ref="G289" r:id="rId276" xr:uid="{00000000-0004-0000-0100-000038010000}"/>
    <hyperlink ref="G290" r:id="rId277" xr:uid="{00000000-0004-0000-0100-000039010000}"/>
    <hyperlink ref="G291" r:id="rId278" xr:uid="{00000000-0004-0000-0100-00003A010000}"/>
    <hyperlink ref="G292" r:id="rId279" xr:uid="{00000000-0004-0000-0100-00003B010000}"/>
    <hyperlink ref="G293" r:id="rId280" xr:uid="{00000000-0004-0000-0100-00003C010000}"/>
    <hyperlink ref="G294" r:id="rId281" xr:uid="{00000000-0004-0000-0100-00003D010000}"/>
    <hyperlink ref="G295" r:id="rId282" xr:uid="{00000000-0004-0000-0100-00003E010000}"/>
    <hyperlink ref="G296" r:id="rId283" xr:uid="{00000000-0004-0000-0100-00003F010000}"/>
    <hyperlink ref="G297" r:id="rId284" xr:uid="{00000000-0004-0000-0100-000040010000}"/>
    <hyperlink ref="G298" r:id="rId285" xr:uid="{00000000-0004-0000-0100-000041010000}"/>
    <hyperlink ref="F299" r:id="rId286" xr:uid="{00000000-0004-0000-0100-000042010000}"/>
    <hyperlink ref="G299" r:id="rId287" xr:uid="{00000000-0004-0000-0100-000043010000}"/>
    <hyperlink ref="S299" r:id="rId288" xr:uid="{00000000-0004-0000-0100-000044010000}"/>
    <hyperlink ref="G300" r:id="rId289" xr:uid="{00000000-0004-0000-0100-000045010000}"/>
    <hyperlink ref="G301" r:id="rId290" xr:uid="{00000000-0004-0000-0100-000046010000}"/>
    <hyperlink ref="G302" r:id="rId291" xr:uid="{00000000-0004-0000-0100-000047010000}"/>
    <hyperlink ref="G303" r:id="rId292" xr:uid="{00000000-0004-0000-0100-000048010000}"/>
    <hyperlink ref="G304" r:id="rId293" xr:uid="{00000000-0004-0000-0100-000049010000}"/>
    <hyperlink ref="G305" r:id="rId294" xr:uid="{00000000-0004-0000-0100-00004A010000}"/>
    <hyperlink ref="S306" r:id="rId295" xr:uid="{00000000-0004-0000-0100-00004B010000}"/>
    <hyperlink ref="G307" r:id="rId296" xr:uid="{00000000-0004-0000-0100-00004C010000}"/>
    <hyperlink ref="G308" r:id="rId297" xr:uid="{00000000-0004-0000-0100-00004D010000}"/>
    <hyperlink ref="G309" r:id="rId298" xr:uid="{00000000-0004-0000-0100-00004E010000}"/>
    <hyperlink ref="G310" r:id="rId299" xr:uid="{00000000-0004-0000-0100-00004F010000}"/>
    <hyperlink ref="G311" r:id="rId300" xr:uid="{00000000-0004-0000-0100-000050010000}"/>
    <hyperlink ref="G312" r:id="rId301" xr:uid="{00000000-0004-0000-0100-000051010000}"/>
    <hyperlink ref="G313" r:id="rId302" xr:uid="{00000000-0004-0000-0100-000052010000}"/>
    <hyperlink ref="G314" r:id="rId303" xr:uid="{00000000-0004-0000-0100-000053010000}"/>
    <hyperlink ref="G315" r:id="rId304" xr:uid="{00000000-0004-0000-0100-000054010000}"/>
    <hyperlink ref="G316" r:id="rId305" xr:uid="{00000000-0004-0000-0100-000055010000}"/>
    <hyperlink ref="G317" r:id="rId306" xr:uid="{00000000-0004-0000-0100-000056010000}"/>
    <hyperlink ref="G318" r:id="rId307" xr:uid="{00000000-0004-0000-0100-000057010000}"/>
    <hyperlink ref="G319" r:id="rId308" xr:uid="{00000000-0004-0000-0100-000058010000}"/>
    <hyperlink ref="G320" r:id="rId309" xr:uid="{00000000-0004-0000-0100-000059010000}"/>
    <hyperlink ref="G321" r:id="rId310" xr:uid="{00000000-0004-0000-0100-00005A010000}"/>
    <hyperlink ref="G322" r:id="rId311" xr:uid="{00000000-0004-0000-0100-00005B010000}"/>
    <hyperlink ref="G323" r:id="rId312" xr:uid="{00000000-0004-0000-0100-00005C010000}"/>
    <hyperlink ref="G324" r:id="rId313" xr:uid="{00000000-0004-0000-0100-00005D010000}"/>
    <hyperlink ref="F325" r:id="rId314" xr:uid="{00000000-0004-0000-0100-00005E010000}"/>
    <hyperlink ref="S325" r:id="rId315" xr:uid="{00000000-0004-0000-0100-00005F010000}"/>
    <hyperlink ref="G327" r:id="rId316" xr:uid="{00000000-0004-0000-0100-000063010000}"/>
    <hyperlink ref="G328" r:id="rId317" xr:uid="{00000000-0004-0000-0100-000064010000}"/>
    <hyperlink ref="G329" r:id="rId318" xr:uid="{00000000-0004-0000-0100-000065010000}"/>
    <hyperlink ref="G330" r:id="rId319" xr:uid="{00000000-0004-0000-0100-000066010000}"/>
    <hyperlink ref="G331" r:id="rId320" xr:uid="{00000000-0004-0000-0100-000067010000}"/>
    <hyperlink ref="G332" r:id="rId321" xr:uid="{00000000-0004-0000-0100-000068010000}"/>
    <hyperlink ref="G333" r:id="rId322" xr:uid="{00000000-0004-0000-0100-000069010000}"/>
    <hyperlink ref="G334" r:id="rId323" xr:uid="{00000000-0004-0000-0100-00006A010000}"/>
    <hyperlink ref="G335" r:id="rId324" xr:uid="{00000000-0004-0000-0100-00006B010000}"/>
    <hyperlink ref="G336" r:id="rId325" xr:uid="{00000000-0004-0000-0100-00006C010000}"/>
    <hyperlink ref="G337" r:id="rId326" xr:uid="{00000000-0004-0000-0100-00006D010000}"/>
    <hyperlink ref="G338" r:id="rId327" xr:uid="{00000000-0004-0000-0100-00006E010000}"/>
    <hyperlink ref="G339" r:id="rId328" xr:uid="{00000000-0004-0000-0100-00006F010000}"/>
    <hyperlink ref="G340" r:id="rId329" xr:uid="{00000000-0004-0000-0100-000070010000}"/>
    <hyperlink ref="G341" r:id="rId330" xr:uid="{00000000-0004-0000-0100-000071010000}"/>
    <hyperlink ref="G342" r:id="rId331" xr:uid="{00000000-0004-0000-0100-000072010000}"/>
    <hyperlink ref="G343" r:id="rId332" xr:uid="{00000000-0004-0000-0100-000073010000}"/>
    <hyperlink ref="G345" r:id="rId333" xr:uid="{00000000-0004-0000-0100-000074010000}"/>
    <hyperlink ref="G346" r:id="rId334" xr:uid="{00000000-0004-0000-0100-000075010000}"/>
    <hyperlink ref="G347" r:id="rId335" xr:uid="{00000000-0004-0000-0100-000076010000}"/>
    <hyperlink ref="G348" r:id="rId336" xr:uid="{00000000-0004-0000-0100-000077010000}"/>
    <hyperlink ref="G349" r:id="rId337" xr:uid="{00000000-0004-0000-0100-000079010000}"/>
    <hyperlink ref="G350" r:id="rId338" xr:uid="{00000000-0004-0000-0100-00007A010000}"/>
    <hyperlink ref="G351" r:id="rId339" xr:uid="{00000000-0004-0000-0100-00007B010000}"/>
    <hyperlink ref="G352" r:id="rId340" xr:uid="{00000000-0004-0000-0100-00007C010000}"/>
    <hyperlink ref="G353" r:id="rId341" xr:uid="{00000000-0004-0000-0100-00007D010000}"/>
    <hyperlink ref="G354" r:id="rId342" xr:uid="{00000000-0004-0000-0100-00007E010000}"/>
    <hyperlink ref="G355" r:id="rId343" xr:uid="{00000000-0004-0000-0100-00007F010000}"/>
    <hyperlink ref="G356" r:id="rId344" xr:uid="{00000000-0004-0000-0100-000080010000}"/>
    <hyperlink ref="G357" r:id="rId345" xr:uid="{00000000-0004-0000-0100-000081010000}"/>
    <hyperlink ref="G358" r:id="rId346" xr:uid="{00000000-0004-0000-0100-000082010000}"/>
    <hyperlink ref="G359" r:id="rId347" xr:uid="{00000000-0004-0000-0100-000083010000}"/>
    <hyperlink ref="G360" r:id="rId348" xr:uid="{00000000-0004-0000-0100-000084010000}"/>
    <hyperlink ref="G361" r:id="rId349" xr:uid="{00000000-0004-0000-0100-000085010000}"/>
    <hyperlink ref="G362" r:id="rId350" xr:uid="{00000000-0004-0000-0100-000086010000}"/>
    <hyperlink ref="G363" r:id="rId351" xr:uid="{00000000-0004-0000-0100-000087010000}"/>
    <hyperlink ref="G364" r:id="rId352" xr:uid="{00000000-0004-0000-0100-000088010000}"/>
    <hyperlink ref="G365" r:id="rId353" xr:uid="{00000000-0004-0000-0100-000089010000}"/>
    <hyperlink ref="G366" r:id="rId354" xr:uid="{00000000-0004-0000-0100-00008A010000}"/>
    <hyperlink ref="G367" r:id="rId355" xr:uid="{00000000-0004-0000-0100-00008B010000}"/>
    <hyperlink ref="G368" r:id="rId356" xr:uid="{00000000-0004-0000-0100-00008C010000}"/>
    <hyperlink ref="G369" r:id="rId357" xr:uid="{00000000-0004-0000-0100-00008D010000}"/>
    <hyperlink ref="G370" r:id="rId358" xr:uid="{00000000-0004-0000-0100-00008E010000}"/>
    <hyperlink ref="G371" r:id="rId359" xr:uid="{00000000-0004-0000-0100-00008F010000}"/>
    <hyperlink ref="G372" r:id="rId360" xr:uid="{00000000-0004-0000-0100-000090010000}"/>
    <hyperlink ref="G373" r:id="rId361" xr:uid="{00000000-0004-0000-0100-000091010000}"/>
    <hyperlink ref="G376" r:id="rId362" xr:uid="{00000000-0004-0000-0100-000092010000}"/>
    <hyperlink ref="G377" r:id="rId363" xr:uid="{00000000-0004-0000-0100-000093010000}"/>
    <hyperlink ref="G378" r:id="rId364" xr:uid="{00000000-0004-0000-0100-000094010000}"/>
    <hyperlink ref="G379" r:id="rId365" xr:uid="{00000000-0004-0000-0100-000095010000}"/>
    <hyperlink ref="G380" r:id="rId366" xr:uid="{00000000-0004-0000-0100-000096010000}"/>
    <hyperlink ref="G381" r:id="rId367" xr:uid="{00000000-0004-0000-0100-000097010000}"/>
    <hyperlink ref="G382" r:id="rId368" xr:uid="{00000000-0004-0000-0100-000098010000}"/>
    <hyperlink ref="G383" r:id="rId369" xr:uid="{00000000-0004-0000-0100-000099010000}"/>
    <hyperlink ref="G384" r:id="rId370" xr:uid="{00000000-0004-0000-0100-00009A010000}"/>
    <hyperlink ref="G385" r:id="rId371" xr:uid="{00000000-0004-0000-0100-00009B010000}"/>
    <hyperlink ref="G386" r:id="rId372" xr:uid="{00000000-0004-0000-0100-00009C010000}"/>
    <hyperlink ref="G387" r:id="rId373" xr:uid="{00000000-0004-0000-0100-00009D010000}"/>
    <hyperlink ref="G388" r:id="rId374" xr:uid="{00000000-0004-0000-0100-00009E010000}"/>
    <hyperlink ref="G389" r:id="rId375" xr:uid="{00000000-0004-0000-0100-00009F010000}"/>
    <hyperlink ref="G390" r:id="rId376" xr:uid="{00000000-0004-0000-0100-0000A0010000}"/>
    <hyperlink ref="G391" r:id="rId377" xr:uid="{00000000-0004-0000-0100-0000A1010000}"/>
    <hyperlink ref="G392" r:id="rId378" xr:uid="{00000000-0004-0000-0100-0000A2010000}"/>
    <hyperlink ref="G393" r:id="rId379" xr:uid="{00000000-0004-0000-0100-0000A3010000}"/>
    <hyperlink ref="G394" r:id="rId380" xr:uid="{00000000-0004-0000-0100-0000A4010000}"/>
    <hyperlink ref="G395" r:id="rId381" xr:uid="{00000000-0004-0000-0100-0000A5010000}"/>
    <hyperlink ref="G396" r:id="rId382" xr:uid="{00000000-0004-0000-0100-0000A6010000}"/>
    <hyperlink ref="G397" r:id="rId383" xr:uid="{00000000-0004-0000-0100-0000A7010000}"/>
    <hyperlink ref="G398" r:id="rId384" xr:uid="{00000000-0004-0000-0100-0000A8010000}"/>
    <hyperlink ref="G399" r:id="rId385" xr:uid="{00000000-0004-0000-0100-0000A9010000}"/>
    <hyperlink ref="F400" r:id="rId386" xr:uid="{00000000-0004-0000-0100-0000AA010000}"/>
    <hyperlink ref="S400" r:id="rId387" xr:uid="{00000000-0004-0000-0100-0000AB010000}"/>
    <hyperlink ref="G401" r:id="rId388" xr:uid="{00000000-0004-0000-0100-0000AC010000}"/>
    <hyperlink ref="G402" r:id="rId389" xr:uid="{00000000-0004-0000-0100-0000AD010000}"/>
    <hyperlink ref="G403" r:id="rId390" xr:uid="{00000000-0004-0000-0100-0000AE010000}"/>
    <hyperlink ref="G404" r:id="rId391" xr:uid="{00000000-0004-0000-0100-0000AF010000}"/>
    <hyperlink ref="G405" r:id="rId392" xr:uid="{00000000-0004-0000-0100-0000B0010000}"/>
    <hyperlink ref="G406" r:id="rId393" xr:uid="{00000000-0004-0000-0100-0000B1010000}"/>
    <hyperlink ref="G407" r:id="rId394" xr:uid="{00000000-0004-0000-0100-0000B2010000}"/>
    <hyperlink ref="G408" r:id="rId395" xr:uid="{00000000-0004-0000-0100-0000B3010000}"/>
    <hyperlink ref="G409" r:id="rId396" xr:uid="{00000000-0004-0000-0100-0000B5010000}"/>
    <hyperlink ref="G410" r:id="rId397" xr:uid="{00000000-0004-0000-0100-0000B6010000}"/>
    <hyperlink ref="G411" r:id="rId398" xr:uid="{00000000-0004-0000-0100-0000B7010000}"/>
    <hyperlink ref="G412" r:id="rId399" xr:uid="{00000000-0004-0000-0100-0000B8010000}"/>
    <hyperlink ref="G413" r:id="rId400" xr:uid="{00000000-0004-0000-0100-0000B9010000}"/>
    <hyperlink ref="G414" r:id="rId401" xr:uid="{00000000-0004-0000-0100-0000BA010000}"/>
    <hyperlink ref="G415" r:id="rId402" xr:uid="{00000000-0004-0000-0100-0000BB010000}"/>
    <hyperlink ref="G416" r:id="rId403" xr:uid="{00000000-0004-0000-0100-0000BC010000}"/>
    <hyperlink ref="G417" r:id="rId404" xr:uid="{00000000-0004-0000-0100-0000BD010000}"/>
    <hyperlink ref="G418" r:id="rId405" xr:uid="{00000000-0004-0000-0100-0000BE010000}"/>
    <hyperlink ref="G419" r:id="rId406" xr:uid="{00000000-0004-0000-0100-0000BF010000}"/>
    <hyperlink ref="G420" r:id="rId407" xr:uid="{00000000-0004-0000-0100-0000C0010000}"/>
    <hyperlink ref="G421" r:id="rId408" xr:uid="{00000000-0004-0000-0100-0000C1010000}"/>
    <hyperlink ref="G422" r:id="rId409" xr:uid="{00000000-0004-0000-0100-0000C2010000}"/>
    <hyperlink ref="G423" r:id="rId410" xr:uid="{00000000-0004-0000-0100-0000C3010000}"/>
    <hyperlink ref="G424" r:id="rId411" xr:uid="{00000000-0004-0000-0100-0000C4010000}"/>
    <hyperlink ref="G425" r:id="rId412" xr:uid="{00000000-0004-0000-0100-0000C5010000}"/>
    <hyperlink ref="G426" r:id="rId413" xr:uid="{00000000-0004-0000-0100-0000C6010000}"/>
    <hyperlink ref="G427" r:id="rId414" xr:uid="{00000000-0004-0000-0100-0000C8010000}"/>
    <hyperlink ref="G428" r:id="rId415" xr:uid="{00000000-0004-0000-0100-0000C9010000}"/>
    <hyperlink ref="G429" r:id="rId416" xr:uid="{00000000-0004-0000-0100-0000CA010000}"/>
    <hyperlink ref="G430" r:id="rId417" xr:uid="{00000000-0004-0000-0100-0000CB010000}"/>
    <hyperlink ref="G431" r:id="rId418" xr:uid="{00000000-0004-0000-0100-0000CC010000}"/>
    <hyperlink ref="G432" r:id="rId419" xr:uid="{00000000-0004-0000-0100-0000CD010000}"/>
    <hyperlink ref="G433" r:id="rId420" xr:uid="{00000000-0004-0000-0100-0000CE010000}"/>
    <hyperlink ref="G434" r:id="rId421" xr:uid="{00000000-0004-0000-0100-0000CF010000}"/>
    <hyperlink ref="G435" r:id="rId422" xr:uid="{00000000-0004-0000-0100-0000D0010000}"/>
    <hyperlink ref="G436" r:id="rId423" xr:uid="{00000000-0004-0000-0100-0000D1010000}"/>
    <hyperlink ref="G437" r:id="rId424" xr:uid="{00000000-0004-0000-0100-0000D2010000}"/>
    <hyperlink ref="G438" r:id="rId425" xr:uid="{00000000-0004-0000-0100-0000D3010000}"/>
    <hyperlink ref="G439" r:id="rId426" xr:uid="{00000000-0004-0000-0100-0000D4010000}"/>
    <hyperlink ref="G440" r:id="rId427" xr:uid="{00000000-0004-0000-0100-0000D5010000}"/>
    <hyperlink ref="G441" r:id="rId428" xr:uid="{00000000-0004-0000-0100-0000D6010000}"/>
    <hyperlink ref="G442" r:id="rId429" xr:uid="{00000000-0004-0000-0100-0000D7010000}"/>
    <hyperlink ref="G443" r:id="rId430" xr:uid="{00000000-0004-0000-0100-0000D8010000}"/>
    <hyperlink ref="G444" r:id="rId431" xr:uid="{00000000-0004-0000-0100-0000D9010000}"/>
    <hyperlink ref="G445" r:id="rId432" xr:uid="{00000000-0004-0000-0100-0000DA010000}"/>
    <hyperlink ref="G446" r:id="rId433" xr:uid="{00000000-0004-0000-0100-0000DB010000}"/>
    <hyperlink ref="G447" r:id="rId434" xr:uid="{00000000-0004-0000-0100-0000DC010000}"/>
    <hyperlink ref="G448" r:id="rId435" xr:uid="{00000000-0004-0000-0100-0000DD010000}"/>
    <hyperlink ref="G450" r:id="rId436" xr:uid="{00000000-0004-0000-0100-0000DE010000}"/>
    <hyperlink ref="G451" r:id="rId437" xr:uid="{00000000-0004-0000-0100-0000DF010000}"/>
    <hyperlink ref="G452" r:id="rId438" xr:uid="{00000000-0004-0000-0100-0000E0010000}"/>
    <hyperlink ref="G453" r:id="rId439" xr:uid="{00000000-0004-0000-0100-0000E1010000}"/>
    <hyperlink ref="G454" r:id="rId440" xr:uid="{00000000-0004-0000-0100-0000E2010000}"/>
    <hyperlink ref="G455" r:id="rId441" xr:uid="{00000000-0004-0000-0100-0000E3010000}"/>
    <hyperlink ref="S456" r:id="rId442" xr:uid="{00000000-0004-0000-0100-0000E4010000}"/>
    <hyperlink ref="G457" r:id="rId443" xr:uid="{00000000-0004-0000-0100-0000E5010000}"/>
    <hyperlink ref="G458" r:id="rId444" xr:uid="{00000000-0004-0000-0100-0000E6010000}"/>
    <hyperlink ref="G459" r:id="rId445" xr:uid="{00000000-0004-0000-0100-0000E7010000}"/>
    <hyperlink ref="G460" r:id="rId446" xr:uid="{00000000-0004-0000-0100-0000E8010000}"/>
    <hyperlink ref="G461" r:id="rId447" xr:uid="{00000000-0004-0000-0100-0000EA010000}"/>
    <hyperlink ref="G462" r:id="rId448" xr:uid="{00000000-0004-0000-0100-0000EB010000}"/>
    <hyperlink ref="G463" r:id="rId449" xr:uid="{00000000-0004-0000-0100-0000EC010000}"/>
    <hyperlink ref="G464" r:id="rId450" xr:uid="{00000000-0004-0000-0100-0000ED010000}"/>
    <hyperlink ref="G465" r:id="rId451" xr:uid="{00000000-0004-0000-0100-0000EE010000}"/>
    <hyperlink ref="G466" r:id="rId452" xr:uid="{00000000-0004-0000-0100-0000EF010000}"/>
    <hyperlink ref="G467" r:id="rId453" xr:uid="{00000000-0004-0000-0100-0000F0010000}"/>
    <hyperlink ref="G468" r:id="rId454" xr:uid="{00000000-0004-0000-0100-0000F1010000}"/>
    <hyperlink ref="G469" r:id="rId455" xr:uid="{00000000-0004-0000-0100-0000F3010000}"/>
    <hyperlink ref="G470" r:id="rId456" xr:uid="{00000000-0004-0000-0100-0000F4010000}"/>
    <hyperlink ref="G471" r:id="rId457" xr:uid="{00000000-0004-0000-0100-0000F5010000}"/>
    <hyperlink ref="G472" r:id="rId458" xr:uid="{00000000-0004-0000-0100-0000F6010000}"/>
    <hyperlink ref="G473" r:id="rId459" xr:uid="{00000000-0004-0000-0100-0000F7010000}"/>
    <hyperlink ref="G474" r:id="rId460" xr:uid="{00000000-0004-0000-0100-0000F8010000}"/>
    <hyperlink ref="G475" r:id="rId461" xr:uid="{00000000-0004-0000-0100-0000F9010000}"/>
    <hyperlink ref="G476" r:id="rId462" xr:uid="{00000000-0004-0000-0100-0000FA010000}"/>
    <hyperlink ref="G477" r:id="rId463" xr:uid="{00000000-0004-0000-0100-0000FB010000}"/>
    <hyperlink ref="G478" r:id="rId464" xr:uid="{00000000-0004-0000-0100-0000FC010000}"/>
    <hyperlink ref="G479" r:id="rId465" xr:uid="{00000000-0004-0000-0100-0000FD010000}"/>
    <hyperlink ref="G480" r:id="rId466" xr:uid="{00000000-0004-0000-0100-0000FE010000}"/>
    <hyperlink ref="G481" r:id="rId467" xr:uid="{00000000-0004-0000-0100-0000FF010000}"/>
    <hyperlink ref="G482" r:id="rId468" xr:uid="{00000000-0004-0000-0100-000000020000}"/>
    <hyperlink ref="G483" r:id="rId469" xr:uid="{00000000-0004-0000-0100-000001020000}"/>
    <hyperlink ref="G484" r:id="rId470" xr:uid="{00000000-0004-0000-0100-000002020000}"/>
    <hyperlink ref="G485" r:id="rId471" xr:uid="{00000000-0004-0000-0100-000003020000}"/>
    <hyperlink ref="G486" r:id="rId472" xr:uid="{00000000-0004-0000-0100-000004020000}"/>
    <hyperlink ref="G487" r:id="rId473" xr:uid="{00000000-0004-0000-0100-000005020000}"/>
    <hyperlink ref="G488" r:id="rId474" xr:uid="{00000000-0004-0000-0100-000006020000}"/>
    <hyperlink ref="G489" r:id="rId475" xr:uid="{00000000-0004-0000-0100-000007020000}"/>
    <hyperlink ref="G490" r:id="rId476" xr:uid="{00000000-0004-0000-0100-000008020000}"/>
    <hyperlink ref="G491" r:id="rId477" xr:uid="{00000000-0004-0000-0100-000009020000}"/>
    <hyperlink ref="G492" r:id="rId478" xr:uid="{00000000-0004-0000-0100-00000A020000}"/>
    <hyperlink ref="G493" r:id="rId479" xr:uid="{00000000-0004-0000-0100-00000B020000}"/>
    <hyperlink ref="G494" r:id="rId480" xr:uid="{00000000-0004-0000-0100-00000C020000}"/>
    <hyperlink ref="G495" r:id="rId481" xr:uid="{00000000-0004-0000-0100-00000D020000}"/>
    <hyperlink ref="G496" r:id="rId482" xr:uid="{00000000-0004-0000-0100-00000E020000}"/>
    <hyperlink ref="G497" r:id="rId483" xr:uid="{00000000-0004-0000-0100-00000F020000}"/>
    <hyperlink ref="S497" r:id="rId484" xr:uid="{00000000-0004-0000-0100-000010020000}"/>
    <hyperlink ref="G498" r:id="rId485" xr:uid="{00000000-0004-0000-0100-000011020000}"/>
    <hyperlink ref="G499" r:id="rId486" xr:uid="{00000000-0004-0000-0100-000012020000}"/>
    <hyperlink ref="G500" r:id="rId487" xr:uid="{00000000-0004-0000-0100-000013020000}"/>
    <hyperlink ref="G501" r:id="rId488" xr:uid="{00000000-0004-0000-0100-000014020000}"/>
    <hyperlink ref="G502" r:id="rId489" xr:uid="{00000000-0004-0000-0100-000015020000}"/>
    <hyperlink ref="G503" r:id="rId490" xr:uid="{00000000-0004-0000-0100-000016020000}"/>
    <hyperlink ref="G504" r:id="rId491" xr:uid="{00000000-0004-0000-0100-000017020000}"/>
    <hyperlink ref="G505" r:id="rId492" xr:uid="{00000000-0004-0000-0100-000018020000}"/>
    <hyperlink ref="G506" r:id="rId493" xr:uid="{00000000-0004-0000-0100-000019020000}"/>
    <hyperlink ref="G507" r:id="rId494" xr:uid="{00000000-0004-0000-0100-00001A020000}"/>
    <hyperlink ref="G508" r:id="rId495" xr:uid="{00000000-0004-0000-0100-00001B020000}"/>
    <hyperlink ref="G509" r:id="rId496" xr:uid="{00000000-0004-0000-0100-00001C020000}"/>
    <hyperlink ref="G510" r:id="rId497" xr:uid="{00000000-0004-0000-0100-00001D020000}"/>
    <hyperlink ref="F511" r:id="rId498" xr:uid="{00000000-0004-0000-0100-00001E020000}"/>
    <hyperlink ref="G512" r:id="rId499" xr:uid="{00000000-0004-0000-0100-00001F020000}"/>
    <hyperlink ref="G513" r:id="rId500" xr:uid="{00000000-0004-0000-0100-000020020000}"/>
    <hyperlink ref="G514" r:id="rId501" xr:uid="{00000000-0004-0000-0100-000021020000}"/>
    <hyperlink ref="G515" r:id="rId502" xr:uid="{00000000-0004-0000-0100-000022020000}"/>
    <hyperlink ref="G516" r:id="rId503" xr:uid="{00000000-0004-0000-0100-000023020000}"/>
    <hyperlink ref="G517" r:id="rId504" xr:uid="{00000000-0004-0000-0100-000024020000}"/>
    <hyperlink ref="G518" r:id="rId505" xr:uid="{00000000-0004-0000-0100-000025020000}"/>
    <hyperlink ref="G519" r:id="rId506" xr:uid="{00000000-0004-0000-0100-000026020000}"/>
    <hyperlink ref="G520" r:id="rId507" xr:uid="{00000000-0004-0000-0100-000027020000}"/>
    <hyperlink ref="G521" r:id="rId508" xr:uid="{00000000-0004-0000-0100-000028020000}"/>
    <hyperlink ref="G522" r:id="rId509" xr:uid="{00000000-0004-0000-0100-000029020000}"/>
    <hyperlink ref="G523" r:id="rId510" xr:uid="{00000000-0004-0000-0100-00002A020000}"/>
    <hyperlink ref="G524" r:id="rId511" xr:uid="{00000000-0004-0000-0100-00002B020000}"/>
    <hyperlink ref="G525" r:id="rId512" xr:uid="{00000000-0004-0000-0100-00002C020000}"/>
    <hyperlink ref="G526" r:id="rId513" xr:uid="{00000000-0004-0000-0100-00002D020000}"/>
    <hyperlink ref="G527" r:id="rId514" xr:uid="{00000000-0004-0000-0100-00002E020000}"/>
    <hyperlink ref="G528" r:id="rId515" xr:uid="{00000000-0004-0000-0100-00002F020000}"/>
    <hyperlink ref="G529" r:id="rId516" xr:uid="{00000000-0004-0000-0100-000030020000}"/>
    <hyperlink ref="G530" r:id="rId517" xr:uid="{00000000-0004-0000-0100-000031020000}"/>
    <hyperlink ref="G531" r:id="rId518" xr:uid="{00000000-0004-0000-0100-000032020000}"/>
    <hyperlink ref="G532" r:id="rId519" xr:uid="{00000000-0004-0000-0100-000033020000}"/>
    <hyperlink ref="G533" r:id="rId520" xr:uid="{00000000-0004-0000-0100-000034020000}"/>
    <hyperlink ref="G534" r:id="rId521" xr:uid="{00000000-0004-0000-0100-000035020000}"/>
    <hyperlink ref="G535" r:id="rId522" xr:uid="{00000000-0004-0000-0100-000036020000}"/>
    <hyperlink ref="G536" r:id="rId523" xr:uid="{00000000-0004-0000-0100-000037020000}"/>
    <hyperlink ref="G537" r:id="rId524" xr:uid="{00000000-0004-0000-0100-000038020000}"/>
    <hyperlink ref="G538" r:id="rId525" xr:uid="{00000000-0004-0000-0100-000039020000}"/>
    <hyperlink ref="G539" r:id="rId526" xr:uid="{00000000-0004-0000-0100-00003A020000}"/>
    <hyperlink ref="G540" r:id="rId527" xr:uid="{00000000-0004-0000-0100-00003B020000}"/>
    <hyperlink ref="G541" r:id="rId528" xr:uid="{00000000-0004-0000-0100-00003C020000}"/>
    <hyperlink ref="G542" r:id="rId529" xr:uid="{00000000-0004-0000-0100-00003D020000}"/>
    <hyperlink ref="G543" r:id="rId530" xr:uid="{00000000-0004-0000-0100-00003E020000}"/>
    <hyperlink ref="G544" r:id="rId531" xr:uid="{00000000-0004-0000-0100-00003F020000}"/>
    <hyperlink ref="G545" r:id="rId532" xr:uid="{00000000-0004-0000-0100-000040020000}"/>
    <hyperlink ref="G546" r:id="rId533" xr:uid="{00000000-0004-0000-0100-000041020000}"/>
    <hyperlink ref="G547" r:id="rId534" xr:uid="{00000000-0004-0000-0100-000042020000}"/>
    <hyperlink ref="G548" r:id="rId535" xr:uid="{00000000-0004-0000-0100-000043020000}"/>
    <hyperlink ref="G549" r:id="rId536" xr:uid="{00000000-0004-0000-0100-000045020000}"/>
    <hyperlink ref="G550" r:id="rId537" xr:uid="{00000000-0004-0000-0100-000046020000}"/>
    <hyperlink ref="G551" r:id="rId538" xr:uid="{00000000-0004-0000-0100-000047020000}"/>
    <hyperlink ref="G552" r:id="rId539" xr:uid="{00000000-0004-0000-0100-000048020000}"/>
    <hyperlink ref="G553" r:id="rId540" xr:uid="{00000000-0004-0000-0100-000049020000}"/>
    <hyperlink ref="G554" r:id="rId541" xr:uid="{00000000-0004-0000-0100-00004A020000}"/>
    <hyperlink ref="G555" r:id="rId542" xr:uid="{00000000-0004-0000-0100-00004B020000}"/>
    <hyperlink ref="G556" r:id="rId543" xr:uid="{00000000-0004-0000-0100-00004C020000}"/>
    <hyperlink ref="G557" r:id="rId544" xr:uid="{00000000-0004-0000-0100-00004D020000}"/>
    <hyperlink ref="G558" r:id="rId545" xr:uid="{00000000-0004-0000-0100-00004E020000}"/>
    <hyperlink ref="G559" r:id="rId546" xr:uid="{00000000-0004-0000-0100-00004F020000}"/>
    <hyperlink ref="G560" r:id="rId547" xr:uid="{00000000-0004-0000-0100-000050020000}"/>
    <hyperlink ref="G561" r:id="rId548" xr:uid="{00000000-0004-0000-0100-000051020000}"/>
    <hyperlink ref="G562" r:id="rId549" xr:uid="{00000000-0004-0000-0100-000052020000}"/>
    <hyperlink ref="G563" r:id="rId550" xr:uid="{00000000-0004-0000-0100-000053020000}"/>
    <hyperlink ref="G564" r:id="rId551" xr:uid="{00000000-0004-0000-0100-000054020000}"/>
    <hyperlink ref="G565" r:id="rId552" xr:uid="{00000000-0004-0000-0100-000055020000}"/>
    <hyperlink ref="G566" r:id="rId553" xr:uid="{00000000-0004-0000-0100-000056020000}"/>
    <hyperlink ref="G567" r:id="rId554" xr:uid="{00000000-0004-0000-0100-000057020000}"/>
    <hyperlink ref="G568" r:id="rId555" xr:uid="{00000000-0004-0000-0100-000058020000}"/>
    <hyperlink ref="G569" r:id="rId556" xr:uid="{00000000-0004-0000-0100-000059020000}"/>
    <hyperlink ref="G570" r:id="rId557" xr:uid="{00000000-0004-0000-0100-00005A020000}"/>
    <hyperlink ref="G571" r:id="rId558" xr:uid="{00000000-0004-0000-0100-00005B020000}"/>
    <hyperlink ref="G572" r:id="rId559" xr:uid="{00000000-0004-0000-0100-00005C020000}"/>
    <hyperlink ref="G573" r:id="rId560" xr:uid="{00000000-0004-0000-0100-00005D020000}"/>
    <hyperlink ref="G574" r:id="rId561" xr:uid="{00000000-0004-0000-0100-00005E020000}"/>
    <hyperlink ref="G575" r:id="rId562" xr:uid="{00000000-0004-0000-0100-00005F020000}"/>
    <hyperlink ref="G576" r:id="rId563" xr:uid="{00000000-0004-0000-0100-000060020000}"/>
    <hyperlink ref="G577" r:id="rId564" xr:uid="{00000000-0004-0000-0100-000061020000}"/>
    <hyperlink ref="G578" r:id="rId565" xr:uid="{00000000-0004-0000-0100-000062020000}"/>
    <hyperlink ref="G579" r:id="rId566" xr:uid="{00000000-0004-0000-0100-000063020000}"/>
    <hyperlink ref="G581" r:id="rId567" xr:uid="{00000000-0004-0000-0100-000064020000}"/>
    <hyperlink ref="G582" r:id="rId568" xr:uid="{00000000-0004-0000-0100-000065020000}"/>
    <hyperlink ref="G583" r:id="rId569" xr:uid="{00000000-0004-0000-0100-000066020000}"/>
    <hyperlink ref="G584" r:id="rId570" xr:uid="{00000000-0004-0000-0100-000067020000}"/>
    <hyperlink ref="G585" r:id="rId571" xr:uid="{00000000-0004-0000-0100-000068020000}"/>
    <hyperlink ref="G586" r:id="rId572" xr:uid="{00000000-0004-0000-0100-000069020000}"/>
    <hyperlink ref="G587" r:id="rId573" xr:uid="{00000000-0004-0000-0100-00006A020000}"/>
    <hyperlink ref="G588" r:id="rId574" xr:uid="{00000000-0004-0000-0100-00006B020000}"/>
    <hyperlink ref="G589" r:id="rId575" xr:uid="{00000000-0004-0000-0100-00006C020000}"/>
    <hyperlink ref="G590" r:id="rId576" xr:uid="{00000000-0004-0000-0100-00006D020000}"/>
    <hyperlink ref="G591" r:id="rId577" xr:uid="{00000000-0004-0000-0100-00006E020000}"/>
    <hyperlink ref="G592" r:id="rId578" xr:uid="{00000000-0004-0000-0100-00006F020000}"/>
    <hyperlink ref="G593" r:id="rId579" xr:uid="{00000000-0004-0000-0100-000070020000}"/>
    <hyperlink ref="G594" r:id="rId580" xr:uid="{00000000-0004-0000-0100-000071020000}"/>
    <hyperlink ref="G595" r:id="rId581" xr:uid="{00000000-0004-0000-0100-000072020000}"/>
    <hyperlink ref="G596" r:id="rId582" xr:uid="{00000000-0004-0000-0100-000073020000}"/>
    <hyperlink ref="G597" r:id="rId583" xr:uid="{00000000-0004-0000-0100-000074020000}"/>
    <hyperlink ref="G598" r:id="rId584" xr:uid="{00000000-0004-0000-0100-000075020000}"/>
    <hyperlink ref="G599" r:id="rId585" xr:uid="{00000000-0004-0000-0100-000076020000}"/>
    <hyperlink ref="G600" r:id="rId586" xr:uid="{00000000-0004-0000-0100-000077020000}"/>
    <hyperlink ref="G601" r:id="rId587" xr:uid="{00000000-0004-0000-0100-000078020000}"/>
    <hyperlink ref="G602" r:id="rId588" xr:uid="{00000000-0004-0000-0100-000079020000}"/>
    <hyperlink ref="G603" r:id="rId589" xr:uid="{00000000-0004-0000-0100-00007A020000}"/>
    <hyperlink ref="G604" r:id="rId590" xr:uid="{00000000-0004-0000-0100-00007B020000}"/>
    <hyperlink ref="G605" r:id="rId591" xr:uid="{00000000-0004-0000-0100-00007C020000}"/>
    <hyperlink ref="G606" r:id="rId592" xr:uid="{00000000-0004-0000-0100-00007D020000}"/>
    <hyperlink ref="G607" r:id="rId593" xr:uid="{00000000-0004-0000-0100-00007E020000}"/>
    <hyperlink ref="G608" r:id="rId594" xr:uid="{00000000-0004-0000-0100-00007F020000}"/>
    <hyperlink ref="G609" r:id="rId595" xr:uid="{00000000-0004-0000-0100-000080020000}"/>
    <hyperlink ref="G610" r:id="rId596" xr:uid="{00000000-0004-0000-0100-000081020000}"/>
    <hyperlink ref="G611" r:id="rId597" xr:uid="{00000000-0004-0000-0100-000082020000}"/>
    <hyperlink ref="G612" r:id="rId598" xr:uid="{00000000-0004-0000-0100-000083020000}"/>
    <hyperlink ref="G613" r:id="rId599" xr:uid="{00000000-0004-0000-0100-000084020000}"/>
    <hyperlink ref="G614" r:id="rId600" xr:uid="{00000000-0004-0000-0100-000085020000}"/>
    <hyperlink ref="G615" r:id="rId601" xr:uid="{00000000-0004-0000-0100-000086020000}"/>
    <hyperlink ref="G617" r:id="rId602" xr:uid="{00000000-0004-0000-0100-000087020000}"/>
    <hyperlink ref="G618" r:id="rId603" xr:uid="{00000000-0004-0000-0100-000088020000}"/>
    <hyperlink ref="G619" r:id="rId604" xr:uid="{00000000-0004-0000-0100-000089020000}"/>
    <hyperlink ref="G620" r:id="rId605" xr:uid="{00000000-0004-0000-0100-00008A020000}"/>
    <hyperlink ref="G622" r:id="rId606" xr:uid="{00000000-0004-0000-0100-00008B020000}"/>
    <hyperlink ref="G623" r:id="rId607" xr:uid="{00000000-0004-0000-0100-00008C020000}"/>
    <hyperlink ref="G624" r:id="rId608" xr:uid="{00000000-0004-0000-0100-00008D020000}"/>
    <hyperlink ref="G625" r:id="rId609" xr:uid="{00000000-0004-0000-0100-00008E020000}"/>
    <hyperlink ref="G626" r:id="rId610" xr:uid="{00000000-0004-0000-0100-00008F020000}"/>
    <hyperlink ref="G627" r:id="rId611" xr:uid="{00000000-0004-0000-0100-000090020000}"/>
    <hyperlink ref="G628" r:id="rId612" xr:uid="{00000000-0004-0000-0100-000091020000}"/>
    <hyperlink ref="G629" r:id="rId613" xr:uid="{00000000-0004-0000-0100-000092020000}"/>
    <hyperlink ref="G630" r:id="rId614" xr:uid="{00000000-0004-0000-0100-000093020000}"/>
    <hyperlink ref="G631" r:id="rId615" xr:uid="{00000000-0004-0000-0100-000094020000}"/>
    <hyperlink ref="G632" r:id="rId616" xr:uid="{00000000-0004-0000-0100-000095020000}"/>
    <hyperlink ref="G633" r:id="rId617" xr:uid="{00000000-0004-0000-0100-000096020000}"/>
    <hyperlink ref="G634" r:id="rId618" xr:uid="{00000000-0004-0000-0100-000097020000}"/>
    <hyperlink ref="G635" r:id="rId619" xr:uid="{00000000-0004-0000-0100-000098020000}"/>
    <hyperlink ref="G636" r:id="rId620" xr:uid="{00000000-0004-0000-0100-000099020000}"/>
    <hyperlink ref="G637" r:id="rId621" xr:uid="{00000000-0004-0000-0100-00009A020000}"/>
    <hyperlink ref="G638" r:id="rId622" xr:uid="{00000000-0004-0000-0100-00009B020000}"/>
    <hyperlink ref="G639" r:id="rId623" xr:uid="{00000000-0004-0000-0100-00009C020000}"/>
    <hyperlink ref="G640" r:id="rId624" xr:uid="{00000000-0004-0000-0100-00009D020000}"/>
    <hyperlink ref="G641" r:id="rId625" xr:uid="{00000000-0004-0000-0100-00009E020000}"/>
    <hyperlink ref="G642" r:id="rId626" xr:uid="{00000000-0004-0000-0100-00009F020000}"/>
    <hyperlink ref="G643" r:id="rId627" xr:uid="{00000000-0004-0000-0100-0000A0020000}"/>
    <hyperlink ref="G644" r:id="rId628" xr:uid="{00000000-0004-0000-0100-0000A3020000}"/>
    <hyperlink ref="G645" r:id="rId629" xr:uid="{00000000-0004-0000-0100-0000A4020000}"/>
    <hyperlink ref="G647" r:id="rId630" xr:uid="{00000000-0004-0000-0100-0000A5020000}"/>
    <hyperlink ref="G648" r:id="rId631" xr:uid="{00000000-0004-0000-0100-0000A6020000}"/>
    <hyperlink ref="G649" r:id="rId632" xr:uid="{00000000-0004-0000-0100-0000A7020000}"/>
    <hyperlink ref="G650" r:id="rId633" xr:uid="{00000000-0004-0000-0100-0000A8020000}"/>
    <hyperlink ref="G651" r:id="rId634" xr:uid="{00000000-0004-0000-0100-0000A9020000}"/>
    <hyperlink ref="G652" r:id="rId635" xr:uid="{00000000-0004-0000-0100-0000AA020000}"/>
    <hyperlink ref="G653" r:id="rId636" xr:uid="{00000000-0004-0000-0100-0000AB020000}"/>
    <hyperlink ref="G654" r:id="rId637" xr:uid="{00000000-0004-0000-0100-0000AC020000}"/>
    <hyperlink ref="G655" r:id="rId638" xr:uid="{00000000-0004-0000-0100-0000AD020000}"/>
    <hyperlink ref="G656" r:id="rId639" xr:uid="{00000000-0004-0000-0100-0000AE020000}"/>
    <hyperlink ref="G658" r:id="rId640" xr:uid="{00000000-0004-0000-0100-0000AF020000}"/>
    <hyperlink ref="G659" r:id="rId641" xr:uid="{00000000-0004-0000-0100-0000B0020000}"/>
    <hyperlink ref="G660" r:id="rId642" xr:uid="{00000000-0004-0000-0100-0000B1020000}"/>
    <hyperlink ref="G661" r:id="rId643" xr:uid="{00000000-0004-0000-0100-0000B2020000}"/>
    <hyperlink ref="G662" r:id="rId644" xr:uid="{00000000-0004-0000-0100-0000B3020000}"/>
    <hyperlink ref="G663" r:id="rId645" xr:uid="{00000000-0004-0000-0100-0000B4020000}"/>
    <hyperlink ref="G664" r:id="rId646" xr:uid="{00000000-0004-0000-0100-0000B5020000}"/>
    <hyperlink ref="G665" r:id="rId647" xr:uid="{00000000-0004-0000-0100-0000B6020000}"/>
    <hyperlink ref="G666" r:id="rId648" xr:uid="{00000000-0004-0000-0100-0000B7020000}"/>
    <hyperlink ref="G667" r:id="rId649" xr:uid="{00000000-0004-0000-0100-0000B8020000}"/>
    <hyperlink ref="G668" r:id="rId650" xr:uid="{00000000-0004-0000-0100-0000B9020000}"/>
    <hyperlink ref="G669" r:id="rId651" xr:uid="{00000000-0004-0000-0100-0000BA020000}"/>
    <hyperlink ref="G670" r:id="rId652" xr:uid="{00000000-0004-0000-0100-0000BB020000}"/>
    <hyperlink ref="G671" r:id="rId653" xr:uid="{00000000-0004-0000-0100-0000BC020000}"/>
    <hyperlink ref="G672" r:id="rId654" xr:uid="{00000000-0004-0000-0100-0000BD020000}"/>
    <hyperlink ref="G673" r:id="rId655" xr:uid="{00000000-0004-0000-0100-0000BE020000}"/>
    <hyperlink ref="G674" r:id="rId656" xr:uid="{00000000-0004-0000-0100-0000BF020000}"/>
    <hyperlink ref="G675" r:id="rId657" xr:uid="{00000000-0004-0000-0100-0000C0020000}"/>
    <hyperlink ref="G676" r:id="rId658" xr:uid="{00000000-0004-0000-0100-0000C1020000}"/>
    <hyperlink ref="G677" r:id="rId659" xr:uid="{00000000-0004-0000-0100-0000C2020000}"/>
    <hyperlink ref="G679" r:id="rId660" xr:uid="{00000000-0004-0000-0100-0000C3020000}"/>
    <hyperlink ref="G680" r:id="rId661" xr:uid="{00000000-0004-0000-0100-0000C4020000}"/>
    <hyperlink ref="G681" r:id="rId662" xr:uid="{00000000-0004-0000-0100-0000C5020000}"/>
    <hyperlink ref="F682" r:id="rId663" xr:uid="{00000000-0004-0000-0100-0000C6020000}"/>
    <hyperlink ref="G682" r:id="rId664" xr:uid="{00000000-0004-0000-0100-0000C7020000}"/>
    <hyperlink ref="G683" r:id="rId665" xr:uid="{00000000-0004-0000-0100-0000C8020000}"/>
    <hyperlink ref="G684" r:id="rId666" xr:uid="{00000000-0004-0000-0100-0000C9020000}"/>
    <hyperlink ref="G685" r:id="rId667" xr:uid="{00000000-0004-0000-0100-0000CA020000}"/>
    <hyperlink ref="G686" r:id="rId668" xr:uid="{00000000-0004-0000-0100-0000CB020000}"/>
    <hyperlink ref="G687" r:id="rId669" xr:uid="{00000000-0004-0000-0100-0000CC020000}"/>
    <hyperlink ref="G688" r:id="rId670" xr:uid="{00000000-0004-0000-0100-0000CD020000}"/>
    <hyperlink ref="G689" r:id="rId671" xr:uid="{00000000-0004-0000-0100-0000D0020000}"/>
    <hyperlink ref="G690" r:id="rId672" xr:uid="{00000000-0004-0000-0100-0000D1020000}"/>
    <hyperlink ref="G691" r:id="rId673" xr:uid="{00000000-0004-0000-0100-0000D3020000}"/>
    <hyperlink ref="G692" r:id="rId674" xr:uid="{00000000-0004-0000-0100-0000D4020000}"/>
    <hyperlink ref="G693" r:id="rId675" xr:uid="{00000000-0004-0000-0100-0000D5020000}"/>
    <hyperlink ref="G694" r:id="rId676" xr:uid="{00000000-0004-0000-0100-0000D6020000}"/>
    <hyperlink ref="G695" r:id="rId677" xr:uid="{00000000-0004-0000-0100-0000D7020000}"/>
    <hyperlink ref="G696" r:id="rId678" xr:uid="{00000000-0004-0000-0100-0000D8020000}"/>
    <hyperlink ref="G697" r:id="rId679" xr:uid="{00000000-0004-0000-0100-0000D9020000}"/>
    <hyperlink ref="G698" r:id="rId680" xr:uid="{00000000-0004-0000-0100-0000DA020000}"/>
    <hyperlink ref="G699" r:id="rId681" xr:uid="{00000000-0004-0000-0100-0000DB020000}"/>
    <hyperlink ref="G700" r:id="rId682" xr:uid="{00000000-0004-0000-0100-0000DC020000}"/>
    <hyperlink ref="G701" r:id="rId683" xr:uid="{00000000-0004-0000-0100-0000DD020000}"/>
    <hyperlink ref="G702" r:id="rId684" xr:uid="{00000000-0004-0000-0100-0000DE020000}"/>
    <hyperlink ref="G704" r:id="rId685" xr:uid="{00000000-0004-0000-0100-0000DF020000}"/>
    <hyperlink ref="G705" r:id="rId686" xr:uid="{00000000-0004-0000-0100-0000E0020000}"/>
    <hyperlink ref="G706" r:id="rId687" xr:uid="{00000000-0004-0000-0100-0000E1020000}"/>
    <hyperlink ref="G707" r:id="rId688" xr:uid="{00000000-0004-0000-0100-0000E2020000}"/>
    <hyperlink ref="G708" r:id="rId689" xr:uid="{00000000-0004-0000-0100-0000E3020000}"/>
    <hyperlink ref="S709" r:id="rId690" xr:uid="{00000000-0004-0000-0100-0000E4020000}"/>
    <hyperlink ref="G710" r:id="rId691" xr:uid="{00000000-0004-0000-0100-0000E5020000}"/>
    <hyperlink ref="G711" r:id="rId692" xr:uid="{00000000-0004-0000-0100-0000E6020000}"/>
    <hyperlink ref="G712" r:id="rId693" xr:uid="{00000000-0004-0000-0100-0000E7020000}"/>
    <hyperlink ref="G713" r:id="rId694" xr:uid="{00000000-0004-0000-0100-0000E8020000}"/>
    <hyperlink ref="G714" r:id="rId695" xr:uid="{00000000-0004-0000-0100-0000E9020000}"/>
    <hyperlink ref="G715" r:id="rId696" xr:uid="{00000000-0004-0000-0100-0000EA020000}"/>
    <hyperlink ref="G716" r:id="rId697" xr:uid="{00000000-0004-0000-0100-0000EB020000}"/>
    <hyperlink ref="G717" r:id="rId698" xr:uid="{00000000-0004-0000-0100-0000EC020000}"/>
    <hyperlink ref="G718" r:id="rId699" xr:uid="{00000000-0004-0000-0100-0000ED020000}"/>
    <hyperlink ref="G719" r:id="rId700" xr:uid="{00000000-0004-0000-0100-0000EE020000}"/>
    <hyperlink ref="G720" r:id="rId701" xr:uid="{00000000-0004-0000-0100-0000EF020000}"/>
    <hyperlink ref="G721" r:id="rId702" xr:uid="{00000000-0004-0000-0100-0000F0020000}"/>
    <hyperlink ref="G722" r:id="rId703" xr:uid="{00000000-0004-0000-0100-0000F1020000}"/>
    <hyperlink ref="G723" r:id="rId704" xr:uid="{00000000-0004-0000-0100-0000F2020000}"/>
    <hyperlink ref="G724" r:id="rId705" xr:uid="{00000000-0004-0000-0100-0000F3020000}"/>
    <hyperlink ref="G725" r:id="rId706" xr:uid="{00000000-0004-0000-0100-0000F4020000}"/>
    <hyperlink ref="G726" r:id="rId707" xr:uid="{00000000-0004-0000-0100-0000F5020000}"/>
    <hyperlink ref="G727" r:id="rId708" xr:uid="{00000000-0004-0000-0100-0000F6020000}"/>
    <hyperlink ref="G728" r:id="rId709" xr:uid="{00000000-0004-0000-0100-0000F7020000}"/>
    <hyperlink ref="G729" r:id="rId710" xr:uid="{00000000-0004-0000-0100-0000F8020000}"/>
    <hyperlink ref="G730" r:id="rId711" xr:uid="{00000000-0004-0000-0100-0000F9020000}"/>
    <hyperlink ref="G731" r:id="rId712" xr:uid="{00000000-0004-0000-0100-0000FA020000}"/>
    <hyperlink ref="G733" r:id="rId713" xr:uid="{00000000-0004-0000-0100-0000FB020000}"/>
    <hyperlink ref="G734" r:id="rId714" xr:uid="{00000000-0004-0000-0100-0000FC020000}"/>
    <hyperlink ref="G735" r:id="rId715" xr:uid="{00000000-0004-0000-0100-0000FD020000}"/>
    <hyperlink ref="G736" r:id="rId716" xr:uid="{00000000-0004-0000-0100-0000FE020000}"/>
    <hyperlink ref="G737" r:id="rId717" xr:uid="{00000000-0004-0000-0100-0000FF020000}"/>
    <hyperlink ref="G738" r:id="rId718" xr:uid="{00000000-0004-0000-0100-000000030000}"/>
    <hyperlink ref="G739" r:id="rId719" xr:uid="{00000000-0004-0000-0100-000001030000}"/>
    <hyperlink ref="G740" r:id="rId720" xr:uid="{00000000-0004-0000-0100-000002030000}"/>
    <hyperlink ref="G741" r:id="rId721" xr:uid="{00000000-0004-0000-0100-000003030000}"/>
    <hyperlink ref="S742" r:id="rId722" xr:uid="{00000000-0004-0000-0100-000004030000}"/>
    <hyperlink ref="G743" r:id="rId723" xr:uid="{00000000-0004-0000-0100-000005030000}"/>
    <hyperlink ref="G744" r:id="rId724" xr:uid="{00000000-0004-0000-0100-000006030000}"/>
    <hyperlink ref="G745" r:id="rId725" xr:uid="{00000000-0004-0000-0100-000007030000}"/>
    <hyperlink ref="G746" r:id="rId726" xr:uid="{00000000-0004-0000-0100-000008030000}"/>
    <hyperlink ref="G747" r:id="rId727" xr:uid="{00000000-0004-0000-0100-000009030000}"/>
    <hyperlink ref="G748" r:id="rId728" xr:uid="{00000000-0004-0000-0100-00000A030000}"/>
    <hyperlink ref="G749" r:id="rId729" xr:uid="{00000000-0004-0000-0100-00000B030000}"/>
    <hyperlink ref="G750" r:id="rId730" xr:uid="{00000000-0004-0000-0100-00000C030000}"/>
    <hyperlink ref="G751" r:id="rId731" xr:uid="{00000000-0004-0000-0100-00000D030000}"/>
    <hyperlink ref="G752" r:id="rId732" xr:uid="{00000000-0004-0000-0100-00000E030000}"/>
    <hyperlink ref="S753" r:id="rId733" xr:uid="{00000000-0004-0000-0100-00000F030000}"/>
    <hyperlink ref="G754" r:id="rId734" xr:uid="{00000000-0004-0000-0100-000010030000}"/>
    <hyperlink ref="G755" r:id="rId735" xr:uid="{00000000-0004-0000-0100-000011030000}"/>
    <hyperlink ref="G756" r:id="rId736" xr:uid="{00000000-0004-0000-0100-000012030000}"/>
    <hyperlink ref="G757" r:id="rId737" xr:uid="{00000000-0004-0000-0100-000013030000}"/>
    <hyperlink ref="G758" r:id="rId738" xr:uid="{00000000-0004-0000-0100-000014030000}"/>
    <hyperlink ref="G759" r:id="rId739" xr:uid="{00000000-0004-0000-0100-000015030000}"/>
    <hyperlink ref="G760" r:id="rId740" xr:uid="{00000000-0004-0000-0100-000016030000}"/>
    <hyperlink ref="G761" r:id="rId741" xr:uid="{00000000-0004-0000-0100-000017030000}"/>
    <hyperlink ref="G762" r:id="rId742" xr:uid="{00000000-0004-0000-0100-000018030000}"/>
    <hyperlink ref="G763" r:id="rId743" xr:uid="{00000000-0004-0000-0100-000019030000}"/>
    <hyperlink ref="G764" r:id="rId744" xr:uid="{00000000-0004-0000-0100-00001A030000}"/>
    <hyperlink ref="G765" r:id="rId745" xr:uid="{00000000-0004-0000-0100-00001B030000}"/>
    <hyperlink ref="G766" r:id="rId746" xr:uid="{00000000-0004-0000-0100-00001C030000}"/>
    <hyperlink ref="G767" r:id="rId747" xr:uid="{00000000-0004-0000-0100-00001D030000}"/>
    <hyperlink ref="S768" r:id="rId748" xr:uid="{00000000-0004-0000-0100-00001E030000}"/>
    <hyperlink ref="G769" r:id="rId749" xr:uid="{00000000-0004-0000-0100-00001F030000}"/>
    <hyperlink ref="G770" r:id="rId750" xr:uid="{00000000-0004-0000-0100-000020030000}"/>
    <hyperlink ref="G771" r:id="rId751" xr:uid="{00000000-0004-0000-0100-000021030000}"/>
    <hyperlink ref="G772" r:id="rId752" xr:uid="{00000000-0004-0000-0100-000022030000}"/>
    <hyperlink ref="G774" r:id="rId753" xr:uid="{00000000-0004-0000-0100-000023030000}"/>
    <hyperlink ref="G775" r:id="rId754" xr:uid="{00000000-0004-0000-0100-000024030000}"/>
    <hyperlink ref="G776" r:id="rId755" xr:uid="{00000000-0004-0000-0100-000025030000}"/>
    <hyperlink ref="G777" r:id="rId756" xr:uid="{00000000-0004-0000-0100-000026030000}"/>
    <hyperlink ref="F779" r:id="rId757" xr:uid="{00000000-0004-0000-0100-000027030000}"/>
    <hyperlink ref="S779" r:id="rId758" xr:uid="{00000000-0004-0000-0100-000028030000}"/>
    <hyperlink ref="G780" r:id="rId759" xr:uid="{00000000-0004-0000-0100-000029030000}"/>
    <hyperlink ref="G781" r:id="rId760" xr:uid="{00000000-0004-0000-0100-00002A030000}"/>
    <hyperlink ref="G782" r:id="rId761" xr:uid="{00000000-0004-0000-0100-00002B030000}"/>
    <hyperlink ref="G783" r:id="rId762" xr:uid="{00000000-0004-0000-0100-00002C030000}"/>
    <hyperlink ref="G784" r:id="rId763" xr:uid="{00000000-0004-0000-0100-00002D030000}"/>
    <hyperlink ref="G785" r:id="rId764" xr:uid="{00000000-0004-0000-0100-00002E030000}"/>
    <hyperlink ref="G786" r:id="rId765" xr:uid="{00000000-0004-0000-0100-00002F030000}"/>
    <hyperlink ref="G787" r:id="rId766" xr:uid="{00000000-0004-0000-0100-000030030000}"/>
    <hyperlink ref="G789" r:id="rId767" xr:uid="{00000000-0004-0000-0100-000031030000}"/>
    <hyperlink ref="G790" r:id="rId768" xr:uid="{00000000-0004-0000-0100-000032030000}"/>
    <hyperlink ref="G791" r:id="rId769" xr:uid="{00000000-0004-0000-0100-000033030000}"/>
    <hyperlink ref="G792" r:id="rId770" xr:uid="{00000000-0004-0000-0100-000034030000}"/>
    <hyperlink ref="G793" r:id="rId771" xr:uid="{00000000-0004-0000-0100-000035030000}"/>
    <hyperlink ref="G794" r:id="rId772" xr:uid="{00000000-0004-0000-0100-000036030000}"/>
    <hyperlink ref="G795" r:id="rId773" xr:uid="{00000000-0004-0000-0100-000037030000}"/>
    <hyperlink ref="G796" r:id="rId774" xr:uid="{00000000-0004-0000-0100-000038030000}"/>
    <hyperlink ref="G797" r:id="rId775" xr:uid="{00000000-0004-0000-0100-000039030000}"/>
    <hyperlink ref="F798" r:id="rId776" xr:uid="{00000000-0004-0000-0100-00003A030000}"/>
    <hyperlink ref="G798" r:id="rId777" xr:uid="{00000000-0004-0000-0100-00003B030000}"/>
    <hyperlink ref="S798" r:id="rId778" xr:uid="{00000000-0004-0000-0100-00003C030000}"/>
    <hyperlink ref="G799" r:id="rId779" xr:uid="{00000000-0004-0000-0100-00003D030000}"/>
    <hyperlink ref="G800" r:id="rId780" xr:uid="{00000000-0004-0000-0100-00003E030000}"/>
    <hyperlink ref="G801" r:id="rId781" xr:uid="{00000000-0004-0000-0100-00003F030000}"/>
    <hyperlink ref="G802" r:id="rId782" xr:uid="{00000000-0004-0000-0100-000040030000}"/>
    <hyperlink ref="G803" r:id="rId783" xr:uid="{00000000-0004-0000-0100-000041030000}"/>
    <hyperlink ref="G804" r:id="rId784" xr:uid="{00000000-0004-0000-0100-000042030000}"/>
    <hyperlink ref="G806" r:id="rId785" xr:uid="{00000000-0004-0000-0100-000043030000}"/>
    <hyperlink ref="G807" r:id="rId786" xr:uid="{00000000-0004-0000-0100-000044030000}"/>
    <hyperlink ref="G808" r:id="rId787" xr:uid="{00000000-0004-0000-0100-000045030000}"/>
    <hyperlink ref="G809" r:id="rId788" xr:uid="{00000000-0004-0000-0100-000046030000}"/>
    <hyperlink ref="G810" r:id="rId789" xr:uid="{00000000-0004-0000-0100-000047030000}"/>
    <hyperlink ref="G811" r:id="rId790" xr:uid="{00000000-0004-0000-0100-000048030000}"/>
    <hyperlink ref="G812" r:id="rId791" xr:uid="{00000000-0004-0000-0100-000049030000}"/>
    <hyperlink ref="G813" r:id="rId792" xr:uid="{00000000-0004-0000-0100-00004A030000}"/>
    <hyperlink ref="G814" r:id="rId793" xr:uid="{00000000-0004-0000-0100-00004B030000}"/>
    <hyperlink ref="G815" r:id="rId794" xr:uid="{00000000-0004-0000-0100-00004C030000}"/>
    <hyperlink ref="G816" r:id="rId795" xr:uid="{00000000-0004-0000-0100-00004D030000}"/>
    <hyperlink ref="G817" r:id="rId796" xr:uid="{00000000-0004-0000-0100-00004E030000}"/>
    <hyperlink ref="G819" r:id="rId797" xr:uid="{00000000-0004-0000-0100-00004F030000}"/>
    <hyperlink ref="G820" r:id="rId798" xr:uid="{00000000-0004-0000-0100-000050030000}"/>
    <hyperlink ref="G821" r:id="rId799" xr:uid="{00000000-0004-0000-0100-000051030000}"/>
    <hyperlink ref="G822" r:id="rId800" xr:uid="{00000000-0004-0000-0100-000052030000}"/>
    <hyperlink ref="G823" r:id="rId801" xr:uid="{00000000-0004-0000-0100-000053030000}"/>
    <hyperlink ref="G824" r:id="rId802" xr:uid="{00000000-0004-0000-0100-000054030000}"/>
    <hyperlink ref="G825" r:id="rId803" xr:uid="{00000000-0004-0000-0100-000055030000}"/>
    <hyperlink ref="G827" r:id="rId804" xr:uid="{00000000-0004-0000-0100-000056030000}"/>
    <hyperlink ref="G828" r:id="rId805" xr:uid="{00000000-0004-0000-0100-000057030000}"/>
    <hyperlink ref="G829" r:id="rId806" xr:uid="{00000000-0004-0000-0100-000058030000}"/>
    <hyperlink ref="G830" r:id="rId807" xr:uid="{00000000-0004-0000-0100-000059030000}"/>
    <hyperlink ref="G831" r:id="rId808" xr:uid="{00000000-0004-0000-0100-00005A030000}"/>
    <hyperlink ref="G832" r:id="rId809" xr:uid="{00000000-0004-0000-0100-00005B030000}"/>
    <hyperlink ref="G833" r:id="rId810" xr:uid="{00000000-0004-0000-0100-00005C030000}"/>
    <hyperlink ref="G835" r:id="rId811" xr:uid="{00000000-0004-0000-0100-00005D030000}"/>
    <hyperlink ref="G836" r:id="rId812" xr:uid="{00000000-0004-0000-0100-00005E030000}"/>
    <hyperlink ref="G837" r:id="rId813" xr:uid="{00000000-0004-0000-0100-00005F030000}"/>
    <hyperlink ref="G838" r:id="rId814" xr:uid="{00000000-0004-0000-0100-000060030000}"/>
    <hyperlink ref="G839" r:id="rId815" xr:uid="{00000000-0004-0000-0100-000061030000}"/>
    <hyperlink ref="G840" r:id="rId816" xr:uid="{00000000-0004-0000-0100-000062030000}"/>
    <hyperlink ref="G841" r:id="rId817" xr:uid="{00000000-0004-0000-0100-000063030000}"/>
    <hyperlink ref="G842" r:id="rId818" xr:uid="{00000000-0004-0000-0100-000064030000}"/>
    <hyperlink ref="G843" r:id="rId819" xr:uid="{00000000-0004-0000-0100-000065030000}"/>
    <hyperlink ref="G844" r:id="rId820" xr:uid="{00000000-0004-0000-0100-000066030000}"/>
    <hyperlink ref="G845" r:id="rId821" xr:uid="{00000000-0004-0000-0100-000067030000}"/>
    <hyperlink ref="G846" r:id="rId822" xr:uid="{00000000-0004-0000-0100-000068030000}"/>
    <hyperlink ref="G847" r:id="rId823" xr:uid="{00000000-0004-0000-0100-000069030000}"/>
    <hyperlink ref="G848" r:id="rId824" xr:uid="{00000000-0004-0000-0100-00006A030000}"/>
    <hyperlink ref="G849" r:id="rId825" xr:uid="{00000000-0004-0000-0100-00006B030000}"/>
    <hyperlink ref="G850" r:id="rId826" xr:uid="{00000000-0004-0000-0100-00006C030000}"/>
    <hyperlink ref="G851" r:id="rId827" xr:uid="{00000000-0004-0000-0100-00006D030000}"/>
    <hyperlink ref="G852" r:id="rId828" xr:uid="{00000000-0004-0000-0100-00006E030000}"/>
    <hyperlink ref="G853" r:id="rId829" xr:uid="{00000000-0004-0000-0100-00006F030000}"/>
    <hyperlink ref="G854" r:id="rId830" xr:uid="{00000000-0004-0000-0100-000070030000}"/>
    <hyperlink ref="G856" r:id="rId831" xr:uid="{00000000-0004-0000-0100-000071030000}"/>
    <hyperlink ref="G857" r:id="rId832" xr:uid="{00000000-0004-0000-0100-000073030000}"/>
    <hyperlink ref="G858" r:id="rId833" xr:uid="{00000000-0004-0000-0100-000074030000}"/>
    <hyperlink ref="G859" r:id="rId834" xr:uid="{00000000-0004-0000-0100-000075030000}"/>
    <hyperlink ref="G860" r:id="rId835" xr:uid="{00000000-0004-0000-0100-000076030000}"/>
    <hyperlink ref="G861" r:id="rId836" xr:uid="{00000000-0004-0000-0100-000077030000}"/>
    <hyperlink ref="G862" r:id="rId837" xr:uid="{00000000-0004-0000-0100-000079030000}"/>
    <hyperlink ref="G863" r:id="rId838" xr:uid="{00000000-0004-0000-0100-00007A030000}"/>
    <hyperlink ref="G864" r:id="rId839" xr:uid="{00000000-0004-0000-0100-00007B030000}"/>
    <hyperlink ref="G865" r:id="rId840" xr:uid="{00000000-0004-0000-0100-00007C030000}"/>
    <hyperlink ref="G866" r:id="rId841" xr:uid="{00000000-0004-0000-0100-00007D030000}"/>
    <hyperlink ref="G867" r:id="rId842" xr:uid="{00000000-0004-0000-0100-00007E030000}"/>
    <hyperlink ref="G868" r:id="rId843" xr:uid="{00000000-0004-0000-0100-00007F030000}"/>
    <hyperlink ref="G869" r:id="rId844" xr:uid="{00000000-0004-0000-0100-000081030000}"/>
    <hyperlink ref="G870" r:id="rId845" xr:uid="{00000000-0004-0000-0100-000083030000}"/>
    <hyperlink ref="G871" r:id="rId846" xr:uid="{00000000-0004-0000-0100-000084030000}"/>
    <hyperlink ref="G872" r:id="rId847" xr:uid="{00000000-0004-0000-0100-000085030000}"/>
    <hyperlink ref="G873" r:id="rId848" xr:uid="{00000000-0004-0000-0100-000086030000}"/>
    <hyperlink ref="G874" r:id="rId849" xr:uid="{00000000-0004-0000-0100-000088030000}"/>
    <hyperlink ref="G875" r:id="rId850" xr:uid="{00000000-0004-0000-0100-000089030000}"/>
    <hyperlink ref="G876" r:id="rId851" xr:uid="{00000000-0004-0000-0100-00008A030000}"/>
    <hyperlink ref="G877" r:id="rId852" xr:uid="{00000000-0004-0000-0100-00008B030000}"/>
    <hyperlink ref="G878" r:id="rId853" xr:uid="{00000000-0004-0000-0100-00008C030000}"/>
    <hyperlink ref="G880" r:id="rId854" xr:uid="{00000000-0004-0000-0100-00008D030000}"/>
    <hyperlink ref="G881" r:id="rId855" xr:uid="{00000000-0004-0000-0100-00008E030000}"/>
    <hyperlink ref="G882" r:id="rId856" xr:uid="{00000000-0004-0000-0100-00008F030000}"/>
    <hyperlink ref="G883" r:id="rId857" xr:uid="{00000000-0004-0000-0100-000090030000}"/>
    <hyperlink ref="G884" r:id="rId858" xr:uid="{00000000-0004-0000-0100-000091030000}"/>
    <hyperlink ref="G885" r:id="rId859" xr:uid="{00000000-0004-0000-0100-000092030000}"/>
    <hyperlink ref="G886" r:id="rId860" xr:uid="{00000000-0004-0000-0100-000093030000}"/>
    <hyperlink ref="G887" r:id="rId861" xr:uid="{00000000-0004-0000-0100-000094030000}"/>
    <hyperlink ref="G888" r:id="rId862" xr:uid="{00000000-0004-0000-0100-000095030000}"/>
    <hyperlink ref="G889" r:id="rId863" xr:uid="{00000000-0004-0000-0100-000096030000}"/>
    <hyperlink ref="G890" r:id="rId864" xr:uid="{00000000-0004-0000-0100-000097030000}"/>
    <hyperlink ref="G891" r:id="rId865" xr:uid="{00000000-0004-0000-0100-000099030000}"/>
    <hyperlink ref="G892" r:id="rId866" xr:uid="{00000000-0004-0000-0100-00009A030000}"/>
    <hyperlink ref="G893" r:id="rId867" xr:uid="{00000000-0004-0000-0100-00009C030000}"/>
    <hyperlink ref="G894" r:id="rId868" xr:uid="{00000000-0004-0000-0100-00009D030000}"/>
    <hyperlink ref="G895" r:id="rId869" xr:uid="{00000000-0004-0000-0100-00009E030000}"/>
    <hyperlink ref="G896" r:id="rId870" xr:uid="{00000000-0004-0000-0100-00009F030000}"/>
    <hyperlink ref="G897" r:id="rId871" xr:uid="{00000000-0004-0000-0100-0000A1030000}"/>
    <hyperlink ref="G898" r:id="rId872" xr:uid="{00000000-0004-0000-0100-0000A2030000}"/>
    <hyperlink ref="G899" r:id="rId873" xr:uid="{00000000-0004-0000-0100-0000A3030000}"/>
    <hyperlink ref="G900" r:id="rId874" xr:uid="{00000000-0004-0000-0100-0000A4030000}"/>
    <hyperlink ref="G901" r:id="rId875" xr:uid="{00000000-0004-0000-0100-0000A5030000}"/>
    <hyperlink ref="G902" r:id="rId876" xr:uid="{00000000-0004-0000-0100-0000A7030000}"/>
    <hyperlink ref="G903" r:id="rId877" xr:uid="{00000000-0004-0000-0100-0000A8030000}"/>
    <hyperlink ref="G904" r:id="rId878" xr:uid="{00000000-0004-0000-0100-0000A9030000}"/>
    <hyperlink ref="G905" r:id="rId879" xr:uid="{00000000-0004-0000-0100-0000AA030000}"/>
    <hyperlink ref="G907" r:id="rId880" xr:uid="{00000000-0004-0000-0100-0000AD030000}"/>
    <hyperlink ref="G908" r:id="rId881" xr:uid="{00000000-0004-0000-0100-0000AF030000}"/>
    <hyperlink ref="G909" r:id="rId882" xr:uid="{00000000-0004-0000-0100-0000B1030000}"/>
    <hyperlink ref="G910" r:id="rId883" xr:uid="{00000000-0004-0000-0100-0000B2030000}"/>
    <hyperlink ref="G911" r:id="rId884" xr:uid="{00000000-0004-0000-0100-0000B3030000}"/>
    <hyperlink ref="G912" r:id="rId885" xr:uid="{00000000-0004-0000-0100-0000B4030000}"/>
    <hyperlink ref="G913" r:id="rId886" xr:uid="{00000000-0004-0000-0100-0000B5030000}"/>
    <hyperlink ref="G914" r:id="rId887" xr:uid="{00000000-0004-0000-0100-0000B6030000}"/>
    <hyperlink ref="G915" r:id="rId888" xr:uid="{00000000-0004-0000-0100-0000B7030000}"/>
    <hyperlink ref="G916" r:id="rId889" xr:uid="{00000000-0004-0000-0100-0000B8030000}"/>
    <hyperlink ref="G917" r:id="rId890" xr:uid="{00000000-0004-0000-0100-0000B9030000}"/>
    <hyperlink ref="G918" r:id="rId891" xr:uid="{00000000-0004-0000-0100-0000BA030000}"/>
    <hyperlink ref="G920" r:id="rId892" xr:uid="{00000000-0004-0000-0100-0000BB030000}"/>
    <hyperlink ref="G921" r:id="rId893" xr:uid="{00000000-0004-0000-0100-0000BC030000}"/>
    <hyperlink ref="G922" r:id="rId894" xr:uid="{00000000-0004-0000-0100-0000BD030000}"/>
    <hyperlink ref="G923" r:id="rId895" xr:uid="{00000000-0004-0000-0100-0000BE030000}"/>
    <hyperlink ref="G924" r:id="rId896" xr:uid="{00000000-0004-0000-0100-0000BF030000}"/>
    <hyperlink ref="G925" r:id="rId897" xr:uid="{00000000-0004-0000-0100-0000C0030000}"/>
    <hyperlink ref="G926" r:id="rId898" xr:uid="{00000000-0004-0000-0100-0000C1030000}"/>
    <hyperlink ref="G927" r:id="rId899" xr:uid="{00000000-0004-0000-0100-0000C2030000}"/>
    <hyperlink ref="G928" r:id="rId900" xr:uid="{00000000-0004-0000-0100-0000C3030000}"/>
    <hyperlink ref="G929" r:id="rId901" xr:uid="{00000000-0004-0000-0100-0000C4030000}"/>
    <hyperlink ref="G930" r:id="rId902" xr:uid="{00000000-0004-0000-0100-0000C6030000}"/>
    <hyperlink ref="G931" r:id="rId903" xr:uid="{00000000-0004-0000-0100-0000C7030000}"/>
    <hyperlink ref="G932" r:id="rId904" xr:uid="{00000000-0004-0000-0100-0000C8030000}"/>
    <hyperlink ref="G933" r:id="rId905" xr:uid="{00000000-0004-0000-0100-0000C9030000}"/>
    <hyperlink ref="F934" r:id="rId906" xr:uid="{00000000-0004-0000-0100-0000CA030000}"/>
    <hyperlink ref="G934" r:id="rId907" xr:uid="{00000000-0004-0000-0100-0000CB030000}"/>
    <hyperlink ref="G935" r:id="rId908" xr:uid="{00000000-0004-0000-0100-0000CC030000}"/>
    <hyperlink ref="G936" r:id="rId909" xr:uid="{00000000-0004-0000-0100-0000CD030000}"/>
    <hyperlink ref="G937" r:id="rId910" xr:uid="{00000000-0004-0000-0100-0000CE030000}"/>
    <hyperlink ref="G938" r:id="rId911" xr:uid="{00000000-0004-0000-0100-0000CF030000}"/>
    <hyperlink ref="G939" r:id="rId912" xr:uid="{00000000-0004-0000-0100-0000D0030000}"/>
    <hyperlink ref="G940" r:id="rId913" xr:uid="{00000000-0004-0000-0100-0000D1030000}"/>
    <hyperlink ref="G941" r:id="rId914" xr:uid="{00000000-0004-0000-0100-0000D2030000}"/>
    <hyperlink ref="G942" r:id="rId915" xr:uid="{00000000-0004-0000-0100-0000D3030000}"/>
    <hyperlink ref="G943" r:id="rId916" xr:uid="{00000000-0004-0000-0100-0000D4030000}"/>
    <hyperlink ref="G944" r:id="rId917" xr:uid="{00000000-0004-0000-0100-0000D5030000}"/>
    <hyperlink ref="G945" r:id="rId918" xr:uid="{00000000-0004-0000-0100-0000D6030000}"/>
    <hyperlink ref="G946" r:id="rId919" xr:uid="{00000000-0004-0000-0100-0000D7030000}"/>
    <hyperlink ref="G947" r:id="rId920" xr:uid="{00000000-0004-0000-0100-0000D8030000}"/>
    <hyperlink ref="G948" r:id="rId921" xr:uid="{00000000-0004-0000-0100-0000D9030000}"/>
    <hyperlink ref="G949" r:id="rId922" xr:uid="{00000000-0004-0000-0100-0000DA030000}"/>
    <hyperlink ref="G950" r:id="rId923" xr:uid="{00000000-0004-0000-0100-0000DB030000}"/>
    <hyperlink ref="G951" r:id="rId924" xr:uid="{00000000-0004-0000-0100-0000DC030000}"/>
    <hyperlink ref="G952" r:id="rId925" xr:uid="{00000000-0004-0000-0100-0000DD030000}"/>
    <hyperlink ref="G953" r:id="rId926" xr:uid="{00000000-0004-0000-0100-0000DE030000}"/>
    <hyperlink ref="G954" r:id="rId927" xr:uid="{00000000-0004-0000-0100-0000DF030000}"/>
    <hyperlink ref="G955" r:id="rId928" xr:uid="{00000000-0004-0000-0100-0000E0030000}"/>
    <hyperlink ref="G956" r:id="rId929" xr:uid="{00000000-0004-0000-0100-0000E1030000}"/>
    <hyperlink ref="G957" r:id="rId930" xr:uid="{00000000-0004-0000-0100-0000E2030000}"/>
    <hyperlink ref="G958" r:id="rId931" xr:uid="{00000000-0004-0000-0100-0000E3030000}"/>
    <hyperlink ref="G959" r:id="rId932" xr:uid="{00000000-0004-0000-0100-0000E4030000}"/>
    <hyperlink ref="G960" r:id="rId933" xr:uid="{00000000-0004-0000-0100-0000E5030000}"/>
    <hyperlink ref="G961" r:id="rId934" xr:uid="{00000000-0004-0000-0100-0000E6030000}"/>
    <hyperlink ref="G962" r:id="rId935" xr:uid="{00000000-0004-0000-0100-0000E7030000}"/>
    <hyperlink ref="G963" r:id="rId936" xr:uid="{00000000-0004-0000-0100-0000E8030000}"/>
    <hyperlink ref="G964" r:id="rId937" xr:uid="{00000000-0004-0000-0100-0000E9030000}"/>
    <hyperlink ref="G965" r:id="rId938" xr:uid="{00000000-0004-0000-0100-0000EA030000}"/>
    <hyperlink ref="G966" r:id="rId939" xr:uid="{00000000-0004-0000-0100-0000EB030000}"/>
    <hyperlink ref="G967" r:id="rId940" xr:uid="{00000000-0004-0000-0100-0000ED030000}"/>
    <hyperlink ref="G968" r:id="rId941" xr:uid="{00000000-0004-0000-0100-0000EE030000}"/>
    <hyperlink ref="G969" r:id="rId942" xr:uid="{00000000-0004-0000-0100-0000EF030000}"/>
    <hyperlink ref="G970" r:id="rId943" xr:uid="{00000000-0004-0000-0100-0000F0030000}"/>
    <hyperlink ref="G971" r:id="rId944" xr:uid="{00000000-0004-0000-0100-0000F1030000}"/>
    <hyperlink ref="G972" r:id="rId945" xr:uid="{00000000-0004-0000-0100-0000F2030000}"/>
    <hyperlink ref="G973" r:id="rId946" xr:uid="{00000000-0004-0000-0100-0000F3030000}"/>
    <hyperlink ref="G974" r:id="rId947" xr:uid="{00000000-0004-0000-0100-0000F4030000}"/>
    <hyperlink ref="G975" r:id="rId948" xr:uid="{00000000-0004-0000-0100-0000F5030000}"/>
    <hyperlink ref="G976" r:id="rId949" xr:uid="{00000000-0004-0000-0100-0000F6030000}"/>
    <hyperlink ref="G977" r:id="rId950" xr:uid="{00000000-0004-0000-0100-0000F7030000}"/>
    <hyperlink ref="G978" r:id="rId951" xr:uid="{00000000-0004-0000-0100-0000F9030000}"/>
    <hyperlink ref="G979" r:id="rId952" xr:uid="{00000000-0004-0000-0100-0000FA030000}"/>
    <hyperlink ref="G980" r:id="rId953" xr:uid="{00000000-0004-0000-0100-0000FB030000}"/>
    <hyperlink ref="G981" r:id="rId954" xr:uid="{00000000-0004-0000-0100-0000FD030000}"/>
    <hyperlink ref="G982" r:id="rId955" xr:uid="{00000000-0004-0000-0100-0000FE030000}"/>
    <hyperlink ref="G983" r:id="rId956" xr:uid="{00000000-0004-0000-0100-0000FF030000}"/>
    <hyperlink ref="G984" r:id="rId957" xr:uid="{00000000-0004-0000-0100-000000040000}"/>
    <hyperlink ref="G985" r:id="rId958" xr:uid="{00000000-0004-0000-0100-000001040000}"/>
    <hyperlink ref="G986" r:id="rId959" xr:uid="{00000000-0004-0000-0100-000002040000}"/>
    <hyperlink ref="G987" r:id="rId960" xr:uid="{00000000-0004-0000-0100-000003040000}"/>
    <hyperlink ref="G988" r:id="rId961" xr:uid="{00000000-0004-0000-0100-000004040000}"/>
    <hyperlink ref="G989" r:id="rId962" xr:uid="{00000000-0004-0000-0100-000005040000}"/>
    <hyperlink ref="G990" r:id="rId963" xr:uid="{00000000-0004-0000-0100-000006040000}"/>
    <hyperlink ref="G992" r:id="rId964" xr:uid="{00000000-0004-0000-0100-000008040000}"/>
    <hyperlink ref="G993" r:id="rId965" xr:uid="{00000000-0004-0000-0100-000009040000}"/>
    <hyperlink ref="G994" r:id="rId966" xr:uid="{00000000-0004-0000-0100-00000A040000}"/>
    <hyperlink ref="G995" r:id="rId967" xr:uid="{00000000-0004-0000-0100-00000B040000}"/>
    <hyperlink ref="G996" r:id="rId968" xr:uid="{00000000-0004-0000-0100-00000C040000}"/>
    <hyperlink ref="G997" r:id="rId969" xr:uid="{00000000-0004-0000-0100-00000D040000}"/>
    <hyperlink ref="G998" r:id="rId970" xr:uid="{00000000-0004-0000-0100-00000E040000}"/>
    <hyperlink ref="G999" r:id="rId971" xr:uid="{00000000-0004-0000-0100-00000F040000}"/>
    <hyperlink ref="S1000" r:id="rId972" xr:uid="{00000000-0004-0000-0100-000010040000}"/>
    <hyperlink ref="G1001" r:id="rId973" xr:uid="{00000000-0004-0000-0100-000012040000}"/>
    <hyperlink ref="G1002" r:id="rId974" xr:uid="{00000000-0004-0000-0100-000013040000}"/>
    <hyperlink ref="G1003" r:id="rId975" xr:uid="{00000000-0004-0000-0100-000014040000}"/>
    <hyperlink ref="G1004" r:id="rId976" xr:uid="{00000000-0004-0000-0100-000015040000}"/>
    <hyperlink ref="G1005" r:id="rId977" xr:uid="{00000000-0004-0000-0100-000016040000}"/>
    <hyperlink ref="G1006" r:id="rId978" xr:uid="{00000000-0004-0000-0100-000018040000}"/>
    <hyperlink ref="G1007" r:id="rId979" xr:uid="{00000000-0004-0000-0100-000019040000}"/>
    <hyperlink ref="G1008" r:id="rId980" xr:uid="{00000000-0004-0000-0100-00001A040000}"/>
    <hyperlink ref="G1009" r:id="rId981" xr:uid="{00000000-0004-0000-0100-00001B040000}"/>
    <hyperlink ref="G1010" r:id="rId982" xr:uid="{00000000-0004-0000-0100-00001C040000}"/>
    <hyperlink ref="G1011" r:id="rId983" xr:uid="{00000000-0004-0000-0100-00001D040000}"/>
    <hyperlink ref="G1012" r:id="rId984" xr:uid="{00000000-0004-0000-0100-00001E040000}"/>
    <hyperlink ref="G1013" r:id="rId985" xr:uid="{00000000-0004-0000-0100-00001F040000}"/>
    <hyperlink ref="G1014" r:id="rId986" xr:uid="{00000000-0004-0000-0100-000020040000}"/>
    <hyperlink ref="G1015" r:id="rId987" xr:uid="{00000000-0004-0000-0100-000022040000}"/>
    <hyperlink ref="G1016" r:id="rId988" xr:uid="{00000000-0004-0000-0100-000023040000}"/>
    <hyperlink ref="G1017" r:id="rId989" xr:uid="{00000000-0004-0000-0100-000024040000}"/>
    <hyperlink ref="G1018" r:id="rId990" xr:uid="{00000000-0004-0000-0100-000025040000}"/>
    <hyperlink ref="G1019" r:id="rId991" xr:uid="{00000000-0004-0000-0100-000026040000}"/>
    <hyperlink ref="G1020" r:id="rId992" xr:uid="{00000000-0004-0000-0100-000028040000}"/>
    <hyperlink ref="G1021" r:id="rId993" xr:uid="{00000000-0004-0000-0100-000029040000}"/>
    <hyperlink ref="G1022" r:id="rId994" xr:uid="{00000000-0004-0000-0100-00002A040000}"/>
    <hyperlink ref="G1023" r:id="rId995" xr:uid="{00000000-0004-0000-0100-00002B040000}"/>
    <hyperlink ref="G1024" r:id="rId996" xr:uid="{00000000-0004-0000-0100-00002C040000}"/>
    <hyperlink ref="G1025" r:id="rId997" xr:uid="{00000000-0004-0000-0100-00002D040000}"/>
    <hyperlink ref="G1026" r:id="rId998" xr:uid="{00000000-0004-0000-0100-00002E040000}"/>
    <hyperlink ref="G1027" r:id="rId999" xr:uid="{00000000-0004-0000-0100-00002F040000}"/>
    <hyperlink ref="G1028" r:id="rId1000" xr:uid="{00000000-0004-0000-0100-000030040000}"/>
    <hyperlink ref="G1029" r:id="rId1001" xr:uid="{00000000-0004-0000-0100-000031040000}"/>
    <hyperlink ref="G1030" r:id="rId1002" xr:uid="{00000000-0004-0000-0100-000033040000}"/>
    <hyperlink ref="G1031" r:id="rId1003" xr:uid="{00000000-0004-0000-0100-000034040000}"/>
    <hyperlink ref="G1032" r:id="rId1004" xr:uid="{00000000-0004-0000-0100-000035040000}"/>
    <hyperlink ref="F1033" r:id="rId1005" xr:uid="{00000000-0004-0000-0100-000036040000}"/>
    <hyperlink ref="S1033" r:id="rId1006" xr:uid="{00000000-0004-0000-0100-000037040000}"/>
    <hyperlink ref="G1034" r:id="rId1007" xr:uid="{00000000-0004-0000-0100-000038040000}"/>
    <hyperlink ref="G1035" r:id="rId1008" xr:uid="{00000000-0004-0000-0100-000039040000}"/>
    <hyperlink ref="G1036" r:id="rId1009" xr:uid="{00000000-0004-0000-0100-00003A040000}"/>
    <hyperlink ref="G1037" r:id="rId1010" xr:uid="{00000000-0004-0000-0100-00003B040000}"/>
    <hyperlink ref="G1038" r:id="rId1011" xr:uid="{00000000-0004-0000-0100-00003C040000}"/>
    <hyperlink ref="G1039" r:id="rId1012" xr:uid="{00000000-0004-0000-0100-00003D040000}"/>
    <hyperlink ref="G1040" r:id="rId1013" xr:uid="{00000000-0004-0000-0100-00003E040000}"/>
    <hyperlink ref="G1041" r:id="rId1014" xr:uid="{00000000-0004-0000-0100-000040040000}"/>
    <hyperlink ref="G1042" r:id="rId1015" xr:uid="{00000000-0004-0000-0100-000041040000}"/>
    <hyperlink ref="G1043" r:id="rId1016" xr:uid="{00000000-0004-0000-0100-000042040000}"/>
    <hyperlink ref="G1044" r:id="rId1017" xr:uid="{00000000-0004-0000-0100-000043040000}"/>
    <hyperlink ref="G1045" r:id="rId1018" xr:uid="{00000000-0004-0000-0100-000044040000}"/>
    <hyperlink ref="G1046" r:id="rId1019" xr:uid="{00000000-0004-0000-0100-000045040000}"/>
    <hyperlink ref="G1047" r:id="rId1020" xr:uid="{00000000-0004-0000-0100-000046040000}"/>
    <hyperlink ref="G1048" r:id="rId1021" xr:uid="{00000000-0004-0000-0100-000047040000}"/>
    <hyperlink ref="G1049" r:id="rId1022" xr:uid="{00000000-0004-0000-0100-000048040000}"/>
    <hyperlink ref="G1050" r:id="rId1023" xr:uid="{00000000-0004-0000-0100-000049040000}"/>
    <hyperlink ref="G1051" r:id="rId1024" xr:uid="{00000000-0004-0000-0100-00004A040000}"/>
    <hyperlink ref="G1052" r:id="rId1025" xr:uid="{00000000-0004-0000-0100-00004B040000}"/>
    <hyperlink ref="F1053" r:id="rId1026" xr:uid="{00000000-0004-0000-0100-00004C040000}"/>
    <hyperlink ref="S1053" r:id="rId1027" xr:uid="{00000000-0004-0000-0100-00004D040000}"/>
    <hyperlink ref="G1054" r:id="rId1028" xr:uid="{00000000-0004-0000-0100-00004E040000}"/>
    <hyperlink ref="G1055" r:id="rId1029" xr:uid="{00000000-0004-0000-0100-00004F040000}"/>
    <hyperlink ref="G1056" r:id="rId1030" xr:uid="{00000000-0004-0000-0100-000050040000}"/>
    <hyperlink ref="G1057" r:id="rId1031" xr:uid="{00000000-0004-0000-0100-000051040000}"/>
    <hyperlink ref="G1058" r:id="rId1032" xr:uid="{00000000-0004-0000-0100-000052040000}"/>
    <hyperlink ref="G1059" r:id="rId1033" xr:uid="{00000000-0004-0000-0100-000053040000}"/>
    <hyperlink ref="G1060" r:id="rId1034" xr:uid="{00000000-0004-0000-0100-000054040000}"/>
    <hyperlink ref="G1061" r:id="rId1035" xr:uid="{00000000-0004-0000-0100-000055040000}"/>
    <hyperlink ref="G1062" r:id="rId1036" xr:uid="{00000000-0004-0000-0100-000056040000}"/>
    <hyperlink ref="G1063" r:id="rId1037" xr:uid="{00000000-0004-0000-0100-000057040000}"/>
    <hyperlink ref="G1064" r:id="rId1038" xr:uid="{00000000-0004-0000-0100-000059040000}"/>
    <hyperlink ref="G1065" r:id="rId1039" xr:uid="{00000000-0004-0000-0100-00005A040000}"/>
    <hyperlink ref="G1066" r:id="rId1040" xr:uid="{00000000-0004-0000-0100-00005B040000}"/>
    <hyperlink ref="G1067" r:id="rId1041" xr:uid="{00000000-0004-0000-0100-00005D040000}"/>
    <hyperlink ref="G1068" r:id="rId1042" xr:uid="{00000000-0004-0000-0100-00005F040000}"/>
    <hyperlink ref="G1069" r:id="rId1043" xr:uid="{00000000-0004-0000-0100-000060040000}"/>
    <hyperlink ref="G1070" r:id="rId1044" xr:uid="{00000000-0004-0000-0100-000061040000}"/>
    <hyperlink ref="G1071" r:id="rId1045" xr:uid="{00000000-0004-0000-0100-000062040000}"/>
    <hyperlink ref="G1072" r:id="rId1046" xr:uid="{00000000-0004-0000-0100-000063040000}"/>
    <hyperlink ref="G1073" r:id="rId1047" xr:uid="{00000000-0004-0000-0100-000064040000}"/>
    <hyperlink ref="G1074" r:id="rId1048" xr:uid="{00000000-0004-0000-0100-000065040000}"/>
    <hyperlink ref="G1075" r:id="rId1049" xr:uid="{00000000-0004-0000-0100-000066040000}"/>
    <hyperlink ref="G1076" r:id="rId1050" xr:uid="{00000000-0004-0000-0100-000068040000}"/>
    <hyperlink ref="G1077" r:id="rId1051" xr:uid="{00000000-0004-0000-0100-000069040000}"/>
    <hyperlink ref="G1078" r:id="rId1052" xr:uid="{00000000-0004-0000-0100-00006A040000}"/>
    <hyperlink ref="G1079" r:id="rId1053" xr:uid="{00000000-0004-0000-0100-00006B040000}"/>
    <hyperlink ref="G1080" r:id="rId1054" xr:uid="{00000000-0004-0000-0100-00006C040000}"/>
    <hyperlink ref="G1081" r:id="rId1055" xr:uid="{00000000-0004-0000-0100-00006D040000}"/>
    <hyperlink ref="G1082" r:id="rId1056" xr:uid="{00000000-0004-0000-0100-00006E040000}"/>
    <hyperlink ref="G1083" r:id="rId1057" xr:uid="{00000000-0004-0000-0100-00006F040000}"/>
    <hyperlink ref="G1084" r:id="rId1058" xr:uid="{00000000-0004-0000-0100-000071040000}"/>
    <hyperlink ref="G1085" r:id="rId1059" xr:uid="{00000000-0004-0000-0100-000072040000}"/>
    <hyperlink ref="G1086" r:id="rId1060" xr:uid="{00000000-0004-0000-0100-000073040000}"/>
    <hyperlink ref="G1087" r:id="rId1061" xr:uid="{00000000-0004-0000-0100-000074040000}"/>
    <hyperlink ref="G1088" r:id="rId1062" xr:uid="{00000000-0004-0000-0100-000075040000}"/>
    <hyperlink ref="G1089" r:id="rId1063" xr:uid="{00000000-0004-0000-0100-000076040000}"/>
    <hyperlink ref="S1089" r:id="rId1064" xr:uid="{00000000-0004-0000-0100-000077040000}"/>
    <hyperlink ref="G1090" r:id="rId1065" xr:uid="{00000000-0004-0000-0100-000078040000}"/>
    <hyperlink ref="F1091" r:id="rId1066" xr:uid="{00000000-0004-0000-0100-000079040000}"/>
    <hyperlink ref="S1091" r:id="rId1067" xr:uid="{00000000-0004-0000-0100-00007A040000}"/>
    <hyperlink ref="G1092" r:id="rId1068" xr:uid="{00000000-0004-0000-0100-00007C040000}"/>
    <hyperlink ref="G1093" r:id="rId1069" xr:uid="{00000000-0004-0000-0100-00007D040000}"/>
    <hyperlink ref="G1094" r:id="rId1070" xr:uid="{00000000-0004-0000-0100-00007E040000}"/>
    <hyperlink ref="G1095" r:id="rId1071" xr:uid="{00000000-0004-0000-0100-000080040000}"/>
    <hyperlink ref="G1096" r:id="rId1072" xr:uid="{00000000-0004-0000-0100-000081040000}"/>
    <hyperlink ref="G1097" r:id="rId1073" xr:uid="{00000000-0004-0000-0100-000082040000}"/>
    <hyperlink ref="G1098" r:id="rId1074" xr:uid="{00000000-0004-0000-0100-000083040000}"/>
    <hyperlink ref="G1099" r:id="rId1075" xr:uid="{00000000-0004-0000-0100-000084040000}"/>
    <hyperlink ref="G1100" r:id="rId1076" xr:uid="{00000000-0004-0000-0100-000085040000}"/>
    <hyperlink ref="G1101" r:id="rId1077" xr:uid="{00000000-0004-0000-0100-000086040000}"/>
    <hyperlink ref="G1102" r:id="rId1078" xr:uid="{00000000-0004-0000-0100-000087040000}"/>
    <hyperlink ref="G1103" r:id="rId1079" xr:uid="{00000000-0004-0000-0100-000089040000}"/>
    <hyperlink ref="G1104" r:id="rId1080" xr:uid="{00000000-0004-0000-0100-00008A040000}"/>
    <hyperlink ref="G1105" r:id="rId1081" xr:uid="{00000000-0004-0000-0100-00008B040000}"/>
    <hyperlink ref="G1106" r:id="rId1082" xr:uid="{00000000-0004-0000-0100-00008C040000}"/>
    <hyperlink ref="G1107" r:id="rId1083" xr:uid="{00000000-0004-0000-0100-00008D040000}"/>
    <hyperlink ref="G1108" r:id="rId1084" xr:uid="{00000000-0004-0000-0100-00008E040000}"/>
    <hyperlink ref="G1109" r:id="rId1085" xr:uid="{00000000-0004-0000-0100-00008F040000}"/>
    <hyperlink ref="G1110" r:id="rId1086" xr:uid="{00000000-0004-0000-0100-000091040000}"/>
    <hyperlink ref="G1111" r:id="rId1087" xr:uid="{00000000-0004-0000-0100-00009E040000}"/>
    <hyperlink ref="G1112" r:id="rId1088" xr:uid="{00000000-0004-0000-0100-0000A2040000}"/>
    <hyperlink ref="G1114" r:id="rId1089" xr:uid="{00000000-0004-0000-0100-0000BF040000}"/>
    <hyperlink ref="G1115" r:id="rId1090" xr:uid="{00000000-0004-0000-0100-0000C0040000}"/>
    <hyperlink ref="G1116" r:id="rId1091" xr:uid="{00000000-0004-0000-0100-0000D0040000}"/>
    <hyperlink ref="G1117" r:id="rId1092" xr:uid="{00000000-0004-0000-0100-0000D1040000}"/>
    <hyperlink ref="G1118" r:id="rId1093" xr:uid="{00000000-0004-0000-0100-0000D3040000}"/>
    <hyperlink ref="G1119" r:id="rId1094" xr:uid="{00000000-0004-0000-0100-0000D4040000}"/>
    <hyperlink ref="G1120" r:id="rId1095" xr:uid="{00000000-0004-0000-0100-0000D5040000}"/>
    <hyperlink ref="G1121" r:id="rId1096" xr:uid="{00000000-0004-0000-0100-0000D6040000}"/>
    <hyperlink ref="G1122" r:id="rId1097" xr:uid="{00000000-0004-0000-0100-0000D7040000}"/>
    <hyperlink ref="G1123" r:id="rId1098" xr:uid="{00000000-0004-0000-0100-0000D8040000}"/>
    <hyperlink ref="G1124" r:id="rId1099" xr:uid="{00000000-0004-0000-0100-0000D9040000}"/>
    <hyperlink ref="G1125" r:id="rId1100" xr:uid="{00000000-0004-0000-0100-0000DB040000}"/>
    <hyperlink ref="G1126" r:id="rId1101" xr:uid="{00000000-0004-0000-0100-0000DD040000}"/>
    <hyperlink ref="G1127" r:id="rId1102" xr:uid="{00000000-0004-0000-0100-0000DE040000}"/>
    <hyperlink ref="G1128" r:id="rId1103" xr:uid="{00000000-0004-0000-0100-0000E3040000}"/>
    <hyperlink ref="G1129" r:id="rId1104" xr:uid="{00000000-0004-0000-0100-0000EE040000}"/>
    <hyperlink ref="G1130" r:id="rId1105" xr:uid="{00000000-0004-0000-0100-0000F2040000}"/>
    <hyperlink ref="G1131" r:id="rId1106" xr:uid="{00000000-0004-0000-0100-0000F3040000}"/>
    <hyperlink ref="G1132" r:id="rId1107" xr:uid="{00000000-0004-0000-0100-0000F6040000}"/>
    <hyperlink ref="G1133" r:id="rId1108" xr:uid="{00000000-0004-0000-0100-0000F7040000}"/>
    <hyperlink ref="G1134" r:id="rId1109" xr:uid="{00000000-0004-0000-0100-0000FA040000}"/>
    <hyperlink ref="G1135" r:id="rId1110" xr:uid="{00000000-0004-0000-0100-0000FB040000}"/>
    <hyperlink ref="G1136" r:id="rId1111" xr:uid="{00000000-0004-0000-0100-0000FC040000}"/>
    <hyperlink ref="G1137" r:id="rId1112" xr:uid="{00000000-0004-0000-0100-0000FF040000}"/>
    <hyperlink ref="G1138" r:id="rId1113" xr:uid="{00000000-0004-0000-0100-000000050000}"/>
    <hyperlink ref="G1139" r:id="rId1114" xr:uid="{00000000-0004-0000-0100-000003050000}"/>
    <hyperlink ref="G1140" r:id="rId1115" xr:uid="{00000000-0004-0000-0100-000008050000}"/>
    <hyperlink ref="G1142" r:id="rId1116" xr:uid="{00000000-0004-0000-0100-00000B050000}"/>
    <hyperlink ref="G1143" r:id="rId1117" xr:uid="{00000000-0004-0000-0100-00000C050000}"/>
    <hyperlink ref="G1144" r:id="rId1118" xr:uid="{00000000-0004-0000-0100-00000D050000}"/>
    <hyperlink ref="G1145" r:id="rId1119" xr:uid="{00000000-0004-0000-0100-00000E050000}"/>
    <hyperlink ref="G1146" r:id="rId1120" xr:uid="{00000000-0004-0000-0100-00000F050000}"/>
    <hyperlink ref="G1147" r:id="rId1121" xr:uid="{00000000-0004-0000-0100-000010050000}"/>
    <hyperlink ref="G1148" r:id="rId1122" xr:uid="{00000000-0004-0000-0100-000011050000}"/>
    <hyperlink ref="G1149" r:id="rId1123" xr:uid="{00000000-0004-0000-0100-000012050000}"/>
    <hyperlink ref="G1150" r:id="rId1124" xr:uid="{00000000-0004-0000-0100-000013050000}"/>
    <hyperlink ref="G1151" r:id="rId1125" xr:uid="{00000000-0004-0000-0100-000014050000}"/>
    <hyperlink ref="G1152" r:id="rId1126" xr:uid="{00000000-0004-0000-0100-000015050000}"/>
    <hyperlink ref="G1153" r:id="rId1127" xr:uid="{00000000-0004-0000-0100-000016050000}"/>
    <hyperlink ref="G1154" r:id="rId1128" xr:uid="{00000000-0004-0000-0100-000017050000}"/>
    <hyperlink ref="G1155" r:id="rId1129" xr:uid="{00000000-0004-0000-0100-000018050000}"/>
    <hyperlink ref="G1156" r:id="rId1130" xr:uid="{00000000-0004-0000-0100-000019050000}"/>
    <hyperlink ref="G1157" r:id="rId1131" xr:uid="{00000000-0004-0000-0100-00001A050000}"/>
    <hyperlink ref="G1158" r:id="rId1132" xr:uid="{00000000-0004-0000-0100-00001B050000}"/>
    <hyperlink ref="G1159" r:id="rId1133" xr:uid="{00000000-0004-0000-0100-00001C050000}"/>
    <hyperlink ref="G1160" r:id="rId1134" xr:uid="{00000000-0004-0000-0100-00001D050000}"/>
    <hyperlink ref="G1161" r:id="rId1135" xr:uid="{00000000-0004-0000-0100-00001E050000}"/>
    <hyperlink ref="G1162" r:id="rId1136" xr:uid="{00000000-0004-0000-0100-00001F050000}"/>
    <hyperlink ref="G1163" r:id="rId1137" xr:uid="{00000000-0004-0000-0100-000020050000}"/>
    <hyperlink ref="G1164" r:id="rId1138" xr:uid="{00000000-0004-0000-0100-000021050000}"/>
    <hyperlink ref="G1165" r:id="rId1139" xr:uid="{00000000-0004-0000-0100-000022050000}"/>
    <hyperlink ref="G1166" r:id="rId1140" xr:uid="{00000000-0004-0000-0100-000023050000}"/>
    <hyperlink ref="G1167" r:id="rId1141" xr:uid="{00000000-0004-0000-0100-000024050000}"/>
    <hyperlink ref="G1168" r:id="rId1142" xr:uid="{00000000-0004-0000-0100-000025050000}"/>
    <hyperlink ref="G1169" r:id="rId1143" xr:uid="{00000000-0004-0000-0100-000026050000}"/>
    <hyperlink ref="G1170" r:id="rId1144" xr:uid="{00000000-0004-0000-0100-000027050000}"/>
    <hyperlink ref="G1171" r:id="rId1145" xr:uid="{00000000-0004-0000-0100-000028050000}"/>
    <hyperlink ref="G1172" r:id="rId1146" xr:uid="{00000000-0004-0000-0100-000029050000}"/>
    <hyperlink ref="G1173" r:id="rId1147" xr:uid="{00000000-0004-0000-0100-00002A050000}"/>
    <hyperlink ref="G1174" r:id="rId1148" xr:uid="{00000000-0004-0000-0100-00002B050000}"/>
    <hyperlink ref="G1175" r:id="rId1149" xr:uid="{00000000-0004-0000-0100-00002C050000}"/>
    <hyperlink ref="G1176" r:id="rId1150" xr:uid="{00000000-0004-0000-0100-00002D050000}"/>
    <hyperlink ref="G1177" r:id="rId1151" xr:uid="{00000000-0004-0000-0100-00002E050000}"/>
    <hyperlink ref="G1178" r:id="rId1152" xr:uid="{00000000-0004-0000-0100-00002F050000}"/>
    <hyperlink ref="F1179" r:id="rId1153" xr:uid="{00000000-0004-0000-0100-000030050000}"/>
    <hyperlink ref="S1179" r:id="rId1154" xr:uid="{00000000-0004-0000-0100-000031050000}"/>
    <hyperlink ref="G1180" r:id="rId1155" xr:uid="{00000000-0004-0000-0100-000032050000}"/>
    <hyperlink ref="G1181" r:id="rId1156" xr:uid="{00000000-0004-0000-0100-000033050000}"/>
    <hyperlink ref="G1182" r:id="rId1157" xr:uid="{00000000-0004-0000-0100-000034050000}"/>
    <hyperlink ref="G1183" r:id="rId1158" xr:uid="{00000000-0004-0000-0100-000035050000}"/>
    <hyperlink ref="G1184" r:id="rId1159" xr:uid="{00000000-0004-0000-0100-000037050000}"/>
    <hyperlink ref="G1185" r:id="rId1160" xr:uid="{00000000-0004-0000-0100-000038050000}"/>
    <hyperlink ref="G1186" r:id="rId1161" xr:uid="{00000000-0004-0000-0100-000039050000}"/>
    <hyperlink ref="G1187" r:id="rId1162" xr:uid="{00000000-0004-0000-0100-00003A050000}"/>
    <hyperlink ref="G1188" r:id="rId1163" xr:uid="{00000000-0004-0000-0100-00003B050000}"/>
    <hyperlink ref="G1189" r:id="rId1164" xr:uid="{00000000-0004-0000-0100-00003D050000}"/>
    <hyperlink ref="G1190" r:id="rId1165" xr:uid="{00000000-0004-0000-0100-00003E050000}"/>
    <hyperlink ref="G1191" r:id="rId1166" xr:uid="{00000000-0004-0000-0100-00003F050000}"/>
    <hyperlink ref="G1193" r:id="rId1167" xr:uid="{00000000-0004-0000-0100-000040050000}"/>
    <hyperlink ref="G1194" r:id="rId1168" xr:uid="{00000000-0004-0000-0100-000042050000}"/>
    <hyperlink ref="G1195" r:id="rId1169" xr:uid="{00000000-0004-0000-0100-000043050000}"/>
    <hyperlink ref="G1196" r:id="rId1170" xr:uid="{00000000-0004-0000-0100-000044050000}"/>
    <hyperlink ref="G1197" r:id="rId1171" xr:uid="{00000000-0004-0000-0100-000045050000}"/>
    <hyperlink ref="G1198" r:id="rId1172" xr:uid="{00000000-0004-0000-0100-000046050000}"/>
    <hyperlink ref="G1199" r:id="rId1173" xr:uid="{00000000-0004-0000-0100-000047050000}"/>
    <hyperlink ref="G1200" r:id="rId1174" xr:uid="{00000000-0004-0000-0100-000049050000}"/>
    <hyperlink ref="G1202" r:id="rId1175" xr:uid="{00000000-0004-0000-0100-00004A050000}"/>
    <hyperlink ref="G1203" r:id="rId1176" xr:uid="{00000000-0004-0000-0100-00004B050000}"/>
    <hyperlink ref="G1204" r:id="rId1177" xr:uid="{00000000-0004-0000-0100-00004C050000}"/>
    <hyperlink ref="G1205" r:id="rId1178" xr:uid="{00000000-0004-0000-0100-00004D050000}"/>
    <hyperlink ref="G1206" r:id="rId1179" xr:uid="{00000000-0004-0000-0100-00004E050000}"/>
    <hyperlink ref="G1207" r:id="rId1180" xr:uid="{00000000-0004-0000-0100-00004F050000}"/>
    <hyperlink ref="G1208" r:id="rId1181" xr:uid="{00000000-0004-0000-0100-000050050000}"/>
    <hyperlink ref="G1209" r:id="rId1182" xr:uid="{00000000-0004-0000-0100-000051050000}"/>
    <hyperlink ref="G1210" r:id="rId1183" xr:uid="{00000000-0004-0000-0100-000052050000}"/>
    <hyperlink ref="G1211" r:id="rId1184" xr:uid="{00000000-0004-0000-0100-000054050000}"/>
    <hyperlink ref="G1212" r:id="rId1185" xr:uid="{00000000-0004-0000-0100-000055050000}"/>
    <hyperlink ref="G1213" r:id="rId1186" xr:uid="{00000000-0004-0000-0100-000056050000}"/>
    <hyperlink ref="G1214" r:id="rId1187" xr:uid="{00000000-0004-0000-0100-000057050000}"/>
    <hyperlink ref="G1215" r:id="rId1188" xr:uid="{00000000-0004-0000-0100-000058050000}"/>
    <hyperlink ref="G1216" r:id="rId1189" xr:uid="{00000000-0004-0000-0100-000059050000}"/>
    <hyperlink ref="G1217" r:id="rId1190" xr:uid="{00000000-0004-0000-0100-00005E050000}"/>
    <hyperlink ref="G1218" r:id="rId1191" xr:uid="{00000000-0004-0000-0100-000065050000}"/>
    <hyperlink ref="G1219" r:id="rId1192" xr:uid="{00000000-0004-0000-0100-00006C050000}"/>
    <hyperlink ref="G1220" r:id="rId1193" xr:uid="{00000000-0004-0000-0100-000072050000}"/>
    <hyperlink ref="G1221" r:id="rId1194" xr:uid="{00000000-0004-0000-0100-000073050000}"/>
    <hyperlink ref="G1222" r:id="rId1195" xr:uid="{00000000-0004-0000-0100-000074050000}"/>
    <hyperlink ref="G1223" r:id="rId1196" xr:uid="{00000000-0004-0000-0100-000075050000}"/>
    <hyperlink ref="G1224" r:id="rId1197" xr:uid="{00000000-0004-0000-0100-000077050000}"/>
    <hyperlink ref="G1225" r:id="rId1198" xr:uid="{00000000-0004-0000-0100-00007C050000}"/>
    <hyperlink ref="G1226" r:id="rId1199" xr:uid="{00000000-0004-0000-0100-000080050000}"/>
    <hyperlink ref="G1227" r:id="rId1200" xr:uid="{00000000-0004-0000-0100-000085050000}"/>
    <hyperlink ref="G1228" r:id="rId1201" xr:uid="{00000000-0004-0000-0100-000088050000}"/>
    <hyperlink ref="G1229" r:id="rId1202" xr:uid="{00000000-0004-0000-0100-000089050000}"/>
    <hyperlink ref="G1230" r:id="rId1203" xr:uid="{00000000-0004-0000-0100-00008A050000}"/>
    <hyperlink ref="G1231" r:id="rId1204" xr:uid="{00000000-0004-0000-0100-00008C050000}"/>
    <hyperlink ref="G1232" r:id="rId1205" xr:uid="{00000000-0004-0000-0100-00008D050000}"/>
    <hyperlink ref="G1233" r:id="rId1206" xr:uid="{00000000-0004-0000-0100-00008E050000}"/>
    <hyperlink ref="G1234" r:id="rId1207" xr:uid="{00000000-0004-0000-0100-00008F050000}"/>
    <hyperlink ref="G1235" r:id="rId1208" xr:uid="{00000000-0004-0000-0100-000090050000}"/>
    <hyperlink ref="G1236" r:id="rId1209" xr:uid="{00000000-0004-0000-0100-000091050000}"/>
    <hyperlink ref="G1238" r:id="rId1210" xr:uid="{00000000-0004-0000-0100-000092050000}"/>
    <hyperlink ref="G1239" r:id="rId1211" xr:uid="{00000000-0004-0000-0100-000093050000}"/>
    <hyperlink ref="G1240" r:id="rId1212" xr:uid="{00000000-0004-0000-0100-000094050000}"/>
    <hyperlink ref="G1241" r:id="rId1213" xr:uid="{00000000-0004-0000-0100-000095050000}"/>
    <hyperlink ref="G1242" r:id="rId1214" xr:uid="{00000000-0004-0000-0100-000096050000}"/>
    <hyperlink ref="G1243" r:id="rId1215" xr:uid="{00000000-0004-0000-0100-000097050000}"/>
    <hyperlink ref="G1244" r:id="rId1216" xr:uid="{00000000-0004-0000-0100-00009A050000}"/>
    <hyperlink ref="G1246" r:id="rId1217" xr:uid="{00000000-0004-0000-0100-00009F050000}"/>
    <hyperlink ref="G1247" r:id="rId1218" xr:uid="{00000000-0004-0000-0100-0000A0050000}"/>
    <hyperlink ref="G1248" r:id="rId1219" xr:uid="{00000000-0004-0000-0100-0000A1050000}"/>
    <hyperlink ref="G1249" r:id="rId1220" xr:uid="{00000000-0004-0000-0100-0000A2050000}"/>
    <hyperlink ref="G1250" r:id="rId1221" xr:uid="{00000000-0004-0000-0100-0000A3050000}"/>
    <hyperlink ref="G1251" r:id="rId1222" xr:uid="{00000000-0004-0000-0100-0000A4050000}"/>
    <hyperlink ref="G1252" r:id="rId1223" xr:uid="{00000000-0004-0000-0100-0000A5050000}"/>
    <hyperlink ref="G1253" r:id="rId1224" xr:uid="{00000000-0004-0000-0100-0000A6050000}"/>
    <hyperlink ref="G1254" r:id="rId1225" xr:uid="{00000000-0004-0000-0100-0000A7050000}"/>
    <hyperlink ref="G1256" r:id="rId1226" xr:uid="{00000000-0004-0000-0100-0000A8050000}"/>
    <hyperlink ref="G1257" r:id="rId1227" xr:uid="{00000000-0004-0000-0100-0000A9050000}"/>
    <hyperlink ref="G1258" r:id="rId1228" xr:uid="{00000000-0004-0000-0100-0000AA050000}"/>
    <hyperlink ref="G1259" r:id="rId1229" xr:uid="{00000000-0004-0000-0100-0000AB050000}"/>
    <hyperlink ref="G1260" r:id="rId1230" xr:uid="{00000000-0004-0000-0100-0000AC050000}"/>
    <hyperlink ref="G1261" r:id="rId1231" xr:uid="{00000000-0004-0000-0100-0000AD050000}"/>
    <hyperlink ref="G1262" r:id="rId1232" xr:uid="{00000000-0004-0000-0100-0000AE050000}"/>
    <hyperlink ref="G1263" r:id="rId1233" xr:uid="{00000000-0004-0000-0100-0000AF050000}"/>
    <hyperlink ref="G1264" r:id="rId1234" xr:uid="{00000000-0004-0000-0100-0000B0050000}"/>
    <hyperlink ref="G1265" r:id="rId1235" xr:uid="{00000000-0004-0000-0100-0000B1050000}"/>
    <hyperlink ref="G1266" r:id="rId1236" xr:uid="{00000000-0004-0000-0100-0000B2050000}"/>
    <hyperlink ref="G1267" r:id="rId1237" xr:uid="{00000000-0004-0000-0100-0000B3050000}"/>
    <hyperlink ref="G1268" r:id="rId1238" xr:uid="{00000000-0004-0000-0100-0000B4050000}"/>
    <hyperlink ref="G1269" r:id="rId1239" xr:uid="{00000000-0004-0000-0100-0000B5050000}"/>
    <hyperlink ref="G1270" r:id="rId1240" xr:uid="{00000000-0004-0000-0100-0000B6050000}"/>
    <hyperlink ref="G1271" r:id="rId1241" xr:uid="{00000000-0004-0000-0100-0000B7050000}"/>
    <hyperlink ref="G1272" r:id="rId1242" xr:uid="{00000000-0004-0000-0100-0000B8050000}"/>
    <hyperlink ref="G1273" r:id="rId1243" xr:uid="{00000000-0004-0000-0100-0000B9050000}"/>
    <hyperlink ref="G1274" r:id="rId1244" xr:uid="{00000000-0004-0000-0100-0000BA050000}"/>
    <hyperlink ref="G1275" r:id="rId1245" xr:uid="{00000000-0004-0000-0100-0000BB050000}"/>
    <hyperlink ref="G1276" r:id="rId1246" xr:uid="{00000000-0004-0000-0100-0000BC050000}"/>
    <hyperlink ref="G1277" r:id="rId1247" xr:uid="{00000000-0004-0000-0100-0000BD050000}"/>
    <hyperlink ref="G1278" r:id="rId1248" xr:uid="{00000000-0004-0000-0100-0000BE050000}"/>
    <hyperlink ref="G1279" r:id="rId1249" xr:uid="{00000000-0004-0000-0100-0000BF050000}"/>
    <hyperlink ref="G1280" r:id="rId1250" xr:uid="{00000000-0004-0000-0100-0000C0050000}"/>
    <hyperlink ref="G1281" r:id="rId1251" xr:uid="{00000000-0004-0000-0100-0000C1050000}"/>
    <hyperlink ref="G1282" r:id="rId1252" xr:uid="{00000000-0004-0000-0100-0000C2050000}"/>
    <hyperlink ref="G1283" r:id="rId1253" xr:uid="{00000000-0004-0000-0100-0000C3050000}"/>
    <hyperlink ref="G1284" r:id="rId1254" xr:uid="{00000000-0004-0000-0100-0000C4050000}"/>
    <hyperlink ref="G1285" r:id="rId1255" xr:uid="{00000000-0004-0000-0100-0000C5050000}"/>
    <hyperlink ref="G1286" r:id="rId1256" xr:uid="{00000000-0004-0000-0100-0000C6050000}"/>
    <hyperlink ref="G1287" r:id="rId1257" xr:uid="{00000000-0004-0000-0100-0000C7050000}"/>
    <hyperlink ref="G1288" r:id="rId1258" xr:uid="{00000000-0004-0000-0100-0000C8050000}"/>
    <hyperlink ref="G1289" r:id="rId1259" xr:uid="{00000000-0004-0000-0100-0000C9050000}"/>
    <hyperlink ref="G1290" r:id="rId1260" xr:uid="{00000000-0004-0000-0100-0000CA050000}"/>
    <hyperlink ref="G1291" r:id="rId1261" xr:uid="{00000000-0004-0000-0100-0000CF050000}"/>
    <hyperlink ref="G1292" r:id="rId1262" xr:uid="{00000000-0004-0000-0100-0000D2050000}"/>
    <hyperlink ref="G1293" r:id="rId1263" xr:uid="{00000000-0004-0000-0100-0000D3050000}"/>
    <hyperlink ref="G1294" r:id="rId1264" xr:uid="{00000000-0004-0000-0100-0000D4050000}"/>
    <hyperlink ref="G1295" r:id="rId1265" xr:uid="{00000000-0004-0000-0100-0000D5050000}"/>
    <hyperlink ref="G1296" r:id="rId1266" xr:uid="{00000000-0004-0000-0100-0000D6050000}"/>
    <hyperlink ref="G1297" r:id="rId1267" xr:uid="{00000000-0004-0000-0100-0000D7050000}"/>
    <hyperlink ref="G1298" r:id="rId1268" xr:uid="{00000000-0004-0000-0100-0000D8050000}"/>
    <hyperlink ref="G1299" r:id="rId1269" xr:uid="{00000000-0004-0000-0100-0000D9050000}"/>
    <hyperlink ref="G1300" r:id="rId1270" xr:uid="{00000000-0004-0000-0100-0000DB050000}"/>
    <hyperlink ref="G1301" r:id="rId1271" xr:uid="{00000000-0004-0000-0100-0000DC050000}"/>
    <hyperlink ref="G1302" r:id="rId1272" xr:uid="{00000000-0004-0000-0100-0000DD050000}"/>
    <hyperlink ref="G1303" r:id="rId1273" xr:uid="{00000000-0004-0000-0100-0000DE050000}"/>
    <hyperlink ref="G1304" r:id="rId1274" xr:uid="{00000000-0004-0000-0100-0000DF050000}"/>
    <hyperlink ref="G1305" r:id="rId1275" xr:uid="{00000000-0004-0000-0100-0000E0050000}"/>
    <hyperlink ref="G1306" r:id="rId1276" xr:uid="{00000000-0004-0000-0100-0000E1050000}"/>
    <hyperlink ref="G1307" r:id="rId1277" xr:uid="{00000000-0004-0000-0100-0000E2050000}"/>
    <hyperlink ref="G1308" r:id="rId1278" xr:uid="{00000000-0004-0000-0100-0000E3050000}"/>
    <hyperlink ref="G1309" r:id="rId1279" xr:uid="{00000000-0004-0000-0100-0000E4050000}"/>
    <hyperlink ref="G1310" r:id="rId1280" xr:uid="{00000000-0004-0000-0100-0000E5050000}"/>
    <hyperlink ref="G1311" r:id="rId1281" xr:uid="{00000000-0004-0000-0100-0000E6050000}"/>
    <hyperlink ref="G1312" r:id="rId1282" xr:uid="{00000000-0004-0000-0100-0000E7050000}"/>
    <hyperlink ref="G1313" r:id="rId1283" xr:uid="{00000000-0004-0000-0100-0000E9050000}"/>
    <hyperlink ref="G1314" r:id="rId1284" xr:uid="{00000000-0004-0000-0100-0000EA050000}"/>
    <hyperlink ref="G1315" r:id="rId1285" xr:uid="{00000000-0004-0000-0100-0000EB050000}"/>
    <hyperlink ref="G1316" r:id="rId1286" xr:uid="{00000000-0004-0000-0100-0000EC050000}"/>
    <hyperlink ref="G1317" r:id="rId1287" xr:uid="{00000000-0004-0000-0100-0000ED050000}"/>
    <hyperlink ref="G1318" r:id="rId1288" xr:uid="{00000000-0004-0000-0100-0000EE050000}"/>
    <hyperlink ref="G1320" r:id="rId1289" xr:uid="{00000000-0004-0000-0100-0000F0050000}"/>
    <hyperlink ref="G1321" r:id="rId1290" xr:uid="{00000000-0004-0000-0100-0000F2050000}"/>
    <hyperlink ref="G1322" r:id="rId1291" xr:uid="{00000000-0004-0000-0100-0000F3050000}"/>
    <hyperlink ref="G1323" r:id="rId1292" xr:uid="{00000000-0004-0000-0100-0000F4050000}"/>
    <hyperlink ref="G1324" r:id="rId1293" xr:uid="{00000000-0004-0000-0100-0000F5050000}"/>
    <hyperlink ref="G1325" r:id="rId1294" xr:uid="{00000000-0004-0000-0100-0000F6050000}"/>
    <hyperlink ref="G1326" r:id="rId1295" xr:uid="{00000000-0004-0000-0100-0000F7050000}"/>
    <hyperlink ref="G1327" r:id="rId1296" xr:uid="{00000000-0004-0000-0100-0000F8050000}"/>
    <hyperlink ref="G1328" r:id="rId1297" xr:uid="{00000000-0004-0000-0100-0000FA050000}"/>
    <hyperlink ref="G1329" r:id="rId1298" xr:uid="{00000000-0004-0000-0100-0000FB050000}"/>
    <hyperlink ref="S1330" r:id="rId1299" xr:uid="{00000000-0004-0000-0100-0000FC050000}"/>
    <hyperlink ref="G1331" r:id="rId1300" xr:uid="{00000000-0004-0000-0100-0000FF050000}"/>
    <hyperlink ref="G1332" r:id="rId1301" xr:uid="{00000000-0004-0000-0100-000002060000}"/>
    <hyperlink ref="G1333" r:id="rId1302" xr:uid="{00000000-0004-0000-0100-000004060000}"/>
    <hyperlink ref="G1335" r:id="rId1303" xr:uid="{00000000-0004-0000-0100-000005060000}"/>
    <hyperlink ref="G1336" r:id="rId1304" xr:uid="{00000000-0004-0000-0100-000007060000}"/>
    <hyperlink ref="G1337" r:id="rId1305" xr:uid="{00000000-0004-0000-0100-000008060000}"/>
    <hyperlink ref="G1338" r:id="rId1306" xr:uid="{00000000-0004-0000-0100-000009060000}"/>
    <hyperlink ref="G1339" r:id="rId1307" xr:uid="{00000000-0004-0000-0100-00000A060000}"/>
    <hyperlink ref="G1340" r:id="rId1308" xr:uid="{00000000-0004-0000-0100-00000B060000}"/>
    <hyperlink ref="G1341" r:id="rId1309" xr:uid="{00000000-0004-0000-0100-00000D060000}"/>
    <hyperlink ref="G1342" r:id="rId1310" xr:uid="{00000000-0004-0000-0100-00000E060000}"/>
    <hyperlink ref="G1343" r:id="rId1311" xr:uid="{00000000-0004-0000-0100-000014060000}"/>
    <hyperlink ref="G1344" r:id="rId1312" xr:uid="{00000000-0004-0000-0100-000016060000}"/>
    <hyperlink ref="G1345" r:id="rId1313" xr:uid="{00000000-0004-0000-0100-000017060000}"/>
    <hyperlink ref="G1346" r:id="rId1314" xr:uid="{00000000-0004-0000-0100-000018060000}"/>
    <hyperlink ref="G1347" r:id="rId1315" xr:uid="{00000000-0004-0000-0100-000019060000}"/>
    <hyperlink ref="G1348" r:id="rId1316" xr:uid="{00000000-0004-0000-0100-00001A060000}"/>
    <hyperlink ref="G1349" r:id="rId1317" xr:uid="{00000000-0004-0000-0100-00001B060000}"/>
    <hyperlink ref="G1350" r:id="rId1318" xr:uid="{00000000-0004-0000-0100-00001C060000}"/>
    <hyperlink ref="G1351" r:id="rId1319" xr:uid="{00000000-0004-0000-0100-00001D060000}"/>
    <hyperlink ref="G1352" r:id="rId1320" xr:uid="{00000000-0004-0000-0100-00001E060000}"/>
    <hyperlink ref="G1353" r:id="rId1321" xr:uid="{00000000-0004-0000-0100-00001F060000}"/>
    <hyperlink ref="G1354" r:id="rId1322" xr:uid="{00000000-0004-0000-0100-000021060000}"/>
    <hyperlink ref="G1355" r:id="rId1323" xr:uid="{00000000-0004-0000-0100-000022060000}"/>
    <hyperlink ref="G1356" r:id="rId1324" xr:uid="{00000000-0004-0000-0100-000023060000}"/>
    <hyperlink ref="G1357" r:id="rId1325" xr:uid="{00000000-0004-0000-0100-000024060000}"/>
    <hyperlink ref="G1358" r:id="rId1326" xr:uid="{00000000-0004-0000-0100-000025060000}"/>
    <hyperlink ref="G1359" r:id="rId1327" xr:uid="{00000000-0004-0000-0100-000026060000}"/>
    <hyperlink ref="G1360" r:id="rId1328" xr:uid="{00000000-0004-0000-0100-000027060000}"/>
    <hyperlink ref="G1362" r:id="rId1329" xr:uid="{00000000-0004-0000-0100-000029060000}"/>
    <hyperlink ref="G1363" r:id="rId1330" xr:uid="{00000000-0004-0000-0100-00002A060000}"/>
    <hyperlink ref="G1364" r:id="rId1331" xr:uid="{00000000-0004-0000-0100-00002B060000}"/>
    <hyperlink ref="G1365" r:id="rId1332" xr:uid="{00000000-0004-0000-0100-00002C060000}"/>
    <hyperlink ref="G1366" r:id="rId1333" xr:uid="{00000000-0004-0000-0100-00002E060000}"/>
    <hyperlink ref="G1367" r:id="rId1334" xr:uid="{00000000-0004-0000-0100-00002F060000}"/>
    <hyperlink ref="G1368" r:id="rId1335" xr:uid="{00000000-0004-0000-0100-000032060000}"/>
    <hyperlink ref="G1369" r:id="rId1336" xr:uid="{00000000-0004-0000-0100-000033060000}"/>
    <hyperlink ref="G1371" r:id="rId1337" xr:uid="{00000000-0004-0000-0100-000035060000}"/>
    <hyperlink ref="G1372" r:id="rId1338" xr:uid="{00000000-0004-0000-0100-000036060000}"/>
    <hyperlink ref="G1373" r:id="rId1339" xr:uid="{00000000-0004-0000-0100-000037060000}"/>
    <hyperlink ref="G1374" r:id="rId1340" xr:uid="{00000000-0004-0000-0100-000038060000}"/>
    <hyperlink ref="G1375" r:id="rId1341" xr:uid="{00000000-0004-0000-0100-000039060000}"/>
    <hyperlink ref="G1376" r:id="rId1342" xr:uid="{00000000-0004-0000-0100-00003B060000}"/>
    <hyperlink ref="G1377" r:id="rId1343" xr:uid="{00000000-0004-0000-0100-00003C060000}"/>
    <hyperlink ref="G1378" r:id="rId1344" xr:uid="{00000000-0004-0000-0100-00003D060000}"/>
    <hyperlink ref="G1379" r:id="rId1345" xr:uid="{00000000-0004-0000-0100-00003E060000}"/>
    <hyperlink ref="G1380" r:id="rId1346" xr:uid="{00000000-0004-0000-0100-000040060000}"/>
    <hyperlink ref="G1381" r:id="rId1347" xr:uid="{00000000-0004-0000-0100-000041060000}"/>
    <hyperlink ref="G1382" r:id="rId1348" xr:uid="{00000000-0004-0000-0100-000042060000}"/>
    <hyperlink ref="G1383" r:id="rId1349" xr:uid="{00000000-0004-0000-0100-000043060000}"/>
    <hyperlink ref="G1384" r:id="rId1350" xr:uid="{00000000-0004-0000-0100-000044060000}"/>
    <hyperlink ref="G1385" r:id="rId1351" xr:uid="{00000000-0004-0000-0100-000045060000}"/>
    <hyperlink ref="G1386" r:id="rId1352" xr:uid="{00000000-0004-0000-0100-000046060000}"/>
    <hyperlink ref="G1387" r:id="rId1353" xr:uid="{00000000-0004-0000-0100-000047060000}"/>
    <hyperlink ref="G1388" r:id="rId1354" xr:uid="{00000000-0004-0000-0100-000048060000}"/>
    <hyperlink ref="G1389" r:id="rId1355" xr:uid="{00000000-0004-0000-0100-000049060000}"/>
    <hyperlink ref="G1390" r:id="rId1356" xr:uid="{00000000-0004-0000-0100-00004A060000}"/>
    <hyperlink ref="G1391" r:id="rId1357" xr:uid="{00000000-0004-0000-0100-00004C060000}"/>
    <hyperlink ref="G1392" r:id="rId1358" xr:uid="{00000000-0004-0000-0100-00004E060000}"/>
    <hyperlink ref="G1393" r:id="rId1359" xr:uid="{00000000-0004-0000-0100-00004F060000}"/>
    <hyperlink ref="G1394" r:id="rId1360" xr:uid="{00000000-0004-0000-0100-000050060000}"/>
    <hyperlink ref="G1395" r:id="rId1361" xr:uid="{00000000-0004-0000-0100-000051060000}"/>
    <hyperlink ref="G1396" r:id="rId1362" xr:uid="{00000000-0004-0000-0100-000052060000}"/>
    <hyperlink ref="G1397" r:id="rId1363" xr:uid="{00000000-0004-0000-0100-000053060000}"/>
    <hyperlink ref="G1398" r:id="rId1364" xr:uid="{00000000-0004-0000-0100-000056060000}"/>
    <hyperlink ref="G1399" r:id="rId1365" xr:uid="{00000000-0004-0000-0100-000057060000}"/>
    <hyperlink ref="G1400" r:id="rId1366" xr:uid="{00000000-0004-0000-0100-000059060000}"/>
    <hyperlink ref="G1401" r:id="rId1367" xr:uid="{00000000-0004-0000-0100-00005A060000}"/>
    <hyperlink ref="G1402" r:id="rId1368" xr:uid="{00000000-0004-0000-0100-00005B060000}"/>
    <hyperlink ref="G1403" r:id="rId1369" xr:uid="{00000000-0004-0000-0100-00005C060000}"/>
    <hyperlink ref="G1404" r:id="rId1370" xr:uid="{00000000-0004-0000-0100-00005D060000}"/>
    <hyperlink ref="G1405" r:id="rId1371" xr:uid="{00000000-0004-0000-0100-00005F060000}"/>
    <hyperlink ref="G1406" r:id="rId1372" xr:uid="{00000000-0004-0000-0100-000060060000}"/>
    <hyperlink ref="G1407" r:id="rId1373" xr:uid="{00000000-0004-0000-0100-000061060000}"/>
    <hyperlink ref="G1408" r:id="rId1374" xr:uid="{00000000-0004-0000-0100-000062060000}"/>
    <hyperlink ref="G1410" r:id="rId1375" xr:uid="{00000000-0004-0000-0100-000064060000}"/>
    <hyperlink ref="G1411" r:id="rId1376" xr:uid="{00000000-0004-0000-0100-000066060000}"/>
    <hyperlink ref="G1412" r:id="rId1377" xr:uid="{00000000-0004-0000-0100-000067060000}"/>
    <hyperlink ref="G1413" r:id="rId1378" xr:uid="{00000000-0004-0000-0100-000068060000}"/>
    <hyperlink ref="G1414" r:id="rId1379" xr:uid="{00000000-0004-0000-0100-000069060000}"/>
    <hyperlink ref="G1415" r:id="rId1380" xr:uid="{00000000-0004-0000-0100-00006A060000}"/>
    <hyperlink ref="G1416" r:id="rId1381" xr:uid="{00000000-0004-0000-0100-00006B060000}"/>
    <hyperlink ref="G1417" r:id="rId1382" xr:uid="{00000000-0004-0000-0100-00006D060000}"/>
    <hyperlink ref="G1419" r:id="rId1383" xr:uid="{00000000-0004-0000-0100-000070060000}"/>
    <hyperlink ref="G1420" r:id="rId1384" xr:uid="{00000000-0004-0000-0100-000071060000}"/>
    <hyperlink ref="G1421" r:id="rId1385" xr:uid="{00000000-0004-0000-0100-000072060000}"/>
    <hyperlink ref="G1422" r:id="rId1386" xr:uid="{00000000-0004-0000-0100-000073060000}"/>
    <hyperlink ref="G1423" r:id="rId1387" xr:uid="{00000000-0004-0000-0100-000074060000}"/>
    <hyperlink ref="G1424" r:id="rId1388" xr:uid="{00000000-0004-0000-0100-000076060000}"/>
    <hyperlink ref="G1425" r:id="rId1389" xr:uid="{00000000-0004-0000-0100-000078060000}"/>
    <hyperlink ref="G1426" r:id="rId1390" xr:uid="{00000000-0004-0000-0100-000079060000}"/>
    <hyperlink ref="G1427" r:id="rId1391" xr:uid="{00000000-0004-0000-0100-00007B060000}"/>
    <hyperlink ref="G1428" r:id="rId1392" xr:uid="{00000000-0004-0000-0100-00007C060000}"/>
    <hyperlink ref="S1429" r:id="rId1393" xr:uid="{00000000-0004-0000-0100-00007F060000}"/>
    <hyperlink ref="G1430" r:id="rId1394" xr:uid="{00000000-0004-0000-0100-000080060000}"/>
    <hyperlink ref="G1431" r:id="rId1395" xr:uid="{00000000-0004-0000-0100-000081060000}"/>
    <hyperlink ref="G1432" r:id="rId1396" xr:uid="{00000000-0004-0000-0100-000082060000}"/>
    <hyperlink ref="G1433" r:id="rId1397" xr:uid="{00000000-0004-0000-0100-000083060000}"/>
    <hyperlink ref="G1434" r:id="rId1398" xr:uid="{00000000-0004-0000-0100-000085060000}"/>
    <hyperlink ref="G1435" r:id="rId1399" xr:uid="{00000000-0004-0000-0100-000087060000}"/>
    <hyperlink ref="G1436" r:id="rId1400" xr:uid="{00000000-0004-0000-0100-000088060000}"/>
    <hyperlink ref="G1437" r:id="rId1401" xr:uid="{00000000-0004-0000-0100-000089060000}"/>
    <hyperlink ref="F1438" r:id="rId1402" xr:uid="{00000000-0004-0000-0100-00008A060000}"/>
    <hyperlink ref="G1438" r:id="rId1403" xr:uid="{00000000-0004-0000-0100-00008B060000}"/>
    <hyperlink ref="S1438" r:id="rId1404" xr:uid="{00000000-0004-0000-0100-00008C060000}"/>
    <hyperlink ref="G1439" r:id="rId1405" xr:uid="{00000000-0004-0000-0100-00008E060000}"/>
    <hyperlink ref="G1440" r:id="rId1406" xr:uid="{00000000-0004-0000-0100-00009E060000}"/>
    <hyperlink ref="G1441" r:id="rId1407" xr:uid="{00000000-0004-0000-0100-0000BB060000}"/>
    <hyperlink ref="G1442" r:id="rId1408" xr:uid="{00000000-0004-0000-0100-0000BC060000}"/>
    <hyperlink ref="G1444" r:id="rId1409" xr:uid="{00000000-0004-0000-0100-0000BF060000}"/>
    <hyperlink ref="G1447" r:id="rId1410" xr:uid="{00000000-0004-0000-0100-0000C0060000}"/>
    <hyperlink ref="G1448" r:id="rId1411" xr:uid="{00000000-0004-0000-0100-0000C3060000}"/>
    <hyperlink ref="G1450" r:id="rId1412" xr:uid="{00000000-0004-0000-0100-0000D2060000}"/>
    <hyperlink ref="G1451" r:id="rId1413" xr:uid="{00000000-0004-0000-0100-0000D3060000}"/>
    <hyperlink ref="G1452" r:id="rId1414" xr:uid="{00000000-0004-0000-0100-0000DB060000}"/>
    <hyperlink ref="G1453" r:id="rId1415" xr:uid="{00000000-0004-0000-0100-0000E5060000}"/>
    <hyperlink ref="G1454" r:id="rId1416" xr:uid="{00000000-0004-0000-0100-0000EC060000}"/>
    <hyperlink ref="G1455" r:id="rId1417" xr:uid="{00000000-0004-0000-0100-000003070000}"/>
    <hyperlink ref="G1456" r:id="rId1418" xr:uid="{00000000-0004-0000-0100-000004070000}"/>
    <hyperlink ref="G1457" r:id="rId1419" xr:uid="{00000000-0004-0000-0100-000005070000}"/>
    <hyperlink ref="G1458" r:id="rId1420" xr:uid="{00000000-0004-0000-0100-000006070000}"/>
    <hyperlink ref="G1459" r:id="rId1421" xr:uid="{00000000-0004-0000-0100-000007070000}"/>
    <hyperlink ref="G1460" r:id="rId1422" xr:uid="{00000000-0004-0000-0100-000008070000}"/>
    <hyperlink ref="G1461" r:id="rId1423" xr:uid="{00000000-0004-0000-0100-000009070000}"/>
    <hyperlink ref="G1462" r:id="rId1424" xr:uid="{00000000-0004-0000-0100-00000A070000}"/>
    <hyperlink ref="G1463" r:id="rId1425" xr:uid="{00000000-0004-0000-0100-000013070000}"/>
    <hyperlink ref="G1464" r:id="rId1426" xr:uid="{00000000-0004-0000-0100-00001A070000}"/>
    <hyperlink ref="G1465" r:id="rId1427" xr:uid="{00000000-0004-0000-0100-000023070000}"/>
    <hyperlink ref="G1466" r:id="rId1428" xr:uid="{00000000-0004-0000-0100-000024070000}"/>
    <hyperlink ref="G1467" r:id="rId1429" xr:uid="{00000000-0004-0000-0100-000025070000}"/>
    <hyperlink ref="G1468" r:id="rId1430" xr:uid="{00000000-0004-0000-0100-000027070000}"/>
    <hyperlink ref="G1469" r:id="rId1431" xr:uid="{00000000-0004-0000-0100-000028070000}"/>
    <hyperlink ref="S1470" r:id="rId1432" xr:uid="{00000000-0004-0000-0100-000029070000}"/>
    <hyperlink ref="G1471" r:id="rId1433" xr:uid="{00000000-0004-0000-0100-00002A070000}"/>
    <hyperlink ref="G1472" r:id="rId1434" xr:uid="{00000000-0004-0000-0100-00002B070000}"/>
    <hyperlink ref="G1473" r:id="rId1435" xr:uid="{00000000-0004-0000-0100-00002D070000}"/>
    <hyperlink ref="G1474" r:id="rId1436" xr:uid="{00000000-0004-0000-0100-00002E070000}"/>
    <hyperlink ref="G1475" r:id="rId1437" xr:uid="{00000000-0004-0000-0100-00002F070000}"/>
    <hyperlink ref="G1476" r:id="rId1438" xr:uid="{00000000-0004-0000-0100-000030070000}"/>
    <hyperlink ref="G1477" r:id="rId1439" xr:uid="{00000000-0004-0000-0100-000031070000}"/>
    <hyperlink ref="G1478" r:id="rId1440" xr:uid="{00000000-0004-0000-0100-000032070000}"/>
    <hyperlink ref="G1479" r:id="rId1441" xr:uid="{00000000-0004-0000-0100-000033070000}"/>
    <hyperlink ref="G1480" r:id="rId1442" xr:uid="{00000000-0004-0000-0100-000034070000}"/>
    <hyperlink ref="G1481" r:id="rId1443" xr:uid="{00000000-0004-0000-0100-000035070000}"/>
    <hyperlink ref="G1482" r:id="rId1444" xr:uid="{00000000-0004-0000-0100-000036070000}"/>
    <hyperlink ref="F1483" r:id="rId1445" xr:uid="{00000000-0004-0000-0100-000037070000}"/>
    <hyperlink ref="G1484" r:id="rId1446" xr:uid="{00000000-0004-0000-0100-00003A070000}"/>
    <hyperlink ref="G1485" r:id="rId1447" xr:uid="{00000000-0004-0000-0100-00003C070000}"/>
    <hyperlink ref="G1486" r:id="rId1448" xr:uid="{00000000-0004-0000-0100-00003D070000}"/>
    <hyperlink ref="G1487" r:id="rId1449" xr:uid="{00000000-0004-0000-0100-00003E070000}"/>
    <hyperlink ref="S1487" r:id="rId1450" xr:uid="{00000000-0004-0000-0100-00003F070000}"/>
    <hyperlink ref="G1488" r:id="rId1451" xr:uid="{00000000-0004-0000-0100-000040070000}"/>
    <hyperlink ref="G1489" r:id="rId1452" xr:uid="{00000000-0004-0000-0100-000043070000}"/>
    <hyperlink ref="G1490" r:id="rId1453" xr:uid="{00000000-0004-0000-0100-000044070000}"/>
    <hyperlink ref="G1491" r:id="rId1454" xr:uid="{00000000-0004-0000-0100-000046070000}"/>
    <hyperlink ref="F1492" r:id="rId1455" xr:uid="{00000000-0004-0000-0100-000047070000}"/>
    <hyperlink ref="G1493" r:id="rId1456" xr:uid="{00000000-0004-0000-0100-000048070000}"/>
    <hyperlink ref="G1494" r:id="rId1457" xr:uid="{00000000-0004-0000-0100-000049070000}"/>
    <hyperlink ref="G1495" r:id="rId1458" xr:uid="{00000000-0004-0000-0100-00004C070000}"/>
    <hyperlink ref="G1496" r:id="rId1459" xr:uid="{00000000-0004-0000-0100-00004D070000}"/>
    <hyperlink ref="G1497" r:id="rId1460" xr:uid="{00000000-0004-0000-0100-00004E070000}"/>
    <hyperlink ref="G1498" r:id="rId1461" xr:uid="{00000000-0004-0000-0100-000077070000}"/>
    <hyperlink ref="G1499" r:id="rId1462" xr:uid="{00000000-0004-0000-0100-000078070000}"/>
    <hyperlink ref="G1500" r:id="rId1463" xr:uid="{00000000-0004-0000-0100-000079070000}"/>
    <hyperlink ref="G1501" r:id="rId1464" xr:uid="{00000000-0004-0000-0100-00007A070000}"/>
    <hyperlink ref="G1502" r:id="rId1465" xr:uid="{00000000-0004-0000-0100-00007B070000}"/>
    <hyperlink ref="G1503" r:id="rId1466" xr:uid="{00000000-0004-0000-0100-00007D070000}"/>
    <hyperlink ref="G1504" r:id="rId1467" xr:uid="{00000000-0004-0000-0100-00007E070000}"/>
    <hyperlink ref="G1505" r:id="rId1468" xr:uid="{00000000-0004-0000-0100-00007F070000}"/>
    <hyperlink ref="G1506" r:id="rId1469" xr:uid="{00000000-0004-0000-0100-000080070000}"/>
    <hyperlink ref="G1507" r:id="rId1470" xr:uid="{00000000-0004-0000-0100-000081070000}"/>
    <hyperlink ref="G1509" r:id="rId1471" xr:uid="{00000000-0004-0000-0100-000082070000}"/>
    <hyperlink ref="G1510" r:id="rId1472" xr:uid="{00000000-0004-0000-0100-000083070000}"/>
    <hyperlink ref="G1511" r:id="rId1473" xr:uid="{00000000-0004-0000-0100-000084070000}"/>
    <hyperlink ref="G1512" r:id="rId1474" xr:uid="{00000000-0004-0000-0100-000085070000}"/>
    <hyperlink ref="G1513" r:id="rId1475" xr:uid="{00000000-0004-0000-0100-000086070000}"/>
    <hyperlink ref="G1515" r:id="rId1476" xr:uid="{00000000-0004-0000-0100-000087070000}"/>
    <hyperlink ref="G1516" r:id="rId1477" xr:uid="{00000000-0004-0000-0100-000088070000}"/>
    <hyperlink ref="G1517" r:id="rId1478" xr:uid="{00000000-0004-0000-0100-000089070000}"/>
    <hyperlink ref="G1518" r:id="rId1479" xr:uid="{00000000-0004-0000-0100-00008A070000}"/>
    <hyperlink ref="G1519" r:id="rId1480" xr:uid="{00000000-0004-0000-0100-00008B070000}"/>
    <hyperlink ref="G1520" r:id="rId1481" xr:uid="{00000000-0004-0000-0100-00008C070000}"/>
    <hyperlink ref="G1521" r:id="rId1482" xr:uid="{00000000-0004-0000-0100-00008D070000}"/>
    <hyperlink ref="G1522" r:id="rId1483" xr:uid="{00000000-0004-0000-0100-00009A070000}"/>
    <hyperlink ref="G1523" r:id="rId1484" xr:uid="{00000000-0004-0000-0100-00009B070000}"/>
    <hyperlink ref="G1524" r:id="rId1485" xr:uid="{00000000-0004-0000-0100-00009F070000}"/>
    <hyperlink ref="G1525" r:id="rId1486" xr:uid="{00000000-0004-0000-0100-0000A0070000}"/>
    <hyperlink ref="G1526" r:id="rId1487" xr:uid="{00000000-0004-0000-0100-0000A1070000}"/>
    <hyperlink ref="F1527" r:id="rId1488" xr:uid="{00000000-0004-0000-0100-0000AC070000}"/>
    <hyperlink ref="S1527" r:id="rId1489" xr:uid="{00000000-0004-0000-0100-0000AD070000}"/>
    <hyperlink ref="G1528" r:id="rId1490" xr:uid="{00000000-0004-0000-0100-0000B3070000}"/>
    <hyperlink ref="G1529" r:id="rId1491" xr:uid="{00000000-0004-0000-0100-0000B4070000}"/>
    <hyperlink ref="G1530" r:id="rId1492" xr:uid="{00000000-0004-0000-0100-0000B5070000}"/>
    <hyperlink ref="G1531" r:id="rId1493" xr:uid="{00000000-0004-0000-0100-0000B7070000}"/>
    <hyperlink ref="G1533" r:id="rId1494" xr:uid="{00000000-0004-0000-0100-0000BB070000}"/>
    <hyperlink ref="G1535" r:id="rId1495" xr:uid="{00000000-0004-0000-0100-0000C7070000}"/>
    <hyperlink ref="G1536" r:id="rId1496" xr:uid="{00000000-0004-0000-0100-0000CA070000}"/>
    <hyperlink ref="G1537" r:id="rId1497" xr:uid="{00000000-0004-0000-0100-0000D0070000}"/>
    <hyperlink ref="G1538" r:id="rId1498" xr:uid="{00000000-0004-0000-0100-0000D3070000}"/>
    <hyperlink ref="G1539" r:id="rId1499" xr:uid="{00000000-0004-0000-0100-0000D4070000}"/>
    <hyperlink ref="G1540" r:id="rId1500" xr:uid="{00000000-0004-0000-0100-0000D8070000}"/>
    <hyperlink ref="G1541" r:id="rId1501" xr:uid="{00000000-0004-0000-0100-0000DC070000}"/>
    <hyperlink ref="G1542" r:id="rId1502" xr:uid="{00000000-0004-0000-0100-0000E1070000}"/>
    <hyperlink ref="G1543" r:id="rId1503" xr:uid="{00000000-0004-0000-0100-0000E2070000}"/>
    <hyperlink ref="G1544" r:id="rId1504" xr:uid="{00000000-0004-0000-0100-0000E3070000}"/>
    <hyperlink ref="G1545" r:id="rId1505" xr:uid="{00000000-0004-0000-0100-0000E4070000}"/>
    <hyperlink ref="F1546" r:id="rId1506" xr:uid="{00000000-0004-0000-0100-0000E5070000}"/>
    <hyperlink ref="G1546" r:id="rId1507" xr:uid="{00000000-0004-0000-0100-0000E6070000}"/>
    <hyperlink ref="G1547" r:id="rId1508" xr:uid="{00000000-0004-0000-0100-0000E9070000}"/>
    <hyperlink ref="S1547" r:id="rId1509" xr:uid="{00000000-0004-0000-0100-0000EA070000}"/>
    <hyperlink ref="G1548" r:id="rId1510" xr:uid="{00000000-0004-0000-0100-0000EB070000}"/>
    <hyperlink ref="G1549" r:id="rId1511" xr:uid="{00000000-0004-0000-0100-0000F6070000}"/>
    <hyperlink ref="G1550" r:id="rId1512" xr:uid="{00000000-0004-0000-0100-0000F7070000}"/>
    <hyperlink ref="G1551" r:id="rId1513" xr:uid="{00000000-0004-0000-0100-0000F9070000}"/>
    <hyperlink ref="G1552" r:id="rId1514" xr:uid="{00000000-0004-0000-0100-0000FA070000}"/>
    <hyperlink ref="G1553" r:id="rId1515" xr:uid="{00000000-0004-0000-0100-0000FB070000}"/>
    <hyperlink ref="G1554" r:id="rId1516" xr:uid="{00000000-0004-0000-0100-0000FD070000}"/>
    <hyperlink ref="G1555" r:id="rId1517" xr:uid="{00000000-0004-0000-0100-0000FE070000}"/>
    <hyperlink ref="G1556" r:id="rId1518" xr:uid="{00000000-0004-0000-0100-0000FF070000}"/>
    <hyperlink ref="G1557" r:id="rId1519" xr:uid="{00000000-0004-0000-0100-000000080000}"/>
    <hyperlink ref="G1560" r:id="rId1520" xr:uid="{00000000-0004-0000-0100-000002080000}"/>
    <hyperlink ref="G1561" r:id="rId1521" xr:uid="{00000000-0004-0000-0100-000003080000}"/>
    <hyperlink ref="G1562" r:id="rId1522" xr:uid="{00000000-0004-0000-0100-000004080000}"/>
    <hyperlink ref="G1563" r:id="rId1523" xr:uid="{00000000-0004-0000-0100-000006080000}"/>
    <hyperlink ref="G1564" r:id="rId1524" xr:uid="{00000000-0004-0000-0100-000008080000}"/>
    <hyperlink ref="G1565" r:id="rId1525" xr:uid="{00000000-0004-0000-0100-000009080000}"/>
    <hyperlink ref="G1566" r:id="rId1526" xr:uid="{00000000-0004-0000-0100-00001B080000}"/>
    <hyperlink ref="G1567" r:id="rId1527" xr:uid="{00000000-0004-0000-0100-00001C080000}"/>
    <hyperlink ref="G1568" r:id="rId1528" xr:uid="{00000000-0004-0000-0100-00001D080000}"/>
    <hyperlink ref="G1569" r:id="rId1529" xr:uid="{00000000-0004-0000-0100-00001E080000}"/>
    <hyperlink ref="G1570" r:id="rId1530" xr:uid="{00000000-0004-0000-0100-000022080000}"/>
    <hyperlink ref="G1571" r:id="rId1531" xr:uid="{00000000-0004-0000-0100-000025080000}"/>
    <hyperlink ref="G1572" r:id="rId1532" xr:uid="{00000000-0004-0000-0100-000026080000}"/>
    <hyperlink ref="G1573" r:id="rId1533" xr:uid="{00000000-0004-0000-0100-000028080000}"/>
    <hyperlink ref="G1574" r:id="rId1534" xr:uid="{00000000-0004-0000-0100-000029080000}"/>
    <hyperlink ref="G1575" r:id="rId1535" xr:uid="{00000000-0004-0000-0100-00002B080000}"/>
    <hyperlink ref="G1576" r:id="rId1536" xr:uid="{00000000-0004-0000-0100-00002C080000}"/>
    <hyperlink ref="G1577" r:id="rId1537" xr:uid="{00000000-0004-0000-0100-00002E080000}"/>
    <hyperlink ref="G1578" r:id="rId1538" xr:uid="{00000000-0004-0000-0100-00002F080000}"/>
    <hyperlink ref="G1579" r:id="rId1539" xr:uid="{00000000-0004-0000-0100-000031080000}"/>
    <hyperlink ref="G1580" r:id="rId1540" xr:uid="{00000000-0004-0000-0100-000032080000}"/>
    <hyperlink ref="G1581" r:id="rId1541" xr:uid="{00000000-0004-0000-0100-000034080000}"/>
    <hyperlink ref="G1582" r:id="rId1542" xr:uid="{00000000-0004-0000-0100-000037080000}"/>
    <hyperlink ref="G1583" r:id="rId1543" xr:uid="{00000000-0004-0000-0100-000038080000}"/>
    <hyperlink ref="G1584" r:id="rId1544" xr:uid="{00000000-0004-0000-0100-00003D080000}"/>
    <hyperlink ref="G1585" r:id="rId1545" xr:uid="{00000000-0004-0000-0100-00003E080000}"/>
    <hyperlink ref="G1586" r:id="rId1546" xr:uid="{00000000-0004-0000-0100-000041080000}"/>
    <hyperlink ref="G1587" r:id="rId1547" xr:uid="{00000000-0004-0000-0100-000042080000}"/>
    <hyperlink ref="G1588" r:id="rId1548" xr:uid="{00000000-0004-0000-0100-000043080000}"/>
    <hyperlink ref="G1589" r:id="rId1549" xr:uid="{00000000-0004-0000-0100-000044080000}"/>
    <hyperlink ref="G1590" r:id="rId1550" xr:uid="{00000000-0004-0000-0100-000048080000}"/>
    <hyperlink ref="G1591" r:id="rId1551" xr:uid="{00000000-0004-0000-0100-000049080000}"/>
    <hyperlink ref="G1592" r:id="rId1552" xr:uid="{00000000-0004-0000-0100-00004A080000}"/>
    <hyperlink ref="G1593" r:id="rId1553" xr:uid="{00000000-0004-0000-0100-00004D080000}"/>
    <hyperlink ref="G1594" r:id="rId1554" xr:uid="{00000000-0004-0000-0100-00004E080000}"/>
    <hyperlink ref="G1595" r:id="rId1555" xr:uid="{00000000-0004-0000-0100-000050080000}"/>
    <hyperlink ref="G1597" r:id="rId1556" xr:uid="{00000000-0004-0000-0100-000053080000}"/>
    <hyperlink ref="G1598" r:id="rId1557" xr:uid="{00000000-0004-0000-0100-000054080000}"/>
    <hyperlink ref="G1599" r:id="rId1558" xr:uid="{00000000-0004-0000-0100-00005A080000}"/>
    <hyperlink ref="G1600" r:id="rId1559" xr:uid="{00000000-0004-0000-0100-00005B080000}"/>
    <hyperlink ref="G1601" r:id="rId1560" xr:uid="{00000000-0004-0000-0100-00005C080000}"/>
    <hyperlink ref="G1602" r:id="rId1561" xr:uid="{00000000-0004-0000-0100-00005D080000}"/>
    <hyperlink ref="G1603" r:id="rId1562" xr:uid="{00000000-0004-0000-0100-00005F080000}"/>
    <hyperlink ref="G1604" r:id="rId1563" xr:uid="{00000000-0004-0000-0100-000060080000}"/>
    <hyperlink ref="G1605" r:id="rId1564" xr:uid="{00000000-0004-0000-0100-000061080000}"/>
    <hyperlink ref="G1606" r:id="rId1565" xr:uid="{00000000-0004-0000-0100-00006E080000}"/>
    <hyperlink ref="G1608" r:id="rId1566" xr:uid="{00000000-0004-0000-0100-000071080000}"/>
    <hyperlink ref="G1609" r:id="rId1567" xr:uid="{00000000-0004-0000-0100-000072080000}"/>
    <hyperlink ref="G1610" r:id="rId1568" xr:uid="{00000000-0004-0000-0100-000075080000}"/>
    <hyperlink ref="G1611" r:id="rId1569" xr:uid="{00000000-0004-0000-0100-000078080000}"/>
    <hyperlink ref="G1612" r:id="rId1570" xr:uid="{00000000-0004-0000-0100-000079080000}"/>
    <hyperlink ref="G1613" r:id="rId1571" xr:uid="{00000000-0004-0000-0100-00007A080000}"/>
    <hyperlink ref="G1614" r:id="rId1572" xr:uid="{00000000-0004-0000-0100-00007D080000}"/>
    <hyperlink ref="G1615" r:id="rId1573" xr:uid="{00000000-0004-0000-0100-00008D080000}"/>
    <hyperlink ref="G1616" r:id="rId1574" xr:uid="{00000000-0004-0000-0100-000095080000}"/>
    <hyperlink ref="G1617" r:id="rId1575" xr:uid="{00000000-0004-0000-0100-000096080000}"/>
    <hyperlink ref="G1618" r:id="rId1576" xr:uid="{00000000-0004-0000-0100-00009F080000}"/>
    <hyperlink ref="G1619" r:id="rId1577" xr:uid="{00000000-0004-0000-0100-0000A6080000}"/>
    <hyperlink ref="G1620" r:id="rId1578" xr:uid="{00000000-0004-0000-0100-0000AA080000}"/>
    <hyperlink ref="G1621" r:id="rId1579" xr:uid="{00000000-0004-0000-0100-0000AF080000}"/>
    <hyperlink ref="G1622" r:id="rId1580" xr:uid="{00000000-0004-0000-0100-0000B2080000}"/>
    <hyperlink ref="G1623" r:id="rId1581" xr:uid="{00000000-0004-0000-0100-0000B4080000}"/>
    <hyperlink ref="G1624" r:id="rId1582" xr:uid="{00000000-0004-0000-0100-0000BC080000}"/>
    <hyperlink ref="G1625" r:id="rId1583" xr:uid="{00000000-0004-0000-0100-0000BF080000}"/>
    <hyperlink ref="G1626" r:id="rId1584" xr:uid="{00000000-0004-0000-0100-0000C3080000}"/>
    <hyperlink ref="G1627" r:id="rId1585" xr:uid="{00000000-0004-0000-0100-0000C4080000}"/>
    <hyperlink ref="G1628" r:id="rId1586" xr:uid="{00000000-0004-0000-0100-0000C6080000}"/>
    <hyperlink ref="G1629" r:id="rId1587" xr:uid="{00000000-0004-0000-0100-0000CD080000}"/>
    <hyperlink ref="G1630" r:id="rId1588" xr:uid="{00000000-0004-0000-0100-0000CE080000}"/>
    <hyperlink ref="G1632" r:id="rId1589" xr:uid="{00000000-0004-0000-0100-0000D1080000}"/>
    <hyperlink ref="G1633" r:id="rId1590" xr:uid="{00000000-0004-0000-0100-0000D2080000}"/>
    <hyperlink ref="G1634" r:id="rId1591" xr:uid="{00000000-0004-0000-0100-0000D3080000}"/>
    <hyperlink ref="G1635" r:id="rId1592" xr:uid="{00000000-0004-0000-0100-0000D4080000}"/>
    <hyperlink ref="G1636" r:id="rId1593" xr:uid="{00000000-0004-0000-0100-0000D5080000}"/>
    <hyperlink ref="G1637" r:id="rId1594" xr:uid="{00000000-0004-0000-0100-0000D6080000}"/>
    <hyperlink ref="G1638" r:id="rId1595" xr:uid="{00000000-0004-0000-0100-0000D7080000}"/>
    <hyperlink ref="G1639" r:id="rId1596" xr:uid="{00000000-0004-0000-0100-0000D8080000}"/>
    <hyperlink ref="G1640" r:id="rId1597" xr:uid="{00000000-0004-0000-0100-0000D9080000}"/>
    <hyperlink ref="G1641" r:id="rId1598" xr:uid="{00000000-0004-0000-0100-0000DA080000}"/>
    <hyperlink ref="G1642" r:id="rId1599" xr:uid="{00000000-0004-0000-0100-0000DB080000}"/>
    <hyperlink ref="G1643" r:id="rId1600" xr:uid="{00000000-0004-0000-0100-0000DC080000}"/>
    <hyperlink ref="G1645" r:id="rId1601" xr:uid="{00000000-0004-0000-0100-0000E0080000}"/>
    <hyperlink ref="G1646" r:id="rId1602" xr:uid="{00000000-0004-0000-0100-0000E1080000}"/>
    <hyperlink ref="F1647" r:id="rId1603" xr:uid="{00000000-0004-0000-0100-0000E2080000}"/>
    <hyperlink ref="G1647" r:id="rId1604" xr:uid="{00000000-0004-0000-0100-0000E3080000}"/>
    <hyperlink ref="G1648" r:id="rId1605" xr:uid="{00000000-0004-0000-0100-0000E4080000}"/>
    <hyperlink ref="G1649" r:id="rId1606" xr:uid="{00000000-0004-0000-0100-0000E5080000}"/>
    <hyperlink ref="G1650" r:id="rId1607" xr:uid="{00000000-0004-0000-0100-0000E7080000}"/>
    <hyperlink ref="G1651" r:id="rId1608" xr:uid="{00000000-0004-0000-0100-0000E9080000}"/>
    <hyperlink ref="G1652" r:id="rId1609" xr:uid="{00000000-0004-0000-0100-0000EA080000}"/>
    <hyperlink ref="G1653" r:id="rId1610" xr:uid="{00000000-0004-0000-0100-0000EB080000}"/>
    <hyperlink ref="G1654" r:id="rId1611" xr:uid="{00000000-0004-0000-0100-0000EC080000}"/>
    <hyperlink ref="S1655" r:id="rId1612" xr:uid="{00000000-0004-0000-0100-0000ED080000}"/>
    <hyperlink ref="G1656" r:id="rId1613" xr:uid="{00000000-0004-0000-0100-0000EF080000}"/>
    <hyperlink ref="G1657" r:id="rId1614" xr:uid="{00000000-0004-0000-0100-0000F2080000}"/>
    <hyperlink ref="G1658" r:id="rId1615" xr:uid="{00000000-0004-0000-0100-0000F3080000}"/>
    <hyperlink ref="G1659" r:id="rId1616" xr:uid="{00000000-0004-0000-0100-0000FA080000}"/>
    <hyperlink ref="G1660" r:id="rId1617" xr:uid="{00000000-0004-0000-0100-0000FC080000}"/>
    <hyperlink ref="S1660" r:id="rId1618" xr:uid="{00000000-0004-0000-0100-0000FD080000}"/>
    <hyperlink ref="G1661" r:id="rId1619" xr:uid="{00000000-0004-0000-0100-0000FE080000}"/>
    <hyperlink ref="G1662" r:id="rId1620" xr:uid="{00000000-0004-0000-0100-0000FF080000}"/>
    <hyperlink ref="G1663" r:id="rId1621" xr:uid="{00000000-0004-0000-0100-000001090000}"/>
    <hyperlink ref="G1664" r:id="rId1622" xr:uid="{00000000-0004-0000-0100-000003090000}"/>
    <hyperlink ref="G1665" r:id="rId1623" xr:uid="{00000000-0004-0000-0100-000004090000}"/>
    <hyperlink ref="G1666" r:id="rId1624" xr:uid="{00000000-0004-0000-0100-000006090000}"/>
    <hyperlink ref="G1667" r:id="rId1625" xr:uid="{00000000-0004-0000-0100-000007090000}"/>
    <hyperlink ref="G1668" r:id="rId1626" xr:uid="{00000000-0004-0000-0100-000008090000}"/>
    <hyperlink ref="G1669" r:id="rId1627" xr:uid="{00000000-0004-0000-0100-000009090000}"/>
    <hyperlink ref="G1670" r:id="rId1628" xr:uid="{00000000-0004-0000-0100-00000B090000}"/>
    <hyperlink ref="G1671" r:id="rId1629" xr:uid="{00000000-0004-0000-0100-00000D090000}"/>
    <hyperlink ref="G1673" r:id="rId1630" xr:uid="{00000000-0004-0000-0100-00000F090000}"/>
    <hyperlink ref="G1674" r:id="rId1631" xr:uid="{00000000-0004-0000-0100-000010090000}"/>
    <hyperlink ref="G1675" r:id="rId1632" xr:uid="{00000000-0004-0000-0100-000012090000}"/>
    <hyperlink ref="G1676" r:id="rId1633" xr:uid="{00000000-0004-0000-0100-000013090000}"/>
    <hyperlink ref="G1677" r:id="rId1634" xr:uid="{00000000-0004-0000-0100-000015090000}"/>
    <hyperlink ref="G1678" r:id="rId1635" xr:uid="{00000000-0004-0000-0100-000016090000}"/>
    <hyperlink ref="G1679" r:id="rId1636" xr:uid="{00000000-0004-0000-0100-000017090000}"/>
    <hyperlink ref="G1680" r:id="rId1637" xr:uid="{00000000-0004-0000-0100-000019090000}"/>
    <hyperlink ref="G1681" r:id="rId1638" xr:uid="{00000000-0004-0000-0100-00001A090000}"/>
    <hyperlink ref="G1682" r:id="rId1639" xr:uid="{00000000-0004-0000-0100-00001B090000}"/>
    <hyperlink ref="F1683" r:id="rId1640" xr:uid="{00000000-0004-0000-0100-00001C090000}"/>
    <hyperlink ref="G1684" r:id="rId1641" xr:uid="{00000000-0004-0000-0100-00001D090000}"/>
    <hyperlink ref="G1685" r:id="rId1642" xr:uid="{00000000-0004-0000-0100-00001E090000}"/>
    <hyperlink ref="G1686" r:id="rId1643" xr:uid="{00000000-0004-0000-0100-000020090000}"/>
    <hyperlink ref="G1687" r:id="rId1644" xr:uid="{00000000-0004-0000-0100-000022090000}"/>
    <hyperlink ref="S1687" r:id="rId1645" xr:uid="{00000000-0004-0000-0100-000023090000}"/>
    <hyperlink ref="G1688" r:id="rId1646" xr:uid="{00000000-0004-0000-0100-000024090000}"/>
    <hyperlink ref="G1689" r:id="rId1647" xr:uid="{00000000-0004-0000-0100-000025090000}"/>
    <hyperlink ref="G1690" r:id="rId1648" xr:uid="{00000000-0004-0000-0100-000027090000}"/>
    <hyperlink ref="G1691" r:id="rId1649" xr:uid="{00000000-0004-0000-0100-000028090000}"/>
    <hyperlink ref="G1692" r:id="rId1650" xr:uid="{00000000-0004-0000-0100-00002A090000}"/>
    <hyperlink ref="G1693" r:id="rId1651" xr:uid="{00000000-0004-0000-0100-00002C090000}"/>
    <hyperlink ref="G1694" r:id="rId1652" xr:uid="{00000000-0004-0000-0100-00002D090000}"/>
    <hyperlink ref="G1695" r:id="rId1653" xr:uid="{00000000-0004-0000-0100-00002F090000}"/>
    <hyperlink ref="G1696" r:id="rId1654" xr:uid="{00000000-0004-0000-0100-000030090000}"/>
    <hyperlink ref="G1697" r:id="rId1655" xr:uid="{00000000-0004-0000-0100-000031090000}"/>
    <hyperlink ref="G1698" r:id="rId1656" xr:uid="{00000000-0004-0000-0100-000032090000}"/>
    <hyperlink ref="G1699" r:id="rId1657" xr:uid="{00000000-0004-0000-0100-000033090000}"/>
    <hyperlink ref="G1700" r:id="rId1658" xr:uid="{00000000-0004-0000-0100-000035090000}"/>
    <hyperlink ref="G1701" r:id="rId1659" xr:uid="{00000000-0004-0000-0100-000036090000}"/>
    <hyperlink ref="G1702" r:id="rId1660" xr:uid="{00000000-0004-0000-0100-000037090000}"/>
    <hyperlink ref="G1703" r:id="rId1661" xr:uid="{00000000-0004-0000-0100-000038090000}"/>
    <hyperlink ref="G1704" r:id="rId1662" xr:uid="{00000000-0004-0000-0100-00003A090000}"/>
    <hyperlink ref="G1705" r:id="rId1663" xr:uid="{00000000-0004-0000-0100-00003B090000}"/>
    <hyperlink ref="G1706" r:id="rId1664" xr:uid="{00000000-0004-0000-0100-00003C090000}"/>
    <hyperlink ref="G1707" r:id="rId1665" xr:uid="{00000000-0004-0000-0100-00003D090000}"/>
    <hyperlink ref="G1708" r:id="rId1666" xr:uid="{00000000-0004-0000-0100-00003E090000}"/>
    <hyperlink ref="G1709" r:id="rId1667" xr:uid="{00000000-0004-0000-0100-00003F090000}"/>
    <hyperlink ref="G1710" r:id="rId1668" xr:uid="{00000000-0004-0000-0100-000040090000}"/>
    <hyperlink ref="G1711" r:id="rId1669" xr:uid="{00000000-0004-0000-0100-000041090000}"/>
    <hyperlink ref="G1712" r:id="rId1670" xr:uid="{00000000-0004-0000-0100-000042090000}"/>
    <hyperlink ref="G1713" r:id="rId1671" xr:uid="{00000000-0004-0000-0100-000043090000}"/>
    <hyperlink ref="G1714" r:id="rId1672" xr:uid="{00000000-0004-0000-0100-000044090000}"/>
    <hyperlink ref="G1715" r:id="rId1673" xr:uid="{00000000-0004-0000-0100-000045090000}"/>
    <hyperlink ref="G1716" r:id="rId1674" xr:uid="{00000000-0004-0000-0100-000046090000}"/>
    <hyperlink ref="G1717" r:id="rId1675" xr:uid="{00000000-0004-0000-0100-000047090000}"/>
    <hyperlink ref="G1718" r:id="rId1676" xr:uid="{00000000-0004-0000-0100-000048090000}"/>
    <hyperlink ref="G1719" r:id="rId1677" xr:uid="{00000000-0004-0000-0100-000049090000}"/>
    <hyperlink ref="G1720" r:id="rId1678" xr:uid="{00000000-0004-0000-0100-00004A090000}"/>
    <hyperlink ref="G1721" r:id="rId1679" xr:uid="{00000000-0004-0000-0100-00004B090000}"/>
    <hyperlink ref="G1722" r:id="rId1680" xr:uid="{00000000-0004-0000-0100-00004C090000}"/>
    <hyperlink ref="G1723" r:id="rId1681" xr:uid="{00000000-0004-0000-0100-00004E090000}"/>
    <hyperlink ref="G1724" r:id="rId1682" xr:uid="{00000000-0004-0000-0100-00004F090000}"/>
    <hyperlink ref="G1725" r:id="rId1683" xr:uid="{00000000-0004-0000-0100-000050090000}"/>
    <hyperlink ref="G1726" r:id="rId1684" xr:uid="{00000000-0004-0000-0100-000051090000}"/>
    <hyperlink ref="G1727" r:id="rId1685" xr:uid="{00000000-0004-0000-0100-000052090000}"/>
    <hyperlink ref="G1728" r:id="rId1686" xr:uid="{00000000-0004-0000-0100-000053090000}"/>
    <hyperlink ref="G1729" r:id="rId1687" xr:uid="{00000000-0004-0000-0100-000054090000}"/>
    <hyperlink ref="G1730" r:id="rId1688" xr:uid="{00000000-0004-0000-0100-000055090000}"/>
    <hyperlink ref="G1731" r:id="rId1689" xr:uid="{00000000-0004-0000-0100-000056090000}"/>
    <hyperlink ref="G1732" r:id="rId1690" xr:uid="{00000000-0004-0000-0100-000057090000}"/>
    <hyperlink ref="G1733" r:id="rId1691" xr:uid="{00000000-0004-0000-0100-000058090000}"/>
    <hyperlink ref="G1734" r:id="rId1692" xr:uid="{00000000-0004-0000-0100-000059090000}"/>
    <hyperlink ref="G1736" r:id="rId1693" xr:uid="{00000000-0004-0000-0100-00005A090000}"/>
    <hyperlink ref="G1737" r:id="rId1694" xr:uid="{00000000-0004-0000-0100-00005B090000}"/>
    <hyperlink ref="G1738" r:id="rId1695" xr:uid="{00000000-0004-0000-0100-00005D090000}"/>
    <hyperlink ref="G1739" r:id="rId1696" xr:uid="{00000000-0004-0000-0100-00005E090000}"/>
    <hyperlink ref="G1740" r:id="rId1697" xr:uid="{00000000-0004-0000-0100-00005F090000}"/>
    <hyperlink ref="G1741" r:id="rId1698" xr:uid="{00000000-0004-0000-0100-000061090000}"/>
    <hyperlink ref="G1742" r:id="rId1699" xr:uid="{00000000-0004-0000-0100-000062090000}"/>
    <hyperlink ref="G1743" r:id="rId1700" xr:uid="{00000000-0004-0000-0100-000064090000}"/>
    <hyperlink ref="G1744" r:id="rId1701" xr:uid="{00000000-0004-0000-0100-000065090000}"/>
    <hyperlink ref="G1745" r:id="rId1702" xr:uid="{00000000-0004-0000-0100-000066090000}"/>
    <hyperlink ref="G1746" r:id="rId1703" xr:uid="{00000000-0004-0000-0100-000067090000}"/>
    <hyperlink ref="G1747" r:id="rId1704" xr:uid="{00000000-0004-0000-0100-000068090000}"/>
    <hyperlink ref="G1748" r:id="rId1705" xr:uid="{00000000-0004-0000-0100-000069090000}"/>
    <hyperlink ref="G1749" r:id="rId1706" xr:uid="{00000000-0004-0000-0100-00006A090000}"/>
    <hyperlink ref="G1750" r:id="rId1707" xr:uid="{00000000-0004-0000-0100-00006B090000}"/>
    <hyperlink ref="G1751" r:id="rId1708" xr:uid="{00000000-0004-0000-0100-00006E090000}"/>
    <hyperlink ref="G1752" r:id="rId1709" xr:uid="{00000000-0004-0000-0100-00006F090000}"/>
    <hyperlink ref="G1753" r:id="rId1710" xr:uid="{00000000-0004-0000-0100-000070090000}"/>
    <hyperlink ref="G1754" r:id="rId1711" xr:uid="{00000000-0004-0000-0100-000071090000}"/>
    <hyperlink ref="G1755" r:id="rId1712" xr:uid="{00000000-0004-0000-0100-000072090000}"/>
    <hyperlink ref="G1756" r:id="rId1713" xr:uid="{00000000-0004-0000-0100-000073090000}"/>
    <hyperlink ref="G1757" r:id="rId1714" xr:uid="{00000000-0004-0000-0100-000074090000}"/>
    <hyperlink ref="G1758" r:id="rId1715" xr:uid="{00000000-0004-0000-0100-000075090000}"/>
    <hyperlink ref="G1759" r:id="rId1716" xr:uid="{00000000-0004-0000-0100-000076090000}"/>
    <hyperlink ref="G1760" r:id="rId1717" xr:uid="{00000000-0004-0000-0100-000077090000}"/>
    <hyperlink ref="G1761" r:id="rId1718" xr:uid="{00000000-0004-0000-0100-000078090000}"/>
    <hyperlink ref="G1762" r:id="rId1719" xr:uid="{00000000-0004-0000-0100-000079090000}"/>
    <hyperlink ref="G1763" r:id="rId1720" xr:uid="{00000000-0004-0000-0100-00007A090000}"/>
    <hyperlink ref="G1764" r:id="rId1721" xr:uid="{00000000-0004-0000-0100-00007B090000}"/>
    <hyperlink ref="G1765" r:id="rId1722" xr:uid="{00000000-0004-0000-0100-00007C090000}"/>
    <hyperlink ref="G1766" r:id="rId1723" xr:uid="{00000000-0004-0000-0100-00007D090000}"/>
    <hyperlink ref="G1767" r:id="rId1724" xr:uid="{00000000-0004-0000-0100-00007E090000}"/>
    <hyperlink ref="G1768" r:id="rId1725" xr:uid="{00000000-0004-0000-0100-00007F090000}"/>
    <hyperlink ref="G1769" r:id="rId1726" xr:uid="{00000000-0004-0000-0100-000080090000}"/>
    <hyperlink ref="F1770" r:id="rId1727" xr:uid="{00000000-0004-0000-0100-000081090000}"/>
    <hyperlink ref="G1771" r:id="rId1728" xr:uid="{00000000-0004-0000-0100-000082090000}"/>
    <hyperlink ref="G1772" r:id="rId1729" xr:uid="{00000000-0004-0000-0100-000083090000}"/>
    <hyperlink ref="G1773" r:id="rId1730" xr:uid="{00000000-0004-0000-0100-000084090000}"/>
    <hyperlink ref="G1774" r:id="rId1731" xr:uid="{00000000-0004-0000-0100-000087090000}"/>
    <hyperlink ref="G1775" r:id="rId1732" xr:uid="{00000000-0004-0000-0100-000088090000}"/>
    <hyperlink ref="S1775" r:id="rId1733" location="photo/1" xr:uid="{00000000-0004-0000-0100-000089090000}"/>
    <hyperlink ref="G1776" r:id="rId1734" xr:uid="{00000000-0004-0000-0100-00008B090000}"/>
    <hyperlink ref="G1777" r:id="rId1735" xr:uid="{00000000-0004-0000-0100-00008C090000}"/>
    <hyperlink ref="G1778" r:id="rId1736" xr:uid="{00000000-0004-0000-0100-00008D090000}"/>
    <hyperlink ref="G1779" r:id="rId1737" xr:uid="{00000000-0004-0000-0100-00008E090000}"/>
    <hyperlink ref="G1780" r:id="rId1738" xr:uid="{00000000-0004-0000-0100-00008F090000}"/>
    <hyperlink ref="G1781" r:id="rId1739" xr:uid="{00000000-0004-0000-0100-000091090000}"/>
    <hyperlink ref="G1782" r:id="rId1740" xr:uid="{00000000-0004-0000-0100-000092090000}"/>
    <hyperlink ref="G1784" r:id="rId1741" xr:uid="{00000000-0004-0000-0100-000093090000}"/>
    <hyperlink ref="G1786" r:id="rId1742" xr:uid="{00000000-0004-0000-0100-000094090000}"/>
    <hyperlink ref="G1787" r:id="rId1743" xr:uid="{00000000-0004-0000-0100-000095090000}"/>
    <hyperlink ref="G1788" r:id="rId1744" xr:uid="{00000000-0004-0000-0100-000096090000}"/>
    <hyperlink ref="G1792" r:id="rId1745" xr:uid="{00000000-0004-0000-0100-000097090000}"/>
    <hyperlink ref="G1793" r:id="rId1746" xr:uid="{00000000-0004-0000-0100-000098090000}"/>
    <hyperlink ref="G1794" r:id="rId1747" xr:uid="{00000000-0004-0000-0100-000099090000}"/>
    <hyperlink ref="G1795" r:id="rId1748" xr:uid="{00000000-0004-0000-0100-00009A090000}"/>
    <hyperlink ref="G1796" r:id="rId1749" xr:uid="{00000000-0004-0000-0100-00009B090000}"/>
    <hyperlink ref="G1797" r:id="rId1750" xr:uid="{00000000-0004-0000-0100-00009D090000}"/>
    <hyperlink ref="G1798" r:id="rId1751" xr:uid="{00000000-0004-0000-0100-00009E090000}"/>
    <hyperlink ref="G1800" r:id="rId1752" xr:uid="{00000000-0004-0000-0100-0000A0090000}"/>
    <hyperlink ref="G1801" r:id="rId1753" xr:uid="{00000000-0004-0000-0100-0000A1090000}"/>
    <hyperlink ref="G1802" r:id="rId1754" xr:uid="{00000000-0004-0000-0100-0000A2090000}"/>
    <hyperlink ref="G1803" r:id="rId1755" xr:uid="{00000000-0004-0000-0100-0000A3090000}"/>
    <hyperlink ref="G1804" r:id="rId1756" xr:uid="{00000000-0004-0000-0100-0000A4090000}"/>
    <hyperlink ref="G1805" r:id="rId1757" xr:uid="{00000000-0004-0000-0100-0000A5090000}"/>
    <hyperlink ref="G1806" r:id="rId1758" xr:uid="{00000000-0004-0000-0100-0000A7090000}"/>
    <hyperlink ref="G1807" r:id="rId1759" xr:uid="{00000000-0004-0000-0100-0000A8090000}"/>
    <hyperlink ref="F1808" r:id="rId1760" xr:uid="{00000000-0004-0000-0100-0000A9090000}"/>
    <hyperlink ref="S1808" r:id="rId1761" xr:uid="{00000000-0004-0000-0100-0000AA090000}"/>
    <hyperlink ref="G1809" r:id="rId1762" xr:uid="{00000000-0004-0000-0100-0000AB090000}"/>
    <hyperlink ref="S1809" r:id="rId1763" xr:uid="{00000000-0004-0000-0100-0000AC090000}"/>
    <hyperlink ref="G1810" r:id="rId1764" xr:uid="{00000000-0004-0000-0100-0000AD090000}"/>
    <hyperlink ref="G1811" r:id="rId1765" xr:uid="{00000000-0004-0000-0100-0000AE090000}"/>
    <hyperlink ref="G1812" r:id="rId1766" xr:uid="{00000000-0004-0000-0100-0000AF090000}"/>
    <hyperlink ref="G1813" r:id="rId1767" xr:uid="{00000000-0004-0000-0100-0000B0090000}"/>
    <hyperlink ref="F1814" r:id="rId1768" xr:uid="{00000000-0004-0000-0100-0000B1090000}"/>
    <hyperlink ref="G1815" r:id="rId1769" xr:uid="{00000000-0004-0000-0100-0000B2090000}"/>
    <hyperlink ref="G1816" r:id="rId1770" xr:uid="{00000000-0004-0000-0100-0000B3090000}"/>
    <hyperlink ref="G1817" r:id="rId1771" xr:uid="{00000000-0004-0000-0100-0000B4090000}"/>
    <hyperlink ref="G1818" r:id="rId1772" xr:uid="{00000000-0004-0000-0100-0000B5090000}"/>
    <hyperlink ref="G1819" r:id="rId1773" xr:uid="{00000000-0004-0000-0100-0000B6090000}"/>
    <hyperlink ref="G1820" r:id="rId1774" xr:uid="{00000000-0004-0000-0100-0000B7090000}"/>
    <hyperlink ref="G1821" r:id="rId1775" xr:uid="{00000000-0004-0000-0100-0000B8090000}"/>
    <hyperlink ref="G1822" r:id="rId1776" xr:uid="{00000000-0004-0000-0100-0000B9090000}"/>
    <hyperlink ref="G1823" r:id="rId1777" xr:uid="{00000000-0004-0000-0100-0000BA090000}"/>
    <hyperlink ref="G1824" r:id="rId1778" xr:uid="{00000000-0004-0000-0100-0000BB090000}"/>
    <hyperlink ref="G1826" r:id="rId1779" xr:uid="{00000000-0004-0000-0100-0000BC090000}"/>
    <hyperlink ref="G1827" r:id="rId1780" xr:uid="{00000000-0004-0000-0100-0000BD090000}"/>
    <hyperlink ref="G1828" r:id="rId1781" xr:uid="{00000000-0004-0000-0100-0000BE090000}"/>
    <hyperlink ref="G1829" r:id="rId1782" xr:uid="{00000000-0004-0000-0100-0000BF090000}"/>
    <hyperlink ref="G1830" r:id="rId1783" xr:uid="{00000000-0004-0000-0100-0000C0090000}"/>
    <hyperlink ref="G1831" r:id="rId1784" xr:uid="{00000000-0004-0000-0100-0000C1090000}"/>
    <hyperlink ref="G1832" r:id="rId1785" xr:uid="{00000000-0004-0000-0100-0000C2090000}"/>
    <hyperlink ref="G1833" r:id="rId1786" xr:uid="{00000000-0004-0000-0100-0000C3090000}"/>
    <hyperlink ref="G1834" r:id="rId1787" xr:uid="{00000000-0004-0000-0100-0000C4090000}"/>
    <hyperlink ref="S1835" r:id="rId1788" xr:uid="{00000000-0004-0000-0100-0000C5090000}"/>
    <hyperlink ref="G1836" r:id="rId1789" xr:uid="{00000000-0004-0000-0100-0000C6090000}"/>
    <hyperlink ref="G1837" r:id="rId1790" xr:uid="{00000000-0004-0000-0100-0000C7090000}"/>
    <hyperlink ref="G1838" r:id="rId1791" xr:uid="{00000000-0004-0000-0100-0000C8090000}"/>
    <hyperlink ref="G1839" r:id="rId1792" xr:uid="{00000000-0004-0000-0100-0000C9090000}"/>
    <hyperlink ref="G1840" r:id="rId1793" xr:uid="{00000000-0004-0000-0100-0000CA090000}"/>
    <hyperlink ref="G1841" r:id="rId1794" xr:uid="{00000000-0004-0000-0100-0000CB090000}"/>
    <hyperlink ref="G1842" r:id="rId1795" xr:uid="{00000000-0004-0000-0100-0000CC090000}"/>
    <hyperlink ref="G1843" r:id="rId1796" xr:uid="{00000000-0004-0000-0100-0000CD090000}"/>
    <hyperlink ref="G1844" r:id="rId1797" xr:uid="{00000000-0004-0000-0100-0000CE090000}"/>
    <hyperlink ref="G1845" r:id="rId1798" xr:uid="{00000000-0004-0000-0100-0000CF090000}"/>
    <hyperlink ref="G1846" r:id="rId1799" xr:uid="{00000000-0004-0000-0100-0000D0090000}"/>
    <hyperlink ref="S1847" r:id="rId1800" xr:uid="{00000000-0004-0000-0100-0000D1090000}"/>
    <hyperlink ref="G1848" r:id="rId1801" xr:uid="{00000000-0004-0000-0100-0000D2090000}"/>
    <hyperlink ref="G1849" r:id="rId1802" xr:uid="{00000000-0004-0000-0100-0000D3090000}"/>
    <hyperlink ref="G1850" r:id="rId1803" xr:uid="{00000000-0004-0000-0100-0000D4090000}"/>
    <hyperlink ref="G1851" r:id="rId1804" xr:uid="{00000000-0004-0000-0100-0000D5090000}"/>
    <hyperlink ref="G1853" r:id="rId1805" xr:uid="{00000000-0004-0000-0100-0000D6090000}"/>
    <hyperlink ref="G1854" r:id="rId1806" xr:uid="{00000000-0004-0000-0100-0000D7090000}"/>
    <hyperlink ref="G1855" r:id="rId1807" xr:uid="{00000000-0004-0000-0100-0000D8090000}"/>
    <hyperlink ref="G1856" r:id="rId1808" xr:uid="{00000000-0004-0000-0100-0000D9090000}"/>
    <hyperlink ref="G1857" r:id="rId1809" xr:uid="{00000000-0004-0000-0100-0000DA090000}"/>
    <hyperlink ref="G1858" r:id="rId1810" xr:uid="{00000000-0004-0000-0100-0000DB090000}"/>
    <hyperlink ref="G1859" r:id="rId1811" xr:uid="{00000000-0004-0000-0100-0000DC090000}"/>
    <hyperlink ref="G1860" r:id="rId1812" xr:uid="{00000000-0004-0000-0100-0000DD090000}"/>
    <hyperlink ref="G1861" r:id="rId1813" xr:uid="{00000000-0004-0000-0100-0000DE090000}"/>
    <hyperlink ref="G1862" r:id="rId1814" xr:uid="{00000000-0004-0000-0100-0000DF090000}"/>
    <hyperlink ref="G1863" r:id="rId1815" xr:uid="{00000000-0004-0000-0100-0000E0090000}"/>
    <hyperlink ref="G1864" r:id="rId1816" xr:uid="{00000000-0004-0000-0100-0000E1090000}"/>
    <hyperlink ref="G1865" r:id="rId1817" xr:uid="{00000000-0004-0000-0100-0000E2090000}"/>
    <hyperlink ref="G1866" r:id="rId1818" xr:uid="{00000000-0004-0000-0100-0000E3090000}"/>
    <hyperlink ref="G1867" r:id="rId1819" xr:uid="{00000000-0004-0000-0100-0000E4090000}"/>
    <hyperlink ref="G1868" r:id="rId1820" xr:uid="{00000000-0004-0000-0100-0000E5090000}"/>
    <hyperlink ref="G1869" r:id="rId1821" xr:uid="{00000000-0004-0000-0100-0000E8090000}"/>
    <hyperlink ref="G1870" r:id="rId1822" xr:uid="{00000000-0004-0000-0100-0000E9090000}"/>
    <hyperlink ref="G1871" r:id="rId1823" xr:uid="{00000000-0004-0000-0100-0000EA090000}"/>
    <hyperlink ref="F1872" r:id="rId1824" xr:uid="{00000000-0004-0000-0100-0000EB090000}"/>
    <hyperlink ref="G1873" r:id="rId1825" xr:uid="{00000000-0004-0000-0100-0000EC090000}"/>
    <hyperlink ref="F1874" r:id="rId1826" xr:uid="{00000000-0004-0000-0100-0000ED090000}"/>
    <hyperlink ref="G1875" r:id="rId1827" xr:uid="{00000000-0004-0000-0100-0000EE090000}"/>
    <hyperlink ref="G1876" r:id="rId1828" xr:uid="{00000000-0004-0000-0100-0000EF090000}"/>
    <hyperlink ref="G1877" r:id="rId1829" xr:uid="{00000000-0004-0000-0100-0000F0090000}"/>
    <hyperlink ref="G1878" r:id="rId1830" xr:uid="{00000000-0004-0000-0100-0000F1090000}"/>
    <hyperlink ref="G1879" r:id="rId1831" xr:uid="{00000000-0004-0000-0100-0000F2090000}"/>
    <hyperlink ref="G1880" r:id="rId1832" xr:uid="{00000000-0004-0000-0100-0000F3090000}"/>
    <hyperlink ref="G1881" r:id="rId1833" xr:uid="{00000000-0004-0000-0100-0000F4090000}"/>
    <hyperlink ref="G1882" r:id="rId1834" xr:uid="{00000000-0004-0000-0100-0000F5090000}"/>
    <hyperlink ref="G1883" r:id="rId1835" xr:uid="{00000000-0004-0000-0100-0000F6090000}"/>
    <hyperlink ref="G1884" r:id="rId1836" xr:uid="{00000000-0004-0000-0100-0000F7090000}"/>
    <hyperlink ref="G1885" r:id="rId1837" xr:uid="{00000000-0004-0000-0100-0000F9090000}"/>
    <hyperlink ref="F1886" r:id="rId1838" xr:uid="{00000000-0004-0000-0100-0000FA090000}"/>
    <hyperlink ref="G1887" r:id="rId1839" xr:uid="{00000000-0004-0000-0100-0000FC090000}"/>
    <hyperlink ref="G1888" r:id="rId1840" xr:uid="{00000000-0004-0000-0100-0000FD090000}"/>
    <hyperlink ref="G1889" r:id="rId1841" xr:uid="{00000000-0004-0000-0100-0000FE090000}"/>
    <hyperlink ref="G1890" r:id="rId1842" xr:uid="{00000000-0004-0000-0100-0000FF090000}"/>
    <hyperlink ref="G1891" r:id="rId1843" xr:uid="{00000000-0004-0000-0100-0000000A0000}"/>
    <hyperlink ref="G1892" r:id="rId1844" xr:uid="{00000000-0004-0000-0100-0000010A0000}"/>
    <hyperlink ref="G1893" r:id="rId1845" xr:uid="{00000000-0004-0000-0100-0000020A0000}"/>
    <hyperlink ref="G1894" r:id="rId1846" xr:uid="{00000000-0004-0000-0100-0000030A0000}"/>
    <hyperlink ref="G1895" r:id="rId1847" xr:uid="{00000000-0004-0000-0100-0000040A0000}"/>
    <hyperlink ref="G1896" r:id="rId1848" xr:uid="{00000000-0004-0000-0100-0000050A0000}"/>
    <hyperlink ref="G1897" r:id="rId1849" xr:uid="{00000000-0004-0000-0100-0000060A0000}"/>
    <hyperlink ref="G1898" r:id="rId1850" xr:uid="{00000000-0004-0000-0100-0000070A0000}"/>
    <hyperlink ref="G1899" r:id="rId1851" xr:uid="{00000000-0004-0000-0100-0000080A0000}"/>
    <hyperlink ref="G1900" r:id="rId1852" xr:uid="{00000000-0004-0000-0100-0000090A0000}"/>
    <hyperlink ref="G1901" r:id="rId1853" xr:uid="{00000000-0004-0000-0100-00000A0A0000}"/>
    <hyperlink ref="G1902" r:id="rId1854" xr:uid="{00000000-0004-0000-0100-00000B0A0000}"/>
    <hyperlink ref="G1903" r:id="rId1855" xr:uid="{00000000-0004-0000-0100-00000C0A0000}"/>
    <hyperlink ref="G1904" r:id="rId1856" xr:uid="{00000000-0004-0000-0100-00000D0A0000}"/>
    <hyperlink ref="G1905" r:id="rId1857" xr:uid="{00000000-0004-0000-0100-00000E0A0000}"/>
    <hyperlink ref="G1906" r:id="rId1858" xr:uid="{00000000-0004-0000-0100-00000F0A0000}"/>
    <hyperlink ref="G1907" r:id="rId1859" xr:uid="{00000000-0004-0000-0100-0000110A0000}"/>
    <hyperlink ref="G1908" r:id="rId1860" xr:uid="{00000000-0004-0000-0100-0000120A0000}"/>
    <hyperlink ref="G1909" r:id="rId1861" xr:uid="{00000000-0004-0000-0100-0000130A0000}"/>
    <hyperlink ref="G1910" r:id="rId1862" xr:uid="{00000000-0004-0000-0100-0000140A0000}"/>
    <hyperlink ref="G1911" r:id="rId1863" xr:uid="{00000000-0004-0000-0100-0000150A0000}"/>
    <hyperlink ref="G1912" r:id="rId1864" xr:uid="{00000000-0004-0000-0100-0000160A0000}"/>
    <hyperlink ref="G1913" r:id="rId1865" xr:uid="{00000000-0004-0000-0100-0000170A0000}"/>
    <hyperlink ref="G1914" r:id="rId1866" xr:uid="{00000000-0004-0000-0100-0000180A0000}"/>
    <hyperlink ref="F1915" r:id="rId1867" xr:uid="{00000000-0004-0000-0100-0000190A0000}"/>
    <hyperlink ref="S1915" r:id="rId1868" xr:uid="{00000000-0004-0000-0100-00001A0A0000}"/>
    <hyperlink ref="G1916" r:id="rId1869" xr:uid="{00000000-0004-0000-0100-00001B0A0000}"/>
    <hyperlink ref="G1918" r:id="rId1870" xr:uid="{00000000-0004-0000-0100-00001C0A0000}"/>
    <hyperlink ref="G1919" r:id="rId1871" xr:uid="{00000000-0004-0000-0100-00001D0A0000}"/>
    <hyperlink ref="G1920" r:id="rId1872" xr:uid="{00000000-0004-0000-0100-00001E0A0000}"/>
    <hyperlink ref="G1921" r:id="rId1873" xr:uid="{00000000-0004-0000-0100-00001F0A0000}"/>
    <hyperlink ref="G1922" r:id="rId1874" xr:uid="{00000000-0004-0000-0100-0000200A0000}"/>
    <hyperlink ref="G1923" r:id="rId1875" xr:uid="{00000000-0004-0000-0100-0000210A0000}"/>
    <hyperlink ref="G1924" r:id="rId1876" xr:uid="{00000000-0004-0000-0100-0000240A0000}"/>
    <hyperlink ref="G1925" r:id="rId1877" xr:uid="{00000000-0004-0000-0100-0000250A0000}"/>
    <hyperlink ref="F1926" r:id="rId1878" xr:uid="{00000000-0004-0000-0100-0000260A0000}"/>
    <hyperlink ref="G1926" r:id="rId1879" xr:uid="{00000000-0004-0000-0100-0000270A0000}"/>
    <hyperlink ref="G1927" r:id="rId1880" xr:uid="{00000000-0004-0000-0100-0000280A0000}"/>
    <hyperlink ref="G1928" r:id="rId1881" xr:uid="{00000000-0004-0000-0100-0000290A0000}"/>
    <hyperlink ref="G1929" r:id="rId1882" xr:uid="{00000000-0004-0000-0100-00002A0A0000}"/>
    <hyperlink ref="G1930" r:id="rId1883" xr:uid="{00000000-0004-0000-0100-00002B0A0000}"/>
    <hyperlink ref="G1931" r:id="rId1884" xr:uid="{00000000-0004-0000-0100-00002C0A0000}"/>
    <hyperlink ref="G1932" r:id="rId1885" xr:uid="{00000000-0004-0000-0100-00002D0A0000}"/>
    <hyperlink ref="G1933" r:id="rId1886" xr:uid="{00000000-0004-0000-0100-00002E0A0000}"/>
    <hyperlink ref="G1934" r:id="rId1887" xr:uid="{00000000-0004-0000-0100-00002F0A0000}"/>
    <hyperlink ref="G1935" r:id="rId1888" xr:uid="{00000000-0004-0000-0100-0000300A0000}"/>
    <hyperlink ref="G1936" r:id="rId1889" xr:uid="{00000000-0004-0000-0100-0000310A0000}"/>
    <hyperlink ref="G1937" r:id="rId1890" xr:uid="{00000000-0004-0000-0100-0000320A0000}"/>
    <hyperlink ref="G1938" r:id="rId1891" xr:uid="{00000000-0004-0000-0100-0000330A0000}"/>
    <hyperlink ref="G1939" r:id="rId1892" xr:uid="{00000000-0004-0000-0100-0000340A0000}"/>
    <hyperlink ref="G1940" r:id="rId1893" xr:uid="{00000000-0004-0000-0100-0000350A0000}"/>
    <hyperlink ref="G1941" r:id="rId1894" xr:uid="{00000000-0004-0000-0100-0000360A0000}"/>
    <hyperlink ref="G1942" r:id="rId1895" xr:uid="{00000000-0004-0000-0100-0000370A0000}"/>
    <hyperlink ref="G1943" r:id="rId1896" xr:uid="{00000000-0004-0000-0100-0000380A0000}"/>
    <hyperlink ref="G1944" r:id="rId1897" xr:uid="{00000000-0004-0000-0100-0000390A0000}"/>
    <hyperlink ref="G1945" r:id="rId1898" xr:uid="{00000000-0004-0000-0100-00003A0A0000}"/>
    <hyperlink ref="G1946" r:id="rId1899" xr:uid="{00000000-0004-0000-0100-00003B0A0000}"/>
    <hyperlink ref="G1947" r:id="rId1900" xr:uid="{00000000-0004-0000-0100-00003C0A0000}"/>
    <hyperlink ref="G1948" r:id="rId1901" xr:uid="{00000000-0004-0000-0100-00003D0A0000}"/>
    <hyperlink ref="G1949" r:id="rId1902" xr:uid="{00000000-0004-0000-0100-00003E0A0000}"/>
    <hyperlink ref="G1950" r:id="rId1903" xr:uid="{00000000-0004-0000-0100-00003F0A0000}"/>
    <hyperlink ref="G1951" r:id="rId1904" xr:uid="{00000000-0004-0000-0100-0000400A0000}"/>
    <hyperlink ref="G1952" r:id="rId1905" xr:uid="{00000000-0004-0000-0100-0000410A0000}"/>
    <hyperlink ref="G1953" r:id="rId1906" xr:uid="{00000000-0004-0000-0100-0000420A0000}"/>
    <hyperlink ref="G1954" r:id="rId1907" xr:uid="{00000000-0004-0000-0100-0000430A0000}"/>
    <hyperlink ref="G1955" r:id="rId1908" xr:uid="{00000000-0004-0000-0100-0000440A0000}"/>
    <hyperlink ref="G1956" r:id="rId1909" xr:uid="{00000000-0004-0000-0100-0000450A0000}"/>
    <hyperlink ref="G1957" r:id="rId1910" xr:uid="{00000000-0004-0000-0100-0000460A0000}"/>
    <hyperlink ref="G1958" r:id="rId1911" xr:uid="{00000000-0004-0000-0100-0000470A0000}"/>
    <hyperlink ref="G1959" r:id="rId1912" xr:uid="{00000000-0004-0000-0100-0000480A0000}"/>
    <hyperlink ref="G1960" r:id="rId1913" xr:uid="{00000000-0004-0000-0100-0000490A0000}"/>
    <hyperlink ref="G1961" r:id="rId1914" xr:uid="{00000000-0004-0000-0100-00004A0A0000}"/>
    <hyperlink ref="G1962" r:id="rId1915" xr:uid="{00000000-0004-0000-0100-00004B0A0000}"/>
    <hyperlink ref="G1963" r:id="rId1916" xr:uid="{00000000-0004-0000-0100-00004C0A0000}"/>
    <hyperlink ref="G1964" r:id="rId1917" xr:uid="{00000000-0004-0000-0100-00004D0A0000}"/>
    <hyperlink ref="G1965" r:id="rId1918" xr:uid="{00000000-0004-0000-0100-00004E0A0000}"/>
    <hyperlink ref="G1966" r:id="rId1919" xr:uid="{00000000-0004-0000-0100-00004F0A0000}"/>
    <hyperlink ref="G1967" r:id="rId1920" xr:uid="{00000000-0004-0000-0100-0000500A0000}"/>
    <hyperlink ref="G1968" r:id="rId1921" xr:uid="{00000000-0004-0000-0100-0000510A0000}"/>
    <hyperlink ref="G1969" r:id="rId1922" xr:uid="{00000000-0004-0000-0100-0000520A0000}"/>
    <hyperlink ref="G1970" r:id="rId1923" xr:uid="{00000000-0004-0000-0100-0000530A0000}"/>
    <hyperlink ref="G1971" r:id="rId1924" xr:uid="{00000000-0004-0000-0100-0000540A0000}"/>
    <hyperlink ref="G1972" r:id="rId1925" xr:uid="{00000000-0004-0000-0100-0000550A0000}"/>
    <hyperlink ref="G1974" r:id="rId1926" xr:uid="{00000000-0004-0000-0100-0000560A0000}"/>
    <hyperlink ref="G1975" r:id="rId1927" xr:uid="{00000000-0004-0000-0100-0000570A0000}"/>
    <hyperlink ref="G1976" r:id="rId1928" xr:uid="{00000000-0004-0000-0100-0000580A0000}"/>
    <hyperlink ref="G1977" r:id="rId1929" xr:uid="{00000000-0004-0000-0100-0000590A0000}"/>
    <hyperlink ref="G1978" r:id="rId1930" xr:uid="{00000000-0004-0000-0100-00005A0A0000}"/>
    <hyperlink ref="G1979" r:id="rId1931" xr:uid="{00000000-0004-0000-0100-00005B0A0000}"/>
    <hyperlink ref="G1980" r:id="rId1932" xr:uid="{00000000-0004-0000-0100-00005D0A0000}"/>
    <hyperlink ref="G1981" r:id="rId1933" xr:uid="{00000000-0004-0000-0100-00005E0A0000}"/>
    <hyperlink ref="G1983" r:id="rId1934" xr:uid="{00000000-0004-0000-0100-00005F0A0000}"/>
    <hyperlink ref="G1984" r:id="rId1935" xr:uid="{00000000-0004-0000-0100-0000600A0000}"/>
    <hyperlink ref="G1985" r:id="rId1936" xr:uid="{00000000-0004-0000-0100-0000610A0000}"/>
    <hyperlink ref="G1986" r:id="rId1937" xr:uid="{00000000-0004-0000-0100-0000630A0000}"/>
    <hyperlink ref="G1987" r:id="rId1938" xr:uid="{00000000-0004-0000-0100-0000640A0000}"/>
    <hyperlink ref="G1988" r:id="rId1939" xr:uid="{00000000-0004-0000-0100-0000650A0000}"/>
    <hyperlink ref="G1989" r:id="rId1940" xr:uid="{00000000-0004-0000-0100-0000660A0000}"/>
    <hyperlink ref="G1990" r:id="rId1941" xr:uid="{00000000-0004-0000-0100-0000670A0000}"/>
    <hyperlink ref="G1991" r:id="rId1942" xr:uid="{00000000-0004-0000-0100-0000680A0000}"/>
    <hyperlink ref="G1992" r:id="rId1943" xr:uid="{00000000-0004-0000-0100-0000690A0000}"/>
    <hyperlink ref="G1993" r:id="rId1944" xr:uid="{00000000-0004-0000-0100-00006A0A0000}"/>
    <hyperlink ref="G1994" r:id="rId1945" xr:uid="{00000000-0004-0000-0100-00006B0A0000}"/>
    <hyperlink ref="G1995" r:id="rId1946" xr:uid="{00000000-0004-0000-0100-00006D0A0000}"/>
    <hyperlink ref="G1996" r:id="rId1947" xr:uid="{00000000-0004-0000-0100-0000770A0000}"/>
    <hyperlink ref="G1997" r:id="rId1948" xr:uid="{00000000-0004-0000-0100-0000780A0000}"/>
    <hyperlink ref="G1999" r:id="rId1949" xr:uid="{00000000-0004-0000-0100-0000790A0000}"/>
    <hyperlink ref="G2000" r:id="rId1950" xr:uid="{00000000-0004-0000-0100-00007A0A0000}"/>
    <hyperlink ref="G2001" r:id="rId1951" xr:uid="{00000000-0004-0000-0100-00007B0A0000}"/>
    <hyperlink ref="G2002" r:id="rId1952" xr:uid="{00000000-0004-0000-0100-00007C0A0000}"/>
    <hyperlink ref="S2003" r:id="rId1953" xr:uid="{00000000-0004-0000-0100-00007D0A0000}"/>
    <hyperlink ref="S2004" r:id="rId1954" xr:uid="{00000000-0004-0000-0100-00007E0A0000}"/>
    <hyperlink ref="G2006" r:id="rId1955" xr:uid="{00000000-0004-0000-0100-0000810A0000}"/>
    <hyperlink ref="G2008" r:id="rId1956" xr:uid="{00000000-0004-0000-0100-0000820A0000}"/>
    <hyperlink ref="G2009" r:id="rId1957" xr:uid="{00000000-0004-0000-0100-0000830A0000}"/>
    <hyperlink ref="G2010" r:id="rId1958" xr:uid="{00000000-0004-0000-0100-0000840A0000}"/>
    <hyperlink ref="G2011" r:id="rId1959" xr:uid="{00000000-0004-0000-0100-0000870A0000}"/>
    <hyperlink ref="G2013" r:id="rId1960" xr:uid="{00000000-0004-0000-0100-0000880A0000}"/>
    <hyperlink ref="G2014" r:id="rId1961" xr:uid="{00000000-0004-0000-0100-0000890A0000}"/>
    <hyperlink ref="G2015" r:id="rId1962" xr:uid="{00000000-0004-0000-0100-00008A0A0000}"/>
    <hyperlink ref="G2016" r:id="rId1963" xr:uid="{00000000-0004-0000-0100-00008B0A0000}"/>
    <hyperlink ref="G2018" r:id="rId1964" xr:uid="{00000000-0004-0000-0100-00008E0A0000}"/>
    <hyperlink ref="G2019" r:id="rId1965" xr:uid="{00000000-0004-0000-0100-00008F0A0000}"/>
    <hyperlink ref="G2020" r:id="rId1966" xr:uid="{00000000-0004-0000-0100-0000900A0000}"/>
    <hyperlink ref="G2021" r:id="rId1967" xr:uid="{00000000-0004-0000-0100-00009B0A0000}"/>
    <hyperlink ref="G2022" r:id="rId1968" xr:uid="{00000000-0004-0000-0100-00009C0A0000}"/>
    <hyperlink ref="G2023" r:id="rId1969" xr:uid="{00000000-0004-0000-0100-00009D0A0000}"/>
    <hyperlink ref="G2024" r:id="rId1970" xr:uid="{00000000-0004-0000-0100-00009F0A0000}"/>
    <hyperlink ref="G2025" r:id="rId1971" xr:uid="{00000000-0004-0000-0100-0000A00A0000}"/>
    <hyperlink ref="G2026" r:id="rId1972" xr:uid="{00000000-0004-0000-0100-0000A20A0000}"/>
    <hyperlink ref="G2028" r:id="rId1973" xr:uid="{00000000-0004-0000-0100-0000A30A0000}"/>
    <hyperlink ref="G2029" r:id="rId1974" xr:uid="{00000000-0004-0000-0100-0000A40A0000}"/>
    <hyperlink ref="G2030" r:id="rId1975" xr:uid="{00000000-0004-0000-0100-0000A50A0000}"/>
    <hyperlink ref="G2031" r:id="rId1976" xr:uid="{00000000-0004-0000-0100-0000AD0A0000}"/>
    <hyperlink ref="G2032" r:id="rId1977" xr:uid="{00000000-0004-0000-0100-0000AE0A0000}"/>
    <hyperlink ref="G2033" r:id="rId1978" xr:uid="{00000000-0004-0000-0100-0000AF0A0000}"/>
    <hyperlink ref="G2034" r:id="rId1979" xr:uid="{00000000-0004-0000-0100-0000B00A0000}"/>
    <hyperlink ref="G2035" r:id="rId1980" xr:uid="{00000000-0004-0000-0100-0000B20A0000}"/>
    <hyperlink ref="F2036" r:id="rId1981" xr:uid="{00000000-0004-0000-0100-0000B30A0000}"/>
    <hyperlink ref="S2037" r:id="rId1982" xr:uid="{00000000-0004-0000-0100-0000B40A0000}"/>
    <hyperlink ref="G2038" r:id="rId1983" xr:uid="{00000000-0004-0000-0100-0000B50A0000}"/>
    <hyperlink ref="G2039" r:id="rId1984" xr:uid="{00000000-0004-0000-0100-0000B80A0000}"/>
    <hyperlink ref="G2040" r:id="rId1985" xr:uid="{00000000-0004-0000-0100-0000B90A0000}"/>
    <hyperlink ref="G2041" r:id="rId1986" xr:uid="{00000000-0004-0000-0100-0000BB0A0000}"/>
    <hyperlink ref="G2042" r:id="rId1987" xr:uid="{00000000-0004-0000-0100-0000BC0A0000}"/>
    <hyperlink ref="G2043" r:id="rId1988" xr:uid="{00000000-0004-0000-0100-0000BD0A0000}"/>
    <hyperlink ref="G2044" r:id="rId1989" xr:uid="{00000000-0004-0000-0100-0000C20A0000}"/>
    <hyperlink ref="G2045" r:id="rId1990" xr:uid="{00000000-0004-0000-0100-0000C30A0000}"/>
    <hyperlink ref="G2046" r:id="rId1991" xr:uid="{00000000-0004-0000-0100-0000C50A0000}"/>
    <hyperlink ref="G2047" r:id="rId1992" xr:uid="{00000000-0004-0000-0100-0000C80A0000}"/>
    <hyperlink ref="G2048" r:id="rId1993" xr:uid="{00000000-0004-0000-0100-0000CB0A0000}"/>
    <hyperlink ref="G2049" r:id="rId1994" xr:uid="{00000000-0004-0000-0100-0000CD0A0000}"/>
    <hyperlink ref="G2051" r:id="rId1995" xr:uid="{00000000-0004-0000-0100-0000D40A0000}"/>
    <hyperlink ref="G2052" r:id="rId1996" xr:uid="{00000000-0004-0000-0100-0000D50A0000}"/>
    <hyperlink ref="G2053" r:id="rId1997" xr:uid="{00000000-0004-0000-0100-0000D80A0000}"/>
    <hyperlink ref="G2054" r:id="rId1998" xr:uid="{00000000-0004-0000-0100-0000DA0A0000}"/>
    <hyperlink ref="G2055" r:id="rId1999" xr:uid="{00000000-0004-0000-0100-0000DB0A0000}"/>
    <hyperlink ref="G2056" r:id="rId2000" xr:uid="{00000000-0004-0000-0100-0000DE0A0000}"/>
    <hyperlink ref="G2057" r:id="rId2001" xr:uid="{00000000-0004-0000-0100-0000DF0A0000}"/>
    <hyperlink ref="G2058" r:id="rId2002" xr:uid="{00000000-0004-0000-0100-0000E80A0000}"/>
    <hyperlink ref="G2059" r:id="rId2003" xr:uid="{00000000-0004-0000-0100-0000E90A0000}"/>
    <hyperlink ref="G2060" r:id="rId2004" xr:uid="{00000000-0004-0000-0100-0000EA0A0000}"/>
    <hyperlink ref="G2061" r:id="rId2005" xr:uid="{00000000-0004-0000-0100-0000EB0A0000}"/>
    <hyperlink ref="G2062" r:id="rId2006" xr:uid="{00000000-0004-0000-0100-0000ED0A0000}"/>
    <hyperlink ref="G2063" r:id="rId2007" xr:uid="{00000000-0004-0000-0100-0000EE0A0000}"/>
    <hyperlink ref="G2064" r:id="rId2008" xr:uid="{00000000-0004-0000-0100-0000EF0A0000}"/>
    <hyperlink ref="G2065" r:id="rId2009" xr:uid="{00000000-0004-0000-0100-0000F10A0000}"/>
    <hyperlink ref="G2066" r:id="rId2010" xr:uid="{00000000-0004-0000-0100-0000F20A0000}"/>
    <hyperlink ref="G2067" r:id="rId2011" xr:uid="{00000000-0004-0000-0100-0000F30A0000}"/>
    <hyperlink ref="G2068" r:id="rId2012" xr:uid="{00000000-0004-0000-0100-0000F50A0000}"/>
    <hyperlink ref="G2069" r:id="rId2013" xr:uid="{00000000-0004-0000-0100-0000F70A0000}"/>
    <hyperlink ref="G2070" r:id="rId2014" xr:uid="{00000000-0004-0000-0100-0000F80A0000}"/>
    <hyperlink ref="G2071" r:id="rId2015" xr:uid="{00000000-0004-0000-0100-0000F90A0000}"/>
    <hyperlink ref="G2072" r:id="rId2016" xr:uid="{00000000-0004-0000-0100-0000FB0A0000}"/>
    <hyperlink ref="G2073" r:id="rId2017" xr:uid="{00000000-0004-0000-0100-0000FC0A0000}"/>
    <hyperlink ref="G2074" r:id="rId2018" xr:uid="{00000000-0004-0000-0100-0000FD0A0000}"/>
    <hyperlink ref="G2075" r:id="rId2019" xr:uid="{00000000-0004-0000-0100-0000FE0A0000}"/>
    <hyperlink ref="G2077" r:id="rId2020" xr:uid="{00000000-0004-0000-0100-0000FF0A0000}"/>
    <hyperlink ref="G2078" r:id="rId2021" xr:uid="{00000000-0004-0000-0100-0000000B0000}"/>
    <hyperlink ref="G2079" r:id="rId2022" xr:uid="{00000000-0004-0000-0100-0000010B0000}"/>
    <hyperlink ref="G2080" r:id="rId2023" xr:uid="{00000000-0004-0000-0100-0000020B0000}"/>
    <hyperlink ref="G2081" r:id="rId2024" xr:uid="{00000000-0004-0000-0100-0000030B0000}"/>
    <hyperlink ref="G2082" r:id="rId2025" xr:uid="{00000000-0004-0000-0100-0000050B0000}"/>
    <hyperlink ref="G2083" r:id="rId2026" xr:uid="{00000000-0004-0000-0100-0000060B0000}"/>
    <hyperlink ref="G2085" r:id="rId2027" xr:uid="{00000000-0004-0000-0100-0000080B0000}"/>
    <hyperlink ref="G2086" r:id="rId2028" xr:uid="{00000000-0004-0000-0100-0000090B0000}"/>
    <hyperlink ref="G2087" r:id="rId2029" xr:uid="{00000000-0004-0000-0100-00000A0B0000}"/>
    <hyperlink ref="G2088" r:id="rId2030" xr:uid="{00000000-0004-0000-0100-00000B0B0000}"/>
    <hyperlink ref="G2089" r:id="rId2031" xr:uid="{00000000-0004-0000-0100-00000C0B0000}"/>
    <hyperlink ref="G2090" r:id="rId2032" xr:uid="{00000000-0004-0000-0100-00000D0B0000}"/>
    <hyperlink ref="G2091" r:id="rId2033" xr:uid="{00000000-0004-0000-0100-00000E0B0000}"/>
    <hyperlink ref="G2092" r:id="rId2034" xr:uid="{00000000-0004-0000-0100-0000110B0000}"/>
    <hyperlink ref="G2093" r:id="rId2035" xr:uid="{00000000-0004-0000-0100-0000120B0000}"/>
    <hyperlink ref="G2094" r:id="rId2036" xr:uid="{00000000-0004-0000-0100-0000130B0000}"/>
    <hyperlink ref="G2095" r:id="rId2037" xr:uid="{00000000-0004-0000-0100-0000140B0000}"/>
    <hyperlink ref="S2096" r:id="rId2038" xr:uid="{00000000-0004-0000-0100-0000150B0000}"/>
    <hyperlink ref="G2097" r:id="rId2039" xr:uid="{00000000-0004-0000-0100-0000160B0000}"/>
    <hyperlink ref="G2099" r:id="rId2040" xr:uid="{00000000-0004-0000-0100-00001D0B0000}"/>
    <hyperlink ref="G2100" r:id="rId2041" xr:uid="{00000000-0004-0000-0100-00001E0B0000}"/>
    <hyperlink ref="G2101" r:id="rId2042" xr:uid="{00000000-0004-0000-0100-0000210B0000}"/>
    <hyperlink ref="G2102" r:id="rId2043" xr:uid="{00000000-0004-0000-0100-0000220B0000}"/>
    <hyperlink ref="G2103" r:id="rId2044" xr:uid="{00000000-0004-0000-0100-0000230B0000}"/>
    <hyperlink ref="G2104" r:id="rId2045" xr:uid="{00000000-0004-0000-0100-0000240B0000}"/>
    <hyperlink ref="G2105" r:id="rId2046" xr:uid="{00000000-0004-0000-0100-0000250B0000}"/>
    <hyperlink ref="G2107" r:id="rId2047" xr:uid="{00000000-0004-0000-0100-0000260B0000}"/>
    <hyperlink ref="G2108" r:id="rId2048" xr:uid="{00000000-0004-0000-0100-0000270B0000}"/>
    <hyperlink ref="G2110" r:id="rId2049" xr:uid="{00000000-0004-0000-0100-00002B0B0000}"/>
    <hyperlink ref="G2111" r:id="rId2050" xr:uid="{00000000-0004-0000-0100-00002C0B0000}"/>
    <hyperlink ref="G2112" r:id="rId2051" xr:uid="{00000000-0004-0000-0100-00002D0B0000}"/>
    <hyperlink ref="G2113" r:id="rId2052" xr:uid="{00000000-0004-0000-0100-00002F0B0000}"/>
    <hyperlink ref="G2114" r:id="rId2053" xr:uid="{00000000-0004-0000-0100-0000300B0000}"/>
    <hyperlink ref="G2115" r:id="rId2054" xr:uid="{00000000-0004-0000-0100-0000320B0000}"/>
    <hyperlink ref="G2116" r:id="rId2055" xr:uid="{00000000-0004-0000-0100-0000330B0000}"/>
    <hyperlink ref="G2117" r:id="rId2056" xr:uid="{00000000-0004-0000-0100-0000340B0000}"/>
    <hyperlink ref="G2118" r:id="rId2057" xr:uid="{00000000-0004-0000-0100-0000360B0000}"/>
    <hyperlink ref="G2119" r:id="rId2058" xr:uid="{00000000-0004-0000-0100-0000370B0000}"/>
    <hyperlink ref="G2120" r:id="rId2059" xr:uid="{00000000-0004-0000-0100-0000380B0000}"/>
    <hyperlink ref="G2121" r:id="rId2060" xr:uid="{00000000-0004-0000-0100-00003A0B0000}"/>
    <hyperlink ref="G2122" r:id="rId2061" xr:uid="{00000000-0004-0000-0100-00003B0B0000}"/>
    <hyperlink ref="G2123" r:id="rId2062" xr:uid="{00000000-0004-0000-0100-00003D0B0000}"/>
    <hyperlink ref="G2124" r:id="rId2063" xr:uid="{00000000-0004-0000-0100-00003E0B0000}"/>
    <hyperlink ref="G2125" r:id="rId2064" xr:uid="{00000000-0004-0000-0100-0000400B0000}"/>
    <hyperlink ref="G2126" r:id="rId2065" xr:uid="{00000000-0004-0000-0100-0000420B0000}"/>
    <hyperlink ref="G2127" r:id="rId2066" xr:uid="{00000000-0004-0000-0100-0000460B0000}"/>
    <hyperlink ref="G2128" r:id="rId2067" xr:uid="{00000000-0004-0000-0100-0000480B0000}"/>
    <hyperlink ref="G2129" r:id="rId2068" xr:uid="{00000000-0004-0000-0100-0000490B0000}"/>
    <hyperlink ref="G2130" r:id="rId2069" xr:uid="{00000000-0004-0000-0100-00004A0B0000}"/>
    <hyperlink ref="G2131" r:id="rId2070" xr:uid="{00000000-0004-0000-0100-00004C0B0000}"/>
    <hyperlink ref="G2132" r:id="rId2071" xr:uid="{00000000-0004-0000-0100-00004D0B0000}"/>
    <hyperlink ref="G2133" r:id="rId2072" xr:uid="{00000000-0004-0000-0100-00004E0B0000}"/>
    <hyperlink ref="G2134" r:id="rId2073" xr:uid="{00000000-0004-0000-0100-00004F0B0000}"/>
    <hyperlink ref="G2135" r:id="rId2074" xr:uid="{00000000-0004-0000-0100-0000500B0000}"/>
    <hyperlink ref="G2136" r:id="rId2075" xr:uid="{00000000-0004-0000-0100-0000510B0000}"/>
    <hyperlink ref="G2137" r:id="rId2076" xr:uid="{00000000-0004-0000-0100-0000520B0000}"/>
    <hyperlink ref="G2138" r:id="rId2077" xr:uid="{00000000-0004-0000-0100-0000540B0000}"/>
    <hyperlink ref="G2139" r:id="rId2078" xr:uid="{00000000-0004-0000-0100-0000550B0000}"/>
    <hyperlink ref="F2140" r:id="rId2079" xr:uid="{00000000-0004-0000-0100-0000560B0000}"/>
    <hyperlink ref="G2140" r:id="rId2080" xr:uid="{00000000-0004-0000-0100-0000570B0000}"/>
    <hyperlink ref="G2141" r:id="rId2081" xr:uid="{00000000-0004-0000-0100-0000580B0000}"/>
    <hyperlink ref="G2142" r:id="rId2082" xr:uid="{00000000-0004-0000-0100-0000590B0000}"/>
    <hyperlink ref="G2143" r:id="rId2083" xr:uid="{00000000-0004-0000-0100-00005A0B0000}"/>
    <hyperlink ref="G2144" r:id="rId2084" xr:uid="{00000000-0004-0000-0100-00005B0B0000}"/>
    <hyperlink ref="G2145" r:id="rId2085" xr:uid="{00000000-0004-0000-0100-00005D0B0000}"/>
    <hyperlink ref="G2146" r:id="rId2086" xr:uid="{00000000-0004-0000-0100-00005E0B0000}"/>
    <hyperlink ref="G2147" r:id="rId2087" xr:uid="{00000000-0004-0000-0100-00005F0B0000}"/>
    <hyperlink ref="G2148" r:id="rId2088" xr:uid="{00000000-0004-0000-0100-0000600B0000}"/>
    <hyperlink ref="G2149" r:id="rId2089" xr:uid="{00000000-0004-0000-0100-0000620B0000}"/>
    <hyperlink ref="G2150" r:id="rId2090" xr:uid="{00000000-0004-0000-0100-0000630B0000}"/>
    <hyperlink ref="G2151" r:id="rId2091" xr:uid="{00000000-0004-0000-0100-0000640B0000}"/>
    <hyperlink ref="G2152" r:id="rId2092" xr:uid="{00000000-0004-0000-0100-0000670B0000}"/>
    <hyperlink ref="G2153" r:id="rId2093" xr:uid="{00000000-0004-0000-0100-0000680B0000}"/>
    <hyperlink ref="G2154" r:id="rId2094" xr:uid="{00000000-0004-0000-0100-0000690B0000}"/>
    <hyperlink ref="S2154" r:id="rId2095" xr:uid="{00000000-0004-0000-0100-00006A0B0000}"/>
    <hyperlink ref="G2155" r:id="rId2096" xr:uid="{00000000-0004-0000-0100-00006B0B0000}"/>
    <hyperlink ref="G2156" r:id="rId2097" xr:uid="{00000000-0004-0000-0100-00006C0B0000}"/>
    <hyperlink ref="G2157" r:id="rId2098" xr:uid="{00000000-0004-0000-0100-00006D0B0000}"/>
    <hyperlink ref="S2157" r:id="rId2099" xr:uid="{00000000-0004-0000-0100-00006E0B0000}"/>
    <hyperlink ref="G2158" r:id="rId2100" xr:uid="{00000000-0004-0000-0100-0000700B0000}"/>
    <hyperlink ref="G2159" r:id="rId2101" xr:uid="{00000000-0004-0000-0100-0000710B0000}"/>
    <hyperlink ref="G2160" r:id="rId2102" xr:uid="{00000000-0004-0000-0100-0000720B0000}"/>
  </hyperlinks>
  <pageMargins left="0.7" right="0.7" top="0.75" bottom="0.75" header="0.3" footer="0.3"/>
  <tableParts count="1">
    <tablePart r:id="rId210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3984375" defaultRowHeight="15.75" customHeight="1"/>
  <sheetData>
    <row r="1" spans="1:26">
      <c r="A1" s="7" t="s">
        <v>1</v>
      </c>
      <c r="B1" s="7" t="s">
        <v>6</v>
      </c>
      <c r="C1" s="8"/>
      <c r="D1" s="8"/>
      <c r="E1" s="8"/>
      <c r="F1" s="8"/>
      <c r="G1" s="8"/>
      <c r="H1" s="8"/>
      <c r="I1" s="8"/>
      <c r="J1" s="8"/>
      <c r="K1" s="8"/>
      <c r="L1" s="8"/>
      <c r="M1" s="8"/>
      <c r="N1" s="8"/>
      <c r="O1" s="8"/>
      <c r="P1" s="8"/>
      <c r="Q1" s="8"/>
      <c r="R1" s="8"/>
      <c r="S1" s="8"/>
      <c r="T1" s="8"/>
      <c r="U1" s="8"/>
      <c r="V1" s="8"/>
      <c r="W1" s="8"/>
      <c r="X1" s="8"/>
      <c r="Y1" s="8"/>
      <c r="Z1" s="8"/>
    </row>
    <row r="2" spans="1:26">
      <c r="A2" s="9">
        <v>43747.082986921298</v>
      </c>
      <c r="B2" s="7" t="s">
        <v>23</v>
      </c>
      <c r="C2" s="8"/>
      <c r="D2" s="8"/>
      <c r="E2" s="8"/>
      <c r="F2" s="8"/>
      <c r="G2" s="8"/>
      <c r="H2" s="8"/>
      <c r="I2" s="8"/>
      <c r="J2" s="8"/>
      <c r="K2" s="8"/>
      <c r="L2" s="8"/>
      <c r="M2" s="8"/>
      <c r="N2" s="8"/>
      <c r="O2" s="8"/>
      <c r="P2" s="8"/>
      <c r="Q2" s="8"/>
      <c r="R2" s="8"/>
      <c r="S2" s="8"/>
      <c r="T2" s="8"/>
      <c r="U2" s="8"/>
      <c r="V2" s="8"/>
      <c r="W2" s="8"/>
      <c r="X2" s="8"/>
      <c r="Y2" s="8"/>
      <c r="Z2" s="8"/>
    </row>
    <row r="3" spans="1:26">
      <c r="A3" s="9">
        <v>43747.091922499996</v>
      </c>
      <c r="B3" s="7" t="s">
        <v>24</v>
      </c>
      <c r="C3" s="8"/>
      <c r="D3" s="8"/>
      <c r="E3" s="8"/>
      <c r="F3" s="8"/>
      <c r="G3" s="8"/>
      <c r="H3" s="8"/>
      <c r="I3" s="8"/>
      <c r="J3" s="8"/>
      <c r="K3" s="8"/>
      <c r="L3" s="8"/>
      <c r="M3" s="8"/>
      <c r="N3" s="8"/>
      <c r="O3" s="8"/>
      <c r="P3" s="8"/>
      <c r="Q3" s="8"/>
      <c r="R3" s="8"/>
      <c r="S3" s="8"/>
      <c r="T3" s="8"/>
      <c r="U3" s="8"/>
      <c r="V3" s="8"/>
      <c r="W3" s="8"/>
      <c r="X3" s="8"/>
      <c r="Y3" s="8"/>
      <c r="Z3" s="8"/>
    </row>
    <row r="4" spans="1:26">
      <c r="A4" s="9">
        <v>43747.135752187503</v>
      </c>
      <c r="B4" s="7" t="s">
        <v>29</v>
      </c>
      <c r="C4" s="8"/>
      <c r="D4" s="8"/>
      <c r="E4" s="8"/>
      <c r="F4" s="8"/>
      <c r="G4" s="8"/>
      <c r="H4" s="8"/>
      <c r="I4" s="8"/>
      <c r="J4" s="8"/>
      <c r="K4" s="8"/>
      <c r="L4" s="8"/>
      <c r="M4" s="8"/>
      <c r="N4" s="8"/>
      <c r="O4" s="8"/>
      <c r="P4" s="8"/>
      <c r="Q4" s="8"/>
      <c r="R4" s="8"/>
      <c r="S4" s="8"/>
      <c r="T4" s="8"/>
      <c r="U4" s="8"/>
      <c r="V4" s="8"/>
      <c r="W4" s="8"/>
      <c r="X4" s="8"/>
      <c r="Y4" s="8"/>
      <c r="Z4" s="8"/>
    </row>
    <row r="5" spans="1:26">
      <c r="A5" s="9">
        <v>43747.140096469906</v>
      </c>
      <c r="B5" s="7" t="s">
        <v>32</v>
      </c>
      <c r="C5" s="8"/>
      <c r="D5" s="8"/>
      <c r="E5" s="8"/>
      <c r="F5" s="8"/>
      <c r="G5" s="8"/>
      <c r="H5" s="8"/>
      <c r="I5" s="8"/>
      <c r="J5" s="8"/>
      <c r="K5" s="8"/>
      <c r="L5" s="8"/>
      <c r="M5" s="8"/>
      <c r="N5" s="8"/>
      <c r="O5" s="8"/>
      <c r="P5" s="8"/>
      <c r="Q5" s="8"/>
      <c r="R5" s="8"/>
      <c r="S5" s="8"/>
      <c r="T5" s="8"/>
      <c r="U5" s="8"/>
      <c r="V5" s="8"/>
      <c r="W5" s="8"/>
      <c r="X5" s="8"/>
      <c r="Y5" s="8"/>
      <c r="Z5" s="8"/>
    </row>
    <row r="6" spans="1:26">
      <c r="A6" s="9">
        <v>43747.144240972222</v>
      </c>
      <c r="B6" s="7" t="s">
        <v>33</v>
      </c>
      <c r="C6" s="8"/>
      <c r="D6" s="8"/>
      <c r="E6" s="8"/>
      <c r="F6" s="8"/>
      <c r="G6" s="8"/>
      <c r="H6" s="8"/>
      <c r="I6" s="8"/>
      <c r="J6" s="8"/>
      <c r="K6" s="8"/>
      <c r="L6" s="8"/>
      <c r="M6" s="8"/>
      <c r="N6" s="8"/>
      <c r="O6" s="8"/>
      <c r="P6" s="8"/>
      <c r="Q6" s="8"/>
      <c r="R6" s="8"/>
      <c r="S6" s="8"/>
      <c r="T6" s="8"/>
      <c r="U6" s="8"/>
      <c r="V6" s="8"/>
      <c r="W6" s="8"/>
      <c r="X6" s="8"/>
      <c r="Y6" s="8"/>
      <c r="Z6" s="8"/>
    </row>
    <row r="7" spans="1:26">
      <c r="A7" s="9">
        <v>43747.144344490742</v>
      </c>
      <c r="B7" s="7" t="s">
        <v>34</v>
      </c>
      <c r="C7" s="8"/>
      <c r="D7" s="8"/>
      <c r="E7" s="8"/>
      <c r="F7" s="8"/>
      <c r="G7" s="8"/>
      <c r="H7" s="8"/>
      <c r="I7" s="8"/>
      <c r="J7" s="8"/>
      <c r="K7" s="8"/>
      <c r="L7" s="8"/>
      <c r="M7" s="8"/>
      <c r="N7" s="8"/>
      <c r="O7" s="8"/>
      <c r="P7" s="8"/>
      <c r="Q7" s="8"/>
      <c r="R7" s="8"/>
      <c r="S7" s="8"/>
      <c r="T7" s="8"/>
      <c r="U7" s="8"/>
      <c r="V7" s="8"/>
      <c r="W7" s="8"/>
      <c r="X7" s="8"/>
      <c r="Y7" s="8"/>
      <c r="Z7" s="8"/>
    </row>
    <row r="8" spans="1:26">
      <c r="A8" s="9">
        <v>43747.175547685183</v>
      </c>
      <c r="B8" s="7" t="s">
        <v>35</v>
      </c>
      <c r="C8" s="8"/>
      <c r="D8" s="8"/>
      <c r="E8" s="8"/>
      <c r="F8" s="8"/>
      <c r="G8" s="8"/>
      <c r="H8" s="8"/>
      <c r="I8" s="8"/>
      <c r="J8" s="8"/>
      <c r="K8" s="8"/>
      <c r="L8" s="8"/>
      <c r="M8" s="8"/>
      <c r="N8" s="8"/>
      <c r="O8" s="8"/>
      <c r="P8" s="8"/>
      <c r="Q8" s="8"/>
      <c r="R8" s="8"/>
      <c r="S8" s="8"/>
      <c r="T8" s="8"/>
      <c r="U8" s="8"/>
      <c r="V8" s="8"/>
      <c r="W8" s="8"/>
      <c r="X8" s="8"/>
      <c r="Y8" s="8"/>
      <c r="Z8" s="8"/>
    </row>
    <row r="9" spans="1:26">
      <c r="A9" s="9">
        <v>43747.186294791667</v>
      </c>
      <c r="B9" s="7" t="s">
        <v>36</v>
      </c>
      <c r="C9" s="8"/>
      <c r="D9" s="8"/>
      <c r="E9" s="8"/>
      <c r="F9" s="8"/>
      <c r="G9" s="8"/>
      <c r="H9" s="8"/>
      <c r="I9" s="8"/>
      <c r="J9" s="8"/>
      <c r="K9" s="8"/>
      <c r="L9" s="8"/>
      <c r="M9" s="8"/>
      <c r="N9" s="8"/>
      <c r="O9" s="8"/>
      <c r="P9" s="8"/>
      <c r="Q9" s="8"/>
      <c r="R9" s="8"/>
      <c r="S9" s="8"/>
      <c r="T9" s="8"/>
      <c r="U9" s="8"/>
      <c r="V9" s="8"/>
      <c r="W9" s="8"/>
      <c r="X9" s="8"/>
      <c r="Y9" s="8"/>
      <c r="Z9" s="8"/>
    </row>
    <row r="10" spans="1:26">
      <c r="A10" s="9">
        <v>43747.206517037033</v>
      </c>
      <c r="B10" s="7" t="s">
        <v>36</v>
      </c>
      <c r="C10" s="8"/>
      <c r="D10" s="8"/>
      <c r="E10" s="8"/>
      <c r="F10" s="8"/>
      <c r="G10" s="8"/>
      <c r="H10" s="8"/>
      <c r="I10" s="8"/>
      <c r="J10" s="8"/>
      <c r="K10" s="8"/>
      <c r="L10" s="8"/>
      <c r="M10" s="8"/>
      <c r="N10" s="8"/>
      <c r="O10" s="8"/>
      <c r="P10" s="8"/>
      <c r="Q10" s="8"/>
      <c r="R10" s="8"/>
      <c r="S10" s="8"/>
      <c r="T10" s="8"/>
      <c r="U10" s="8"/>
      <c r="V10" s="8"/>
      <c r="W10" s="8"/>
      <c r="X10" s="8"/>
      <c r="Y10" s="8"/>
      <c r="Z10" s="8"/>
    </row>
    <row r="11" spans="1:26">
      <c r="A11" s="9">
        <v>43747.207090555559</v>
      </c>
      <c r="B11" s="7" t="s">
        <v>40</v>
      </c>
      <c r="C11" s="8"/>
      <c r="D11" s="8"/>
      <c r="E11" s="8"/>
      <c r="F11" s="8"/>
      <c r="G11" s="8"/>
      <c r="H11" s="8"/>
      <c r="I11" s="8"/>
      <c r="J11" s="8"/>
      <c r="K11" s="8"/>
      <c r="L11" s="8"/>
      <c r="M11" s="8"/>
      <c r="N11" s="8"/>
      <c r="O11" s="8"/>
      <c r="P11" s="8"/>
      <c r="Q11" s="8"/>
      <c r="R11" s="8"/>
      <c r="S11" s="8"/>
      <c r="T11" s="8"/>
      <c r="U11" s="8"/>
      <c r="V11" s="8"/>
      <c r="W11" s="8"/>
      <c r="X11" s="8"/>
      <c r="Y11" s="8"/>
      <c r="Z11" s="8"/>
    </row>
    <row r="12" spans="1:26">
      <c r="A12" s="9">
        <v>43747.218700011574</v>
      </c>
      <c r="B12" s="7" t="s">
        <v>41</v>
      </c>
      <c r="C12" s="8"/>
      <c r="D12" s="8"/>
      <c r="E12" s="8"/>
      <c r="F12" s="8"/>
      <c r="G12" s="8"/>
      <c r="H12" s="8"/>
      <c r="I12" s="8"/>
      <c r="J12" s="8"/>
      <c r="K12" s="8"/>
      <c r="L12" s="8"/>
      <c r="M12" s="8"/>
      <c r="N12" s="8"/>
      <c r="O12" s="8"/>
      <c r="P12" s="8"/>
      <c r="Q12" s="8"/>
      <c r="R12" s="8"/>
      <c r="S12" s="8"/>
      <c r="T12" s="8"/>
      <c r="U12" s="8"/>
      <c r="V12" s="8"/>
      <c r="W12" s="8"/>
      <c r="X12" s="8"/>
      <c r="Y12" s="8"/>
      <c r="Z12" s="8"/>
    </row>
    <row r="13" spans="1:26">
      <c r="A13" s="9">
        <v>43747.218935219906</v>
      </c>
      <c r="B13" s="7" t="s">
        <v>42</v>
      </c>
      <c r="C13" s="8"/>
      <c r="D13" s="8"/>
      <c r="E13" s="8"/>
      <c r="F13" s="8"/>
      <c r="G13" s="8"/>
      <c r="H13" s="8"/>
      <c r="I13" s="8"/>
      <c r="J13" s="8"/>
      <c r="K13" s="8"/>
      <c r="L13" s="8"/>
      <c r="M13" s="8"/>
      <c r="N13" s="8"/>
      <c r="O13" s="8"/>
      <c r="P13" s="8"/>
      <c r="Q13" s="8"/>
      <c r="R13" s="8"/>
      <c r="S13" s="8"/>
      <c r="T13" s="8"/>
      <c r="U13" s="8"/>
      <c r="V13" s="8"/>
      <c r="W13" s="8"/>
      <c r="X13" s="8"/>
      <c r="Y13" s="8"/>
      <c r="Z13" s="8"/>
    </row>
    <row r="14" spans="1:26">
      <c r="A14" s="9">
        <v>43747.230259641205</v>
      </c>
      <c r="B14" s="7" t="s">
        <v>45</v>
      </c>
      <c r="C14" s="8"/>
      <c r="D14" s="8"/>
      <c r="E14" s="8"/>
      <c r="F14" s="8"/>
      <c r="G14" s="8"/>
      <c r="H14" s="8"/>
      <c r="I14" s="8"/>
      <c r="J14" s="8"/>
      <c r="K14" s="8"/>
      <c r="L14" s="8"/>
      <c r="M14" s="8"/>
      <c r="N14" s="8"/>
      <c r="O14" s="8"/>
      <c r="P14" s="8"/>
      <c r="Q14" s="8"/>
      <c r="R14" s="8"/>
      <c r="S14" s="8"/>
      <c r="T14" s="8"/>
      <c r="U14" s="8"/>
      <c r="V14" s="8"/>
      <c r="W14" s="8"/>
      <c r="X14" s="8"/>
      <c r="Y14" s="8"/>
      <c r="Z14" s="8"/>
    </row>
    <row r="15" spans="1:26">
      <c r="A15" s="9">
        <v>43747.240656134258</v>
      </c>
      <c r="B15" s="7" t="s">
        <v>48</v>
      </c>
      <c r="C15" s="8"/>
      <c r="D15" s="8"/>
      <c r="E15" s="8"/>
      <c r="F15" s="8"/>
      <c r="G15" s="8"/>
      <c r="H15" s="8"/>
      <c r="I15" s="8"/>
      <c r="J15" s="8"/>
      <c r="K15" s="8"/>
      <c r="L15" s="8"/>
      <c r="M15" s="8"/>
      <c r="N15" s="8"/>
      <c r="O15" s="8"/>
      <c r="P15" s="8"/>
      <c r="Q15" s="8"/>
      <c r="R15" s="8"/>
      <c r="S15" s="8"/>
      <c r="T15" s="8"/>
      <c r="U15" s="8"/>
      <c r="V15" s="8"/>
      <c r="W15" s="8"/>
      <c r="X15" s="8"/>
      <c r="Y15" s="8"/>
      <c r="Z15" s="8"/>
    </row>
    <row r="16" spans="1:26">
      <c r="A16" s="9">
        <v>43747.300024467593</v>
      </c>
      <c r="B16" s="7" t="s">
        <v>49</v>
      </c>
      <c r="C16" s="8"/>
      <c r="D16" s="8"/>
      <c r="E16" s="8"/>
      <c r="F16" s="8"/>
      <c r="G16" s="8"/>
      <c r="H16" s="8"/>
      <c r="I16" s="8"/>
      <c r="J16" s="8"/>
      <c r="K16" s="8"/>
      <c r="L16" s="8"/>
      <c r="M16" s="8"/>
      <c r="N16" s="8"/>
      <c r="O16" s="8"/>
      <c r="P16" s="8"/>
      <c r="Q16" s="8"/>
      <c r="R16" s="8"/>
      <c r="S16" s="8"/>
      <c r="T16" s="8"/>
      <c r="U16" s="8"/>
      <c r="V16" s="8"/>
      <c r="W16" s="8"/>
      <c r="X16" s="8"/>
      <c r="Y16" s="8"/>
      <c r="Z16" s="8"/>
    </row>
    <row r="17" spans="1:26">
      <c r="A17" s="9">
        <v>43747.323947696757</v>
      </c>
      <c r="B17" s="7" t="s">
        <v>32</v>
      </c>
      <c r="C17" s="8"/>
      <c r="D17" s="8"/>
      <c r="E17" s="8"/>
      <c r="F17" s="8"/>
      <c r="G17" s="8"/>
      <c r="H17" s="8"/>
      <c r="I17" s="8"/>
      <c r="J17" s="8"/>
      <c r="K17" s="8"/>
      <c r="L17" s="8"/>
      <c r="M17" s="8"/>
      <c r="N17" s="8"/>
      <c r="O17" s="8"/>
      <c r="P17" s="8"/>
      <c r="Q17" s="8"/>
      <c r="R17" s="8"/>
      <c r="S17" s="8"/>
      <c r="T17" s="8"/>
      <c r="U17" s="8"/>
      <c r="V17" s="8"/>
      <c r="W17" s="8"/>
      <c r="X17" s="8"/>
      <c r="Y17" s="8"/>
      <c r="Z17" s="8"/>
    </row>
    <row r="18" spans="1:26">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4.3984375" defaultRowHeig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#TurkishArmy -filterretweets</vt:lpstr>
      <vt:lpstr>#JamalKhashoggi OR #خاشقجي -fil</vt:lpstr>
      <vt:lpstr>Twitter Archiver Logs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 Jones</cp:lastModifiedBy>
  <dcterms:created xsi:type="dcterms:W3CDTF">2019-10-09T15:35:43Z</dcterms:created>
  <dcterms:modified xsi:type="dcterms:W3CDTF">2019-10-09T15:35:44Z</dcterms:modified>
</cp:coreProperties>
</file>